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pivotTables/pivotTable3.xml" ContentType="application/vnd.openxmlformats-officedocument.spreadsheetml.pivotTable+xml"/>
  <Override PartName="/xl/tables/table3.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xl/pivotTables/pivotTable4.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updateLinks="always"/>
  <mc:AlternateContent xmlns:mc="http://schemas.openxmlformats.org/markup-compatibility/2006">
    <mc:Choice Requires="x15">
      <x15ac:absPath xmlns:x15ac="http://schemas.microsoft.com/office/spreadsheetml/2010/11/ac" url="https://d.docs.live.net/08a2b549e8814520/文件/rekap ^0 report/"/>
    </mc:Choice>
  </mc:AlternateContent>
  <xr:revisionPtr revIDLastSave="1" documentId="8_{F701879C-8DB7-41AA-8DF0-FBF0DE4CDD49}" xr6:coauthVersionLast="47" xr6:coauthVersionMax="47" xr10:uidLastSave="{E4FF6525-9368-4525-B2C0-36CAFC23659E}"/>
  <bookViews>
    <workbookView xWindow="-108" yWindow="-108" windowWidth="23256" windowHeight="12456" firstSheet="1" activeTab="6" xr2:uid="{00000000-000D-0000-FFFF-FFFF00000000}"/>
  </bookViews>
  <sheets>
    <sheet name="Histori" sheetId="7" r:id="rId1"/>
    <sheet name="Rev VS Sewa" sheetId="17" r:id="rId2"/>
    <sheet name="Pivot Report" sheetId="18" r:id="rId3"/>
    <sheet name="Klausul" sheetId="2" r:id="rId4"/>
    <sheet name="Detail1" sheetId="27" r:id="rId5"/>
    <sheet name="Lembar2" sheetId="29" r:id="rId6"/>
    <sheet name="Raw Data" sheetId="1" r:id="rId7"/>
    <sheet name="Lembar1" sheetId="30" r:id="rId8"/>
    <sheet name="Pivot Monitoring Perpanjangan" sheetId="26" r:id="rId9"/>
  </sheets>
  <externalReferences>
    <externalReference r:id="rId10"/>
  </externalReferences>
  <definedNames>
    <definedName name="_xlcn.WorksheetConnection_RekapColloxInterkoneksi2024V2ROM22Nov1.xlsxTable1" hidden="1">Table1[]</definedName>
    <definedName name="Z_027350FF_8ECE_43E8_9F80_9383AF4E2461_.wvu.FilterData" localSheetId="6" hidden="1">'Raw Data'!$A$1:$AS$1440</definedName>
    <definedName name="Z_7DBB7BD3_F30B_4B7E_925C_A4F160FB8500_.wvu.FilterData" localSheetId="6" hidden="1">'Raw Data'!$A$1:$AS$1440</definedName>
    <definedName name="Z_88395C05_4EB1_4519_BB5E_80CE82512CF2_.wvu.FilterData" localSheetId="6" hidden="1">'Raw Data'!$A$1:$AS$1440</definedName>
    <definedName name="Z_B0BF2767_5F9C_49A3_B621_DF906CF841B8_.wvu.FilterData" localSheetId="6" hidden="1">'Raw Data'!$A$1:$AS$1440</definedName>
  </definedNames>
  <calcPr calcId="191029"/>
  <customWorkbookViews>
    <customWorkbookView name="Filter 1" guid="{7DBB7BD3-F30B-4B7E-925C-A4F160FB8500}" maximized="1" windowWidth="0" windowHeight="0" activeSheetId="0"/>
    <customWorkbookView name="Filter 3" guid="{B0BF2767-5F9C-49A3-B621-DF906CF841B8}" maximized="1" windowWidth="0" windowHeight="0" activeSheetId="0"/>
    <customWorkbookView name="Filter 2" guid="{027350FF-8ECE-43E8-9F80-9383AF4E2461}" maximized="1" windowWidth="0" windowHeight="0" activeSheetId="0"/>
    <customWorkbookView name="Filter 4" guid="{88395C05-4EB1-4519-BB5E-80CE82512CF2}" maximized="1" windowWidth="0" windowHeight="0" activeSheetId="0"/>
  </customWorkbookViews>
  <pivotCaches>
    <pivotCache cacheId="0" r:id="rId11"/>
    <pivotCache cacheId="1" r:id="rId12"/>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Rekap Collo x Interkoneksi 2024 V2 ROM 22 Nov(1).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799" i="1" l="1"/>
  <c r="P3123" i="1"/>
  <c r="P3122" i="1"/>
  <c r="P3121" i="1"/>
  <c r="P3120" i="1"/>
  <c r="P3119" i="1"/>
  <c r="P3118" i="1"/>
  <c r="P3117" i="1"/>
  <c r="P3116" i="1"/>
  <c r="P3115" i="1"/>
  <c r="P3114" i="1"/>
  <c r="P3113" i="1"/>
  <c r="P3112" i="1"/>
  <c r="P3111" i="1"/>
  <c r="P3110" i="1"/>
  <c r="P3109" i="1"/>
  <c r="P3108" i="1"/>
  <c r="P3107" i="1"/>
  <c r="P3106" i="1"/>
  <c r="AB3107" i="1"/>
  <c r="AB3108" i="1"/>
  <c r="AB3109" i="1"/>
  <c r="AB3110" i="1"/>
  <c r="AB3111" i="1"/>
  <c r="AB3112" i="1"/>
  <c r="AB3113" i="1"/>
  <c r="AB3114" i="1"/>
  <c r="AB3115" i="1"/>
  <c r="AB3116" i="1"/>
  <c r="AB3117" i="1"/>
  <c r="AB3118" i="1"/>
  <c r="AB3119" i="1"/>
  <c r="AB3120" i="1"/>
  <c r="AB3121" i="1"/>
  <c r="AB3122" i="1"/>
  <c r="AB3123" i="1"/>
  <c r="AB3124" i="1"/>
  <c r="AA3107" i="1"/>
  <c r="AA3108" i="1"/>
  <c r="AA3109" i="1"/>
  <c r="AA3110" i="1"/>
  <c r="AA3111" i="1"/>
  <c r="AA3112" i="1"/>
  <c r="AA3113" i="1"/>
  <c r="AA3114" i="1"/>
  <c r="AA3115" i="1"/>
  <c r="AA3116" i="1"/>
  <c r="AA3117" i="1"/>
  <c r="AA3118" i="1"/>
  <c r="AA3119" i="1"/>
  <c r="AA3120" i="1"/>
  <c r="AA3121" i="1"/>
  <c r="AA3122" i="1"/>
  <c r="AA3123" i="1"/>
  <c r="AA3124" i="1"/>
  <c r="Z3107" i="1"/>
  <c r="E3107" i="1" s="1"/>
  <c r="Z3109" i="1"/>
  <c r="E3109" i="1" s="1"/>
  <c r="Z3111" i="1"/>
  <c r="E3111" i="1" s="1"/>
  <c r="Y3124" i="1"/>
  <c r="Z3124" i="1" s="1"/>
  <c r="E3124" i="1" s="1"/>
  <c r="Y3123" i="1"/>
  <c r="Z3123" i="1" s="1"/>
  <c r="E3123" i="1" s="1"/>
  <c r="Y3122" i="1"/>
  <c r="Z3122" i="1" s="1"/>
  <c r="Y3121" i="1"/>
  <c r="Z3121" i="1" s="1"/>
  <c r="Y3120" i="1"/>
  <c r="Z3120" i="1" s="1"/>
  <c r="E3120" i="1" s="1"/>
  <c r="Y3119" i="1"/>
  <c r="Z3119" i="1" s="1"/>
  <c r="E3119" i="1" s="1"/>
  <c r="Y3118" i="1"/>
  <c r="Z3118" i="1" s="1"/>
  <c r="E3118" i="1" s="1"/>
  <c r="Y3117" i="1"/>
  <c r="Z3117" i="1" s="1"/>
  <c r="E3117" i="1" s="1"/>
  <c r="Y3116" i="1"/>
  <c r="Z3116" i="1" s="1"/>
  <c r="E3116" i="1" s="1"/>
  <c r="Y3115" i="1"/>
  <c r="Z3115" i="1" s="1"/>
  <c r="E3115" i="1" s="1"/>
  <c r="Y3114" i="1"/>
  <c r="Z3114" i="1" s="1"/>
  <c r="E3114" i="1" s="1"/>
  <c r="Y3113" i="1"/>
  <c r="Z3113" i="1" s="1"/>
  <c r="E3113" i="1" s="1"/>
  <c r="E3121" i="1"/>
  <c r="E3122" i="1"/>
  <c r="Y3108" i="1"/>
  <c r="Z3108" i="1" s="1"/>
  <c r="E3108" i="1" s="1"/>
  <c r="Y3112" i="1"/>
  <c r="Z3112" i="1" s="1"/>
  <c r="E3112" i="1" s="1"/>
  <c r="Y3110" i="1"/>
  <c r="Z3110" i="1" s="1"/>
  <c r="AB3106" i="1"/>
  <c r="AA3106" i="1"/>
  <c r="Y3106" i="1"/>
  <c r="Z3106" i="1" s="1"/>
  <c r="E3106" i="1" s="1"/>
  <c r="AB3105" i="1"/>
  <c r="AA3105" i="1"/>
  <c r="Y3105" i="1"/>
  <c r="Z3105" i="1" s="1"/>
  <c r="E3105" i="1" s="1"/>
  <c r="S3105" i="1"/>
  <c r="P3105" i="1"/>
  <c r="E3110" i="1"/>
  <c r="AB3104" i="1"/>
  <c r="AA3104" i="1"/>
  <c r="Z3104" i="1"/>
  <c r="E3104" i="1" s="1"/>
  <c r="AB3103" i="1"/>
  <c r="AA3103" i="1"/>
  <c r="Z3103" i="1"/>
  <c r="E3103" i="1" s="1"/>
  <c r="AB3102" i="1"/>
  <c r="AA3102" i="1"/>
  <c r="Z3102" i="1"/>
  <c r="E3102" i="1" s="1"/>
  <c r="AB3101" i="1"/>
  <c r="AA3101" i="1"/>
  <c r="Z3101" i="1"/>
  <c r="E3101" i="1" s="1"/>
  <c r="AB3100" i="1"/>
  <c r="AA3100" i="1"/>
  <c r="Y3100" i="1"/>
  <c r="Z3100" i="1" s="1"/>
  <c r="E3100" i="1" s="1"/>
  <c r="S3100" i="1"/>
  <c r="P3100" i="1"/>
  <c r="AB3099" i="1"/>
  <c r="AA3099" i="1"/>
  <c r="Y3099" i="1"/>
  <c r="Z3099" i="1" s="1"/>
  <c r="E3099" i="1" s="1"/>
  <c r="S3099" i="1"/>
  <c r="P3099" i="1"/>
  <c r="AB3084" i="1"/>
  <c r="AA3084" i="1"/>
  <c r="Y3084" i="1"/>
  <c r="Z3084" i="1" s="1"/>
  <c r="E3084" i="1" s="1"/>
  <c r="S3084" i="1"/>
  <c r="P3084" i="1"/>
  <c r="AB3095" i="1"/>
  <c r="AB3094" i="1"/>
  <c r="AA3095" i="1"/>
  <c r="AA3094" i="1"/>
  <c r="Y3095" i="1"/>
  <c r="Z3095" i="1" s="1"/>
  <c r="E3095" i="1" s="1"/>
  <c r="Y3094" i="1"/>
  <c r="Z3094" i="1" s="1"/>
  <c r="E3094" i="1" s="1"/>
  <c r="P3095" i="1"/>
  <c r="P3094" i="1"/>
  <c r="AB3093" i="1"/>
  <c r="AA3093" i="1"/>
  <c r="Y3093" i="1"/>
  <c r="Z3093" i="1" s="1"/>
  <c r="E3093" i="1" s="1"/>
  <c r="P3093" i="1"/>
  <c r="AB3092" i="1"/>
  <c r="AA3092" i="1"/>
  <c r="Y3092" i="1"/>
  <c r="Z3092" i="1" s="1"/>
  <c r="E3092" i="1" s="1"/>
  <c r="P3092" i="1"/>
  <c r="P2705" i="1"/>
  <c r="AB3091" i="1"/>
  <c r="AA3091" i="1"/>
  <c r="Y3091" i="1"/>
  <c r="Z3091" i="1" s="1"/>
  <c r="E3091" i="1" s="1"/>
  <c r="P3091" i="1"/>
  <c r="AB3083" i="1"/>
  <c r="AA3083" i="1"/>
  <c r="Y3083" i="1"/>
  <c r="Z3083" i="1" s="1"/>
  <c r="E3083" i="1" s="1"/>
  <c r="S3083" i="1"/>
  <c r="P3083" i="1"/>
  <c r="P3081" i="1"/>
  <c r="AA3098" i="1"/>
  <c r="Y3098" i="1"/>
  <c r="Z3098" i="1" s="1"/>
  <c r="E3098" i="1" s="1"/>
  <c r="P3098" i="1"/>
  <c r="AB3082" i="1"/>
  <c r="AA3071" i="1"/>
  <c r="AA3082" i="1"/>
  <c r="Y3082" i="1"/>
  <c r="Z3082" i="1" s="1"/>
  <c r="E3082" i="1" s="1"/>
  <c r="S3082" i="1"/>
  <c r="R3082" i="1"/>
  <c r="O3082" i="1"/>
  <c r="P3082" i="1"/>
  <c r="AB3085" i="1"/>
  <c r="AA3085" i="1"/>
  <c r="Y3085" i="1"/>
  <c r="Z3085" i="1" s="1"/>
  <c r="E3085" i="1" s="1"/>
  <c r="P3085" i="1"/>
  <c r="E3097" i="1"/>
  <c r="E3096" i="1"/>
  <c r="E3090" i="1"/>
  <c r="E3089" i="1"/>
  <c r="E3088" i="1"/>
  <c r="E3087" i="1"/>
  <c r="E3086" i="1"/>
  <c r="AB3081" i="1"/>
  <c r="AA3081" i="1"/>
  <c r="Y3081" i="1"/>
  <c r="Z3081" i="1" s="1"/>
  <c r="E3081" i="1" s="1"/>
  <c r="S3081" i="1"/>
  <c r="AB3080" i="1"/>
  <c r="AA3080" i="1"/>
  <c r="Y3080" i="1"/>
  <c r="Z3080" i="1" s="1"/>
  <c r="E3080" i="1" s="1"/>
  <c r="S3080" i="1"/>
  <c r="P3080" i="1"/>
  <c r="AB3079" i="1"/>
  <c r="AA3079" i="1"/>
  <c r="Y3079" i="1"/>
  <c r="Z3079" i="1" s="1"/>
  <c r="E3079" i="1" s="1"/>
  <c r="S3079" i="1"/>
  <c r="P3079" i="1"/>
  <c r="AB3078" i="1"/>
  <c r="AA3078" i="1"/>
  <c r="Y3078" i="1"/>
  <c r="Z3078" i="1" s="1"/>
  <c r="E3078" i="1" s="1"/>
  <c r="S3078" i="1"/>
  <c r="P3078" i="1"/>
  <c r="AB3077" i="1"/>
  <c r="AA3077" i="1"/>
  <c r="Y3077" i="1"/>
  <c r="Z3077" i="1" s="1"/>
  <c r="E3077" i="1" s="1"/>
  <c r="Y836" i="1"/>
  <c r="AB3076" i="1"/>
  <c r="AA3076" i="1"/>
  <c r="Y3063" i="1"/>
  <c r="Z3063" i="1" s="1"/>
  <c r="E3063" i="1" s="1"/>
  <c r="Y3064" i="1"/>
  <c r="Z3064" i="1" s="1"/>
  <c r="E3064" i="1" s="1"/>
  <c r="Y3065" i="1"/>
  <c r="Z3065" i="1" s="1"/>
  <c r="E3065" i="1" s="1"/>
  <c r="Y3066" i="1"/>
  <c r="Z3066" i="1" s="1"/>
  <c r="E3066" i="1" s="1"/>
  <c r="Y3067" i="1"/>
  <c r="Z3067" i="1" s="1"/>
  <c r="E3067" i="1" s="1"/>
  <c r="Y3068" i="1"/>
  <c r="Z3068" i="1" s="1"/>
  <c r="E3068" i="1" s="1"/>
  <c r="Y3069" i="1"/>
  <c r="Z3069" i="1" s="1"/>
  <c r="E3069" i="1" s="1"/>
  <c r="Y3070" i="1"/>
  <c r="Z3070" i="1" s="1"/>
  <c r="E3070" i="1" s="1"/>
  <c r="Y3071" i="1"/>
  <c r="Z3071" i="1" s="1"/>
  <c r="E3071" i="1" s="1"/>
  <c r="Y3072" i="1"/>
  <c r="Z3072" i="1" s="1"/>
  <c r="E3072" i="1" s="1"/>
  <c r="Y3073" i="1"/>
  <c r="Z3073" i="1" s="1"/>
  <c r="E3073" i="1" s="1"/>
  <c r="Y3074" i="1"/>
  <c r="Z3074" i="1" s="1"/>
  <c r="E3074" i="1" s="1"/>
  <c r="Y3075" i="1"/>
  <c r="Z3075" i="1" s="1"/>
  <c r="E3075" i="1" s="1"/>
  <c r="Y3076" i="1"/>
  <c r="Z3076" i="1" s="1"/>
  <c r="E3076" i="1" s="1"/>
  <c r="Y3062" i="1"/>
  <c r="Z3062" i="1" s="1"/>
  <c r="E3062" i="1" s="1"/>
  <c r="S3076" i="1"/>
  <c r="P3076" i="1"/>
  <c r="AB3075" i="1"/>
  <c r="AA3075" i="1"/>
  <c r="AB3073" i="1"/>
  <c r="AB3074" i="1"/>
  <c r="AA3074" i="1"/>
  <c r="S3061" i="1"/>
  <c r="P3061" i="1"/>
  <c r="AA3073" i="1"/>
  <c r="AB3061" i="1"/>
  <c r="AA3061" i="1"/>
  <c r="Y3061" i="1"/>
  <c r="Z3061" i="1" s="1"/>
  <c r="E3061" i="1" s="1"/>
  <c r="AB3060" i="1"/>
  <c r="AA3060" i="1"/>
  <c r="Y3060" i="1"/>
  <c r="Z3060" i="1" s="1"/>
  <c r="E3060" i="1" s="1"/>
  <c r="S3060" i="1"/>
  <c r="P3060" i="1"/>
  <c r="AB3059" i="1"/>
  <c r="AA3059" i="1"/>
  <c r="Y3059" i="1"/>
  <c r="Z3059" i="1" s="1"/>
  <c r="E3059" i="1" s="1"/>
  <c r="S3059" i="1"/>
  <c r="P2900" i="1"/>
  <c r="S3058" i="1"/>
  <c r="P3058" i="1"/>
  <c r="AB3058" i="1"/>
  <c r="AA3058" i="1"/>
  <c r="Y3058" i="1"/>
  <c r="Z3058" i="1" s="1"/>
  <c r="E3058" i="1" s="1"/>
  <c r="AB3057" i="1"/>
  <c r="AA3057" i="1"/>
  <c r="Y3057" i="1"/>
  <c r="Z3057" i="1" s="1"/>
  <c r="E3057" i="1" s="1"/>
  <c r="S3057" i="1"/>
  <c r="P3057" i="1"/>
  <c r="AB3072" i="1"/>
  <c r="AA3072" i="1"/>
  <c r="AA3062" i="1"/>
  <c r="AB3062" i="1"/>
  <c r="AA3063" i="1"/>
  <c r="AB3063" i="1"/>
  <c r="AA3064" i="1"/>
  <c r="AB3064" i="1"/>
  <c r="AA3065" i="1"/>
  <c r="AB3065" i="1"/>
  <c r="AA3066" i="1"/>
  <c r="AB3066" i="1"/>
  <c r="AA3067" i="1"/>
  <c r="AB3067" i="1"/>
  <c r="AA3068" i="1"/>
  <c r="AB3068" i="1"/>
  <c r="AA3069" i="1"/>
  <c r="AB3069" i="1"/>
  <c r="AA3070" i="1"/>
  <c r="AB3070" i="1"/>
  <c r="AB3071" i="1"/>
  <c r="S3056" i="1"/>
  <c r="S3055" i="1"/>
  <c r="P3055" i="1"/>
  <c r="AB3056" i="1"/>
  <c r="AA3056" i="1"/>
  <c r="Y3056" i="1"/>
  <c r="Z3056" i="1" s="1"/>
  <c r="E3056" i="1" s="1"/>
  <c r="AB3055" i="1"/>
  <c r="AA3055" i="1"/>
  <c r="Y3055" i="1"/>
  <c r="Z3055" i="1" s="1"/>
  <c r="E3055" i="1" s="1"/>
  <c r="S3054" i="1"/>
  <c r="P3054" i="1"/>
  <c r="AB3054" i="1"/>
  <c r="AA3054" i="1"/>
  <c r="Y3054" i="1"/>
  <c r="Z3054" i="1" s="1"/>
  <c r="E3054" i="1" s="1"/>
  <c r="AB3053" i="1"/>
  <c r="AA3053" i="1"/>
  <c r="Y3053" i="1"/>
  <c r="Z3053" i="1" s="1"/>
  <c r="E3053" i="1" s="1"/>
  <c r="AB3052" i="1"/>
  <c r="AA3052" i="1"/>
  <c r="Y3052" i="1"/>
  <c r="Z3052" i="1" s="1"/>
  <c r="E3052" i="1" s="1"/>
  <c r="S3052" i="1"/>
  <c r="P3052" i="1"/>
  <c r="AB3051" i="1"/>
  <c r="AA3051" i="1"/>
  <c r="Y3051" i="1"/>
  <c r="Z3051" i="1" s="1"/>
  <c r="E3051" i="1" s="1"/>
  <c r="S3051" i="1"/>
  <c r="P3051" i="1"/>
  <c r="S3050" i="1"/>
  <c r="P3050" i="1"/>
  <c r="AB3050" i="1"/>
  <c r="AA3050" i="1"/>
  <c r="Y3050" i="1"/>
  <c r="Z3050" i="1" s="1"/>
  <c r="E3050" i="1" s="1"/>
  <c r="S3049" i="1"/>
  <c r="P3049" i="1"/>
  <c r="AA3049" i="1"/>
  <c r="S3048" i="1"/>
  <c r="P3048" i="1"/>
  <c r="AB3049" i="1"/>
  <c r="Y3049" i="1"/>
  <c r="Z3049" i="1" s="1"/>
  <c r="E3049" i="1" s="1"/>
  <c r="AB3048" i="1"/>
  <c r="AA3048" i="1"/>
  <c r="Y3048" i="1"/>
  <c r="Z3048" i="1" s="1"/>
  <c r="E3048" i="1" s="1"/>
  <c r="S3047" i="1"/>
  <c r="S3046" i="1"/>
  <c r="S3045" i="1"/>
  <c r="S3044" i="1"/>
  <c r="S3043" i="1"/>
  <c r="S3042" i="1"/>
  <c r="P3047" i="1"/>
  <c r="P3046" i="1"/>
  <c r="P3045" i="1"/>
  <c r="P3044" i="1"/>
  <c r="P3043" i="1"/>
  <c r="P3042" i="1"/>
  <c r="AB3047" i="1"/>
  <c r="AA3047" i="1"/>
  <c r="Y3047" i="1"/>
  <c r="Z3047" i="1" s="1"/>
  <c r="E3047" i="1" s="1"/>
  <c r="AB3046" i="1"/>
  <c r="AA3046" i="1"/>
  <c r="Y3046" i="1"/>
  <c r="Z3046" i="1" s="1"/>
  <c r="E3046" i="1" s="1"/>
  <c r="AB3045" i="1"/>
  <c r="AA3045" i="1"/>
  <c r="Y3045" i="1"/>
  <c r="Z3045" i="1" s="1"/>
  <c r="E3045" i="1" s="1"/>
  <c r="AB3044" i="1"/>
  <c r="AA3044" i="1"/>
  <c r="Y3044" i="1"/>
  <c r="Z3044" i="1" s="1"/>
  <c r="E3044" i="1" s="1"/>
  <c r="AB3043" i="1"/>
  <c r="AA3043" i="1"/>
  <c r="Y3043" i="1"/>
  <c r="Z3043" i="1" s="1"/>
  <c r="E3043" i="1" s="1"/>
  <c r="AB3042" i="1"/>
  <c r="AA3042" i="1"/>
  <c r="Y3042" i="1"/>
  <c r="Z3042" i="1" s="1"/>
  <c r="E3042" i="1" s="1"/>
  <c r="S3041" i="1"/>
  <c r="P3041" i="1"/>
  <c r="AB3041" i="1"/>
  <c r="AA3041" i="1"/>
  <c r="Y3041" i="1"/>
  <c r="Z3041" i="1" s="1"/>
  <c r="E3041" i="1" s="1"/>
  <c r="P2887" i="1"/>
  <c r="P2886" i="1"/>
  <c r="P2880" i="1"/>
  <c r="P2879" i="1"/>
  <c r="P2901" i="1"/>
  <c r="P2798" i="1"/>
  <c r="P2786" i="1"/>
  <c r="P2784" i="1"/>
  <c r="P2781" i="1"/>
  <c r="P2799" i="1"/>
  <c r="P2778" i="1"/>
  <c r="P2777" i="1"/>
  <c r="P2724" i="1"/>
  <c r="P2963" i="1"/>
  <c r="P2883" i="1"/>
  <c r="P2719" i="1"/>
  <c r="P2718" i="1"/>
  <c r="P2714" i="1"/>
  <c r="P2685" i="1"/>
  <c r="P2752" i="1"/>
  <c r="P2707" i="1"/>
  <c r="P2668" i="1"/>
  <c r="P2670" i="1"/>
  <c r="P2661" i="1"/>
  <c r="P2065" i="1"/>
  <c r="P2713" i="1"/>
  <c r="P2968" i="1"/>
  <c r="P2675" i="1"/>
  <c r="P2708" i="1"/>
  <c r="S3039" i="1"/>
  <c r="P3039" i="1"/>
  <c r="AA3039" i="1"/>
  <c r="AB3039" i="1"/>
  <c r="S3038" i="1"/>
  <c r="P3038" i="1"/>
  <c r="AB3038" i="1"/>
  <c r="AA3038" i="1"/>
  <c r="Y3038" i="1"/>
  <c r="Z3038" i="1" s="1"/>
  <c r="E3038" i="1" s="1"/>
  <c r="AB3037" i="1"/>
  <c r="AB3040" i="1"/>
  <c r="AA3040" i="1"/>
  <c r="Y3039" i="1"/>
  <c r="Z3039" i="1" s="1"/>
  <c r="E3039" i="1" s="1"/>
  <c r="Y3040" i="1"/>
  <c r="Z3040" i="1" s="1"/>
  <c r="S3040" i="1"/>
  <c r="P3040" i="1"/>
  <c r="S3037" i="1"/>
  <c r="P3037" i="1"/>
  <c r="AA3037" i="1"/>
  <c r="Y3037" i="1"/>
  <c r="Z3037" i="1" s="1"/>
  <c r="AB3034" i="1"/>
  <c r="AA3034" i="1"/>
  <c r="Y3034" i="1"/>
  <c r="Z3034" i="1" s="1"/>
  <c r="P3036" i="1"/>
  <c r="S3036" i="1"/>
  <c r="S3034" i="1"/>
  <c r="P3034" i="1"/>
  <c r="S3035" i="1"/>
  <c r="P3035" i="1"/>
  <c r="AB3036" i="1"/>
  <c r="AA3036" i="1"/>
  <c r="Y3036" i="1"/>
  <c r="Z3036" i="1" s="1"/>
  <c r="E3036" i="1" s="1"/>
  <c r="AB3035" i="1"/>
  <c r="AA3035" i="1"/>
  <c r="Y3035" i="1"/>
  <c r="Z3035" i="1" s="1"/>
  <c r="E3035" i="1" s="1"/>
  <c r="AB3033" i="1"/>
  <c r="AA3033" i="1"/>
  <c r="Y3033" i="1"/>
  <c r="Z3033" i="1" s="1"/>
  <c r="E3033" i="1" s="1"/>
  <c r="P3033" i="1"/>
  <c r="AB3032" i="1"/>
  <c r="AA3032" i="1"/>
  <c r="Y3032" i="1"/>
  <c r="Z3032" i="1" s="1"/>
  <c r="E3032" i="1" s="1"/>
  <c r="P3032" i="1"/>
  <c r="P3030" i="1"/>
  <c r="P3031" i="1"/>
  <c r="AB3031" i="1"/>
  <c r="AB3030" i="1"/>
  <c r="AA3031" i="1"/>
  <c r="AA3030" i="1"/>
  <c r="Y3031" i="1"/>
  <c r="Z3031" i="1" s="1"/>
  <c r="E3031" i="1" s="1"/>
  <c r="Y3030" i="1"/>
  <c r="Z3030" i="1" s="1"/>
  <c r="E3030" i="1" s="1"/>
  <c r="P3029" i="1"/>
  <c r="AB3029" i="1"/>
  <c r="AB3028" i="1"/>
  <c r="AA3029" i="1"/>
  <c r="AA3028" i="1"/>
  <c r="Y3029" i="1"/>
  <c r="Z3029" i="1" s="1"/>
  <c r="E3029" i="1" s="1"/>
  <c r="Y3028" i="1"/>
  <c r="Z3028" i="1" s="1"/>
  <c r="E3028" i="1" s="1"/>
  <c r="P3028" i="1"/>
  <c r="AB3027" i="1"/>
  <c r="AA3027" i="1"/>
  <c r="Y3027" i="1"/>
  <c r="Z3027" i="1" s="1"/>
  <c r="E3027" i="1" s="1"/>
  <c r="P3027" i="1"/>
  <c r="AB3026" i="1"/>
  <c r="AA3026" i="1"/>
  <c r="Y3026" i="1"/>
  <c r="Z3026" i="1" s="1"/>
  <c r="E3026" i="1" s="1"/>
  <c r="P3026" i="1"/>
  <c r="AB3023" i="1"/>
  <c r="AA3023" i="1"/>
  <c r="Y3023" i="1"/>
  <c r="Z3023" i="1" s="1"/>
  <c r="E3023" i="1" s="1"/>
  <c r="P3023" i="1"/>
  <c r="AB3024" i="1"/>
  <c r="Y3024" i="1"/>
  <c r="Z3024" i="1" s="1"/>
  <c r="E3024" i="1" s="1"/>
  <c r="P3024" i="1"/>
  <c r="AB3025" i="1"/>
  <c r="AA3025" i="1"/>
  <c r="Y3025" i="1"/>
  <c r="Z3025" i="1" s="1"/>
  <c r="E3025" i="1" s="1"/>
  <c r="P3025" i="1"/>
  <c r="AB3022" i="1"/>
  <c r="AA3022" i="1"/>
  <c r="Y3022" i="1"/>
  <c r="Z3022" i="1" s="1"/>
  <c r="E3022" i="1" s="1"/>
  <c r="P3022" i="1"/>
  <c r="AB3020" i="1"/>
  <c r="AA3020" i="1"/>
  <c r="Y3020" i="1"/>
  <c r="Z3020" i="1" s="1"/>
  <c r="E3020" i="1" s="1"/>
  <c r="P3020" i="1"/>
  <c r="AB3021" i="1"/>
  <c r="AA3021" i="1"/>
  <c r="Y3021" i="1"/>
  <c r="Z3021" i="1" s="1"/>
  <c r="E3021" i="1" s="1"/>
  <c r="Y2894" i="1"/>
  <c r="P3021" i="1"/>
  <c r="AB3019" i="1"/>
  <c r="AA3019" i="1"/>
  <c r="Y3019" i="1"/>
  <c r="Z3019" i="1" s="1"/>
  <c r="E3019" i="1" s="1"/>
  <c r="P3019" i="1"/>
  <c r="AB3018" i="1"/>
  <c r="AA3018" i="1"/>
  <c r="Y3018" i="1"/>
  <c r="Z3018" i="1" s="1"/>
  <c r="E3018" i="1" s="1"/>
  <c r="S3018" i="1"/>
  <c r="P3018" i="1"/>
  <c r="AB3017" i="1"/>
  <c r="AA3017" i="1"/>
  <c r="P3017" i="1"/>
  <c r="Y3017" i="1"/>
  <c r="Z3017" i="1" s="1"/>
  <c r="E3017" i="1" s="1"/>
  <c r="S3017" i="1"/>
  <c r="AB3016" i="1"/>
  <c r="AA3016" i="1"/>
  <c r="Y3016" i="1"/>
  <c r="Z3016" i="1" s="1"/>
  <c r="E3016" i="1" s="1"/>
  <c r="Y2340" i="1"/>
  <c r="Z2340" i="1" s="1"/>
  <c r="E2340" i="1" s="1"/>
  <c r="P3016" i="1"/>
  <c r="P3015" i="1"/>
  <c r="P3014" i="1"/>
  <c r="AB3015" i="1"/>
  <c r="AB3014" i="1"/>
  <c r="AA3015" i="1"/>
  <c r="AA3014" i="1"/>
  <c r="Y3015" i="1"/>
  <c r="Z3015" i="1" s="1"/>
  <c r="E3015" i="1" s="1"/>
  <c r="Y3014" i="1"/>
  <c r="Z3014" i="1" s="1"/>
  <c r="E3014" i="1" s="1"/>
  <c r="AB2955" i="1"/>
  <c r="S2779" i="1"/>
  <c r="AB3013" i="1"/>
  <c r="AA3013" i="1"/>
  <c r="Y3013" i="1"/>
  <c r="Z3013" i="1" s="1"/>
  <c r="E3013" i="1" s="1"/>
  <c r="P3013" i="1"/>
  <c r="AB3012" i="1"/>
  <c r="AA3012" i="1"/>
  <c r="Y3012" i="1"/>
  <c r="Z3012" i="1" s="1"/>
  <c r="E3012" i="1" s="1"/>
  <c r="P3012" i="1"/>
  <c r="AB3011" i="1"/>
  <c r="AA3011" i="1"/>
  <c r="Y3011" i="1"/>
  <c r="Z3011" i="1" s="1"/>
  <c r="E3011" i="1" s="1"/>
  <c r="P3011" i="1"/>
  <c r="AB3010" i="1"/>
  <c r="AA3010" i="1"/>
  <c r="P3010" i="1"/>
  <c r="AB3009" i="1"/>
  <c r="AA3009" i="1"/>
  <c r="P3009" i="1"/>
  <c r="AB3008" i="1"/>
  <c r="AA3008" i="1"/>
  <c r="Y3010" i="1"/>
  <c r="Z3010" i="1" s="1"/>
  <c r="E3010" i="1" s="1"/>
  <c r="Y3009" i="1"/>
  <c r="Z3009" i="1" s="1"/>
  <c r="E3009" i="1" s="1"/>
  <c r="Y3008" i="1"/>
  <c r="Z3008" i="1" s="1"/>
  <c r="E3034" i="1" s="1"/>
  <c r="P3008" i="1"/>
  <c r="AB3007" i="1"/>
  <c r="AA3007" i="1"/>
  <c r="P3007" i="1"/>
  <c r="AB3006" i="1"/>
  <c r="AA3006" i="1"/>
  <c r="P3006" i="1"/>
  <c r="AB3005" i="1"/>
  <c r="AA3005" i="1"/>
  <c r="P3005" i="1"/>
  <c r="AB3004" i="1"/>
  <c r="AA3004" i="1"/>
  <c r="Y3007" i="1"/>
  <c r="Z3007" i="1" s="1"/>
  <c r="E3007" i="1" s="1"/>
  <c r="Y3006" i="1"/>
  <c r="Z3006" i="1" s="1"/>
  <c r="E3006" i="1" s="1"/>
  <c r="Y3005" i="1"/>
  <c r="Z3005" i="1" s="1"/>
  <c r="E3005" i="1" s="1"/>
  <c r="Y3004" i="1"/>
  <c r="Z3004" i="1" s="1"/>
  <c r="E3004" i="1" s="1"/>
  <c r="P3004" i="1"/>
  <c r="AB3003" i="1"/>
  <c r="AA3003" i="1"/>
  <c r="Y3003" i="1"/>
  <c r="Z3003" i="1" s="1"/>
  <c r="E3003" i="1" s="1"/>
  <c r="P3003" i="1"/>
  <c r="AB3002" i="1"/>
  <c r="AA3002" i="1"/>
  <c r="Y3002" i="1"/>
  <c r="Z3002" i="1" s="1"/>
  <c r="E3002" i="1" s="1"/>
  <c r="P3002" i="1"/>
  <c r="AB3001" i="1"/>
  <c r="AA3001" i="1"/>
  <c r="Y3001" i="1"/>
  <c r="Z3001" i="1" s="1"/>
  <c r="E3001" i="1" s="1"/>
  <c r="P3001" i="1"/>
  <c r="AB3000" i="1"/>
  <c r="AA3000" i="1"/>
  <c r="Y3000" i="1"/>
  <c r="Z3000" i="1" s="1"/>
  <c r="E3000" i="1" s="1"/>
  <c r="P3000" i="1"/>
  <c r="AB2999" i="1"/>
  <c r="AA2999" i="1"/>
  <c r="Y2999" i="1"/>
  <c r="Z2999" i="1" s="1"/>
  <c r="E2999" i="1" s="1"/>
  <c r="P2999" i="1"/>
  <c r="AB2998" i="1"/>
  <c r="AA2998" i="1"/>
  <c r="Y2998" i="1"/>
  <c r="Z2998" i="1" s="1"/>
  <c r="E2998" i="1" s="1"/>
  <c r="P2998" i="1"/>
  <c r="AB2997" i="1"/>
  <c r="AA2997" i="1"/>
  <c r="Y2997" i="1"/>
  <c r="Z2997" i="1" s="1"/>
  <c r="E2997" i="1" s="1"/>
  <c r="P2997" i="1"/>
  <c r="AB2996" i="1"/>
  <c r="AA2996" i="1"/>
  <c r="Y2996" i="1"/>
  <c r="Z2996" i="1" s="1"/>
  <c r="E2996" i="1" s="1"/>
  <c r="P2996" i="1"/>
  <c r="AB2994" i="1"/>
  <c r="AA2994" i="1"/>
  <c r="Y2994" i="1"/>
  <c r="Z2994" i="1" s="1"/>
  <c r="E2994" i="1" s="1"/>
  <c r="P2994" i="1"/>
  <c r="AB2995" i="1"/>
  <c r="AA2995" i="1"/>
  <c r="Y2995" i="1"/>
  <c r="Z2995" i="1" s="1"/>
  <c r="E2995" i="1" s="1"/>
  <c r="P2995" i="1"/>
  <c r="AB2993" i="1"/>
  <c r="AA2993" i="1"/>
  <c r="Y2993" i="1"/>
  <c r="Z2993" i="1" s="1"/>
  <c r="E2993" i="1" s="1"/>
  <c r="P2993" i="1"/>
  <c r="AB2992" i="1"/>
  <c r="AA2992" i="1"/>
  <c r="Y2992" i="1"/>
  <c r="Z2992" i="1" s="1"/>
  <c r="E2992" i="1" s="1"/>
  <c r="P2992" i="1"/>
  <c r="AB2991" i="1"/>
  <c r="AA2991" i="1"/>
  <c r="Y2991" i="1"/>
  <c r="Z2991" i="1" s="1"/>
  <c r="E2991" i="1" s="1"/>
  <c r="P2991" i="1"/>
  <c r="AB2990" i="1"/>
  <c r="AA2990" i="1"/>
  <c r="Y2990" i="1"/>
  <c r="Z2990" i="1" s="1"/>
  <c r="E2990" i="1" s="1"/>
  <c r="P2990" i="1"/>
  <c r="AB2989" i="1"/>
  <c r="AA2989" i="1"/>
  <c r="Y2989" i="1"/>
  <c r="Z2989" i="1" s="1"/>
  <c r="E2989" i="1" s="1"/>
  <c r="P2989" i="1"/>
  <c r="AB2988" i="1"/>
  <c r="AA2988" i="1"/>
  <c r="Y2988" i="1"/>
  <c r="Z2988" i="1" s="1"/>
  <c r="E2988" i="1" s="1"/>
  <c r="AB2987" i="1"/>
  <c r="AA2987" i="1"/>
  <c r="Y2987" i="1"/>
  <c r="Z2987" i="1" s="1"/>
  <c r="E2987" i="1" s="1"/>
  <c r="P2987" i="1"/>
  <c r="AB2986" i="1"/>
  <c r="AA2986" i="1"/>
  <c r="Y2986" i="1"/>
  <c r="Z2986" i="1" s="1"/>
  <c r="E2986" i="1" s="1"/>
  <c r="P2986" i="1"/>
  <c r="AB2985" i="1"/>
  <c r="AA2985" i="1"/>
  <c r="Y2985" i="1"/>
  <c r="Z2985" i="1" s="1"/>
  <c r="E2985" i="1" s="1"/>
  <c r="P2985" i="1"/>
  <c r="AB2984" i="1"/>
  <c r="AB2983" i="1"/>
  <c r="AA2984" i="1"/>
  <c r="AA2983" i="1"/>
  <c r="P2984" i="1"/>
  <c r="P2983" i="1"/>
  <c r="Y2984" i="1"/>
  <c r="Z2984" i="1" s="1"/>
  <c r="E2984" i="1" s="1"/>
  <c r="Y2983" i="1"/>
  <c r="Z2983" i="1" s="1"/>
  <c r="E2983" i="1" s="1"/>
  <c r="AB2982" i="1"/>
  <c r="AA2982" i="1"/>
  <c r="Y2982" i="1"/>
  <c r="Z2982" i="1" s="1"/>
  <c r="E2982" i="1" s="1"/>
  <c r="P2982" i="1"/>
  <c r="AB2981" i="1"/>
  <c r="AA2981" i="1"/>
  <c r="Y2981" i="1"/>
  <c r="Z2981" i="1" s="1"/>
  <c r="E2981" i="1" s="1"/>
  <c r="P2981" i="1"/>
  <c r="AB2980" i="1"/>
  <c r="AA2980" i="1"/>
  <c r="Y2980" i="1"/>
  <c r="Z2980" i="1" s="1"/>
  <c r="E2980" i="1" s="1"/>
  <c r="P2980" i="1"/>
  <c r="AB2979" i="1"/>
  <c r="AA2979" i="1"/>
  <c r="Y2979" i="1"/>
  <c r="Z2979" i="1" s="1"/>
  <c r="E2979" i="1" s="1"/>
  <c r="P2979" i="1"/>
  <c r="AB2978" i="1"/>
  <c r="AA2978" i="1"/>
  <c r="Y2978" i="1"/>
  <c r="Z2978" i="1" s="1"/>
  <c r="E2978" i="1" s="1"/>
  <c r="P2978" i="1"/>
  <c r="AB2977" i="1"/>
  <c r="AA2977" i="1"/>
  <c r="Y2977" i="1"/>
  <c r="Z2977" i="1" s="1"/>
  <c r="E2977" i="1" s="1"/>
  <c r="S2977" i="1"/>
  <c r="P2977" i="1"/>
  <c r="AB2976" i="1"/>
  <c r="AA2976" i="1"/>
  <c r="Y2976" i="1"/>
  <c r="Z2976" i="1" s="1"/>
  <c r="E2976" i="1" s="1"/>
  <c r="P2976" i="1"/>
  <c r="AB2975" i="1"/>
  <c r="AA2975" i="1"/>
  <c r="Y2975" i="1"/>
  <c r="Z2975" i="1" s="1"/>
  <c r="E2975" i="1" s="1"/>
  <c r="P2975" i="1"/>
  <c r="AB2974" i="1"/>
  <c r="AA2974" i="1"/>
  <c r="Y2974" i="1"/>
  <c r="Z2974" i="1" s="1"/>
  <c r="E2974" i="1" s="1"/>
  <c r="P2974" i="1"/>
  <c r="AB2971" i="1"/>
  <c r="AA2971" i="1"/>
  <c r="Y2971" i="1"/>
  <c r="Z2971" i="1" s="1"/>
  <c r="E2971" i="1" s="1"/>
  <c r="S2971" i="1"/>
  <c r="P2971" i="1"/>
  <c r="AB2970" i="1"/>
  <c r="AA2970" i="1"/>
  <c r="Y2970" i="1"/>
  <c r="Z2970" i="1" s="1"/>
  <c r="E2970" i="1" s="1"/>
  <c r="S2970" i="1"/>
  <c r="P2970" i="1"/>
  <c r="P2973" i="1"/>
  <c r="S2973" i="1"/>
  <c r="AB2973" i="1"/>
  <c r="AA2973" i="1"/>
  <c r="Y2973" i="1"/>
  <c r="Z2973" i="1" s="1"/>
  <c r="E2973" i="1" s="1"/>
  <c r="AB2972" i="1"/>
  <c r="AA2972" i="1"/>
  <c r="Y2972" i="1"/>
  <c r="Z2972" i="1" s="1"/>
  <c r="E2972" i="1" s="1"/>
  <c r="S2972" i="1"/>
  <c r="P2972" i="1"/>
  <c r="AB2969" i="1"/>
  <c r="AA2969" i="1"/>
  <c r="Y2969" i="1"/>
  <c r="Z2969" i="1" s="1"/>
  <c r="E2969" i="1" s="1"/>
  <c r="S2969" i="1"/>
  <c r="P2969" i="1"/>
  <c r="AB2968" i="1"/>
  <c r="AA2968" i="1"/>
  <c r="Y2968" i="1"/>
  <c r="Z2968" i="1" s="1"/>
  <c r="E2968" i="1" s="1"/>
  <c r="S2968" i="1"/>
  <c r="P2967" i="1"/>
  <c r="S2967" i="1"/>
  <c r="AB2967" i="1"/>
  <c r="AA2967" i="1"/>
  <c r="Y2967" i="1"/>
  <c r="Z2967" i="1" s="1"/>
  <c r="E2967" i="1" s="1"/>
  <c r="AB2966" i="1"/>
  <c r="AA2966" i="1"/>
  <c r="Y2966" i="1"/>
  <c r="Z2966" i="1" s="1"/>
  <c r="E2966" i="1" s="1"/>
  <c r="S2966" i="1"/>
  <c r="P2966" i="1"/>
  <c r="AB2965" i="1"/>
  <c r="AA2965" i="1"/>
  <c r="Y2965" i="1"/>
  <c r="Z2965" i="1" s="1"/>
  <c r="E2965" i="1" s="1"/>
  <c r="S2965" i="1"/>
  <c r="P2965" i="1"/>
  <c r="S2964" i="1"/>
  <c r="Y2964" i="1"/>
  <c r="Z2964" i="1" s="1"/>
  <c r="E2964" i="1" s="1"/>
  <c r="Y2963" i="1"/>
  <c r="Z2963" i="1" s="1"/>
  <c r="E2963" i="1" s="1"/>
  <c r="S2963" i="1"/>
  <c r="AB2962" i="1"/>
  <c r="AA2962" i="1"/>
  <c r="Y2962" i="1"/>
  <c r="Z2962" i="1" s="1"/>
  <c r="E2962" i="1" s="1"/>
  <c r="S2962" i="1"/>
  <c r="P2962" i="1"/>
  <c r="S2803" i="1"/>
  <c r="Y2193" i="1"/>
  <c r="Z2193" i="1" s="1"/>
  <c r="E2193" i="1" s="1"/>
  <c r="Y2789" i="1"/>
  <c r="Z2789" i="1" s="1"/>
  <c r="E2789" i="1" s="1"/>
  <c r="Y2788" i="1"/>
  <c r="Z2788" i="1" s="1"/>
  <c r="E2788" i="1" s="1"/>
  <c r="Y2749" i="1"/>
  <c r="Z2749" i="1" s="1"/>
  <c r="E2749" i="1" s="1"/>
  <c r="Y2727" i="1"/>
  <c r="Z2727" i="1" s="1"/>
  <c r="E2727" i="1" s="1"/>
  <c r="Y2711" i="1"/>
  <c r="Z2711" i="1" s="1"/>
  <c r="E2711" i="1" s="1"/>
  <c r="Y2375" i="1"/>
  <c r="Z2375" i="1" s="1"/>
  <c r="E2375" i="1" s="1"/>
  <c r="Y2374" i="1"/>
  <c r="Z2374" i="1" s="1"/>
  <c r="E2374" i="1" s="1"/>
  <c r="Y2373" i="1"/>
  <c r="Z2373" i="1" s="1"/>
  <c r="E2373" i="1" s="1"/>
  <c r="Y2372" i="1"/>
  <c r="Z2372" i="1" s="1"/>
  <c r="E2372" i="1" s="1"/>
  <c r="O2961" i="1"/>
  <c r="AB2961" i="1"/>
  <c r="AA2961" i="1"/>
  <c r="Y2961" i="1"/>
  <c r="S2961" i="1"/>
  <c r="P2961" i="1"/>
  <c r="P2960" i="1"/>
  <c r="P2109" i="1"/>
  <c r="AB2960" i="1"/>
  <c r="AA2960" i="1"/>
  <c r="Y2960" i="1"/>
  <c r="Z2960" i="1" s="1"/>
  <c r="E2960" i="1" s="1"/>
  <c r="S2960" i="1"/>
  <c r="AB2959" i="1"/>
  <c r="AA2959" i="1"/>
  <c r="Y2959" i="1"/>
  <c r="Z2959" i="1" s="1"/>
  <c r="E2959" i="1" s="1"/>
  <c r="S2959" i="1"/>
  <c r="P2959" i="1"/>
  <c r="E2961" i="1"/>
  <c r="AB2958" i="1"/>
  <c r="AA2958" i="1"/>
  <c r="Y2958" i="1"/>
  <c r="Z2958" i="1" s="1"/>
  <c r="E2958" i="1" s="1"/>
  <c r="AB2957" i="1"/>
  <c r="AA2957" i="1"/>
  <c r="Y2957" i="1"/>
  <c r="Z2957" i="1" s="1"/>
  <c r="E2957" i="1" s="1"/>
  <c r="AB2956" i="1"/>
  <c r="AA2956" i="1"/>
  <c r="Y2956" i="1"/>
  <c r="Z2956" i="1" s="1"/>
  <c r="E2956" i="1" s="1"/>
  <c r="AA2955" i="1"/>
  <c r="Y2955" i="1"/>
  <c r="Z2955" i="1" s="1"/>
  <c r="E2955" i="1" s="1"/>
  <c r="P2955" i="1"/>
  <c r="AB2954" i="1"/>
  <c r="AA2954" i="1"/>
  <c r="Y2954" i="1"/>
  <c r="Z2954" i="1" s="1"/>
  <c r="E2954" i="1" s="1"/>
  <c r="P2954" i="1"/>
  <c r="AB2953" i="1"/>
  <c r="AB2153" i="1"/>
  <c r="AA2953" i="1"/>
  <c r="Y2953" i="1"/>
  <c r="Z2953" i="1" s="1"/>
  <c r="E2953" i="1" s="1"/>
  <c r="P2953" i="1"/>
  <c r="AB2952" i="1"/>
  <c r="AA2952" i="1"/>
  <c r="Y2952" i="1"/>
  <c r="Z2952" i="1" s="1"/>
  <c r="E2952" i="1" s="1"/>
  <c r="P2952" i="1"/>
  <c r="AB2951" i="1"/>
  <c r="AA2951" i="1"/>
  <c r="Y2951" i="1"/>
  <c r="Z2951" i="1" s="1"/>
  <c r="E2951" i="1" s="1"/>
  <c r="P2951" i="1"/>
  <c r="AB2950" i="1"/>
  <c r="AA2950" i="1"/>
  <c r="Y2950" i="1"/>
  <c r="Z2950" i="1" s="1"/>
  <c r="E2950" i="1" s="1"/>
  <c r="P2950" i="1"/>
  <c r="AB2949" i="1"/>
  <c r="AA2949" i="1"/>
  <c r="Y2949" i="1"/>
  <c r="Z2949" i="1" s="1"/>
  <c r="E2949" i="1" s="1"/>
  <c r="P2949" i="1"/>
  <c r="AB2948" i="1"/>
  <c r="AA2948" i="1"/>
  <c r="Y2948" i="1"/>
  <c r="Z2948" i="1" s="1"/>
  <c r="E2948" i="1" s="1"/>
  <c r="P2948" i="1"/>
  <c r="AB2947" i="1"/>
  <c r="AA2947" i="1"/>
  <c r="Y2947" i="1"/>
  <c r="Z2947" i="1" s="1"/>
  <c r="E2947" i="1" s="1"/>
  <c r="P2947" i="1"/>
  <c r="AB2946" i="1"/>
  <c r="AA2946" i="1"/>
  <c r="Y2946" i="1"/>
  <c r="Z2946" i="1" s="1"/>
  <c r="E2946" i="1" s="1"/>
  <c r="P2946" i="1"/>
  <c r="AB2945" i="1"/>
  <c r="AA2945" i="1"/>
  <c r="Y2945" i="1"/>
  <c r="Z2945" i="1" s="1"/>
  <c r="E2945" i="1" s="1"/>
  <c r="P2945" i="1"/>
  <c r="AB2944" i="1"/>
  <c r="AA2944" i="1"/>
  <c r="Y2944" i="1"/>
  <c r="Z2944" i="1" s="1"/>
  <c r="E2944" i="1" s="1"/>
  <c r="AB2943" i="1"/>
  <c r="AA2943" i="1"/>
  <c r="Y2943" i="1"/>
  <c r="Z2943" i="1" s="1"/>
  <c r="E2943" i="1" s="1"/>
  <c r="P2943" i="1"/>
  <c r="AB2942" i="1"/>
  <c r="AA2942" i="1"/>
  <c r="Y2942" i="1"/>
  <c r="Z2942" i="1" s="1"/>
  <c r="E2942" i="1" s="1"/>
  <c r="AB2941" i="1"/>
  <c r="AA2941" i="1"/>
  <c r="Y2941" i="1"/>
  <c r="Z2941" i="1" s="1"/>
  <c r="E2941" i="1" s="1"/>
  <c r="S2941" i="1"/>
  <c r="P2941" i="1"/>
  <c r="AB2940" i="1"/>
  <c r="AA2940" i="1"/>
  <c r="Y2940" i="1"/>
  <c r="Z2940" i="1" s="1"/>
  <c r="E2940" i="1" s="1"/>
  <c r="P2940" i="1"/>
  <c r="AB2939" i="1"/>
  <c r="AA2939" i="1"/>
  <c r="Y2939" i="1"/>
  <c r="Z2939" i="1" s="1"/>
  <c r="E2939" i="1" s="1"/>
  <c r="AB2937" i="1"/>
  <c r="AA2937" i="1"/>
  <c r="P2937" i="1"/>
  <c r="AB2938" i="1"/>
  <c r="AA2938" i="1"/>
  <c r="Y2938" i="1"/>
  <c r="Z2938" i="1" s="1"/>
  <c r="E2938" i="1" s="1"/>
  <c r="Y2937" i="1"/>
  <c r="Z2937" i="1" s="1"/>
  <c r="E2937" i="1" s="1"/>
  <c r="P2938" i="1"/>
  <c r="AB2936" i="1"/>
  <c r="AA2936" i="1"/>
  <c r="Y2936" i="1"/>
  <c r="Z2936" i="1" s="1"/>
  <c r="E2936" i="1" s="1"/>
  <c r="P2936" i="1"/>
  <c r="AB2935" i="1"/>
  <c r="AA2935" i="1"/>
  <c r="Y2935" i="1"/>
  <c r="Z2935" i="1" s="1"/>
  <c r="E2935" i="1" s="1"/>
  <c r="AB2934" i="1"/>
  <c r="AA2934" i="1"/>
  <c r="Y2934" i="1"/>
  <c r="Z2934" i="1" s="1"/>
  <c r="E2934" i="1" s="1"/>
  <c r="AB2933" i="1"/>
  <c r="AA2933" i="1"/>
  <c r="Y2933" i="1"/>
  <c r="Z2933" i="1" s="1"/>
  <c r="E2933" i="1" s="1"/>
  <c r="P2935" i="1"/>
  <c r="P2934" i="1"/>
  <c r="P2933" i="1"/>
  <c r="AB2932" i="1"/>
  <c r="AA2932" i="1"/>
  <c r="Y2932" i="1"/>
  <c r="Z2932" i="1" s="1"/>
  <c r="E2932" i="1" s="1"/>
  <c r="P2932" i="1"/>
  <c r="AB2931" i="1"/>
  <c r="AA2931" i="1"/>
  <c r="Y2931" i="1"/>
  <c r="Z2931" i="1" s="1"/>
  <c r="E2931" i="1" s="1"/>
  <c r="P2931" i="1"/>
  <c r="AB2930" i="1"/>
  <c r="AA2930" i="1"/>
  <c r="Y2930" i="1"/>
  <c r="Z2930" i="1" s="1"/>
  <c r="E2930" i="1" s="1"/>
  <c r="P2930" i="1"/>
  <c r="AB2929" i="1"/>
  <c r="AA2929" i="1"/>
  <c r="Y2929" i="1"/>
  <c r="Z2929" i="1" s="1"/>
  <c r="E2929" i="1" s="1"/>
  <c r="P2929" i="1"/>
  <c r="Y2928" i="1"/>
  <c r="Z2928" i="1" s="1"/>
  <c r="E2928" i="1" s="1"/>
  <c r="Y2927" i="1"/>
  <c r="Z2927" i="1" s="1"/>
  <c r="E2927" i="1" s="1"/>
  <c r="Y2926" i="1"/>
  <c r="Z2926" i="1" s="1"/>
  <c r="E2926" i="1" s="1"/>
  <c r="Y2925" i="1"/>
  <c r="Z2925" i="1" s="1"/>
  <c r="E2925" i="1" s="1"/>
  <c r="AB2924" i="1"/>
  <c r="AA2924" i="1"/>
  <c r="Y2924" i="1"/>
  <c r="Z2924" i="1" s="1"/>
  <c r="E2924" i="1" s="1"/>
  <c r="P2924" i="1"/>
  <c r="AB2923" i="1"/>
  <c r="AA2923" i="1"/>
  <c r="Y2923" i="1"/>
  <c r="Z2923" i="1" s="1"/>
  <c r="E2923" i="1" s="1"/>
  <c r="P2923" i="1"/>
  <c r="AB2922" i="1"/>
  <c r="AA2922" i="1"/>
  <c r="Y2922" i="1"/>
  <c r="Z2922" i="1" s="1"/>
  <c r="E2922" i="1" s="1"/>
  <c r="P2922" i="1"/>
  <c r="AB2921" i="1"/>
  <c r="AA2921" i="1"/>
  <c r="Y2921" i="1"/>
  <c r="Z2921" i="1" s="1"/>
  <c r="E2921" i="1" s="1"/>
  <c r="P2921" i="1"/>
  <c r="AB2920" i="1"/>
  <c r="AA2920" i="1"/>
  <c r="Y2920" i="1"/>
  <c r="Z2920" i="1" s="1"/>
  <c r="E2920" i="1" s="1"/>
  <c r="AB2919" i="1"/>
  <c r="AA2919" i="1"/>
  <c r="Y2919" i="1"/>
  <c r="Z2919" i="1" s="1"/>
  <c r="E2919" i="1" s="1"/>
  <c r="Y2904" i="1"/>
  <c r="Z2904" i="1" s="1"/>
  <c r="P2920" i="1"/>
  <c r="P2919" i="1"/>
  <c r="D67" i="18"/>
  <c r="D165" i="17"/>
  <c r="D228" i="17" s="1"/>
  <c r="C165" i="17"/>
  <c r="C228" i="17" s="1"/>
  <c r="C281" i="17" s="1"/>
  <c r="C535" i="17" s="1"/>
  <c r="Y2246" i="1"/>
  <c r="Z2246" i="1" s="1"/>
  <c r="E2246" i="1" s="1"/>
  <c r="Y2206" i="1"/>
  <c r="Z2206" i="1" s="1"/>
  <c r="E2206" i="1" s="1"/>
  <c r="Y2739" i="1"/>
  <c r="Z2739" i="1" s="1"/>
  <c r="E2739" i="1" s="1"/>
  <c r="AB2927" i="1"/>
  <c r="AB2928" i="1"/>
  <c r="AA2927" i="1"/>
  <c r="AA2928" i="1"/>
  <c r="AB2926" i="1"/>
  <c r="AA2926" i="1"/>
  <c r="Y2738" i="1"/>
  <c r="Z2738" i="1" s="1"/>
  <c r="E2738" i="1" s="1"/>
  <c r="Y2737" i="1"/>
  <c r="Z2737" i="1" s="1"/>
  <c r="E2737" i="1" s="1"/>
  <c r="Y2736" i="1"/>
  <c r="Z2736" i="1" s="1"/>
  <c r="E2736" i="1" s="1"/>
  <c r="Y2735" i="1"/>
  <c r="Z2735" i="1" s="1"/>
  <c r="E2735" i="1" s="1"/>
  <c r="Y2726" i="1"/>
  <c r="Z2726" i="1" s="1"/>
  <c r="E2726" i="1" s="1"/>
  <c r="AB2925" i="1"/>
  <c r="AA2925" i="1"/>
  <c r="AB2917" i="1"/>
  <c r="AA2917" i="1"/>
  <c r="Y2917" i="1"/>
  <c r="Z2917" i="1" s="1"/>
  <c r="E2917" i="1" s="1"/>
  <c r="P2917" i="1"/>
  <c r="AB2915" i="1"/>
  <c r="AA2915" i="1"/>
  <c r="Y2915" i="1"/>
  <c r="Z2915" i="1" s="1"/>
  <c r="E2915" i="1" s="1"/>
  <c r="P2915" i="1"/>
  <c r="S2254" i="1"/>
  <c r="P2254" i="1"/>
  <c r="AB2916" i="1"/>
  <c r="AA2916" i="1"/>
  <c r="Y2916" i="1"/>
  <c r="Z2916" i="1" s="1"/>
  <c r="E2916" i="1" s="1"/>
  <c r="P2916" i="1"/>
  <c r="P2843" i="1"/>
  <c r="AB2843" i="1"/>
  <c r="AA2843" i="1"/>
  <c r="Y2843" i="1"/>
  <c r="Z2843" i="1" s="1"/>
  <c r="E2843" i="1" s="1"/>
  <c r="P2918" i="1"/>
  <c r="AB2914" i="1"/>
  <c r="AA2914" i="1"/>
  <c r="Y2914" i="1"/>
  <c r="Z2914" i="1" s="1"/>
  <c r="E2914" i="1" s="1"/>
  <c r="AB2918" i="1"/>
  <c r="AA2918" i="1"/>
  <c r="Y2918" i="1"/>
  <c r="Z2918" i="1" s="1"/>
  <c r="E2918" i="1" s="1"/>
  <c r="S2914" i="1"/>
  <c r="P2914" i="1"/>
  <c r="AB2913" i="1"/>
  <c r="AA2913" i="1"/>
  <c r="Y2913" i="1"/>
  <c r="Z2913" i="1" s="1"/>
  <c r="E2913" i="1" s="1"/>
  <c r="P2913" i="1"/>
  <c r="AB2912" i="1"/>
  <c r="AA2912" i="1"/>
  <c r="Y2912" i="1"/>
  <c r="Z2912" i="1" s="1"/>
  <c r="E2912" i="1" s="1"/>
  <c r="P2912" i="1"/>
  <c r="P2911" i="1"/>
  <c r="AB2911" i="1"/>
  <c r="AA2911" i="1"/>
  <c r="Y2911" i="1"/>
  <c r="Z2911" i="1" s="1"/>
  <c r="E2911" i="1" s="1"/>
  <c r="AB2910" i="1"/>
  <c r="AA2910" i="1"/>
  <c r="Y2910" i="1"/>
  <c r="Z2910" i="1" s="1"/>
  <c r="E2910" i="1" s="1"/>
  <c r="S2910" i="1"/>
  <c r="AB2907" i="1"/>
  <c r="AA2907" i="1"/>
  <c r="Y2907" i="1"/>
  <c r="Z2907" i="1" s="1"/>
  <c r="E2907" i="1" s="1"/>
  <c r="S2907" i="1"/>
  <c r="AB2909" i="1"/>
  <c r="AA2909" i="1"/>
  <c r="Y2909" i="1"/>
  <c r="Z2909" i="1" s="1"/>
  <c r="E2909" i="1" s="1"/>
  <c r="AB2908" i="1"/>
  <c r="AA2908" i="1"/>
  <c r="Y2908" i="1"/>
  <c r="Z2908" i="1" s="1"/>
  <c r="E2908" i="1" s="1"/>
  <c r="P2907" i="1"/>
  <c r="AB2906" i="1"/>
  <c r="AA2906" i="1"/>
  <c r="Y2906" i="1"/>
  <c r="Z2906" i="1" s="1"/>
  <c r="E2906" i="1" s="1"/>
  <c r="S2906" i="1"/>
  <c r="P2906" i="1"/>
  <c r="AB2905" i="1"/>
  <c r="AA2905" i="1"/>
  <c r="Y2905" i="1"/>
  <c r="Z2905" i="1" s="1"/>
  <c r="E2905" i="1" s="1"/>
  <c r="S2905" i="1"/>
  <c r="P2905" i="1"/>
  <c r="S2251" i="1"/>
  <c r="P2251" i="1"/>
  <c r="AB2904" i="1"/>
  <c r="AA2904" i="1"/>
  <c r="AB2845" i="1"/>
  <c r="AA2845" i="1"/>
  <c r="Y2845" i="1"/>
  <c r="Z2845" i="1" s="1"/>
  <c r="E2845" i="1" s="1"/>
  <c r="P2845" i="1"/>
  <c r="P2844" i="1"/>
  <c r="Y2844" i="1"/>
  <c r="Z2844" i="1" s="1"/>
  <c r="E2844" i="1" s="1"/>
  <c r="AA2844" i="1"/>
  <c r="AB2844" i="1"/>
  <c r="AB1937" i="1"/>
  <c r="P2842" i="1"/>
  <c r="Y2842" i="1"/>
  <c r="Z2842" i="1" s="1"/>
  <c r="E2842" i="1" s="1"/>
  <c r="AB2842" i="1"/>
  <c r="AA2842" i="1"/>
  <c r="S2720" i="1"/>
  <c r="AB2903" i="1"/>
  <c r="AA2903" i="1"/>
  <c r="Y2903" i="1"/>
  <c r="Z2903" i="1" s="1"/>
  <c r="E2903" i="1" s="1"/>
  <c r="AB2902" i="1"/>
  <c r="AA2902" i="1"/>
  <c r="Y2902" i="1"/>
  <c r="Z2902" i="1" s="1"/>
  <c r="E2902" i="1" s="1"/>
  <c r="AB2901" i="1"/>
  <c r="AA2901" i="1"/>
  <c r="Y2901" i="1"/>
  <c r="Z2901" i="1" s="1"/>
  <c r="E2901" i="1" s="1"/>
  <c r="AB2900" i="1"/>
  <c r="AA2900" i="1"/>
  <c r="Y2900" i="1"/>
  <c r="Z2900" i="1" s="1"/>
  <c r="E2900" i="1" s="1"/>
  <c r="P2903" i="1"/>
  <c r="P2902" i="1"/>
  <c r="S2903" i="1"/>
  <c r="S2902" i="1"/>
  <c r="S2901" i="1"/>
  <c r="S2900" i="1"/>
  <c r="AB2896" i="1"/>
  <c r="AB2897" i="1"/>
  <c r="AB2898" i="1"/>
  <c r="AB2899" i="1"/>
  <c r="AA2896" i="1"/>
  <c r="AA2897" i="1"/>
  <c r="AA2898" i="1"/>
  <c r="AA2899" i="1"/>
  <c r="Z2896" i="1"/>
  <c r="E2896" i="1" s="1"/>
  <c r="Z2897" i="1"/>
  <c r="E2897" i="1" s="1"/>
  <c r="Z2898" i="1"/>
  <c r="E2898" i="1" s="1"/>
  <c r="Z2899" i="1"/>
  <c r="E2899" i="1" s="1"/>
  <c r="AB2895" i="1"/>
  <c r="AA2895" i="1"/>
  <c r="Z2895" i="1"/>
  <c r="E2895" i="1" s="1"/>
  <c r="S2893" i="1"/>
  <c r="P2893" i="1"/>
  <c r="AB2893" i="1"/>
  <c r="AA2893" i="1"/>
  <c r="Y2893" i="1"/>
  <c r="Z2893" i="1" s="1"/>
  <c r="E2893" i="1" s="1"/>
  <c r="P2892" i="1"/>
  <c r="S2892" i="1"/>
  <c r="AB2892" i="1"/>
  <c r="AA2892" i="1"/>
  <c r="Y2892" i="1"/>
  <c r="Z2892" i="1" s="1"/>
  <c r="E2892" i="1" s="1"/>
  <c r="P2891" i="1"/>
  <c r="S2891" i="1"/>
  <c r="AB2894" i="1"/>
  <c r="AA2894" i="1"/>
  <c r="Z2894" i="1"/>
  <c r="E2894" i="1" s="1"/>
  <c r="AB2891" i="1"/>
  <c r="AA2891" i="1"/>
  <c r="Y2891" i="1"/>
  <c r="Z2891" i="1" s="1"/>
  <c r="E2891" i="1" s="1"/>
  <c r="S2890" i="1"/>
  <c r="P2890" i="1"/>
  <c r="AB2890" i="1"/>
  <c r="AA2890" i="1"/>
  <c r="Y2890" i="1"/>
  <c r="Z2890" i="1" s="1"/>
  <c r="E2890" i="1" s="1"/>
  <c r="AB2889" i="1"/>
  <c r="AA2889" i="1"/>
  <c r="Y2889" i="1"/>
  <c r="Z2889" i="1" s="1"/>
  <c r="E2889" i="1" s="1"/>
  <c r="AB2888" i="1"/>
  <c r="AA2888" i="1"/>
  <c r="Y2888" i="1"/>
  <c r="Z2888" i="1" s="1"/>
  <c r="E2888" i="1" s="1"/>
  <c r="S2889" i="1"/>
  <c r="S2888" i="1"/>
  <c r="P2889" i="1"/>
  <c r="P2888" i="1"/>
  <c r="AB2887" i="1"/>
  <c r="AA2887" i="1"/>
  <c r="Y2887" i="1"/>
  <c r="Z2887" i="1" s="1"/>
  <c r="E2887" i="1" s="1"/>
  <c r="S2887" i="1"/>
  <c r="AB2886" i="1"/>
  <c r="AA2886" i="1"/>
  <c r="Y2886" i="1"/>
  <c r="Z2886" i="1" s="1"/>
  <c r="E2886" i="1" s="1"/>
  <c r="S2886" i="1"/>
  <c r="O2886" i="1"/>
  <c r="P2841" i="1"/>
  <c r="P2840" i="1"/>
  <c r="Y2841" i="1"/>
  <c r="Z2841" i="1" s="1"/>
  <c r="E2841" i="1" s="1"/>
  <c r="AA2841" i="1"/>
  <c r="AB2841" i="1"/>
  <c r="AB2840" i="1"/>
  <c r="AA2840" i="1"/>
  <c r="Y2840" i="1"/>
  <c r="Z2840" i="1" s="1"/>
  <c r="E2840" i="1" s="1"/>
  <c r="S2885" i="1"/>
  <c r="P2885" i="1"/>
  <c r="AB2885" i="1"/>
  <c r="AA2885" i="1"/>
  <c r="Y2885" i="1"/>
  <c r="Z2885" i="1" s="1"/>
  <c r="E2885" i="1" s="1"/>
  <c r="S2884" i="1"/>
  <c r="P2884" i="1"/>
  <c r="AB2884" i="1"/>
  <c r="AA2884" i="1"/>
  <c r="Y2884" i="1"/>
  <c r="Z2884" i="1" s="1"/>
  <c r="E2884" i="1" s="1"/>
  <c r="S2883" i="1"/>
  <c r="AB2883" i="1"/>
  <c r="AA2883" i="1"/>
  <c r="Y2883" i="1"/>
  <c r="Z2883" i="1" s="1"/>
  <c r="E2883" i="1" s="1"/>
  <c r="S2882" i="1"/>
  <c r="P2882" i="1"/>
  <c r="AB2882" i="1"/>
  <c r="AA2882" i="1"/>
  <c r="Y2882" i="1"/>
  <c r="Z2882" i="1" s="1"/>
  <c r="E2882" i="1" s="1"/>
  <c r="S2881" i="1"/>
  <c r="S2880" i="1"/>
  <c r="S2879" i="1"/>
  <c r="P2881" i="1"/>
  <c r="AB2881" i="1"/>
  <c r="AA2881" i="1"/>
  <c r="Y2881" i="1"/>
  <c r="Z2881" i="1" s="1"/>
  <c r="E2881" i="1" s="1"/>
  <c r="AB2880" i="1"/>
  <c r="AA2880" i="1"/>
  <c r="Y2880" i="1"/>
  <c r="Z2880" i="1" s="1"/>
  <c r="E2880" i="1" s="1"/>
  <c r="AB2879" i="1"/>
  <c r="AA2879" i="1"/>
  <c r="Y2879" i="1"/>
  <c r="Z2879" i="1" s="1"/>
  <c r="E2879" i="1" s="1"/>
  <c r="S2878" i="1"/>
  <c r="P2878" i="1"/>
  <c r="AB2878" i="1"/>
  <c r="AA2878" i="1"/>
  <c r="Y2878" i="1"/>
  <c r="Z2878" i="1" s="1"/>
  <c r="E2878" i="1" s="1"/>
  <c r="S2877" i="1"/>
  <c r="P2877" i="1"/>
  <c r="AB2877" i="1"/>
  <c r="AA2877" i="1"/>
  <c r="Y2877" i="1"/>
  <c r="Z2877" i="1" s="1"/>
  <c r="E2877" i="1" s="1"/>
  <c r="S2876" i="1"/>
  <c r="S2875" i="1"/>
  <c r="P2876" i="1"/>
  <c r="P2875" i="1"/>
  <c r="AB2876" i="1"/>
  <c r="AA2876" i="1"/>
  <c r="Y2876" i="1"/>
  <c r="Z2876" i="1" s="1"/>
  <c r="E2876" i="1" s="1"/>
  <c r="AB2875" i="1"/>
  <c r="AA2875" i="1"/>
  <c r="Y2875" i="1"/>
  <c r="Z2875" i="1" s="1"/>
  <c r="E2875" i="1" s="1"/>
  <c r="AB2839" i="1"/>
  <c r="AA2839" i="1"/>
  <c r="Y2839" i="1"/>
  <c r="Z2839" i="1" s="1"/>
  <c r="E2839" i="1" s="1"/>
  <c r="P2839" i="1"/>
  <c r="AB2849" i="1"/>
  <c r="AB2848" i="1"/>
  <c r="AB2847" i="1"/>
  <c r="AB2846" i="1"/>
  <c r="AA2849" i="1"/>
  <c r="AA2848" i="1"/>
  <c r="AA2847" i="1"/>
  <c r="AA2846" i="1"/>
  <c r="Y2849" i="1"/>
  <c r="Z2849" i="1" s="1"/>
  <c r="E2849" i="1" s="1"/>
  <c r="Y2848" i="1"/>
  <c r="Z2848" i="1" s="1"/>
  <c r="E2848" i="1" s="1"/>
  <c r="Y2847" i="1"/>
  <c r="Z2847" i="1" s="1"/>
  <c r="E2847" i="1" s="1"/>
  <c r="Y2846" i="1"/>
  <c r="Z2846" i="1" s="1"/>
  <c r="E2846" i="1" s="1"/>
  <c r="AB2838" i="1"/>
  <c r="AB2837" i="1"/>
  <c r="AA2838" i="1"/>
  <c r="AA2837" i="1"/>
  <c r="Y2838" i="1"/>
  <c r="Z2838" i="1" s="1"/>
  <c r="E2838" i="1" s="1"/>
  <c r="Y2837" i="1"/>
  <c r="Z2837" i="1" s="1"/>
  <c r="E2837" i="1" s="1"/>
  <c r="P2838" i="1"/>
  <c r="P2837" i="1"/>
  <c r="AB2874" i="1"/>
  <c r="AA2874" i="1"/>
  <c r="Y2874" i="1"/>
  <c r="Z2874" i="1" s="1"/>
  <c r="E2874" i="1" s="1"/>
  <c r="AA2864" i="1"/>
  <c r="Y2864" i="1"/>
  <c r="Z2864" i="1" s="1"/>
  <c r="E2864" i="1" s="1"/>
  <c r="P2864" i="1"/>
  <c r="AB2853" i="1"/>
  <c r="AA2853" i="1"/>
  <c r="Y2853" i="1"/>
  <c r="Z2853" i="1" s="1"/>
  <c r="E2853" i="1" s="1"/>
  <c r="P2853" i="1"/>
  <c r="P2868" i="1"/>
  <c r="AB2870" i="1"/>
  <c r="AB2869" i="1"/>
  <c r="AB2868" i="1"/>
  <c r="AA2870" i="1"/>
  <c r="AA2869" i="1"/>
  <c r="AA2868" i="1"/>
  <c r="Y2870" i="1"/>
  <c r="Z2870" i="1" s="1"/>
  <c r="E2870" i="1" s="1"/>
  <c r="Y2869" i="1"/>
  <c r="Z2869" i="1" s="1"/>
  <c r="E2869" i="1" s="1"/>
  <c r="Y2868" i="1"/>
  <c r="Z2868" i="1" s="1"/>
  <c r="E2868" i="1" s="1"/>
  <c r="P2870" i="1"/>
  <c r="P2869" i="1"/>
  <c r="AA2871" i="1"/>
  <c r="Y2871" i="1"/>
  <c r="Z2871" i="1" s="1"/>
  <c r="E2871" i="1" s="1"/>
  <c r="P2871" i="1"/>
  <c r="AB2867" i="1"/>
  <c r="AA2867" i="1"/>
  <c r="Y2867" i="1"/>
  <c r="Z2867" i="1" s="1"/>
  <c r="E2867" i="1" s="1"/>
  <c r="P2867" i="1"/>
  <c r="P2872" i="1"/>
  <c r="AB2873" i="1"/>
  <c r="AB2872" i="1"/>
  <c r="AB1490" i="1"/>
  <c r="AA2873" i="1"/>
  <c r="AA2872" i="1"/>
  <c r="Y2873" i="1"/>
  <c r="Z2873" i="1" s="1"/>
  <c r="E2873" i="1" s="1"/>
  <c r="Y2872" i="1"/>
  <c r="Z2872" i="1" s="1"/>
  <c r="E2872" i="1" s="1"/>
  <c r="P2873" i="1"/>
  <c r="AB2866" i="1"/>
  <c r="AB2865" i="1"/>
  <c r="AA2866" i="1"/>
  <c r="AA2865" i="1"/>
  <c r="Y2866" i="1"/>
  <c r="Z2866" i="1" s="1"/>
  <c r="E2866" i="1" s="1"/>
  <c r="Y2865" i="1"/>
  <c r="Z2865" i="1" s="1"/>
  <c r="E2865" i="1" s="1"/>
  <c r="P2866" i="1"/>
  <c r="P2865" i="1"/>
  <c r="P2861" i="1"/>
  <c r="P2863" i="1"/>
  <c r="AA2863" i="1"/>
  <c r="AA2862" i="1"/>
  <c r="AA2861" i="1"/>
  <c r="Y2863" i="1"/>
  <c r="Z2863" i="1" s="1"/>
  <c r="E2863" i="1" s="1"/>
  <c r="Y2862" i="1"/>
  <c r="Z2862" i="1" s="1"/>
  <c r="E2862" i="1" s="1"/>
  <c r="Y2861" i="1"/>
  <c r="Z2861" i="1" s="1"/>
  <c r="E2861" i="1" s="1"/>
  <c r="P2862" i="1"/>
  <c r="AA2860" i="1"/>
  <c r="AA2859" i="1"/>
  <c r="Y2860" i="1"/>
  <c r="Z2860" i="1" s="1"/>
  <c r="E2860" i="1" s="1"/>
  <c r="Y2859" i="1"/>
  <c r="Z2859" i="1" s="1"/>
  <c r="E2859" i="1" s="1"/>
  <c r="AB2858" i="1"/>
  <c r="AA2858" i="1"/>
  <c r="Y2858" i="1"/>
  <c r="Z2858" i="1" s="1"/>
  <c r="E2858" i="1" s="1"/>
  <c r="Y2190" i="1"/>
  <c r="Z2190" i="1" s="1"/>
  <c r="E2190" i="1" s="1"/>
  <c r="P2858" i="1"/>
  <c r="P2857" i="1"/>
  <c r="P2855" i="1"/>
  <c r="AB2857" i="1"/>
  <c r="AB2856" i="1"/>
  <c r="AB2855" i="1"/>
  <c r="AB2854" i="1"/>
  <c r="AA2857" i="1"/>
  <c r="AA2856" i="1"/>
  <c r="AA2855" i="1"/>
  <c r="AA2854" i="1"/>
  <c r="Y2857" i="1"/>
  <c r="Z2857" i="1" s="1"/>
  <c r="E2857" i="1" s="1"/>
  <c r="Y2856" i="1"/>
  <c r="Z2856" i="1" s="1"/>
  <c r="E2856" i="1" s="1"/>
  <c r="Y2855" i="1"/>
  <c r="Z2855" i="1" s="1"/>
  <c r="E2855" i="1" s="1"/>
  <c r="Y2854" i="1"/>
  <c r="Z2854" i="1" s="1"/>
  <c r="E2854" i="1" s="1"/>
  <c r="P2854" i="1"/>
  <c r="P2852" i="1"/>
  <c r="P2851" i="1"/>
  <c r="AB2852" i="1"/>
  <c r="AB2851" i="1"/>
  <c r="AB2850" i="1"/>
  <c r="AA2852" i="1"/>
  <c r="AA2851" i="1"/>
  <c r="AA2850" i="1"/>
  <c r="Y2852" i="1"/>
  <c r="Z2852" i="1" s="1"/>
  <c r="E2852" i="1" s="1"/>
  <c r="Y2851" i="1"/>
  <c r="Z2851" i="1" s="1"/>
  <c r="E2851" i="1" s="1"/>
  <c r="Y2850" i="1"/>
  <c r="Z2850" i="1" s="1"/>
  <c r="E2850" i="1" s="1"/>
  <c r="P2850" i="1"/>
  <c r="AB2836" i="1"/>
  <c r="AA2836" i="1"/>
  <c r="Y2836" i="1"/>
  <c r="Z2836" i="1" s="1"/>
  <c r="E2836" i="1" s="1"/>
  <c r="S2836" i="1"/>
  <c r="P2836" i="1"/>
  <c r="AB2831" i="1"/>
  <c r="AB2832" i="1"/>
  <c r="AB2833" i="1"/>
  <c r="AB2834" i="1"/>
  <c r="AA2828" i="1"/>
  <c r="AA2829" i="1"/>
  <c r="AA2830" i="1"/>
  <c r="AA2831" i="1"/>
  <c r="AA2832" i="1"/>
  <c r="AA2833" i="1"/>
  <c r="AA2834" i="1"/>
  <c r="Z2831" i="1"/>
  <c r="E2831" i="1" s="1"/>
  <c r="Z2833" i="1"/>
  <c r="E2833" i="1" s="1"/>
  <c r="P2834" i="1"/>
  <c r="P2833" i="1"/>
  <c r="P2832" i="1"/>
  <c r="P2831" i="1"/>
  <c r="P2830" i="1"/>
  <c r="AB2835" i="1"/>
  <c r="AA2835" i="1"/>
  <c r="Y2835" i="1"/>
  <c r="Z2835" i="1" s="1"/>
  <c r="E2835" i="1" s="1"/>
  <c r="Y2834" i="1"/>
  <c r="Z2834" i="1" s="1"/>
  <c r="E2834" i="1" s="1"/>
  <c r="Y2832" i="1"/>
  <c r="Z2832" i="1" s="1"/>
  <c r="E2832" i="1" s="1"/>
  <c r="AB2830" i="1"/>
  <c r="Y2830" i="1"/>
  <c r="Z2830" i="1" s="1"/>
  <c r="E2830" i="1" s="1"/>
  <c r="AB2829" i="1"/>
  <c r="Y2829" i="1"/>
  <c r="Z2829" i="1" s="1"/>
  <c r="E2829" i="1" s="1"/>
  <c r="AB2828" i="1"/>
  <c r="Y2828" i="1"/>
  <c r="Z2828" i="1" s="1"/>
  <c r="E2828" i="1" s="1"/>
  <c r="AB2827" i="1"/>
  <c r="AA2827" i="1"/>
  <c r="Y2827" i="1"/>
  <c r="Z2827" i="1" s="1"/>
  <c r="E2827" i="1" s="1"/>
  <c r="AB2826" i="1"/>
  <c r="AA2826" i="1"/>
  <c r="Y2826" i="1"/>
  <c r="Z2826" i="1" s="1"/>
  <c r="E2826" i="1" s="1"/>
  <c r="AB2825" i="1"/>
  <c r="AA2825" i="1"/>
  <c r="Y2825" i="1"/>
  <c r="Z2825" i="1" s="1"/>
  <c r="E2825" i="1" s="1"/>
  <c r="AB2824" i="1"/>
  <c r="AA2824" i="1"/>
  <c r="Y2824" i="1"/>
  <c r="Z2824" i="1" s="1"/>
  <c r="E2824" i="1" s="1"/>
  <c r="AB2823" i="1"/>
  <c r="AA2823" i="1"/>
  <c r="Y2823" i="1"/>
  <c r="Z2823" i="1" s="1"/>
  <c r="E2823" i="1" s="1"/>
  <c r="AB2822" i="1"/>
  <c r="AA2822" i="1"/>
  <c r="Y2822" i="1"/>
  <c r="Z2822" i="1" s="1"/>
  <c r="E2822" i="1" s="1"/>
  <c r="AB2821" i="1"/>
  <c r="AA2821" i="1"/>
  <c r="Y2821" i="1"/>
  <c r="Z2821" i="1" s="1"/>
  <c r="E2821" i="1" s="1"/>
  <c r="AB2820" i="1"/>
  <c r="AA2820" i="1"/>
  <c r="Y2820" i="1"/>
  <c r="Z2820" i="1" s="1"/>
  <c r="E2820" i="1" s="1"/>
  <c r="AB2819" i="1"/>
  <c r="AA2819" i="1"/>
  <c r="Y2819" i="1"/>
  <c r="Z2819" i="1" s="1"/>
  <c r="E2819" i="1" s="1"/>
  <c r="AB2818" i="1"/>
  <c r="AA2818" i="1"/>
  <c r="Y2818" i="1"/>
  <c r="Z2818" i="1" s="1"/>
  <c r="E2818" i="1" s="1"/>
  <c r="AB2817" i="1"/>
  <c r="AA2817" i="1"/>
  <c r="Y2817" i="1"/>
  <c r="Z2817" i="1" s="1"/>
  <c r="E2817" i="1" s="1"/>
  <c r="AB2816" i="1"/>
  <c r="AA2816" i="1"/>
  <c r="Y2816" i="1"/>
  <c r="Z2816" i="1" s="1"/>
  <c r="E2816" i="1" s="1"/>
  <c r="AB2815" i="1"/>
  <c r="AA2815" i="1"/>
  <c r="Y2815" i="1"/>
  <c r="Z2815" i="1" s="1"/>
  <c r="E2815" i="1" s="1"/>
  <c r="AB2814" i="1"/>
  <c r="AA2814" i="1"/>
  <c r="Y2814" i="1"/>
  <c r="Z2814" i="1" s="1"/>
  <c r="E2814" i="1" s="1"/>
  <c r="AB2813" i="1"/>
  <c r="AA2813" i="1"/>
  <c r="Y2813" i="1"/>
  <c r="Z2813" i="1" s="1"/>
  <c r="E2813" i="1" s="1"/>
  <c r="AB2812" i="1"/>
  <c r="AA2812" i="1"/>
  <c r="Y2812" i="1"/>
  <c r="Z2812" i="1" s="1"/>
  <c r="E2812" i="1" s="1"/>
  <c r="AB2811" i="1"/>
  <c r="AA2811" i="1"/>
  <c r="Y2811" i="1"/>
  <c r="Z2811" i="1" s="1"/>
  <c r="E2811" i="1" s="1"/>
  <c r="AB2810" i="1"/>
  <c r="AA2810" i="1"/>
  <c r="Y2810" i="1"/>
  <c r="Z2810" i="1" s="1"/>
  <c r="E2810" i="1" s="1"/>
  <c r="AB2809" i="1"/>
  <c r="AA2809" i="1"/>
  <c r="Y2809" i="1"/>
  <c r="Z2809" i="1" s="1"/>
  <c r="E2809" i="1" s="1"/>
  <c r="AB2808" i="1"/>
  <c r="AA2808" i="1"/>
  <c r="Y2808" i="1"/>
  <c r="Z2808" i="1" s="1"/>
  <c r="E2808" i="1" s="1"/>
  <c r="AB2807" i="1"/>
  <c r="AA2807" i="1"/>
  <c r="Y2807" i="1"/>
  <c r="Z2807" i="1" s="1"/>
  <c r="E2807" i="1" s="1"/>
  <c r="AB2806" i="1"/>
  <c r="AA2806" i="1"/>
  <c r="Y2806" i="1"/>
  <c r="Z2806" i="1" s="1"/>
  <c r="E2806" i="1" s="1"/>
  <c r="P2111" i="1"/>
  <c r="AB2805" i="1"/>
  <c r="AA2805" i="1"/>
  <c r="Y2805" i="1"/>
  <c r="Z2805" i="1" s="1"/>
  <c r="E2805" i="1" s="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1028" i="1"/>
  <c r="E2377" i="1"/>
  <c r="E2378" i="1"/>
  <c r="E2379" i="1"/>
  <c r="E2380" i="1"/>
  <c r="E2381" i="1"/>
  <c r="E2382" i="1"/>
  <c r="E2383" i="1"/>
  <c r="E2384" i="1"/>
  <c r="E2385" i="1"/>
  <c r="E2386" i="1"/>
  <c r="E2387" i="1"/>
  <c r="E2388" i="1"/>
  <c r="E2389" i="1"/>
  <c r="E2390" i="1"/>
  <c r="E2391" i="1"/>
  <c r="E2392" i="1"/>
  <c r="E2393" i="1"/>
  <c r="E2394" i="1"/>
  <c r="E2395" i="1"/>
  <c r="E2396" i="1"/>
  <c r="E2397" i="1"/>
  <c r="E2398" i="1"/>
  <c r="E2" i="1"/>
  <c r="AB2804" i="1"/>
  <c r="AA2804" i="1"/>
  <c r="Y2804" i="1"/>
  <c r="Z2804" i="1" s="1"/>
  <c r="E2804" i="1" s="1"/>
  <c r="S2804" i="1"/>
  <c r="S2113" i="1"/>
  <c r="P2804" i="1"/>
  <c r="AA2803" i="1"/>
  <c r="Y2803" i="1"/>
  <c r="Z2803" i="1" s="1"/>
  <c r="E2803" i="1" s="1"/>
  <c r="P2803" i="1"/>
  <c r="AB2802" i="1"/>
  <c r="AA2802" i="1"/>
  <c r="Y2802" i="1"/>
  <c r="Z2802" i="1" s="1"/>
  <c r="E2802" i="1" s="1"/>
  <c r="S2802" i="1"/>
  <c r="P2802" i="1"/>
  <c r="AB2801" i="1"/>
  <c r="AA2801" i="1"/>
  <c r="Y2801" i="1"/>
  <c r="Z2801" i="1" s="1"/>
  <c r="E2801" i="1" s="1"/>
  <c r="S2801" i="1"/>
  <c r="P2801" i="1"/>
  <c r="AB2800" i="1"/>
  <c r="AA2800" i="1"/>
  <c r="Y2800" i="1"/>
  <c r="Z2800" i="1" s="1"/>
  <c r="E2800" i="1" s="1"/>
  <c r="S2800" i="1"/>
  <c r="P2800" i="1"/>
  <c r="AB2799" i="1"/>
  <c r="AA2799" i="1"/>
  <c r="Y2799" i="1"/>
  <c r="Z2799" i="1" s="1"/>
  <c r="E2799" i="1" s="1"/>
  <c r="AB2798" i="1"/>
  <c r="AA2798" i="1"/>
  <c r="Y2798" i="1"/>
  <c r="Z2798" i="1" s="1"/>
  <c r="E2798" i="1" s="1"/>
  <c r="S2798" i="1"/>
  <c r="P2797" i="1"/>
  <c r="AB2797" i="1"/>
  <c r="AB2796" i="1"/>
  <c r="AA2797" i="1"/>
  <c r="AA2796" i="1"/>
  <c r="Y2797" i="1"/>
  <c r="Z2797" i="1" s="1"/>
  <c r="E2797" i="1" s="1"/>
  <c r="Y2796" i="1"/>
  <c r="Z2796" i="1" s="1"/>
  <c r="E2796" i="1" s="1"/>
  <c r="P2796" i="1"/>
  <c r="AB2795" i="1"/>
  <c r="AA2795" i="1"/>
  <c r="Y2795" i="1"/>
  <c r="Z2795" i="1" s="1"/>
  <c r="E2795" i="1" s="1"/>
  <c r="S2795" i="1"/>
  <c r="AB2794" i="1"/>
  <c r="AA2794" i="1"/>
  <c r="Y2794" i="1"/>
  <c r="Z2794" i="1" s="1"/>
  <c r="E2794" i="1" s="1"/>
  <c r="P2794" i="1"/>
  <c r="AB2793" i="1"/>
  <c r="AA2793" i="1"/>
  <c r="Y2793" i="1"/>
  <c r="Z2793" i="1" s="1"/>
  <c r="E2793" i="1" s="1"/>
  <c r="AB2792" i="1"/>
  <c r="AA2792" i="1"/>
  <c r="Y2792" i="1"/>
  <c r="Z2792" i="1" s="1"/>
  <c r="E2792" i="1" s="1"/>
  <c r="P2792" i="1"/>
  <c r="AB2791" i="1"/>
  <c r="AA2791" i="1"/>
  <c r="Y2791" i="1"/>
  <c r="Z2791" i="1" s="1"/>
  <c r="E2791" i="1" s="1"/>
  <c r="AB2790" i="1"/>
  <c r="AA2790" i="1"/>
  <c r="Y2790" i="1"/>
  <c r="Z2790" i="1" s="1"/>
  <c r="E2790" i="1" s="1"/>
  <c r="AB2658" i="1"/>
  <c r="AA2658" i="1"/>
  <c r="Y2658" i="1"/>
  <c r="Z2658" i="1" s="1"/>
  <c r="E2658" i="1" s="1"/>
  <c r="AB2789" i="1"/>
  <c r="AA2789" i="1"/>
  <c r="AB2788" i="1"/>
  <c r="AA2788" i="1"/>
  <c r="AB2787" i="1"/>
  <c r="AA2787" i="1"/>
  <c r="Z2787" i="1"/>
  <c r="E2787" i="1" s="1"/>
  <c r="AB2786" i="1"/>
  <c r="AA2786" i="1"/>
  <c r="Y2786" i="1"/>
  <c r="Z2786" i="1" s="1"/>
  <c r="E2786" i="1" s="1"/>
  <c r="AB2785" i="1"/>
  <c r="AA2785" i="1"/>
  <c r="Y2785" i="1"/>
  <c r="Z2785" i="1" s="1"/>
  <c r="E2785" i="1" s="1"/>
  <c r="AB2784" i="1"/>
  <c r="AA2784" i="1"/>
  <c r="Y2784" i="1"/>
  <c r="Z2784" i="1" s="1"/>
  <c r="E2784" i="1" s="1"/>
  <c r="S2786" i="1"/>
  <c r="S2785" i="1"/>
  <c r="S2784" i="1"/>
  <c r="P2785" i="1"/>
  <c r="AB2783" i="1"/>
  <c r="AA2783" i="1"/>
  <c r="Y2783" i="1"/>
  <c r="Z2783" i="1" s="1"/>
  <c r="E2783" i="1" s="1"/>
  <c r="AB2782" i="1"/>
  <c r="AA2782" i="1"/>
  <c r="Y2782" i="1"/>
  <c r="Z2782" i="1" s="1"/>
  <c r="E2782" i="1" s="1"/>
  <c r="S2783" i="1"/>
  <c r="S2782" i="1"/>
  <c r="P2783" i="1"/>
  <c r="P2782" i="1"/>
  <c r="S2781" i="1"/>
  <c r="AB2781" i="1"/>
  <c r="AA2781" i="1"/>
  <c r="Y2781" i="1"/>
  <c r="Z2781" i="1" s="1"/>
  <c r="E2781" i="1" s="1"/>
  <c r="S2780" i="1"/>
  <c r="P2780" i="1"/>
  <c r="AB2780" i="1"/>
  <c r="AA2780" i="1"/>
  <c r="Y2780" i="1"/>
  <c r="Z2780" i="1" s="1"/>
  <c r="E2780" i="1" s="1"/>
  <c r="AB2779" i="1"/>
  <c r="AA2779" i="1"/>
  <c r="Y2779" i="1"/>
  <c r="Z2779" i="1" s="1"/>
  <c r="E2779" i="1" s="1"/>
  <c r="P2779" i="1"/>
  <c r="S2778" i="1"/>
  <c r="AB2778" i="1"/>
  <c r="AA2778" i="1"/>
  <c r="Y2778" i="1"/>
  <c r="Z2778" i="1" s="1"/>
  <c r="E2778" i="1" s="1"/>
  <c r="AB2777" i="1"/>
  <c r="AA2777" i="1"/>
  <c r="Y2777" i="1"/>
  <c r="Z2777" i="1" s="1"/>
  <c r="E2777" i="1" s="1"/>
  <c r="S2777" i="1"/>
  <c r="AB2776" i="1"/>
  <c r="AA2776" i="1"/>
  <c r="Y2776" i="1"/>
  <c r="Z2776" i="1" s="1"/>
  <c r="E2776" i="1" s="1"/>
  <c r="S2776" i="1"/>
  <c r="P2776" i="1"/>
  <c r="AB2775" i="1"/>
  <c r="AA2775" i="1"/>
  <c r="AB2774" i="1"/>
  <c r="AA2774" i="1"/>
  <c r="AB2773" i="1"/>
  <c r="AA2773" i="1"/>
  <c r="P2775" i="1"/>
  <c r="P2774" i="1"/>
  <c r="P2773" i="1"/>
  <c r="AB2772" i="1"/>
  <c r="AA2772" i="1"/>
  <c r="AB2771" i="1"/>
  <c r="AA2771" i="1"/>
  <c r="P2772" i="1"/>
  <c r="P2771" i="1"/>
  <c r="AB2770" i="1"/>
  <c r="AA2770" i="1"/>
  <c r="Y2775" i="1"/>
  <c r="Z2775" i="1" s="1"/>
  <c r="E2775" i="1" s="1"/>
  <c r="Y2774" i="1"/>
  <c r="Z2774" i="1" s="1"/>
  <c r="E2774" i="1" s="1"/>
  <c r="Y2773" i="1"/>
  <c r="Z2773" i="1" s="1"/>
  <c r="E2773" i="1" s="1"/>
  <c r="Y2772" i="1"/>
  <c r="Z2772" i="1" s="1"/>
  <c r="E2772" i="1" s="1"/>
  <c r="Y2771" i="1"/>
  <c r="Z2771" i="1" s="1"/>
  <c r="E2771" i="1" s="1"/>
  <c r="Y2770" i="1"/>
  <c r="Z2770" i="1" s="1"/>
  <c r="E2770" i="1" s="1"/>
  <c r="Y2710" i="1"/>
  <c r="Z2710" i="1" s="1"/>
  <c r="E2710" i="1" s="1"/>
  <c r="P2770" i="1"/>
  <c r="AB2769" i="1"/>
  <c r="AA2769" i="1"/>
  <c r="AA2007" i="1"/>
  <c r="Y2769" i="1"/>
  <c r="Z2769" i="1" s="1"/>
  <c r="E2769" i="1" s="1"/>
  <c r="P2769" i="1"/>
  <c r="AB2768" i="1"/>
  <c r="AA2768" i="1"/>
  <c r="P2768" i="1"/>
  <c r="AB2766" i="1"/>
  <c r="AA2766" i="1"/>
  <c r="AB2767" i="1"/>
  <c r="AA2767" i="1"/>
  <c r="Y2768" i="1"/>
  <c r="Z2768" i="1" s="1"/>
  <c r="E2768" i="1" s="1"/>
  <c r="Y2767" i="1"/>
  <c r="Z2767" i="1" s="1"/>
  <c r="E2767" i="1" s="1"/>
  <c r="Y2766" i="1"/>
  <c r="Z2766" i="1" s="1"/>
  <c r="E2766" i="1" s="1"/>
  <c r="P2767" i="1"/>
  <c r="P2766" i="1"/>
  <c r="AA2765" i="1"/>
  <c r="Y2765" i="1"/>
  <c r="Z2765" i="1" s="1"/>
  <c r="E2765" i="1" s="1"/>
  <c r="P2765" i="1"/>
  <c r="AA2764" i="1"/>
  <c r="Y2764" i="1"/>
  <c r="Z2764" i="1" s="1"/>
  <c r="E2764" i="1" s="1"/>
  <c r="P2764" i="1"/>
  <c r="AB2763" i="1"/>
  <c r="AB2762" i="1"/>
  <c r="AA2763" i="1"/>
  <c r="AA2762" i="1"/>
  <c r="Y2763" i="1"/>
  <c r="Z2763" i="1" s="1"/>
  <c r="E2763" i="1" s="1"/>
  <c r="Y2762" i="1"/>
  <c r="Z2762" i="1" s="1"/>
  <c r="E2762" i="1" s="1"/>
  <c r="S2763" i="1"/>
  <c r="S2762" i="1"/>
  <c r="P2763" i="1"/>
  <c r="P2762" i="1"/>
  <c r="AA2761" i="1"/>
  <c r="Y2761" i="1"/>
  <c r="Z2761" i="1" s="1"/>
  <c r="E2761" i="1" s="1"/>
  <c r="S2761" i="1"/>
  <c r="P2761" i="1"/>
  <c r="AB2760" i="1"/>
  <c r="AB2759" i="1"/>
  <c r="AA2760" i="1"/>
  <c r="AA2759" i="1"/>
  <c r="Y2760" i="1"/>
  <c r="Z2760" i="1" s="1"/>
  <c r="E2760" i="1" s="1"/>
  <c r="Y2759" i="1"/>
  <c r="Z2759" i="1" s="1"/>
  <c r="E2759" i="1" s="1"/>
  <c r="P2760" i="1"/>
  <c r="P2759" i="1"/>
  <c r="AB2758" i="1"/>
  <c r="AB2757" i="1"/>
  <c r="AA2758" i="1"/>
  <c r="AA2757" i="1"/>
  <c r="Y2758" i="1"/>
  <c r="Z2758" i="1" s="1"/>
  <c r="E2758" i="1" s="1"/>
  <c r="Y2757" i="1"/>
  <c r="Z2757" i="1" s="1"/>
  <c r="E2757" i="1" s="1"/>
  <c r="AB2756" i="1"/>
  <c r="AA2756" i="1"/>
  <c r="Y2756" i="1"/>
  <c r="Z2756" i="1" s="1"/>
  <c r="E2756" i="1" s="1"/>
  <c r="P2756" i="1"/>
  <c r="AB2755" i="1"/>
  <c r="AA2755" i="1"/>
  <c r="Y2755" i="1"/>
  <c r="Z2755" i="1" s="1"/>
  <c r="E2755" i="1" s="1"/>
  <c r="P2755" i="1"/>
  <c r="AB2754" i="1"/>
  <c r="AA2754" i="1"/>
  <c r="Y2754" i="1"/>
  <c r="Z2754" i="1" s="1"/>
  <c r="E2754" i="1" s="1"/>
  <c r="P2754" i="1"/>
  <c r="AA2753" i="1"/>
  <c r="Y2753" i="1"/>
  <c r="Z2753" i="1" s="1"/>
  <c r="E2753" i="1" s="1"/>
  <c r="P2753" i="1"/>
  <c r="AB2752" i="1"/>
  <c r="AA2752" i="1"/>
  <c r="Y2752" i="1"/>
  <c r="Z2752" i="1" s="1"/>
  <c r="P1926" i="1"/>
  <c r="S2752" i="1"/>
  <c r="AB2751" i="1"/>
  <c r="AA2751" i="1"/>
  <c r="Y2751" i="1"/>
  <c r="Z2751" i="1" s="1"/>
  <c r="E2751" i="1" s="1"/>
  <c r="S2751" i="1"/>
  <c r="P2751" i="1"/>
  <c r="AB2750" i="1"/>
  <c r="AA2750" i="1"/>
  <c r="Z2747" i="1"/>
  <c r="E2747" i="1" s="1"/>
  <c r="Y2750" i="1"/>
  <c r="Z2750" i="1" s="1"/>
  <c r="E2750" i="1" s="1"/>
  <c r="AB2749" i="1"/>
  <c r="AA2749" i="1"/>
  <c r="AB2748" i="1"/>
  <c r="AB2747" i="1"/>
  <c r="AB2746" i="1"/>
  <c r="AA2748" i="1"/>
  <c r="AA2747" i="1"/>
  <c r="AA2746" i="1"/>
  <c r="Z2748" i="1"/>
  <c r="E2748" i="1" s="1"/>
  <c r="Z2746" i="1"/>
  <c r="E2746" i="1" s="1"/>
  <c r="AB2744" i="1"/>
  <c r="AA2744" i="1"/>
  <c r="Y2744" i="1"/>
  <c r="Z2744" i="1" s="1"/>
  <c r="E2744" i="1" s="1"/>
  <c r="P2744" i="1"/>
  <c r="AB2745" i="1"/>
  <c r="AA2745" i="1"/>
  <c r="Y2745" i="1"/>
  <c r="Z2745" i="1" s="1"/>
  <c r="E2745" i="1" s="1"/>
  <c r="S2745" i="1"/>
  <c r="P2745" i="1"/>
  <c r="AB2743" i="1"/>
  <c r="AA2743" i="1"/>
  <c r="Y2743" i="1"/>
  <c r="Z2743" i="1" s="1"/>
  <c r="E2743" i="1" s="1"/>
  <c r="P2743" i="1"/>
  <c r="AB2741" i="1"/>
  <c r="AA2741" i="1"/>
  <c r="Y2741" i="1"/>
  <c r="Z2741" i="1" s="1"/>
  <c r="E2741" i="1" s="1"/>
  <c r="P2741" i="1"/>
  <c r="AB2742" i="1"/>
  <c r="AA2742" i="1"/>
  <c r="Y2742" i="1"/>
  <c r="Z2742" i="1" s="1"/>
  <c r="E2742" i="1" s="1"/>
  <c r="AB2740" i="1"/>
  <c r="AA2740" i="1"/>
  <c r="Y2740" i="1"/>
  <c r="Z2740" i="1" s="1"/>
  <c r="E2740" i="1" s="1"/>
  <c r="P2740" i="1"/>
  <c r="AB2739" i="1"/>
  <c r="P2739" i="1"/>
  <c r="AB2738" i="1"/>
  <c r="P2738" i="1"/>
  <c r="AB2736" i="1"/>
  <c r="AB2737" i="1"/>
  <c r="AB2735" i="1"/>
  <c r="AB2726" i="1"/>
  <c r="P2737" i="1"/>
  <c r="S2736" i="1"/>
  <c r="P2736" i="1"/>
  <c r="P2735" i="1"/>
  <c r="AB2734" i="1"/>
  <c r="AB2733" i="1"/>
  <c r="AA2734" i="1"/>
  <c r="AA2733" i="1"/>
  <c r="Y2734" i="1"/>
  <c r="Z2734" i="1" s="1"/>
  <c r="E2734" i="1" s="1"/>
  <c r="Y2733" i="1"/>
  <c r="Z2733" i="1" s="1"/>
  <c r="E2733" i="1" s="1"/>
  <c r="P2733" i="1"/>
  <c r="AB2732" i="1"/>
  <c r="AA2732" i="1"/>
  <c r="Y2732" i="1"/>
  <c r="Z2732" i="1" s="1"/>
  <c r="E2732" i="1" s="1"/>
  <c r="P2732" i="1"/>
  <c r="AB2731" i="1"/>
  <c r="AA2731" i="1"/>
  <c r="Y2731" i="1"/>
  <c r="Z2731" i="1" s="1"/>
  <c r="E2731" i="1" s="1"/>
  <c r="P2731" i="1"/>
  <c r="AB2730" i="1"/>
  <c r="AA2730" i="1"/>
  <c r="Y2730" i="1"/>
  <c r="Z2730" i="1" s="1"/>
  <c r="E2730" i="1" s="1"/>
  <c r="P2730" i="1"/>
  <c r="AB2729" i="1"/>
  <c r="AB2728" i="1"/>
  <c r="AA2729" i="1"/>
  <c r="Y2729" i="1"/>
  <c r="Z2729" i="1" s="1"/>
  <c r="E2729" i="1" s="1"/>
  <c r="P2729" i="1"/>
  <c r="AA2728" i="1"/>
  <c r="Y2728" i="1"/>
  <c r="Z2728" i="1" s="1"/>
  <c r="E2728" i="1" s="1"/>
  <c r="P2728" i="1"/>
  <c r="S2725" i="1"/>
  <c r="Y2725" i="1"/>
  <c r="Z2725" i="1" s="1"/>
  <c r="E2725" i="1" s="1"/>
  <c r="Y2724" i="1"/>
  <c r="Z2724" i="1" s="1"/>
  <c r="E2724" i="1" s="1"/>
  <c r="S2724" i="1"/>
  <c r="S2723" i="1"/>
  <c r="S2722" i="1"/>
  <c r="P2722" i="1"/>
  <c r="AB2723" i="1"/>
  <c r="AA2723" i="1"/>
  <c r="Y2723" i="1"/>
  <c r="Z2723" i="1" s="1"/>
  <c r="E2723" i="1" s="1"/>
  <c r="AB2722" i="1"/>
  <c r="AA2722" i="1"/>
  <c r="Y2722" i="1"/>
  <c r="Z2722" i="1" s="1"/>
  <c r="E2722" i="1" s="1"/>
  <c r="S2721" i="1"/>
  <c r="P2720" i="1"/>
  <c r="AB2721" i="1"/>
  <c r="AA2721" i="1"/>
  <c r="Y2721" i="1"/>
  <c r="Z2721" i="1" s="1"/>
  <c r="E2721" i="1" s="1"/>
  <c r="AB2720" i="1"/>
  <c r="AA2720" i="1"/>
  <c r="Y2720" i="1"/>
  <c r="Z2720" i="1" s="1"/>
  <c r="E2720" i="1" s="1"/>
  <c r="AB2719" i="1"/>
  <c r="AA2719" i="1"/>
  <c r="Y2719" i="1"/>
  <c r="Z2719" i="1" s="1"/>
  <c r="E2719" i="1" s="1"/>
  <c r="S2719" i="1"/>
  <c r="S2718" i="1"/>
  <c r="AB2718" i="1"/>
  <c r="AA2718" i="1"/>
  <c r="Y2718" i="1"/>
  <c r="Z2718" i="1" s="1"/>
  <c r="E2718" i="1" s="1"/>
  <c r="AB2717" i="1"/>
  <c r="AA2717" i="1"/>
  <c r="Y2717" i="1"/>
  <c r="Z2717" i="1" s="1"/>
  <c r="E2717" i="1" s="1"/>
  <c r="S2717" i="1"/>
  <c r="P2717" i="1"/>
  <c r="AB2716" i="1"/>
  <c r="AA2716" i="1"/>
  <c r="Y2716" i="1"/>
  <c r="Z2716" i="1" s="1"/>
  <c r="E2716" i="1" s="1"/>
  <c r="S2716" i="1"/>
  <c r="P2716" i="1"/>
  <c r="AB2715" i="1"/>
  <c r="AA2715" i="1"/>
  <c r="Y2715" i="1"/>
  <c r="Z2715" i="1" s="1"/>
  <c r="E2715" i="1" s="1"/>
  <c r="S2715" i="1"/>
  <c r="P2715" i="1"/>
  <c r="AB2714" i="1"/>
  <c r="AA2714" i="1"/>
  <c r="Y2714" i="1"/>
  <c r="Z2714" i="1" s="1"/>
  <c r="E2714" i="1" s="1"/>
  <c r="S2714" i="1"/>
  <c r="AB2713" i="1"/>
  <c r="AA2713" i="1"/>
  <c r="Y2713" i="1"/>
  <c r="Z2713" i="1" s="1"/>
  <c r="E2713" i="1" s="1"/>
  <c r="S2713" i="1"/>
  <c r="AB2712" i="1"/>
  <c r="AA2712" i="1"/>
  <c r="Y2712" i="1"/>
  <c r="Z2712" i="1" s="1"/>
  <c r="E2712" i="1" s="1"/>
  <c r="S2712" i="1"/>
  <c r="P2712" i="1"/>
  <c r="AB2711" i="1"/>
  <c r="AA2711" i="1"/>
  <c r="AB2710" i="1"/>
  <c r="AA2710" i="1"/>
  <c r="P2248" i="1"/>
  <c r="Y2707" i="1"/>
  <c r="Z2707" i="1" s="1"/>
  <c r="E2707" i="1" s="1"/>
  <c r="S2707" i="1"/>
  <c r="Y2709" i="1"/>
  <c r="Z2709" i="1" s="1"/>
  <c r="E2709" i="1" s="1"/>
  <c r="AA2709" i="1"/>
  <c r="AB2709" i="1"/>
  <c r="S2708" i="1"/>
  <c r="AB2708" i="1"/>
  <c r="AA2708" i="1"/>
  <c r="Y2708" i="1"/>
  <c r="Z2708" i="1" s="1"/>
  <c r="E2708" i="1" s="1"/>
  <c r="P2709" i="1"/>
  <c r="AB2676" i="1"/>
  <c r="AA2676" i="1"/>
  <c r="Y2676" i="1"/>
  <c r="Z2676" i="1" s="1"/>
  <c r="E2676" i="1" s="1"/>
  <c r="S2709" i="1"/>
  <c r="S2660" i="1"/>
  <c r="AB2703" i="1"/>
  <c r="AB2702" i="1"/>
  <c r="AA2703" i="1"/>
  <c r="AA2702" i="1"/>
  <c r="Y2703" i="1"/>
  <c r="Z2703" i="1" s="1"/>
  <c r="E2703" i="1" s="1"/>
  <c r="Y2702" i="1"/>
  <c r="Z2702" i="1" s="1"/>
  <c r="E2702" i="1" s="1"/>
  <c r="AB2706" i="1"/>
  <c r="AB2705" i="1"/>
  <c r="AB2704" i="1"/>
  <c r="AA2706" i="1"/>
  <c r="AA2705" i="1"/>
  <c r="AA2704" i="1"/>
  <c r="Y2706" i="1"/>
  <c r="Z2706" i="1" s="1"/>
  <c r="E2706" i="1" s="1"/>
  <c r="Y2705" i="1"/>
  <c r="Z2705" i="1" s="1"/>
  <c r="E2705" i="1" s="1"/>
  <c r="Y2704" i="1"/>
  <c r="Z2704" i="1" s="1"/>
  <c r="E2704" i="1" s="1"/>
  <c r="P2704" i="1"/>
  <c r="AB2695" i="1"/>
  <c r="AA2695" i="1"/>
  <c r="Y2695" i="1"/>
  <c r="Z2695" i="1" s="1"/>
  <c r="E2695" i="1" s="1"/>
  <c r="P2695" i="1"/>
  <c r="AB2364" i="1"/>
  <c r="AA2364" i="1"/>
  <c r="Y2364" i="1"/>
  <c r="Z2364" i="1" s="1"/>
  <c r="E2364" i="1" s="1"/>
  <c r="P2364" i="1"/>
  <c r="AB2693" i="1"/>
  <c r="AB2692" i="1"/>
  <c r="AA2693" i="1"/>
  <c r="AA2692" i="1"/>
  <c r="Y2693" i="1"/>
  <c r="Z2693" i="1" s="1"/>
  <c r="E2693" i="1" s="1"/>
  <c r="Y2692" i="1"/>
  <c r="Z2692" i="1" s="1"/>
  <c r="E2692" i="1" s="1"/>
  <c r="P2693" i="1"/>
  <c r="P2692" i="1"/>
  <c r="AB2694" i="1"/>
  <c r="AA2694" i="1"/>
  <c r="Y2694" i="1"/>
  <c r="Z2694" i="1" s="1"/>
  <c r="E2694" i="1" s="1"/>
  <c r="P2694" i="1"/>
  <c r="AB2689" i="1"/>
  <c r="AA2689" i="1"/>
  <c r="Y2689" i="1"/>
  <c r="Z2689" i="1" s="1"/>
  <c r="E2689" i="1" s="1"/>
  <c r="P2689" i="1"/>
  <c r="AB2701" i="1"/>
  <c r="AA2701" i="1"/>
  <c r="Y2701" i="1"/>
  <c r="Z2701" i="1" s="1"/>
  <c r="E2701" i="1" s="1"/>
  <c r="P2701" i="1"/>
  <c r="AB2700" i="1"/>
  <c r="AA2700" i="1"/>
  <c r="Y2700" i="1"/>
  <c r="Z2700" i="1" s="1"/>
  <c r="E2700" i="1" s="1"/>
  <c r="P2700" i="1"/>
  <c r="AB2699" i="1"/>
  <c r="AA2699" i="1"/>
  <c r="Y2699" i="1"/>
  <c r="Z2699" i="1" s="1"/>
  <c r="E2699" i="1" s="1"/>
  <c r="P2699" i="1"/>
  <c r="AB2698" i="1"/>
  <c r="AA2698" i="1"/>
  <c r="Y2698" i="1"/>
  <c r="Z2698" i="1" s="1"/>
  <c r="E2698" i="1" s="1"/>
  <c r="P2698" i="1"/>
  <c r="AB2697" i="1"/>
  <c r="AA2697" i="1"/>
  <c r="Y2697" i="1"/>
  <c r="Z2697" i="1" s="1"/>
  <c r="E2697" i="1" s="1"/>
  <c r="P2697" i="1"/>
  <c r="AB2696" i="1"/>
  <c r="AA2696" i="1"/>
  <c r="Y2696" i="1"/>
  <c r="Z2696" i="1" s="1"/>
  <c r="E2696" i="1" s="1"/>
  <c r="P2696" i="1"/>
  <c r="AB2691" i="1"/>
  <c r="AB2690" i="1"/>
  <c r="AA2691" i="1"/>
  <c r="AA2690" i="1"/>
  <c r="Y2691" i="1"/>
  <c r="Z2691" i="1" s="1"/>
  <c r="E2691" i="1" s="1"/>
  <c r="Y2690" i="1"/>
  <c r="Z2690" i="1" s="1"/>
  <c r="E2690" i="1" s="1"/>
  <c r="AB2688" i="1"/>
  <c r="AA2688" i="1"/>
  <c r="Y2688" i="1"/>
  <c r="Z2688" i="1" s="1"/>
  <c r="E2688" i="1" s="1"/>
  <c r="P2688" i="1"/>
  <c r="P2687" i="1"/>
  <c r="AB2687" i="1"/>
  <c r="AB2686" i="1"/>
  <c r="AA2687" i="1"/>
  <c r="AA2686" i="1"/>
  <c r="Y2687" i="1"/>
  <c r="Z2687" i="1" s="1"/>
  <c r="E2687" i="1" s="1"/>
  <c r="Y2686" i="1"/>
  <c r="Z2686" i="1" s="1"/>
  <c r="E2686" i="1" s="1"/>
  <c r="P2686" i="1"/>
  <c r="AB2683" i="1"/>
  <c r="AA2683" i="1"/>
  <c r="Y2683" i="1"/>
  <c r="Z2683" i="1" s="1"/>
  <c r="E2683" i="1" s="1"/>
  <c r="S2683" i="1"/>
  <c r="P2683" i="1"/>
  <c r="AB2685" i="1"/>
  <c r="AA2685" i="1"/>
  <c r="Y2685" i="1"/>
  <c r="Z2685" i="1" s="1"/>
  <c r="E2685" i="1" s="1"/>
  <c r="S2685" i="1"/>
  <c r="AB2684" i="1"/>
  <c r="AA2684" i="1"/>
  <c r="Y2684" i="1"/>
  <c r="Z2684" i="1" s="1"/>
  <c r="E2684" i="1" s="1"/>
  <c r="S2684" i="1"/>
  <c r="P2684" i="1"/>
  <c r="AB2116" i="1"/>
  <c r="AA2116" i="1"/>
  <c r="Y2116" i="1"/>
  <c r="Z2116" i="1" s="1"/>
  <c r="E2116" i="1" s="1"/>
  <c r="AB2682" i="1"/>
  <c r="AA2682" i="1"/>
  <c r="Y2682" i="1"/>
  <c r="Z2682" i="1" s="1"/>
  <c r="E2682" i="1" s="1"/>
  <c r="S2682" i="1"/>
  <c r="P2682" i="1"/>
  <c r="AB2674" i="1"/>
  <c r="AA2674" i="1"/>
  <c r="Y2674" i="1"/>
  <c r="Z2674" i="1" s="1"/>
  <c r="E2674" i="1" s="1"/>
  <c r="S2674" i="1"/>
  <c r="P2674" i="1"/>
  <c r="AB2681" i="1"/>
  <c r="AA2681" i="1"/>
  <c r="Y2681" i="1"/>
  <c r="Z2681" i="1" s="1"/>
  <c r="E2681" i="1" s="1"/>
  <c r="AB2680" i="1"/>
  <c r="AA2680" i="1"/>
  <c r="Y2680" i="1"/>
  <c r="Z2680" i="1" s="1"/>
  <c r="E2680" i="1" s="1"/>
  <c r="AB2679" i="1"/>
  <c r="AA2679" i="1"/>
  <c r="Y2679" i="1"/>
  <c r="Z2679" i="1" s="1"/>
  <c r="E2679" i="1" s="1"/>
  <c r="AB2678" i="1"/>
  <c r="AA2678" i="1"/>
  <c r="Y2678" i="1"/>
  <c r="Z2678" i="1" s="1"/>
  <c r="E2678" i="1" s="1"/>
  <c r="AB2677" i="1"/>
  <c r="AA2677" i="1"/>
  <c r="Y2677" i="1"/>
  <c r="Z2677" i="1" s="1"/>
  <c r="E2677" i="1" s="1"/>
  <c r="S2681" i="1"/>
  <c r="S2680" i="1"/>
  <c r="S2679" i="1"/>
  <c r="S2678" i="1"/>
  <c r="P2681" i="1"/>
  <c r="AB2675" i="1"/>
  <c r="P2680" i="1"/>
  <c r="P2679" i="1"/>
  <c r="AA2675" i="1"/>
  <c r="P2678" i="1"/>
  <c r="S2677" i="1"/>
  <c r="P2677" i="1"/>
  <c r="S2676" i="1"/>
  <c r="P2676" i="1"/>
  <c r="Y2675" i="1"/>
  <c r="Z2675" i="1" s="1"/>
  <c r="E2675" i="1" s="1"/>
  <c r="S2675" i="1"/>
  <c r="P2673" i="1"/>
  <c r="S2673" i="1"/>
  <c r="AB2673" i="1"/>
  <c r="AA2673" i="1"/>
  <c r="Y2673" i="1"/>
  <c r="Z2673" i="1" s="1"/>
  <c r="E2673" i="1" s="1"/>
  <c r="Y2672" i="1"/>
  <c r="Z2672" i="1" s="1"/>
  <c r="E2672" i="1" s="1"/>
  <c r="AA2672" i="1"/>
  <c r="AB2672" i="1"/>
  <c r="S2672" i="1"/>
  <c r="P2672" i="1"/>
  <c r="AB2671" i="1"/>
  <c r="AA2671" i="1"/>
  <c r="S2670" i="1"/>
  <c r="Y2670" i="1"/>
  <c r="Z2670" i="1" s="1"/>
  <c r="E2670" i="1" s="1"/>
  <c r="AA2670" i="1"/>
  <c r="AB2670" i="1"/>
  <c r="Y2671" i="1"/>
  <c r="Z2671" i="1" s="1"/>
  <c r="E2671" i="1" s="1"/>
  <c r="S2671" i="1"/>
  <c r="P2671" i="1"/>
  <c r="Y2669" i="1"/>
  <c r="Z2669" i="1" s="1"/>
  <c r="E2669" i="1" s="1"/>
  <c r="AA2669" i="1"/>
  <c r="AB2669" i="1"/>
  <c r="S2669" i="1"/>
  <c r="P2669" i="1"/>
  <c r="AB2668" i="1"/>
  <c r="AA2668" i="1"/>
  <c r="Y2668" i="1"/>
  <c r="Z2668" i="1" s="1"/>
  <c r="E2668" i="1" s="1"/>
  <c r="S2666" i="1"/>
  <c r="P2666" i="1"/>
  <c r="S2668" i="1"/>
  <c r="Y2666" i="1"/>
  <c r="Z2666" i="1" s="1"/>
  <c r="E2666" i="1" s="1"/>
  <c r="AA2666" i="1"/>
  <c r="AB2666" i="1"/>
  <c r="AB2667" i="1"/>
  <c r="AA2667" i="1"/>
  <c r="Y2667" i="1"/>
  <c r="Z2667" i="1" s="1"/>
  <c r="E2667" i="1" s="1"/>
  <c r="S2667" i="1"/>
  <c r="AB2250" i="1"/>
  <c r="P2667" i="1"/>
  <c r="P2665" i="1"/>
  <c r="S2665" i="1"/>
  <c r="AB2665" i="1"/>
  <c r="AA2665" i="1"/>
  <c r="Y2665" i="1"/>
  <c r="Z2665" i="1" s="1"/>
  <c r="E2665" i="1" s="1"/>
  <c r="Y2664" i="1"/>
  <c r="Z2664" i="1" s="1"/>
  <c r="E2664" i="1" s="1"/>
  <c r="Y2663" i="1"/>
  <c r="Z2663" i="1" s="1"/>
  <c r="E2663" i="1" s="1"/>
  <c r="Y2662" i="1"/>
  <c r="Z2662" i="1" s="1"/>
  <c r="E2662" i="1" s="1"/>
  <c r="Y2661" i="1"/>
  <c r="Z2661" i="1" s="1"/>
  <c r="E2661" i="1" s="1"/>
  <c r="Y2660" i="1"/>
  <c r="Z2660" i="1" s="1"/>
  <c r="E2660" i="1" s="1"/>
  <c r="AB2664" i="1"/>
  <c r="AA2664" i="1"/>
  <c r="S2664" i="1"/>
  <c r="P2664" i="1"/>
  <c r="AB2663" i="1"/>
  <c r="AA2663" i="1"/>
  <c r="S2663" i="1"/>
  <c r="P2663" i="1"/>
  <c r="AA2662" i="1"/>
  <c r="AA2661" i="1"/>
  <c r="AB2662" i="1"/>
  <c r="S2662" i="1"/>
  <c r="P2662" i="1"/>
  <c r="AB2661" i="1"/>
  <c r="AB2660" i="1"/>
  <c r="AA2660" i="1"/>
  <c r="S2661" i="1"/>
  <c r="Z2659" i="1"/>
  <c r="E2659" i="1" s="1"/>
  <c r="AB2657" i="1"/>
  <c r="AA2657" i="1"/>
  <c r="Y2657" i="1"/>
  <c r="Z2657" i="1" s="1"/>
  <c r="E2657" i="1" s="1"/>
  <c r="AB2654" i="1"/>
  <c r="AA2654" i="1"/>
  <c r="Y2654" i="1"/>
  <c r="Z2654" i="1" s="1"/>
  <c r="E2654" i="1" s="1"/>
  <c r="P2654" i="1"/>
  <c r="AB2653" i="1"/>
  <c r="AA2653" i="1"/>
  <c r="Y2653" i="1"/>
  <c r="Z2653" i="1" s="1"/>
  <c r="E2653" i="1" s="1"/>
  <c r="P2653" i="1"/>
  <c r="AB2655" i="1"/>
  <c r="AA2655" i="1"/>
  <c r="Y2655" i="1"/>
  <c r="Z2655" i="1" s="1"/>
  <c r="E2655" i="1" s="1"/>
  <c r="P2655" i="1"/>
  <c r="P2656" i="1"/>
  <c r="AA2656" i="1"/>
  <c r="Y2656" i="1"/>
  <c r="Z2656" i="1" s="1"/>
  <c r="E2656" i="1" s="1"/>
  <c r="P2652" i="1"/>
  <c r="AB2652" i="1"/>
  <c r="AA2652" i="1"/>
  <c r="Y2652" i="1"/>
  <c r="Z2652" i="1" s="1"/>
  <c r="E2652" i="1" s="1"/>
  <c r="Y2371" i="1"/>
  <c r="Z2371" i="1" s="1"/>
  <c r="E2371" i="1" s="1"/>
  <c r="Y2370" i="1"/>
  <c r="Z2370" i="1" s="1"/>
  <c r="E2370" i="1" s="1"/>
  <c r="AB2366" i="1"/>
  <c r="AA2366" i="1"/>
  <c r="Y2366" i="1"/>
  <c r="Z2366" i="1" s="1"/>
  <c r="E2366" i="1" s="1"/>
  <c r="P2366" i="1"/>
  <c r="AB2369" i="1"/>
  <c r="AA2369" i="1"/>
  <c r="Y2369" i="1"/>
  <c r="Z2369" i="1" s="1"/>
  <c r="E2369" i="1" s="1"/>
  <c r="P2369" i="1"/>
  <c r="P2368" i="1"/>
  <c r="AB2368" i="1"/>
  <c r="AB2367" i="1"/>
  <c r="AA2368" i="1"/>
  <c r="AA2367" i="1"/>
  <c r="Y2368" i="1"/>
  <c r="Z2368" i="1" s="1"/>
  <c r="E2368" i="1" s="1"/>
  <c r="Y2367" i="1"/>
  <c r="Z2367" i="1" s="1"/>
  <c r="E2367" i="1" s="1"/>
  <c r="P2367" i="1"/>
  <c r="P2363" i="1"/>
  <c r="P2362" i="1"/>
  <c r="AB2363" i="1"/>
  <c r="AB2362" i="1"/>
  <c r="AA2363" i="1"/>
  <c r="AA2362" i="1"/>
  <c r="Y2363" i="1"/>
  <c r="Z2363" i="1" s="1"/>
  <c r="E2363" i="1" s="1"/>
  <c r="Y2362" i="1"/>
  <c r="Z2362" i="1" s="1"/>
  <c r="E2362" i="1" s="1"/>
  <c r="AB2352" i="1"/>
  <c r="AA2352" i="1"/>
  <c r="Y2352" i="1"/>
  <c r="Z2352" i="1" s="1"/>
  <c r="E2352" i="1" s="1"/>
  <c r="P2352" i="1"/>
  <c r="P2365" i="1"/>
  <c r="AB2365" i="1"/>
  <c r="AA2365" i="1"/>
  <c r="Y2365" i="1"/>
  <c r="Z2365" i="1" s="1"/>
  <c r="E2365" i="1" s="1"/>
  <c r="P2348" i="1"/>
  <c r="AB2348" i="1"/>
  <c r="AB2347" i="1"/>
  <c r="AA2348" i="1"/>
  <c r="AA2347" i="1"/>
  <c r="Y2348" i="1"/>
  <c r="Z2348" i="1" s="1"/>
  <c r="E2348" i="1" s="1"/>
  <c r="Y2347" i="1"/>
  <c r="Z2347" i="1" s="1"/>
  <c r="E2347" i="1" s="1"/>
  <c r="P2347" i="1"/>
  <c r="S2361" i="1"/>
  <c r="AB2361" i="1"/>
  <c r="AA2361" i="1"/>
  <c r="Y2361" i="1"/>
  <c r="Z2361" i="1" s="1"/>
  <c r="E2361" i="1" s="1"/>
  <c r="P2345" i="1"/>
  <c r="AB2345" i="1"/>
  <c r="AA2345" i="1"/>
  <c r="Y2345" i="1"/>
  <c r="Z2345" i="1" s="1"/>
  <c r="E2345" i="1" s="1"/>
  <c r="AA2344" i="1"/>
  <c r="Y2344" i="1"/>
  <c r="Z2344" i="1" s="1"/>
  <c r="E2344" i="1" s="1"/>
  <c r="AB2344" i="1"/>
  <c r="P2353" i="1"/>
  <c r="P2346" i="1"/>
  <c r="AB2353" i="1"/>
  <c r="AB2346" i="1"/>
  <c r="AA2353" i="1"/>
  <c r="AA2346" i="1"/>
  <c r="Y2353" i="1"/>
  <c r="Z2353" i="1" s="1"/>
  <c r="E2353" i="1" s="1"/>
  <c r="Y2346" i="1"/>
  <c r="Z2346" i="1" s="1"/>
  <c r="E2346" i="1" s="1"/>
  <c r="S2360" i="1"/>
  <c r="S2359" i="1"/>
  <c r="P2360" i="1"/>
  <c r="P2359" i="1"/>
  <c r="Y2360" i="1"/>
  <c r="Z2360" i="1" s="1"/>
  <c r="E2360" i="1" s="1"/>
  <c r="Y2359" i="1"/>
  <c r="Z2359" i="1" s="1"/>
  <c r="E2359" i="1" s="1"/>
  <c r="AB2360" i="1"/>
  <c r="AB2359" i="1"/>
  <c r="AB2358" i="1"/>
  <c r="AB2357" i="1"/>
  <c r="AB2356" i="1"/>
  <c r="AA2360" i="1"/>
  <c r="AA2359" i="1"/>
  <c r="AA2358" i="1"/>
  <c r="AA2357" i="1"/>
  <c r="AA2356" i="1"/>
  <c r="Y2358" i="1"/>
  <c r="Z2358" i="1" s="1"/>
  <c r="E2358" i="1" s="1"/>
  <c r="Y2357" i="1"/>
  <c r="Z2357" i="1" s="1"/>
  <c r="E2357" i="1" s="1"/>
  <c r="Y2356" i="1"/>
  <c r="Z2356" i="1" s="1"/>
  <c r="E2356" i="1" s="1"/>
  <c r="P2358" i="1"/>
  <c r="P2357" i="1"/>
  <c r="P2356" i="1"/>
  <c r="AB2351" i="1"/>
  <c r="AB2350" i="1"/>
  <c r="AB2349" i="1"/>
  <c r="AA2351" i="1"/>
  <c r="AA2350" i="1"/>
  <c r="AA2349" i="1"/>
  <c r="Y2351" i="1"/>
  <c r="Z2351" i="1" s="1"/>
  <c r="E2351" i="1" s="1"/>
  <c r="Y2350" i="1"/>
  <c r="Z2350" i="1" s="1"/>
  <c r="E2350" i="1" s="1"/>
  <c r="Y2349" i="1"/>
  <c r="Z2349" i="1" s="1"/>
  <c r="E2349" i="1" s="1"/>
  <c r="P2351" i="1"/>
  <c r="P2350" i="1"/>
  <c r="P2349" i="1"/>
  <c r="P2354" i="1"/>
  <c r="AB2354" i="1"/>
  <c r="AB2339" i="1"/>
  <c r="AA2354" i="1"/>
  <c r="AA2339" i="1"/>
  <c r="Y2354" i="1"/>
  <c r="Z2354" i="1" s="1"/>
  <c r="E2354" i="1" s="1"/>
  <c r="Y2339" i="1"/>
  <c r="Z2339" i="1" s="1"/>
  <c r="E2339" i="1" s="1"/>
  <c r="AB2337" i="1"/>
  <c r="AA2337" i="1"/>
  <c r="Y2337" i="1"/>
  <c r="Z2337" i="1" s="1"/>
  <c r="E2337" i="1" s="1"/>
  <c r="P2337" i="1"/>
  <c r="AB2338" i="1"/>
  <c r="AA2338" i="1"/>
  <c r="Y2338" i="1"/>
  <c r="Z2338" i="1" s="1"/>
  <c r="E2338" i="1" s="1"/>
  <c r="P2338" i="1"/>
  <c r="P2355" i="1"/>
  <c r="P2336" i="1"/>
  <c r="AB2355" i="1"/>
  <c r="AB2336" i="1"/>
  <c r="AB2335" i="1"/>
  <c r="AA2355" i="1"/>
  <c r="AA2336" i="1"/>
  <c r="AA2335" i="1"/>
  <c r="Y2355" i="1"/>
  <c r="Z2355" i="1" s="1"/>
  <c r="E2355" i="1" s="1"/>
  <c r="Y2336" i="1"/>
  <c r="Z2336" i="1" s="1"/>
  <c r="E2336" i="1" s="1"/>
  <c r="Y2335" i="1"/>
  <c r="Z2335" i="1" s="1"/>
  <c r="E2335" i="1" s="1"/>
  <c r="P2335" i="1"/>
  <c r="P2343" i="1"/>
  <c r="P2342" i="1"/>
  <c r="P2341" i="1"/>
  <c r="AB2343" i="1"/>
  <c r="AB2342" i="1"/>
  <c r="AB2341" i="1"/>
  <c r="AB2340" i="1"/>
  <c r="AA2343" i="1"/>
  <c r="AA2342" i="1"/>
  <c r="AA2341" i="1"/>
  <c r="AA2340" i="1"/>
  <c r="Y2343" i="1"/>
  <c r="Z2343" i="1" s="1"/>
  <c r="E2343" i="1" s="1"/>
  <c r="Y2342" i="1"/>
  <c r="Z2342" i="1" s="1"/>
  <c r="E2342" i="1" s="1"/>
  <c r="Y2341" i="1"/>
  <c r="Z2341" i="1" s="1"/>
  <c r="E2341" i="1" s="1"/>
  <c r="P2340" i="1"/>
  <c r="AB2334" i="1"/>
  <c r="AA2334" i="1"/>
  <c r="Y2334" i="1"/>
  <c r="Z2334" i="1" s="1"/>
  <c r="E2334" i="1" s="1"/>
  <c r="S2334" i="1"/>
  <c r="P2334" i="1"/>
  <c r="AB2333" i="1"/>
  <c r="AA2333" i="1"/>
  <c r="Y2333" i="1"/>
  <c r="Z2333" i="1" s="1"/>
  <c r="E2333" i="1" s="1"/>
  <c r="P2333" i="1"/>
  <c r="AB2332" i="1"/>
  <c r="AB2331" i="1"/>
  <c r="AB2330" i="1"/>
  <c r="AA2332" i="1"/>
  <c r="AA2331" i="1"/>
  <c r="AA2330" i="1"/>
  <c r="Y2332" i="1"/>
  <c r="Z2332" i="1" s="1"/>
  <c r="E2332" i="1" s="1"/>
  <c r="Y2331" i="1"/>
  <c r="Z2331" i="1" s="1"/>
  <c r="E2331" i="1" s="1"/>
  <c r="Y2330" i="1"/>
  <c r="Z2330" i="1" s="1"/>
  <c r="E2330" i="1" s="1"/>
  <c r="P2332" i="1"/>
  <c r="P2331" i="1"/>
  <c r="P2330" i="1"/>
  <c r="P2651" i="1"/>
  <c r="P2650" i="1"/>
  <c r="P2649" i="1"/>
  <c r="P2648" i="1"/>
  <c r="P2647" i="1"/>
  <c r="P2646" i="1"/>
  <c r="P2645" i="1"/>
  <c r="P2644" i="1"/>
  <c r="P2643" i="1"/>
  <c r="P2642" i="1"/>
  <c r="P2641" i="1"/>
  <c r="P2640" i="1"/>
  <c r="AB2651" i="1"/>
  <c r="AA2651" i="1"/>
  <c r="Y2651" i="1"/>
  <c r="Z2651" i="1" s="1"/>
  <c r="E2651" i="1" s="1"/>
  <c r="AB2650" i="1"/>
  <c r="AA2650" i="1"/>
  <c r="Y2650" i="1"/>
  <c r="Z2650" i="1" s="1"/>
  <c r="E2650" i="1" s="1"/>
  <c r="AB2649" i="1"/>
  <c r="AA2649" i="1"/>
  <c r="Y2649" i="1"/>
  <c r="Z2649" i="1" s="1"/>
  <c r="E2649" i="1" s="1"/>
  <c r="AB2648" i="1"/>
  <c r="AA2648" i="1"/>
  <c r="Y2648" i="1"/>
  <c r="Z2648" i="1" s="1"/>
  <c r="E2648" i="1" s="1"/>
  <c r="AB2647" i="1"/>
  <c r="AA2647" i="1"/>
  <c r="Y2647" i="1"/>
  <c r="Z2647" i="1" s="1"/>
  <c r="E2647" i="1" s="1"/>
  <c r="AB2646" i="1"/>
  <c r="AA2646" i="1"/>
  <c r="Y2646" i="1"/>
  <c r="Z2646" i="1" s="1"/>
  <c r="E2646" i="1" s="1"/>
  <c r="AB2645" i="1"/>
  <c r="AA2645" i="1"/>
  <c r="Y2645" i="1"/>
  <c r="Z2645" i="1" s="1"/>
  <c r="E2645" i="1" s="1"/>
  <c r="AB2644" i="1"/>
  <c r="AA2644" i="1"/>
  <c r="Y2644" i="1"/>
  <c r="Z2644" i="1" s="1"/>
  <c r="E2644" i="1" s="1"/>
  <c r="AB2643" i="1"/>
  <c r="AA2643" i="1"/>
  <c r="Y2643" i="1"/>
  <c r="Z2643" i="1" s="1"/>
  <c r="E2643" i="1" s="1"/>
  <c r="AB2642" i="1"/>
  <c r="AA2642" i="1"/>
  <c r="Y2642" i="1"/>
  <c r="Z2642" i="1" s="1"/>
  <c r="E2642" i="1" s="1"/>
  <c r="AB2641" i="1"/>
  <c r="AA2641" i="1"/>
  <c r="Y2641" i="1"/>
  <c r="Z2641" i="1" s="1"/>
  <c r="E2641" i="1" s="1"/>
  <c r="AB2640" i="1"/>
  <c r="AA2640" i="1"/>
  <c r="Y2640" i="1"/>
  <c r="Z2640" i="1" s="1"/>
  <c r="E2640" i="1" s="1"/>
  <c r="AB2639" i="1"/>
  <c r="AA2639" i="1"/>
  <c r="Y2639" i="1"/>
  <c r="Z2639" i="1" s="1"/>
  <c r="E2639" i="1" s="1"/>
  <c r="AB2638" i="1"/>
  <c r="AA2638" i="1"/>
  <c r="Y2638" i="1"/>
  <c r="Z2638" i="1" s="1"/>
  <c r="E2638" i="1" s="1"/>
  <c r="AB2637" i="1"/>
  <c r="AA2637" i="1"/>
  <c r="Y2637" i="1"/>
  <c r="Z2637" i="1" s="1"/>
  <c r="E2637" i="1" s="1"/>
  <c r="AA2636" i="1"/>
  <c r="AB2636" i="1"/>
  <c r="Y2636" i="1"/>
  <c r="Z2636" i="1" s="1"/>
  <c r="E2636" i="1" s="1"/>
  <c r="AB2635" i="1"/>
  <c r="AA2635" i="1"/>
  <c r="Y2635" i="1"/>
  <c r="Z2635" i="1" s="1"/>
  <c r="E2635" i="1" s="1"/>
  <c r="AB2634" i="1"/>
  <c r="AA2634" i="1"/>
  <c r="Y2634" i="1"/>
  <c r="Z2634" i="1" s="1"/>
  <c r="E2634" i="1" s="1"/>
  <c r="AB2633" i="1"/>
  <c r="AA2633" i="1"/>
  <c r="Y2633" i="1"/>
  <c r="Z2633" i="1" s="1"/>
  <c r="E2633" i="1" s="1"/>
  <c r="AB2632" i="1"/>
  <c r="AA2632" i="1"/>
  <c r="Y2632" i="1"/>
  <c r="Z2632" i="1" s="1"/>
  <c r="E2632" i="1" s="1"/>
  <c r="AB2631" i="1"/>
  <c r="AA2631" i="1"/>
  <c r="Y2631" i="1"/>
  <c r="Z2631" i="1" s="1"/>
  <c r="E2631" i="1" s="1"/>
  <c r="AB2630" i="1"/>
  <c r="AA2630" i="1"/>
  <c r="Y2630" i="1"/>
  <c r="Z2630" i="1" s="1"/>
  <c r="E2630" i="1" s="1"/>
  <c r="AB2629" i="1"/>
  <c r="AA2629" i="1"/>
  <c r="Y2629" i="1"/>
  <c r="Z2629" i="1" s="1"/>
  <c r="E2629" i="1" s="1"/>
  <c r="AB2628" i="1"/>
  <c r="AA2628" i="1"/>
  <c r="Y2628" i="1"/>
  <c r="Z2628" i="1" s="1"/>
  <c r="E2628" i="1" s="1"/>
  <c r="AB2627" i="1"/>
  <c r="AA2627" i="1"/>
  <c r="Y2627" i="1"/>
  <c r="Z2627" i="1" s="1"/>
  <c r="E2627" i="1" s="1"/>
  <c r="AB2626" i="1"/>
  <c r="AA2626" i="1"/>
  <c r="Y2626" i="1"/>
  <c r="Z2626" i="1" s="1"/>
  <c r="E2626" i="1" s="1"/>
  <c r="AB2625" i="1"/>
  <c r="AA2625" i="1"/>
  <c r="Y2625" i="1"/>
  <c r="Z2625" i="1" s="1"/>
  <c r="E2625" i="1" s="1"/>
  <c r="AB2624" i="1"/>
  <c r="AA2624" i="1"/>
  <c r="Y2624" i="1"/>
  <c r="Z2624" i="1" s="1"/>
  <c r="E2624" i="1" s="1"/>
  <c r="AB2623" i="1"/>
  <c r="AA2623" i="1"/>
  <c r="Y2623" i="1"/>
  <c r="Z2623" i="1" s="1"/>
  <c r="E2623" i="1" s="1"/>
  <c r="AB2622" i="1"/>
  <c r="AA2622" i="1"/>
  <c r="Y2622" i="1"/>
  <c r="Z2622" i="1" s="1"/>
  <c r="E2622" i="1" s="1"/>
  <c r="AB2621" i="1"/>
  <c r="AA2621" i="1"/>
  <c r="Y2621" i="1"/>
  <c r="Z2621" i="1" s="1"/>
  <c r="E2621" i="1" s="1"/>
  <c r="AB2620" i="1"/>
  <c r="AA2620" i="1"/>
  <c r="Y2620" i="1"/>
  <c r="Z2620" i="1" s="1"/>
  <c r="E2620" i="1" s="1"/>
  <c r="AB2619" i="1"/>
  <c r="AA2619" i="1"/>
  <c r="Y2619" i="1"/>
  <c r="Z2619" i="1" s="1"/>
  <c r="E2619" i="1" s="1"/>
  <c r="AB2618" i="1"/>
  <c r="AA2618" i="1"/>
  <c r="Y2618" i="1"/>
  <c r="Z2618" i="1" s="1"/>
  <c r="E2618" i="1" s="1"/>
  <c r="AB2617" i="1"/>
  <c r="AA2617" i="1"/>
  <c r="Y2617" i="1"/>
  <c r="Z2617" i="1" s="1"/>
  <c r="E2617" i="1" s="1"/>
  <c r="AB2616" i="1"/>
  <c r="AA2616" i="1"/>
  <c r="Y2616" i="1"/>
  <c r="Z2616" i="1" s="1"/>
  <c r="E2616" i="1" s="1"/>
  <c r="AB2615" i="1"/>
  <c r="AA2615" i="1"/>
  <c r="Y2615" i="1"/>
  <c r="Z2615" i="1" s="1"/>
  <c r="E2615" i="1" s="1"/>
  <c r="AB2614" i="1"/>
  <c r="AA2614" i="1"/>
  <c r="Y2614" i="1"/>
  <c r="Z2614" i="1" s="1"/>
  <c r="E2614" i="1" s="1"/>
  <c r="AB2613" i="1"/>
  <c r="AA2613" i="1"/>
  <c r="Y2613" i="1"/>
  <c r="Z2613" i="1" s="1"/>
  <c r="E2613" i="1" s="1"/>
  <c r="AB2612" i="1"/>
  <c r="AA2612" i="1"/>
  <c r="Y2612" i="1"/>
  <c r="Z2612" i="1" s="1"/>
  <c r="E2612" i="1" s="1"/>
  <c r="AB2611" i="1"/>
  <c r="AA2611" i="1"/>
  <c r="Y2611" i="1"/>
  <c r="Z2611" i="1" s="1"/>
  <c r="E2611" i="1" s="1"/>
  <c r="AB2610" i="1"/>
  <c r="AA2610" i="1"/>
  <c r="Y2610" i="1"/>
  <c r="Z2610" i="1" s="1"/>
  <c r="E2610" i="1" s="1"/>
  <c r="AB2609" i="1"/>
  <c r="AA2609" i="1"/>
  <c r="Y2609" i="1"/>
  <c r="Z2609" i="1" s="1"/>
  <c r="E2609" i="1" s="1"/>
  <c r="P2609" i="1"/>
  <c r="AB2608" i="1"/>
  <c r="AA2608" i="1"/>
  <c r="Y2608" i="1"/>
  <c r="Z2608" i="1" s="1"/>
  <c r="E2608" i="1" s="1"/>
  <c r="P2608" i="1"/>
  <c r="AB2607" i="1"/>
  <c r="AA2607" i="1"/>
  <c r="Y2607" i="1"/>
  <c r="Z2607" i="1" s="1"/>
  <c r="E2607" i="1" s="1"/>
  <c r="P2607" i="1"/>
  <c r="AB2606" i="1"/>
  <c r="AA2606" i="1"/>
  <c r="Y2606" i="1"/>
  <c r="Z2606" i="1" s="1"/>
  <c r="E2606" i="1" s="1"/>
  <c r="AB2605" i="1"/>
  <c r="AA2605" i="1"/>
  <c r="Y2605" i="1"/>
  <c r="Z2605" i="1" s="1"/>
  <c r="E2605" i="1" s="1"/>
  <c r="AB2604" i="1"/>
  <c r="AA2604" i="1"/>
  <c r="Y2604" i="1"/>
  <c r="Z2604" i="1" s="1"/>
  <c r="E2604" i="1" s="1"/>
  <c r="AB2603" i="1"/>
  <c r="AA2603" i="1"/>
  <c r="Y2603" i="1"/>
  <c r="Z2603" i="1" s="1"/>
  <c r="E2603" i="1" s="1"/>
  <c r="AB2602" i="1"/>
  <c r="AA2602" i="1"/>
  <c r="Y2602" i="1"/>
  <c r="Z2602" i="1" s="1"/>
  <c r="E2602" i="1" s="1"/>
  <c r="AB2601" i="1"/>
  <c r="AA2601" i="1"/>
  <c r="Y2601" i="1"/>
  <c r="Z2601" i="1" s="1"/>
  <c r="E2601" i="1" s="1"/>
  <c r="AB2600" i="1"/>
  <c r="AA2600" i="1"/>
  <c r="Y2600" i="1"/>
  <c r="Z2600" i="1" s="1"/>
  <c r="E2600" i="1" s="1"/>
  <c r="AB2599" i="1"/>
  <c r="AA2599" i="1"/>
  <c r="Y2599" i="1"/>
  <c r="Z2599" i="1" s="1"/>
  <c r="E2599" i="1" s="1"/>
  <c r="AB2598" i="1"/>
  <c r="AA2598" i="1"/>
  <c r="Y2598" i="1"/>
  <c r="Z2598" i="1" s="1"/>
  <c r="E2598" i="1" s="1"/>
  <c r="AB2597" i="1"/>
  <c r="AA2597" i="1"/>
  <c r="Y2597" i="1"/>
  <c r="Z2597" i="1" s="1"/>
  <c r="E2597" i="1" s="1"/>
  <c r="AB2596" i="1"/>
  <c r="AA2596" i="1"/>
  <c r="Y2596" i="1"/>
  <c r="Z2596" i="1" s="1"/>
  <c r="E2596" i="1" s="1"/>
  <c r="P2596" i="1"/>
  <c r="AB2595" i="1"/>
  <c r="AA2595" i="1"/>
  <c r="Y2595" i="1"/>
  <c r="Z2595" i="1" s="1"/>
  <c r="E2595" i="1" s="1"/>
  <c r="AB2594" i="1"/>
  <c r="AA2594" i="1"/>
  <c r="Y2594" i="1"/>
  <c r="Z2594" i="1" s="1"/>
  <c r="E2594" i="1" s="1"/>
  <c r="AB2593" i="1"/>
  <c r="AA2593" i="1"/>
  <c r="Y2593" i="1"/>
  <c r="Z2593" i="1" s="1"/>
  <c r="E2593" i="1" s="1"/>
  <c r="AB2592" i="1"/>
  <c r="AA2592" i="1"/>
  <c r="Y2592" i="1"/>
  <c r="Z2592" i="1" s="1"/>
  <c r="E2592" i="1" s="1"/>
  <c r="AB2591" i="1"/>
  <c r="AA2591" i="1"/>
  <c r="Y2591" i="1"/>
  <c r="Z2591" i="1" s="1"/>
  <c r="E2591" i="1" s="1"/>
  <c r="AB2590" i="1"/>
  <c r="AA2590" i="1"/>
  <c r="Y2590" i="1"/>
  <c r="Z2590" i="1" s="1"/>
  <c r="E2590" i="1" s="1"/>
  <c r="AB2589" i="1"/>
  <c r="AA2589" i="1"/>
  <c r="Y2589" i="1"/>
  <c r="Z2589" i="1" s="1"/>
  <c r="E2589" i="1" s="1"/>
  <c r="AB2588" i="1"/>
  <c r="AA2588" i="1"/>
  <c r="Y2588" i="1"/>
  <c r="Z2588" i="1" s="1"/>
  <c r="E2588" i="1" s="1"/>
  <c r="AB2587" i="1"/>
  <c r="AA2587" i="1"/>
  <c r="Y2587" i="1"/>
  <c r="Z2587" i="1" s="1"/>
  <c r="E2587" i="1" s="1"/>
  <c r="AB2586" i="1"/>
  <c r="AA2586" i="1"/>
  <c r="Y2586" i="1"/>
  <c r="Z2586" i="1" s="1"/>
  <c r="E2586" i="1" s="1"/>
  <c r="AB2585" i="1"/>
  <c r="AA2585" i="1"/>
  <c r="Y2585" i="1"/>
  <c r="Z2585" i="1" s="1"/>
  <c r="E2585" i="1" s="1"/>
  <c r="P2585" i="1"/>
  <c r="AB2584" i="1"/>
  <c r="AA2584" i="1"/>
  <c r="Y2584" i="1"/>
  <c r="Z2584" i="1" s="1"/>
  <c r="E2584" i="1" s="1"/>
  <c r="AB2583" i="1"/>
  <c r="AA2583" i="1"/>
  <c r="Y2583" i="1"/>
  <c r="Z2583" i="1" s="1"/>
  <c r="E2583" i="1" s="1"/>
  <c r="AB2582" i="1"/>
  <c r="AA2582" i="1"/>
  <c r="Y2582" i="1"/>
  <c r="Z2582" i="1" s="1"/>
  <c r="E2582" i="1" s="1"/>
  <c r="AB2581" i="1"/>
  <c r="AA2581" i="1"/>
  <c r="Y2581" i="1"/>
  <c r="Z2581" i="1" s="1"/>
  <c r="E2581" i="1" s="1"/>
  <c r="AB2580" i="1"/>
  <c r="AA2580" i="1"/>
  <c r="Y2580" i="1"/>
  <c r="Z2580" i="1" s="1"/>
  <c r="E2580" i="1" s="1"/>
  <c r="AB2579" i="1"/>
  <c r="AA2579" i="1"/>
  <c r="Y2579" i="1"/>
  <c r="Z2579" i="1" s="1"/>
  <c r="E2579" i="1" s="1"/>
  <c r="AB2578" i="1"/>
  <c r="AA2578" i="1"/>
  <c r="Y2578" i="1"/>
  <c r="Z2578" i="1" s="1"/>
  <c r="E2578" i="1" s="1"/>
  <c r="AB2577" i="1"/>
  <c r="AA2577" i="1"/>
  <c r="Y2577" i="1"/>
  <c r="Z2577" i="1" s="1"/>
  <c r="E2577" i="1" s="1"/>
  <c r="AB2576" i="1"/>
  <c r="AA2576" i="1"/>
  <c r="Y2576" i="1"/>
  <c r="Z2576" i="1" s="1"/>
  <c r="E2576" i="1" s="1"/>
  <c r="AB2575" i="1"/>
  <c r="AA2575" i="1"/>
  <c r="Y2575" i="1"/>
  <c r="Z2575" i="1" s="1"/>
  <c r="E2575" i="1" s="1"/>
  <c r="AB2574" i="1"/>
  <c r="AA2574" i="1"/>
  <c r="Y2574" i="1"/>
  <c r="Z2574" i="1" s="1"/>
  <c r="E2574" i="1" s="1"/>
  <c r="P2574" i="1"/>
  <c r="AB2573" i="1"/>
  <c r="AA2573" i="1"/>
  <c r="Y2573" i="1"/>
  <c r="Z2573" i="1" s="1"/>
  <c r="E2573" i="1" s="1"/>
  <c r="AB2572" i="1"/>
  <c r="AA2572" i="1"/>
  <c r="Y2572" i="1"/>
  <c r="Z2572" i="1" s="1"/>
  <c r="E2572" i="1" s="1"/>
  <c r="AB2571" i="1"/>
  <c r="AA2571" i="1"/>
  <c r="Y2571" i="1"/>
  <c r="Z2571" i="1" s="1"/>
  <c r="E2571" i="1" s="1"/>
  <c r="AB2570" i="1"/>
  <c r="AA2570" i="1"/>
  <c r="Y2570" i="1"/>
  <c r="Z2570" i="1" s="1"/>
  <c r="E2570" i="1" s="1"/>
  <c r="AB2569" i="1"/>
  <c r="AA2569" i="1"/>
  <c r="Y2569" i="1"/>
  <c r="Z2569" i="1" s="1"/>
  <c r="E2569" i="1" s="1"/>
  <c r="AB2568" i="1"/>
  <c r="AA2568" i="1"/>
  <c r="Y2568" i="1"/>
  <c r="Z2568" i="1" s="1"/>
  <c r="E2568" i="1" s="1"/>
  <c r="AB2567" i="1"/>
  <c r="AA2567" i="1"/>
  <c r="Y2567" i="1"/>
  <c r="Z2567" i="1" s="1"/>
  <c r="E2567" i="1" s="1"/>
  <c r="AB2566" i="1"/>
  <c r="AA2566" i="1"/>
  <c r="Y2566" i="1"/>
  <c r="Z2566" i="1" s="1"/>
  <c r="E2566" i="1" s="1"/>
  <c r="AB2565" i="1"/>
  <c r="AA2565" i="1"/>
  <c r="Y2565" i="1"/>
  <c r="Z2565" i="1" s="1"/>
  <c r="E2565" i="1" s="1"/>
  <c r="AB2564" i="1"/>
  <c r="AA2564" i="1"/>
  <c r="Y2564" i="1"/>
  <c r="Z2564" i="1" s="1"/>
  <c r="E2564" i="1" s="1"/>
  <c r="AB2561" i="1"/>
  <c r="AB2562" i="1"/>
  <c r="AB2563" i="1"/>
  <c r="AA2561" i="1"/>
  <c r="AA2562" i="1"/>
  <c r="AA2563" i="1"/>
  <c r="Z2561" i="1"/>
  <c r="E2561" i="1" s="1"/>
  <c r="Z2562" i="1"/>
  <c r="E2562" i="1" s="1"/>
  <c r="Z2563" i="1"/>
  <c r="E2563" i="1" s="1"/>
  <c r="AB2560" i="1"/>
  <c r="AA2560" i="1"/>
  <c r="Y2560" i="1"/>
  <c r="Z2560" i="1" s="1"/>
  <c r="E2560" i="1" s="1"/>
  <c r="AB2559" i="1"/>
  <c r="AA2559" i="1"/>
  <c r="Y2559" i="1"/>
  <c r="Z2559" i="1" s="1"/>
  <c r="E2559" i="1" s="1"/>
  <c r="AB2558" i="1"/>
  <c r="AA2558" i="1"/>
  <c r="Y2558" i="1"/>
  <c r="Z2558" i="1" s="1"/>
  <c r="E2558" i="1" s="1"/>
  <c r="AB2557" i="1"/>
  <c r="AA2557" i="1"/>
  <c r="Y2557" i="1"/>
  <c r="Z2557" i="1" s="1"/>
  <c r="E2557" i="1" s="1"/>
  <c r="AB2556" i="1"/>
  <c r="AA2556" i="1"/>
  <c r="Y2556" i="1"/>
  <c r="Z2556" i="1" s="1"/>
  <c r="E2556" i="1" s="1"/>
  <c r="AB2555" i="1"/>
  <c r="AA2555" i="1"/>
  <c r="Y2555" i="1"/>
  <c r="Z2555" i="1" s="1"/>
  <c r="E2555" i="1" s="1"/>
  <c r="AB2554" i="1"/>
  <c r="AA2554" i="1"/>
  <c r="Y2554" i="1"/>
  <c r="Z2554" i="1" s="1"/>
  <c r="E2554" i="1" s="1"/>
  <c r="AB2553" i="1"/>
  <c r="AA2553" i="1"/>
  <c r="Y2553" i="1"/>
  <c r="Z2553" i="1" s="1"/>
  <c r="E2553" i="1" s="1"/>
  <c r="AB2552" i="1"/>
  <c r="AA2552" i="1"/>
  <c r="Y2552" i="1"/>
  <c r="Z2552" i="1" s="1"/>
  <c r="E2552" i="1" s="1"/>
  <c r="AB2551" i="1"/>
  <c r="AA2551" i="1"/>
  <c r="Y2551" i="1"/>
  <c r="Z2551" i="1" s="1"/>
  <c r="E2551" i="1" s="1"/>
  <c r="AB2549" i="1"/>
  <c r="AA2549" i="1"/>
  <c r="Y2549" i="1"/>
  <c r="Z2549" i="1" s="1"/>
  <c r="E2549" i="1" s="1"/>
  <c r="AB2548" i="1"/>
  <c r="AA2548" i="1"/>
  <c r="Y2548" i="1"/>
  <c r="Z2548" i="1" s="1"/>
  <c r="E2548" i="1" s="1"/>
  <c r="AB2547" i="1"/>
  <c r="AA2547" i="1"/>
  <c r="Y2547" i="1"/>
  <c r="Z2547" i="1" s="1"/>
  <c r="E2547" i="1" s="1"/>
  <c r="AB2546" i="1"/>
  <c r="AA2546" i="1"/>
  <c r="Y2546" i="1"/>
  <c r="Z2546" i="1" s="1"/>
  <c r="E2546" i="1" s="1"/>
  <c r="AB2550" i="1"/>
  <c r="AA2550" i="1"/>
  <c r="Y2550" i="1"/>
  <c r="Z2550" i="1" s="1"/>
  <c r="E2550" i="1" s="1"/>
  <c r="AB2545" i="1"/>
  <c r="AA2545" i="1"/>
  <c r="Y2545" i="1"/>
  <c r="Z2545" i="1" s="1"/>
  <c r="E2545" i="1" s="1"/>
  <c r="AB2544" i="1"/>
  <c r="AA2544" i="1"/>
  <c r="Y2544" i="1"/>
  <c r="Z2544" i="1" s="1"/>
  <c r="E2544" i="1" s="1"/>
  <c r="AB2543" i="1"/>
  <c r="AA2543" i="1"/>
  <c r="Y2543" i="1"/>
  <c r="Z2543" i="1" s="1"/>
  <c r="E2543" i="1" s="1"/>
  <c r="P2543" i="1"/>
  <c r="AB2542" i="1"/>
  <c r="AA2542" i="1"/>
  <c r="Y2542" i="1"/>
  <c r="Z2542" i="1" s="1"/>
  <c r="E2542" i="1" s="1"/>
  <c r="P2542" i="1"/>
  <c r="AB2541" i="1"/>
  <c r="AA2541" i="1"/>
  <c r="Y2541" i="1"/>
  <c r="Z2541" i="1" s="1"/>
  <c r="E2541" i="1" s="1"/>
  <c r="P2541" i="1"/>
  <c r="AB2540" i="1"/>
  <c r="AA2540" i="1"/>
  <c r="Y2540" i="1"/>
  <c r="Z2540" i="1" s="1"/>
  <c r="E2540" i="1" s="1"/>
  <c r="P2540" i="1"/>
  <c r="AB2539" i="1"/>
  <c r="AA2539" i="1"/>
  <c r="Y2539" i="1"/>
  <c r="Z2539" i="1" s="1"/>
  <c r="E2539" i="1" s="1"/>
  <c r="P2539" i="1"/>
  <c r="AB2538" i="1"/>
  <c r="AA2538" i="1"/>
  <c r="Y2538" i="1"/>
  <c r="Z2538" i="1" s="1"/>
  <c r="E2538" i="1" s="1"/>
  <c r="P2538" i="1"/>
  <c r="AB2537" i="1"/>
  <c r="AA2537" i="1"/>
  <c r="Y2537" i="1"/>
  <c r="Z2537" i="1" s="1"/>
  <c r="E2537" i="1" s="1"/>
  <c r="P2537" i="1"/>
  <c r="AB2536" i="1"/>
  <c r="AA2536" i="1"/>
  <c r="Y2536" i="1"/>
  <c r="Z2536" i="1" s="1"/>
  <c r="E2536" i="1" s="1"/>
  <c r="P2536" i="1"/>
  <c r="AB2535" i="1"/>
  <c r="AA2535" i="1"/>
  <c r="Y2535" i="1"/>
  <c r="Z2535" i="1" s="1"/>
  <c r="E2535" i="1" s="1"/>
  <c r="P2535" i="1"/>
  <c r="AB2534" i="1"/>
  <c r="AA2534" i="1"/>
  <c r="Y2534" i="1"/>
  <c r="Z2534" i="1" s="1"/>
  <c r="E2534" i="1" s="1"/>
  <c r="P2534" i="1"/>
  <c r="AB2533" i="1"/>
  <c r="AA2533" i="1"/>
  <c r="Y2533" i="1"/>
  <c r="Z2533" i="1" s="1"/>
  <c r="E2533" i="1" s="1"/>
  <c r="P2533" i="1"/>
  <c r="AB2532" i="1"/>
  <c r="AA2532" i="1"/>
  <c r="Y2532" i="1"/>
  <c r="Z2532" i="1" s="1"/>
  <c r="E2532" i="1" s="1"/>
  <c r="P2532" i="1"/>
  <c r="AB2531" i="1"/>
  <c r="AA2531" i="1"/>
  <c r="Y2531" i="1"/>
  <c r="Z2531" i="1" s="1"/>
  <c r="E2531" i="1" s="1"/>
  <c r="P2531" i="1"/>
  <c r="AB2530" i="1"/>
  <c r="AA2530" i="1"/>
  <c r="Y2530" i="1"/>
  <c r="Z2530" i="1" s="1"/>
  <c r="E2530" i="1" s="1"/>
  <c r="P2530" i="1"/>
  <c r="AB2529" i="1"/>
  <c r="AA2529" i="1"/>
  <c r="Y2529" i="1"/>
  <c r="Z2529" i="1" s="1"/>
  <c r="E2529" i="1" s="1"/>
  <c r="P2529" i="1"/>
  <c r="AB2528" i="1"/>
  <c r="AA2528" i="1"/>
  <c r="Y2528" i="1"/>
  <c r="Z2528" i="1" s="1"/>
  <c r="E2528" i="1" s="1"/>
  <c r="P2528" i="1"/>
  <c r="AB2527" i="1"/>
  <c r="AA2527" i="1"/>
  <c r="Y2527" i="1"/>
  <c r="Z2527" i="1" s="1"/>
  <c r="E2527" i="1" s="1"/>
  <c r="P2527" i="1"/>
  <c r="AB2526" i="1"/>
  <c r="AA2526" i="1"/>
  <c r="Y2526" i="1"/>
  <c r="Z2526" i="1" s="1"/>
  <c r="E2526" i="1" s="1"/>
  <c r="P2526" i="1"/>
  <c r="AB2525" i="1"/>
  <c r="AA2525" i="1"/>
  <c r="Y2525" i="1"/>
  <c r="Z2525" i="1" s="1"/>
  <c r="E2525" i="1" s="1"/>
  <c r="P2525" i="1"/>
  <c r="AB2524" i="1"/>
  <c r="AA2524" i="1"/>
  <c r="Y2524" i="1"/>
  <c r="Z2524" i="1" s="1"/>
  <c r="E2524" i="1" s="1"/>
  <c r="P2524" i="1"/>
  <c r="AB2523" i="1"/>
  <c r="AA2523" i="1"/>
  <c r="Y2523" i="1"/>
  <c r="Z2523" i="1" s="1"/>
  <c r="E2523" i="1" s="1"/>
  <c r="P2523" i="1"/>
  <c r="AB2522" i="1"/>
  <c r="AA2522" i="1"/>
  <c r="Y2522" i="1"/>
  <c r="Z2522" i="1" s="1"/>
  <c r="E2522" i="1" s="1"/>
  <c r="P2522" i="1"/>
  <c r="AB2521" i="1"/>
  <c r="AA2521" i="1"/>
  <c r="Y2521" i="1"/>
  <c r="Z2521" i="1" s="1"/>
  <c r="E2521" i="1" s="1"/>
  <c r="P2521" i="1"/>
  <c r="AB2520" i="1"/>
  <c r="AA2520" i="1"/>
  <c r="Y2520" i="1"/>
  <c r="Z2520" i="1" s="1"/>
  <c r="E2520" i="1" s="1"/>
  <c r="P2520" i="1"/>
  <c r="AB2519" i="1"/>
  <c r="AA2519" i="1"/>
  <c r="Y2519" i="1"/>
  <c r="Z2519" i="1" s="1"/>
  <c r="E2519" i="1" s="1"/>
  <c r="P2519" i="1"/>
  <c r="AB2518" i="1"/>
  <c r="AA2518" i="1"/>
  <c r="Y2518" i="1"/>
  <c r="Z2518" i="1" s="1"/>
  <c r="E2518" i="1" s="1"/>
  <c r="P2518" i="1"/>
  <c r="AB2517" i="1"/>
  <c r="AA2517" i="1"/>
  <c r="Y2517" i="1"/>
  <c r="Z2517" i="1" s="1"/>
  <c r="E2517" i="1" s="1"/>
  <c r="P2517" i="1"/>
  <c r="AB2516" i="1"/>
  <c r="AA2516" i="1"/>
  <c r="Y2516" i="1"/>
  <c r="Z2516" i="1" s="1"/>
  <c r="E2516" i="1" s="1"/>
  <c r="P2516" i="1"/>
  <c r="AB2515" i="1"/>
  <c r="AA2515" i="1"/>
  <c r="Y2515" i="1"/>
  <c r="Z2515" i="1" s="1"/>
  <c r="E2515" i="1" s="1"/>
  <c r="P2515" i="1"/>
  <c r="AB2514" i="1"/>
  <c r="AA2514" i="1"/>
  <c r="Y2514" i="1"/>
  <c r="Z2514" i="1" s="1"/>
  <c r="E2514" i="1" s="1"/>
  <c r="P2514" i="1"/>
  <c r="AB2513" i="1"/>
  <c r="AA2513" i="1"/>
  <c r="Y2513" i="1"/>
  <c r="Z2513" i="1" s="1"/>
  <c r="E2513" i="1" s="1"/>
  <c r="P2513" i="1"/>
  <c r="AB2512" i="1"/>
  <c r="AA2512" i="1"/>
  <c r="Y2512" i="1"/>
  <c r="Z2512" i="1" s="1"/>
  <c r="E2512" i="1" s="1"/>
  <c r="P2512" i="1"/>
  <c r="AB2511" i="1"/>
  <c r="AA2511" i="1"/>
  <c r="Y2511" i="1"/>
  <c r="Z2511" i="1" s="1"/>
  <c r="E2511" i="1" s="1"/>
  <c r="P2511" i="1"/>
  <c r="AB2510" i="1"/>
  <c r="AA2510" i="1"/>
  <c r="Y2510" i="1"/>
  <c r="Z2510" i="1" s="1"/>
  <c r="E2510" i="1" s="1"/>
  <c r="P2510" i="1"/>
  <c r="AB2509" i="1"/>
  <c r="AA2509" i="1"/>
  <c r="Y2509" i="1"/>
  <c r="Z2509" i="1" s="1"/>
  <c r="E2509" i="1" s="1"/>
  <c r="P2509" i="1"/>
  <c r="AB2508" i="1"/>
  <c r="AA2508" i="1"/>
  <c r="Y2508" i="1"/>
  <c r="Z2508" i="1" s="1"/>
  <c r="E2508" i="1" s="1"/>
  <c r="P2508" i="1"/>
  <c r="AB2507" i="1"/>
  <c r="AA2507" i="1"/>
  <c r="Y2507" i="1"/>
  <c r="Z2507" i="1" s="1"/>
  <c r="E2507" i="1" s="1"/>
  <c r="P2507" i="1"/>
  <c r="AB2506" i="1"/>
  <c r="AA2506" i="1"/>
  <c r="Y2506" i="1"/>
  <c r="Z2506" i="1" s="1"/>
  <c r="E2506" i="1" s="1"/>
  <c r="P2506" i="1"/>
  <c r="AB2505" i="1"/>
  <c r="AA2505" i="1"/>
  <c r="Y2505" i="1"/>
  <c r="Z2505" i="1" s="1"/>
  <c r="E2505" i="1" s="1"/>
  <c r="P2505" i="1"/>
  <c r="AB2504" i="1"/>
  <c r="AA2504" i="1"/>
  <c r="Y2504" i="1"/>
  <c r="Z2504" i="1" s="1"/>
  <c r="E2504" i="1" s="1"/>
  <c r="P2504" i="1"/>
  <c r="AB2503" i="1"/>
  <c r="AA2503" i="1"/>
  <c r="Y2503" i="1"/>
  <c r="Z2503" i="1" s="1"/>
  <c r="E2503" i="1" s="1"/>
  <c r="P2503" i="1"/>
  <c r="AB2502" i="1"/>
  <c r="AA2502" i="1"/>
  <c r="Y2502" i="1"/>
  <c r="Z2502" i="1" s="1"/>
  <c r="E2502" i="1" s="1"/>
  <c r="P2502" i="1"/>
  <c r="AB2501" i="1"/>
  <c r="AA2501" i="1"/>
  <c r="Y2501" i="1"/>
  <c r="Z2501" i="1" s="1"/>
  <c r="E2501" i="1" s="1"/>
  <c r="P2501" i="1"/>
  <c r="AB2500" i="1"/>
  <c r="AA2500" i="1"/>
  <c r="Y2500" i="1"/>
  <c r="Z2500" i="1" s="1"/>
  <c r="E2500" i="1" s="1"/>
  <c r="P2500" i="1"/>
  <c r="AB2499" i="1"/>
  <c r="AA2499" i="1"/>
  <c r="Y2499" i="1"/>
  <c r="Z2499" i="1" s="1"/>
  <c r="E2499" i="1" s="1"/>
  <c r="P2499" i="1"/>
  <c r="AB2498" i="1"/>
  <c r="AA2498" i="1"/>
  <c r="Y2498" i="1"/>
  <c r="Z2498" i="1" s="1"/>
  <c r="E2498" i="1" s="1"/>
  <c r="P2498" i="1"/>
  <c r="AB2497" i="1"/>
  <c r="AA2497" i="1"/>
  <c r="Y2497" i="1"/>
  <c r="Z2497" i="1" s="1"/>
  <c r="E2497" i="1" s="1"/>
  <c r="P2497" i="1"/>
  <c r="AB2496" i="1"/>
  <c r="AA2496" i="1"/>
  <c r="Y2496" i="1"/>
  <c r="Z2496" i="1" s="1"/>
  <c r="E2496" i="1" s="1"/>
  <c r="P2496" i="1"/>
  <c r="AB2495" i="1"/>
  <c r="AA2495" i="1"/>
  <c r="Y2495" i="1"/>
  <c r="Z2495" i="1" s="1"/>
  <c r="E2495" i="1" s="1"/>
  <c r="P2495" i="1"/>
  <c r="AB2494" i="1"/>
  <c r="AA2494" i="1"/>
  <c r="Y2494" i="1"/>
  <c r="Z2494" i="1" s="1"/>
  <c r="E2494" i="1" s="1"/>
  <c r="P2494" i="1"/>
  <c r="AB2493" i="1"/>
  <c r="AA2493" i="1"/>
  <c r="Y2493" i="1"/>
  <c r="Z2493" i="1" s="1"/>
  <c r="E2493" i="1" s="1"/>
  <c r="P2493" i="1"/>
  <c r="AB2492" i="1"/>
  <c r="AA2492" i="1"/>
  <c r="Y2492" i="1"/>
  <c r="Z2492" i="1" s="1"/>
  <c r="E2492" i="1" s="1"/>
  <c r="P2492" i="1"/>
  <c r="AB2491" i="1"/>
  <c r="AA2491" i="1"/>
  <c r="Y2491" i="1"/>
  <c r="Z2491" i="1" s="1"/>
  <c r="E2491" i="1" s="1"/>
  <c r="P2491" i="1"/>
  <c r="AB2490" i="1"/>
  <c r="AA2490" i="1"/>
  <c r="Y2490" i="1"/>
  <c r="Z2490" i="1" s="1"/>
  <c r="E2490" i="1" s="1"/>
  <c r="P2490" i="1"/>
  <c r="AB2489" i="1"/>
  <c r="AA2489" i="1"/>
  <c r="Y2489" i="1"/>
  <c r="Z2489" i="1" s="1"/>
  <c r="E2489" i="1" s="1"/>
  <c r="P2489" i="1"/>
  <c r="AB2488" i="1"/>
  <c r="AA2488" i="1"/>
  <c r="Y2488" i="1"/>
  <c r="Z2488" i="1" s="1"/>
  <c r="E2488" i="1" s="1"/>
  <c r="P2488" i="1"/>
  <c r="AB2487" i="1"/>
  <c r="AA2487" i="1"/>
  <c r="Y2487" i="1"/>
  <c r="Z2487" i="1" s="1"/>
  <c r="E2487" i="1" s="1"/>
  <c r="P2487" i="1"/>
  <c r="AB2486" i="1"/>
  <c r="AA2486" i="1"/>
  <c r="Y2486" i="1"/>
  <c r="Z2486" i="1" s="1"/>
  <c r="E2486" i="1" s="1"/>
  <c r="P2486" i="1"/>
  <c r="AB2485" i="1"/>
  <c r="AA2485" i="1"/>
  <c r="Y2485" i="1"/>
  <c r="Z2485" i="1" s="1"/>
  <c r="E2485" i="1" s="1"/>
  <c r="P2485" i="1"/>
  <c r="AB2484" i="1"/>
  <c r="AA2484" i="1"/>
  <c r="Y2484" i="1"/>
  <c r="Z2484" i="1" s="1"/>
  <c r="E2484" i="1" s="1"/>
  <c r="P2484" i="1"/>
  <c r="AB2483" i="1"/>
  <c r="AA2483" i="1"/>
  <c r="Y2483" i="1"/>
  <c r="Z2483" i="1" s="1"/>
  <c r="E2483" i="1" s="1"/>
  <c r="P2483" i="1"/>
  <c r="AB2482" i="1"/>
  <c r="AA2482" i="1"/>
  <c r="Y2482" i="1"/>
  <c r="Z2482" i="1" s="1"/>
  <c r="E2482" i="1" s="1"/>
  <c r="P2482" i="1"/>
  <c r="AB2481" i="1"/>
  <c r="AA2481" i="1"/>
  <c r="Y2481" i="1"/>
  <c r="Z2481" i="1" s="1"/>
  <c r="E2481" i="1" s="1"/>
  <c r="P2481" i="1"/>
  <c r="AB2480" i="1"/>
  <c r="AA2480" i="1"/>
  <c r="Y2480" i="1"/>
  <c r="Z2480" i="1" s="1"/>
  <c r="E2480" i="1" s="1"/>
  <c r="P2480" i="1"/>
  <c r="AB2479" i="1"/>
  <c r="AA2479" i="1"/>
  <c r="Y2479" i="1"/>
  <c r="Z2479" i="1" s="1"/>
  <c r="E2479" i="1" s="1"/>
  <c r="P2479" i="1"/>
  <c r="AB2478" i="1"/>
  <c r="AA2478" i="1"/>
  <c r="Y2478" i="1"/>
  <c r="Z2478" i="1" s="1"/>
  <c r="E2478" i="1" s="1"/>
  <c r="P2478" i="1"/>
  <c r="AB2477" i="1"/>
  <c r="AA2477" i="1"/>
  <c r="Y2477" i="1"/>
  <c r="Z2477" i="1" s="1"/>
  <c r="E2477" i="1" s="1"/>
  <c r="P2477" i="1"/>
  <c r="AB2476" i="1"/>
  <c r="AA2476" i="1"/>
  <c r="Y2476" i="1"/>
  <c r="Z2476" i="1" s="1"/>
  <c r="E2476" i="1" s="1"/>
  <c r="P2476" i="1"/>
  <c r="AB2475" i="1"/>
  <c r="AA2475" i="1"/>
  <c r="Y2475" i="1"/>
  <c r="Z2475" i="1" s="1"/>
  <c r="E2475" i="1" s="1"/>
  <c r="P2475" i="1"/>
  <c r="AB2474" i="1"/>
  <c r="AA2474" i="1"/>
  <c r="Y2474" i="1"/>
  <c r="Z2474" i="1" s="1"/>
  <c r="E2474" i="1" s="1"/>
  <c r="P2474" i="1"/>
  <c r="AB2473" i="1"/>
  <c r="AA2473" i="1"/>
  <c r="Y2473" i="1"/>
  <c r="Z2473" i="1" s="1"/>
  <c r="E2473" i="1" s="1"/>
  <c r="P2473" i="1"/>
  <c r="AB2472" i="1"/>
  <c r="AA2472" i="1"/>
  <c r="Y2472" i="1"/>
  <c r="Z2472" i="1" s="1"/>
  <c r="E2472" i="1" s="1"/>
  <c r="P2472" i="1"/>
  <c r="AB2471" i="1"/>
  <c r="AA2471" i="1"/>
  <c r="Y2471" i="1"/>
  <c r="Z2471" i="1" s="1"/>
  <c r="E2471" i="1" s="1"/>
  <c r="P2471" i="1"/>
  <c r="AB2470" i="1"/>
  <c r="AA2470" i="1"/>
  <c r="Y2470" i="1"/>
  <c r="Z2470" i="1" s="1"/>
  <c r="E2470" i="1" s="1"/>
  <c r="P2470" i="1"/>
  <c r="AB2469" i="1"/>
  <c r="AA2469" i="1"/>
  <c r="Y2469" i="1"/>
  <c r="Z2469" i="1" s="1"/>
  <c r="E2469" i="1" s="1"/>
  <c r="P2469" i="1"/>
  <c r="AB2468" i="1"/>
  <c r="AA2468" i="1"/>
  <c r="Y2468" i="1"/>
  <c r="Z2468" i="1" s="1"/>
  <c r="E2468" i="1" s="1"/>
  <c r="P2468" i="1"/>
  <c r="AB2467" i="1"/>
  <c r="AA2467" i="1"/>
  <c r="Y2467" i="1"/>
  <c r="Z2467" i="1" s="1"/>
  <c r="E2467" i="1" s="1"/>
  <c r="P2467" i="1"/>
  <c r="AB2466" i="1"/>
  <c r="AA2466" i="1"/>
  <c r="Y2466" i="1"/>
  <c r="Z2466" i="1" s="1"/>
  <c r="E2466" i="1" s="1"/>
  <c r="P2466" i="1"/>
  <c r="AB2465" i="1"/>
  <c r="AA2465" i="1"/>
  <c r="Y2465" i="1"/>
  <c r="Z2465" i="1" s="1"/>
  <c r="E2465" i="1" s="1"/>
  <c r="P2465" i="1"/>
  <c r="AB2464" i="1"/>
  <c r="AA2464" i="1"/>
  <c r="Y2464" i="1"/>
  <c r="Z2464" i="1" s="1"/>
  <c r="E2464" i="1" s="1"/>
  <c r="P2464" i="1"/>
  <c r="AB2463" i="1"/>
  <c r="AA2463" i="1"/>
  <c r="Y2463" i="1"/>
  <c r="Z2463" i="1" s="1"/>
  <c r="E2463" i="1" s="1"/>
  <c r="P2463" i="1"/>
  <c r="AB2462" i="1"/>
  <c r="AA2462" i="1"/>
  <c r="Y2462" i="1"/>
  <c r="Z2462" i="1" s="1"/>
  <c r="E2462" i="1" s="1"/>
  <c r="P2462" i="1"/>
  <c r="AB2461" i="1"/>
  <c r="AA2461" i="1"/>
  <c r="Y2461" i="1"/>
  <c r="Z2461" i="1" s="1"/>
  <c r="E2461" i="1" s="1"/>
  <c r="P2461" i="1"/>
  <c r="AB2460" i="1"/>
  <c r="AA2460" i="1"/>
  <c r="Y2460" i="1"/>
  <c r="Z2460" i="1" s="1"/>
  <c r="E2460" i="1" s="1"/>
  <c r="P2460" i="1"/>
  <c r="AB2459" i="1"/>
  <c r="AA2459" i="1"/>
  <c r="Y2459" i="1"/>
  <c r="Z2459" i="1" s="1"/>
  <c r="E2459" i="1" s="1"/>
  <c r="P2459" i="1"/>
  <c r="AB2458" i="1"/>
  <c r="AA2458" i="1"/>
  <c r="Y2458" i="1"/>
  <c r="Z2458" i="1" s="1"/>
  <c r="E2458" i="1" s="1"/>
  <c r="P2458" i="1"/>
  <c r="AB2457" i="1"/>
  <c r="AA2457" i="1"/>
  <c r="Y2457" i="1"/>
  <c r="Z2457" i="1" s="1"/>
  <c r="E2457" i="1" s="1"/>
  <c r="P2457" i="1"/>
  <c r="AB2456" i="1"/>
  <c r="AA2456" i="1"/>
  <c r="Y2456" i="1"/>
  <c r="Z2456" i="1" s="1"/>
  <c r="E2456" i="1" s="1"/>
  <c r="P2456" i="1"/>
  <c r="AB2455" i="1"/>
  <c r="AA2455" i="1"/>
  <c r="Y2455" i="1"/>
  <c r="Z2455" i="1" s="1"/>
  <c r="E2455" i="1" s="1"/>
  <c r="P2455" i="1"/>
  <c r="AB2454" i="1"/>
  <c r="AA2454" i="1"/>
  <c r="Y2454" i="1"/>
  <c r="Z2454" i="1" s="1"/>
  <c r="E2454" i="1" s="1"/>
  <c r="P2454" i="1"/>
  <c r="AB2453" i="1"/>
  <c r="AA2453" i="1"/>
  <c r="Y2453" i="1"/>
  <c r="Z2453" i="1" s="1"/>
  <c r="E2453" i="1" s="1"/>
  <c r="P2453" i="1"/>
  <c r="AB2452" i="1"/>
  <c r="AA2452" i="1"/>
  <c r="Y2452" i="1"/>
  <c r="Z2452" i="1" s="1"/>
  <c r="E2452" i="1" s="1"/>
  <c r="P2452" i="1"/>
  <c r="AB2451" i="1"/>
  <c r="AA2451" i="1"/>
  <c r="Y2451" i="1"/>
  <c r="Z2451" i="1" s="1"/>
  <c r="E2451" i="1" s="1"/>
  <c r="P2451" i="1"/>
  <c r="AB2450" i="1"/>
  <c r="AA2450" i="1"/>
  <c r="Y2450" i="1"/>
  <c r="Z2450" i="1" s="1"/>
  <c r="E2450" i="1" s="1"/>
  <c r="P2450" i="1"/>
  <c r="AB2449" i="1"/>
  <c r="AA2449" i="1"/>
  <c r="Y2449" i="1"/>
  <c r="Z2449" i="1" s="1"/>
  <c r="E2449" i="1" s="1"/>
  <c r="P2449" i="1"/>
  <c r="AB2448" i="1"/>
  <c r="AA2448" i="1"/>
  <c r="Y2448" i="1"/>
  <c r="Z2448" i="1" s="1"/>
  <c r="E2448" i="1" s="1"/>
  <c r="P2448" i="1"/>
  <c r="AB2447" i="1"/>
  <c r="AA2447" i="1"/>
  <c r="Y2447" i="1"/>
  <c r="Z2447" i="1" s="1"/>
  <c r="E2447" i="1" s="1"/>
  <c r="P2447" i="1"/>
  <c r="AB2446" i="1"/>
  <c r="AA2446" i="1"/>
  <c r="Y2446" i="1"/>
  <c r="Z2446" i="1" s="1"/>
  <c r="E2446" i="1" s="1"/>
  <c r="P2446" i="1"/>
  <c r="AB2445" i="1"/>
  <c r="AA2445" i="1"/>
  <c r="Y2445" i="1"/>
  <c r="Z2445" i="1" s="1"/>
  <c r="E2445" i="1" s="1"/>
  <c r="P2445" i="1"/>
  <c r="AB2444" i="1"/>
  <c r="AA2444" i="1"/>
  <c r="Y2444" i="1"/>
  <c r="Z2444" i="1" s="1"/>
  <c r="E2444" i="1" s="1"/>
  <c r="P2444" i="1"/>
  <c r="AB2443" i="1"/>
  <c r="AA2443" i="1"/>
  <c r="Y2443" i="1"/>
  <c r="Z2443" i="1" s="1"/>
  <c r="E2443" i="1" s="1"/>
  <c r="P2443" i="1"/>
  <c r="AB2442" i="1"/>
  <c r="AA2442" i="1"/>
  <c r="Y2442" i="1"/>
  <c r="Z2442" i="1" s="1"/>
  <c r="E2442" i="1" s="1"/>
  <c r="P2442" i="1"/>
  <c r="AB2441" i="1"/>
  <c r="AA2441" i="1"/>
  <c r="Y2441" i="1"/>
  <c r="Z2441" i="1" s="1"/>
  <c r="E2441" i="1" s="1"/>
  <c r="P2441" i="1"/>
  <c r="AB2440" i="1"/>
  <c r="AA2440" i="1"/>
  <c r="Y2440" i="1"/>
  <c r="Z2440" i="1" s="1"/>
  <c r="E2440" i="1" s="1"/>
  <c r="P2440" i="1"/>
  <c r="AB2439" i="1"/>
  <c r="AA2439" i="1"/>
  <c r="Y2439" i="1"/>
  <c r="Z2439" i="1" s="1"/>
  <c r="E2439" i="1" s="1"/>
  <c r="P2439" i="1"/>
  <c r="AB2438" i="1"/>
  <c r="AA2438" i="1"/>
  <c r="Y2438" i="1"/>
  <c r="Z2438" i="1" s="1"/>
  <c r="E2438" i="1" s="1"/>
  <c r="P2438" i="1"/>
  <c r="AB2437" i="1"/>
  <c r="AA2437" i="1"/>
  <c r="Y2437" i="1"/>
  <c r="Z2437" i="1" s="1"/>
  <c r="E2437" i="1" s="1"/>
  <c r="P2437" i="1"/>
  <c r="AB2436" i="1"/>
  <c r="AA2436" i="1"/>
  <c r="Y2436" i="1"/>
  <c r="Z2436" i="1" s="1"/>
  <c r="E2436" i="1" s="1"/>
  <c r="P2436" i="1"/>
  <c r="AB2435" i="1"/>
  <c r="AA2435" i="1"/>
  <c r="Y2435" i="1"/>
  <c r="Z2435" i="1" s="1"/>
  <c r="E2435" i="1" s="1"/>
  <c r="P2435" i="1"/>
  <c r="AB2434" i="1"/>
  <c r="AA2434" i="1"/>
  <c r="Y2434" i="1"/>
  <c r="Z2434" i="1" s="1"/>
  <c r="E2434" i="1" s="1"/>
  <c r="P2434" i="1"/>
  <c r="AB2433" i="1"/>
  <c r="AA2433" i="1"/>
  <c r="Y2433" i="1"/>
  <c r="Z2433" i="1" s="1"/>
  <c r="E2433" i="1" s="1"/>
  <c r="P2433" i="1"/>
  <c r="AB2432" i="1"/>
  <c r="AA2432" i="1"/>
  <c r="Y2432" i="1"/>
  <c r="Z2432" i="1" s="1"/>
  <c r="E2432" i="1" s="1"/>
  <c r="P2432" i="1"/>
  <c r="AB2431" i="1"/>
  <c r="AA2431" i="1"/>
  <c r="Y2431" i="1"/>
  <c r="Z2431" i="1" s="1"/>
  <c r="E2431" i="1" s="1"/>
  <c r="P2431" i="1"/>
  <c r="AB2430" i="1"/>
  <c r="AA2430" i="1"/>
  <c r="Y2430" i="1"/>
  <c r="Z2430" i="1" s="1"/>
  <c r="E2430" i="1" s="1"/>
  <c r="P2430" i="1"/>
  <c r="AB2429" i="1"/>
  <c r="AA2429" i="1"/>
  <c r="Y2429" i="1"/>
  <c r="Z2429" i="1" s="1"/>
  <c r="E2429" i="1" s="1"/>
  <c r="P2429" i="1"/>
  <c r="AB2428" i="1"/>
  <c r="AA2428" i="1"/>
  <c r="Y2428" i="1"/>
  <c r="Z2428" i="1" s="1"/>
  <c r="E2428" i="1" s="1"/>
  <c r="P2428" i="1"/>
  <c r="AB2419" i="1"/>
  <c r="AB2420" i="1"/>
  <c r="AB2421" i="1"/>
  <c r="AB2422" i="1"/>
  <c r="AB2423" i="1"/>
  <c r="AB2424" i="1"/>
  <c r="AB2425" i="1"/>
  <c r="AB2426" i="1"/>
  <c r="AB2427" i="1"/>
  <c r="AA2419" i="1"/>
  <c r="AA2420" i="1"/>
  <c r="AA2421" i="1"/>
  <c r="AA2422" i="1"/>
  <c r="AA2423" i="1"/>
  <c r="AA2424" i="1"/>
  <c r="AA2425" i="1"/>
  <c r="AA2426" i="1"/>
  <c r="AA2427" i="1"/>
  <c r="Y2427" i="1"/>
  <c r="Z2427" i="1" s="1"/>
  <c r="E2427" i="1" s="1"/>
  <c r="Y2426" i="1"/>
  <c r="Z2426" i="1" s="1"/>
  <c r="E2426" i="1" s="1"/>
  <c r="Y2425" i="1"/>
  <c r="Z2425" i="1" s="1"/>
  <c r="E2425" i="1" s="1"/>
  <c r="Y2424" i="1"/>
  <c r="Z2424" i="1" s="1"/>
  <c r="E2424" i="1" s="1"/>
  <c r="Y2423" i="1"/>
  <c r="Z2423" i="1" s="1"/>
  <c r="E2423" i="1" s="1"/>
  <c r="Y2422" i="1"/>
  <c r="Z2422" i="1" s="1"/>
  <c r="E2422" i="1" s="1"/>
  <c r="Y2421" i="1"/>
  <c r="Z2421" i="1" s="1"/>
  <c r="E2421" i="1" s="1"/>
  <c r="Y2420" i="1"/>
  <c r="Z2420" i="1" s="1"/>
  <c r="E2420" i="1" s="1"/>
  <c r="Y2419" i="1"/>
  <c r="Z2419" i="1" s="1"/>
  <c r="E2419" i="1" s="1"/>
  <c r="P2427" i="1"/>
  <c r="P2426" i="1"/>
  <c r="P2425" i="1"/>
  <c r="P2424" i="1"/>
  <c r="P2423" i="1"/>
  <c r="P2422" i="1"/>
  <c r="P2421" i="1"/>
  <c r="P2420" i="1"/>
  <c r="P2419" i="1"/>
  <c r="P2418" i="1"/>
  <c r="P2417" i="1"/>
  <c r="P2416" i="1"/>
  <c r="P2415" i="1"/>
  <c r="P2414" i="1"/>
  <c r="P2413" i="1"/>
  <c r="P2412" i="1"/>
  <c r="P2411" i="1"/>
  <c r="P2410" i="1"/>
  <c r="P2409" i="1"/>
  <c r="P2408" i="1"/>
  <c r="P2407" i="1"/>
  <c r="P2406" i="1"/>
  <c r="P2405" i="1"/>
  <c r="P2404" i="1"/>
  <c r="P2403" i="1"/>
  <c r="P2402" i="1"/>
  <c r="P2401" i="1"/>
  <c r="P2400" i="1"/>
  <c r="P2399" i="1"/>
  <c r="AB2418" i="1"/>
  <c r="AA2418" i="1"/>
  <c r="Y2418" i="1"/>
  <c r="Z2418" i="1" s="1"/>
  <c r="E2418" i="1" s="1"/>
  <c r="AB2417" i="1"/>
  <c r="AA2417" i="1"/>
  <c r="Y2417" i="1"/>
  <c r="Z2417" i="1" s="1"/>
  <c r="E2417" i="1" s="1"/>
  <c r="AB2416" i="1"/>
  <c r="AA2416" i="1"/>
  <c r="Y2416" i="1"/>
  <c r="Z2416" i="1" s="1"/>
  <c r="E2416" i="1" s="1"/>
  <c r="AB2415" i="1"/>
  <c r="AA2415" i="1"/>
  <c r="Y2415" i="1"/>
  <c r="Z2415" i="1" s="1"/>
  <c r="E2415" i="1" s="1"/>
  <c r="AB2414" i="1"/>
  <c r="AA2414" i="1"/>
  <c r="Y2414" i="1"/>
  <c r="Z2414" i="1" s="1"/>
  <c r="E2414" i="1" s="1"/>
  <c r="AB2413" i="1"/>
  <c r="AA2413" i="1"/>
  <c r="Y2413" i="1"/>
  <c r="Z2413" i="1" s="1"/>
  <c r="E2413" i="1" s="1"/>
  <c r="AB2412" i="1"/>
  <c r="AA2412" i="1"/>
  <c r="Y2412" i="1"/>
  <c r="Z2412" i="1" s="1"/>
  <c r="E2412" i="1" s="1"/>
  <c r="AB2411" i="1"/>
  <c r="AA2411" i="1"/>
  <c r="Y2411" i="1"/>
  <c r="Z2411" i="1" s="1"/>
  <c r="E2411" i="1" s="1"/>
  <c r="AB2410" i="1"/>
  <c r="AA2410" i="1"/>
  <c r="Y2410" i="1"/>
  <c r="Z2410" i="1" s="1"/>
  <c r="E2410" i="1" s="1"/>
  <c r="AB2409" i="1"/>
  <c r="AA2409" i="1"/>
  <c r="Y2409" i="1"/>
  <c r="Z2409" i="1" s="1"/>
  <c r="E2409" i="1" s="1"/>
  <c r="AB2408" i="1"/>
  <c r="AA2408" i="1"/>
  <c r="Y2408" i="1"/>
  <c r="Z2408" i="1" s="1"/>
  <c r="E2408" i="1" s="1"/>
  <c r="AB2407" i="1"/>
  <c r="AA2407" i="1"/>
  <c r="Y2407" i="1"/>
  <c r="Z2407" i="1" s="1"/>
  <c r="E2407" i="1" s="1"/>
  <c r="AB2406" i="1"/>
  <c r="AA2406" i="1"/>
  <c r="Y2406" i="1"/>
  <c r="Z2406" i="1" s="1"/>
  <c r="E2406" i="1" s="1"/>
  <c r="AB2405" i="1"/>
  <c r="AA2405" i="1"/>
  <c r="Y2405" i="1"/>
  <c r="Z2405" i="1" s="1"/>
  <c r="E2405" i="1" s="1"/>
  <c r="AB2404" i="1"/>
  <c r="AA2404" i="1"/>
  <c r="Y2404" i="1"/>
  <c r="Z2404" i="1" s="1"/>
  <c r="E2404" i="1" s="1"/>
  <c r="AB2403" i="1"/>
  <c r="AA2403" i="1"/>
  <c r="Y2403" i="1"/>
  <c r="Z2403" i="1" s="1"/>
  <c r="E2403" i="1" s="1"/>
  <c r="AB2402" i="1"/>
  <c r="AA2402" i="1"/>
  <c r="Y2402" i="1"/>
  <c r="Z2402" i="1" s="1"/>
  <c r="E2402" i="1" s="1"/>
  <c r="AB2401" i="1"/>
  <c r="AA2401" i="1"/>
  <c r="Y2401" i="1"/>
  <c r="Z2401" i="1" s="1"/>
  <c r="E2401" i="1" s="1"/>
  <c r="AB2400" i="1"/>
  <c r="AA2400" i="1"/>
  <c r="Y2400" i="1"/>
  <c r="Z2400" i="1" s="1"/>
  <c r="E2400" i="1" s="1"/>
  <c r="AB2399" i="1"/>
  <c r="AA2399" i="1"/>
  <c r="Y2399" i="1"/>
  <c r="Z2399" i="1" s="1"/>
  <c r="E2399" i="1" s="1"/>
  <c r="AB2398" i="1"/>
  <c r="P2398" i="1"/>
  <c r="AB2397" i="1"/>
  <c r="P2397" i="1"/>
  <c r="AB2396" i="1"/>
  <c r="P2396" i="1"/>
  <c r="AB2395" i="1"/>
  <c r="P2395" i="1"/>
  <c r="AB2394" i="1"/>
  <c r="P2394" i="1"/>
  <c r="AB2393" i="1"/>
  <c r="P2393" i="1"/>
  <c r="AB2392" i="1"/>
  <c r="AB2391" i="1"/>
  <c r="AB2390" i="1"/>
  <c r="AB2389" i="1"/>
  <c r="AB2388" i="1"/>
  <c r="AB2378" i="1"/>
  <c r="AB2379" i="1"/>
  <c r="AB2380" i="1"/>
  <c r="AB2381" i="1"/>
  <c r="AB2382" i="1"/>
  <c r="AB2383" i="1"/>
  <c r="AB2384" i="1"/>
  <c r="AB2385" i="1"/>
  <c r="AB2386" i="1"/>
  <c r="AB2387" i="1"/>
  <c r="AB2377" i="1"/>
  <c r="P2387" i="1"/>
  <c r="P2386" i="1"/>
  <c r="P2385" i="1"/>
  <c r="P2384" i="1"/>
  <c r="P2383" i="1"/>
  <c r="P2382" i="1"/>
  <c r="AA2376" i="1"/>
  <c r="AB2376" i="1"/>
  <c r="AB1878" i="1"/>
  <c r="AA1451" i="1"/>
  <c r="AA1878" i="1"/>
  <c r="Y2376" i="1"/>
  <c r="Z2376" i="1" s="1"/>
  <c r="E2376" i="1" s="1"/>
  <c r="S2376" i="1"/>
  <c r="P2376" i="1"/>
  <c r="P2174" i="1"/>
  <c r="P2222" i="1"/>
  <c r="P2046" i="1"/>
  <c r="P1170" i="1"/>
  <c r="P1166" i="1"/>
  <c r="P2011" i="1"/>
  <c r="P2064" i="1"/>
  <c r="P1886" i="1"/>
  <c r="P2105" i="1"/>
  <c r="P1876" i="1"/>
  <c r="P1878" i="1"/>
  <c r="P2101" i="1"/>
  <c r="P1500" i="1"/>
  <c r="AB1334" i="1"/>
  <c r="AB1342" i="1"/>
  <c r="AB2375" i="1"/>
  <c r="AA2375" i="1"/>
  <c r="AB2374" i="1"/>
  <c r="AA2374" i="1"/>
  <c r="AB2373" i="1"/>
  <c r="AA2373" i="1"/>
  <c r="AB2372" i="1"/>
  <c r="AA2372" i="1"/>
  <c r="AB2371" i="1"/>
  <c r="AA2371" i="1"/>
  <c r="AB2370" i="1"/>
  <c r="S2013" i="1"/>
  <c r="AA2370" i="1"/>
  <c r="AB2329" i="1"/>
  <c r="S2071" i="1"/>
  <c r="P1726" i="1"/>
  <c r="AB2328" i="1"/>
  <c r="AA2328" i="1"/>
  <c r="Y2328" i="1"/>
  <c r="Z2328" i="1" s="1"/>
  <c r="E2328" i="1" s="1"/>
  <c r="P2328" i="1"/>
  <c r="AA2329" i="1"/>
  <c r="Y2329" i="1"/>
  <c r="Z2329" i="1" s="1"/>
  <c r="E2329" i="1" s="1"/>
  <c r="P2329" i="1"/>
  <c r="P2326" i="1"/>
  <c r="P2325" i="1"/>
  <c r="P2324" i="1"/>
  <c r="P2322" i="1"/>
  <c r="P2321" i="1"/>
  <c r="AB2320" i="1"/>
  <c r="AB2327" i="1"/>
  <c r="AB2326" i="1"/>
  <c r="AB2325" i="1"/>
  <c r="AB2324" i="1"/>
  <c r="AB2323" i="1"/>
  <c r="AB2322" i="1"/>
  <c r="AB2321" i="1"/>
  <c r="AA2327" i="1"/>
  <c r="AA2326" i="1"/>
  <c r="AA2325" i="1"/>
  <c r="AA2324" i="1"/>
  <c r="AA2323" i="1"/>
  <c r="AA2322" i="1"/>
  <c r="AA2321" i="1"/>
  <c r="Y2327" i="1"/>
  <c r="Z2327" i="1" s="1"/>
  <c r="E2327" i="1" s="1"/>
  <c r="Y2326" i="1"/>
  <c r="Z2326" i="1" s="1"/>
  <c r="E2326" i="1" s="1"/>
  <c r="Y2325" i="1"/>
  <c r="Z2325" i="1" s="1"/>
  <c r="E2325" i="1" s="1"/>
  <c r="Y2324" i="1"/>
  <c r="Z2324" i="1" s="1"/>
  <c r="E2324" i="1" s="1"/>
  <c r="Y2323" i="1"/>
  <c r="Z2323" i="1" s="1"/>
  <c r="E2323" i="1" s="1"/>
  <c r="Y2322" i="1"/>
  <c r="Z2322" i="1" s="1"/>
  <c r="E2322" i="1" s="1"/>
  <c r="Y2321" i="1"/>
  <c r="Z2321" i="1" s="1"/>
  <c r="E2321" i="1" s="1"/>
  <c r="P2245" i="1"/>
  <c r="AB2298" i="1"/>
  <c r="AB2297" i="1"/>
  <c r="AA2298" i="1"/>
  <c r="AA2297" i="1"/>
  <c r="Y2298" i="1"/>
  <c r="Z2298" i="1" s="1"/>
  <c r="E2298" i="1" s="1"/>
  <c r="Y2297" i="1"/>
  <c r="Z2297" i="1" s="1"/>
  <c r="E2297" i="1" s="1"/>
  <c r="P2320" i="1"/>
  <c r="P2319" i="1"/>
  <c r="P2318" i="1"/>
  <c r="P2317" i="1"/>
  <c r="P2316" i="1"/>
  <c r="P2315" i="1"/>
  <c r="AB2319" i="1"/>
  <c r="AB2318" i="1"/>
  <c r="AB2317" i="1"/>
  <c r="AB2316" i="1"/>
  <c r="AB2315" i="1"/>
  <c r="AA2320" i="1"/>
  <c r="AA2319" i="1"/>
  <c r="AA2318" i="1"/>
  <c r="AA2317" i="1"/>
  <c r="AA2316" i="1"/>
  <c r="AA2315" i="1"/>
  <c r="Y2320" i="1"/>
  <c r="Z2320" i="1" s="1"/>
  <c r="E2320" i="1" s="1"/>
  <c r="Y2319" i="1"/>
  <c r="Z2319" i="1" s="1"/>
  <c r="E2319" i="1" s="1"/>
  <c r="Y2318" i="1"/>
  <c r="Z2318" i="1" s="1"/>
  <c r="E2318" i="1" s="1"/>
  <c r="Y2317" i="1"/>
  <c r="Z2317" i="1" s="1"/>
  <c r="E2317" i="1" s="1"/>
  <c r="Y2316" i="1"/>
  <c r="Z2316" i="1" s="1"/>
  <c r="E2316" i="1" s="1"/>
  <c r="Y2315" i="1"/>
  <c r="Z2315" i="1" s="1"/>
  <c r="E2315" i="1" s="1"/>
  <c r="AB2314" i="1"/>
  <c r="AA2314" i="1"/>
  <c r="Y2314" i="1"/>
  <c r="Z2314" i="1" s="1"/>
  <c r="E2314" i="1" s="1"/>
  <c r="P2314" i="1"/>
  <c r="AB2313" i="1"/>
  <c r="AA2313" i="1"/>
  <c r="Y2313" i="1"/>
  <c r="Z2313" i="1" s="1"/>
  <c r="E2313" i="1" s="1"/>
  <c r="P2313" i="1"/>
  <c r="P2312" i="1"/>
  <c r="P2311" i="1"/>
  <c r="AB2312" i="1"/>
  <c r="AB2311" i="1"/>
  <c r="AA2312" i="1"/>
  <c r="AA2311" i="1"/>
  <c r="Y2312" i="1"/>
  <c r="Z2312" i="1" s="1"/>
  <c r="E2312" i="1" s="1"/>
  <c r="Y2311" i="1"/>
  <c r="Z2311" i="1" s="1"/>
  <c r="E2311" i="1" s="1"/>
  <c r="AB2310" i="1"/>
  <c r="AA2310" i="1"/>
  <c r="Y2310" i="1"/>
  <c r="Z2310" i="1" s="1"/>
  <c r="E2310" i="1" s="1"/>
  <c r="P2310" i="1"/>
  <c r="P2307" i="1"/>
  <c r="AB2309" i="1"/>
  <c r="AB2308" i="1"/>
  <c r="AB2307" i="1"/>
  <c r="AA2309" i="1"/>
  <c r="AA2308" i="1"/>
  <c r="AA2307" i="1"/>
  <c r="Y2309" i="1"/>
  <c r="Z2309" i="1" s="1"/>
  <c r="E2309" i="1" s="1"/>
  <c r="Y2308" i="1"/>
  <c r="Z2308" i="1" s="1"/>
  <c r="E2308" i="1" s="1"/>
  <c r="Y2307" i="1"/>
  <c r="Z2307" i="1" s="1"/>
  <c r="E2307" i="1" s="1"/>
  <c r="P2306" i="1"/>
  <c r="P2305" i="1"/>
  <c r="AB2306" i="1"/>
  <c r="AB2305" i="1"/>
  <c r="AB2304" i="1"/>
  <c r="AA2306" i="1"/>
  <c r="AA2305" i="1"/>
  <c r="AA2304" i="1"/>
  <c r="Y2306" i="1"/>
  <c r="Z2306" i="1" s="1"/>
  <c r="E2306" i="1" s="1"/>
  <c r="Y2305" i="1"/>
  <c r="Z2305" i="1" s="1"/>
  <c r="E2305" i="1" s="1"/>
  <c r="Y2304" i="1"/>
  <c r="Z2304" i="1" s="1"/>
  <c r="E2304" i="1" s="1"/>
  <c r="P2304" i="1"/>
  <c r="AB2303" i="1"/>
  <c r="AB2302" i="1"/>
  <c r="AA2303" i="1"/>
  <c r="AA2302" i="1"/>
  <c r="Y2303" i="1"/>
  <c r="Z2303" i="1" s="1"/>
  <c r="E2303" i="1" s="1"/>
  <c r="Y2302" i="1"/>
  <c r="Z2302" i="1" s="1"/>
  <c r="E2302" i="1" s="1"/>
  <c r="P2303" i="1"/>
  <c r="P2302" i="1"/>
  <c r="AB2301" i="1"/>
  <c r="AA2301" i="1"/>
  <c r="Y2301" i="1"/>
  <c r="Z2301" i="1" s="1"/>
  <c r="E2301" i="1" s="1"/>
  <c r="P2301" i="1"/>
  <c r="AB2300" i="1"/>
  <c r="AA2300" i="1"/>
  <c r="AA2299" i="1"/>
  <c r="Y2300" i="1"/>
  <c r="Z2300" i="1" s="1"/>
  <c r="E2300" i="1" s="1"/>
  <c r="Y2299" i="1"/>
  <c r="Z2299" i="1" s="1"/>
  <c r="E2299" i="1" s="1"/>
  <c r="P2300" i="1"/>
  <c r="AB2299" i="1"/>
  <c r="P2299" i="1"/>
  <c r="AB2296" i="1"/>
  <c r="AA2296" i="1"/>
  <c r="Y2296" i="1"/>
  <c r="Z2296" i="1" s="1"/>
  <c r="E2296" i="1" s="1"/>
  <c r="AB2295" i="1"/>
  <c r="AA2295" i="1"/>
  <c r="Y2295" i="1"/>
  <c r="Z2295" i="1" s="1"/>
  <c r="E2295" i="1" s="1"/>
  <c r="P2295" i="1"/>
  <c r="AB2294" i="1"/>
  <c r="AA2294" i="1"/>
  <c r="Y2294" i="1"/>
  <c r="Z2294" i="1" s="1"/>
  <c r="E2294" i="1" s="1"/>
  <c r="S2294" i="1"/>
  <c r="P2294" i="1"/>
  <c r="AB2293" i="1"/>
  <c r="AA2293" i="1"/>
  <c r="Y2293" i="1"/>
  <c r="Z2293" i="1" s="1"/>
  <c r="E2293" i="1" s="1"/>
  <c r="S2293" i="1"/>
  <c r="P2293" i="1"/>
  <c r="AB2292" i="1"/>
  <c r="AA2292" i="1"/>
  <c r="Y2292" i="1"/>
  <c r="Z2292" i="1" s="1"/>
  <c r="E2292" i="1" s="1"/>
  <c r="P2292" i="1"/>
  <c r="AB2291" i="1"/>
  <c r="AA2291" i="1"/>
  <c r="Y2291" i="1"/>
  <c r="Z2291" i="1" s="1"/>
  <c r="E2291" i="1" s="1"/>
  <c r="P2291" i="1"/>
  <c r="AB2290" i="1"/>
  <c r="AA2290" i="1"/>
  <c r="Y2290" i="1"/>
  <c r="Z2290" i="1" s="1"/>
  <c r="E2290" i="1" s="1"/>
  <c r="P2290" i="1"/>
  <c r="AB2289" i="1"/>
  <c r="AA2289" i="1"/>
  <c r="Y2289" i="1"/>
  <c r="Z2289" i="1" s="1"/>
  <c r="E2289" i="1" s="1"/>
  <c r="P2289" i="1"/>
  <c r="AB2288" i="1"/>
  <c r="AA2288" i="1"/>
  <c r="Y2288" i="1"/>
  <c r="Z2288" i="1" s="1"/>
  <c r="E2288" i="1" s="1"/>
  <c r="P2288" i="1"/>
  <c r="AB2287" i="1"/>
  <c r="AA2287" i="1"/>
  <c r="Y2287" i="1"/>
  <c r="Z2287" i="1" s="1"/>
  <c r="E2287" i="1" s="1"/>
  <c r="O2287" i="1"/>
  <c r="P2287" i="1"/>
  <c r="AB2286" i="1"/>
  <c r="AA2286" i="1"/>
  <c r="Y2286" i="1"/>
  <c r="Z2286" i="1" s="1"/>
  <c r="E2286" i="1" s="1"/>
  <c r="P2286" i="1"/>
  <c r="AB2285" i="1"/>
  <c r="AB2284" i="1"/>
  <c r="AA2285" i="1"/>
  <c r="AA2284" i="1"/>
  <c r="Y2285" i="1"/>
  <c r="Z2285" i="1" s="1"/>
  <c r="E2285" i="1" s="1"/>
  <c r="Y2284" i="1"/>
  <c r="Z2284" i="1" s="1"/>
  <c r="E2284" i="1" s="1"/>
  <c r="P2285" i="1"/>
  <c r="P2284" i="1"/>
  <c r="AB2283" i="1"/>
  <c r="AA2283" i="1"/>
  <c r="Y2283" i="1"/>
  <c r="Z2283" i="1" s="1"/>
  <c r="E2283" i="1" s="1"/>
  <c r="P2283" i="1"/>
  <c r="AB2282" i="1"/>
  <c r="AA2282" i="1"/>
  <c r="Y2282" i="1"/>
  <c r="Z2282" i="1" s="1"/>
  <c r="E2282" i="1" s="1"/>
  <c r="P2282" i="1"/>
  <c r="AA2281" i="1"/>
  <c r="AB2281" i="1"/>
  <c r="Y2281" i="1"/>
  <c r="Z2281" i="1" s="1"/>
  <c r="E2281" i="1" s="1"/>
  <c r="S2281" i="1"/>
  <c r="P2281" i="1"/>
  <c r="S2280" i="1"/>
  <c r="P2280" i="1"/>
  <c r="AB2280" i="1"/>
  <c r="AA2280" i="1"/>
  <c r="Y2280" i="1"/>
  <c r="Z2280" i="1" s="1"/>
  <c r="E2280" i="1" s="1"/>
  <c r="AB2215" i="1"/>
  <c r="AA2215" i="1"/>
  <c r="Y2215" i="1"/>
  <c r="Z2215" i="1" s="1"/>
  <c r="E2215" i="1" s="1"/>
  <c r="S2215" i="1"/>
  <c r="P2215" i="1"/>
  <c r="AB2277" i="1"/>
  <c r="AA2277" i="1"/>
  <c r="Y2277" i="1"/>
  <c r="Z2277" i="1" s="1"/>
  <c r="E2277" i="1" s="1"/>
  <c r="AB2279" i="1"/>
  <c r="AA2279" i="1"/>
  <c r="Y2279" i="1"/>
  <c r="Z2279" i="1" s="1"/>
  <c r="E2279" i="1" s="1"/>
  <c r="S2279" i="1"/>
  <c r="P2279" i="1"/>
  <c r="S2277" i="1"/>
  <c r="R2277" i="1"/>
  <c r="P2277" i="1"/>
  <c r="O2277" i="1"/>
  <c r="P2278" i="1"/>
  <c r="Y2278" i="1"/>
  <c r="Z2278" i="1" s="1"/>
  <c r="E2278" i="1" s="1"/>
  <c r="AA2278" i="1"/>
  <c r="AB2278" i="1"/>
  <c r="AB2275" i="1"/>
  <c r="AA2275" i="1"/>
  <c r="Y2275" i="1"/>
  <c r="Z2275" i="1" s="1"/>
  <c r="E2275" i="1" s="1"/>
  <c r="S2275" i="1"/>
  <c r="P2275" i="1"/>
  <c r="Y2276" i="1"/>
  <c r="Z2276" i="1" s="1"/>
  <c r="E2276" i="1" s="1"/>
  <c r="AA2276" i="1"/>
  <c r="AB2276" i="1"/>
  <c r="P2274" i="1"/>
  <c r="Y2274" i="1"/>
  <c r="Z2274" i="1" s="1"/>
  <c r="E2274" i="1" s="1"/>
  <c r="AA2274" i="1"/>
  <c r="AB2274" i="1"/>
  <c r="AB2273" i="1"/>
  <c r="AA2273" i="1"/>
  <c r="Y2273" i="1"/>
  <c r="Z2273" i="1" s="1"/>
  <c r="E2273" i="1" s="1"/>
  <c r="S2273" i="1"/>
  <c r="P2273" i="1"/>
  <c r="AB2267" i="1"/>
  <c r="AB2268" i="1"/>
  <c r="AB2269" i="1"/>
  <c r="AB2270" i="1"/>
  <c r="AB2271" i="1"/>
  <c r="AA2262" i="1"/>
  <c r="AA2267" i="1"/>
  <c r="AA2268" i="1"/>
  <c r="AA2269" i="1"/>
  <c r="AA2270" i="1"/>
  <c r="AA2271" i="1"/>
  <c r="Y2267" i="1"/>
  <c r="Z2267" i="1" s="1"/>
  <c r="E2267" i="1" s="1"/>
  <c r="Y2268" i="1"/>
  <c r="Z2268" i="1" s="1"/>
  <c r="E2268" i="1" s="1"/>
  <c r="Y2269" i="1"/>
  <c r="Z2269" i="1" s="1"/>
  <c r="E2269" i="1" s="1"/>
  <c r="Y2270" i="1"/>
  <c r="Z2270" i="1" s="1"/>
  <c r="E2270" i="1" s="1"/>
  <c r="Y2271" i="1"/>
  <c r="Z2271" i="1" s="1"/>
  <c r="E2271" i="1" s="1"/>
  <c r="P2272" i="1"/>
  <c r="AB2272" i="1"/>
  <c r="AA2272" i="1"/>
  <c r="Y2272" i="1"/>
  <c r="Z2272" i="1" s="1"/>
  <c r="E2272" i="1" s="1"/>
  <c r="S2272" i="1"/>
  <c r="P2267" i="1"/>
  <c r="P2268" i="1"/>
  <c r="P2269" i="1"/>
  <c r="P2270" i="1"/>
  <c r="P2271" i="1"/>
  <c r="AB2256" i="1"/>
  <c r="AA2257" i="1"/>
  <c r="AA2256" i="1"/>
  <c r="AA2260" i="1"/>
  <c r="Y2260" i="1"/>
  <c r="Z2260" i="1" s="1"/>
  <c r="E2260" i="1" s="1"/>
  <c r="AB2260" i="1"/>
  <c r="P2261" i="1"/>
  <c r="S2261" i="1"/>
  <c r="Y2261" i="1"/>
  <c r="Z2261" i="1" s="1"/>
  <c r="E2261" i="1" s="1"/>
  <c r="AA2261" i="1"/>
  <c r="AB2261" i="1"/>
  <c r="Y2262" i="1"/>
  <c r="Z2262" i="1" s="1"/>
  <c r="E2262" i="1" s="1"/>
  <c r="AB2262" i="1"/>
  <c r="Y2263" i="1"/>
  <c r="Z2263" i="1" s="1"/>
  <c r="E2263" i="1" s="1"/>
  <c r="AA2263" i="1"/>
  <c r="AB2263" i="1"/>
  <c r="Y2264" i="1"/>
  <c r="Z2264" i="1" s="1"/>
  <c r="E2264" i="1" s="1"/>
  <c r="AA2264" i="1"/>
  <c r="AB2264" i="1"/>
  <c r="Y2265" i="1"/>
  <c r="Z2265" i="1" s="1"/>
  <c r="E2265" i="1" s="1"/>
  <c r="AA2265" i="1"/>
  <c r="AB2265" i="1"/>
  <c r="Y2266" i="1"/>
  <c r="Z2266" i="1" s="1"/>
  <c r="E2266" i="1" s="1"/>
  <c r="AA2266" i="1"/>
  <c r="AB2266" i="1"/>
  <c r="AB2259" i="1"/>
  <c r="AA2259" i="1"/>
  <c r="Y2259" i="1"/>
  <c r="Z2259" i="1" s="1"/>
  <c r="E2259" i="1" s="1"/>
  <c r="S2259" i="1"/>
  <c r="P2259" i="1"/>
  <c r="AB2258" i="1"/>
  <c r="AA2258" i="1"/>
  <c r="Y2258" i="1"/>
  <c r="Z2258" i="1" s="1"/>
  <c r="E2258" i="1" s="1"/>
  <c r="S2258" i="1"/>
  <c r="P2258" i="1"/>
  <c r="AB2257" i="1"/>
  <c r="Y2257" i="1"/>
  <c r="Z2257" i="1" s="1"/>
  <c r="E2257" i="1" s="1"/>
  <c r="S2257" i="1"/>
  <c r="P2257" i="1"/>
  <c r="AB2255" i="1"/>
  <c r="AA2255" i="1"/>
  <c r="AA2252" i="1"/>
  <c r="AB2253" i="1"/>
  <c r="AA2251" i="1"/>
  <c r="P2256" i="1"/>
  <c r="Y2256" i="1"/>
  <c r="Z2256" i="1" s="1"/>
  <c r="E2256" i="1" s="1"/>
  <c r="S2256" i="1"/>
  <c r="Y2255" i="1"/>
  <c r="Z2255" i="1" s="1"/>
  <c r="E2255" i="1" s="1"/>
  <c r="P2255" i="1"/>
  <c r="AB2254" i="1"/>
  <c r="AA2254" i="1"/>
  <c r="AA2112" i="1"/>
  <c r="Y2254" i="1"/>
  <c r="Z2254" i="1" s="1"/>
  <c r="E2254" i="1" s="1"/>
  <c r="AA2253" i="1"/>
  <c r="Y2253" i="1"/>
  <c r="Z2253" i="1" s="1"/>
  <c r="E2253" i="1" s="1"/>
  <c r="P2252" i="1"/>
  <c r="AB2249" i="1"/>
  <c r="AA2249" i="1"/>
  <c r="AB2252" i="1"/>
  <c r="Y2252" i="1"/>
  <c r="Z2252" i="1" s="1"/>
  <c r="E2252" i="1" s="1"/>
  <c r="S2252" i="1"/>
  <c r="Z2249" i="1"/>
  <c r="E2249" i="1" s="1"/>
  <c r="AB2251" i="1"/>
  <c r="Y2251" i="1"/>
  <c r="Z2251" i="1" s="1"/>
  <c r="E2251" i="1" s="1"/>
  <c r="Y2249" i="1"/>
  <c r="S2249" i="1"/>
  <c r="P2249" i="1"/>
  <c r="S2250" i="1"/>
  <c r="AA2250" i="1"/>
  <c r="Y2250" i="1"/>
  <c r="Z2250" i="1" s="1"/>
  <c r="E2250" i="1" s="1"/>
  <c r="AB2248" i="1"/>
  <c r="AA2248" i="1"/>
  <c r="S2248" i="1"/>
  <c r="AB2247" i="1"/>
  <c r="AA2247" i="1"/>
  <c r="Y2247" i="1"/>
  <c r="Z2247" i="1" s="1"/>
  <c r="E2247" i="1" s="1"/>
  <c r="AA1509" i="1"/>
  <c r="Y2248" i="1"/>
  <c r="Z2248" i="1" s="1"/>
  <c r="E2248" i="1" s="1"/>
  <c r="S2247" i="1"/>
  <c r="P2247" i="1"/>
  <c r="AB2206" i="1"/>
  <c r="AA2206" i="1"/>
  <c r="AB2243" i="1"/>
  <c r="AB2244" i="1"/>
  <c r="AB2245" i="1"/>
  <c r="AB2246" i="1"/>
  <c r="AB2241" i="1"/>
  <c r="AA2245" i="1"/>
  <c r="AA2246" i="1"/>
  <c r="Y2245" i="1"/>
  <c r="Z2245" i="1" s="1"/>
  <c r="E2245" i="1" s="1"/>
  <c r="AA2244" i="1"/>
  <c r="Y1932" i="1"/>
  <c r="Z1932" i="1" s="1"/>
  <c r="E1932" i="1" s="1"/>
  <c r="Y1389" i="1"/>
  <c r="Z1389" i="1" s="1"/>
  <c r="E1389" i="1" s="1"/>
  <c r="Y2244" i="1"/>
  <c r="Z2244" i="1" s="1"/>
  <c r="E2244" i="1" s="1"/>
  <c r="P2244" i="1"/>
  <c r="AA2243" i="1"/>
  <c r="Y2243" i="1"/>
  <c r="Z2243" i="1" s="1"/>
  <c r="E2243" i="1" s="1"/>
  <c r="P1390" i="1"/>
  <c r="P1944" i="1"/>
  <c r="P2243" i="1"/>
  <c r="P2242" i="1"/>
  <c r="AB2242" i="1"/>
  <c r="AA2242" i="1"/>
  <c r="Y2242" i="1"/>
  <c r="Z2242" i="1" s="1"/>
  <c r="E2242" i="1" s="1"/>
  <c r="Y2241" i="1"/>
  <c r="Z2241" i="1" s="1"/>
  <c r="E2241" i="1" s="1"/>
  <c r="Y2240" i="1"/>
  <c r="Z2240" i="1" s="1"/>
  <c r="E2240" i="1" s="1"/>
  <c r="Y2239" i="1"/>
  <c r="Z2239" i="1" s="1"/>
  <c r="E2239" i="1" s="1"/>
  <c r="AA2241" i="1"/>
  <c r="AB2240" i="1"/>
  <c r="AA2240" i="1"/>
  <c r="AB2239" i="1"/>
  <c r="AA2239" i="1"/>
  <c r="AB2193" i="1"/>
  <c r="AA2193" i="1"/>
  <c r="P2238" i="1"/>
  <c r="P2237" i="1"/>
  <c r="P2236" i="1"/>
  <c r="P2235" i="1"/>
  <c r="P2234" i="1"/>
  <c r="P2233" i="1"/>
  <c r="P2232" i="1"/>
  <c r="P2231" i="1"/>
  <c r="P2230" i="1"/>
  <c r="P2229" i="1"/>
  <c r="AB2228" i="1"/>
  <c r="AB2229" i="1"/>
  <c r="AB2230" i="1"/>
  <c r="AB2231" i="1"/>
  <c r="AB2232" i="1"/>
  <c r="AB2233" i="1"/>
  <c r="AB2234" i="1"/>
  <c r="AB2235" i="1"/>
  <c r="AB2236" i="1"/>
  <c r="AB2237" i="1"/>
  <c r="AB2238" i="1"/>
  <c r="AA2228" i="1"/>
  <c r="AA2229" i="1"/>
  <c r="AA2230" i="1"/>
  <c r="AA2231" i="1"/>
  <c r="AA2232" i="1"/>
  <c r="AA2233" i="1"/>
  <c r="AA2234" i="1"/>
  <c r="AA2235" i="1"/>
  <c r="AA2236" i="1"/>
  <c r="AA2237" i="1"/>
  <c r="AA2238" i="1"/>
  <c r="Y2228" i="1"/>
  <c r="Z2228" i="1" s="1"/>
  <c r="E2228" i="1" s="1"/>
  <c r="Y2229" i="1"/>
  <c r="Z2229" i="1" s="1"/>
  <c r="E2229" i="1" s="1"/>
  <c r="Y2230" i="1"/>
  <c r="Z2230" i="1" s="1"/>
  <c r="E2230" i="1" s="1"/>
  <c r="Y2231" i="1"/>
  <c r="Z2231" i="1" s="1"/>
  <c r="E2231" i="1" s="1"/>
  <c r="Y2232" i="1"/>
  <c r="Z2232" i="1" s="1"/>
  <c r="E2232" i="1" s="1"/>
  <c r="Y2233" i="1"/>
  <c r="Z2233" i="1" s="1"/>
  <c r="E2233" i="1" s="1"/>
  <c r="Y2234" i="1"/>
  <c r="Z2234" i="1" s="1"/>
  <c r="E2234" i="1" s="1"/>
  <c r="Y2235" i="1"/>
  <c r="Z2235" i="1" s="1"/>
  <c r="E2235" i="1" s="1"/>
  <c r="Y2236" i="1"/>
  <c r="Z2236" i="1" s="1"/>
  <c r="E2236" i="1" s="1"/>
  <c r="Y2237" i="1"/>
  <c r="Z2237" i="1" s="1"/>
  <c r="E2237" i="1" s="1"/>
  <c r="Y2238" i="1"/>
  <c r="Z2238" i="1" s="1"/>
  <c r="E2238" i="1" s="1"/>
  <c r="P2228" i="1"/>
  <c r="P2227" i="1"/>
  <c r="P2226" i="1"/>
  <c r="P2225" i="1"/>
  <c r="P2224" i="1"/>
  <c r="P2223" i="1"/>
  <c r="P2221" i="1"/>
  <c r="AB2227" i="1"/>
  <c r="AB2226" i="1"/>
  <c r="AB2225" i="1"/>
  <c r="AB2224" i="1"/>
  <c r="AB2223" i="1"/>
  <c r="AB2222" i="1"/>
  <c r="AB2221" i="1"/>
  <c r="AB2220" i="1"/>
  <c r="AA2227" i="1"/>
  <c r="AA2226" i="1"/>
  <c r="AA2225" i="1"/>
  <c r="AA2224" i="1"/>
  <c r="AA2223" i="1"/>
  <c r="AA2222" i="1"/>
  <c r="AA2221" i="1"/>
  <c r="AA2220" i="1"/>
  <c r="Y2227" i="1"/>
  <c r="Z2227" i="1" s="1"/>
  <c r="E2227" i="1" s="1"/>
  <c r="Y2226" i="1"/>
  <c r="Z2226" i="1" s="1"/>
  <c r="E2226" i="1" s="1"/>
  <c r="Y2225" i="1"/>
  <c r="Z2225" i="1" s="1"/>
  <c r="E2225" i="1" s="1"/>
  <c r="Y2224" i="1"/>
  <c r="Z2224" i="1" s="1"/>
  <c r="E2224" i="1" s="1"/>
  <c r="Y2223" i="1"/>
  <c r="Z2223" i="1" s="1"/>
  <c r="E2223" i="1" s="1"/>
  <c r="Y2222" i="1"/>
  <c r="Z2222" i="1" s="1"/>
  <c r="E2222" i="1" s="1"/>
  <c r="Y2221" i="1"/>
  <c r="Z2221" i="1" s="1"/>
  <c r="E2221" i="1" s="1"/>
  <c r="Y2220" i="1"/>
  <c r="Z2220" i="1" s="1"/>
  <c r="E2220" i="1" s="1"/>
  <c r="P2220" i="1"/>
  <c r="P2219" i="1"/>
  <c r="P2218" i="1"/>
  <c r="P2217" i="1"/>
  <c r="P2216" i="1"/>
  <c r="S2214" i="1"/>
  <c r="P2214" i="1"/>
  <c r="AB2219" i="1"/>
  <c r="AB2218" i="1"/>
  <c r="AB2217" i="1"/>
  <c r="AB2216" i="1"/>
  <c r="AB2214" i="1"/>
  <c r="AB2213" i="1"/>
  <c r="AA2219" i="1"/>
  <c r="AA2218" i="1"/>
  <c r="AA2217" i="1"/>
  <c r="AA2216" i="1"/>
  <c r="AA2214" i="1"/>
  <c r="AA2213" i="1"/>
  <c r="Y2219" i="1"/>
  <c r="Z2219" i="1" s="1"/>
  <c r="E2219" i="1" s="1"/>
  <c r="Y2218" i="1"/>
  <c r="Z2218" i="1" s="1"/>
  <c r="E2218" i="1" s="1"/>
  <c r="Y2217" i="1"/>
  <c r="Z2217" i="1" s="1"/>
  <c r="E2217" i="1" s="1"/>
  <c r="Y2216" i="1"/>
  <c r="Z2216" i="1" s="1"/>
  <c r="E2216" i="1" s="1"/>
  <c r="Y2214" i="1"/>
  <c r="Z2214" i="1" s="1"/>
  <c r="E2214" i="1" s="1"/>
  <c r="Y2213" i="1"/>
  <c r="Z2213" i="1" s="1"/>
  <c r="E2213" i="1" s="1"/>
  <c r="P2213" i="1"/>
  <c r="AB2212" i="1"/>
  <c r="AA2212" i="1"/>
  <c r="P2212" i="1"/>
  <c r="AB2211" i="1"/>
  <c r="AA2211" i="1"/>
  <c r="P2211" i="1"/>
  <c r="AB2210" i="1"/>
  <c r="AA2210" i="1"/>
  <c r="P2210" i="1"/>
  <c r="AB2209" i="1"/>
  <c r="AA2209" i="1"/>
  <c r="P2209" i="1"/>
  <c r="AB2208" i="1"/>
  <c r="AA2208" i="1"/>
  <c r="Y2212" i="1"/>
  <c r="Z2212" i="1" s="1"/>
  <c r="E2212" i="1" s="1"/>
  <c r="Y2211" i="1"/>
  <c r="Z2211" i="1" s="1"/>
  <c r="E2211" i="1" s="1"/>
  <c r="Y2210" i="1"/>
  <c r="Z2210" i="1" s="1"/>
  <c r="E2210" i="1" s="1"/>
  <c r="Y2209" i="1"/>
  <c r="Z2209" i="1" s="1"/>
  <c r="E2209" i="1" s="1"/>
  <c r="Y2208" i="1"/>
  <c r="Z2208" i="1" s="1"/>
  <c r="E2208" i="1" s="1"/>
  <c r="Y2195" i="1"/>
  <c r="Z2195" i="1" s="1"/>
  <c r="E2195" i="1" s="1"/>
  <c r="Y2196" i="1"/>
  <c r="Z2196" i="1" s="1"/>
  <c r="E2196" i="1" s="1"/>
  <c r="Y2197" i="1"/>
  <c r="Z2197" i="1" s="1"/>
  <c r="E2197" i="1" s="1"/>
  <c r="Y2198" i="1"/>
  <c r="Z2198" i="1" s="1"/>
  <c r="E2198" i="1" s="1"/>
  <c r="Y2199" i="1"/>
  <c r="Z2199" i="1" s="1"/>
  <c r="E2199" i="1" s="1"/>
  <c r="Y2200" i="1"/>
  <c r="Z2200" i="1" s="1"/>
  <c r="E2200" i="1" s="1"/>
  <c r="Y2201" i="1"/>
  <c r="Z2201" i="1" s="1"/>
  <c r="E2201" i="1" s="1"/>
  <c r="Y2202" i="1"/>
  <c r="Z2202" i="1" s="1"/>
  <c r="E2202" i="1" s="1"/>
  <c r="Y2203" i="1"/>
  <c r="Z2203" i="1" s="1"/>
  <c r="E2203" i="1" s="1"/>
  <c r="Y2204" i="1"/>
  <c r="Z2204" i="1" s="1"/>
  <c r="E2204" i="1" s="1"/>
  <c r="Y2205" i="1"/>
  <c r="Z2205" i="1" s="1"/>
  <c r="E2205" i="1" s="1"/>
  <c r="Y2207" i="1"/>
  <c r="Z2207" i="1" s="1"/>
  <c r="E2207" i="1" s="1"/>
  <c r="Y2194" i="1"/>
  <c r="Z2194" i="1" s="1"/>
  <c r="E2194" i="1" s="1"/>
  <c r="Y2192" i="1"/>
  <c r="Z2192" i="1" s="1"/>
  <c r="E2192" i="1" s="1"/>
  <c r="Y2191" i="1"/>
  <c r="Z2191" i="1" s="1"/>
  <c r="E2191" i="1" s="1"/>
  <c r="P2208" i="1"/>
  <c r="AB2207" i="1"/>
  <c r="AA2207" i="1"/>
  <c r="AB2194" i="1"/>
  <c r="AA2194" i="1"/>
  <c r="P2117" i="1"/>
  <c r="S2117" i="1"/>
  <c r="O2117" i="1"/>
  <c r="AB2197" i="1"/>
  <c r="AB2198" i="1"/>
  <c r="AB2199" i="1"/>
  <c r="AB2200" i="1"/>
  <c r="AB2201" i="1"/>
  <c r="AB2202" i="1"/>
  <c r="AB2203" i="1"/>
  <c r="AB2204" i="1"/>
  <c r="AB2205" i="1"/>
  <c r="AA2199" i="1"/>
  <c r="AA2200" i="1"/>
  <c r="AA2201" i="1"/>
  <c r="AA2202" i="1"/>
  <c r="AA2203" i="1"/>
  <c r="AA2204" i="1"/>
  <c r="AA2205" i="1"/>
  <c r="AA2197" i="1"/>
  <c r="AA2198" i="1"/>
  <c r="P2205" i="1"/>
  <c r="P2204" i="1"/>
  <c r="P2203" i="1"/>
  <c r="P2202" i="1"/>
  <c r="P2201" i="1"/>
  <c r="P2200" i="1"/>
  <c r="P2199" i="1"/>
  <c r="P2198" i="1"/>
  <c r="P2197" i="1"/>
  <c r="AB2196" i="1"/>
  <c r="AA2196" i="1"/>
  <c r="AB2195" i="1"/>
  <c r="AA2195" i="1"/>
  <c r="AB2192" i="1"/>
  <c r="AA2192" i="1"/>
  <c r="AB2191" i="1"/>
  <c r="AA2191" i="1"/>
  <c r="AA2190" i="1"/>
  <c r="AB2190" i="1"/>
  <c r="P2190" i="1"/>
  <c r="AB2189" i="1"/>
  <c r="AA2189" i="1"/>
  <c r="Y2189" i="1"/>
  <c r="Z2189" i="1" s="1"/>
  <c r="E2189" i="1" s="1"/>
  <c r="AB2188" i="1"/>
  <c r="AB2187" i="1"/>
  <c r="AA2188" i="1"/>
  <c r="AA2187" i="1"/>
  <c r="Y2188" i="1"/>
  <c r="Z2188" i="1" s="1"/>
  <c r="E2188" i="1" s="1"/>
  <c r="Y2187" i="1"/>
  <c r="Z2187" i="1" s="1"/>
  <c r="E2187" i="1" s="1"/>
  <c r="S2187" i="1"/>
  <c r="P2187" i="1"/>
  <c r="P2188" i="1"/>
  <c r="AB2186" i="1"/>
  <c r="AA2186" i="1"/>
  <c r="Y2186" i="1"/>
  <c r="Z2186" i="1" s="1"/>
  <c r="E2186" i="1" s="1"/>
  <c r="P2186" i="1"/>
  <c r="AB2185" i="1"/>
  <c r="AB2184" i="1"/>
  <c r="AA2185" i="1"/>
  <c r="AA2184" i="1"/>
  <c r="Y2185" i="1"/>
  <c r="Z2185" i="1" s="1"/>
  <c r="E2185" i="1" s="1"/>
  <c r="Y2184" i="1"/>
  <c r="Z2184" i="1" s="1"/>
  <c r="E2184" i="1" s="1"/>
  <c r="P2184" i="1"/>
  <c r="P2185" i="1"/>
  <c r="AB2183" i="1"/>
  <c r="AA2183" i="1"/>
  <c r="Y2183" i="1"/>
  <c r="Z2183" i="1" s="1"/>
  <c r="E2183" i="1" s="1"/>
  <c r="P2183" i="1"/>
  <c r="AB2182" i="1"/>
  <c r="AA2182" i="1"/>
  <c r="Y2182" i="1"/>
  <c r="Z2182" i="1" s="1"/>
  <c r="E2182" i="1" s="1"/>
  <c r="P2182" i="1"/>
  <c r="AB2181" i="1"/>
  <c r="AB2180" i="1"/>
  <c r="AB2179" i="1"/>
  <c r="AB2178" i="1"/>
  <c r="AA2181" i="1"/>
  <c r="AA2180" i="1"/>
  <c r="AA2179" i="1"/>
  <c r="AA2178" i="1"/>
  <c r="Y2181" i="1"/>
  <c r="Z2181" i="1" s="1"/>
  <c r="E2181" i="1" s="1"/>
  <c r="Y2180" i="1"/>
  <c r="Z2180" i="1" s="1"/>
  <c r="E2180" i="1" s="1"/>
  <c r="Y2179" i="1"/>
  <c r="Z2179" i="1" s="1"/>
  <c r="E2179" i="1" s="1"/>
  <c r="Y2178" i="1"/>
  <c r="Z2178" i="1" s="1"/>
  <c r="E2178" i="1" s="1"/>
  <c r="P2181" i="1"/>
  <c r="P2180" i="1"/>
  <c r="P2179" i="1"/>
  <c r="P2178" i="1"/>
  <c r="AB2170" i="1"/>
  <c r="AA2170" i="1"/>
  <c r="Y2170" i="1"/>
  <c r="Z2170" i="1" s="1"/>
  <c r="E2170" i="1" s="1"/>
  <c r="P2170" i="1"/>
  <c r="AB2177" i="1"/>
  <c r="AB2176" i="1"/>
  <c r="AB2175" i="1"/>
  <c r="AB2174" i="1"/>
  <c r="AB2173" i="1"/>
  <c r="AA2177" i="1"/>
  <c r="AA2176" i="1"/>
  <c r="AA2175" i="1"/>
  <c r="AA2174" i="1"/>
  <c r="AA2173" i="1"/>
  <c r="Y2177" i="1"/>
  <c r="Z2177" i="1" s="1"/>
  <c r="E2177" i="1" s="1"/>
  <c r="Y2176" i="1"/>
  <c r="Z2176" i="1" s="1"/>
  <c r="E2176" i="1" s="1"/>
  <c r="Y2175" i="1"/>
  <c r="Z2175" i="1" s="1"/>
  <c r="E2175" i="1" s="1"/>
  <c r="Y2174" i="1"/>
  <c r="Z2174" i="1" s="1"/>
  <c r="E2174" i="1" s="1"/>
  <c r="Y2173" i="1"/>
  <c r="Z2173" i="1" s="1"/>
  <c r="E2173" i="1" s="1"/>
  <c r="S2176" i="1"/>
  <c r="P2177" i="1"/>
  <c r="P2175" i="1"/>
  <c r="P2173" i="1"/>
  <c r="AB2172" i="1"/>
  <c r="AB2171" i="1"/>
  <c r="AA2172" i="1"/>
  <c r="AA2171" i="1"/>
  <c r="Y2172" i="1"/>
  <c r="Z2172" i="1" s="1"/>
  <c r="E2172" i="1" s="1"/>
  <c r="Y2171" i="1"/>
  <c r="Z2171" i="1" s="1"/>
  <c r="E2171" i="1" s="1"/>
  <c r="P2172" i="1"/>
  <c r="P2171" i="1"/>
  <c r="AB2169" i="1"/>
  <c r="AB2168" i="1"/>
  <c r="AB2167" i="1"/>
  <c r="AA2169" i="1"/>
  <c r="AA2168" i="1"/>
  <c r="AA2167" i="1"/>
  <c r="Y2169" i="1"/>
  <c r="Z2169" i="1" s="1"/>
  <c r="E2169" i="1" s="1"/>
  <c r="Y2168" i="1"/>
  <c r="Z2168" i="1" s="1"/>
  <c r="E2168" i="1" s="1"/>
  <c r="Y2167" i="1"/>
  <c r="Z2167" i="1" s="1"/>
  <c r="E2167" i="1" s="1"/>
  <c r="P2169" i="1"/>
  <c r="P2168" i="1"/>
  <c r="P2167" i="1"/>
  <c r="AB2166" i="1"/>
  <c r="AA2166" i="1"/>
  <c r="AB2165" i="1"/>
  <c r="AA2165" i="1"/>
  <c r="AB2164" i="1"/>
  <c r="AA2164" i="1"/>
  <c r="AB2163" i="1"/>
  <c r="AA2163" i="1"/>
  <c r="Y2166" i="1"/>
  <c r="Z2166" i="1" s="1"/>
  <c r="E2166" i="1" s="1"/>
  <c r="Y2165" i="1"/>
  <c r="Z2165" i="1" s="1"/>
  <c r="E2165" i="1" s="1"/>
  <c r="Y2164" i="1"/>
  <c r="Z2164" i="1" s="1"/>
  <c r="E2164" i="1" s="1"/>
  <c r="Y2163" i="1"/>
  <c r="Z2163" i="1" s="1"/>
  <c r="E2163" i="1" s="1"/>
  <c r="S2166" i="1"/>
  <c r="P2166" i="1"/>
  <c r="P2165" i="1"/>
  <c r="P2164" i="1"/>
  <c r="P2163" i="1"/>
  <c r="Y2162" i="1"/>
  <c r="P2120" i="1"/>
  <c r="P2007" i="1"/>
  <c r="AB2162" i="1"/>
  <c r="AA2162" i="1"/>
  <c r="AA2161" i="1"/>
  <c r="Y2161" i="1"/>
  <c r="Z2161" i="1" s="1"/>
  <c r="E2161" i="1" s="1"/>
  <c r="Y2160" i="1"/>
  <c r="Z2160" i="1" s="1"/>
  <c r="E2160" i="1" s="1"/>
  <c r="Y2159" i="1"/>
  <c r="Z2159" i="1" s="1"/>
  <c r="E2159" i="1" s="1"/>
  <c r="Y2158" i="1"/>
  <c r="Z2158" i="1" s="1"/>
  <c r="E2158" i="1" s="1"/>
  <c r="Y2157" i="1"/>
  <c r="Z2157" i="1" s="1"/>
  <c r="E2157" i="1" s="1"/>
  <c r="AB2161" i="1"/>
  <c r="P2161" i="1"/>
  <c r="AB2160" i="1"/>
  <c r="AA2160" i="1"/>
  <c r="P2160" i="1"/>
  <c r="AB2159" i="1"/>
  <c r="AA2159" i="1"/>
  <c r="P2159" i="1"/>
  <c r="AB2158" i="1"/>
  <c r="AA2158" i="1"/>
  <c r="P2158" i="1"/>
  <c r="AB2157" i="1"/>
  <c r="AA2157" i="1"/>
  <c r="P2157" i="1"/>
  <c r="P2156" i="1"/>
  <c r="P2155" i="1"/>
  <c r="AB2156" i="1"/>
  <c r="AA2156" i="1"/>
  <c r="Y2156" i="1"/>
  <c r="Z2156" i="1" s="1"/>
  <c r="E2156" i="1" s="1"/>
  <c r="P2154" i="1"/>
  <c r="P2153" i="1"/>
  <c r="P2151" i="1"/>
  <c r="P2150" i="1"/>
  <c r="AB2155" i="1"/>
  <c r="AB2154" i="1"/>
  <c r="AB2152" i="1"/>
  <c r="AB2151" i="1"/>
  <c r="AB2150" i="1"/>
  <c r="AB2149" i="1"/>
  <c r="AB2148" i="1"/>
  <c r="AB2147" i="1"/>
  <c r="AA2155" i="1"/>
  <c r="AA2154" i="1"/>
  <c r="AA2153" i="1"/>
  <c r="AA2152" i="1"/>
  <c r="AA2151" i="1"/>
  <c r="AA2150" i="1"/>
  <c r="AA2149" i="1"/>
  <c r="AA2148" i="1"/>
  <c r="AA2147" i="1"/>
  <c r="Y2155" i="1"/>
  <c r="Z2155" i="1" s="1"/>
  <c r="E2155" i="1" s="1"/>
  <c r="Y2154" i="1"/>
  <c r="Z2154" i="1" s="1"/>
  <c r="E2154" i="1" s="1"/>
  <c r="Y2153" i="1"/>
  <c r="Z2153" i="1" s="1"/>
  <c r="E2153" i="1" s="1"/>
  <c r="Y2152" i="1"/>
  <c r="Z2152" i="1" s="1"/>
  <c r="E2152" i="1" s="1"/>
  <c r="Y2151" i="1"/>
  <c r="Z2151" i="1" s="1"/>
  <c r="E2151" i="1" s="1"/>
  <c r="Y2150" i="1"/>
  <c r="Z2150" i="1" s="1"/>
  <c r="E2150" i="1" s="1"/>
  <c r="Y2149" i="1"/>
  <c r="Z2149" i="1" s="1"/>
  <c r="E2149" i="1" s="1"/>
  <c r="Y2148" i="1"/>
  <c r="Z2148" i="1" s="1"/>
  <c r="E2148" i="1" s="1"/>
  <c r="Y2147" i="1"/>
  <c r="Z2147" i="1" s="1"/>
  <c r="E2147" i="1" s="1"/>
  <c r="P2147" i="1"/>
  <c r="P2146" i="1"/>
  <c r="P2145" i="1"/>
  <c r="AB2146" i="1"/>
  <c r="AB2145" i="1"/>
  <c r="AA2146" i="1"/>
  <c r="AA2145" i="1"/>
  <c r="Y2146" i="1"/>
  <c r="Z2146" i="1" s="1"/>
  <c r="E2146" i="1" s="1"/>
  <c r="Y2145" i="1"/>
  <c r="Z2145" i="1" s="1"/>
  <c r="E2145" i="1" s="1"/>
  <c r="P2144" i="1"/>
  <c r="P2143" i="1"/>
  <c r="P2142" i="1"/>
  <c r="P2141" i="1"/>
  <c r="P2140" i="1"/>
  <c r="P2139" i="1"/>
  <c r="AB2144" i="1"/>
  <c r="AB2143" i="1"/>
  <c r="AB2142" i="1"/>
  <c r="AB2141" i="1"/>
  <c r="AB2140" i="1"/>
  <c r="AB2139" i="1"/>
  <c r="AB2138" i="1"/>
  <c r="AA2144" i="1"/>
  <c r="AA2143" i="1"/>
  <c r="AA2142" i="1"/>
  <c r="AA2141" i="1"/>
  <c r="AA2140" i="1"/>
  <c r="AA2139" i="1"/>
  <c r="AA2138" i="1"/>
  <c r="Y2144" i="1"/>
  <c r="Z2144" i="1" s="1"/>
  <c r="E2144" i="1" s="1"/>
  <c r="Y2143" i="1"/>
  <c r="Z2143" i="1" s="1"/>
  <c r="E2143" i="1" s="1"/>
  <c r="Y2142" i="1"/>
  <c r="Z2142" i="1" s="1"/>
  <c r="E2142" i="1" s="1"/>
  <c r="Y2141" i="1"/>
  <c r="Z2141" i="1" s="1"/>
  <c r="E2141" i="1" s="1"/>
  <c r="Y2140" i="1"/>
  <c r="Z2140" i="1" s="1"/>
  <c r="E2140" i="1" s="1"/>
  <c r="Y2139" i="1"/>
  <c r="Z2139" i="1" s="1"/>
  <c r="E2139" i="1" s="1"/>
  <c r="Y2138" i="1"/>
  <c r="Z2138" i="1" s="1"/>
  <c r="E2138" i="1" s="1"/>
  <c r="P2138" i="1"/>
  <c r="AB2137" i="1"/>
  <c r="AA2137" i="1"/>
  <c r="Y2137" i="1"/>
  <c r="Z2137" i="1" s="1"/>
  <c r="E2137" i="1" s="1"/>
  <c r="P2137" i="1"/>
  <c r="AB2136" i="1"/>
  <c r="AA2136" i="1"/>
  <c r="Y2136" i="1"/>
  <c r="Z2136" i="1" s="1"/>
  <c r="E2136" i="1" s="1"/>
  <c r="P2136" i="1"/>
  <c r="AB2135" i="1"/>
  <c r="AA2135" i="1"/>
  <c r="Y2135" i="1"/>
  <c r="Z2135" i="1" s="1"/>
  <c r="E2135" i="1" s="1"/>
  <c r="P2135" i="1"/>
  <c r="AB2134" i="1"/>
  <c r="AA2134" i="1"/>
  <c r="Y2134" i="1"/>
  <c r="Z2134" i="1" s="1"/>
  <c r="E2134" i="1" s="1"/>
  <c r="P2134" i="1"/>
  <c r="P2133" i="1"/>
  <c r="AB2133" i="1"/>
  <c r="AB2132" i="1"/>
  <c r="AA2133" i="1"/>
  <c r="AA2132" i="1"/>
  <c r="Y2133" i="1"/>
  <c r="Z2133" i="1" s="1"/>
  <c r="E2133" i="1" s="1"/>
  <c r="Y2132" i="1"/>
  <c r="Z2132" i="1" s="1"/>
  <c r="E2132" i="1" s="1"/>
  <c r="AB2131" i="1"/>
  <c r="AA2131" i="1"/>
  <c r="Y2131" i="1"/>
  <c r="Z2131" i="1" s="1"/>
  <c r="E2131" i="1" s="1"/>
  <c r="P2131" i="1"/>
  <c r="AB2130" i="1"/>
  <c r="AA2130" i="1"/>
  <c r="Y2130" i="1"/>
  <c r="Z2130" i="1" s="1"/>
  <c r="E2130" i="1" s="1"/>
  <c r="P2130" i="1"/>
  <c r="AB2129" i="1"/>
  <c r="AA2129" i="1"/>
  <c r="Y2129" i="1"/>
  <c r="Z2129" i="1" s="1"/>
  <c r="E2129" i="1" s="1"/>
  <c r="P2129" i="1"/>
  <c r="AB2128" i="1"/>
  <c r="AA2128" i="1"/>
  <c r="Y2128" i="1"/>
  <c r="Z2128" i="1" s="1"/>
  <c r="E2128" i="1" s="1"/>
  <c r="P2128" i="1"/>
  <c r="AB2127" i="1"/>
  <c r="AA2127" i="1"/>
  <c r="Y2127" i="1"/>
  <c r="Z2127" i="1" s="1"/>
  <c r="E2127" i="1" s="1"/>
  <c r="AB2126" i="1"/>
  <c r="AA2126" i="1"/>
  <c r="Y2126" i="1"/>
  <c r="Z2126" i="1" s="1"/>
  <c r="E2126" i="1" s="1"/>
  <c r="P2126" i="1"/>
  <c r="AB2125" i="1"/>
  <c r="AA2125" i="1"/>
  <c r="Y2125" i="1"/>
  <c r="Z2125" i="1" s="1"/>
  <c r="E2125" i="1" s="1"/>
  <c r="P2125" i="1"/>
  <c r="AB1816" i="1"/>
  <c r="AA1816" i="1"/>
  <c r="AB2124" i="1"/>
  <c r="AA2124" i="1"/>
  <c r="AA1726" i="1"/>
  <c r="S2124" i="1"/>
  <c r="P2124" i="1"/>
  <c r="Y2124" i="1"/>
  <c r="Z2124" i="1" s="1"/>
  <c r="E2124" i="1" s="1"/>
  <c r="AB2123" i="1"/>
  <c r="AA2123" i="1"/>
  <c r="Y2123" i="1"/>
  <c r="Z2123" i="1" s="1"/>
  <c r="E2123" i="1" s="1"/>
  <c r="AB2122" i="1"/>
  <c r="AA2122" i="1"/>
  <c r="Y2122" i="1"/>
  <c r="Z2122" i="1" s="1"/>
  <c r="E2122" i="1" s="1"/>
  <c r="S2121" i="1"/>
  <c r="P2121" i="1"/>
  <c r="Y2121" i="1"/>
  <c r="Z2121" i="1" s="1"/>
  <c r="E2121" i="1" s="1"/>
  <c r="AB2121" i="1"/>
  <c r="AA2121" i="1"/>
  <c r="AA2120" i="1"/>
  <c r="AB2120" i="1"/>
  <c r="S2120" i="1"/>
  <c r="Y2120" i="1"/>
  <c r="Z2120" i="1" s="1"/>
  <c r="E2120" i="1" s="1"/>
  <c r="AA2119" i="1"/>
  <c r="AA2085" i="1"/>
  <c r="AB2119" i="1"/>
  <c r="Y2119" i="1"/>
  <c r="Z2119" i="1" s="1"/>
  <c r="E2119" i="1" s="1"/>
  <c r="S2119" i="1"/>
  <c r="P2119" i="1"/>
  <c r="Y2110" i="1"/>
  <c r="Z2110" i="1" s="1"/>
  <c r="E2110" i="1" s="1"/>
  <c r="AA2110" i="1"/>
  <c r="AB2110" i="1"/>
  <c r="S2110" i="1"/>
  <c r="P2110" i="1"/>
  <c r="S2109" i="1"/>
  <c r="Y2109" i="1"/>
  <c r="Z2109" i="1" s="1"/>
  <c r="E2109" i="1" s="1"/>
  <c r="AA2109" i="1"/>
  <c r="AB2109" i="1"/>
  <c r="P2108" i="1"/>
  <c r="S2108" i="1"/>
  <c r="Y2108" i="1"/>
  <c r="Z2108" i="1" s="1"/>
  <c r="E2108" i="1" s="1"/>
  <c r="AA2108" i="1"/>
  <c r="AB2108" i="1"/>
  <c r="S2107" i="1"/>
  <c r="P2107" i="1"/>
  <c r="Y2107" i="1"/>
  <c r="Z2107" i="1" s="1"/>
  <c r="E2107" i="1" s="1"/>
  <c r="AA2107" i="1"/>
  <c r="AB2107" i="1"/>
  <c r="P2106" i="1"/>
  <c r="Y2106" i="1"/>
  <c r="Z2106" i="1" s="1"/>
  <c r="E2106" i="1" s="1"/>
  <c r="AA2106" i="1"/>
  <c r="AB2106" i="1"/>
  <c r="S2106" i="1"/>
  <c r="S2105" i="1"/>
  <c r="Y2105" i="1"/>
  <c r="Z2105" i="1" s="1"/>
  <c r="E2105" i="1" s="1"/>
  <c r="AA2105" i="1"/>
  <c r="AB2105" i="1"/>
  <c r="P2104" i="1"/>
  <c r="AB2118" i="1"/>
  <c r="AA2118" i="1"/>
  <c r="Y2118" i="1"/>
  <c r="Z2118" i="1" s="1"/>
  <c r="E2118" i="1" s="1"/>
  <c r="S2118" i="1"/>
  <c r="P2118" i="1"/>
  <c r="AB2117" i="1"/>
  <c r="AA2117" i="1"/>
  <c r="Y2117" i="1"/>
  <c r="Z2117" i="1" s="1"/>
  <c r="E2117" i="1" s="1"/>
  <c r="R2117" i="1"/>
  <c r="S2116" i="1"/>
  <c r="AB2115" i="1"/>
  <c r="AA2115" i="1"/>
  <c r="Y2115" i="1"/>
  <c r="Z2115" i="1" s="1"/>
  <c r="E2115" i="1" s="1"/>
  <c r="S2115" i="1"/>
  <c r="P2115" i="1"/>
  <c r="AB2114" i="1"/>
  <c r="AA2114" i="1"/>
  <c r="Y2114" i="1"/>
  <c r="Z2114" i="1" s="1"/>
  <c r="E2114" i="1" s="1"/>
  <c r="S2114" i="1"/>
  <c r="P2114" i="1"/>
  <c r="AB2113" i="1"/>
  <c r="AA2113" i="1"/>
  <c r="Y2113" i="1"/>
  <c r="Z2113" i="1" s="1"/>
  <c r="E2113" i="1" s="1"/>
  <c r="R2113" i="1"/>
  <c r="P2113" i="1"/>
  <c r="O2113" i="1"/>
  <c r="AB2112" i="1"/>
  <c r="AA2111" i="1"/>
  <c r="AB2111" i="1"/>
  <c r="Y2112" i="1"/>
  <c r="Z2112" i="1" s="1"/>
  <c r="E2112" i="1" s="1"/>
  <c r="S2112" i="1"/>
  <c r="R2112" i="1"/>
  <c r="P2112" i="1"/>
  <c r="O2112" i="1"/>
  <c r="Y2111" i="1"/>
  <c r="Z2111" i="1" s="1"/>
  <c r="E2111" i="1" s="1"/>
  <c r="S2111" i="1"/>
  <c r="Y2104" i="1"/>
  <c r="Z2104" i="1" s="1"/>
  <c r="E2104" i="1" s="1"/>
  <c r="AA2104" i="1"/>
  <c r="AB2104" i="1"/>
  <c r="S2104" i="1"/>
  <c r="P2103" i="1"/>
  <c r="AB2103" i="1"/>
  <c r="AA2103" i="1"/>
  <c r="Y2103" i="1"/>
  <c r="Z2103" i="1" s="1"/>
  <c r="E2103" i="1" s="1"/>
  <c r="S2103" i="1"/>
  <c r="AB2102" i="1"/>
  <c r="S2102" i="1"/>
  <c r="P2102" i="1"/>
  <c r="P2100" i="1"/>
  <c r="Y2101" i="1"/>
  <c r="Z2101" i="1" s="1"/>
  <c r="E2101" i="1" s="1"/>
  <c r="S2101" i="1"/>
  <c r="AB2083" i="1"/>
  <c r="AB2084" i="1"/>
  <c r="AB2085" i="1"/>
  <c r="AB2086" i="1"/>
  <c r="AB2087" i="1"/>
  <c r="AB2088" i="1"/>
  <c r="AB2089" i="1"/>
  <c r="AB2090" i="1"/>
  <c r="AB2091" i="1"/>
  <c r="AB2092" i="1"/>
  <c r="AB2093" i="1"/>
  <c r="AB2094" i="1"/>
  <c r="AB2095" i="1"/>
  <c r="AB2096" i="1"/>
  <c r="AB2097" i="1"/>
  <c r="AB2098" i="1"/>
  <c r="AB2099" i="1"/>
  <c r="AB2100" i="1"/>
  <c r="AB2101" i="1"/>
  <c r="AB2081" i="1"/>
  <c r="AB2082" i="1"/>
  <c r="Y2100" i="1"/>
  <c r="Z2100" i="1" s="1"/>
  <c r="E2100" i="1" s="1"/>
  <c r="Y2102" i="1"/>
  <c r="Z2102" i="1" s="1"/>
  <c r="E2102" i="1" s="1"/>
  <c r="AA2099" i="1"/>
  <c r="AA2100" i="1"/>
  <c r="AA2101" i="1"/>
  <c r="AA2102" i="1"/>
  <c r="Y2090" i="1"/>
  <c r="Z2090" i="1" s="1"/>
  <c r="E2090" i="1" s="1"/>
  <c r="Y2091" i="1"/>
  <c r="Z2091" i="1" s="1"/>
  <c r="E2091" i="1" s="1"/>
  <c r="Y2092" i="1"/>
  <c r="Z2092" i="1" s="1"/>
  <c r="E2092" i="1" s="1"/>
  <c r="Y2093" i="1"/>
  <c r="Z2093" i="1" s="1"/>
  <c r="E2093" i="1" s="1"/>
  <c r="Y2094" i="1"/>
  <c r="Z2094" i="1" s="1"/>
  <c r="E2094" i="1" s="1"/>
  <c r="Y2095" i="1"/>
  <c r="Z2095" i="1" s="1"/>
  <c r="E2095" i="1" s="1"/>
  <c r="Y2096" i="1"/>
  <c r="Z2096" i="1" s="1"/>
  <c r="E2096" i="1" s="1"/>
  <c r="Y2097" i="1"/>
  <c r="Z2097" i="1" s="1"/>
  <c r="E2097" i="1" s="1"/>
  <c r="Y2098" i="1"/>
  <c r="Z2098" i="1" s="1"/>
  <c r="E2098" i="1" s="1"/>
  <c r="Y2099" i="1"/>
  <c r="Z2099" i="1" s="1"/>
  <c r="E2099" i="1" s="1"/>
  <c r="Y2074" i="1"/>
  <c r="Z2074" i="1" s="1"/>
  <c r="E2074" i="1" s="1"/>
  <c r="Y2075" i="1"/>
  <c r="Z2075" i="1" s="1"/>
  <c r="E2075" i="1" s="1"/>
  <c r="Y2076" i="1"/>
  <c r="Z2076" i="1" s="1"/>
  <c r="E2076" i="1" s="1"/>
  <c r="Y2077" i="1"/>
  <c r="Z2077" i="1" s="1"/>
  <c r="E2077" i="1" s="1"/>
  <c r="Y2078" i="1"/>
  <c r="Z2078" i="1" s="1"/>
  <c r="E2078" i="1" s="1"/>
  <c r="Y2079" i="1"/>
  <c r="Z2079" i="1" s="1"/>
  <c r="E2079" i="1" s="1"/>
  <c r="Y2080" i="1"/>
  <c r="Z2080" i="1" s="1"/>
  <c r="E2080" i="1" s="1"/>
  <c r="Y2081" i="1"/>
  <c r="Z2081" i="1" s="1"/>
  <c r="E2081" i="1" s="1"/>
  <c r="Y2082" i="1"/>
  <c r="Z2082" i="1" s="1"/>
  <c r="E2082" i="1" s="1"/>
  <c r="Y2083" i="1"/>
  <c r="Z2083" i="1" s="1"/>
  <c r="E2083" i="1" s="1"/>
  <c r="Y2084" i="1"/>
  <c r="Z2084" i="1" s="1"/>
  <c r="E2084" i="1" s="1"/>
  <c r="Y2085" i="1"/>
  <c r="Z2085" i="1" s="1"/>
  <c r="E2085" i="1" s="1"/>
  <c r="Y2086" i="1"/>
  <c r="Z2086" i="1" s="1"/>
  <c r="E2086" i="1" s="1"/>
  <c r="Y2087" i="1"/>
  <c r="Z2087" i="1" s="1"/>
  <c r="E2087" i="1" s="1"/>
  <c r="Y2088" i="1"/>
  <c r="Z2088" i="1" s="1"/>
  <c r="E2088" i="1" s="1"/>
  <c r="Y2089" i="1"/>
  <c r="Z2089" i="1" s="1"/>
  <c r="E2089" i="1" s="1"/>
  <c r="R2100" i="1"/>
  <c r="S2100" i="1"/>
  <c r="AA2091" i="1"/>
  <c r="AA2097" i="1"/>
  <c r="AA2098" i="1"/>
  <c r="AA2096" i="1"/>
  <c r="P2096" i="1"/>
  <c r="AA2095" i="1"/>
  <c r="P2095" i="1"/>
  <c r="AA2094" i="1"/>
  <c r="AA2093" i="1"/>
  <c r="P2093" i="1"/>
  <c r="AA2092" i="1"/>
  <c r="P2092" i="1"/>
  <c r="Y2070" i="1"/>
  <c r="Z2070" i="1" s="1"/>
  <c r="E2070" i="1" s="1"/>
  <c r="Y2071" i="1"/>
  <c r="Z2071" i="1" s="1"/>
  <c r="E2071" i="1" s="1"/>
  <c r="Y2072" i="1"/>
  <c r="Z2072" i="1" s="1"/>
  <c r="E2072" i="1" s="1"/>
  <c r="Y2073" i="1"/>
  <c r="Z2073" i="1" s="1"/>
  <c r="E2073" i="1" s="1"/>
  <c r="Y1647" i="1"/>
  <c r="Z1647" i="1" s="1"/>
  <c r="E1647" i="1" s="1"/>
  <c r="Y1648" i="1"/>
  <c r="Z1648" i="1" s="1"/>
  <c r="E1648" i="1" s="1"/>
  <c r="Y1649" i="1"/>
  <c r="Z1649" i="1" s="1"/>
  <c r="E1649" i="1" s="1"/>
  <c r="Y1650" i="1"/>
  <c r="Z1650" i="1" s="1"/>
  <c r="E1650" i="1" s="1"/>
  <c r="Y1651" i="1"/>
  <c r="Z1651" i="1" s="1"/>
  <c r="E1651" i="1" s="1"/>
  <c r="Y1652" i="1"/>
  <c r="Z1652" i="1" s="1"/>
  <c r="E1652" i="1" s="1"/>
  <c r="Y1653" i="1"/>
  <c r="Z1653" i="1" s="1"/>
  <c r="E1653" i="1" s="1"/>
  <c r="Y1654" i="1"/>
  <c r="Z1654" i="1" s="1"/>
  <c r="E1654" i="1" s="1"/>
  <c r="Y1655" i="1"/>
  <c r="Z1655" i="1" s="1"/>
  <c r="E1655" i="1" s="1"/>
  <c r="Y1656" i="1"/>
  <c r="Z1656" i="1" s="1"/>
  <c r="E1656" i="1" s="1"/>
  <c r="Y1657" i="1"/>
  <c r="Z1657" i="1" s="1"/>
  <c r="E1657" i="1" s="1"/>
  <c r="Y1658" i="1"/>
  <c r="Z1658" i="1" s="1"/>
  <c r="E1658" i="1" s="1"/>
  <c r="Y1659" i="1"/>
  <c r="Z1659" i="1" s="1"/>
  <c r="E1659" i="1" s="1"/>
  <c r="Y1660" i="1"/>
  <c r="Z1660" i="1" s="1"/>
  <c r="E1660" i="1" s="1"/>
  <c r="Y1661" i="1"/>
  <c r="Z1661" i="1" s="1"/>
  <c r="E1661" i="1" s="1"/>
  <c r="Y1662" i="1"/>
  <c r="Z1662" i="1" s="1"/>
  <c r="E1662" i="1" s="1"/>
  <c r="Y1663" i="1"/>
  <c r="Z1663" i="1" s="1"/>
  <c r="E1663" i="1" s="1"/>
  <c r="Y1664" i="1"/>
  <c r="Z1664" i="1" s="1"/>
  <c r="E1664" i="1" s="1"/>
  <c r="Y1665" i="1"/>
  <c r="Z1665" i="1" s="1"/>
  <c r="E1665" i="1" s="1"/>
  <c r="Y1666" i="1"/>
  <c r="Z1666" i="1" s="1"/>
  <c r="E1666" i="1" s="1"/>
  <c r="Y1667" i="1"/>
  <c r="Z1667" i="1" s="1"/>
  <c r="E1667" i="1" s="1"/>
  <c r="Y1668" i="1"/>
  <c r="Z1668" i="1" s="1"/>
  <c r="E1668" i="1" s="1"/>
  <c r="Y1669" i="1"/>
  <c r="Z1669" i="1" s="1"/>
  <c r="E1669" i="1" s="1"/>
  <c r="Y1670" i="1"/>
  <c r="Z1670" i="1" s="1"/>
  <c r="E1670" i="1" s="1"/>
  <c r="Y1671" i="1"/>
  <c r="Z1671" i="1" s="1"/>
  <c r="E1671" i="1" s="1"/>
  <c r="Y1672" i="1"/>
  <c r="Z1672" i="1" s="1"/>
  <c r="E1672" i="1" s="1"/>
  <c r="Y1673" i="1"/>
  <c r="Z1673" i="1" s="1"/>
  <c r="E1673" i="1" s="1"/>
  <c r="Y1674" i="1"/>
  <c r="Z1674" i="1" s="1"/>
  <c r="E1674" i="1" s="1"/>
  <c r="Y1675" i="1"/>
  <c r="Z1675" i="1" s="1"/>
  <c r="E1675" i="1" s="1"/>
  <c r="Y1676" i="1"/>
  <c r="Z1676" i="1" s="1"/>
  <c r="E1676" i="1" s="1"/>
  <c r="Y1677" i="1"/>
  <c r="Z1677" i="1" s="1"/>
  <c r="E1677" i="1" s="1"/>
  <c r="Y1678" i="1"/>
  <c r="Z1678" i="1" s="1"/>
  <c r="E1678" i="1" s="1"/>
  <c r="Y1679" i="1"/>
  <c r="Z1679" i="1" s="1"/>
  <c r="E1679" i="1" s="1"/>
  <c r="Y1680" i="1"/>
  <c r="Z1680" i="1" s="1"/>
  <c r="E1680" i="1" s="1"/>
  <c r="Y1681" i="1"/>
  <c r="Z1681" i="1" s="1"/>
  <c r="E1681" i="1" s="1"/>
  <c r="Y1682" i="1"/>
  <c r="Z1682" i="1" s="1"/>
  <c r="E1682" i="1" s="1"/>
  <c r="Y1683" i="1"/>
  <c r="Z1683" i="1" s="1"/>
  <c r="E1683" i="1" s="1"/>
  <c r="Y1684" i="1"/>
  <c r="Z1684" i="1" s="1"/>
  <c r="E1684" i="1" s="1"/>
  <c r="Y1685" i="1"/>
  <c r="Z1685" i="1" s="1"/>
  <c r="E1685" i="1" s="1"/>
  <c r="Y1686" i="1"/>
  <c r="Z1686" i="1" s="1"/>
  <c r="E1686" i="1" s="1"/>
  <c r="Y1687" i="1"/>
  <c r="Z1687" i="1" s="1"/>
  <c r="E1687" i="1" s="1"/>
  <c r="Y1688" i="1"/>
  <c r="Z1688" i="1" s="1"/>
  <c r="E1688" i="1" s="1"/>
  <c r="Y1689" i="1"/>
  <c r="Z1689" i="1" s="1"/>
  <c r="E1689" i="1" s="1"/>
  <c r="Y1690" i="1"/>
  <c r="Z1690" i="1" s="1"/>
  <c r="E1690" i="1" s="1"/>
  <c r="Y1691" i="1"/>
  <c r="Z1691" i="1" s="1"/>
  <c r="E1691" i="1" s="1"/>
  <c r="Y1692" i="1"/>
  <c r="Z1692" i="1" s="1"/>
  <c r="E1692" i="1" s="1"/>
  <c r="Y1693" i="1"/>
  <c r="Z1693" i="1" s="1"/>
  <c r="E1693" i="1" s="1"/>
  <c r="Y1694" i="1"/>
  <c r="Z1694" i="1" s="1"/>
  <c r="E1694" i="1" s="1"/>
  <c r="Y1695" i="1"/>
  <c r="Z1695" i="1" s="1"/>
  <c r="E1695" i="1" s="1"/>
  <c r="Y1696" i="1"/>
  <c r="Z1696" i="1" s="1"/>
  <c r="E1696" i="1" s="1"/>
  <c r="Y1697" i="1"/>
  <c r="Z1697" i="1" s="1"/>
  <c r="E1697" i="1" s="1"/>
  <c r="Y1698" i="1"/>
  <c r="Z1698" i="1" s="1"/>
  <c r="E1698" i="1" s="1"/>
  <c r="Y1699" i="1"/>
  <c r="Z1699" i="1" s="1"/>
  <c r="E1699" i="1" s="1"/>
  <c r="Y1700" i="1"/>
  <c r="Z1700" i="1" s="1"/>
  <c r="E1700" i="1" s="1"/>
  <c r="Y1701" i="1"/>
  <c r="Z1701" i="1" s="1"/>
  <c r="E1701" i="1" s="1"/>
  <c r="Y1702" i="1"/>
  <c r="Z1702" i="1" s="1"/>
  <c r="E1702" i="1" s="1"/>
  <c r="Y1703" i="1"/>
  <c r="Z1703" i="1" s="1"/>
  <c r="E1703" i="1" s="1"/>
  <c r="Y1704" i="1"/>
  <c r="Z1704" i="1" s="1"/>
  <c r="E1704" i="1" s="1"/>
  <c r="Y1705" i="1"/>
  <c r="Z1705" i="1" s="1"/>
  <c r="E1705" i="1" s="1"/>
  <c r="Y1706" i="1"/>
  <c r="Z1706" i="1" s="1"/>
  <c r="E1706" i="1" s="1"/>
  <c r="Y1707" i="1"/>
  <c r="Z1707" i="1" s="1"/>
  <c r="E1707" i="1" s="1"/>
  <c r="Y1708" i="1"/>
  <c r="Z1708" i="1" s="1"/>
  <c r="E1708" i="1" s="1"/>
  <c r="Y1709" i="1"/>
  <c r="Z1709" i="1" s="1"/>
  <c r="E1709" i="1" s="1"/>
  <c r="Y1710" i="1"/>
  <c r="Z1710" i="1" s="1"/>
  <c r="E1710" i="1" s="1"/>
  <c r="Y1711" i="1"/>
  <c r="Z1711" i="1" s="1"/>
  <c r="E1711" i="1" s="1"/>
  <c r="Y1712" i="1"/>
  <c r="Z1712" i="1" s="1"/>
  <c r="E1712" i="1" s="1"/>
  <c r="Y1713" i="1"/>
  <c r="Z1713" i="1" s="1"/>
  <c r="E1713" i="1" s="1"/>
  <c r="Y1714" i="1"/>
  <c r="Z1714" i="1" s="1"/>
  <c r="E1714" i="1" s="1"/>
  <c r="Y1715" i="1"/>
  <c r="Z1715" i="1" s="1"/>
  <c r="E1715" i="1" s="1"/>
  <c r="Y1716" i="1"/>
  <c r="Z1716" i="1" s="1"/>
  <c r="E1716" i="1" s="1"/>
  <c r="Y1717" i="1"/>
  <c r="Z1717" i="1" s="1"/>
  <c r="E1717" i="1" s="1"/>
  <c r="Y1718" i="1"/>
  <c r="Z1718" i="1" s="1"/>
  <c r="E1718" i="1" s="1"/>
  <c r="Y1719" i="1"/>
  <c r="Z1719" i="1" s="1"/>
  <c r="E1719" i="1" s="1"/>
  <c r="Y1720" i="1"/>
  <c r="Z1720" i="1" s="1"/>
  <c r="E1720" i="1" s="1"/>
  <c r="Y1721" i="1"/>
  <c r="Z1721" i="1" s="1"/>
  <c r="E1721" i="1" s="1"/>
  <c r="Y1722" i="1"/>
  <c r="Z1722" i="1" s="1"/>
  <c r="E1722" i="1" s="1"/>
  <c r="Y1723" i="1"/>
  <c r="Z1723" i="1" s="1"/>
  <c r="E1723" i="1" s="1"/>
  <c r="Y1724" i="1"/>
  <c r="Z1724" i="1" s="1"/>
  <c r="E1724" i="1" s="1"/>
  <c r="Y1725" i="1"/>
  <c r="Z1725" i="1" s="1"/>
  <c r="E1725" i="1" s="1"/>
  <c r="Y1726" i="1"/>
  <c r="Z1726" i="1" s="1"/>
  <c r="E1726" i="1" s="1"/>
  <c r="Y1727" i="1"/>
  <c r="Z1727" i="1" s="1"/>
  <c r="E1727" i="1" s="1"/>
  <c r="Y1728" i="1"/>
  <c r="Z1728" i="1" s="1"/>
  <c r="E1728" i="1" s="1"/>
  <c r="Y1729" i="1"/>
  <c r="Z1729" i="1" s="1"/>
  <c r="E1729" i="1" s="1"/>
  <c r="Y1730" i="1"/>
  <c r="Z1730" i="1" s="1"/>
  <c r="E1730" i="1" s="1"/>
  <c r="Y1731" i="1"/>
  <c r="Z1731" i="1" s="1"/>
  <c r="E1731" i="1" s="1"/>
  <c r="Y1732" i="1"/>
  <c r="Z1732" i="1" s="1"/>
  <c r="E1732" i="1" s="1"/>
  <c r="Y1733" i="1"/>
  <c r="Z1733" i="1" s="1"/>
  <c r="E1733" i="1" s="1"/>
  <c r="Y1734" i="1"/>
  <c r="Z1734" i="1" s="1"/>
  <c r="E1734" i="1" s="1"/>
  <c r="Y1735" i="1"/>
  <c r="Z1735" i="1" s="1"/>
  <c r="E1735" i="1" s="1"/>
  <c r="Y1736" i="1"/>
  <c r="Z1736" i="1" s="1"/>
  <c r="E1736" i="1" s="1"/>
  <c r="Y1737" i="1"/>
  <c r="Z1737" i="1" s="1"/>
  <c r="E1737" i="1" s="1"/>
  <c r="Y1738" i="1"/>
  <c r="Z1738" i="1" s="1"/>
  <c r="E1738" i="1" s="1"/>
  <c r="Y1739" i="1"/>
  <c r="Z1739" i="1" s="1"/>
  <c r="E1739" i="1" s="1"/>
  <c r="Y1740" i="1"/>
  <c r="Z1740" i="1" s="1"/>
  <c r="E1740" i="1" s="1"/>
  <c r="Y1741" i="1"/>
  <c r="Z1741" i="1" s="1"/>
  <c r="E1741" i="1" s="1"/>
  <c r="Y1742" i="1"/>
  <c r="Z1742" i="1" s="1"/>
  <c r="E1742" i="1" s="1"/>
  <c r="Y1743" i="1"/>
  <c r="Z1743" i="1" s="1"/>
  <c r="E1743" i="1" s="1"/>
  <c r="Y1744" i="1"/>
  <c r="Z1744" i="1" s="1"/>
  <c r="E1744" i="1" s="1"/>
  <c r="Y1745" i="1"/>
  <c r="Z1745" i="1" s="1"/>
  <c r="E1745" i="1" s="1"/>
  <c r="Y1746" i="1"/>
  <c r="Z1746" i="1" s="1"/>
  <c r="E1746" i="1" s="1"/>
  <c r="Y1747" i="1"/>
  <c r="Z1747" i="1" s="1"/>
  <c r="E1747" i="1" s="1"/>
  <c r="Y1748" i="1"/>
  <c r="Z1748" i="1" s="1"/>
  <c r="E1748" i="1" s="1"/>
  <c r="Y1749" i="1"/>
  <c r="Z1749" i="1" s="1"/>
  <c r="E1749" i="1" s="1"/>
  <c r="Y1750" i="1"/>
  <c r="Z1750" i="1" s="1"/>
  <c r="E1750" i="1" s="1"/>
  <c r="Y1751" i="1"/>
  <c r="Z1751" i="1" s="1"/>
  <c r="E1751" i="1" s="1"/>
  <c r="Y1752" i="1"/>
  <c r="Z1752" i="1" s="1"/>
  <c r="E1752" i="1" s="1"/>
  <c r="Y1753" i="1"/>
  <c r="Z1753" i="1" s="1"/>
  <c r="E1753" i="1" s="1"/>
  <c r="Y1754" i="1"/>
  <c r="Z1754" i="1" s="1"/>
  <c r="E1754" i="1" s="1"/>
  <c r="Y1755" i="1"/>
  <c r="Z1755" i="1" s="1"/>
  <c r="E1755" i="1" s="1"/>
  <c r="Y1756" i="1"/>
  <c r="Z1756" i="1" s="1"/>
  <c r="E1756" i="1" s="1"/>
  <c r="Y1757" i="1"/>
  <c r="Z1757" i="1" s="1"/>
  <c r="E1757" i="1" s="1"/>
  <c r="Y1758" i="1"/>
  <c r="Z1758" i="1" s="1"/>
  <c r="E1758" i="1" s="1"/>
  <c r="Y1759" i="1"/>
  <c r="Z1759" i="1" s="1"/>
  <c r="E1759" i="1" s="1"/>
  <c r="Y1760" i="1"/>
  <c r="Z1760" i="1" s="1"/>
  <c r="E1760" i="1" s="1"/>
  <c r="Y1761" i="1"/>
  <c r="Z1761" i="1" s="1"/>
  <c r="E1761" i="1" s="1"/>
  <c r="Y1762" i="1"/>
  <c r="Z1762" i="1" s="1"/>
  <c r="E1762" i="1" s="1"/>
  <c r="Y1763" i="1"/>
  <c r="Z1763" i="1" s="1"/>
  <c r="E1763" i="1" s="1"/>
  <c r="Y1764" i="1"/>
  <c r="Z1764" i="1" s="1"/>
  <c r="E1764" i="1" s="1"/>
  <c r="Y1765" i="1"/>
  <c r="Z1765" i="1" s="1"/>
  <c r="E1765" i="1" s="1"/>
  <c r="Y1766" i="1"/>
  <c r="Z1766" i="1" s="1"/>
  <c r="E1766" i="1" s="1"/>
  <c r="Y1767" i="1"/>
  <c r="Z1767" i="1" s="1"/>
  <c r="E1767" i="1" s="1"/>
  <c r="Y1768" i="1"/>
  <c r="Z1768" i="1" s="1"/>
  <c r="E1768" i="1" s="1"/>
  <c r="Y1769" i="1"/>
  <c r="Z1769" i="1" s="1"/>
  <c r="E1769" i="1" s="1"/>
  <c r="Y1770" i="1"/>
  <c r="Z1770" i="1" s="1"/>
  <c r="E1770" i="1" s="1"/>
  <c r="Y1771" i="1"/>
  <c r="Z1771" i="1" s="1"/>
  <c r="E1771" i="1" s="1"/>
  <c r="Y1772" i="1"/>
  <c r="Z1772" i="1" s="1"/>
  <c r="E1772" i="1" s="1"/>
  <c r="Y1773" i="1"/>
  <c r="Z1773" i="1" s="1"/>
  <c r="E1773" i="1" s="1"/>
  <c r="Y1774" i="1"/>
  <c r="Z1774" i="1" s="1"/>
  <c r="E1774" i="1" s="1"/>
  <c r="Y1775" i="1"/>
  <c r="Z1775" i="1" s="1"/>
  <c r="E1775" i="1" s="1"/>
  <c r="Y1776" i="1"/>
  <c r="Z1776" i="1" s="1"/>
  <c r="E1776" i="1" s="1"/>
  <c r="Y1777" i="1"/>
  <c r="Z1777" i="1" s="1"/>
  <c r="E1777" i="1" s="1"/>
  <c r="Y1778" i="1"/>
  <c r="Z1778" i="1" s="1"/>
  <c r="E1778" i="1" s="1"/>
  <c r="Y1779" i="1"/>
  <c r="Z1779" i="1" s="1"/>
  <c r="E1779" i="1" s="1"/>
  <c r="Y1780" i="1"/>
  <c r="Z1780" i="1" s="1"/>
  <c r="E1780" i="1" s="1"/>
  <c r="Y1781" i="1"/>
  <c r="Z1781" i="1" s="1"/>
  <c r="E1781" i="1" s="1"/>
  <c r="Y1782" i="1"/>
  <c r="Z1782" i="1" s="1"/>
  <c r="E1782" i="1" s="1"/>
  <c r="Y1783" i="1"/>
  <c r="Z1783" i="1" s="1"/>
  <c r="E1783" i="1" s="1"/>
  <c r="Y1784" i="1"/>
  <c r="Z1784" i="1" s="1"/>
  <c r="E1784" i="1" s="1"/>
  <c r="Y1785" i="1"/>
  <c r="Z1785" i="1" s="1"/>
  <c r="E1785" i="1" s="1"/>
  <c r="Y1786" i="1"/>
  <c r="Z1786" i="1" s="1"/>
  <c r="E1786" i="1" s="1"/>
  <c r="Y1787" i="1"/>
  <c r="Z1787" i="1" s="1"/>
  <c r="E1787" i="1" s="1"/>
  <c r="Y1788" i="1"/>
  <c r="Y1789" i="1"/>
  <c r="Z1789" i="1" s="1"/>
  <c r="E1789" i="1" s="1"/>
  <c r="Y1790" i="1"/>
  <c r="Z1790" i="1" s="1"/>
  <c r="E1790" i="1" s="1"/>
  <c r="Y1791" i="1"/>
  <c r="Z1791" i="1" s="1"/>
  <c r="E1791" i="1" s="1"/>
  <c r="Y1792" i="1"/>
  <c r="Z1792" i="1" s="1"/>
  <c r="E1792" i="1" s="1"/>
  <c r="Y1793" i="1"/>
  <c r="Z1793" i="1" s="1"/>
  <c r="E1793" i="1" s="1"/>
  <c r="Y1794" i="1"/>
  <c r="Z1794" i="1" s="1"/>
  <c r="E1794" i="1" s="1"/>
  <c r="Y1795" i="1"/>
  <c r="Z1795" i="1" s="1"/>
  <c r="E1795" i="1" s="1"/>
  <c r="Y1796" i="1"/>
  <c r="Z1796" i="1" s="1"/>
  <c r="E1796" i="1" s="1"/>
  <c r="Y1797" i="1"/>
  <c r="Z1797" i="1" s="1"/>
  <c r="E1797" i="1" s="1"/>
  <c r="Y1798" i="1"/>
  <c r="Z1798" i="1" s="1"/>
  <c r="E1798" i="1" s="1"/>
  <c r="Y1799" i="1"/>
  <c r="Z1799" i="1" s="1"/>
  <c r="E1799" i="1" s="1"/>
  <c r="Y1800" i="1"/>
  <c r="Z1800" i="1" s="1"/>
  <c r="E1800" i="1" s="1"/>
  <c r="Y1801" i="1"/>
  <c r="Z1801" i="1" s="1"/>
  <c r="E1801" i="1" s="1"/>
  <c r="Y1802" i="1"/>
  <c r="Z1802" i="1" s="1"/>
  <c r="E1802" i="1" s="1"/>
  <c r="Y1803" i="1"/>
  <c r="Z1803" i="1" s="1"/>
  <c r="E1803" i="1" s="1"/>
  <c r="Y1804" i="1"/>
  <c r="Z1804" i="1" s="1"/>
  <c r="E1804" i="1" s="1"/>
  <c r="Y1805" i="1"/>
  <c r="Z1805" i="1" s="1"/>
  <c r="E1805" i="1" s="1"/>
  <c r="Y1806" i="1"/>
  <c r="Z1806" i="1" s="1"/>
  <c r="E1806" i="1" s="1"/>
  <c r="Y1807" i="1"/>
  <c r="Z1807" i="1" s="1"/>
  <c r="E1807" i="1" s="1"/>
  <c r="Y1808" i="1"/>
  <c r="Z1808" i="1" s="1"/>
  <c r="E1808" i="1" s="1"/>
  <c r="Y1809" i="1"/>
  <c r="Z1809" i="1" s="1"/>
  <c r="E1809" i="1" s="1"/>
  <c r="Y1810" i="1"/>
  <c r="Z1810" i="1" s="1"/>
  <c r="E1810" i="1" s="1"/>
  <c r="Y1811" i="1"/>
  <c r="Z1811" i="1" s="1"/>
  <c r="E1811" i="1" s="1"/>
  <c r="Y1812" i="1"/>
  <c r="Z1812" i="1" s="1"/>
  <c r="E1812" i="1" s="1"/>
  <c r="Y1813" i="1"/>
  <c r="Z1813" i="1" s="1"/>
  <c r="E1813" i="1" s="1"/>
  <c r="Y1814" i="1"/>
  <c r="Z1814" i="1" s="1"/>
  <c r="E1814" i="1" s="1"/>
  <c r="Y1815" i="1"/>
  <c r="Z1815" i="1" s="1"/>
  <c r="E1815" i="1" s="1"/>
  <c r="Y1816" i="1"/>
  <c r="Z1816" i="1" s="1"/>
  <c r="E1816" i="1" s="1"/>
  <c r="Y1817" i="1"/>
  <c r="Z1817" i="1" s="1"/>
  <c r="E1817" i="1" s="1"/>
  <c r="Y1818" i="1"/>
  <c r="Z1818" i="1" s="1"/>
  <c r="E1818" i="1" s="1"/>
  <c r="Y1819" i="1"/>
  <c r="Z1819" i="1" s="1"/>
  <c r="E1819" i="1" s="1"/>
  <c r="Y1820" i="1"/>
  <c r="Z1820" i="1" s="1"/>
  <c r="E1820" i="1" s="1"/>
  <c r="Y1821" i="1"/>
  <c r="Z1821" i="1" s="1"/>
  <c r="E1821" i="1" s="1"/>
  <c r="Y1822" i="1"/>
  <c r="Z1822" i="1" s="1"/>
  <c r="E1822" i="1" s="1"/>
  <c r="Y1823" i="1"/>
  <c r="Z1823" i="1" s="1"/>
  <c r="E1823" i="1" s="1"/>
  <c r="Y1824" i="1"/>
  <c r="Z1824" i="1" s="1"/>
  <c r="E1824" i="1" s="1"/>
  <c r="Y1825" i="1"/>
  <c r="Z1825" i="1" s="1"/>
  <c r="E1825" i="1" s="1"/>
  <c r="Y1826" i="1"/>
  <c r="Z1826" i="1" s="1"/>
  <c r="E1826" i="1" s="1"/>
  <c r="Y1827" i="1"/>
  <c r="Z1827" i="1" s="1"/>
  <c r="E1827" i="1" s="1"/>
  <c r="Y1828" i="1"/>
  <c r="Z1828" i="1" s="1"/>
  <c r="E1828" i="1" s="1"/>
  <c r="Y1829" i="1"/>
  <c r="Z1829" i="1" s="1"/>
  <c r="E1829" i="1" s="1"/>
  <c r="Y1830" i="1"/>
  <c r="Z1830" i="1" s="1"/>
  <c r="E1830" i="1" s="1"/>
  <c r="Y1831" i="1"/>
  <c r="Z1831" i="1" s="1"/>
  <c r="E1831" i="1" s="1"/>
  <c r="Y1832" i="1"/>
  <c r="Z1832" i="1" s="1"/>
  <c r="E1832" i="1" s="1"/>
  <c r="Y1833" i="1"/>
  <c r="Z1833" i="1" s="1"/>
  <c r="E1833" i="1" s="1"/>
  <c r="Y1834" i="1"/>
  <c r="Z1834" i="1" s="1"/>
  <c r="E1834" i="1" s="1"/>
  <c r="Y1835" i="1"/>
  <c r="Z1835" i="1" s="1"/>
  <c r="E1835" i="1" s="1"/>
  <c r="Y1836" i="1"/>
  <c r="Z1836" i="1" s="1"/>
  <c r="E1836" i="1" s="1"/>
  <c r="Y1837" i="1"/>
  <c r="Z1837" i="1" s="1"/>
  <c r="E1837" i="1" s="1"/>
  <c r="Y1838" i="1"/>
  <c r="Z1838" i="1" s="1"/>
  <c r="E1838" i="1" s="1"/>
  <c r="Y1839" i="1"/>
  <c r="Z1839" i="1" s="1"/>
  <c r="E1839" i="1" s="1"/>
  <c r="Y1840" i="1"/>
  <c r="Z1840" i="1" s="1"/>
  <c r="E1840" i="1" s="1"/>
  <c r="Y1841" i="1"/>
  <c r="Z1841" i="1" s="1"/>
  <c r="E1841" i="1" s="1"/>
  <c r="Y1842" i="1"/>
  <c r="Z1842" i="1" s="1"/>
  <c r="E1842" i="1" s="1"/>
  <c r="Y1843" i="1"/>
  <c r="Z1843" i="1" s="1"/>
  <c r="E1843" i="1" s="1"/>
  <c r="Y1844" i="1"/>
  <c r="Z1844" i="1" s="1"/>
  <c r="E1844" i="1" s="1"/>
  <c r="Y1845" i="1"/>
  <c r="Z1845" i="1" s="1"/>
  <c r="E1845" i="1" s="1"/>
  <c r="Y1846" i="1"/>
  <c r="Z1846" i="1" s="1"/>
  <c r="E1846" i="1" s="1"/>
  <c r="Y1847" i="1"/>
  <c r="Z1847" i="1" s="1"/>
  <c r="E1847" i="1" s="1"/>
  <c r="Y1848" i="1"/>
  <c r="Z1848" i="1" s="1"/>
  <c r="E1848" i="1" s="1"/>
  <c r="Y1849" i="1"/>
  <c r="Z1849" i="1" s="1"/>
  <c r="E1849" i="1" s="1"/>
  <c r="Y1850" i="1"/>
  <c r="Z1850" i="1" s="1"/>
  <c r="E1850" i="1" s="1"/>
  <c r="Y1851" i="1"/>
  <c r="Z1851" i="1" s="1"/>
  <c r="E1851" i="1" s="1"/>
  <c r="Y1852" i="1"/>
  <c r="Z1852" i="1" s="1"/>
  <c r="E1852" i="1" s="1"/>
  <c r="Y1853" i="1"/>
  <c r="Z1853" i="1" s="1"/>
  <c r="E1853" i="1" s="1"/>
  <c r="Y1854" i="1"/>
  <c r="Z1854" i="1" s="1"/>
  <c r="E1854" i="1" s="1"/>
  <c r="Y1855" i="1"/>
  <c r="Z1855" i="1" s="1"/>
  <c r="E1855" i="1" s="1"/>
  <c r="Y1856" i="1"/>
  <c r="Z1856" i="1" s="1"/>
  <c r="E1856" i="1" s="1"/>
  <c r="Y1857" i="1"/>
  <c r="Z1857" i="1" s="1"/>
  <c r="E1857" i="1" s="1"/>
  <c r="Y1858" i="1"/>
  <c r="Z1858" i="1" s="1"/>
  <c r="E1858" i="1" s="1"/>
  <c r="Y1859" i="1"/>
  <c r="Z1859" i="1" s="1"/>
  <c r="E1859" i="1" s="1"/>
  <c r="Y1860" i="1"/>
  <c r="Z1860" i="1" s="1"/>
  <c r="E1860" i="1" s="1"/>
  <c r="Y1861" i="1"/>
  <c r="Z1861" i="1" s="1"/>
  <c r="E1861" i="1" s="1"/>
  <c r="Y1862" i="1"/>
  <c r="Z1862" i="1" s="1"/>
  <c r="E1862" i="1" s="1"/>
  <c r="Y1863" i="1"/>
  <c r="Z1863" i="1" s="1"/>
  <c r="E1863" i="1" s="1"/>
  <c r="Y1864" i="1"/>
  <c r="Z1864" i="1" s="1"/>
  <c r="E1864" i="1" s="1"/>
  <c r="Y1865" i="1"/>
  <c r="Z1865" i="1" s="1"/>
  <c r="E1865" i="1" s="1"/>
  <c r="Y1866" i="1"/>
  <c r="Z1866" i="1" s="1"/>
  <c r="E1866" i="1" s="1"/>
  <c r="Y1867" i="1"/>
  <c r="Z1867" i="1" s="1"/>
  <c r="E1867" i="1" s="1"/>
  <c r="Y1868" i="1"/>
  <c r="Z1868" i="1" s="1"/>
  <c r="E1868" i="1" s="1"/>
  <c r="Y1869" i="1"/>
  <c r="Z1869" i="1" s="1"/>
  <c r="E1869" i="1" s="1"/>
  <c r="Y1870" i="1"/>
  <c r="Z1870" i="1" s="1"/>
  <c r="E1870" i="1" s="1"/>
  <c r="Y1871" i="1"/>
  <c r="Z1871" i="1" s="1"/>
  <c r="E1871" i="1" s="1"/>
  <c r="Y1872" i="1"/>
  <c r="Z1872" i="1" s="1"/>
  <c r="E1872" i="1" s="1"/>
  <c r="Y1873" i="1"/>
  <c r="Z1873" i="1" s="1"/>
  <c r="E1873" i="1" s="1"/>
  <c r="Y1874" i="1"/>
  <c r="Z1874" i="1" s="1"/>
  <c r="E1874" i="1" s="1"/>
  <c r="Y1875" i="1"/>
  <c r="Z1875" i="1" s="1"/>
  <c r="E1875" i="1" s="1"/>
  <c r="Y1876" i="1"/>
  <c r="Z1876" i="1" s="1"/>
  <c r="E1876" i="1" s="1"/>
  <c r="Y1877" i="1"/>
  <c r="Z1877" i="1" s="1"/>
  <c r="E1877" i="1" s="1"/>
  <c r="Y1878" i="1"/>
  <c r="Z1878" i="1" s="1"/>
  <c r="E1878" i="1" s="1"/>
  <c r="Y1879" i="1"/>
  <c r="Z1879" i="1" s="1"/>
  <c r="E1879" i="1" s="1"/>
  <c r="Y1880" i="1"/>
  <c r="Z1880" i="1" s="1"/>
  <c r="E1880" i="1" s="1"/>
  <c r="Y1881" i="1"/>
  <c r="Z1881" i="1" s="1"/>
  <c r="E1881" i="1" s="1"/>
  <c r="Y1882" i="1"/>
  <c r="Z1882" i="1" s="1"/>
  <c r="E1882" i="1" s="1"/>
  <c r="Y1883" i="1"/>
  <c r="Z1883" i="1" s="1"/>
  <c r="E1883" i="1" s="1"/>
  <c r="Y1884" i="1"/>
  <c r="Z1884" i="1" s="1"/>
  <c r="E1884" i="1" s="1"/>
  <c r="Y1885" i="1"/>
  <c r="Z1885" i="1" s="1"/>
  <c r="E1885" i="1" s="1"/>
  <c r="Y1886" i="1"/>
  <c r="Z1886" i="1" s="1"/>
  <c r="E1886" i="1" s="1"/>
  <c r="Y1887" i="1"/>
  <c r="Z1887" i="1" s="1"/>
  <c r="E1887" i="1" s="1"/>
  <c r="Y1888" i="1"/>
  <c r="Z1888" i="1" s="1"/>
  <c r="E1888" i="1" s="1"/>
  <c r="Y1889" i="1"/>
  <c r="Z1889" i="1" s="1"/>
  <c r="E1889" i="1" s="1"/>
  <c r="Y1890" i="1"/>
  <c r="Z1890" i="1" s="1"/>
  <c r="E1890" i="1" s="1"/>
  <c r="Y1891" i="1"/>
  <c r="Z1891" i="1" s="1"/>
  <c r="E1891" i="1" s="1"/>
  <c r="Y1892" i="1"/>
  <c r="Z1892" i="1" s="1"/>
  <c r="E1892" i="1" s="1"/>
  <c r="Y1893" i="1"/>
  <c r="Z1893" i="1" s="1"/>
  <c r="E1893" i="1" s="1"/>
  <c r="Y1894" i="1"/>
  <c r="Z1894" i="1" s="1"/>
  <c r="E1894" i="1" s="1"/>
  <c r="Y1895" i="1"/>
  <c r="Z1895" i="1" s="1"/>
  <c r="E1895" i="1" s="1"/>
  <c r="Y1896" i="1"/>
  <c r="Z1896" i="1" s="1"/>
  <c r="E1896" i="1" s="1"/>
  <c r="Y1897" i="1"/>
  <c r="Z1897" i="1" s="1"/>
  <c r="E1897" i="1" s="1"/>
  <c r="Y1898" i="1"/>
  <c r="Z1898" i="1" s="1"/>
  <c r="E1898" i="1" s="1"/>
  <c r="Y1899" i="1"/>
  <c r="Z1899" i="1" s="1"/>
  <c r="E1899" i="1" s="1"/>
  <c r="Y1900" i="1"/>
  <c r="Z1900" i="1" s="1"/>
  <c r="E1900" i="1" s="1"/>
  <c r="Y1901" i="1"/>
  <c r="Z1901" i="1" s="1"/>
  <c r="E1901" i="1" s="1"/>
  <c r="Y1902" i="1"/>
  <c r="Z1902" i="1" s="1"/>
  <c r="E1902" i="1" s="1"/>
  <c r="Y1903" i="1"/>
  <c r="Z1903" i="1" s="1"/>
  <c r="E1903" i="1" s="1"/>
  <c r="Y1904" i="1"/>
  <c r="Z1904" i="1" s="1"/>
  <c r="E1904" i="1" s="1"/>
  <c r="Y1905" i="1"/>
  <c r="Z1905" i="1" s="1"/>
  <c r="E1905" i="1" s="1"/>
  <c r="Y1906" i="1"/>
  <c r="Z1906" i="1" s="1"/>
  <c r="E1906" i="1" s="1"/>
  <c r="Y1907" i="1"/>
  <c r="Z1907" i="1" s="1"/>
  <c r="E1907" i="1" s="1"/>
  <c r="Y1908" i="1"/>
  <c r="Z1908" i="1" s="1"/>
  <c r="E1908" i="1" s="1"/>
  <c r="Y1909" i="1"/>
  <c r="Z1909" i="1" s="1"/>
  <c r="E1909" i="1" s="1"/>
  <c r="Y1910" i="1"/>
  <c r="Z1910" i="1" s="1"/>
  <c r="E1910" i="1" s="1"/>
  <c r="Y1911" i="1"/>
  <c r="Z1911" i="1" s="1"/>
  <c r="E1911" i="1" s="1"/>
  <c r="Y1912" i="1"/>
  <c r="Z1912" i="1" s="1"/>
  <c r="E1912" i="1" s="1"/>
  <c r="Y1913" i="1"/>
  <c r="Z1913" i="1" s="1"/>
  <c r="E1913" i="1" s="1"/>
  <c r="Y1914" i="1"/>
  <c r="Z1914" i="1" s="1"/>
  <c r="E1914" i="1" s="1"/>
  <c r="Y1915" i="1"/>
  <c r="Z1915" i="1" s="1"/>
  <c r="E1915" i="1" s="1"/>
  <c r="Y1916" i="1"/>
  <c r="Z1916" i="1" s="1"/>
  <c r="E1916" i="1" s="1"/>
  <c r="Y1917" i="1"/>
  <c r="Z1917" i="1" s="1"/>
  <c r="E1917" i="1" s="1"/>
  <c r="Y1918" i="1"/>
  <c r="Z1918" i="1" s="1"/>
  <c r="E1918" i="1" s="1"/>
  <c r="Y1919" i="1"/>
  <c r="Z1919" i="1" s="1"/>
  <c r="E1919" i="1" s="1"/>
  <c r="Y1920" i="1"/>
  <c r="Z1920" i="1" s="1"/>
  <c r="E1920" i="1" s="1"/>
  <c r="Y1921" i="1"/>
  <c r="Z1921" i="1" s="1"/>
  <c r="E1921" i="1" s="1"/>
  <c r="Y1922" i="1"/>
  <c r="Z1922" i="1" s="1"/>
  <c r="E1922" i="1" s="1"/>
  <c r="Y1923" i="1"/>
  <c r="Z1923" i="1" s="1"/>
  <c r="E1923" i="1" s="1"/>
  <c r="Y1924" i="1"/>
  <c r="Z1924" i="1" s="1"/>
  <c r="E1924" i="1" s="1"/>
  <c r="Y1925" i="1"/>
  <c r="Z1925" i="1" s="1"/>
  <c r="E1925" i="1" s="1"/>
  <c r="Y1926" i="1"/>
  <c r="Z1926" i="1" s="1"/>
  <c r="E1926" i="1" s="1"/>
  <c r="Y1927" i="1"/>
  <c r="Z1927" i="1" s="1"/>
  <c r="E1927" i="1" s="1"/>
  <c r="Y1928" i="1"/>
  <c r="Z1928" i="1" s="1"/>
  <c r="E1928" i="1" s="1"/>
  <c r="Y1929" i="1"/>
  <c r="Z1929" i="1" s="1"/>
  <c r="E1929" i="1" s="1"/>
  <c r="Y1930" i="1"/>
  <c r="Z1930" i="1" s="1"/>
  <c r="E1930" i="1" s="1"/>
  <c r="Y1931" i="1"/>
  <c r="Z1931" i="1" s="1"/>
  <c r="E1931" i="1" s="1"/>
  <c r="Y1933" i="1"/>
  <c r="Z1933" i="1" s="1"/>
  <c r="E1933" i="1" s="1"/>
  <c r="Y1934" i="1"/>
  <c r="Z1934" i="1" s="1"/>
  <c r="E1934" i="1" s="1"/>
  <c r="Y1935" i="1"/>
  <c r="Z1935" i="1" s="1"/>
  <c r="E1935" i="1" s="1"/>
  <c r="Y1936" i="1"/>
  <c r="Z1936" i="1" s="1"/>
  <c r="E1936" i="1" s="1"/>
  <c r="Y1937" i="1"/>
  <c r="Z1937" i="1" s="1"/>
  <c r="E1937" i="1" s="1"/>
  <c r="Y1938" i="1"/>
  <c r="Z1938" i="1" s="1"/>
  <c r="E1938" i="1" s="1"/>
  <c r="Y1939" i="1"/>
  <c r="Z1939" i="1" s="1"/>
  <c r="E1939" i="1" s="1"/>
  <c r="Y1940" i="1"/>
  <c r="Z1940" i="1" s="1"/>
  <c r="E1940" i="1" s="1"/>
  <c r="Y1941" i="1"/>
  <c r="Z1941" i="1" s="1"/>
  <c r="E1941" i="1" s="1"/>
  <c r="Y1942" i="1"/>
  <c r="Z1942" i="1" s="1"/>
  <c r="E1942" i="1" s="1"/>
  <c r="Y1943" i="1"/>
  <c r="Z1943" i="1" s="1"/>
  <c r="E1943" i="1" s="1"/>
  <c r="Y1944" i="1"/>
  <c r="Z1944" i="1" s="1"/>
  <c r="E1944" i="1" s="1"/>
  <c r="Y1945" i="1"/>
  <c r="Z1945" i="1" s="1"/>
  <c r="E1945" i="1" s="1"/>
  <c r="Y1946" i="1"/>
  <c r="Z1946" i="1" s="1"/>
  <c r="E1946" i="1" s="1"/>
  <c r="Y1947" i="1"/>
  <c r="Z1947" i="1" s="1"/>
  <c r="E1947" i="1" s="1"/>
  <c r="Y1948" i="1"/>
  <c r="Z1948" i="1" s="1"/>
  <c r="E1948" i="1" s="1"/>
  <c r="Y1949" i="1"/>
  <c r="Z1949" i="1" s="1"/>
  <c r="E1949" i="1" s="1"/>
  <c r="Y1950" i="1"/>
  <c r="Z1950" i="1" s="1"/>
  <c r="E1950" i="1" s="1"/>
  <c r="Y1951" i="1"/>
  <c r="Z1951" i="1" s="1"/>
  <c r="E1951" i="1" s="1"/>
  <c r="Y1952" i="1"/>
  <c r="Z1952" i="1" s="1"/>
  <c r="E1952" i="1" s="1"/>
  <c r="Y1953" i="1"/>
  <c r="Z1953" i="1" s="1"/>
  <c r="E1953" i="1" s="1"/>
  <c r="Y1954" i="1"/>
  <c r="Z1954" i="1" s="1"/>
  <c r="E1954" i="1" s="1"/>
  <c r="Y1955" i="1"/>
  <c r="Z1955" i="1" s="1"/>
  <c r="E1955" i="1" s="1"/>
  <c r="Y1956" i="1"/>
  <c r="Z1956" i="1" s="1"/>
  <c r="E1956" i="1" s="1"/>
  <c r="Y1957" i="1"/>
  <c r="Z1957" i="1" s="1"/>
  <c r="E1957" i="1" s="1"/>
  <c r="Y1958" i="1"/>
  <c r="Z1958" i="1" s="1"/>
  <c r="E1958" i="1" s="1"/>
  <c r="Y1959" i="1"/>
  <c r="Z1959" i="1" s="1"/>
  <c r="E1959" i="1" s="1"/>
  <c r="Y1960" i="1"/>
  <c r="Z1960" i="1" s="1"/>
  <c r="E1960" i="1" s="1"/>
  <c r="Y1961" i="1"/>
  <c r="Z1961" i="1" s="1"/>
  <c r="E1961" i="1" s="1"/>
  <c r="Y1962" i="1"/>
  <c r="Z1962" i="1" s="1"/>
  <c r="E1962" i="1" s="1"/>
  <c r="Y1963" i="1"/>
  <c r="Z1963" i="1" s="1"/>
  <c r="E1963" i="1" s="1"/>
  <c r="Y1964" i="1"/>
  <c r="Z1964" i="1" s="1"/>
  <c r="E1964" i="1" s="1"/>
  <c r="Y1965" i="1"/>
  <c r="Z1965" i="1" s="1"/>
  <c r="E1965" i="1" s="1"/>
  <c r="Y1966" i="1"/>
  <c r="Z1966" i="1" s="1"/>
  <c r="E1966" i="1" s="1"/>
  <c r="Y1967" i="1"/>
  <c r="Z1967" i="1" s="1"/>
  <c r="E1967" i="1" s="1"/>
  <c r="Y1968" i="1"/>
  <c r="Z1968" i="1" s="1"/>
  <c r="E1968" i="1" s="1"/>
  <c r="Y1969" i="1"/>
  <c r="Z1969" i="1" s="1"/>
  <c r="E1969" i="1" s="1"/>
  <c r="Y1970" i="1"/>
  <c r="Z1970" i="1" s="1"/>
  <c r="E1970" i="1" s="1"/>
  <c r="Y1971" i="1"/>
  <c r="Z1971" i="1" s="1"/>
  <c r="E1971" i="1" s="1"/>
  <c r="Y1972" i="1"/>
  <c r="Z1972" i="1" s="1"/>
  <c r="E1972" i="1" s="1"/>
  <c r="Y1973" i="1"/>
  <c r="Z1973" i="1" s="1"/>
  <c r="E1973" i="1" s="1"/>
  <c r="Y1974" i="1"/>
  <c r="Z1974" i="1" s="1"/>
  <c r="E1974" i="1" s="1"/>
  <c r="Y1975" i="1"/>
  <c r="Z1975" i="1" s="1"/>
  <c r="E1975" i="1" s="1"/>
  <c r="Y1976" i="1"/>
  <c r="Z1976" i="1" s="1"/>
  <c r="E1976" i="1" s="1"/>
  <c r="Y1977" i="1"/>
  <c r="Z1977" i="1" s="1"/>
  <c r="E1977" i="1" s="1"/>
  <c r="Y1978" i="1"/>
  <c r="Z1978" i="1" s="1"/>
  <c r="E1978" i="1" s="1"/>
  <c r="Y1979" i="1"/>
  <c r="Z1979" i="1" s="1"/>
  <c r="E1979" i="1" s="1"/>
  <c r="Y1980" i="1"/>
  <c r="Z1980" i="1" s="1"/>
  <c r="E1980" i="1" s="1"/>
  <c r="Y1981" i="1"/>
  <c r="Z1981" i="1" s="1"/>
  <c r="E1981" i="1" s="1"/>
  <c r="Y1982" i="1"/>
  <c r="Z1982" i="1" s="1"/>
  <c r="E1982" i="1" s="1"/>
  <c r="Y1983" i="1"/>
  <c r="Z1983" i="1" s="1"/>
  <c r="E1983" i="1" s="1"/>
  <c r="Y1984" i="1"/>
  <c r="Z1984" i="1" s="1"/>
  <c r="E1984" i="1" s="1"/>
  <c r="Y1985" i="1"/>
  <c r="Z1985" i="1" s="1"/>
  <c r="E1985" i="1" s="1"/>
  <c r="Y1986" i="1"/>
  <c r="Z1986" i="1" s="1"/>
  <c r="E1986" i="1" s="1"/>
  <c r="Y1987" i="1"/>
  <c r="Z1987" i="1" s="1"/>
  <c r="E1987" i="1" s="1"/>
  <c r="Y1988" i="1"/>
  <c r="Z1988" i="1" s="1"/>
  <c r="E1988" i="1" s="1"/>
  <c r="Y1989" i="1"/>
  <c r="Z1989" i="1" s="1"/>
  <c r="E1989" i="1" s="1"/>
  <c r="Y1990" i="1"/>
  <c r="Z1990" i="1" s="1"/>
  <c r="E1990" i="1" s="1"/>
  <c r="Y1991" i="1"/>
  <c r="Z1991" i="1" s="1"/>
  <c r="E1991" i="1" s="1"/>
  <c r="Y1992" i="1"/>
  <c r="Z1992" i="1" s="1"/>
  <c r="E1992" i="1" s="1"/>
  <c r="Y1993" i="1"/>
  <c r="Z1993" i="1" s="1"/>
  <c r="E1993" i="1" s="1"/>
  <c r="Y1994" i="1"/>
  <c r="Z1994" i="1" s="1"/>
  <c r="E1994" i="1" s="1"/>
  <c r="Y1995" i="1"/>
  <c r="Z1995" i="1" s="1"/>
  <c r="E1995" i="1" s="1"/>
  <c r="Y1996" i="1"/>
  <c r="Z1996" i="1" s="1"/>
  <c r="E1996" i="1" s="1"/>
  <c r="Y1997" i="1"/>
  <c r="Z1997" i="1" s="1"/>
  <c r="E1997" i="1" s="1"/>
  <c r="Y1998" i="1"/>
  <c r="Z1998" i="1" s="1"/>
  <c r="E1998" i="1" s="1"/>
  <c r="Y1999" i="1"/>
  <c r="Z1999" i="1" s="1"/>
  <c r="E1999" i="1" s="1"/>
  <c r="Y2000" i="1"/>
  <c r="Z2000" i="1" s="1"/>
  <c r="E2000" i="1" s="1"/>
  <c r="Y2001" i="1"/>
  <c r="Z2001" i="1" s="1"/>
  <c r="E2001" i="1" s="1"/>
  <c r="Y2002" i="1"/>
  <c r="Z2002" i="1" s="1"/>
  <c r="E2002" i="1" s="1"/>
  <c r="Y2003" i="1"/>
  <c r="Z2003" i="1" s="1"/>
  <c r="E2003" i="1" s="1"/>
  <c r="Y2004" i="1"/>
  <c r="Z2004" i="1" s="1"/>
  <c r="E2004" i="1" s="1"/>
  <c r="Y2005" i="1"/>
  <c r="Z2005" i="1" s="1"/>
  <c r="E2005" i="1" s="1"/>
  <c r="Y2006" i="1"/>
  <c r="Z2006" i="1" s="1"/>
  <c r="E2006" i="1" s="1"/>
  <c r="Y2007" i="1"/>
  <c r="Z2007" i="1" s="1"/>
  <c r="E2007" i="1" s="1"/>
  <c r="Y2008" i="1"/>
  <c r="Z2008" i="1" s="1"/>
  <c r="E2008" i="1" s="1"/>
  <c r="Y2009" i="1"/>
  <c r="Z2009" i="1" s="1"/>
  <c r="E2009" i="1" s="1"/>
  <c r="Y2010" i="1"/>
  <c r="Z2010" i="1" s="1"/>
  <c r="E2010" i="1" s="1"/>
  <c r="Y2011" i="1"/>
  <c r="Z2011" i="1" s="1"/>
  <c r="E2011" i="1" s="1"/>
  <c r="Y2012" i="1"/>
  <c r="Z2012" i="1" s="1"/>
  <c r="E2012" i="1" s="1"/>
  <c r="Y2013" i="1"/>
  <c r="Z2013" i="1" s="1"/>
  <c r="E2013" i="1" s="1"/>
  <c r="Y2014" i="1"/>
  <c r="Z2014" i="1" s="1"/>
  <c r="E2014" i="1" s="1"/>
  <c r="Y2015" i="1"/>
  <c r="Z2015" i="1" s="1"/>
  <c r="E2015" i="1" s="1"/>
  <c r="Y2016" i="1"/>
  <c r="Z2016" i="1" s="1"/>
  <c r="E2016" i="1" s="1"/>
  <c r="Y2017" i="1"/>
  <c r="Z2017" i="1" s="1"/>
  <c r="E2017" i="1" s="1"/>
  <c r="Y2018" i="1"/>
  <c r="Z2018" i="1" s="1"/>
  <c r="E2018" i="1" s="1"/>
  <c r="Y2019" i="1"/>
  <c r="Z2019" i="1" s="1"/>
  <c r="E2019" i="1" s="1"/>
  <c r="Y2020" i="1"/>
  <c r="Z2020" i="1" s="1"/>
  <c r="E2020" i="1" s="1"/>
  <c r="Y2021" i="1"/>
  <c r="Z2021" i="1" s="1"/>
  <c r="E2021" i="1" s="1"/>
  <c r="Y2022" i="1"/>
  <c r="Z2022" i="1" s="1"/>
  <c r="E2022" i="1" s="1"/>
  <c r="Y2023" i="1"/>
  <c r="Z2023" i="1" s="1"/>
  <c r="E2023" i="1" s="1"/>
  <c r="Y2024" i="1"/>
  <c r="Z2024" i="1" s="1"/>
  <c r="E2024" i="1" s="1"/>
  <c r="Y2025" i="1"/>
  <c r="Z2025" i="1" s="1"/>
  <c r="E2025" i="1" s="1"/>
  <c r="Y2026" i="1"/>
  <c r="Z2026" i="1" s="1"/>
  <c r="E2026" i="1" s="1"/>
  <c r="Y2027" i="1"/>
  <c r="Z2027" i="1" s="1"/>
  <c r="E2027" i="1" s="1"/>
  <c r="Y2028" i="1"/>
  <c r="Z2028" i="1" s="1"/>
  <c r="E2028" i="1" s="1"/>
  <c r="Y2029" i="1"/>
  <c r="Z2029" i="1" s="1"/>
  <c r="E2029" i="1" s="1"/>
  <c r="Y2030" i="1"/>
  <c r="Z2030" i="1" s="1"/>
  <c r="E2030" i="1" s="1"/>
  <c r="Y2031" i="1"/>
  <c r="Z2031" i="1" s="1"/>
  <c r="E2031" i="1" s="1"/>
  <c r="Y2032" i="1"/>
  <c r="Z2032" i="1" s="1"/>
  <c r="E2032" i="1" s="1"/>
  <c r="Y2033" i="1"/>
  <c r="Z2033" i="1" s="1"/>
  <c r="E2033" i="1" s="1"/>
  <c r="Y2034" i="1"/>
  <c r="Z2034" i="1" s="1"/>
  <c r="E2034" i="1" s="1"/>
  <c r="Y2035" i="1"/>
  <c r="Z2035" i="1" s="1"/>
  <c r="E2035" i="1" s="1"/>
  <c r="Y2036" i="1"/>
  <c r="Z2036" i="1" s="1"/>
  <c r="E2036" i="1" s="1"/>
  <c r="Y2037" i="1"/>
  <c r="Z2037" i="1" s="1"/>
  <c r="E2037" i="1" s="1"/>
  <c r="Y2038" i="1"/>
  <c r="Z2038" i="1" s="1"/>
  <c r="E2038" i="1" s="1"/>
  <c r="Y2039" i="1"/>
  <c r="Z2039" i="1" s="1"/>
  <c r="E2039" i="1" s="1"/>
  <c r="Y2040" i="1"/>
  <c r="Z2040" i="1" s="1"/>
  <c r="E2040" i="1" s="1"/>
  <c r="Y2041" i="1"/>
  <c r="Z2041" i="1" s="1"/>
  <c r="E2041" i="1" s="1"/>
  <c r="Y2042" i="1"/>
  <c r="Z2042" i="1" s="1"/>
  <c r="E2042" i="1" s="1"/>
  <c r="Y2043" i="1"/>
  <c r="Z2043" i="1" s="1"/>
  <c r="E2043" i="1" s="1"/>
  <c r="Y2044" i="1"/>
  <c r="Z2044" i="1" s="1"/>
  <c r="E2044" i="1" s="1"/>
  <c r="Y2045" i="1"/>
  <c r="Z2045" i="1" s="1"/>
  <c r="E2045" i="1" s="1"/>
  <c r="Y2046" i="1"/>
  <c r="Z2046" i="1" s="1"/>
  <c r="E2046" i="1" s="1"/>
  <c r="Y2047" i="1"/>
  <c r="Z2047" i="1" s="1"/>
  <c r="E2047" i="1" s="1"/>
  <c r="Y2048" i="1"/>
  <c r="Z2048" i="1" s="1"/>
  <c r="E2048" i="1" s="1"/>
  <c r="Y2049" i="1"/>
  <c r="Z2049" i="1" s="1"/>
  <c r="E2049" i="1" s="1"/>
  <c r="Y2050" i="1"/>
  <c r="Z2050" i="1" s="1"/>
  <c r="E2050" i="1" s="1"/>
  <c r="Y2051" i="1"/>
  <c r="Z2051" i="1" s="1"/>
  <c r="E2051" i="1" s="1"/>
  <c r="Y2052" i="1"/>
  <c r="Z2052" i="1" s="1"/>
  <c r="E2052" i="1" s="1"/>
  <c r="Y2053" i="1"/>
  <c r="Z2053" i="1" s="1"/>
  <c r="E2053" i="1" s="1"/>
  <c r="Y2054" i="1"/>
  <c r="Z2054" i="1" s="1"/>
  <c r="E2054" i="1" s="1"/>
  <c r="Y2055" i="1"/>
  <c r="Z2055" i="1" s="1"/>
  <c r="E2055" i="1" s="1"/>
  <c r="Y2056" i="1"/>
  <c r="Z2056" i="1" s="1"/>
  <c r="E2056" i="1" s="1"/>
  <c r="Y2057" i="1"/>
  <c r="Z2057" i="1" s="1"/>
  <c r="E2057" i="1" s="1"/>
  <c r="Y2058" i="1"/>
  <c r="Z2058" i="1" s="1"/>
  <c r="E2058" i="1" s="1"/>
  <c r="Y2059" i="1"/>
  <c r="Z2059" i="1" s="1"/>
  <c r="E2059" i="1" s="1"/>
  <c r="Y2060" i="1"/>
  <c r="Z2060" i="1" s="1"/>
  <c r="E2060" i="1" s="1"/>
  <c r="Y2061" i="1"/>
  <c r="Z2061" i="1" s="1"/>
  <c r="E2061" i="1" s="1"/>
  <c r="Y2062" i="1"/>
  <c r="Z2062" i="1" s="1"/>
  <c r="E2062" i="1" s="1"/>
  <c r="Y2063" i="1"/>
  <c r="Z2063" i="1" s="1"/>
  <c r="E2063" i="1" s="1"/>
  <c r="Y2064" i="1"/>
  <c r="Z2064" i="1" s="1"/>
  <c r="E2064" i="1" s="1"/>
  <c r="Y2065" i="1"/>
  <c r="Z2065" i="1" s="1"/>
  <c r="E2065" i="1" s="1"/>
  <c r="Y2066" i="1"/>
  <c r="Z2066" i="1" s="1"/>
  <c r="E2066" i="1" s="1"/>
  <c r="Y2067" i="1"/>
  <c r="Z2067" i="1" s="1"/>
  <c r="E2067" i="1" s="1"/>
  <c r="Y2068" i="1"/>
  <c r="Z2068" i="1" s="1"/>
  <c r="E2068" i="1" s="1"/>
  <c r="Y2069" i="1"/>
  <c r="Z2069" i="1" s="1"/>
  <c r="E2069" i="1" s="1"/>
  <c r="Y784" i="1"/>
  <c r="Z784" i="1" s="1"/>
  <c r="E784" i="1" s="1"/>
  <c r="Y785" i="1"/>
  <c r="Z785" i="1" s="1"/>
  <c r="E785" i="1" s="1"/>
  <c r="Y786" i="1"/>
  <c r="Z786" i="1" s="1"/>
  <c r="E786" i="1" s="1"/>
  <c r="Y787" i="1"/>
  <c r="Z787" i="1" s="1"/>
  <c r="E787" i="1" s="1"/>
  <c r="Y788" i="1"/>
  <c r="Z788" i="1" s="1"/>
  <c r="E788" i="1" s="1"/>
  <c r="Y789" i="1"/>
  <c r="Z789" i="1" s="1"/>
  <c r="E789" i="1" s="1"/>
  <c r="Y790" i="1"/>
  <c r="Z790" i="1" s="1"/>
  <c r="E790" i="1" s="1"/>
  <c r="Y791" i="1"/>
  <c r="Z791" i="1" s="1"/>
  <c r="E791" i="1" s="1"/>
  <c r="Y792" i="1"/>
  <c r="Z792" i="1" s="1"/>
  <c r="E792" i="1" s="1"/>
  <c r="Y793" i="1"/>
  <c r="Z793" i="1" s="1"/>
  <c r="E793" i="1" s="1"/>
  <c r="Y794" i="1"/>
  <c r="Z794" i="1" s="1"/>
  <c r="E794" i="1" s="1"/>
  <c r="Y795" i="1"/>
  <c r="Z795" i="1" s="1"/>
  <c r="E795" i="1" s="1"/>
  <c r="Y796" i="1"/>
  <c r="Z796" i="1" s="1"/>
  <c r="E796" i="1" s="1"/>
  <c r="Y797" i="1"/>
  <c r="Z797" i="1" s="1"/>
  <c r="E797" i="1" s="1"/>
  <c r="Y798" i="1"/>
  <c r="Z798" i="1" s="1"/>
  <c r="E798" i="1" s="1"/>
  <c r="Y799" i="1"/>
  <c r="Z799" i="1" s="1"/>
  <c r="E799" i="1" s="1"/>
  <c r="Y800" i="1"/>
  <c r="Z800" i="1" s="1"/>
  <c r="E800" i="1" s="1"/>
  <c r="Y801" i="1"/>
  <c r="Z801" i="1" s="1"/>
  <c r="E801" i="1" s="1"/>
  <c r="Y802" i="1"/>
  <c r="Z802" i="1" s="1"/>
  <c r="E802" i="1" s="1"/>
  <c r="Y803" i="1"/>
  <c r="Z803" i="1" s="1"/>
  <c r="E803" i="1" s="1"/>
  <c r="Y804" i="1"/>
  <c r="Z804" i="1" s="1"/>
  <c r="E804" i="1" s="1"/>
  <c r="Y805" i="1"/>
  <c r="Z805" i="1" s="1"/>
  <c r="E805" i="1" s="1"/>
  <c r="Y806" i="1"/>
  <c r="Z806" i="1" s="1"/>
  <c r="E806" i="1" s="1"/>
  <c r="Y807" i="1"/>
  <c r="Z807" i="1" s="1"/>
  <c r="E807" i="1" s="1"/>
  <c r="Y808" i="1"/>
  <c r="Z808" i="1" s="1"/>
  <c r="E808" i="1" s="1"/>
  <c r="Y809" i="1"/>
  <c r="Z809" i="1" s="1"/>
  <c r="E809" i="1" s="1"/>
  <c r="Y810" i="1"/>
  <c r="Z810" i="1" s="1"/>
  <c r="E810" i="1" s="1"/>
  <c r="Y811" i="1"/>
  <c r="Z811" i="1" s="1"/>
  <c r="E811" i="1" s="1"/>
  <c r="Y812" i="1"/>
  <c r="Z812" i="1" s="1"/>
  <c r="E812" i="1" s="1"/>
  <c r="Y813" i="1"/>
  <c r="Z813" i="1" s="1"/>
  <c r="E813" i="1" s="1"/>
  <c r="Y814" i="1"/>
  <c r="Z814" i="1" s="1"/>
  <c r="E814" i="1" s="1"/>
  <c r="Y815" i="1"/>
  <c r="Z815" i="1" s="1"/>
  <c r="E815" i="1" s="1"/>
  <c r="Y816" i="1"/>
  <c r="Z816" i="1" s="1"/>
  <c r="E816" i="1" s="1"/>
  <c r="Y817" i="1"/>
  <c r="Z817" i="1" s="1"/>
  <c r="E817" i="1" s="1"/>
  <c r="Y818" i="1"/>
  <c r="Z818" i="1" s="1"/>
  <c r="E818" i="1" s="1"/>
  <c r="Y819" i="1"/>
  <c r="Z819" i="1" s="1"/>
  <c r="E819" i="1" s="1"/>
  <c r="Y820" i="1"/>
  <c r="Z820" i="1" s="1"/>
  <c r="E820" i="1" s="1"/>
  <c r="Y821" i="1"/>
  <c r="Z821" i="1" s="1"/>
  <c r="E821" i="1" s="1"/>
  <c r="Y822" i="1"/>
  <c r="Z822" i="1" s="1"/>
  <c r="E822" i="1" s="1"/>
  <c r="Y823" i="1"/>
  <c r="Z823" i="1" s="1"/>
  <c r="E823" i="1" s="1"/>
  <c r="Y824" i="1"/>
  <c r="Z824" i="1" s="1"/>
  <c r="E824" i="1" s="1"/>
  <c r="Y825" i="1"/>
  <c r="Z825" i="1" s="1"/>
  <c r="E825" i="1" s="1"/>
  <c r="Y826" i="1"/>
  <c r="Z826" i="1" s="1"/>
  <c r="E826" i="1" s="1"/>
  <c r="Y827" i="1"/>
  <c r="Z827" i="1" s="1"/>
  <c r="E827" i="1" s="1"/>
  <c r="Y828" i="1"/>
  <c r="Z828" i="1" s="1"/>
  <c r="E828" i="1" s="1"/>
  <c r="Y829" i="1"/>
  <c r="Z829" i="1" s="1"/>
  <c r="E829" i="1" s="1"/>
  <c r="Y830" i="1"/>
  <c r="Z830" i="1" s="1"/>
  <c r="E830" i="1" s="1"/>
  <c r="Y831" i="1"/>
  <c r="Z831" i="1" s="1"/>
  <c r="E831" i="1" s="1"/>
  <c r="Y832" i="1"/>
  <c r="Z832" i="1" s="1"/>
  <c r="E832" i="1" s="1"/>
  <c r="Y833" i="1"/>
  <c r="Z833" i="1" s="1"/>
  <c r="E833" i="1" s="1"/>
  <c r="Y834" i="1"/>
  <c r="Z834" i="1" s="1"/>
  <c r="E834" i="1" s="1"/>
  <c r="Y835" i="1"/>
  <c r="Z835" i="1" s="1"/>
  <c r="E835" i="1" s="1"/>
  <c r="Z836" i="1"/>
  <c r="E836" i="1" s="1"/>
  <c r="Y837" i="1"/>
  <c r="Z837" i="1" s="1"/>
  <c r="E837" i="1" s="1"/>
  <c r="Y838" i="1"/>
  <c r="Z838" i="1" s="1"/>
  <c r="E838" i="1" s="1"/>
  <c r="Y839" i="1"/>
  <c r="Z839" i="1" s="1"/>
  <c r="E839" i="1" s="1"/>
  <c r="Y840" i="1"/>
  <c r="Z840" i="1" s="1"/>
  <c r="E840" i="1" s="1"/>
  <c r="Y841" i="1"/>
  <c r="Z841" i="1" s="1"/>
  <c r="E841" i="1" s="1"/>
  <c r="Y842" i="1"/>
  <c r="Z842" i="1" s="1"/>
  <c r="E842" i="1" s="1"/>
  <c r="Y843" i="1"/>
  <c r="Z843" i="1" s="1"/>
  <c r="E843" i="1" s="1"/>
  <c r="Y844" i="1"/>
  <c r="Z844" i="1" s="1"/>
  <c r="E844" i="1" s="1"/>
  <c r="Y845" i="1"/>
  <c r="Z845" i="1" s="1"/>
  <c r="E845" i="1" s="1"/>
  <c r="Y846" i="1"/>
  <c r="Z846" i="1" s="1"/>
  <c r="E846" i="1" s="1"/>
  <c r="Y847" i="1"/>
  <c r="Z847" i="1" s="1"/>
  <c r="E847" i="1" s="1"/>
  <c r="Y848" i="1"/>
  <c r="Z848" i="1" s="1"/>
  <c r="E848" i="1" s="1"/>
  <c r="Y849" i="1"/>
  <c r="Z849" i="1" s="1"/>
  <c r="E849" i="1" s="1"/>
  <c r="Y850" i="1"/>
  <c r="Z850" i="1" s="1"/>
  <c r="E850" i="1" s="1"/>
  <c r="Y851" i="1"/>
  <c r="Z851" i="1" s="1"/>
  <c r="E851" i="1" s="1"/>
  <c r="Y852" i="1"/>
  <c r="Z852" i="1" s="1"/>
  <c r="E852" i="1" s="1"/>
  <c r="Y853" i="1"/>
  <c r="Z853" i="1" s="1"/>
  <c r="E853" i="1" s="1"/>
  <c r="Y854" i="1"/>
  <c r="Z854" i="1" s="1"/>
  <c r="E854" i="1" s="1"/>
  <c r="Y855" i="1"/>
  <c r="Z855" i="1" s="1"/>
  <c r="E855" i="1" s="1"/>
  <c r="Y856" i="1"/>
  <c r="Z856" i="1" s="1"/>
  <c r="E856" i="1" s="1"/>
  <c r="Y857" i="1"/>
  <c r="Z857" i="1" s="1"/>
  <c r="E857" i="1" s="1"/>
  <c r="Y858" i="1"/>
  <c r="Z858" i="1" s="1"/>
  <c r="E858" i="1" s="1"/>
  <c r="Y859" i="1"/>
  <c r="Z859" i="1" s="1"/>
  <c r="E859" i="1" s="1"/>
  <c r="Y860" i="1"/>
  <c r="Z860" i="1" s="1"/>
  <c r="E860" i="1" s="1"/>
  <c r="Y861" i="1"/>
  <c r="Z861" i="1" s="1"/>
  <c r="E861" i="1" s="1"/>
  <c r="Y862" i="1"/>
  <c r="Z862" i="1" s="1"/>
  <c r="E862" i="1" s="1"/>
  <c r="Y863" i="1"/>
  <c r="Z863" i="1" s="1"/>
  <c r="E863" i="1" s="1"/>
  <c r="Y864" i="1"/>
  <c r="Z864" i="1" s="1"/>
  <c r="E864" i="1" s="1"/>
  <c r="Y865" i="1"/>
  <c r="Z865" i="1" s="1"/>
  <c r="E865" i="1" s="1"/>
  <c r="Y866" i="1"/>
  <c r="Z866" i="1" s="1"/>
  <c r="E866" i="1" s="1"/>
  <c r="Y867" i="1"/>
  <c r="Z867" i="1" s="1"/>
  <c r="E867" i="1" s="1"/>
  <c r="Y868" i="1"/>
  <c r="Z868" i="1" s="1"/>
  <c r="E868" i="1" s="1"/>
  <c r="Y869" i="1"/>
  <c r="Z869" i="1" s="1"/>
  <c r="E869" i="1" s="1"/>
  <c r="Y870" i="1"/>
  <c r="Z870" i="1" s="1"/>
  <c r="E870" i="1" s="1"/>
  <c r="Y871" i="1"/>
  <c r="Z871" i="1" s="1"/>
  <c r="E871" i="1" s="1"/>
  <c r="Y872" i="1"/>
  <c r="Z872" i="1" s="1"/>
  <c r="E872" i="1" s="1"/>
  <c r="Y873" i="1"/>
  <c r="Z873" i="1" s="1"/>
  <c r="E873" i="1" s="1"/>
  <c r="Y874" i="1"/>
  <c r="Z874" i="1" s="1"/>
  <c r="E874" i="1" s="1"/>
  <c r="Y875" i="1"/>
  <c r="Z875" i="1" s="1"/>
  <c r="E875" i="1" s="1"/>
  <c r="Y876" i="1"/>
  <c r="Z876" i="1" s="1"/>
  <c r="E876" i="1" s="1"/>
  <c r="Y877" i="1"/>
  <c r="Z877" i="1" s="1"/>
  <c r="E877" i="1" s="1"/>
  <c r="Y878" i="1"/>
  <c r="Z878" i="1" s="1"/>
  <c r="E878" i="1" s="1"/>
  <c r="Y879" i="1"/>
  <c r="Z879" i="1" s="1"/>
  <c r="E879" i="1" s="1"/>
  <c r="Y880" i="1"/>
  <c r="Z880" i="1" s="1"/>
  <c r="E880" i="1" s="1"/>
  <c r="Y881" i="1"/>
  <c r="Z881" i="1" s="1"/>
  <c r="E881" i="1" s="1"/>
  <c r="Y882" i="1"/>
  <c r="Z882" i="1" s="1"/>
  <c r="E882" i="1" s="1"/>
  <c r="Y883" i="1"/>
  <c r="Z883" i="1" s="1"/>
  <c r="E883" i="1" s="1"/>
  <c r="Y884" i="1"/>
  <c r="Z884" i="1" s="1"/>
  <c r="E884" i="1" s="1"/>
  <c r="Y885" i="1"/>
  <c r="Z885" i="1" s="1"/>
  <c r="E885" i="1" s="1"/>
  <c r="Y886" i="1"/>
  <c r="Z886" i="1" s="1"/>
  <c r="E886" i="1" s="1"/>
  <c r="Y887" i="1"/>
  <c r="Z887" i="1" s="1"/>
  <c r="E887" i="1" s="1"/>
  <c r="Y888" i="1"/>
  <c r="Z888" i="1" s="1"/>
  <c r="E888" i="1" s="1"/>
  <c r="Y889" i="1"/>
  <c r="Z889" i="1" s="1"/>
  <c r="E889" i="1" s="1"/>
  <c r="Y890" i="1"/>
  <c r="Z890" i="1" s="1"/>
  <c r="E890" i="1" s="1"/>
  <c r="Y891" i="1"/>
  <c r="Z891" i="1" s="1"/>
  <c r="E891" i="1" s="1"/>
  <c r="Y892" i="1"/>
  <c r="Z892" i="1" s="1"/>
  <c r="E892" i="1" s="1"/>
  <c r="Y893" i="1"/>
  <c r="Z893" i="1" s="1"/>
  <c r="E893" i="1" s="1"/>
  <c r="Y894" i="1"/>
  <c r="Z894" i="1" s="1"/>
  <c r="E894" i="1" s="1"/>
  <c r="Y895" i="1"/>
  <c r="Z895" i="1" s="1"/>
  <c r="E895" i="1" s="1"/>
  <c r="Y896" i="1"/>
  <c r="Z896" i="1" s="1"/>
  <c r="E896" i="1" s="1"/>
  <c r="Y897" i="1"/>
  <c r="Z897" i="1" s="1"/>
  <c r="E897" i="1" s="1"/>
  <c r="Y898" i="1"/>
  <c r="Z898" i="1" s="1"/>
  <c r="E898" i="1" s="1"/>
  <c r="Y899" i="1"/>
  <c r="Z899" i="1" s="1"/>
  <c r="E899" i="1" s="1"/>
  <c r="Y900" i="1"/>
  <c r="Z900" i="1" s="1"/>
  <c r="E900" i="1" s="1"/>
  <c r="Y901" i="1"/>
  <c r="Z901" i="1" s="1"/>
  <c r="E901" i="1" s="1"/>
  <c r="Y902" i="1"/>
  <c r="Z902" i="1" s="1"/>
  <c r="E902" i="1" s="1"/>
  <c r="Y903" i="1"/>
  <c r="Z903" i="1" s="1"/>
  <c r="E903" i="1" s="1"/>
  <c r="Y904" i="1"/>
  <c r="Z904" i="1" s="1"/>
  <c r="E904" i="1" s="1"/>
  <c r="Y905" i="1"/>
  <c r="Z905" i="1" s="1"/>
  <c r="E905" i="1" s="1"/>
  <c r="Y906" i="1"/>
  <c r="Z906" i="1" s="1"/>
  <c r="E906" i="1" s="1"/>
  <c r="Y907" i="1"/>
  <c r="Z907" i="1" s="1"/>
  <c r="E907" i="1" s="1"/>
  <c r="Y908" i="1"/>
  <c r="Z908" i="1" s="1"/>
  <c r="E908" i="1" s="1"/>
  <c r="Y909" i="1"/>
  <c r="Z909" i="1" s="1"/>
  <c r="E909" i="1" s="1"/>
  <c r="Y910" i="1"/>
  <c r="Z910" i="1" s="1"/>
  <c r="E910" i="1" s="1"/>
  <c r="Y911" i="1"/>
  <c r="Z911" i="1" s="1"/>
  <c r="E911" i="1" s="1"/>
  <c r="Y912" i="1"/>
  <c r="Z912" i="1" s="1"/>
  <c r="E912" i="1" s="1"/>
  <c r="Y913" i="1"/>
  <c r="Z913" i="1" s="1"/>
  <c r="E913" i="1" s="1"/>
  <c r="Y914" i="1"/>
  <c r="Z914" i="1" s="1"/>
  <c r="E914" i="1" s="1"/>
  <c r="Y915" i="1"/>
  <c r="Z915" i="1" s="1"/>
  <c r="E915" i="1" s="1"/>
  <c r="Y916" i="1"/>
  <c r="Z916" i="1" s="1"/>
  <c r="E916" i="1" s="1"/>
  <c r="Y917" i="1"/>
  <c r="Z917" i="1" s="1"/>
  <c r="E917" i="1" s="1"/>
  <c r="Y918" i="1"/>
  <c r="Z918" i="1" s="1"/>
  <c r="E918" i="1" s="1"/>
  <c r="Y919" i="1"/>
  <c r="Z919" i="1" s="1"/>
  <c r="E919" i="1" s="1"/>
  <c r="Y920" i="1"/>
  <c r="Z920" i="1" s="1"/>
  <c r="E920" i="1" s="1"/>
  <c r="Y921" i="1"/>
  <c r="Z921" i="1" s="1"/>
  <c r="E921" i="1" s="1"/>
  <c r="Y922" i="1"/>
  <c r="Z922" i="1" s="1"/>
  <c r="E922" i="1" s="1"/>
  <c r="Y923" i="1"/>
  <c r="Z923" i="1" s="1"/>
  <c r="E923" i="1" s="1"/>
  <c r="Y924" i="1"/>
  <c r="Z924" i="1" s="1"/>
  <c r="E924" i="1" s="1"/>
  <c r="Y925" i="1"/>
  <c r="Z925" i="1" s="1"/>
  <c r="E925" i="1" s="1"/>
  <c r="Y926" i="1"/>
  <c r="Z926" i="1" s="1"/>
  <c r="E926" i="1" s="1"/>
  <c r="Y927" i="1"/>
  <c r="Z927" i="1" s="1"/>
  <c r="E927" i="1" s="1"/>
  <c r="Y928" i="1"/>
  <c r="Z928" i="1" s="1"/>
  <c r="E928" i="1" s="1"/>
  <c r="Y929" i="1"/>
  <c r="Z929" i="1" s="1"/>
  <c r="E929" i="1" s="1"/>
  <c r="Y930" i="1"/>
  <c r="Z930" i="1" s="1"/>
  <c r="E930" i="1" s="1"/>
  <c r="Y931" i="1"/>
  <c r="Z931" i="1" s="1"/>
  <c r="E931" i="1" s="1"/>
  <c r="Y932" i="1"/>
  <c r="Z932" i="1" s="1"/>
  <c r="E932" i="1" s="1"/>
  <c r="Y933" i="1"/>
  <c r="Z933" i="1" s="1"/>
  <c r="E933" i="1" s="1"/>
  <c r="Y934" i="1"/>
  <c r="Z934" i="1" s="1"/>
  <c r="E934" i="1" s="1"/>
  <c r="Y935" i="1"/>
  <c r="Z935" i="1" s="1"/>
  <c r="E935" i="1" s="1"/>
  <c r="Y936" i="1"/>
  <c r="Z936" i="1" s="1"/>
  <c r="E936" i="1" s="1"/>
  <c r="Y937" i="1"/>
  <c r="Z937" i="1" s="1"/>
  <c r="E937" i="1" s="1"/>
  <c r="Y938" i="1"/>
  <c r="Z938" i="1" s="1"/>
  <c r="E938" i="1" s="1"/>
  <c r="Y939" i="1"/>
  <c r="Z939" i="1" s="1"/>
  <c r="E939" i="1" s="1"/>
  <c r="Y940" i="1"/>
  <c r="Z940" i="1" s="1"/>
  <c r="E940" i="1" s="1"/>
  <c r="Y941" i="1"/>
  <c r="Z941" i="1" s="1"/>
  <c r="E941" i="1" s="1"/>
  <c r="Y942" i="1"/>
  <c r="Z942" i="1" s="1"/>
  <c r="E942" i="1" s="1"/>
  <c r="Y943" i="1"/>
  <c r="Z943" i="1" s="1"/>
  <c r="E943" i="1" s="1"/>
  <c r="Y944" i="1"/>
  <c r="Z944" i="1" s="1"/>
  <c r="E944" i="1" s="1"/>
  <c r="Y945" i="1"/>
  <c r="Z945" i="1" s="1"/>
  <c r="E945" i="1" s="1"/>
  <c r="Y946" i="1"/>
  <c r="Z946" i="1" s="1"/>
  <c r="E946" i="1" s="1"/>
  <c r="Y947" i="1"/>
  <c r="Z947" i="1" s="1"/>
  <c r="E947" i="1" s="1"/>
  <c r="Y948" i="1"/>
  <c r="Z948" i="1" s="1"/>
  <c r="E948" i="1" s="1"/>
  <c r="Y949" i="1"/>
  <c r="Z949" i="1" s="1"/>
  <c r="E949" i="1" s="1"/>
  <c r="Y950" i="1"/>
  <c r="Z950" i="1" s="1"/>
  <c r="E950" i="1" s="1"/>
  <c r="Y951" i="1"/>
  <c r="Z951" i="1" s="1"/>
  <c r="E951" i="1" s="1"/>
  <c r="Y952" i="1"/>
  <c r="Z952" i="1" s="1"/>
  <c r="E952" i="1" s="1"/>
  <c r="Y953" i="1"/>
  <c r="Z953" i="1" s="1"/>
  <c r="E953" i="1" s="1"/>
  <c r="Y954" i="1"/>
  <c r="Z954" i="1" s="1"/>
  <c r="E954" i="1" s="1"/>
  <c r="Y955" i="1"/>
  <c r="Z955" i="1" s="1"/>
  <c r="E955" i="1" s="1"/>
  <c r="Y956" i="1"/>
  <c r="Z956" i="1" s="1"/>
  <c r="E956" i="1" s="1"/>
  <c r="Y957" i="1"/>
  <c r="Z957" i="1" s="1"/>
  <c r="E957" i="1" s="1"/>
  <c r="Y958" i="1"/>
  <c r="Z958" i="1" s="1"/>
  <c r="E958" i="1" s="1"/>
  <c r="Y959" i="1"/>
  <c r="Z959" i="1" s="1"/>
  <c r="E959" i="1" s="1"/>
  <c r="Y960" i="1"/>
  <c r="Z960" i="1" s="1"/>
  <c r="E960" i="1" s="1"/>
  <c r="Y961" i="1"/>
  <c r="Z961" i="1" s="1"/>
  <c r="E961" i="1" s="1"/>
  <c r="Y962" i="1"/>
  <c r="Z962" i="1" s="1"/>
  <c r="E962" i="1" s="1"/>
  <c r="Y963" i="1"/>
  <c r="Z963" i="1" s="1"/>
  <c r="E963" i="1" s="1"/>
  <c r="Y964" i="1"/>
  <c r="Z964" i="1" s="1"/>
  <c r="E964" i="1" s="1"/>
  <c r="Y965" i="1"/>
  <c r="Z965" i="1" s="1"/>
  <c r="E965" i="1" s="1"/>
  <c r="Y966" i="1"/>
  <c r="Z966" i="1" s="1"/>
  <c r="E966" i="1" s="1"/>
  <c r="Y967" i="1"/>
  <c r="Z967" i="1" s="1"/>
  <c r="E967" i="1" s="1"/>
  <c r="Y968" i="1"/>
  <c r="Z968" i="1" s="1"/>
  <c r="E968" i="1" s="1"/>
  <c r="Y969" i="1"/>
  <c r="Z969" i="1" s="1"/>
  <c r="E969" i="1" s="1"/>
  <c r="Y970" i="1"/>
  <c r="Z970" i="1" s="1"/>
  <c r="E970" i="1" s="1"/>
  <c r="Y971" i="1"/>
  <c r="Z971" i="1" s="1"/>
  <c r="E971" i="1" s="1"/>
  <c r="Y972" i="1"/>
  <c r="Z972" i="1" s="1"/>
  <c r="E972" i="1" s="1"/>
  <c r="Y973" i="1"/>
  <c r="Z973" i="1" s="1"/>
  <c r="E973" i="1" s="1"/>
  <c r="Y974" i="1"/>
  <c r="Z974" i="1" s="1"/>
  <c r="E974" i="1" s="1"/>
  <c r="Y975" i="1"/>
  <c r="Z975" i="1" s="1"/>
  <c r="E975" i="1" s="1"/>
  <c r="Y976" i="1"/>
  <c r="Z976" i="1" s="1"/>
  <c r="E976" i="1" s="1"/>
  <c r="Y977" i="1"/>
  <c r="Z977" i="1" s="1"/>
  <c r="E977" i="1" s="1"/>
  <c r="Y978" i="1"/>
  <c r="Z978" i="1" s="1"/>
  <c r="E978" i="1" s="1"/>
  <c r="Y979" i="1"/>
  <c r="Z979" i="1" s="1"/>
  <c r="E979" i="1" s="1"/>
  <c r="Y980" i="1"/>
  <c r="Z980" i="1" s="1"/>
  <c r="E980" i="1" s="1"/>
  <c r="Y981" i="1"/>
  <c r="Z981" i="1" s="1"/>
  <c r="E981" i="1" s="1"/>
  <c r="Y982" i="1"/>
  <c r="Z982" i="1" s="1"/>
  <c r="E982" i="1" s="1"/>
  <c r="Y983" i="1"/>
  <c r="Z983" i="1" s="1"/>
  <c r="E983" i="1" s="1"/>
  <c r="Y984" i="1"/>
  <c r="Z984" i="1" s="1"/>
  <c r="E984" i="1" s="1"/>
  <c r="Y985" i="1"/>
  <c r="Z985" i="1" s="1"/>
  <c r="E985" i="1" s="1"/>
  <c r="Y986" i="1"/>
  <c r="Z986" i="1" s="1"/>
  <c r="E986" i="1" s="1"/>
  <c r="Y987" i="1"/>
  <c r="Z987" i="1" s="1"/>
  <c r="E987" i="1" s="1"/>
  <c r="Y988" i="1"/>
  <c r="Z988" i="1" s="1"/>
  <c r="E988" i="1" s="1"/>
  <c r="Y989" i="1"/>
  <c r="Z989" i="1" s="1"/>
  <c r="E989" i="1" s="1"/>
  <c r="Y990" i="1"/>
  <c r="Z990" i="1" s="1"/>
  <c r="E990" i="1" s="1"/>
  <c r="Y991" i="1"/>
  <c r="Z991" i="1" s="1"/>
  <c r="E991" i="1" s="1"/>
  <c r="Y992" i="1"/>
  <c r="Z992" i="1" s="1"/>
  <c r="E992" i="1" s="1"/>
  <c r="Y993" i="1"/>
  <c r="Z993" i="1" s="1"/>
  <c r="E993" i="1" s="1"/>
  <c r="Y994" i="1"/>
  <c r="Z994" i="1" s="1"/>
  <c r="E994" i="1" s="1"/>
  <c r="Y995" i="1"/>
  <c r="Z995" i="1" s="1"/>
  <c r="E995" i="1" s="1"/>
  <c r="Y996" i="1"/>
  <c r="Z996" i="1" s="1"/>
  <c r="E996" i="1" s="1"/>
  <c r="Y997" i="1"/>
  <c r="Z997" i="1" s="1"/>
  <c r="E997" i="1" s="1"/>
  <c r="Y998" i="1"/>
  <c r="Z998" i="1" s="1"/>
  <c r="E998" i="1" s="1"/>
  <c r="Y999" i="1"/>
  <c r="Z999" i="1" s="1"/>
  <c r="E999" i="1" s="1"/>
  <c r="Y1000" i="1"/>
  <c r="Z1000" i="1" s="1"/>
  <c r="E1000" i="1" s="1"/>
  <c r="Y1001" i="1"/>
  <c r="Z1001" i="1" s="1"/>
  <c r="E1001" i="1" s="1"/>
  <c r="Y1002" i="1"/>
  <c r="Z1002" i="1" s="1"/>
  <c r="E1002" i="1" s="1"/>
  <c r="Y1003" i="1"/>
  <c r="Z1003" i="1" s="1"/>
  <c r="E1003" i="1" s="1"/>
  <c r="Y1004" i="1"/>
  <c r="Z1004" i="1" s="1"/>
  <c r="E1004" i="1" s="1"/>
  <c r="Y1005" i="1"/>
  <c r="Z1005" i="1" s="1"/>
  <c r="E1005" i="1" s="1"/>
  <c r="Y1006" i="1"/>
  <c r="Z1006" i="1" s="1"/>
  <c r="E1006" i="1" s="1"/>
  <c r="Y1007" i="1"/>
  <c r="Z1007" i="1" s="1"/>
  <c r="E1007" i="1" s="1"/>
  <c r="Y1008" i="1"/>
  <c r="Z1008" i="1" s="1"/>
  <c r="E1008" i="1" s="1"/>
  <c r="Y1009" i="1"/>
  <c r="Z1009" i="1" s="1"/>
  <c r="E1009" i="1" s="1"/>
  <c r="Y1010" i="1"/>
  <c r="Z1010" i="1" s="1"/>
  <c r="E1010" i="1" s="1"/>
  <c r="Y1011" i="1"/>
  <c r="Z1011" i="1" s="1"/>
  <c r="E1011" i="1" s="1"/>
  <c r="Y1012" i="1"/>
  <c r="Z1012" i="1" s="1"/>
  <c r="E1012" i="1" s="1"/>
  <c r="Y1013" i="1"/>
  <c r="Z1013" i="1" s="1"/>
  <c r="E1013" i="1" s="1"/>
  <c r="Y1014" i="1"/>
  <c r="Z1014" i="1" s="1"/>
  <c r="E1014" i="1" s="1"/>
  <c r="Y1015" i="1"/>
  <c r="Z1015" i="1" s="1"/>
  <c r="E1015" i="1" s="1"/>
  <c r="Y1016" i="1"/>
  <c r="Z1016" i="1" s="1"/>
  <c r="E1016" i="1" s="1"/>
  <c r="Y1017" i="1"/>
  <c r="Z1017" i="1" s="1"/>
  <c r="E1017" i="1" s="1"/>
  <c r="Y1018" i="1"/>
  <c r="Z1018" i="1" s="1"/>
  <c r="E1018" i="1" s="1"/>
  <c r="Y1019" i="1"/>
  <c r="Z1019" i="1" s="1"/>
  <c r="E1019" i="1" s="1"/>
  <c r="Y1020" i="1"/>
  <c r="Z1020" i="1" s="1"/>
  <c r="E1020" i="1" s="1"/>
  <c r="Y1021" i="1"/>
  <c r="Z1021" i="1" s="1"/>
  <c r="E1021" i="1" s="1"/>
  <c r="Y1022" i="1"/>
  <c r="Z1022" i="1" s="1"/>
  <c r="E1022" i="1" s="1"/>
  <c r="Y1023" i="1"/>
  <c r="Z1023" i="1" s="1"/>
  <c r="E1023" i="1" s="1"/>
  <c r="Y1024" i="1"/>
  <c r="Z1024" i="1" s="1"/>
  <c r="E1024" i="1" s="1"/>
  <c r="Y1025" i="1"/>
  <c r="Z1025" i="1" s="1"/>
  <c r="E1025" i="1" s="1"/>
  <c r="Y1026" i="1"/>
  <c r="Z1026" i="1" s="1"/>
  <c r="E1026" i="1" s="1"/>
  <c r="Y1027" i="1"/>
  <c r="Z1027" i="1" s="1"/>
  <c r="E1027" i="1" s="1"/>
  <c r="Y1028" i="1"/>
  <c r="Y1029" i="1"/>
  <c r="Z1029" i="1" s="1"/>
  <c r="E1029" i="1" s="1"/>
  <c r="Y1030" i="1"/>
  <c r="Z1030" i="1" s="1"/>
  <c r="E1030" i="1" s="1"/>
  <c r="Y1031" i="1"/>
  <c r="Z1031" i="1" s="1"/>
  <c r="E1031" i="1" s="1"/>
  <c r="Y1032" i="1"/>
  <c r="Z1032" i="1" s="1"/>
  <c r="E1032" i="1" s="1"/>
  <c r="Y1033" i="1"/>
  <c r="Z1033" i="1" s="1"/>
  <c r="E1033" i="1" s="1"/>
  <c r="Y1034" i="1"/>
  <c r="Z1034" i="1" s="1"/>
  <c r="E1034" i="1" s="1"/>
  <c r="Y1035" i="1"/>
  <c r="Z1035" i="1" s="1"/>
  <c r="E1035" i="1" s="1"/>
  <c r="Y1036" i="1"/>
  <c r="Z1036" i="1" s="1"/>
  <c r="E1036" i="1" s="1"/>
  <c r="Y1037" i="1"/>
  <c r="Z1037" i="1" s="1"/>
  <c r="E1037" i="1" s="1"/>
  <c r="Y1038" i="1"/>
  <c r="Z1038" i="1" s="1"/>
  <c r="E1038" i="1" s="1"/>
  <c r="Y1039" i="1"/>
  <c r="Z1039" i="1" s="1"/>
  <c r="E1039" i="1" s="1"/>
  <c r="Y1040" i="1"/>
  <c r="Z1040" i="1" s="1"/>
  <c r="E1040" i="1" s="1"/>
  <c r="Y1041" i="1"/>
  <c r="Z1041" i="1" s="1"/>
  <c r="E1041" i="1" s="1"/>
  <c r="Y1042" i="1"/>
  <c r="Z1042" i="1" s="1"/>
  <c r="E1042" i="1" s="1"/>
  <c r="Y1043" i="1"/>
  <c r="Z1043" i="1" s="1"/>
  <c r="E1043" i="1" s="1"/>
  <c r="Y1044" i="1"/>
  <c r="Z1044" i="1" s="1"/>
  <c r="E1044" i="1" s="1"/>
  <c r="Y1045" i="1"/>
  <c r="Z1045" i="1" s="1"/>
  <c r="E1045" i="1" s="1"/>
  <c r="Y1046" i="1"/>
  <c r="Z1046" i="1" s="1"/>
  <c r="E1046" i="1" s="1"/>
  <c r="Y1047" i="1"/>
  <c r="Z1047" i="1" s="1"/>
  <c r="E1047" i="1" s="1"/>
  <c r="Y1048" i="1"/>
  <c r="Z1048" i="1" s="1"/>
  <c r="E1048" i="1" s="1"/>
  <c r="Y1049" i="1"/>
  <c r="Z1049" i="1" s="1"/>
  <c r="E1049" i="1" s="1"/>
  <c r="Y1050" i="1"/>
  <c r="Z1050" i="1" s="1"/>
  <c r="E1050" i="1" s="1"/>
  <c r="Y1051" i="1"/>
  <c r="Z1051" i="1" s="1"/>
  <c r="E1051" i="1" s="1"/>
  <c r="Y1052" i="1"/>
  <c r="Z1052" i="1" s="1"/>
  <c r="E1052" i="1" s="1"/>
  <c r="Y1053" i="1"/>
  <c r="Z1053" i="1" s="1"/>
  <c r="E1053" i="1" s="1"/>
  <c r="Y1054" i="1"/>
  <c r="Z1054" i="1" s="1"/>
  <c r="E1054" i="1" s="1"/>
  <c r="Y1055" i="1"/>
  <c r="Z1055" i="1" s="1"/>
  <c r="E1055" i="1" s="1"/>
  <c r="Y1056" i="1"/>
  <c r="Z1056" i="1" s="1"/>
  <c r="E1056" i="1" s="1"/>
  <c r="Y1057" i="1"/>
  <c r="Z1057" i="1" s="1"/>
  <c r="E1057" i="1" s="1"/>
  <c r="Y1058" i="1"/>
  <c r="Z1058" i="1" s="1"/>
  <c r="E1058" i="1" s="1"/>
  <c r="Y1059" i="1"/>
  <c r="Z1059" i="1" s="1"/>
  <c r="E1059" i="1" s="1"/>
  <c r="Y1060" i="1"/>
  <c r="Z1060" i="1" s="1"/>
  <c r="E1060" i="1" s="1"/>
  <c r="Y1061" i="1"/>
  <c r="Z1061" i="1" s="1"/>
  <c r="E1061" i="1" s="1"/>
  <c r="Y1062" i="1"/>
  <c r="Z1062" i="1" s="1"/>
  <c r="E1062" i="1" s="1"/>
  <c r="Y1063" i="1"/>
  <c r="Z1063" i="1" s="1"/>
  <c r="E1063" i="1" s="1"/>
  <c r="Y1064" i="1"/>
  <c r="Z1064" i="1" s="1"/>
  <c r="E1064" i="1" s="1"/>
  <c r="Y1065" i="1"/>
  <c r="Z1065" i="1" s="1"/>
  <c r="E1065" i="1" s="1"/>
  <c r="Y1066" i="1"/>
  <c r="Z1066" i="1" s="1"/>
  <c r="E1066" i="1" s="1"/>
  <c r="Y1067" i="1"/>
  <c r="Z1067" i="1" s="1"/>
  <c r="E1067" i="1" s="1"/>
  <c r="Y1068" i="1"/>
  <c r="Z1068" i="1" s="1"/>
  <c r="E1068" i="1" s="1"/>
  <c r="Y1069" i="1"/>
  <c r="Z1069" i="1" s="1"/>
  <c r="E1069" i="1" s="1"/>
  <c r="Y1070" i="1"/>
  <c r="Z1070" i="1" s="1"/>
  <c r="E1070" i="1" s="1"/>
  <c r="Y1071" i="1"/>
  <c r="Z1071" i="1" s="1"/>
  <c r="E1071" i="1" s="1"/>
  <c r="Y1072" i="1"/>
  <c r="Z1072" i="1" s="1"/>
  <c r="E1072" i="1" s="1"/>
  <c r="Y1073" i="1"/>
  <c r="Z1073" i="1" s="1"/>
  <c r="E1073" i="1" s="1"/>
  <c r="Y1074" i="1"/>
  <c r="Z1074" i="1" s="1"/>
  <c r="E1074" i="1" s="1"/>
  <c r="Y1075" i="1"/>
  <c r="Z1075" i="1" s="1"/>
  <c r="E1075" i="1" s="1"/>
  <c r="Y1076" i="1"/>
  <c r="Z1076" i="1" s="1"/>
  <c r="E1076" i="1" s="1"/>
  <c r="Y1077" i="1"/>
  <c r="Z1077" i="1" s="1"/>
  <c r="E1077" i="1" s="1"/>
  <c r="Y1078" i="1"/>
  <c r="Z1078" i="1" s="1"/>
  <c r="E1078" i="1" s="1"/>
  <c r="Y1079" i="1"/>
  <c r="Z1079" i="1" s="1"/>
  <c r="E1079" i="1" s="1"/>
  <c r="Y1080" i="1"/>
  <c r="Z1080" i="1" s="1"/>
  <c r="E1080" i="1" s="1"/>
  <c r="Y1081" i="1"/>
  <c r="Z1081" i="1" s="1"/>
  <c r="E1081" i="1" s="1"/>
  <c r="Y1082" i="1"/>
  <c r="Z1082" i="1" s="1"/>
  <c r="E1082" i="1" s="1"/>
  <c r="Y1083" i="1"/>
  <c r="Z1083" i="1" s="1"/>
  <c r="E1083" i="1" s="1"/>
  <c r="Y1084" i="1"/>
  <c r="Z1084" i="1" s="1"/>
  <c r="E1084" i="1" s="1"/>
  <c r="Y1085" i="1"/>
  <c r="Z1085" i="1" s="1"/>
  <c r="E1085" i="1" s="1"/>
  <c r="Y1086" i="1"/>
  <c r="Z1086" i="1" s="1"/>
  <c r="E1086" i="1" s="1"/>
  <c r="Y1087" i="1"/>
  <c r="Z1087" i="1" s="1"/>
  <c r="E1087" i="1" s="1"/>
  <c r="Y1088" i="1"/>
  <c r="Z1088" i="1" s="1"/>
  <c r="E1088" i="1" s="1"/>
  <c r="Y1089" i="1"/>
  <c r="Z1089" i="1" s="1"/>
  <c r="E1089" i="1" s="1"/>
  <c r="Y1090" i="1"/>
  <c r="Z1090" i="1" s="1"/>
  <c r="E1090" i="1" s="1"/>
  <c r="Y1091" i="1"/>
  <c r="Z1091" i="1" s="1"/>
  <c r="E1091" i="1" s="1"/>
  <c r="Y1092" i="1"/>
  <c r="Z1092" i="1" s="1"/>
  <c r="E1092" i="1" s="1"/>
  <c r="Y1093" i="1"/>
  <c r="Z1093" i="1" s="1"/>
  <c r="E1093" i="1" s="1"/>
  <c r="Y1094" i="1"/>
  <c r="Z1094" i="1" s="1"/>
  <c r="E1094" i="1" s="1"/>
  <c r="Y1095" i="1"/>
  <c r="Z1095" i="1" s="1"/>
  <c r="E1095" i="1" s="1"/>
  <c r="Y1096" i="1"/>
  <c r="Z1096" i="1" s="1"/>
  <c r="E1096" i="1" s="1"/>
  <c r="Y1097" i="1"/>
  <c r="Z1097" i="1" s="1"/>
  <c r="E1097" i="1" s="1"/>
  <c r="Y1098" i="1"/>
  <c r="Z1098" i="1" s="1"/>
  <c r="E1098" i="1" s="1"/>
  <c r="Y1099" i="1"/>
  <c r="Z1099" i="1" s="1"/>
  <c r="E1099" i="1" s="1"/>
  <c r="Y1100" i="1"/>
  <c r="Z1100" i="1" s="1"/>
  <c r="E1100" i="1" s="1"/>
  <c r="Y1101" i="1"/>
  <c r="Z1101" i="1" s="1"/>
  <c r="E1101" i="1" s="1"/>
  <c r="Y1102" i="1"/>
  <c r="Z1102" i="1" s="1"/>
  <c r="E1102" i="1" s="1"/>
  <c r="Y1103" i="1"/>
  <c r="Z1103" i="1" s="1"/>
  <c r="E1103" i="1" s="1"/>
  <c r="Y1104" i="1"/>
  <c r="Z1104" i="1" s="1"/>
  <c r="E1104" i="1" s="1"/>
  <c r="Y1105" i="1"/>
  <c r="Z1105" i="1" s="1"/>
  <c r="E1105" i="1" s="1"/>
  <c r="Y1106" i="1"/>
  <c r="Z1106" i="1" s="1"/>
  <c r="E1106" i="1" s="1"/>
  <c r="Y1107" i="1"/>
  <c r="Z1107" i="1" s="1"/>
  <c r="E1107" i="1" s="1"/>
  <c r="Y1108" i="1"/>
  <c r="Z1108" i="1" s="1"/>
  <c r="E1108" i="1" s="1"/>
  <c r="Y1109" i="1"/>
  <c r="Z1109" i="1" s="1"/>
  <c r="E1109" i="1" s="1"/>
  <c r="Y1110" i="1"/>
  <c r="Z1110" i="1" s="1"/>
  <c r="E1110" i="1" s="1"/>
  <c r="Y1111" i="1"/>
  <c r="Z1111" i="1" s="1"/>
  <c r="E1111" i="1" s="1"/>
  <c r="Y1112" i="1"/>
  <c r="Z1112" i="1" s="1"/>
  <c r="E1112" i="1" s="1"/>
  <c r="Y1113" i="1"/>
  <c r="Z1113" i="1" s="1"/>
  <c r="E1113" i="1" s="1"/>
  <c r="Y1114" i="1"/>
  <c r="Z1114" i="1" s="1"/>
  <c r="E1114" i="1" s="1"/>
  <c r="Y1115" i="1"/>
  <c r="Z1115" i="1" s="1"/>
  <c r="E1115" i="1" s="1"/>
  <c r="Y1116" i="1"/>
  <c r="Z1116" i="1" s="1"/>
  <c r="E1116" i="1" s="1"/>
  <c r="Y1117" i="1"/>
  <c r="Z1117" i="1" s="1"/>
  <c r="E1117" i="1" s="1"/>
  <c r="Y1118" i="1"/>
  <c r="Z1118" i="1" s="1"/>
  <c r="E1118" i="1" s="1"/>
  <c r="Y1119" i="1"/>
  <c r="Z1119" i="1" s="1"/>
  <c r="E1119" i="1" s="1"/>
  <c r="Y1120" i="1"/>
  <c r="Z1120" i="1" s="1"/>
  <c r="E1120" i="1" s="1"/>
  <c r="Y1121" i="1"/>
  <c r="Z1121" i="1" s="1"/>
  <c r="E1121" i="1" s="1"/>
  <c r="Y1122" i="1"/>
  <c r="Z1122" i="1" s="1"/>
  <c r="E1122" i="1" s="1"/>
  <c r="Y1123" i="1"/>
  <c r="Z1123" i="1" s="1"/>
  <c r="E1123" i="1" s="1"/>
  <c r="Y1124" i="1"/>
  <c r="Z1124" i="1" s="1"/>
  <c r="E1124" i="1" s="1"/>
  <c r="Y1125" i="1"/>
  <c r="Z1125" i="1" s="1"/>
  <c r="E1125" i="1" s="1"/>
  <c r="Y1126" i="1"/>
  <c r="Z1126" i="1" s="1"/>
  <c r="E1126" i="1" s="1"/>
  <c r="Y1127" i="1"/>
  <c r="Z1127" i="1" s="1"/>
  <c r="E1127" i="1" s="1"/>
  <c r="Y1128" i="1"/>
  <c r="Z1128" i="1" s="1"/>
  <c r="E1128" i="1" s="1"/>
  <c r="Y1129" i="1"/>
  <c r="Z1129" i="1" s="1"/>
  <c r="E1129" i="1" s="1"/>
  <c r="Y1130" i="1"/>
  <c r="Z1130" i="1" s="1"/>
  <c r="E1130" i="1" s="1"/>
  <c r="Y1131" i="1"/>
  <c r="Z1131" i="1" s="1"/>
  <c r="E1131" i="1" s="1"/>
  <c r="Y1132" i="1"/>
  <c r="Z1132" i="1" s="1"/>
  <c r="E1132" i="1" s="1"/>
  <c r="Y1133" i="1"/>
  <c r="Z1133" i="1" s="1"/>
  <c r="E1133" i="1" s="1"/>
  <c r="Y1134" i="1"/>
  <c r="Z1134" i="1" s="1"/>
  <c r="E1134" i="1" s="1"/>
  <c r="Y1135" i="1"/>
  <c r="Z1135" i="1" s="1"/>
  <c r="E1135" i="1" s="1"/>
  <c r="Y1136" i="1"/>
  <c r="Z1136" i="1" s="1"/>
  <c r="E1136" i="1" s="1"/>
  <c r="Y1137" i="1"/>
  <c r="Z1137" i="1" s="1"/>
  <c r="E1137" i="1" s="1"/>
  <c r="Y1138" i="1"/>
  <c r="Z1138" i="1" s="1"/>
  <c r="E1138" i="1" s="1"/>
  <c r="Y1139" i="1"/>
  <c r="Z1139" i="1" s="1"/>
  <c r="E1139" i="1" s="1"/>
  <c r="Y1140" i="1"/>
  <c r="Z1140" i="1" s="1"/>
  <c r="E1140" i="1" s="1"/>
  <c r="Y1141" i="1"/>
  <c r="Z1141" i="1" s="1"/>
  <c r="E1141" i="1" s="1"/>
  <c r="Y1142" i="1"/>
  <c r="Z1142" i="1" s="1"/>
  <c r="E1142" i="1" s="1"/>
  <c r="Y1143" i="1"/>
  <c r="Z1143" i="1" s="1"/>
  <c r="E1143" i="1" s="1"/>
  <c r="Y1144" i="1"/>
  <c r="Z1144" i="1" s="1"/>
  <c r="E1144" i="1" s="1"/>
  <c r="Y1145" i="1"/>
  <c r="Z1145" i="1" s="1"/>
  <c r="E1145" i="1" s="1"/>
  <c r="Y1146" i="1"/>
  <c r="Z1146" i="1" s="1"/>
  <c r="E1146" i="1" s="1"/>
  <c r="Y1147" i="1"/>
  <c r="Z1147" i="1" s="1"/>
  <c r="E1147" i="1" s="1"/>
  <c r="Y1148" i="1"/>
  <c r="Z1148" i="1" s="1"/>
  <c r="E1148" i="1" s="1"/>
  <c r="Y1149" i="1"/>
  <c r="Z1149" i="1" s="1"/>
  <c r="E1149" i="1" s="1"/>
  <c r="Y1150" i="1"/>
  <c r="Z1150" i="1" s="1"/>
  <c r="E1150" i="1" s="1"/>
  <c r="Y1151" i="1"/>
  <c r="Z1151" i="1" s="1"/>
  <c r="E1151" i="1" s="1"/>
  <c r="Y1152" i="1"/>
  <c r="Z1152" i="1" s="1"/>
  <c r="E1152" i="1" s="1"/>
  <c r="Y1153" i="1"/>
  <c r="Z1153" i="1" s="1"/>
  <c r="E1153" i="1" s="1"/>
  <c r="Y1154" i="1"/>
  <c r="Z1154" i="1" s="1"/>
  <c r="E1154" i="1" s="1"/>
  <c r="Y1155" i="1"/>
  <c r="Z1155" i="1" s="1"/>
  <c r="E1155" i="1" s="1"/>
  <c r="Y1156" i="1"/>
  <c r="Z1156" i="1" s="1"/>
  <c r="E1156" i="1" s="1"/>
  <c r="Y1157" i="1"/>
  <c r="Z1157" i="1" s="1"/>
  <c r="E1157" i="1" s="1"/>
  <c r="Y1158" i="1"/>
  <c r="Z1158" i="1" s="1"/>
  <c r="E1158" i="1" s="1"/>
  <c r="Y1159" i="1"/>
  <c r="Z1159" i="1" s="1"/>
  <c r="E1159" i="1" s="1"/>
  <c r="Y1160" i="1"/>
  <c r="Z1160" i="1" s="1"/>
  <c r="E1160" i="1" s="1"/>
  <c r="Y1161" i="1"/>
  <c r="Z1161" i="1" s="1"/>
  <c r="E1161" i="1" s="1"/>
  <c r="Y1162" i="1"/>
  <c r="Z1162" i="1" s="1"/>
  <c r="E1162" i="1" s="1"/>
  <c r="Y1163" i="1"/>
  <c r="Z1163" i="1" s="1"/>
  <c r="E1163" i="1" s="1"/>
  <c r="Y1164" i="1"/>
  <c r="Z1164" i="1" s="1"/>
  <c r="E1164" i="1" s="1"/>
  <c r="Y1165" i="1"/>
  <c r="Z1165" i="1" s="1"/>
  <c r="E1165" i="1" s="1"/>
  <c r="Y1166" i="1"/>
  <c r="Z1166" i="1" s="1"/>
  <c r="E1166" i="1" s="1"/>
  <c r="Y1167" i="1"/>
  <c r="Z1167" i="1" s="1"/>
  <c r="E1167" i="1" s="1"/>
  <c r="Y1168" i="1"/>
  <c r="Z1168" i="1" s="1"/>
  <c r="E1168" i="1" s="1"/>
  <c r="Y1169" i="1"/>
  <c r="Z1169" i="1" s="1"/>
  <c r="E1169" i="1" s="1"/>
  <c r="Y1170" i="1"/>
  <c r="Z1170" i="1" s="1"/>
  <c r="E1170" i="1" s="1"/>
  <c r="Y1171" i="1"/>
  <c r="Z1171" i="1" s="1"/>
  <c r="E1171" i="1" s="1"/>
  <c r="Y1172" i="1"/>
  <c r="Z1172" i="1" s="1"/>
  <c r="E1172" i="1" s="1"/>
  <c r="Y1173" i="1"/>
  <c r="Z1173" i="1" s="1"/>
  <c r="E1173" i="1" s="1"/>
  <c r="Y1174" i="1"/>
  <c r="Z1174" i="1" s="1"/>
  <c r="E1174" i="1" s="1"/>
  <c r="Y1175" i="1"/>
  <c r="Z1175" i="1" s="1"/>
  <c r="E1175" i="1" s="1"/>
  <c r="Y1176" i="1"/>
  <c r="Z1176" i="1" s="1"/>
  <c r="E1176" i="1" s="1"/>
  <c r="Y1177" i="1"/>
  <c r="Z1177" i="1" s="1"/>
  <c r="E1177" i="1" s="1"/>
  <c r="Y1178" i="1"/>
  <c r="Z1178" i="1" s="1"/>
  <c r="E1178" i="1" s="1"/>
  <c r="Y1179" i="1"/>
  <c r="Z1179" i="1" s="1"/>
  <c r="E1179" i="1" s="1"/>
  <c r="Y1180" i="1"/>
  <c r="Z1180" i="1" s="1"/>
  <c r="E1180" i="1" s="1"/>
  <c r="Y1181" i="1"/>
  <c r="Z1181" i="1" s="1"/>
  <c r="E1181" i="1" s="1"/>
  <c r="Y1182" i="1"/>
  <c r="Z1182" i="1" s="1"/>
  <c r="E1182" i="1" s="1"/>
  <c r="Y1183" i="1"/>
  <c r="Z1183" i="1" s="1"/>
  <c r="E1183" i="1" s="1"/>
  <c r="Y1184" i="1"/>
  <c r="Z1184" i="1" s="1"/>
  <c r="E1184" i="1" s="1"/>
  <c r="Y1185" i="1"/>
  <c r="Z1185" i="1" s="1"/>
  <c r="E1185" i="1" s="1"/>
  <c r="Y1186" i="1"/>
  <c r="Z1186" i="1" s="1"/>
  <c r="E1186" i="1" s="1"/>
  <c r="Y1187" i="1"/>
  <c r="Z1187" i="1" s="1"/>
  <c r="E1187" i="1" s="1"/>
  <c r="Y1188" i="1"/>
  <c r="Z1188" i="1" s="1"/>
  <c r="E1188" i="1" s="1"/>
  <c r="Y1189" i="1"/>
  <c r="Z1189" i="1" s="1"/>
  <c r="E1189" i="1" s="1"/>
  <c r="Y1190" i="1"/>
  <c r="Z1190" i="1" s="1"/>
  <c r="E1190" i="1" s="1"/>
  <c r="Y1191" i="1"/>
  <c r="Z1191" i="1" s="1"/>
  <c r="E1191" i="1" s="1"/>
  <c r="Y1192" i="1"/>
  <c r="Z1192" i="1" s="1"/>
  <c r="E1192" i="1" s="1"/>
  <c r="Y1193" i="1"/>
  <c r="Z1193" i="1" s="1"/>
  <c r="E1193" i="1" s="1"/>
  <c r="Y1194" i="1"/>
  <c r="Z1194" i="1" s="1"/>
  <c r="E1194" i="1" s="1"/>
  <c r="Y1195" i="1"/>
  <c r="Z1195" i="1" s="1"/>
  <c r="E1195" i="1" s="1"/>
  <c r="Y1196" i="1"/>
  <c r="Z1196" i="1" s="1"/>
  <c r="E1196" i="1" s="1"/>
  <c r="Y1197" i="1"/>
  <c r="Z1197" i="1" s="1"/>
  <c r="E1197" i="1" s="1"/>
  <c r="Y1198" i="1"/>
  <c r="Z1198" i="1" s="1"/>
  <c r="E1198" i="1" s="1"/>
  <c r="Y1199" i="1"/>
  <c r="Z1199" i="1" s="1"/>
  <c r="E1199" i="1" s="1"/>
  <c r="Y1200" i="1"/>
  <c r="Z1200" i="1" s="1"/>
  <c r="E1200" i="1" s="1"/>
  <c r="Y1201" i="1"/>
  <c r="Z1201" i="1" s="1"/>
  <c r="E1201" i="1" s="1"/>
  <c r="Y1202" i="1"/>
  <c r="Z1202" i="1" s="1"/>
  <c r="E1202" i="1" s="1"/>
  <c r="Y1203" i="1"/>
  <c r="Z1203" i="1" s="1"/>
  <c r="E1203" i="1" s="1"/>
  <c r="Y1204" i="1"/>
  <c r="Z1204" i="1" s="1"/>
  <c r="E1204" i="1" s="1"/>
  <c r="Y1205" i="1"/>
  <c r="Z1205" i="1" s="1"/>
  <c r="E1205" i="1" s="1"/>
  <c r="Y1206" i="1"/>
  <c r="Z1206" i="1" s="1"/>
  <c r="E1206" i="1" s="1"/>
  <c r="Y1207" i="1"/>
  <c r="Z1207" i="1" s="1"/>
  <c r="E1207" i="1" s="1"/>
  <c r="Y1208" i="1"/>
  <c r="Z1208" i="1" s="1"/>
  <c r="E1208" i="1" s="1"/>
  <c r="Y1209" i="1"/>
  <c r="Z1209" i="1" s="1"/>
  <c r="E1209" i="1" s="1"/>
  <c r="Y1210" i="1"/>
  <c r="Z1210" i="1" s="1"/>
  <c r="E1210" i="1" s="1"/>
  <c r="Y1211" i="1"/>
  <c r="Z1211" i="1" s="1"/>
  <c r="E1211" i="1" s="1"/>
  <c r="Y1212" i="1"/>
  <c r="Z1212" i="1" s="1"/>
  <c r="E1212" i="1" s="1"/>
  <c r="Y1213" i="1"/>
  <c r="Z1213" i="1" s="1"/>
  <c r="E1213" i="1" s="1"/>
  <c r="Y1214" i="1"/>
  <c r="Z1214" i="1" s="1"/>
  <c r="E1214" i="1" s="1"/>
  <c r="Y1215" i="1"/>
  <c r="Z1215" i="1" s="1"/>
  <c r="E1215" i="1" s="1"/>
  <c r="Y1216" i="1"/>
  <c r="Z1216" i="1" s="1"/>
  <c r="E1216" i="1" s="1"/>
  <c r="Y1217" i="1"/>
  <c r="Z1217" i="1" s="1"/>
  <c r="E1217" i="1" s="1"/>
  <c r="Y1218" i="1"/>
  <c r="Z1218" i="1" s="1"/>
  <c r="E1218" i="1" s="1"/>
  <c r="Y1219" i="1"/>
  <c r="Z1219" i="1" s="1"/>
  <c r="E1219" i="1" s="1"/>
  <c r="Y1220" i="1"/>
  <c r="Z1220" i="1" s="1"/>
  <c r="E1220" i="1" s="1"/>
  <c r="Y1221" i="1"/>
  <c r="Z1221" i="1" s="1"/>
  <c r="E1221" i="1" s="1"/>
  <c r="Y1222" i="1"/>
  <c r="Z1222" i="1" s="1"/>
  <c r="E1222" i="1" s="1"/>
  <c r="Y1223" i="1"/>
  <c r="Z1223" i="1" s="1"/>
  <c r="E1223" i="1" s="1"/>
  <c r="Y1224" i="1"/>
  <c r="Z1224" i="1" s="1"/>
  <c r="E1224" i="1" s="1"/>
  <c r="Y1225" i="1"/>
  <c r="Z1225" i="1" s="1"/>
  <c r="E1225" i="1" s="1"/>
  <c r="Y1226" i="1"/>
  <c r="Z1226" i="1" s="1"/>
  <c r="E1226" i="1" s="1"/>
  <c r="Y1227" i="1"/>
  <c r="Z1227" i="1" s="1"/>
  <c r="E1227" i="1" s="1"/>
  <c r="Y1228" i="1"/>
  <c r="Z1228" i="1" s="1"/>
  <c r="E1228" i="1" s="1"/>
  <c r="Y1229" i="1"/>
  <c r="Z1229" i="1" s="1"/>
  <c r="E1229" i="1" s="1"/>
  <c r="Y1230" i="1"/>
  <c r="Z1230" i="1" s="1"/>
  <c r="E1230" i="1" s="1"/>
  <c r="Y1231" i="1"/>
  <c r="Z1231" i="1" s="1"/>
  <c r="E1231" i="1" s="1"/>
  <c r="Y1232" i="1"/>
  <c r="Z1232" i="1" s="1"/>
  <c r="E1232" i="1" s="1"/>
  <c r="Y1233" i="1"/>
  <c r="Z1233" i="1" s="1"/>
  <c r="E1233" i="1" s="1"/>
  <c r="Y1234" i="1"/>
  <c r="Z1234" i="1" s="1"/>
  <c r="E1234" i="1" s="1"/>
  <c r="Y1235" i="1"/>
  <c r="Z1235" i="1" s="1"/>
  <c r="E1235" i="1" s="1"/>
  <c r="Y1236" i="1"/>
  <c r="Z1236" i="1" s="1"/>
  <c r="E1236" i="1" s="1"/>
  <c r="Y1237" i="1"/>
  <c r="Z1237" i="1" s="1"/>
  <c r="E1237" i="1" s="1"/>
  <c r="Y1238" i="1"/>
  <c r="Z1238" i="1" s="1"/>
  <c r="E1238" i="1" s="1"/>
  <c r="Y1239" i="1"/>
  <c r="Z1239" i="1" s="1"/>
  <c r="E1239" i="1" s="1"/>
  <c r="Y1240" i="1"/>
  <c r="Z1240" i="1" s="1"/>
  <c r="E1240" i="1" s="1"/>
  <c r="Y1241" i="1"/>
  <c r="Z1241" i="1" s="1"/>
  <c r="E1241" i="1" s="1"/>
  <c r="Y1242" i="1"/>
  <c r="Z1242" i="1" s="1"/>
  <c r="E1242" i="1" s="1"/>
  <c r="Y1243" i="1"/>
  <c r="Z1243" i="1" s="1"/>
  <c r="E1243" i="1" s="1"/>
  <c r="Y1244" i="1"/>
  <c r="Z1244" i="1" s="1"/>
  <c r="E1244" i="1" s="1"/>
  <c r="Y1245" i="1"/>
  <c r="Z1245" i="1" s="1"/>
  <c r="E1245" i="1" s="1"/>
  <c r="Y1246" i="1"/>
  <c r="Z1246" i="1" s="1"/>
  <c r="E1246" i="1" s="1"/>
  <c r="Y1247" i="1"/>
  <c r="Z1247" i="1" s="1"/>
  <c r="E1247" i="1" s="1"/>
  <c r="Y1248" i="1"/>
  <c r="Z1248" i="1" s="1"/>
  <c r="E1248" i="1" s="1"/>
  <c r="Y1249" i="1"/>
  <c r="Z1249" i="1" s="1"/>
  <c r="E1249" i="1" s="1"/>
  <c r="Y1250" i="1"/>
  <c r="Z1250" i="1" s="1"/>
  <c r="E1250" i="1" s="1"/>
  <c r="Y1251" i="1"/>
  <c r="Z1251" i="1" s="1"/>
  <c r="E1251" i="1" s="1"/>
  <c r="Y1252" i="1"/>
  <c r="Z1252" i="1" s="1"/>
  <c r="E1252" i="1" s="1"/>
  <c r="Y1253" i="1"/>
  <c r="Z1253" i="1" s="1"/>
  <c r="E1253" i="1" s="1"/>
  <c r="Y1254" i="1"/>
  <c r="Z1254" i="1" s="1"/>
  <c r="E1254" i="1" s="1"/>
  <c r="Y1255" i="1"/>
  <c r="Z1255" i="1" s="1"/>
  <c r="E1255" i="1" s="1"/>
  <c r="Y1256" i="1"/>
  <c r="Z1256" i="1" s="1"/>
  <c r="E1256" i="1" s="1"/>
  <c r="Y1257" i="1"/>
  <c r="Z1257" i="1" s="1"/>
  <c r="E1257" i="1" s="1"/>
  <c r="Y1258" i="1"/>
  <c r="Z1258" i="1" s="1"/>
  <c r="E1258" i="1" s="1"/>
  <c r="Y1259" i="1"/>
  <c r="Z1259" i="1" s="1"/>
  <c r="E1259" i="1" s="1"/>
  <c r="Y1260" i="1"/>
  <c r="Z1260" i="1" s="1"/>
  <c r="E1260" i="1" s="1"/>
  <c r="Y1261" i="1"/>
  <c r="Z1261" i="1" s="1"/>
  <c r="E1261" i="1" s="1"/>
  <c r="Y1262" i="1"/>
  <c r="Z1262" i="1" s="1"/>
  <c r="E1262" i="1" s="1"/>
  <c r="Y1263" i="1"/>
  <c r="Z1263" i="1" s="1"/>
  <c r="E1263" i="1" s="1"/>
  <c r="Y1264" i="1"/>
  <c r="Z1264" i="1" s="1"/>
  <c r="E1264" i="1" s="1"/>
  <c r="Y1265" i="1"/>
  <c r="Z1265" i="1" s="1"/>
  <c r="E1265" i="1" s="1"/>
  <c r="Y1266" i="1"/>
  <c r="Z1266" i="1" s="1"/>
  <c r="E1266" i="1" s="1"/>
  <c r="Y1267" i="1"/>
  <c r="Z1267" i="1" s="1"/>
  <c r="E1267" i="1" s="1"/>
  <c r="Y1268" i="1"/>
  <c r="Z1268" i="1" s="1"/>
  <c r="E1268" i="1" s="1"/>
  <c r="Y1269" i="1"/>
  <c r="Z1269" i="1" s="1"/>
  <c r="E1269" i="1" s="1"/>
  <c r="Y1270" i="1"/>
  <c r="Z1270" i="1" s="1"/>
  <c r="E1270" i="1" s="1"/>
  <c r="Y1271" i="1"/>
  <c r="Z1271" i="1" s="1"/>
  <c r="E1271" i="1" s="1"/>
  <c r="Y1272" i="1"/>
  <c r="Z1272" i="1" s="1"/>
  <c r="E1272" i="1" s="1"/>
  <c r="Y1273" i="1"/>
  <c r="Z1273" i="1" s="1"/>
  <c r="E1273" i="1" s="1"/>
  <c r="Y1274" i="1"/>
  <c r="Z1274" i="1" s="1"/>
  <c r="E1274" i="1" s="1"/>
  <c r="Y1275" i="1"/>
  <c r="Z1275" i="1" s="1"/>
  <c r="E1275" i="1" s="1"/>
  <c r="Y1276" i="1"/>
  <c r="Z1276" i="1" s="1"/>
  <c r="E1276" i="1" s="1"/>
  <c r="Y1277" i="1"/>
  <c r="Z1277" i="1" s="1"/>
  <c r="E1277" i="1" s="1"/>
  <c r="Y1278" i="1"/>
  <c r="Z1278" i="1" s="1"/>
  <c r="E1278" i="1" s="1"/>
  <c r="Y1279" i="1"/>
  <c r="Z1279" i="1" s="1"/>
  <c r="E1279" i="1" s="1"/>
  <c r="Y1280" i="1"/>
  <c r="Z1280" i="1" s="1"/>
  <c r="E1280" i="1" s="1"/>
  <c r="Y1281" i="1"/>
  <c r="Z1281" i="1" s="1"/>
  <c r="E1281" i="1" s="1"/>
  <c r="Y1282" i="1"/>
  <c r="Z1282" i="1" s="1"/>
  <c r="E1282" i="1" s="1"/>
  <c r="Y1283" i="1"/>
  <c r="Z1283" i="1" s="1"/>
  <c r="E1283" i="1" s="1"/>
  <c r="Y1284" i="1"/>
  <c r="Z1284" i="1" s="1"/>
  <c r="E1284" i="1" s="1"/>
  <c r="Y1285" i="1"/>
  <c r="Z1285" i="1" s="1"/>
  <c r="E1285" i="1" s="1"/>
  <c r="Y1286" i="1"/>
  <c r="Z1286" i="1" s="1"/>
  <c r="E1286" i="1" s="1"/>
  <c r="Y1287" i="1"/>
  <c r="Z1287" i="1" s="1"/>
  <c r="E1287" i="1" s="1"/>
  <c r="Y1288" i="1"/>
  <c r="Z1288" i="1" s="1"/>
  <c r="E1288" i="1" s="1"/>
  <c r="Y1289" i="1"/>
  <c r="Z1289" i="1" s="1"/>
  <c r="E1289" i="1" s="1"/>
  <c r="Y1290" i="1"/>
  <c r="Z1290" i="1" s="1"/>
  <c r="E1290" i="1" s="1"/>
  <c r="Y1291" i="1"/>
  <c r="Z1291" i="1" s="1"/>
  <c r="E1291" i="1" s="1"/>
  <c r="Y1292" i="1"/>
  <c r="Z1292" i="1" s="1"/>
  <c r="E1292" i="1" s="1"/>
  <c r="Y1293" i="1"/>
  <c r="Z1293" i="1" s="1"/>
  <c r="E1293" i="1" s="1"/>
  <c r="Y1294" i="1"/>
  <c r="Z1294" i="1" s="1"/>
  <c r="E1294" i="1" s="1"/>
  <c r="Y1295" i="1"/>
  <c r="Z1295" i="1" s="1"/>
  <c r="E1295" i="1" s="1"/>
  <c r="Y1296" i="1"/>
  <c r="Z1296" i="1" s="1"/>
  <c r="E1296" i="1" s="1"/>
  <c r="Y1297" i="1"/>
  <c r="Z1297" i="1" s="1"/>
  <c r="E1297" i="1" s="1"/>
  <c r="Y1298" i="1"/>
  <c r="Z1298" i="1" s="1"/>
  <c r="E1298" i="1" s="1"/>
  <c r="Y1299" i="1"/>
  <c r="Z1299" i="1" s="1"/>
  <c r="E1299" i="1" s="1"/>
  <c r="Y1300" i="1"/>
  <c r="Z1300" i="1" s="1"/>
  <c r="E1300" i="1" s="1"/>
  <c r="Y1301" i="1"/>
  <c r="Z1301" i="1" s="1"/>
  <c r="E1301" i="1" s="1"/>
  <c r="Y1302" i="1"/>
  <c r="Z1302" i="1" s="1"/>
  <c r="E1302" i="1" s="1"/>
  <c r="Y1303" i="1"/>
  <c r="Z1303" i="1" s="1"/>
  <c r="E1303" i="1" s="1"/>
  <c r="Y1304" i="1"/>
  <c r="Z1304" i="1" s="1"/>
  <c r="E1304" i="1" s="1"/>
  <c r="Y1305" i="1"/>
  <c r="Z1305" i="1" s="1"/>
  <c r="E1305" i="1" s="1"/>
  <c r="Y1306" i="1"/>
  <c r="Z1306" i="1" s="1"/>
  <c r="E1306" i="1" s="1"/>
  <c r="Y1307" i="1"/>
  <c r="Z1307" i="1" s="1"/>
  <c r="E1307" i="1" s="1"/>
  <c r="Y1308" i="1"/>
  <c r="Z1308" i="1" s="1"/>
  <c r="E1308" i="1" s="1"/>
  <c r="Y1309" i="1"/>
  <c r="Z1309" i="1" s="1"/>
  <c r="E1309" i="1" s="1"/>
  <c r="Y1310" i="1"/>
  <c r="Z1310" i="1" s="1"/>
  <c r="E1310" i="1" s="1"/>
  <c r="Y1311" i="1"/>
  <c r="Z1311" i="1" s="1"/>
  <c r="E1311" i="1" s="1"/>
  <c r="Y1312" i="1"/>
  <c r="Z1312" i="1" s="1"/>
  <c r="E1312" i="1" s="1"/>
  <c r="Y1313" i="1"/>
  <c r="Z1313" i="1" s="1"/>
  <c r="E1313" i="1" s="1"/>
  <c r="Y1314" i="1"/>
  <c r="Z1314" i="1" s="1"/>
  <c r="E1314" i="1" s="1"/>
  <c r="Y1315" i="1"/>
  <c r="Z1315" i="1" s="1"/>
  <c r="E1315" i="1" s="1"/>
  <c r="Y1316" i="1"/>
  <c r="Z1316" i="1" s="1"/>
  <c r="E1316" i="1" s="1"/>
  <c r="Y1317" i="1"/>
  <c r="Z1317" i="1" s="1"/>
  <c r="E1317" i="1" s="1"/>
  <c r="Y1318" i="1"/>
  <c r="Z1318" i="1" s="1"/>
  <c r="E1318" i="1" s="1"/>
  <c r="Y1319" i="1"/>
  <c r="Z1319" i="1" s="1"/>
  <c r="E1319" i="1" s="1"/>
  <c r="Y1320" i="1"/>
  <c r="Z1320" i="1" s="1"/>
  <c r="E1320" i="1" s="1"/>
  <c r="Y1321" i="1"/>
  <c r="Z1321" i="1" s="1"/>
  <c r="E1321" i="1" s="1"/>
  <c r="Y1322" i="1"/>
  <c r="Z1322" i="1" s="1"/>
  <c r="E1322" i="1" s="1"/>
  <c r="Y1323" i="1"/>
  <c r="Z1323" i="1" s="1"/>
  <c r="E1323" i="1" s="1"/>
  <c r="Y1324" i="1"/>
  <c r="Z1324" i="1" s="1"/>
  <c r="E1324" i="1" s="1"/>
  <c r="Y1325" i="1"/>
  <c r="Z1325" i="1" s="1"/>
  <c r="E1325" i="1" s="1"/>
  <c r="Y1326" i="1"/>
  <c r="Z1326" i="1" s="1"/>
  <c r="E1326" i="1" s="1"/>
  <c r="Y1327" i="1"/>
  <c r="Z1327" i="1" s="1"/>
  <c r="E1327" i="1" s="1"/>
  <c r="Y1328" i="1"/>
  <c r="Z1328" i="1" s="1"/>
  <c r="E1328" i="1" s="1"/>
  <c r="Y1329" i="1"/>
  <c r="Z1329" i="1" s="1"/>
  <c r="E1329" i="1" s="1"/>
  <c r="Y1330" i="1"/>
  <c r="Z1330" i="1" s="1"/>
  <c r="E1330" i="1" s="1"/>
  <c r="Y1331" i="1"/>
  <c r="Z1331" i="1" s="1"/>
  <c r="E1331" i="1" s="1"/>
  <c r="Y1332" i="1"/>
  <c r="Z1332" i="1" s="1"/>
  <c r="E1332" i="1" s="1"/>
  <c r="Y1333" i="1"/>
  <c r="Z1333" i="1" s="1"/>
  <c r="E1333" i="1" s="1"/>
  <c r="Y1334" i="1"/>
  <c r="Z1334" i="1" s="1"/>
  <c r="E1334" i="1" s="1"/>
  <c r="Y1335" i="1"/>
  <c r="Z1335" i="1" s="1"/>
  <c r="E1335" i="1" s="1"/>
  <c r="Y1336" i="1"/>
  <c r="Z1336" i="1" s="1"/>
  <c r="E1336" i="1" s="1"/>
  <c r="Y1337" i="1"/>
  <c r="Z1337" i="1" s="1"/>
  <c r="E1337" i="1" s="1"/>
  <c r="Y1338" i="1"/>
  <c r="Z1338" i="1" s="1"/>
  <c r="E1338" i="1" s="1"/>
  <c r="Y1339" i="1"/>
  <c r="Z1339" i="1" s="1"/>
  <c r="E1339" i="1" s="1"/>
  <c r="Y1340" i="1"/>
  <c r="Z1340" i="1" s="1"/>
  <c r="E1340" i="1" s="1"/>
  <c r="Y1341" i="1"/>
  <c r="Z1341" i="1" s="1"/>
  <c r="E1341" i="1" s="1"/>
  <c r="Y1342" i="1"/>
  <c r="Z1342" i="1" s="1"/>
  <c r="E1342" i="1" s="1"/>
  <c r="Y1343" i="1"/>
  <c r="Z1343" i="1" s="1"/>
  <c r="E1343" i="1" s="1"/>
  <c r="Y1344" i="1"/>
  <c r="Z1344" i="1" s="1"/>
  <c r="E1344" i="1" s="1"/>
  <c r="Y1345" i="1"/>
  <c r="Z1345" i="1" s="1"/>
  <c r="E1345" i="1" s="1"/>
  <c r="Y1346" i="1"/>
  <c r="Z1346" i="1" s="1"/>
  <c r="E1346" i="1" s="1"/>
  <c r="Y1347" i="1"/>
  <c r="Z1347" i="1" s="1"/>
  <c r="E1347" i="1" s="1"/>
  <c r="Y1348" i="1"/>
  <c r="Z1348" i="1" s="1"/>
  <c r="E1348" i="1" s="1"/>
  <c r="Y1349" i="1"/>
  <c r="Z1349" i="1" s="1"/>
  <c r="E1349" i="1" s="1"/>
  <c r="Y1350" i="1"/>
  <c r="Z1350" i="1" s="1"/>
  <c r="E1350" i="1" s="1"/>
  <c r="Y1351" i="1"/>
  <c r="Z1351" i="1" s="1"/>
  <c r="E1351" i="1" s="1"/>
  <c r="Y1352" i="1"/>
  <c r="Z1352" i="1" s="1"/>
  <c r="E1352" i="1" s="1"/>
  <c r="Y1353" i="1"/>
  <c r="Z1353" i="1" s="1"/>
  <c r="E1353" i="1" s="1"/>
  <c r="Y1354" i="1"/>
  <c r="Z1354" i="1" s="1"/>
  <c r="E1354" i="1" s="1"/>
  <c r="Y1355" i="1"/>
  <c r="Z1355" i="1" s="1"/>
  <c r="E1355" i="1" s="1"/>
  <c r="Y1356" i="1"/>
  <c r="Z1356" i="1" s="1"/>
  <c r="E1356" i="1" s="1"/>
  <c r="Y1357" i="1"/>
  <c r="Z1357" i="1" s="1"/>
  <c r="E1357" i="1" s="1"/>
  <c r="Y1358" i="1"/>
  <c r="Z1358" i="1" s="1"/>
  <c r="E1358" i="1" s="1"/>
  <c r="Y1359" i="1"/>
  <c r="Z1359" i="1" s="1"/>
  <c r="E1359" i="1" s="1"/>
  <c r="Y1360" i="1"/>
  <c r="Z1360" i="1" s="1"/>
  <c r="E1360" i="1" s="1"/>
  <c r="Y1361" i="1"/>
  <c r="Z1361" i="1" s="1"/>
  <c r="E1361" i="1" s="1"/>
  <c r="Y1362" i="1"/>
  <c r="Z1362" i="1" s="1"/>
  <c r="E1362" i="1" s="1"/>
  <c r="Y1363" i="1"/>
  <c r="Z1363" i="1" s="1"/>
  <c r="E1363" i="1" s="1"/>
  <c r="Y1364" i="1"/>
  <c r="Z1364" i="1" s="1"/>
  <c r="E1364" i="1" s="1"/>
  <c r="Y1365" i="1"/>
  <c r="Z1365" i="1" s="1"/>
  <c r="E1365" i="1" s="1"/>
  <c r="Y1366" i="1"/>
  <c r="Z1366" i="1" s="1"/>
  <c r="E1366" i="1" s="1"/>
  <c r="Y1367" i="1"/>
  <c r="Z1367" i="1" s="1"/>
  <c r="E1367" i="1" s="1"/>
  <c r="Y1368" i="1"/>
  <c r="Z1368" i="1" s="1"/>
  <c r="E1368" i="1" s="1"/>
  <c r="Y1369" i="1"/>
  <c r="Z1369" i="1" s="1"/>
  <c r="E1369" i="1" s="1"/>
  <c r="Y1370" i="1"/>
  <c r="Z1370" i="1" s="1"/>
  <c r="E1370" i="1" s="1"/>
  <c r="Y1371" i="1"/>
  <c r="Z1371" i="1" s="1"/>
  <c r="E1371" i="1" s="1"/>
  <c r="Y1372" i="1"/>
  <c r="Z1372" i="1" s="1"/>
  <c r="E1372" i="1" s="1"/>
  <c r="Y1373" i="1"/>
  <c r="Z1373" i="1" s="1"/>
  <c r="E1373" i="1" s="1"/>
  <c r="Y1374" i="1"/>
  <c r="Z1374" i="1" s="1"/>
  <c r="E1374" i="1" s="1"/>
  <c r="Y1375" i="1"/>
  <c r="Z1375" i="1" s="1"/>
  <c r="E1375" i="1" s="1"/>
  <c r="Y1376" i="1"/>
  <c r="Z1376" i="1" s="1"/>
  <c r="E1376" i="1" s="1"/>
  <c r="Y1377" i="1"/>
  <c r="Z1377" i="1" s="1"/>
  <c r="E1377" i="1" s="1"/>
  <c r="Y1378" i="1"/>
  <c r="Z1378" i="1" s="1"/>
  <c r="E1378" i="1" s="1"/>
  <c r="Y1379" i="1"/>
  <c r="Z1379" i="1" s="1"/>
  <c r="E1379" i="1" s="1"/>
  <c r="Y1380" i="1"/>
  <c r="Z1380" i="1" s="1"/>
  <c r="E1380" i="1" s="1"/>
  <c r="Y1381" i="1"/>
  <c r="Z1381" i="1" s="1"/>
  <c r="E1381" i="1" s="1"/>
  <c r="Y1382" i="1"/>
  <c r="Z1382" i="1" s="1"/>
  <c r="E1382" i="1" s="1"/>
  <c r="Y1383" i="1"/>
  <c r="Z1383" i="1" s="1"/>
  <c r="E1383" i="1" s="1"/>
  <c r="Y1384" i="1"/>
  <c r="Z1384" i="1" s="1"/>
  <c r="E1384" i="1" s="1"/>
  <c r="Y1385" i="1"/>
  <c r="Z1385" i="1" s="1"/>
  <c r="E1385" i="1" s="1"/>
  <c r="Y1386" i="1"/>
  <c r="Z1386" i="1" s="1"/>
  <c r="E1386" i="1" s="1"/>
  <c r="Y1387" i="1"/>
  <c r="Z1387" i="1" s="1"/>
  <c r="E1387" i="1" s="1"/>
  <c r="Y1388" i="1"/>
  <c r="Z1388" i="1" s="1"/>
  <c r="E1388" i="1" s="1"/>
  <c r="Y1390" i="1"/>
  <c r="Z1390" i="1" s="1"/>
  <c r="E1390" i="1" s="1"/>
  <c r="Y1391" i="1"/>
  <c r="Z1391" i="1" s="1"/>
  <c r="E1391" i="1" s="1"/>
  <c r="Y1392" i="1"/>
  <c r="Z1392" i="1" s="1"/>
  <c r="E1392" i="1" s="1"/>
  <c r="Y1393" i="1"/>
  <c r="Z1393" i="1" s="1"/>
  <c r="E1393" i="1" s="1"/>
  <c r="Y1394" i="1"/>
  <c r="Z1394" i="1" s="1"/>
  <c r="E1394" i="1" s="1"/>
  <c r="Y1395" i="1"/>
  <c r="Z1395" i="1" s="1"/>
  <c r="E1395" i="1" s="1"/>
  <c r="Y1396" i="1"/>
  <c r="Z1396" i="1" s="1"/>
  <c r="E1396" i="1" s="1"/>
  <c r="Y1397" i="1"/>
  <c r="Z1397" i="1" s="1"/>
  <c r="E1397" i="1" s="1"/>
  <c r="Y1398" i="1"/>
  <c r="Z1398" i="1" s="1"/>
  <c r="E1398" i="1" s="1"/>
  <c r="Y1399" i="1"/>
  <c r="Z1399" i="1" s="1"/>
  <c r="E1399" i="1" s="1"/>
  <c r="Y1400" i="1"/>
  <c r="Z1400" i="1" s="1"/>
  <c r="E1400" i="1" s="1"/>
  <c r="Y1401" i="1"/>
  <c r="Z1401" i="1" s="1"/>
  <c r="E1401" i="1" s="1"/>
  <c r="Y1402" i="1"/>
  <c r="Z1402" i="1" s="1"/>
  <c r="E1402" i="1" s="1"/>
  <c r="Y1403" i="1"/>
  <c r="Z1403" i="1" s="1"/>
  <c r="E1403" i="1" s="1"/>
  <c r="Y1404" i="1"/>
  <c r="Z1404" i="1" s="1"/>
  <c r="E1404" i="1" s="1"/>
  <c r="Y1405" i="1"/>
  <c r="Z1405" i="1" s="1"/>
  <c r="E1405" i="1" s="1"/>
  <c r="Y1406" i="1"/>
  <c r="Z1406" i="1" s="1"/>
  <c r="E1406" i="1" s="1"/>
  <c r="Y1407" i="1"/>
  <c r="Z1407" i="1" s="1"/>
  <c r="E1407" i="1" s="1"/>
  <c r="Y1408" i="1"/>
  <c r="Z1408" i="1" s="1"/>
  <c r="E1408" i="1" s="1"/>
  <c r="Y1409" i="1"/>
  <c r="Z1409" i="1" s="1"/>
  <c r="E1409" i="1" s="1"/>
  <c r="Y1410" i="1"/>
  <c r="Z1410" i="1" s="1"/>
  <c r="E1410" i="1" s="1"/>
  <c r="Y1411" i="1"/>
  <c r="Z1411" i="1" s="1"/>
  <c r="E1411" i="1" s="1"/>
  <c r="Y1412" i="1"/>
  <c r="Z1412" i="1" s="1"/>
  <c r="E1412" i="1" s="1"/>
  <c r="Y1413" i="1"/>
  <c r="Z1413" i="1" s="1"/>
  <c r="E1413" i="1" s="1"/>
  <c r="Y1414" i="1"/>
  <c r="Z1414" i="1" s="1"/>
  <c r="E1414" i="1" s="1"/>
  <c r="Y1415" i="1"/>
  <c r="Z1415" i="1" s="1"/>
  <c r="E1415" i="1" s="1"/>
  <c r="Y1416" i="1"/>
  <c r="Z1416" i="1" s="1"/>
  <c r="E1416" i="1" s="1"/>
  <c r="Y1417" i="1"/>
  <c r="Z1417" i="1" s="1"/>
  <c r="E1417" i="1" s="1"/>
  <c r="Y1418" i="1"/>
  <c r="Z1418" i="1" s="1"/>
  <c r="E1418" i="1" s="1"/>
  <c r="Y1419" i="1"/>
  <c r="Z1419" i="1" s="1"/>
  <c r="E1419" i="1" s="1"/>
  <c r="Y1420" i="1"/>
  <c r="Z1420" i="1" s="1"/>
  <c r="E1420" i="1" s="1"/>
  <c r="Y1421" i="1"/>
  <c r="Z1421" i="1" s="1"/>
  <c r="E1421" i="1" s="1"/>
  <c r="Y1422" i="1"/>
  <c r="Z1422" i="1" s="1"/>
  <c r="E1422" i="1" s="1"/>
  <c r="Y1423" i="1"/>
  <c r="Z1423" i="1" s="1"/>
  <c r="E1423" i="1" s="1"/>
  <c r="Y1424" i="1"/>
  <c r="Z1424" i="1" s="1"/>
  <c r="E1424" i="1" s="1"/>
  <c r="Y1425" i="1"/>
  <c r="Z1425" i="1" s="1"/>
  <c r="E1425" i="1" s="1"/>
  <c r="Y1426" i="1"/>
  <c r="Z1426" i="1" s="1"/>
  <c r="E1426" i="1" s="1"/>
  <c r="Y1427" i="1"/>
  <c r="Z1427" i="1" s="1"/>
  <c r="E1427" i="1" s="1"/>
  <c r="Y1428" i="1"/>
  <c r="Z1428" i="1" s="1"/>
  <c r="E1428" i="1" s="1"/>
  <c r="Y1429" i="1"/>
  <c r="Z1429" i="1" s="1"/>
  <c r="E1429" i="1" s="1"/>
  <c r="Y1430" i="1"/>
  <c r="Z1430" i="1" s="1"/>
  <c r="E1430" i="1" s="1"/>
  <c r="Y1431" i="1"/>
  <c r="Z1431" i="1" s="1"/>
  <c r="E1431" i="1" s="1"/>
  <c r="Y1432" i="1"/>
  <c r="Z1432" i="1" s="1"/>
  <c r="E1432" i="1" s="1"/>
  <c r="Y1433" i="1"/>
  <c r="Z1433" i="1" s="1"/>
  <c r="E1433" i="1" s="1"/>
  <c r="Y1434" i="1"/>
  <c r="Z1434" i="1" s="1"/>
  <c r="E1434" i="1" s="1"/>
  <c r="Y1435" i="1"/>
  <c r="Z1435" i="1" s="1"/>
  <c r="E1435" i="1" s="1"/>
  <c r="Y1436" i="1"/>
  <c r="Z1436" i="1" s="1"/>
  <c r="E1436" i="1" s="1"/>
  <c r="Y1437" i="1"/>
  <c r="Z1437" i="1" s="1"/>
  <c r="E1437" i="1" s="1"/>
  <c r="Y1438" i="1"/>
  <c r="Z1438" i="1" s="1"/>
  <c r="E1438" i="1" s="1"/>
  <c r="Y1439" i="1"/>
  <c r="Z1439" i="1" s="1"/>
  <c r="E1439" i="1" s="1"/>
  <c r="Y1440" i="1"/>
  <c r="Z1440" i="1" s="1"/>
  <c r="E1440" i="1" s="1"/>
  <c r="Y1441" i="1"/>
  <c r="Z1441" i="1" s="1"/>
  <c r="E1441" i="1" s="1"/>
  <c r="Y1442" i="1"/>
  <c r="Z1442" i="1" s="1"/>
  <c r="E1442" i="1" s="1"/>
  <c r="Y1443" i="1"/>
  <c r="Z1443" i="1" s="1"/>
  <c r="E1443" i="1" s="1"/>
  <c r="Y1444" i="1"/>
  <c r="Z1444" i="1" s="1"/>
  <c r="E1444" i="1" s="1"/>
  <c r="Y1445" i="1"/>
  <c r="Z1445" i="1" s="1"/>
  <c r="E1445" i="1" s="1"/>
  <c r="Y1446" i="1"/>
  <c r="Z1446" i="1" s="1"/>
  <c r="E1446" i="1" s="1"/>
  <c r="Y1447" i="1"/>
  <c r="Z1447" i="1" s="1"/>
  <c r="E1447" i="1" s="1"/>
  <c r="Y1448" i="1"/>
  <c r="Z1448" i="1" s="1"/>
  <c r="E1448" i="1" s="1"/>
  <c r="Y1449" i="1"/>
  <c r="Z1449" i="1" s="1"/>
  <c r="E1449" i="1" s="1"/>
  <c r="Y1450" i="1"/>
  <c r="Z1450" i="1" s="1"/>
  <c r="E1450" i="1" s="1"/>
  <c r="Y1451" i="1"/>
  <c r="Z1451" i="1" s="1"/>
  <c r="E1451" i="1" s="1"/>
  <c r="Y1452" i="1"/>
  <c r="Z1452" i="1" s="1"/>
  <c r="E1452" i="1" s="1"/>
  <c r="Y1453" i="1"/>
  <c r="Z1453" i="1" s="1"/>
  <c r="E1453" i="1" s="1"/>
  <c r="Y1454" i="1"/>
  <c r="Z1454" i="1" s="1"/>
  <c r="E1454" i="1" s="1"/>
  <c r="Y1455" i="1"/>
  <c r="Z1455" i="1" s="1"/>
  <c r="E1455" i="1" s="1"/>
  <c r="Y1456" i="1"/>
  <c r="Z1456" i="1" s="1"/>
  <c r="E1456" i="1" s="1"/>
  <c r="Y1457" i="1"/>
  <c r="Z1457" i="1" s="1"/>
  <c r="E1457" i="1" s="1"/>
  <c r="Y1458" i="1"/>
  <c r="Z1458" i="1" s="1"/>
  <c r="E1458" i="1" s="1"/>
  <c r="Y1459" i="1"/>
  <c r="Z1459" i="1" s="1"/>
  <c r="E1459" i="1" s="1"/>
  <c r="Y1460" i="1"/>
  <c r="Z1460" i="1" s="1"/>
  <c r="E1460" i="1" s="1"/>
  <c r="Y1461" i="1"/>
  <c r="Z1461" i="1" s="1"/>
  <c r="E1461" i="1" s="1"/>
  <c r="Y1462" i="1"/>
  <c r="Z1462" i="1" s="1"/>
  <c r="E1462" i="1" s="1"/>
  <c r="Y1463" i="1"/>
  <c r="Z1463" i="1" s="1"/>
  <c r="E1463" i="1" s="1"/>
  <c r="Y1464" i="1"/>
  <c r="Z1464" i="1" s="1"/>
  <c r="E1464" i="1" s="1"/>
  <c r="Y1465" i="1"/>
  <c r="Z1465" i="1" s="1"/>
  <c r="E1465" i="1" s="1"/>
  <c r="Y1466" i="1"/>
  <c r="Z1466" i="1" s="1"/>
  <c r="E1466" i="1" s="1"/>
  <c r="Y1467" i="1"/>
  <c r="Z1467" i="1" s="1"/>
  <c r="E1467" i="1" s="1"/>
  <c r="Y1468" i="1"/>
  <c r="Z1468" i="1" s="1"/>
  <c r="E1468" i="1" s="1"/>
  <c r="Y1469" i="1"/>
  <c r="Z1469" i="1" s="1"/>
  <c r="E1469" i="1" s="1"/>
  <c r="Y1470" i="1"/>
  <c r="Z1470" i="1" s="1"/>
  <c r="E1470" i="1" s="1"/>
  <c r="Y1471" i="1"/>
  <c r="Z1471" i="1" s="1"/>
  <c r="E1471" i="1" s="1"/>
  <c r="Y1472" i="1"/>
  <c r="Z1472" i="1" s="1"/>
  <c r="E1472" i="1" s="1"/>
  <c r="Y1473" i="1"/>
  <c r="Z1473" i="1" s="1"/>
  <c r="E1473" i="1" s="1"/>
  <c r="Y1474" i="1"/>
  <c r="Z1474" i="1" s="1"/>
  <c r="E1474" i="1" s="1"/>
  <c r="Y1475" i="1"/>
  <c r="Z1475" i="1" s="1"/>
  <c r="E1475" i="1" s="1"/>
  <c r="Y1476" i="1"/>
  <c r="Z1476" i="1" s="1"/>
  <c r="E1476" i="1" s="1"/>
  <c r="Y1477" i="1"/>
  <c r="Z1477" i="1" s="1"/>
  <c r="E1477" i="1" s="1"/>
  <c r="Y1478" i="1"/>
  <c r="Z1478" i="1" s="1"/>
  <c r="E1478" i="1" s="1"/>
  <c r="Y1479" i="1"/>
  <c r="Z1479" i="1" s="1"/>
  <c r="E1479" i="1" s="1"/>
  <c r="Y1480" i="1"/>
  <c r="Z1480" i="1" s="1"/>
  <c r="E1480" i="1" s="1"/>
  <c r="Y1481" i="1"/>
  <c r="Z1481" i="1" s="1"/>
  <c r="E1481" i="1" s="1"/>
  <c r="Y1482" i="1"/>
  <c r="Z1482" i="1" s="1"/>
  <c r="E1482" i="1" s="1"/>
  <c r="Y1483" i="1"/>
  <c r="Z1483" i="1" s="1"/>
  <c r="E1483" i="1" s="1"/>
  <c r="Y1484" i="1"/>
  <c r="Z1484" i="1" s="1"/>
  <c r="E1484" i="1" s="1"/>
  <c r="Y1485" i="1"/>
  <c r="Z1485" i="1" s="1"/>
  <c r="E1485" i="1" s="1"/>
  <c r="Y1486" i="1"/>
  <c r="Z1486" i="1" s="1"/>
  <c r="E1486" i="1" s="1"/>
  <c r="Y1487" i="1"/>
  <c r="Z1487" i="1" s="1"/>
  <c r="E1487" i="1" s="1"/>
  <c r="Y1488" i="1"/>
  <c r="Z1488" i="1" s="1"/>
  <c r="E1488" i="1" s="1"/>
  <c r="Y1489" i="1"/>
  <c r="Z1489" i="1" s="1"/>
  <c r="E1489" i="1" s="1"/>
  <c r="Y1490" i="1"/>
  <c r="Z1490" i="1" s="1"/>
  <c r="E1490" i="1" s="1"/>
  <c r="Y1491" i="1"/>
  <c r="Z1491" i="1" s="1"/>
  <c r="E1491" i="1" s="1"/>
  <c r="Y1492" i="1"/>
  <c r="Z1492" i="1" s="1"/>
  <c r="E1492" i="1" s="1"/>
  <c r="Y1493" i="1"/>
  <c r="Z1493" i="1" s="1"/>
  <c r="E1493" i="1" s="1"/>
  <c r="Y1494" i="1"/>
  <c r="Z1494" i="1" s="1"/>
  <c r="E1494" i="1" s="1"/>
  <c r="Y1495" i="1"/>
  <c r="Z1495" i="1" s="1"/>
  <c r="E1495" i="1" s="1"/>
  <c r="Y1496" i="1"/>
  <c r="Z1496" i="1" s="1"/>
  <c r="E1496" i="1" s="1"/>
  <c r="Y1497" i="1"/>
  <c r="Z1497" i="1" s="1"/>
  <c r="E1497" i="1" s="1"/>
  <c r="Y1498" i="1"/>
  <c r="Z1498" i="1" s="1"/>
  <c r="E1498" i="1" s="1"/>
  <c r="Y1499" i="1"/>
  <c r="Z1499" i="1" s="1"/>
  <c r="E1499" i="1" s="1"/>
  <c r="Y1500" i="1"/>
  <c r="Z1500" i="1" s="1"/>
  <c r="E1500" i="1" s="1"/>
  <c r="Y1501" i="1"/>
  <c r="Z1501" i="1" s="1"/>
  <c r="E1501" i="1" s="1"/>
  <c r="Y1502" i="1"/>
  <c r="Z1502" i="1" s="1"/>
  <c r="E1502" i="1" s="1"/>
  <c r="Y1503" i="1"/>
  <c r="Z1503" i="1" s="1"/>
  <c r="E1503" i="1" s="1"/>
  <c r="Y1504" i="1"/>
  <c r="Z1504" i="1" s="1"/>
  <c r="E1504" i="1" s="1"/>
  <c r="Y1505" i="1"/>
  <c r="Z1505" i="1" s="1"/>
  <c r="E1505" i="1" s="1"/>
  <c r="Y1506" i="1"/>
  <c r="Z1506" i="1" s="1"/>
  <c r="E1506" i="1" s="1"/>
  <c r="Y1507" i="1"/>
  <c r="Z1507" i="1" s="1"/>
  <c r="E1507" i="1" s="1"/>
  <c r="Y1508" i="1"/>
  <c r="Z1508" i="1" s="1"/>
  <c r="E1508" i="1" s="1"/>
  <c r="Y1509" i="1"/>
  <c r="Z1509" i="1" s="1"/>
  <c r="E1509" i="1" s="1"/>
  <c r="Y1510" i="1"/>
  <c r="Z1510" i="1" s="1"/>
  <c r="E1510" i="1" s="1"/>
  <c r="Y1511" i="1"/>
  <c r="Z1511" i="1" s="1"/>
  <c r="E1511" i="1" s="1"/>
  <c r="Y1512" i="1"/>
  <c r="Z1512" i="1" s="1"/>
  <c r="E1512" i="1" s="1"/>
  <c r="Y1513" i="1"/>
  <c r="Z1513" i="1" s="1"/>
  <c r="E1513" i="1" s="1"/>
  <c r="Y1514" i="1"/>
  <c r="Z1514" i="1" s="1"/>
  <c r="E1514" i="1" s="1"/>
  <c r="Y1515" i="1"/>
  <c r="Z1515" i="1" s="1"/>
  <c r="E1515" i="1" s="1"/>
  <c r="Y1516" i="1"/>
  <c r="Z1516" i="1" s="1"/>
  <c r="E1516" i="1" s="1"/>
  <c r="Y1517" i="1"/>
  <c r="Z1517" i="1" s="1"/>
  <c r="E1517" i="1" s="1"/>
  <c r="Y1518" i="1"/>
  <c r="Z1518" i="1" s="1"/>
  <c r="E1518" i="1" s="1"/>
  <c r="Y1519" i="1"/>
  <c r="Z1519" i="1" s="1"/>
  <c r="E1519" i="1" s="1"/>
  <c r="Y1520" i="1"/>
  <c r="Z1520" i="1" s="1"/>
  <c r="E1520" i="1" s="1"/>
  <c r="Y1521" i="1"/>
  <c r="Z1521" i="1" s="1"/>
  <c r="E1521" i="1" s="1"/>
  <c r="Y1522" i="1"/>
  <c r="Z1522" i="1" s="1"/>
  <c r="E1522" i="1" s="1"/>
  <c r="Y1523" i="1"/>
  <c r="Z1523" i="1" s="1"/>
  <c r="E1523" i="1" s="1"/>
  <c r="Y1524" i="1"/>
  <c r="Z1524" i="1" s="1"/>
  <c r="E1524" i="1" s="1"/>
  <c r="Y1525" i="1"/>
  <c r="Z1525" i="1" s="1"/>
  <c r="E1525" i="1" s="1"/>
  <c r="Y1526" i="1"/>
  <c r="Z1526" i="1" s="1"/>
  <c r="E1526" i="1" s="1"/>
  <c r="Y1527" i="1"/>
  <c r="Z1527" i="1" s="1"/>
  <c r="E1527" i="1" s="1"/>
  <c r="Y1528" i="1"/>
  <c r="Z1528" i="1" s="1"/>
  <c r="E1528" i="1" s="1"/>
  <c r="Y1529" i="1"/>
  <c r="Z1529" i="1" s="1"/>
  <c r="E1529" i="1" s="1"/>
  <c r="Y1530" i="1"/>
  <c r="Z1530" i="1" s="1"/>
  <c r="E1530" i="1" s="1"/>
  <c r="Y1531" i="1"/>
  <c r="Z1531" i="1" s="1"/>
  <c r="E1531" i="1" s="1"/>
  <c r="Y1532" i="1"/>
  <c r="Z1532" i="1" s="1"/>
  <c r="E1532" i="1" s="1"/>
  <c r="Y1533" i="1"/>
  <c r="Z1533" i="1" s="1"/>
  <c r="E1533" i="1" s="1"/>
  <c r="Y1534" i="1"/>
  <c r="Z1534" i="1" s="1"/>
  <c r="E1534" i="1" s="1"/>
  <c r="Y1535" i="1"/>
  <c r="Z1535" i="1" s="1"/>
  <c r="E1535" i="1" s="1"/>
  <c r="Y1536" i="1"/>
  <c r="Z1536" i="1" s="1"/>
  <c r="E1536" i="1" s="1"/>
  <c r="Y1537" i="1"/>
  <c r="Z1537" i="1" s="1"/>
  <c r="E1537" i="1" s="1"/>
  <c r="Y1538" i="1"/>
  <c r="Z1538" i="1" s="1"/>
  <c r="E1538" i="1" s="1"/>
  <c r="Y1539" i="1"/>
  <c r="Z1539" i="1" s="1"/>
  <c r="E1539" i="1" s="1"/>
  <c r="Y1540" i="1"/>
  <c r="Z1540" i="1" s="1"/>
  <c r="E1540" i="1" s="1"/>
  <c r="Y1541" i="1"/>
  <c r="Z1541" i="1" s="1"/>
  <c r="E1541" i="1" s="1"/>
  <c r="Y1542" i="1"/>
  <c r="Z1542" i="1" s="1"/>
  <c r="E1542" i="1" s="1"/>
  <c r="Y1543" i="1"/>
  <c r="Z1543" i="1" s="1"/>
  <c r="E1543" i="1" s="1"/>
  <c r="Y1544" i="1"/>
  <c r="Z1544" i="1" s="1"/>
  <c r="E1544" i="1" s="1"/>
  <c r="Y1545" i="1"/>
  <c r="Z1545" i="1" s="1"/>
  <c r="E1545" i="1" s="1"/>
  <c r="Y1546" i="1"/>
  <c r="Z1546" i="1" s="1"/>
  <c r="E1546" i="1" s="1"/>
  <c r="Y1547" i="1"/>
  <c r="Z1547" i="1" s="1"/>
  <c r="E1547" i="1" s="1"/>
  <c r="Y1548" i="1"/>
  <c r="Z1548" i="1" s="1"/>
  <c r="E1548" i="1" s="1"/>
  <c r="Y1549" i="1"/>
  <c r="Z1549" i="1" s="1"/>
  <c r="E1549" i="1" s="1"/>
  <c r="Y1550" i="1"/>
  <c r="Z1550" i="1" s="1"/>
  <c r="E1550" i="1" s="1"/>
  <c r="Y1551" i="1"/>
  <c r="Z1551" i="1" s="1"/>
  <c r="E1551" i="1" s="1"/>
  <c r="Y1552" i="1"/>
  <c r="Z1552" i="1" s="1"/>
  <c r="E1552" i="1" s="1"/>
  <c r="Y1553" i="1"/>
  <c r="Z1553" i="1" s="1"/>
  <c r="E1553" i="1" s="1"/>
  <c r="Y1554" i="1"/>
  <c r="Z1554" i="1" s="1"/>
  <c r="E1554" i="1" s="1"/>
  <c r="Y1555" i="1"/>
  <c r="Z1555" i="1" s="1"/>
  <c r="E1555" i="1" s="1"/>
  <c r="Y1556" i="1"/>
  <c r="Z1556" i="1" s="1"/>
  <c r="E1556" i="1" s="1"/>
  <c r="Y1557" i="1"/>
  <c r="Z1557" i="1" s="1"/>
  <c r="E1557" i="1" s="1"/>
  <c r="Y1558" i="1"/>
  <c r="Z1558" i="1" s="1"/>
  <c r="E1558" i="1" s="1"/>
  <c r="Y1559" i="1"/>
  <c r="Z1559" i="1" s="1"/>
  <c r="E1559" i="1" s="1"/>
  <c r="Y1560" i="1"/>
  <c r="Z1560" i="1" s="1"/>
  <c r="E1560" i="1" s="1"/>
  <c r="Y1561" i="1"/>
  <c r="Z1561" i="1" s="1"/>
  <c r="E1561" i="1" s="1"/>
  <c r="Y1562" i="1"/>
  <c r="Z1562" i="1" s="1"/>
  <c r="E1562" i="1" s="1"/>
  <c r="Y1563" i="1"/>
  <c r="Z1563" i="1" s="1"/>
  <c r="E1563" i="1" s="1"/>
  <c r="Y1564" i="1"/>
  <c r="Z1564" i="1" s="1"/>
  <c r="E1564" i="1" s="1"/>
  <c r="Y1565" i="1"/>
  <c r="Z1565" i="1" s="1"/>
  <c r="E1565" i="1" s="1"/>
  <c r="Y1566" i="1"/>
  <c r="Z1566" i="1" s="1"/>
  <c r="E1566" i="1" s="1"/>
  <c r="Y1567" i="1"/>
  <c r="Z1567" i="1" s="1"/>
  <c r="E1567" i="1" s="1"/>
  <c r="Y1568" i="1"/>
  <c r="Z1568" i="1" s="1"/>
  <c r="E1568" i="1" s="1"/>
  <c r="Y1569" i="1"/>
  <c r="Z1569" i="1" s="1"/>
  <c r="E1569" i="1" s="1"/>
  <c r="Y1570" i="1"/>
  <c r="Z1570" i="1" s="1"/>
  <c r="E1570" i="1" s="1"/>
  <c r="Y1571" i="1"/>
  <c r="Z1571" i="1" s="1"/>
  <c r="E1571" i="1" s="1"/>
  <c r="Y1572" i="1"/>
  <c r="Z1572" i="1" s="1"/>
  <c r="E1572" i="1" s="1"/>
  <c r="Y1573" i="1"/>
  <c r="Z1573" i="1" s="1"/>
  <c r="E1573" i="1" s="1"/>
  <c r="Y1574" i="1"/>
  <c r="Z1574" i="1" s="1"/>
  <c r="E1574" i="1" s="1"/>
  <c r="Y1575" i="1"/>
  <c r="Z1575" i="1" s="1"/>
  <c r="E1575" i="1" s="1"/>
  <c r="Y1576" i="1"/>
  <c r="Z1576" i="1" s="1"/>
  <c r="E1576" i="1" s="1"/>
  <c r="Y1577" i="1"/>
  <c r="Z1577" i="1" s="1"/>
  <c r="E1577" i="1" s="1"/>
  <c r="Y1578" i="1"/>
  <c r="Z1578" i="1" s="1"/>
  <c r="E1578" i="1" s="1"/>
  <c r="Y1579" i="1"/>
  <c r="Z1579" i="1" s="1"/>
  <c r="E1579" i="1" s="1"/>
  <c r="Y1580" i="1"/>
  <c r="Z1580" i="1" s="1"/>
  <c r="E1580" i="1" s="1"/>
  <c r="Y1581" i="1"/>
  <c r="Z1581" i="1" s="1"/>
  <c r="E1581" i="1" s="1"/>
  <c r="Y1582" i="1"/>
  <c r="Z1582" i="1" s="1"/>
  <c r="E1582" i="1" s="1"/>
  <c r="Y1583" i="1"/>
  <c r="Z1583" i="1" s="1"/>
  <c r="E1583" i="1" s="1"/>
  <c r="Y1584" i="1"/>
  <c r="Z1584" i="1" s="1"/>
  <c r="E1584" i="1" s="1"/>
  <c r="Y1585" i="1"/>
  <c r="Z1585" i="1" s="1"/>
  <c r="E1585" i="1" s="1"/>
  <c r="Y1586" i="1"/>
  <c r="Z1586" i="1" s="1"/>
  <c r="E1586" i="1" s="1"/>
  <c r="Y1587" i="1"/>
  <c r="Z1587" i="1" s="1"/>
  <c r="E1587" i="1" s="1"/>
  <c r="Y1588" i="1"/>
  <c r="Z1588" i="1" s="1"/>
  <c r="E1588" i="1" s="1"/>
  <c r="Y1589" i="1"/>
  <c r="Z1589" i="1" s="1"/>
  <c r="E1589" i="1" s="1"/>
  <c r="Y1590" i="1"/>
  <c r="Z1590" i="1" s="1"/>
  <c r="E1590" i="1" s="1"/>
  <c r="Y1591" i="1"/>
  <c r="Z1591" i="1" s="1"/>
  <c r="E1591" i="1" s="1"/>
  <c r="Y1592" i="1"/>
  <c r="Z1592" i="1" s="1"/>
  <c r="E1592" i="1" s="1"/>
  <c r="Y1593" i="1"/>
  <c r="Z1593" i="1" s="1"/>
  <c r="E1593" i="1" s="1"/>
  <c r="Y1594" i="1"/>
  <c r="Z1594" i="1" s="1"/>
  <c r="E1594" i="1" s="1"/>
  <c r="Y1595" i="1"/>
  <c r="Z1595" i="1" s="1"/>
  <c r="E1595" i="1" s="1"/>
  <c r="Y1596" i="1"/>
  <c r="Z1596" i="1" s="1"/>
  <c r="E1596" i="1" s="1"/>
  <c r="Y1597" i="1"/>
  <c r="Z1597" i="1" s="1"/>
  <c r="E1597" i="1" s="1"/>
  <c r="Y1598" i="1"/>
  <c r="Z1598" i="1" s="1"/>
  <c r="E1598" i="1" s="1"/>
  <c r="Y1599" i="1"/>
  <c r="Z1599" i="1" s="1"/>
  <c r="E1599" i="1" s="1"/>
  <c r="Y1600" i="1"/>
  <c r="Z1600" i="1" s="1"/>
  <c r="E1600" i="1" s="1"/>
  <c r="Y1601" i="1"/>
  <c r="Z1601" i="1" s="1"/>
  <c r="E1601" i="1" s="1"/>
  <c r="Y1602" i="1"/>
  <c r="Z1602" i="1" s="1"/>
  <c r="E1602" i="1" s="1"/>
  <c r="Y1603" i="1"/>
  <c r="Z1603" i="1" s="1"/>
  <c r="E1603" i="1" s="1"/>
  <c r="Y1604" i="1"/>
  <c r="Z1604" i="1" s="1"/>
  <c r="E1604" i="1" s="1"/>
  <c r="Y1605" i="1"/>
  <c r="Z1605" i="1" s="1"/>
  <c r="E1605" i="1" s="1"/>
  <c r="Y1606" i="1"/>
  <c r="Z1606" i="1" s="1"/>
  <c r="E1606" i="1" s="1"/>
  <c r="Y1607" i="1"/>
  <c r="Z1607" i="1" s="1"/>
  <c r="E1607" i="1" s="1"/>
  <c r="Y1608" i="1"/>
  <c r="Z1608" i="1" s="1"/>
  <c r="E1608" i="1" s="1"/>
  <c r="Y1609" i="1"/>
  <c r="Z1609" i="1" s="1"/>
  <c r="E1609" i="1" s="1"/>
  <c r="Y1610" i="1"/>
  <c r="Z1610" i="1" s="1"/>
  <c r="E1610" i="1" s="1"/>
  <c r="Y1611" i="1"/>
  <c r="Z1611" i="1" s="1"/>
  <c r="E1611" i="1" s="1"/>
  <c r="Y1612" i="1"/>
  <c r="Z1612" i="1" s="1"/>
  <c r="E1612" i="1" s="1"/>
  <c r="Y1613" i="1"/>
  <c r="Z1613" i="1" s="1"/>
  <c r="E1613" i="1" s="1"/>
  <c r="Y1614" i="1"/>
  <c r="Z1614" i="1" s="1"/>
  <c r="E1614" i="1" s="1"/>
  <c r="Y1615" i="1"/>
  <c r="Z1615" i="1" s="1"/>
  <c r="E1615" i="1" s="1"/>
  <c r="Y1616" i="1"/>
  <c r="Z1616" i="1" s="1"/>
  <c r="E1616" i="1" s="1"/>
  <c r="Y1617" i="1"/>
  <c r="Z1617" i="1" s="1"/>
  <c r="E1617" i="1" s="1"/>
  <c r="Y1618" i="1"/>
  <c r="Z1618" i="1" s="1"/>
  <c r="E1618" i="1" s="1"/>
  <c r="Y1619" i="1"/>
  <c r="Z1619" i="1" s="1"/>
  <c r="E1619" i="1" s="1"/>
  <c r="Y1620" i="1"/>
  <c r="Z1620" i="1" s="1"/>
  <c r="E1620" i="1" s="1"/>
  <c r="Y1621" i="1"/>
  <c r="Z1621" i="1" s="1"/>
  <c r="E1621" i="1" s="1"/>
  <c r="Y1622" i="1"/>
  <c r="Z1622" i="1" s="1"/>
  <c r="E1622" i="1" s="1"/>
  <c r="Y1623" i="1"/>
  <c r="Z1623" i="1" s="1"/>
  <c r="E1623" i="1" s="1"/>
  <c r="Y1624" i="1"/>
  <c r="Z1624" i="1" s="1"/>
  <c r="E1624" i="1" s="1"/>
  <c r="Y1625" i="1"/>
  <c r="Z1625" i="1" s="1"/>
  <c r="E1625" i="1" s="1"/>
  <c r="Y1626" i="1"/>
  <c r="Z1626" i="1" s="1"/>
  <c r="E1626" i="1" s="1"/>
  <c r="Y1627" i="1"/>
  <c r="Z1627" i="1" s="1"/>
  <c r="E1627" i="1" s="1"/>
  <c r="Y1628" i="1"/>
  <c r="Z1628" i="1" s="1"/>
  <c r="E1628" i="1" s="1"/>
  <c r="Y1629" i="1"/>
  <c r="Z1629" i="1" s="1"/>
  <c r="E1629" i="1" s="1"/>
  <c r="Y1630" i="1"/>
  <c r="Z1630" i="1" s="1"/>
  <c r="E1630" i="1" s="1"/>
  <c r="Y1631" i="1"/>
  <c r="Z1631" i="1" s="1"/>
  <c r="E1631" i="1" s="1"/>
  <c r="Y1632" i="1"/>
  <c r="Z1632" i="1" s="1"/>
  <c r="E1632" i="1" s="1"/>
  <c r="Y1633" i="1"/>
  <c r="Z1633" i="1" s="1"/>
  <c r="E1633" i="1" s="1"/>
  <c r="Y1634" i="1"/>
  <c r="Z1634" i="1" s="1"/>
  <c r="E1634" i="1" s="1"/>
  <c r="Y1635" i="1"/>
  <c r="Z1635" i="1" s="1"/>
  <c r="E1635" i="1" s="1"/>
  <c r="Y1636" i="1"/>
  <c r="Z1636" i="1" s="1"/>
  <c r="E1636" i="1" s="1"/>
  <c r="Y1637" i="1"/>
  <c r="Z1637" i="1" s="1"/>
  <c r="E1637" i="1" s="1"/>
  <c r="Y1638" i="1"/>
  <c r="Z1638" i="1" s="1"/>
  <c r="E1638" i="1" s="1"/>
  <c r="Y1639" i="1"/>
  <c r="Z1639" i="1" s="1"/>
  <c r="E1639" i="1" s="1"/>
  <c r="Y1640" i="1"/>
  <c r="Z1640" i="1" s="1"/>
  <c r="E1640" i="1" s="1"/>
  <c r="Y1641" i="1"/>
  <c r="Z1641" i="1" s="1"/>
  <c r="E1641" i="1" s="1"/>
  <c r="Y1642" i="1"/>
  <c r="Z1642" i="1" s="1"/>
  <c r="E1642" i="1" s="1"/>
  <c r="Y1643" i="1"/>
  <c r="Z1643" i="1" s="1"/>
  <c r="E1643" i="1" s="1"/>
  <c r="Y1644" i="1"/>
  <c r="Z1644" i="1" s="1"/>
  <c r="E1644" i="1" s="1"/>
  <c r="Y1645" i="1"/>
  <c r="Z1645" i="1" s="1"/>
  <c r="E1645" i="1" s="1"/>
  <c r="Y1646" i="1"/>
  <c r="Z1646" i="1" s="1"/>
  <c r="E1646" i="1" s="1"/>
  <c r="Y780" i="1"/>
  <c r="Z780" i="1" s="1"/>
  <c r="E780" i="1" s="1"/>
  <c r="Y781" i="1"/>
  <c r="Z781" i="1" s="1"/>
  <c r="E781" i="1" s="1"/>
  <c r="Y782" i="1"/>
  <c r="Z782" i="1" s="1"/>
  <c r="E782" i="1" s="1"/>
  <c r="Y783" i="1"/>
  <c r="Z783" i="1" s="1"/>
  <c r="E783" i="1" s="1"/>
  <c r="S1533" i="1"/>
  <c r="P1153" i="1"/>
  <c r="P1975" i="1"/>
  <c r="P1148" i="1"/>
  <c r="P1974" i="1"/>
  <c r="AA1976" i="1"/>
  <c r="AA2090" i="1"/>
  <c r="AA2089" i="1"/>
  <c r="S2090" i="1"/>
  <c r="P2090" i="1"/>
  <c r="AA2088" i="1"/>
  <c r="S2087" i="1"/>
  <c r="P2087" i="1"/>
  <c r="S2085" i="1"/>
  <c r="P2085" i="1"/>
  <c r="AA2083" i="1"/>
  <c r="S2083" i="1"/>
  <c r="O2083" i="1"/>
  <c r="P2084" i="1"/>
  <c r="P2082" i="1"/>
  <c r="P2081" i="1"/>
  <c r="AA477" i="1"/>
  <c r="AA666" i="1"/>
  <c r="AB477" i="1"/>
  <c r="AB666" i="1"/>
  <c r="AB2080" i="1"/>
  <c r="AA2080" i="1"/>
  <c r="S2080" i="1"/>
  <c r="P2080" i="1"/>
  <c r="AB2079" i="1"/>
  <c r="AA2079" i="1"/>
  <c r="S2079" i="1"/>
  <c r="P2079" i="1"/>
  <c r="AB2078" i="1"/>
  <c r="AA2078" i="1"/>
  <c r="S2078" i="1"/>
  <c r="P2078" i="1"/>
  <c r="AB2077" i="1"/>
  <c r="AA2077" i="1"/>
  <c r="AA2076" i="1"/>
  <c r="AB2076" i="1"/>
  <c r="S2077" i="1"/>
  <c r="P2077" i="1"/>
  <c r="S2076" i="1"/>
  <c r="P2076" i="1"/>
  <c r="AB2074" i="1"/>
  <c r="AA2074" i="1"/>
  <c r="S2074" i="1"/>
  <c r="P2074" i="1"/>
  <c r="AA2075" i="1"/>
  <c r="AB2075" i="1"/>
  <c r="S2075" i="1"/>
  <c r="P2075" i="1"/>
  <c r="AB2073" i="1"/>
  <c r="AA2073" i="1"/>
  <c r="S2073" i="1"/>
  <c r="P2073" i="1"/>
  <c r="AA2072" i="1"/>
  <c r="AB2072" i="1"/>
  <c r="P2072" i="1"/>
  <c r="AB2071" i="1"/>
  <c r="AA2071" i="1"/>
  <c r="P2071" i="1"/>
  <c r="AB2070" i="1"/>
  <c r="AA2070" i="1"/>
  <c r="S2070" i="1"/>
  <c r="P2070" i="1"/>
  <c r="AB2068" i="1"/>
  <c r="AA2068" i="1"/>
  <c r="AB2069" i="1"/>
  <c r="AA2069" i="1"/>
  <c r="S2068" i="1"/>
  <c r="S2069" i="1"/>
  <c r="P2069" i="1"/>
  <c r="P2068" i="1"/>
  <c r="AB2067" i="1"/>
  <c r="AA2067" i="1"/>
  <c r="S2067" i="1"/>
  <c r="P2067" i="1"/>
  <c r="AB2066" i="1"/>
  <c r="AA2066" i="1"/>
  <c r="S2066" i="1"/>
  <c r="P2066" i="1"/>
  <c r="AB2065" i="1"/>
  <c r="AA2065" i="1"/>
  <c r="S2065" i="1"/>
  <c r="AB2064" i="1"/>
  <c r="AA2064" i="1"/>
  <c r="S2064" i="1"/>
  <c r="AB2063" i="1"/>
  <c r="AA2063" i="1"/>
  <c r="AB2062" i="1"/>
  <c r="AA2062" i="1"/>
  <c r="AB2061" i="1"/>
  <c r="AA2061" i="1"/>
  <c r="AB2060" i="1"/>
  <c r="AA2060" i="1"/>
  <c r="AB2059" i="1"/>
  <c r="AA2059" i="1"/>
  <c r="AB2058" i="1"/>
  <c r="AA2058" i="1"/>
  <c r="AB2057" i="1"/>
  <c r="AA2057" i="1"/>
  <c r="P2057" i="1"/>
  <c r="AB2056" i="1"/>
  <c r="AB2055" i="1"/>
  <c r="AA2056" i="1"/>
  <c r="AA2055" i="1"/>
  <c r="P2056" i="1"/>
  <c r="P2055" i="1"/>
  <c r="P2053" i="1"/>
  <c r="P2052" i="1"/>
  <c r="AB2054" i="1"/>
  <c r="AB2053" i="1"/>
  <c r="AB2052" i="1"/>
  <c r="AB2051" i="1"/>
  <c r="AA2054" i="1"/>
  <c r="AA2053" i="1"/>
  <c r="AA2052" i="1"/>
  <c r="AA2051" i="1"/>
  <c r="P2051" i="1"/>
  <c r="P2050" i="1"/>
  <c r="P2049" i="1"/>
  <c r="P2048" i="1"/>
  <c r="AB2050" i="1"/>
  <c r="AB2049" i="1"/>
  <c r="AB2048" i="1"/>
  <c r="AB2047" i="1"/>
  <c r="AB2046" i="1"/>
  <c r="AA2050" i="1"/>
  <c r="AA2049" i="1"/>
  <c r="AA2048" i="1"/>
  <c r="AA2047" i="1"/>
  <c r="AA2046" i="1"/>
  <c r="P2045" i="1"/>
  <c r="AB2045" i="1"/>
  <c r="AB2044" i="1"/>
  <c r="AB2043" i="1"/>
  <c r="AA2045" i="1"/>
  <c r="AA2044" i="1"/>
  <c r="AA2043" i="1"/>
  <c r="P2043" i="1"/>
  <c r="AB2042" i="1"/>
  <c r="AA2042" i="1"/>
  <c r="P2042" i="1"/>
  <c r="S2041" i="1"/>
  <c r="P2041" i="1"/>
  <c r="O2041" i="1"/>
  <c r="P2040" i="1"/>
  <c r="P2039" i="1"/>
  <c r="AB2041" i="1"/>
  <c r="AB2040" i="1"/>
  <c r="AB2039" i="1"/>
  <c r="AB2038" i="1"/>
  <c r="AA2041" i="1"/>
  <c r="AA2040" i="1"/>
  <c r="AA2039" i="1"/>
  <c r="AA2038" i="1"/>
  <c r="AB2037" i="1"/>
  <c r="AA2037" i="1"/>
  <c r="P2037" i="1"/>
  <c r="P2036" i="1"/>
  <c r="S2036" i="1"/>
  <c r="AB2036" i="1"/>
  <c r="AA2036" i="1"/>
  <c r="AB2035" i="1"/>
  <c r="AA2035" i="1"/>
  <c r="S2035" i="1"/>
  <c r="P2035" i="1"/>
  <c r="P2034" i="1"/>
  <c r="P2032" i="1"/>
  <c r="AB2034" i="1"/>
  <c r="AB2033" i="1"/>
  <c r="AB2032" i="1"/>
  <c r="AA2034" i="1"/>
  <c r="AA2033" i="1"/>
  <c r="AA2032" i="1"/>
  <c r="P2033" i="1"/>
  <c r="AB2031" i="1"/>
  <c r="AA2031" i="1"/>
  <c r="O2030" i="1"/>
  <c r="P2030" i="1"/>
  <c r="P2029" i="1"/>
  <c r="P2028" i="1"/>
  <c r="O2027" i="1"/>
  <c r="P2027" i="1"/>
  <c r="P2026" i="1"/>
  <c r="S2027" i="1"/>
  <c r="S2030" i="1"/>
  <c r="AB2030" i="1"/>
  <c r="AB2029" i="1"/>
  <c r="AB2028" i="1"/>
  <c r="AB2027" i="1"/>
  <c r="AB2026" i="1"/>
  <c r="AA2030" i="1"/>
  <c r="AA2029" i="1"/>
  <c r="AA2028" i="1"/>
  <c r="AA2027" i="1"/>
  <c r="AA2026" i="1"/>
  <c r="P2025" i="1"/>
  <c r="AB2025" i="1"/>
  <c r="AA2025" i="1"/>
  <c r="AB2024" i="1"/>
  <c r="AB2023" i="1"/>
  <c r="AB2022" i="1"/>
  <c r="AA2024" i="1"/>
  <c r="AA2023" i="1"/>
  <c r="AA2022" i="1"/>
  <c r="P2023" i="1"/>
  <c r="P2022" i="1"/>
  <c r="AB2021" i="1"/>
  <c r="AB2020" i="1"/>
  <c r="AA2021" i="1"/>
  <c r="AA2020" i="1"/>
  <c r="P2020" i="1"/>
  <c r="P2021" i="1"/>
  <c r="AB2019" i="1"/>
  <c r="AB2018" i="1"/>
  <c r="AA2019" i="1"/>
  <c r="AA2018" i="1"/>
  <c r="P2019" i="1"/>
  <c r="P2018" i="1"/>
  <c r="AB2017" i="1"/>
  <c r="AB2016" i="1"/>
  <c r="AA2017" i="1"/>
  <c r="AA2016" i="1"/>
  <c r="P2017" i="1"/>
  <c r="P2016" i="1"/>
  <c r="AB2015" i="1"/>
  <c r="AB2014" i="1"/>
  <c r="AA2015" i="1"/>
  <c r="AA2014" i="1"/>
  <c r="P2015" i="1"/>
  <c r="P2014" i="1"/>
  <c r="AB2013" i="1"/>
  <c r="AA2013" i="1"/>
  <c r="P2013" i="1"/>
  <c r="AB2012" i="1"/>
  <c r="AA2012" i="1"/>
  <c r="P2012" i="1"/>
  <c r="AB2011" i="1"/>
  <c r="AA2011" i="1"/>
  <c r="AB2010" i="1"/>
  <c r="AA2010" i="1"/>
  <c r="P2010" i="1"/>
  <c r="AB2009" i="1"/>
  <c r="AA2009" i="1"/>
  <c r="P2009" i="1"/>
  <c r="AB2008" i="1"/>
  <c r="AA2008" i="1"/>
  <c r="P2008" i="1"/>
  <c r="AB2007" i="1"/>
  <c r="AB2006" i="1"/>
  <c r="AA2006" i="1"/>
  <c r="AB2005" i="1"/>
  <c r="AA2005" i="1"/>
  <c r="P2005" i="1"/>
  <c r="AB2004" i="1"/>
  <c r="AA2004" i="1"/>
  <c r="P2004" i="1"/>
  <c r="AB2003" i="1"/>
  <c r="AA2003" i="1"/>
  <c r="P2003" i="1"/>
  <c r="AB2002" i="1"/>
  <c r="AA2002" i="1"/>
  <c r="P2002" i="1"/>
  <c r="P2001" i="1"/>
  <c r="AB2001" i="1"/>
  <c r="AA2001" i="1"/>
  <c r="AB2000" i="1"/>
  <c r="AA2000" i="1"/>
  <c r="AA1980" i="1"/>
  <c r="AB1999" i="1"/>
  <c r="AA1999" i="1"/>
  <c r="S1999" i="1"/>
  <c r="P1999" i="1"/>
  <c r="P1913" i="1"/>
  <c r="S1915" i="1"/>
  <c r="P1915" i="1"/>
  <c r="AB1998" i="1"/>
  <c r="AA1998" i="1"/>
  <c r="S1998" i="1"/>
  <c r="P1998" i="1"/>
  <c r="S1914" i="1"/>
  <c r="AB1997" i="1"/>
  <c r="AA1997" i="1"/>
  <c r="S1997" i="1"/>
  <c r="P1997" i="1"/>
  <c r="AB1996" i="1"/>
  <c r="AA1996" i="1"/>
  <c r="S1996" i="1"/>
  <c r="O1996" i="1"/>
  <c r="P1996" i="1"/>
  <c r="AB1995" i="1"/>
  <c r="AA1995" i="1"/>
  <c r="S1995" i="1"/>
  <c r="P1995" i="1"/>
  <c r="AB1994" i="1"/>
  <c r="AA1994" i="1"/>
  <c r="P1994" i="1"/>
  <c r="AB1993" i="1"/>
  <c r="AA1993" i="1"/>
  <c r="S1993" i="1"/>
  <c r="P1993" i="1"/>
  <c r="AB1992" i="1"/>
  <c r="AA1992" i="1"/>
  <c r="AB1991" i="1"/>
  <c r="AA1991" i="1"/>
  <c r="S1992" i="1"/>
  <c r="S1991" i="1"/>
  <c r="P1992" i="1"/>
  <c r="P1991" i="1"/>
  <c r="AB1990" i="1"/>
  <c r="AA1990" i="1"/>
  <c r="AB1989" i="1"/>
  <c r="AA1989" i="1"/>
  <c r="AB1988" i="1"/>
  <c r="AA1988" i="1"/>
  <c r="S1990" i="1"/>
  <c r="S1989" i="1"/>
  <c r="S1988" i="1"/>
  <c r="P1990" i="1"/>
  <c r="P1989" i="1"/>
  <c r="P1988" i="1"/>
  <c r="AB1987" i="1"/>
  <c r="AA1987" i="1"/>
  <c r="P1987" i="1"/>
  <c r="AB1986" i="1"/>
  <c r="AA1986" i="1"/>
  <c r="S1986" i="1"/>
  <c r="P1986" i="1"/>
  <c r="AB1985" i="1"/>
  <c r="AA1985" i="1"/>
  <c r="S1985" i="1"/>
  <c r="P1985" i="1"/>
  <c r="AB1984" i="1"/>
  <c r="AA1984" i="1"/>
  <c r="S1984" i="1"/>
  <c r="P1984" i="1"/>
  <c r="AB1983" i="1"/>
  <c r="AA1983" i="1"/>
  <c r="S1427" i="1"/>
  <c r="S1435" i="1"/>
  <c r="P1435" i="1"/>
  <c r="S1707" i="1"/>
  <c r="S1838" i="1"/>
  <c r="AB1982" i="1"/>
  <c r="AA1982" i="1"/>
  <c r="AB1981" i="1"/>
  <c r="AA1981" i="1"/>
  <c r="AB1980" i="1"/>
  <c r="AA1977" i="1"/>
  <c r="AB1979" i="1"/>
  <c r="AA1979" i="1"/>
  <c r="AB1978" i="1"/>
  <c r="AA1978" i="1"/>
  <c r="AB1977" i="1"/>
  <c r="AA1972" i="1"/>
  <c r="AA1973" i="1"/>
  <c r="AA1974" i="1"/>
  <c r="AA1975" i="1"/>
  <c r="AA1967" i="1"/>
  <c r="AA1968" i="1"/>
  <c r="AA1969" i="1"/>
  <c r="AA1970" i="1"/>
  <c r="AA1971" i="1"/>
  <c r="AA1961" i="1"/>
  <c r="AA1962" i="1"/>
  <c r="AA1963" i="1"/>
  <c r="AA1964" i="1"/>
  <c r="AA1965" i="1"/>
  <c r="AA1966" i="1"/>
  <c r="AA1954" i="1"/>
  <c r="AA1955" i="1"/>
  <c r="AA1956" i="1"/>
  <c r="AA1957" i="1"/>
  <c r="AA1958" i="1"/>
  <c r="AA1959" i="1"/>
  <c r="AA1960" i="1"/>
  <c r="AA1949" i="1"/>
  <c r="AA1950" i="1"/>
  <c r="AA1951" i="1"/>
  <c r="AA1952" i="1"/>
  <c r="AA1953" i="1"/>
  <c r="AA1948" i="1"/>
  <c r="AA1947" i="1"/>
  <c r="AA1946" i="1"/>
  <c r="AA1945" i="1"/>
  <c r="AA1939" i="1"/>
  <c r="AA1940" i="1"/>
  <c r="AA1941" i="1"/>
  <c r="AA1942" i="1"/>
  <c r="AA1943" i="1"/>
  <c r="AA1944" i="1"/>
  <c r="AA1933" i="1"/>
  <c r="AA1934" i="1"/>
  <c r="AA1935" i="1"/>
  <c r="AA1936" i="1"/>
  <c r="AA1937" i="1"/>
  <c r="AA1938" i="1"/>
  <c r="AA1932" i="1"/>
  <c r="AA1931" i="1"/>
  <c r="AA1930" i="1"/>
  <c r="AA1929" i="1"/>
  <c r="AA1908" i="1"/>
  <c r="AA1906" i="1"/>
  <c r="AA1905" i="1"/>
  <c r="AA1902" i="1"/>
  <c r="AA1903" i="1"/>
  <c r="AA1899" i="1"/>
  <c r="AA1900" i="1"/>
  <c r="AA1901" i="1"/>
  <c r="AA1893" i="1"/>
  <c r="AA1874" i="1"/>
  <c r="AA1871" i="1"/>
  <c r="AA1867" i="1"/>
  <c r="AA1866" i="1"/>
  <c r="AA1864" i="1"/>
  <c r="AA1863" i="1"/>
  <c r="AA1664" i="1"/>
  <c r="P1973" i="1"/>
  <c r="P1972" i="1"/>
  <c r="P1971" i="1"/>
  <c r="P1970" i="1"/>
  <c r="P1969" i="1"/>
  <c r="O1968" i="1"/>
  <c r="P1968" i="1"/>
  <c r="P1965" i="1"/>
  <c r="P1963" i="1"/>
  <c r="S1962" i="1"/>
  <c r="O1962" i="1"/>
  <c r="P1962" i="1"/>
  <c r="P1961" i="1"/>
  <c r="O1960" i="1"/>
  <c r="P1960" i="1"/>
  <c r="P1959" i="1"/>
  <c r="P1958" i="1"/>
  <c r="P1957" i="1"/>
  <c r="P1953" i="1"/>
  <c r="P1952" i="1"/>
  <c r="P1951" i="1"/>
  <c r="P1950" i="1"/>
  <c r="P1949" i="1"/>
  <c r="S1928" i="1"/>
  <c r="P1928" i="1"/>
  <c r="S1927" i="1"/>
  <c r="P1927" i="1"/>
  <c r="S1926" i="1"/>
  <c r="AA1926" i="1"/>
  <c r="AB1926" i="1"/>
  <c r="AA1927" i="1"/>
  <c r="AB1927" i="1"/>
  <c r="AA1928" i="1"/>
  <c r="AB1928" i="1"/>
  <c r="AB1925" i="1"/>
  <c r="AA1925" i="1"/>
  <c r="S1925" i="1"/>
  <c r="P1925" i="1"/>
  <c r="S1924" i="1"/>
  <c r="P1924" i="1"/>
  <c r="S1923" i="1"/>
  <c r="P1923" i="1"/>
  <c r="S1922" i="1"/>
  <c r="P1922" i="1"/>
  <c r="S1921" i="1"/>
  <c r="P1921" i="1"/>
  <c r="S1920" i="1"/>
  <c r="P1920" i="1"/>
  <c r="S1919" i="1"/>
  <c r="P1919" i="1"/>
  <c r="S1918" i="1"/>
  <c r="P1918" i="1"/>
  <c r="AA1921" i="1"/>
  <c r="AB1921" i="1"/>
  <c r="AA1922" i="1"/>
  <c r="AB1922" i="1"/>
  <c r="AA1923" i="1"/>
  <c r="AB1923" i="1"/>
  <c r="AA1924" i="1"/>
  <c r="AB1924" i="1"/>
  <c r="S1917" i="1"/>
  <c r="P1917" i="1"/>
  <c r="AA1917" i="1"/>
  <c r="AB1917" i="1"/>
  <c r="S1916" i="1"/>
  <c r="P1916" i="1"/>
  <c r="P1907" i="1"/>
  <c r="AB1913" i="1"/>
  <c r="AB1914" i="1"/>
  <c r="AB1915" i="1"/>
  <c r="AB1916" i="1"/>
  <c r="AB1918" i="1"/>
  <c r="AB1919" i="1"/>
  <c r="AB1920" i="1"/>
  <c r="AA1913" i="1"/>
  <c r="AA1914" i="1"/>
  <c r="AA1915" i="1"/>
  <c r="AA1916" i="1"/>
  <c r="AA1918" i="1"/>
  <c r="AA1919" i="1"/>
  <c r="AA1920" i="1"/>
  <c r="AB1907" i="1"/>
  <c r="AA1907" i="1"/>
  <c r="AB1911" i="1"/>
  <c r="AA1911" i="1"/>
  <c r="S1911" i="1"/>
  <c r="P1911" i="1"/>
  <c r="AB1910" i="1"/>
  <c r="AA1910" i="1"/>
  <c r="S1910" i="1"/>
  <c r="P1910" i="1"/>
  <c r="AA1912" i="1"/>
  <c r="AB1909" i="1"/>
  <c r="AA1909" i="1"/>
  <c r="S1909" i="1"/>
  <c r="P1909" i="1"/>
  <c r="AB1912" i="1"/>
  <c r="AB1744" i="1"/>
  <c r="AA1744" i="1"/>
  <c r="AB1743" i="1"/>
  <c r="AA1743" i="1"/>
  <c r="AB867" i="1"/>
  <c r="AA867" i="1"/>
  <c r="P867" i="1"/>
  <c r="AB1906" i="1"/>
  <c r="R1905" i="1"/>
  <c r="S1905" i="1"/>
  <c r="AB1904" i="1"/>
  <c r="AA1904" i="1"/>
  <c r="P1904" i="1"/>
  <c r="AB1908" i="1"/>
  <c r="AB1902" i="1"/>
  <c r="AB1901" i="1"/>
  <c r="AB1900" i="1"/>
  <c r="AB1898" i="1"/>
  <c r="AA1898" i="1"/>
  <c r="AA1231" i="1"/>
  <c r="AB1231" i="1"/>
  <c r="AA1227" i="1"/>
  <c r="AB1227" i="1"/>
  <c r="AA1211" i="1"/>
  <c r="AB1211" i="1"/>
  <c r="AA1205" i="1"/>
  <c r="AB1205" i="1"/>
  <c r="P1213" i="1"/>
  <c r="AA1213" i="1"/>
  <c r="AB1213" i="1"/>
  <c r="AA1203" i="1"/>
  <c r="AB1203" i="1"/>
  <c r="AA1223" i="1"/>
  <c r="AB1223" i="1"/>
  <c r="AB1519" i="1"/>
  <c r="AA1519" i="1"/>
  <c r="O1519" i="1"/>
  <c r="P1519" i="1"/>
  <c r="AB1897" i="1"/>
  <c r="AA1897" i="1"/>
  <c r="S1897" i="1"/>
  <c r="AB1753" i="1"/>
  <c r="AA1753" i="1"/>
  <c r="S1753" i="1"/>
  <c r="P1753" i="1"/>
  <c r="AB1896" i="1"/>
  <c r="AA1896" i="1"/>
  <c r="Y666" i="1"/>
  <c r="Z666" i="1" s="1"/>
  <c r="E666" i="1" s="1"/>
  <c r="Y665" i="1"/>
  <c r="Y631" i="1"/>
  <c r="P666" i="1"/>
  <c r="P665" i="1"/>
  <c r="Y477" i="1"/>
  <c r="S477" i="1"/>
  <c r="P477" i="1"/>
  <c r="P911" i="1"/>
  <c r="P910" i="1"/>
  <c r="AA911" i="1"/>
  <c r="AB911" i="1"/>
  <c r="AB1677" i="1"/>
  <c r="AA1677" i="1"/>
  <c r="P1677" i="1"/>
  <c r="AB1895" i="1"/>
  <c r="AA1895" i="1"/>
  <c r="P1718" i="1"/>
  <c r="P1895" i="1"/>
  <c r="P1894" i="1"/>
  <c r="P1705" i="1"/>
  <c r="P85" i="1"/>
  <c r="AA1801" i="1"/>
  <c r="AB1893" i="1"/>
  <c r="S1419" i="1"/>
  <c r="P1419" i="1"/>
  <c r="S1892" i="1"/>
  <c r="P1892" i="1"/>
  <c r="AB1892" i="1"/>
  <c r="AA1892" i="1"/>
  <c r="S1891" i="1"/>
  <c r="P1891" i="1"/>
  <c r="S1890" i="1"/>
  <c r="P1890" i="1"/>
  <c r="AB1891" i="1"/>
  <c r="AA1891" i="1"/>
  <c r="AB1890" i="1"/>
  <c r="AA1890" i="1"/>
  <c r="AB1889" i="1"/>
  <c r="AA1889" i="1"/>
  <c r="S1889" i="1"/>
  <c r="P1889" i="1"/>
  <c r="AB1888" i="1"/>
  <c r="AA1888" i="1"/>
  <c r="S1888" i="1"/>
  <c r="P1888" i="1"/>
  <c r="AB1887" i="1"/>
  <c r="AA1887" i="1"/>
  <c r="S1887" i="1"/>
  <c r="P1887" i="1"/>
  <c r="P1816" i="1"/>
  <c r="P1860" i="1"/>
  <c r="P1859" i="1"/>
  <c r="S1840" i="1"/>
  <c r="AB1886" i="1"/>
  <c r="AA1886" i="1"/>
  <c r="AB1885" i="1"/>
  <c r="AA1885" i="1"/>
  <c r="S1885" i="1"/>
  <c r="P1885" i="1"/>
  <c r="S1884" i="1"/>
  <c r="P1884" i="1"/>
  <c r="AB1884" i="1"/>
  <c r="AA1884" i="1"/>
  <c r="S1883" i="1"/>
  <c r="P1883" i="1"/>
  <c r="AB1883" i="1"/>
  <c r="AA1883" i="1"/>
  <c r="S1882" i="1"/>
  <c r="P1882" i="1"/>
  <c r="AB1882" i="1"/>
  <c r="AA1882" i="1"/>
  <c r="S1881" i="1"/>
  <c r="P1881" i="1"/>
  <c r="AB1881" i="1"/>
  <c r="AA1881" i="1"/>
  <c r="S1880" i="1"/>
  <c r="P1880" i="1"/>
  <c r="AB1880" i="1"/>
  <c r="AA1880" i="1"/>
  <c r="S1879" i="1"/>
  <c r="P1879" i="1"/>
  <c r="AB1879" i="1"/>
  <c r="AA1879" i="1"/>
  <c r="S1878" i="1"/>
  <c r="S1877" i="1"/>
  <c r="P1877" i="1"/>
  <c r="S1876" i="1"/>
  <c r="AA1443" i="1"/>
  <c r="AA1442" i="1"/>
  <c r="S1442" i="1"/>
  <c r="P1442" i="1"/>
  <c r="P1443" i="1"/>
  <c r="S1875" i="1"/>
  <c r="P1875" i="1"/>
  <c r="AB1873" i="1"/>
  <c r="AA1873" i="1"/>
  <c r="P1873" i="1"/>
  <c r="P1607" i="1"/>
  <c r="AA1607" i="1"/>
  <c r="AA1606" i="1"/>
  <c r="P1606" i="1"/>
  <c r="S1862" i="1"/>
  <c r="P1319" i="1"/>
  <c r="AB1874" i="1"/>
  <c r="P1874" i="1"/>
  <c r="AB1011" i="1"/>
  <c r="AA1011" i="1"/>
  <c r="P1011" i="1"/>
  <c r="AB1255" i="1"/>
  <c r="AA1255" i="1"/>
  <c r="AB1291" i="1"/>
  <c r="AB1564" i="1"/>
  <c r="AA1564" i="1"/>
  <c r="S1564" i="1"/>
  <c r="AB874" i="1"/>
  <c r="AA874" i="1"/>
  <c r="AB1872" i="1"/>
  <c r="AA1872" i="1"/>
  <c r="P1872" i="1"/>
  <c r="AB1741" i="1"/>
  <c r="AA1741" i="1"/>
  <c r="P1741" i="1"/>
  <c r="AB1870" i="1"/>
  <c r="AA1870" i="1"/>
  <c r="P1870" i="1"/>
  <c r="AB1869" i="1"/>
  <c r="AA1869" i="1"/>
  <c r="AB1868" i="1"/>
  <c r="AA1868" i="1"/>
  <c r="S1868" i="1"/>
  <c r="P1868" i="1"/>
  <c r="O1868" i="1"/>
  <c r="AB932" i="1"/>
  <c r="AA932" i="1"/>
  <c r="S1865" i="1"/>
  <c r="AB1866" i="1"/>
  <c r="AB1865" i="1"/>
  <c r="AA1865" i="1"/>
  <c r="S1866" i="1"/>
  <c r="AB1285" i="1"/>
  <c r="AA1285" i="1"/>
  <c r="P1046" i="1"/>
  <c r="AB885" i="1"/>
  <c r="AA885" i="1"/>
  <c r="AB1858" i="1"/>
  <c r="AA1858" i="1"/>
  <c r="S1858" i="1"/>
  <c r="AB1857" i="1"/>
  <c r="AA1857" i="1"/>
  <c r="O1857" i="1"/>
  <c r="P1857" i="1"/>
  <c r="AB839" i="1"/>
  <c r="AA839" i="1"/>
  <c r="AB1207" i="1"/>
  <c r="AA1207" i="1"/>
  <c r="AB1856" i="1"/>
  <c r="AA1856" i="1"/>
  <c r="AB1855" i="1"/>
  <c r="AA1855" i="1"/>
  <c r="P1855" i="1"/>
  <c r="AB1854" i="1"/>
  <c r="AA1854" i="1"/>
  <c r="AB789" i="1"/>
  <c r="AA789" i="1"/>
  <c r="AB1413" i="1"/>
  <c r="AA1413" i="1"/>
  <c r="AA799" i="1"/>
  <c r="AB1170" i="1"/>
  <c r="AA1170" i="1"/>
  <c r="AB1159" i="1"/>
  <c r="AA1159" i="1"/>
  <c r="P1159" i="1"/>
  <c r="AB1166" i="1"/>
  <c r="AA1166" i="1"/>
  <c r="AB1164" i="1"/>
  <c r="AA1164" i="1"/>
  <c r="AB1853" i="1"/>
  <c r="AA1853" i="1"/>
  <c r="AB1852" i="1"/>
  <c r="AA1852" i="1"/>
  <c r="AB1622" i="1"/>
  <c r="AA1622" i="1"/>
  <c r="AB1620" i="1"/>
  <c r="AA1620" i="1"/>
  <c r="AB1157" i="1"/>
  <c r="AA1157" i="1"/>
  <c r="AB1151" i="1"/>
  <c r="AA1151" i="1"/>
  <c r="P1151" i="1"/>
  <c r="AB934" i="1"/>
  <c r="AA934" i="1"/>
  <c r="P934" i="1"/>
  <c r="AB936" i="1"/>
  <c r="AA936" i="1"/>
  <c r="P936" i="1"/>
  <c r="AB889" i="1"/>
  <c r="AA889" i="1"/>
  <c r="AB930" i="1"/>
  <c r="AA930" i="1"/>
  <c r="P930" i="1"/>
  <c r="AB916" i="1"/>
  <c r="AA916" i="1"/>
  <c r="P916" i="1"/>
  <c r="AB1191" i="1"/>
  <c r="AA1191" i="1"/>
  <c r="AB1193" i="1"/>
  <c r="AA1193" i="1"/>
  <c r="AB1197" i="1"/>
  <c r="AA1197" i="1"/>
  <c r="AB1117" i="1"/>
  <c r="AB1116" i="1"/>
  <c r="AA1117" i="1"/>
  <c r="AA1116" i="1"/>
  <c r="S1117" i="1"/>
  <c r="S1116" i="1"/>
  <c r="P1117" i="1"/>
  <c r="P1116" i="1"/>
  <c r="AB1209" i="1"/>
  <c r="AA1209" i="1"/>
  <c r="P1209" i="1"/>
  <c r="P1822" i="1"/>
  <c r="AB1070" i="1"/>
  <c r="AB1071" i="1"/>
  <c r="AB1077" i="1"/>
  <c r="AB1076" i="1"/>
  <c r="AB1073" i="1"/>
  <c r="AB1072" i="1"/>
  <c r="AA1077" i="1"/>
  <c r="AA1076" i="1"/>
  <c r="AA1073" i="1"/>
  <c r="AA1072" i="1"/>
  <c r="S1077" i="1"/>
  <c r="S1076" i="1"/>
  <c r="S1073" i="1"/>
  <c r="S1072" i="1"/>
  <c r="P1077" i="1"/>
  <c r="P1076" i="1"/>
  <c r="P1073" i="1"/>
  <c r="P1072" i="1"/>
  <c r="AB1140" i="1"/>
  <c r="AA1140" i="1"/>
  <c r="S1140" i="1"/>
  <c r="P1140" i="1"/>
  <c r="AB1081" i="1"/>
  <c r="AB1080" i="1"/>
  <c r="AA1081" i="1"/>
  <c r="AA1080" i="1"/>
  <c r="S1081" i="1"/>
  <c r="S1080" i="1"/>
  <c r="P1081" i="1"/>
  <c r="P1080" i="1"/>
  <c r="AB1137" i="1"/>
  <c r="AB1136" i="1"/>
  <c r="AB1134" i="1"/>
  <c r="AB1133" i="1"/>
  <c r="AA1137" i="1"/>
  <c r="AA1136" i="1"/>
  <c r="AA1134" i="1"/>
  <c r="AA1133" i="1"/>
  <c r="S1137" i="1"/>
  <c r="S1136" i="1"/>
  <c r="S1134" i="1"/>
  <c r="S1133" i="1"/>
  <c r="P1137" i="1"/>
  <c r="P1136" i="1"/>
  <c r="P1134" i="1"/>
  <c r="P1133" i="1"/>
  <c r="AB1131" i="1"/>
  <c r="AB1130" i="1"/>
  <c r="AA1131" i="1"/>
  <c r="AA1130" i="1"/>
  <c r="S1131" i="1"/>
  <c r="S1130" i="1"/>
  <c r="P1131" i="1"/>
  <c r="P1130" i="1"/>
  <c r="AB1128" i="1"/>
  <c r="AB1127" i="1"/>
  <c r="AA1128" i="1"/>
  <c r="AA1127" i="1"/>
  <c r="S1128" i="1"/>
  <c r="S1127" i="1"/>
  <c r="P1128" i="1"/>
  <c r="P1127" i="1"/>
  <c r="AA1114" i="1"/>
  <c r="AB1114" i="1"/>
  <c r="AB1111" i="1"/>
  <c r="AA1111" i="1"/>
  <c r="S1114" i="1"/>
  <c r="S1111" i="1"/>
  <c r="P1114" i="1"/>
  <c r="P1111" i="1"/>
  <c r="P1107" i="1"/>
  <c r="P1108" i="1"/>
  <c r="S1107" i="1"/>
  <c r="S1108" i="1"/>
  <c r="AB1108" i="1"/>
  <c r="AB1107" i="1"/>
  <c r="AA1108" i="1"/>
  <c r="AA1107" i="1"/>
  <c r="AB1105" i="1"/>
  <c r="AA1105" i="1"/>
  <c r="S1105" i="1"/>
  <c r="P1105" i="1"/>
  <c r="AB1102" i="1"/>
  <c r="AA1102" i="1"/>
  <c r="S1102" i="1"/>
  <c r="P1102" i="1"/>
  <c r="AB1095" i="1"/>
  <c r="AA1095" i="1"/>
  <c r="S1095" i="1"/>
  <c r="P1095" i="1"/>
  <c r="AB1092" i="1"/>
  <c r="AA1092" i="1"/>
  <c r="S1092" i="1"/>
  <c r="P1092" i="1"/>
  <c r="AB1087" i="1"/>
  <c r="AA1087" i="1"/>
  <c r="S1087" i="1"/>
  <c r="P1087" i="1"/>
  <c r="AB1068" i="1"/>
  <c r="AB1067" i="1"/>
  <c r="S1067" i="1"/>
  <c r="S1068" i="1"/>
  <c r="P1067" i="1"/>
  <c r="P1068" i="1"/>
  <c r="AA1068" i="1"/>
  <c r="AA1067" i="1"/>
  <c r="AB1064" i="1"/>
  <c r="AA1064" i="1"/>
  <c r="S1064" i="1"/>
  <c r="P1064" i="1"/>
  <c r="AB1061" i="1"/>
  <c r="AA1061" i="1"/>
  <c r="S1061" i="1"/>
  <c r="P1061" i="1"/>
  <c r="AB944" i="1"/>
  <c r="AA944" i="1"/>
  <c r="AB963" i="1"/>
  <c r="AA963" i="1"/>
  <c r="P963" i="1"/>
  <c r="P1221" i="1"/>
  <c r="AB1221" i="1"/>
  <c r="AA1221" i="1"/>
  <c r="P1219" i="1"/>
  <c r="AB857" i="1"/>
  <c r="AA857" i="1"/>
  <c r="AB1219" i="1"/>
  <c r="AA1219" i="1"/>
  <c r="AB1113" i="1"/>
  <c r="AA1113" i="1"/>
  <c r="AB1110" i="1"/>
  <c r="AA1110" i="1"/>
  <c r="S1110" i="1"/>
  <c r="S1113" i="1"/>
  <c r="P1113" i="1"/>
  <c r="P1110" i="1"/>
  <c r="AB1060" i="1"/>
  <c r="AA1060" i="1"/>
  <c r="S1060" i="1"/>
  <c r="P1060" i="1"/>
  <c r="AB1086" i="1"/>
  <c r="AA1086" i="1"/>
  <c r="S1086" i="1"/>
  <c r="P1086" i="1"/>
  <c r="AB1094" i="1"/>
  <c r="AB1091" i="1"/>
  <c r="AA1091" i="1"/>
  <c r="S1091" i="1"/>
  <c r="P1091" i="1"/>
  <c r="AA1094" i="1"/>
  <c r="S1094" i="1"/>
  <c r="AB1104" i="1"/>
  <c r="AA1104" i="1"/>
  <c r="S1104" i="1"/>
  <c r="AB1101" i="1"/>
  <c r="AA1101" i="1"/>
  <c r="S1101" i="1"/>
  <c r="AA1139" i="1"/>
  <c r="AB1139" i="1"/>
  <c r="S1139" i="1"/>
  <c r="S1063" i="1"/>
  <c r="AB1063" i="1"/>
  <c r="AA1063" i="1"/>
  <c r="AB953" i="1"/>
  <c r="AA953" i="1"/>
  <c r="AB954" i="1"/>
  <c r="AA954" i="1"/>
  <c r="AB948" i="1"/>
  <c r="AA948" i="1"/>
  <c r="AA1850" i="1"/>
  <c r="S1851" i="1"/>
  <c r="P1851" i="1"/>
  <c r="AA1840" i="1"/>
  <c r="S1850" i="1"/>
  <c r="P1850" i="1"/>
  <c r="P1713" i="1"/>
  <c r="AB1849" i="1"/>
  <c r="AA1849" i="1"/>
  <c r="AB1846" i="1"/>
  <c r="AB1847" i="1"/>
  <c r="AB1848" i="1"/>
  <c r="AA1847" i="1"/>
  <c r="AA1846" i="1"/>
  <c r="AA1848" i="1"/>
  <c r="AB1845" i="1"/>
  <c r="AA1845" i="1"/>
  <c r="S1845" i="1"/>
  <c r="AB1844" i="1"/>
  <c r="AB1824" i="1"/>
  <c r="AB1823" i="1"/>
  <c r="AA1844" i="1"/>
  <c r="AA1824" i="1"/>
  <c r="AA1823" i="1"/>
  <c r="S1844" i="1"/>
  <c r="AB1842" i="1"/>
  <c r="AA1842" i="1"/>
  <c r="S1842" i="1"/>
  <c r="P1581" i="1"/>
  <c r="AB1841" i="1"/>
  <c r="AA1841" i="1"/>
  <c r="AB1840" i="1"/>
  <c r="P1840" i="1"/>
  <c r="AB1839" i="1"/>
  <c r="AA1839" i="1"/>
  <c r="S1839" i="1"/>
  <c r="P1839" i="1"/>
  <c r="AA1838" i="1"/>
  <c r="AB1838" i="1"/>
  <c r="P1838" i="1"/>
  <c r="AA1837" i="1"/>
  <c r="AB1837" i="1"/>
  <c r="S1837" i="1"/>
  <c r="S1451" i="1"/>
  <c r="P1451" i="1"/>
  <c r="P1545" i="1"/>
  <c r="P962" i="1"/>
  <c r="P1543" i="1"/>
  <c r="S1608" i="1"/>
  <c r="P1608" i="1"/>
  <c r="P1514" i="1"/>
  <c r="S1057" i="1"/>
  <c r="P1057" i="1"/>
  <c r="AA1459" i="1"/>
  <c r="AA1496" i="1"/>
  <c r="AB1815" i="1"/>
  <c r="AA1815" i="1"/>
  <c r="P1836" i="1"/>
  <c r="P1734" i="1"/>
  <c r="P1733" i="1"/>
  <c r="P1731" i="1"/>
  <c r="P1730" i="1"/>
  <c r="P1728" i="1"/>
  <c r="P1727" i="1"/>
  <c r="P1725" i="1"/>
  <c r="P1724" i="1"/>
  <c r="P1723" i="1"/>
  <c r="P1722" i="1"/>
  <c r="P1719" i="1"/>
  <c r="P1717" i="1"/>
  <c r="P1716" i="1"/>
  <c r="P1715" i="1"/>
  <c r="P1714" i="1"/>
  <c r="P1712" i="1"/>
  <c r="P1711" i="1"/>
  <c r="P1710" i="1"/>
  <c r="P1709" i="1"/>
  <c r="P1708" i="1"/>
  <c r="P1703" i="1"/>
  <c r="P1702" i="1"/>
  <c r="P1701" i="1"/>
  <c r="P1697" i="1"/>
  <c r="P1696" i="1"/>
  <c r="P1693" i="1"/>
  <c r="P1692" i="1"/>
  <c r="P1672" i="1"/>
  <c r="P1657" i="1"/>
  <c r="P1654" i="1"/>
  <c r="P1653" i="1"/>
  <c r="P1652" i="1"/>
  <c r="P1634" i="1"/>
  <c r="P1631" i="1"/>
  <c r="P1629" i="1"/>
  <c r="P1628" i="1"/>
  <c r="P1627" i="1"/>
  <c r="P1626" i="1"/>
  <c r="P1625" i="1"/>
  <c r="P1613" i="1"/>
  <c r="P1610" i="1"/>
  <c r="P1609" i="1"/>
  <c r="P1605" i="1"/>
  <c r="P1604" i="1"/>
  <c r="P1602" i="1"/>
  <c r="P1593" i="1"/>
  <c r="P1592" i="1"/>
  <c r="P1591" i="1"/>
  <c r="P1590" i="1"/>
  <c r="P1589" i="1"/>
  <c r="P1588" i="1"/>
  <c r="P1587" i="1"/>
  <c r="P1576" i="1"/>
  <c r="P1571" i="1"/>
  <c r="P1569" i="1"/>
  <c r="P1558" i="1"/>
  <c r="P1554" i="1"/>
  <c r="P1552" i="1"/>
  <c r="P1480" i="1"/>
  <c r="P1477" i="1"/>
  <c r="P1441" i="1"/>
  <c r="P1434" i="1"/>
  <c r="P1417" i="1"/>
  <c r="P1416" i="1"/>
  <c r="P1411" i="1"/>
  <c r="P1398" i="1"/>
  <c r="P1397" i="1"/>
  <c r="P1384" i="1"/>
  <c r="P1383" i="1"/>
  <c r="P1380" i="1"/>
  <c r="P1379" i="1"/>
  <c r="P1374" i="1"/>
  <c r="P1371" i="1"/>
  <c r="P1370" i="1"/>
  <c r="P1368" i="1"/>
  <c r="P1357" i="1"/>
  <c r="P1353" i="1"/>
  <c r="P1352" i="1"/>
  <c r="P1351" i="1"/>
  <c r="P1343" i="1"/>
  <c r="P1342" i="1"/>
  <c r="P1336" i="1"/>
  <c r="P1335" i="1"/>
  <c r="P1330" i="1"/>
  <c r="P1328" i="1"/>
  <c r="P1327" i="1"/>
  <c r="P1324" i="1"/>
  <c r="P1320" i="1"/>
  <c r="P1318" i="1"/>
  <c r="P1316" i="1"/>
  <c r="P1315" i="1"/>
  <c r="P1314" i="1"/>
  <c r="P1312" i="1"/>
  <c r="P1309" i="1"/>
  <c r="P1300" i="1"/>
  <c r="P1299" i="1"/>
  <c r="P1297" i="1"/>
  <c r="P1280" i="1"/>
  <c r="P1276" i="1"/>
  <c r="P1270" i="1"/>
  <c r="P1266" i="1"/>
  <c r="P1262" i="1"/>
  <c r="P1248" i="1"/>
  <c r="P1247" i="1"/>
  <c r="P1243" i="1"/>
  <c r="P1238" i="1"/>
  <c r="P1236" i="1"/>
  <c r="P1235" i="1"/>
  <c r="P1234" i="1"/>
  <c r="P1186" i="1"/>
  <c r="P1181" i="1"/>
  <c r="P1180" i="1"/>
  <c r="P1178" i="1"/>
  <c r="P1177" i="1"/>
  <c r="P1176" i="1"/>
  <c r="P1175" i="1"/>
  <c r="P1172" i="1"/>
  <c r="P1171" i="1"/>
  <c r="P1169" i="1"/>
  <c r="P1168" i="1"/>
  <c r="P1167" i="1"/>
  <c r="P1165" i="1"/>
  <c r="P1163" i="1"/>
  <c r="P1162" i="1"/>
  <c r="P1161" i="1"/>
  <c r="P1160" i="1"/>
  <c r="P1158" i="1"/>
  <c r="P1155" i="1"/>
  <c r="P1154" i="1"/>
  <c r="P1152" i="1"/>
  <c r="P1150" i="1"/>
  <c r="P1149" i="1"/>
  <c r="P1147" i="1"/>
  <c r="P1146" i="1"/>
  <c r="P1145" i="1"/>
  <c r="P1138" i="1"/>
  <c r="P1135" i="1"/>
  <c r="P1132" i="1"/>
  <c r="P1129" i="1"/>
  <c r="P1126" i="1"/>
  <c r="P1125" i="1"/>
  <c r="P1112" i="1"/>
  <c r="P1109" i="1"/>
  <c r="P1106" i="1"/>
  <c r="P1103" i="1"/>
  <c r="P1100" i="1"/>
  <c r="P1097" i="1"/>
  <c r="P1093" i="1"/>
  <c r="P1090" i="1"/>
  <c r="P1088" i="1"/>
  <c r="P1082" i="1"/>
  <c r="P1079" i="1"/>
  <c r="P1078" i="1"/>
  <c r="P1075" i="1"/>
  <c r="P1074" i="1"/>
  <c r="P1071" i="1"/>
  <c r="P1065" i="1"/>
  <c r="P1062" i="1"/>
  <c r="P1059" i="1"/>
  <c r="P1052" i="1"/>
  <c r="P1050" i="1"/>
  <c r="P1049" i="1"/>
  <c r="P1043" i="1"/>
  <c r="P1038" i="1"/>
  <c r="P1033" i="1"/>
  <c r="P1020" i="1"/>
  <c r="P1006" i="1"/>
  <c r="P1004" i="1"/>
  <c r="P1000" i="1"/>
  <c r="P995" i="1"/>
  <c r="P991" i="1"/>
  <c r="P990" i="1"/>
  <c r="P985" i="1"/>
  <c r="P980" i="1"/>
  <c r="P976" i="1"/>
  <c r="P975" i="1"/>
  <c r="P974" i="1"/>
  <c r="P973" i="1"/>
  <c r="P972" i="1"/>
  <c r="P964" i="1"/>
  <c r="P961" i="1"/>
  <c r="P960" i="1"/>
  <c r="P942" i="1"/>
  <c r="P941" i="1"/>
  <c r="P940" i="1"/>
  <c r="P939" i="1"/>
  <c r="P935" i="1"/>
  <c r="P933" i="1"/>
  <c r="P929" i="1"/>
  <c r="P928" i="1"/>
  <c r="P921" i="1"/>
  <c r="P919" i="1"/>
  <c r="P917" i="1"/>
  <c r="P915" i="1"/>
  <c r="P909" i="1"/>
  <c r="P907" i="1"/>
  <c r="P897" i="1"/>
  <c r="P892" i="1"/>
  <c r="P868" i="1"/>
  <c r="P866" i="1"/>
  <c r="P864" i="1"/>
  <c r="P861" i="1"/>
  <c r="P852" i="1"/>
  <c r="P851" i="1"/>
  <c r="P829" i="1"/>
  <c r="P827" i="1"/>
  <c r="P816" i="1"/>
  <c r="P815" i="1"/>
  <c r="P814" i="1"/>
  <c r="P807" i="1"/>
  <c r="P801" i="1"/>
  <c r="P799" i="1"/>
  <c r="P798" i="1"/>
  <c r="P793" i="1"/>
  <c r="S1443" i="1"/>
  <c r="S1475" i="1"/>
  <c r="AA1836" i="1"/>
  <c r="AB1836" i="1"/>
  <c r="S1593" i="1"/>
  <c r="S1592" i="1"/>
  <c r="S1591" i="1"/>
  <c r="S1590" i="1"/>
  <c r="S1589" i="1"/>
  <c r="S1588" i="1"/>
  <c r="S1587" i="1"/>
  <c r="S1503" i="1"/>
  <c r="E27" i="2"/>
  <c r="E33" i="2"/>
  <c r="E24" i="2"/>
  <c r="AA1731" i="1"/>
  <c r="AA1833" i="1"/>
  <c r="AA1831" i="1"/>
  <c r="AA1733" i="1"/>
  <c r="AA1829" i="1"/>
  <c r="S1642" i="1"/>
  <c r="S1682" i="1"/>
  <c r="S1823" i="1"/>
  <c r="S1824" i="1"/>
  <c r="AA1520" i="1"/>
  <c r="AB1520" i="1"/>
  <c r="AA779" i="1"/>
  <c r="Y779" i="1"/>
  <c r="Z779" i="1" s="1"/>
  <c r="E779" i="1" s="1"/>
  <c r="AB1814" i="1"/>
  <c r="AB1813" i="1"/>
  <c r="AB1812" i="1"/>
  <c r="AB1811" i="1"/>
  <c r="AB1810" i="1"/>
  <c r="AB1809" i="1"/>
  <c r="AB1808" i="1"/>
  <c r="AB1807" i="1"/>
  <c r="AB1806" i="1"/>
  <c r="AB1805" i="1"/>
  <c r="AB1804" i="1"/>
  <c r="AB1803" i="1"/>
  <c r="AB1802" i="1"/>
  <c r="AB1801" i="1"/>
  <c r="AB1800" i="1"/>
  <c r="AB1799" i="1"/>
  <c r="AB1798" i="1"/>
  <c r="AB1797" i="1"/>
  <c r="AB1796" i="1"/>
  <c r="AB1795" i="1"/>
  <c r="AB1794" i="1"/>
  <c r="AB1793" i="1"/>
  <c r="AB1792" i="1"/>
  <c r="AB1791" i="1"/>
  <c r="AB1790" i="1"/>
  <c r="AB1789" i="1"/>
  <c r="AB1788" i="1"/>
  <c r="AB1787" i="1"/>
  <c r="AB1786" i="1"/>
  <c r="AB1785" i="1"/>
  <c r="AB1784" i="1"/>
  <c r="AB1783" i="1"/>
  <c r="AB1782" i="1"/>
  <c r="AB1781" i="1"/>
  <c r="AB1780" i="1"/>
  <c r="AB1779" i="1"/>
  <c r="AB1778" i="1"/>
  <c r="AB1777" i="1"/>
  <c r="AB1776" i="1"/>
  <c r="AB1775" i="1"/>
  <c r="AB1774" i="1"/>
  <c r="AB1773" i="1"/>
  <c r="AB1772" i="1"/>
  <c r="AB1771" i="1"/>
  <c r="AB1770" i="1"/>
  <c r="AB1769" i="1"/>
  <c r="AB1768" i="1"/>
  <c r="AB1767" i="1"/>
  <c r="AB1766" i="1"/>
  <c r="AB1765" i="1"/>
  <c r="AB1764" i="1"/>
  <c r="AB1763" i="1"/>
  <c r="AB1762" i="1"/>
  <c r="AB1761" i="1"/>
  <c r="AB1760" i="1"/>
  <c r="AB1759" i="1"/>
  <c r="AB1758" i="1"/>
  <c r="AB1757" i="1"/>
  <c r="AB1756" i="1"/>
  <c r="AB1755" i="1"/>
  <c r="AB1754" i="1"/>
  <c r="AB1752" i="1"/>
  <c r="AA1814" i="1"/>
  <c r="AA1813" i="1"/>
  <c r="AA1812" i="1"/>
  <c r="AA1811" i="1"/>
  <c r="AA1810" i="1"/>
  <c r="AA1809" i="1"/>
  <c r="AA1808" i="1"/>
  <c r="AA1807" i="1"/>
  <c r="AA1806" i="1"/>
  <c r="AA1805" i="1"/>
  <c r="AA1804" i="1"/>
  <c r="AA1803" i="1"/>
  <c r="AA1802" i="1"/>
  <c r="AA1800" i="1"/>
  <c r="AA1799" i="1"/>
  <c r="AA1798" i="1"/>
  <c r="AA1797" i="1"/>
  <c r="AA1796" i="1"/>
  <c r="AA1795" i="1"/>
  <c r="AA1794" i="1"/>
  <c r="AA1793" i="1"/>
  <c r="AA1792" i="1"/>
  <c r="AA1791" i="1"/>
  <c r="AA1790" i="1"/>
  <c r="AA1789" i="1"/>
  <c r="AA1788" i="1"/>
  <c r="AA1787" i="1"/>
  <c r="AA1786" i="1"/>
  <c r="AA1785" i="1"/>
  <c r="AA1784" i="1"/>
  <c r="AA1783" i="1"/>
  <c r="AA1782" i="1"/>
  <c r="AA1781" i="1"/>
  <c r="AA1780" i="1"/>
  <c r="AA1779" i="1"/>
  <c r="AA1778" i="1"/>
  <c r="AA1777" i="1"/>
  <c r="AA1776" i="1"/>
  <c r="AA1775" i="1"/>
  <c r="AA1774" i="1"/>
  <c r="AA1773" i="1"/>
  <c r="AA1772" i="1"/>
  <c r="AA1771" i="1"/>
  <c r="AA1770" i="1"/>
  <c r="AA1769" i="1"/>
  <c r="AA1768" i="1"/>
  <c r="AA1767" i="1"/>
  <c r="AA1766" i="1"/>
  <c r="AA1765" i="1"/>
  <c r="AA1764" i="1"/>
  <c r="AA1763" i="1"/>
  <c r="AA1762" i="1"/>
  <c r="AA1761" i="1"/>
  <c r="AA1760" i="1"/>
  <c r="AA1759" i="1"/>
  <c r="AA1758" i="1"/>
  <c r="AA1757" i="1"/>
  <c r="AA1756" i="1"/>
  <c r="AA1755" i="1"/>
  <c r="AA1754" i="1"/>
  <c r="AA1752" i="1"/>
  <c r="AB780" i="1"/>
  <c r="AB781" i="1"/>
  <c r="AB782" i="1"/>
  <c r="AB783" i="1"/>
  <c r="AB784" i="1"/>
  <c r="AB785" i="1"/>
  <c r="AB786" i="1"/>
  <c r="AB787" i="1"/>
  <c r="AB788" i="1"/>
  <c r="AB790" i="1"/>
  <c r="AB791" i="1"/>
  <c r="AB792" i="1"/>
  <c r="AB793" i="1"/>
  <c r="AB794" i="1"/>
  <c r="AB795" i="1"/>
  <c r="AB796" i="1"/>
  <c r="AB797" i="1"/>
  <c r="AB798" i="1"/>
  <c r="AB799" i="1"/>
  <c r="AB800" i="1"/>
  <c r="AB801" i="1"/>
  <c r="AB802" i="1"/>
  <c r="AB803" i="1"/>
  <c r="AB804" i="1"/>
  <c r="AB805" i="1"/>
  <c r="AB806" i="1"/>
  <c r="AB807" i="1"/>
  <c r="AB808" i="1"/>
  <c r="AB809" i="1"/>
  <c r="AB810" i="1"/>
  <c r="AB811" i="1"/>
  <c r="AB812" i="1"/>
  <c r="AB813" i="1"/>
  <c r="AB814" i="1"/>
  <c r="AB815" i="1"/>
  <c r="AB816" i="1"/>
  <c r="AB817" i="1"/>
  <c r="AB818" i="1"/>
  <c r="AB819" i="1"/>
  <c r="AB820" i="1"/>
  <c r="AB821" i="1"/>
  <c r="AB822" i="1"/>
  <c r="AB823" i="1"/>
  <c r="AB824" i="1"/>
  <c r="AB825" i="1"/>
  <c r="AB826" i="1"/>
  <c r="AB827" i="1"/>
  <c r="AB828" i="1"/>
  <c r="AB829" i="1"/>
  <c r="AB830" i="1"/>
  <c r="AB831" i="1"/>
  <c r="AB832" i="1"/>
  <c r="AB833" i="1"/>
  <c r="AB834" i="1"/>
  <c r="AB835" i="1"/>
  <c r="AB836" i="1"/>
  <c r="AB837" i="1"/>
  <c r="AB838" i="1"/>
  <c r="AB840" i="1"/>
  <c r="AB841" i="1"/>
  <c r="AB842" i="1"/>
  <c r="AB843" i="1"/>
  <c r="AB844" i="1"/>
  <c r="AB845" i="1"/>
  <c r="AB846" i="1"/>
  <c r="AB847" i="1"/>
  <c r="AB848" i="1"/>
  <c r="AB849" i="1"/>
  <c r="AB850" i="1"/>
  <c r="AB851" i="1"/>
  <c r="AB852" i="1"/>
  <c r="AB853" i="1"/>
  <c r="AB854" i="1"/>
  <c r="AB855" i="1"/>
  <c r="AB856" i="1"/>
  <c r="AB858" i="1"/>
  <c r="AB859" i="1"/>
  <c r="AB860" i="1"/>
  <c r="AB861" i="1"/>
  <c r="AB862" i="1"/>
  <c r="AB863" i="1"/>
  <c r="AB864" i="1"/>
  <c r="AB865" i="1"/>
  <c r="AB866" i="1"/>
  <c r="AB868" i="1"/>
  <c r="AB869" i="1"/>
  <c r="AB870" i="1"/>
  <c r="AB871" i="1"/>
  <c r="AB872" i="1"/>
  <c r="AB873" i="1"/>
  <c r="AB875" i="1"/>
  <c r="AB876" i="1"/>
  <c r="AB877" i="1"/>
  <c r="AB878" i="1"/>
  <c r="AB879" i="1"/>
  <c r="AB880" i="1"/>
  <c r="AB881" i="1"/>
  <c r="AB882" i="1"/>
  <c r="AB883" i="1"/>
  <c r="AB884" i="1"/>
  <c r="AB886" i="1"/>
  <c r="AB887" i="1"/>
  <c r="AB888" i="1"/>
  <c r="AB890" i="1"/>
  <c r="AB891" i="1"/>
  <c r="AB892" i="1"/>
  <c r="AB893" i="1"/>
  <c r="AB894" i="1"/>
  <c r="AB895" i="1"/>
  <c r="AB896" i="1"/>
  <c r="AB897" i="1"/>
  <c r="AB898" i="1"/>
  <c r="AB899" i="1"/>
  <c r="AB900" i="1"/>
  <c r="AB901" i="1"/>
  <c r="AB902" i="1"/>
  <c r="AB903" i="1"/>
  <c r="AB904" i="1"/>
  <c r="AB905" i="1"/>
  <c r="AB906" i="1"/>
  <c r="AB907" i="1"/>
  <c r="AB908" i="1"/>
  <c r="AB909" i="1"/>
  <c r="AB910" i="1"/>
  <c r="AB912" i="1"/>
  <c r="AB913" i="1"/>
  <c r="AB914" i="1"/>
  <c r="AB915" i="1"/>
  <c r="AB917" i="1"/>
  <c r="AB918" i="1"/>
  <c r="AB919" i="1"/>
  <c r="AB920" i="1"/>
  <c r="AB921" i="1"/>
  <c r="AB922" i="1"/>
  <c r="AB923" i="1"/>
  <c r="AB924" i="1"/>
  <c r="AB925" i="1"/>
  <c r="AB926" i="1"/>
  <c r="AB927" i="1"/>
  <c r="AB928" i="1"/>
  <c r="AB929" i="1"/>
  <c r="AB931" i="1"/>
  <c r="AB933" i="1"/>
  <c r="AB935" i="1"/>
  <c r="AB937" i="1"/>
  <c r="AB938" i="1"/>
  <c r="AB939" i="1"/>
  <c r="AB940" i="1"/>
  <c r="AB941" i="1"/>
  <c r="AB942" i="1"/>
  <c r="AB943" i="1"/>
  <c r="AB945" i="1"/>
  <c r="AB946" i="1"/>
  <c r="AB947" i="1"/>
  <c r="AB949" i="1"/>
  <c r="AB950" i="1"/>
  <c r="AB951" i="1"/>
  <c r="AB952" i="1"/>
  <c r="AB955" i="1"/>
  <c r="AB956" i="1"/>
  <c r="AB957" i="1"/>
  <c r="AB958" i="1"/>
  <c r="AB959" i="1"/>
  <c r="AB960" i="1"/>
  <c r="AB961" i="1"/>
  <c r="AB962" i="1"/>
  <c r="AB964" i="1"/>
  <c r="AB965" i="1"/>
  <c r="AB966" i="1"/>
  <c r="AB967" i="1"/>
  <c r="AB968" i="1"/>
  <c r="AB969" i="1"/>
  <c r="AB970" i="1"/>
  <c r="AB971" i="1"/>
  <c r="AB972" i="1"/>
  <c r="AB973" i="1"/>
  <c r="AB974" i="1"/>
  <c r="AB975" i="1"/>
  <c r="AB976" i="1"/>
  <c r="AB977" i="1"/>
  <c r="AB978" i="1"/>
  <c r="AB979" i="1"/>
  <c r="AB980" i="1"/>
  <c r="AB981" i="1"/>
  <c r="AB982" i="1"/>
  <c r="AB983" i="1"/>
  <c r="AB984" i="1"/>
  <c r="AB985" i="1"/>
  <c r="AB986" i="1"/>
  <c r="AB987" i="1"/>
  <c r="AB988" i="1"/>
  <c r="AB989" i="1"/>
  <c r="AB990" i="1"/>
  <c r="AB991" i="1"/>
  <c r="AB992" i="1"/>
  <c r="AB993" i="1"/>
  <c r="AB994" i="1"/>
  <c r="AB995" i="1"/>
  <c r="AB996" i="1"/>
  <c r="AB997" i="1"/>
  <c r="AB998" i="1"/>
  <c r="AB999" i="1"/>
  <c r="AB1000" i="1"/>
  <c r="AB1001" i="1"/>
  <c r="AB1002" i="1"/>
  <c r="AB1003" i="1"/>
  <c r="AB1004" i="1"/>
  <c r="AB1005" i="1"/>
  <c r="AB1006" i="1"/>
  <c r="AB1007" i="1"/>
  <c r="AB1008" i="1"/>
  <c r="AB1009" i="1"/>
  <c r="AB1010" i="1"/>
  <c r="AB1012" i="1"/>
  <c r="AB1013" i="1"/>
  <c r="AB1014" i="1"/>
  <c r="AB1015" i="1"/>
  <c r="AB1016" i="1"/>
  <c r="AB1017" i="1"/>
  <c r="AB1018" i="1"/>
  <c r="AB1019" i="1"/>
  <c r="AB1020" i="1"/>
  <c r="AB1021" i="1"/>
  <c r="AB1022" i="1"/>
  <c r="AB1023" i="1"/>
  <c r="AB1024" i="1"/>
  <c r="AB1025" i="1"/>
  <c r="AB1026" i="1"/>
  <c r="AB1027" i="1"/>
  <c r="AB1029" i="1"/>
  <c r="AB1030" i="1"/>
  <c r="AB1031" i="1"/>
  <c r="AB1032" i="1"/>
  <c r="AB1033" i="1"/>
  <c r="AB1034" i="1"/>
  <c r="AB1035" i="1"/>
  <c r="AB1036" i="1"/>
  <c r="AB1037" i="1"/>
  <c r="AB1038" i="1"/>
  <c r="AB1039" i="1"/>
  <c r="AB1040" i="1"/>
  <c r="AB1041" i="1"/>
  <c r="AB1042" i="1"/>
  <c r="AB1043" i="1"/>
  <c r="AB1044" i="1"/>
  <c r="AB1045" i="1"/>
  <c r="AB1046" i="1"/>
  <c r="AB1047" i="1"/>
  <c r="AB1048" i="1"/>
  <c r="AB1049" i="1"/>
  <c r="AB1050" i="1"/>
  <c r="AB1051" i="1"/>
  <c r="AB1052" i="1"/>
  <c r="AB1053" i="1"/>
  <c r="AB1054" i="1"/>
  <c r="AB1055" i="1"/>
  <c r="AB1056" i="1"/>
  <c r="AB1057" i="1"/>
  <c r="AB1058" i="1"/>
  <c r="AB1059" i="1"/>
  <c r="AB1062" i="1"/>
  <c r="AB1065" i="1"/>
  <c r="AB1066" i="1"/>
  <c r="AB1069" i="1"/>
  <c r="AB1074" i="1"/>
  <c r="AB1075" i="1"/>
  <c r="AB1078" i="1"/>
  <c r="AB1079" i="1"/>
  <c r="AB1082" i="1"/>
  <c r="AB1083" i="1"/>
  <c r="AB1084" i="1"/>
  <c r="AB1085" i="1"/>
  <c r="AB1088" i="1"/>
  <c r="AB1089" i="1"/>
  <c r="AB1090" i="1"/>
  <c r="AB1093" i="1"/>
  <c r="AB1096" i="1"/>
  <c r="AB1097" i="1"/>
  <c r="AB1098" i="1"/>
  <c r="AB1099" i="1"/>
  <c r="AB1100" i="1"/>
  <c r="AB1103" i="1"/>
  <c r="AB1106" i="1"/>
  <c r="AB1109" i="1"/>
  <c r="AB1112" i="1"/>
  <c r="AB1115" i="1"/>
  <c r="AB1118" i="1"/>
  <c r="AB1119" i="1"/>
  <c r="AB1120" i="1"/>
  <c r="AB1121" i="1"/>
  <c r="AB1122" i="1"/>
  <c r="AB1123" i="1"/>
  <c r="AB1124" i="1"/>
  <c r="AB1125" i="1"/>
  <c r="AB1126" i="1"/>
  <c r="AB1129" i="1"/>
  <c r="AB1132" i="1"/>
  <c r="AB1135" i="1"/>
  <c r="AB1138" i="1"/>
  <c r="AB1141" i="1"/>
  <c r="AB1142" i="1"/>
  <c r="AB1143" i="1"/>
  <c r="AB1144" i="1"/>
  <c r="AB1145" i="1"/>
  <c r="AB1146" i="1"/>
  <c r="AB1147" i="1"/>
  <c r="AB1148" i="1"/>
  <c r="AB1149" i="1"/>
  <c r="AB1150" i="1"/>
  <c r="AB1152" i="1"/>
  <c r="AB1153" i="1"/>
  <c r="AB1154" i="1"/>
  <c r="AB1155" i="1"/>
  <c r="AB1156" i="1"/>
  <c r="AB1158" i="1"/>
  <c r="AB1160" i="1"/>
  <c r="AB1161" i="1"/>
  <c r="AB1162" i="1"/>
  <c r="AB1163" i="1"/>
  <c r="AB1165" i="1"/>
  <c r="AB1167" i="1"/>
  <c r="AB1168" i="1"/>
  <c r="AB1169" i="1"/>
  <c r="AB1171" i="1"/>
  <c r="AB1172" i="1"/>
  <c r="AB1173" i="1"/>
  <c r="AB1174" i="1"/>
  <c r="AB1175" i="1"/>
  <c r="AB1176" i="1"/>
  <c r="AB1177" i="1"/>
  <c r="AB1178" i="1"/>
  <c r="AB1179" i="1"/>
  <c r="AB1180" i="1"/>
  <c r="AB1181" i="1"/>
  <c r="AB1182" i="1"/>
  <c r="AB1183" i="1"/>
  <c r="AB1184" i="1"/>
  <c r="AB1185" i="1"/>
  <c r="AB1186" i="1"/>
  <c r="AB1187" i="1"/>
  <c r="AB1188" i="1"/>
  <c r="AB1189" i="1"/>
  <c r="AB1190" i="1"/>
  <c r="AB1192" i="1"/>
  <c r="AB1194" i="1"/>
  <c r="AB1195" i="1"/>
  <c r="AB1196" i="1"/>
  <c r="AB1198" i="1"/>
  <c r="AB1199" i="1"/>
  <c r="AB1200" i="1"/>
  <c r="AB1201" i="1"/>
  <c r="AB1202" i="1"/>
  <c r="AB1204" i="1"/>
  <c r="AB1206" i="1"/>
  <c r="AB1208" i="1"/>
  <c r="AB1210" i="1"/>
  <c r="AB1212" i="1"/>
  <c r="AB1214" i="1"/>
  <c r="AB1215" i="1"/>
  <c r="AB1216" i="1"/>
  <c r="AB1217" i="1"/>
  <c r="AB1218" i="1"/>
  <c r="AB1220" i="1"/>
  <c r="AB1222" i="1"/>
  <c r="AB1224" i="1"/>
  <c r="AB1225" i="1"/>
  <c r="AB1226" i="1"/>
  <c r="AB1228" i="1"/>
  <c r="AB1229" i="1"/>
  <c r="AB1230" i="1"/>
  <c r="AB1232" i="1"/>
  <c r="AB1233" i="1"/>
  <c r="AB1234" i="1"/>
  <c r="AB1235" i="1"/>
  <c r="AB1236" i="1"/>
  <c r="AB1237" i="1"/>
  <c r="AB1238" i="1"/>
  <c r="AB1239" i="1"/>
  <c r="AB1240" i="1"/>
  <c r="AB1241" i="1"/>
  <c r="AB1242" i="1"/>
  <c r="AB1243" i="1"/>
  <c r="AB1244" i="1"/>
  <c r="AB1245" i="1"/>
  <c r="AB1246" i="1"/>
  <c r="AB1247" i="1"/>
  <c r="AB1248" i="1"/>
  <c r="AB1249" i="1"/>
  <c r="AB1250" i="1"/>
  <c r="AB1251" i="1"/>
  <c r="AB1252" i="1"/>
  <c r="AB1253" i="1"/>
  <c r="AB1254" i="1"/>
  <c r="AB1256" i="1"/>
  <c r="AB1257" i="1"/>
  <c r="AB1258" i="1"/>
  <c r="AB1259" i="1"/>
  <c r="AB1260" i="1"/>
  <c r="AB1261" i="1"/>
  <c r="AB1262" i="1"/>
  <c r="AB1263" i="1"/>
  <c r="AB1264" i="1"/>
  <c r="AB1265" i="1"/>
  <c r="AB1266" i="1"/>
  <c r="AB1267" i="1"/>
  <c r="AB1268" i="1"/>
  <c r="AB1269" i="1"/>
  <c r="AB1270" i="1"/>
  <c r="AB1271" i="1"/>
  <c r="AB1272" i="1"/>
  <c r="AB1273" i="1"/>
  <c r="AB1274" i="1"/>
  <c r="AB1275" i="1"/>
  <c r="AB1276" i="1"/>
  <c r="AB1277" i="1"/>
  <c r="AB1278" i="1"/>
  <c r="AB1279" i="1"/>
  <c r="AB1280" i="1"/>
  <c r="AB1281" i="1"/>
  <c r="AB1282" i="1"/>
  <c r="AB1283" i="1"/>
  <c r="AB1284" i="1"/>
  <c r="AB1286" i="1"/>
  <c r="AB1287" i="1"/>
  <c r="AB1288" i="1"/>
  <c r="AB1289" i="1"/>
  <c r="AB1290" i="1"/>
  <c r="AB1292" i="1"/>
  <c r="AB1293" i="1"/>
  <c r="AB1294" i="1"/>
  <c r="AB1295" i="1"/>
  <c r="AB1296" i="1"/>
  <c r="AB1297" i="1"/>
  <c r="AB1298" i="1"/>
  <c r="AB1299" i="1"/>
  <c r="AB1300" i="1"/>
  <c r="AB1301" i="1"/>
  <c r="AB1302" i="1"/>
  <c r="AB1303" i="1"/>
  <c r="AB1304" i="1"/>
  <c r="AB1305" i="1"/>
  <c r="AB1306" i="1"/>
  <c r="AB1307" i="1"/>
  <c r="AB1308" i="1"/>
  <c r="AB1309" i="1"/>
  <c r="AB1310" i="1"/>
  <c r="AB1311" i="1"/>
  <c r="AB1312" i="1"/>
  <c r="AB1313" i="1"/>
  <c r="AB1314" i="1"/>
  <c r="AB1315" i="1"/>
  <c r="AB1316" i="1"/>
  <c r="AB1317" i="1"/>
  <c r="AB1318" i="1"/>
  <c r="AB1319" i="1"/>
  <c r="AB1320" i="1"/>
  <c r="AB1321" i="1"/>
  <c r="AB1322" i="1"/>
  <c r="AB1323" i="1"/>
  <c r="AB1324" i="1"/>
  <c r="AB1325" i="1"/>
  <c r="AB1326" i="1"/>
  <c r="AB1327" i="1"/>
  <c r="AB1328" i="1"/>
  <c r="AB1329" i="1"/>
  <c r="AB1330" i="1"/>
  <c r="AB1331" i="1"/>
  <c r="AB1332" i="1"/>
  <c r="AB1333" i="1"/>
  <c r="AB1335" i="1"/>
  <c r="AB1336" i="1"/>
  <c r="AB1337" i="1"/>
  <c r="AB1338" i="1"/>
  <c r="AB1339" i="1"/>
  <c r="AB1340" i="1"/>
  <c r="AB1341" i="1"/>
  <c r="AB1343" i="1"/>
  <c r="AB1344" i="1"/>
  <c r="AB1345" i="1"/>
  <c r="AB1346" i="1"/>
  <c r="AB1347" i="1"/>
  <c r="AB1348" i="1"/>
  <c r="AB1349" i="1"/>
  <c r="AB1350" i="1"/>
  <c r="AB1351" i="1"/>
  <c r="AB1352" i="1"/>
  <c r="AB1353" i="1"/>
  <c r="AB1354" i="1"/>
  <c r="AB1355" i="1"/>
  <c r="AB1356" i="1"/>
  <c r="AB1357" i="1"/>
  <c r="AB1358" i="1"/>
  <c r="AB1359" i="1"/>
  <c r="AB1360" i="1"/>
  <c r="AB1361" i="1"/>
  <c r="AB1362" i="1"/>
  <c r="AB1363" i="1"/>
  <c r="AB1364" i="1"/>
  <c r="AB1365" i="1"/>
  <c r="AB1366" i="1"/>
  <c r="AB1367" i="1"/>
  <c r="AB1368" i="1"/>
  <c r="AB1369" i="1"/>
  <c r="AB1370" i="1"/>
  <c r="AB1371" i="1"/>
  <c r="AB1372" i="1"/>
  <c r="AB1373" i="1"/>
  <c r="AB1374" i="1"/>
  <c r="AB1375" i="1"/>
  <c r="AB1376" i="1"/>
  <c r="AB1377" i="1"/>
  <c r="AB1378" i="1"/>
  <c r="AB1379" i="1"/>
  <c r="AB1380" i="1"/>
  <c r="AB1381" i="1"/>
  <c r="AB1382" i="1"/>
  <c r="AB1383" i="1"/>
  <c r="AB1384" i="1"/>
  <c r="AB1385" i="1"/>
  <c r="AB1386" i="1"/>
  <c r="AB1387" i="1"/>
  <c r="AB1388" i="1"/>
  <c r="AB1389" i="1"/>
  <c r="AB1390" i="1"/>
  <c r="AB1391" i="1"/>
  <c r="AB1392" i="1"/>
  <c r="AB1393" i="1"/>
  <c r="AB1394" i="1"/>
  <c r="AB1395" i="1"/>
  <c r="AB1396" i="1"/>
  <c r="AB1397" i="1"/>
  <c r="AB1398" i="1"/>
  <c r="AB1399" i="1"/>
  <c r="AB1400" i="1"/>
  <c r="AB1401" i="1"/>
  <c r="AB1402" i="1"/>
  <c r="AB1403" i="1"/>
  <c r="AB1404" i="1"/>
  <c r="AB1405" i="1"/>
  <c r="AB1406" i="1"/>
  <c r="AB1407" i="1"/>
  <c r="AB1408" i="1"/>
  <c r="AB1409" i="1"/>
  <c r="AB1410" i="1"/>
  <c r="AB1411" i="1"/>
  <c r="AB1412" i="1"/>
  <c r="AB1414" i="1"/>
  <c r="AB1415" i="1"/>
  <c r="AB1416" i="1"/>
  <c r="AB1417" i="1"/>
  <c r="AB1418" i="1"/>
  <c r="AB1419" i="1"/>
  <c r="AB1420" i="1"/>
  <c r="AB1421" i="1"/>
  <c r="AB1422" i="1"/>
  <c r="AB1423" i="1"/>
  <c r="AB1424" i="1"/>
  <c r="AB1425" i="1"/>
  <c r="AB1426" i="1"/>
  <c r="AB1427" i="1"/>
  <c r="AB1428" i="1"/>
  <c r="AB1429" i="1"/>
  <c r="AB1430" i="1"/>
  <c r="AB1431" i="1"/>
  <c r="AB1432" i="1"/>
  <c r="AB1433" i="1"/>
  <c r="AB1434" i="1"/>
  <c r="AB1435" i="1"/>
  <c r="AB1436" i="1"/>
  <c r="AB1437" i="1"/>
  <c r="AB1438" i="1"/>
  <c r="AB1439" i="1"/>
  <c r="AB1440" i="1"/>
  <c r="AB1441" i="1"/>
  <c r="AB1443" i="1"/>
  <c r="AB1444" i="1"/>
  <c r="AB1445" i="1"/>
  <c r="AB1446" i="1"/>
  <c r="AB1447" i="1"/>
  <c r="AB1448" i="1"/>
  <c r="AB1449" i="1"/>
  <c r="AB1450" i="1"/>
  <c r="AB1451" i="1"/>
  <c r="AB1452" i="1"/>
  <c r="AB1453" i="1"/>
  <c r="AB1454" i="1"/>
  <c r="AB1455" i="1"/>
  <c r="AB1456" i="1"/>
  <c r="AB1457" i="1"/>
  <c r="AB1458" i="1"/>
  <c r="AB1459" i="1"/>
  <c r="AB1460" i="1"/>
  <c r="AB1461" i="1"/>
  <c r="AB1462" i="1"/>
  <c r="AB1463" i="1"/>
  <c r="AB1464" i="1"/>
  <c r="AB1465" i="1"/>
  <c r="AB1466" i="1"/>
  <c r="AB1467" i="1"/>
  <c r="AB1468" i="1"/>
  <c r="AB1469" i="1"/>
  <c r="AB1470" i="1"/>
  <c r="AB1471" i="1"/>
  <c r="AB1472" i="1"/>
  <c r="AB1473" i="1"/>
  <c r="AB1474" i="1"/>
  <c r="AB1475" i="1"/>
  <c r="AB1476" i="1"/>
  <c r="AB1477" i="1"/>
  <c r="AB1478" i="1"/>
  <c r="AB1479" i="1"/>
  <c r="AB1480" i="1"/>
  <c r="AB1481" i="1"/>
  <c r="AB1482" i="1"/>
  <c r="AB1483" i="1"/>
  <c r="AB1484" i="1"/>
  <c r="AB1485" i="1"/>
  <c r="AB1486" i="1"/>
  <c r="AB1487" i="1"/>
  <c r="AB1488" i="1"/>
  <c r="AB1489" i="1"/>
  <c r="AB1491" i="1"/>
  <c r="AB1492" i="1"/>
  <c r="AB1493" i="1"/>
  <c r="AB1494" i="1"/>
  <c r="AB1495" i="1"/>
  <c r="AB1496" i="1"/>
  <c r="AB1497" i="1"/>
  <c r="AB1498" i="1"/>
  <c r="AB1499" i="1"/>
  <c r="AB1500" i="1"/>
  <c r="AB1501" i="1"/>
  <c r="AB1502" i="1"/>
  <c r="AB1503" i="1"/>
  <c r="AB1504" i="1"/>
  <c r="AB1505" i="1"/>
  <c r="AB1506" i="1"/>
  <c r="AB1507" i="1"/>
  <c r="AB1508" i="1"/>
  <c r="AB1509" i="1"/>
  <c r="AB1510" i="1"/>
  <c r="AB1511" i="1"/>
  <c r="AB1512" i="1"/>
  <c r="AB1513" i="1"/>
  <c r="AB1514" i="1"/>
  <c r="AB1515" i="1"/>
  <c r="AB1516" i="1"/>
  <c r="AB1517" i="1"/>
  <c r="AB1518" i="1"/>
  <c r="AB1521" i="1"/>
  <c r="AB1522" i="1"/>
  <c r="AB1523" i="1"/>
  <c r="AB1524" i="1"/>
  <c r="AB1525" i="1"/>
  <c r="AB1526" i="1"/>
  <c r="AB1527" i="1"/>
  <c r="AB1528" i="1"/>
  <c r="AB1529" i="1"/>
  <c r="AB1530" i="1"/>
  <c r="AB1531" i="1"/>
  <c r="AB1532" i="1"/>
  <c r="AB1533" i="1"/>
  <c r="AB1534" i="1"/>
  <c r="AB1535" i="1"/>
  <c r="AB1536" i="1"/>
  <c r="AB1537" i="1"/>
  <c r="AB1538" i="1"/>
  <c r="AB1539" i="1"/>
  <c r="AB1540" i="1"/>
  <c r="AB1541" i="1"/>
  <c r="AB1542" i="1"/>
  <c r="AB1543" i="1"/>
  <c r="AB1544" i="1"/>
  <c r="AB1545" i="1"/>
  <c r="AB1546" i="1"/>
  <c r="AB1547" i="1"/>
  <c r="AB1548" i="1"/>
  <c r="AB1549" i="1"/>
  <c r="AB1550" i="1"/>
  <c r="AB1551" i="1"/>
  <c r="AB1552" i="1"/>
  <c r="AB1553" i="1"/>
  <c r="AB1554" i="1"/>
  <c r="AB1555" i="1"/>
  <c r="AB1556" i="1"/>
  <c r="AB1557" i="1"/>
  <c r="AB1558" i="1"/>
  <c r="AB1559" i="1"/>
  <c r="AB1560" i="1"/>
  <c r="AB1561" i="1"/>
  <c r="AB1562" i="1"/>
  <c r="AB1563" i="1"/>
  <c r="AB1565" i="1"/>
  <c r="AB1566" i="1"/>
  <c r="AB1567" i="1"/>
  <c r="AB1568" i="1"/>
  <c r="AB1569" i="1"/>
  <c r="AB1570" i="1"/>
  <c r="AB1571" i="1"/>
  <c r="AB1572" i="1"/>
  <c r="AB1573" i="1"/>
  <c r="AB1574" i="1"/>
  <c r="AB1575" i="1"/>
  <c r="AB1576" i="1"/>
  <c r="AB1577" i="1"/>
  <c r="AB1578" i="1"/>
  <c r="AB1579" i="1"/>
  <c r="AB1580" i="1"/>
  <c r="AB1581" i="1"/>
  <c r="AB1582" i="1"/>
  <c r="AB1583" i="1"/>
  <c r="AB1584" i="1"/>
  <c r="AB1585" i="1"/>
  <c r="AB1586" i="1"/>
  <c r="AB1587" i="1"/>
  <c r="AB1588" i="1"/>
  <c r="AB1589" i="1"/>
  <c r="AB1590" i="1"/>
  <c r="AB1591" i="1"/>
  <c r="AB1592" i="1"/>
  <c r="AB1593" i="1"/>
  <c r="AB1594" i="1"/>
  <c r="AB1595" i="1"/>
  <c r="AB1596" i="1"/>
  <c r="AB1597" i="1"/>
  <c r="AB1598" i="1"/>
  <c r="AB1599" i="1"/>
  <c r="AB1600" i="1"/>
  <c r="AB1601" i="1"/>
  <c r="AB1602" i="1"/>
  <c r="AB1603" i="1"/>
  <c r="AB1604" i="1"/>
  <c r="AB1605" i="1"/>
  <c r="AB1608" i="1"/>
  <c r="AB1609" i="1"/>
  <c r="AB1610" i="1"/>
  <c r="AB1611" i="1"/>
  <c r="AB1612" i="1"/>
  <c r="AB1613" i="1"/>
  <c r="AB1614" i="1"/>
  <c r="AB1615" i="1"/>
  <c r="AB1616" i="1"/>
  <c r="AB1617" i="1"/>
  <c r="AB1618" i="1"/>
  <c r="AB1619" i="1"/>
  <c r="AB1621" i="1"/>
  <c r="AB1623" i="1"/>
  <c r="AB1624" i="1"/>
  <c r="AB1625" i="1"/>
  <c r="AB1626" i="1"/>
  <c r="AB1627" i="1"/>
  <c r="AB1628" i="1"/>
  <c r="AB1629" i="1"/>
  <c r="AB1630" i="1"/>
  <c r="AB1631" i="1"/>
  <c r="AB1632" i="1"/>
  <c r="AB1633" i="1"/>
  <c r="AB1634" i="1"/>
  <c r="AB1635" i="1"/>
  <c r="AB1636" i="1"/>
  <c r="AB1637" i="1"/>
  <c r="AB1638" i="1"/>
  <c r="AB1639" i="1"/>
  <c r="AB1640" i="1"/>
  <c r="AB1641" i="1"/>
  <c r="AB1642" i="1"/>
  <c r="AB1643" i="1"/>
  <c r="AB1644" i="1"/>
  <c r="AB1645" i="1"/>
  <c r="AB1646" i="1"/>
  <c r="AB1647" i="1"/>
  <c r="AB1648" i="1"/>
  <c r="AB1649" i="1"/>
  <c r="AB1650" i="1"/>
  <c r="AB1651" i="1"/>
  <c r="AB1652" i="1"/>
  <c r="AB1653" i="1"/>
  <c r="AB1654" i="1"/>
  <c r="AB1655" i="1"/>
  <c r="AB1656" i="1"/>
  <c r="AB1657" i="1"/>
  <c r="AB1658" i="1"/>
  <c r="AB1659" i="1"/>
  <c r="AB1660" i="1"/>
  <c r="AB1661" i="1"/>
  <c r="AB1662" i="1"/>
  <c r="AB1663" i="1"/>
  <c r="AB1664" i="1"/>
  <c r="AB1665" i="1"/>
  <c r="AB1666" i="1"/>
  <c r="AB1667" i="1"/>
  <c r="AB1668" i="1"/>
  <c r="AB1669" i="1"/>
  <c r="AB1670" i="1"/>
  <c r="AB1671" i="1"/>
  <c r="AB1672" i="1"/>
  <c r="AB1673" i="1"/>
  <c r="AB1674" i="1"/>
  <c r="AB1675" i="1"/>
  <c r="AB1676" i="1"/>
  <c r="AB1678" i="1"/>
  <c r="AB1679" i="1"/>
  <c r="AB1680" i="1"/>
  <c r="AB1681" i="1"/>
  <c r="AB1682" i="1"/>
  <c r="AB1683" i="1"/>
  <c r="AB1684" i="1"/>
  <c r="AB1685" i="1"/>
  <c r="AB1686" i="1"/>
  <c r="AB1687" i="1"/>
  <c r="AB1688" i="1"/>
  <c r="AB1689" i="1"/>
  <c r="AB1690" i="1"/>
  <c r="AB1691" i="1"/>
  <c r="AB1692" i="1"/>
  <c r="AB1693" i="1"/>
  <c r="AB1694" i="1"/>
  <c r="AB1695" i="1"/>
  <c r="AB1696" i="1"/>
  <c r="AB1697" i="1"/>
  <c r="AB1698" i="1"/>
  <c r="AB1699" i="1"/>
  <c r="AB1700" i="1"/>
  <c r="AB1701" i="1"/>
  <c r="AB1702" i="1"/>
  <c r="AB1703" i="1"/>
  <c r="AB1704" i="1"/>
  <c r="AB1705" i="1"/>
  <c r="AB1706" i="1"/>
  <c r="AB1707" i="1"/>
  <c r="AB1708" i="1"/>
  <c r="AB1709" i="1"/>
  <c r="AB1710" i="1"/>
  <c r="AB1711" i="1"/>
  <c r="AB1712" i="1"/>
  <c r="AB1713" i="1"/>
  <c r="AB1714" i="1"/>
  <c r="AB1715" i="1"/>
  <c r="AB1716" i="1"/>
  <c r="AB1717" i="1"/>
  <c r="AB1718" i="1"/>
  <c r="AB1719" i="1"/>
  <c r="AB1720" i="1"/>
  <c r="AB1721" i="1"/>
  <c r="AB1722" i="1"/>
  <c r="AB1723" i="1"/>
  <c r="AB1724" i="1"/>
  <c r="AB1725" i="1"/>
  <c r="AB1726" i="1"/>
  <c r="AB1727" i="1"/>
  <c r="AB1728" i="1"/>
  <c r="AB1729" i="1"/>
  <c r="AB1730" i="1"/>
  <c r="AB1731" i="1"/>
  <c r="AB1732" i="1"/>
  <c r="AB1733" i="1"/>
  <c r="AB1734" i="1"/>
  <c r="AB1735" i="1"/>
  <c r="AB1736" i="1"/>
  <c r="AB1737" i="1"/>
  <c r="AB1738" i="1"/>
  <c r="AB1739" i="1"/>
  <c r="AB1740" i="1"/>
  <c r="AB1742" i="1"/>
  <c r="AB1745" i="1"/>
  <c r="AB1746" i="1"/>
  <c r="AB1747" i="1"/>
  <c r="AB1748" i="1"/>
  <c r="AB1749" i="1"/>
  <c r="AB1750" i="1"/>
  <c r="AB1751" i="1"/>
  <c r="AB779" i="1"/>
  <c r="AA780" i="1"/>
  <c r="AA781" i="1"/>
  <c r="AA782" i="1"/>
  <c r="AA783" i="1"/>
  <c r="AA784" i="1"/>
  <c r="AA785" i="1"/>
  <c r="AA786" i="1"/>
  <c r="AA787" i="1"/>
  <c r="AA788" i="1"/>
  <c r="AA790" i="1"/>
  <c r="AA791" i="1"/>
  <c r="AA792" i="1"/>
  <c r="AA793" i="1"/>
  <c r="AA794" i="1"/>
  <c r="AA795" i="1"/>
  <c r="AA796" i="1"/>
  <c r="AA797" i="1"/>
  <c r="AA798"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40" i="1"/>
  <c r="AA841" i="1"/>
  <c r="AA842" i="1"/>
  <c r="AA843" i="1"/>
  <c r="AA844" i="1"/>
  <c r="AA845" i="1"/>
  <c r="AA846" i="1"/>
  <c r="AA847" i="1"/>
  <c r="AA848" i="1"/>
  <c r="AA849" i="1"/>
  <c r="AA850" i="1"/>
  <c r="AA851" i="1"/>
  <c r="AA852" i="1"/>
  <c r="AA853" i="1"/>
  <c r="AA854" i="1"/>
  <c r="AA855" i="1"/>
  <c r="AA856" i="1"/>
  <c r="AA858" i="1"/>
  <c r="AA859" i="1"/>
  <c r="AA860" i="1"/>
  <c r="AA861" i="1"/>
  <c r="AA862" i="1"/>
  <c r="AA863" i="1"/>
  <c r="AA864" i="1"/>
  <c r="AA865" i="1"/>
  <c r="AA866" i="1"/>
  <c r="AA868" i="1"/>
  <c r="AA869" i="1"/>
  <c r="AA870" i="1"/>
  <c r="AA871" i="1"/>
  <c r="AA872" i="1"/>
  <c r="AA873" i="1"/>
  <c r="AA875" i="1"/>
  <c r="AA876" i="1"/>
  <c r="AA877" i="1"/>
  <c r="AA878" i="1"/>
  <c r="AA879" i="1"/>
  <c r="AA880" i="1"/>
  <c r="AA881" i="1"/>
  <c r="AA882" i="1"/>
  <c r="AA883" i="1"/>
  <c r="AA884" i="1"/>
  <c r="AA886" i="1"/>
  <c r="AA887" i="1"/>
  <c r="AA888" i="1"/>
  <c r="AA890" i="1"/>
  <c r="AA891" i="1"/>
  <c r="AA892" i="1"/>
  <c r="AA893" i="1"/>
  <c r="AA894" i="1"/>
  <c r="AA895" i="1"/>
  <c r="AA896" i="1"/>
  <c r="AA897" i="1"/>
  <c r="AA898" i="1"/>
  <c r="AA899" i="1"/>
  <c r="AA900" i="1"/>
  <c r="AA901" i="1"/>
  <c r="AA902" i="1"/>
  <c r="AA903" i="1"/>
  <c r="AA904" i="1"/>
  <c r="AA905" i="1"/>
  <c r="AA906" i="1"/>
  <c r="AA907" i="1"/>
  <c r="AA908" i="1"/>
  <c r="AA909" i="1"/>
  <c r="AA910" i="1"/>
  <c r="AA912" i="1"/>
  <c r="AA913" i="1"/>
  <c r="AA914" i="1"/>
  <c r="AA915" i="1"/>
  <c r="AA917" i="1"/>
  <c r="AA918" i="1"/>
  <c r="AA919" i="1"/>
  <c r="AA920" i="1"/>
  <c r="AA921" i="1"/>
  <c r="AA922" i="1"/>
  <c r="AA923" i="1"/>
  <c r="AA924" i="1"/>
  <c r="AA925" i="1"/>
  <c r="AA926" i="1"/>
  <c r="AA927" i="1"/>
  <c r="AA928" i="1"/>
  <c r="AA929" i="1"/>
  <c r="AA931" i="1"/>
  <c r="AA933" i="1"/>
  <c r="AA935" i="1"/>
  <c r="AA937" i="1"/>
  <c r="AA938" i="1"/>
  <c r="AA939" i="1"/>
  <c r="AA940" i="1"/>
  <c r="AA941" i="1"/>
  <c r="AA942" i="1"/>
  <c r="AA943" i="1"/>
  <c r="AA945" i="1"/>
  <c r="AA946" i="1"/>
  <c r="AA947" i="1"/>
  <c r="AA949" i="1"/>
  <c r="AA950" i="1"/>
  <c r="AA951" i="1"/>
  <c r="AA952" i="1"/>
  <c r="AA955" i="1"/>
  <c r="AA956" i="1"/>
  <c r="AA957" i="1"/>
  <c r="AA958" i="1"/>
  <c r="AA959" i="1"/>
  <c r="AA960" i="1"/>
  <c r="AA961" i="1"/>
  <c r="AA962"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2" i="1"/>
  <c r="AA1013" i="1"/>
  <c r="AA1014" i="1"/>
  <c r="AA1015" i="1"/>
  <c r="AA1016" i="1"/>
  <c r="AA1017" i="1"/>
  <c r="AA1018" i="1"/>
  <c r="AA1019" i="1"/>
  <c r="AA1020" i="1"/>
  <c r="AA1021" i="1"/>
  <c r="AA1022" i="1"/>
  <c r="AA1023" i="1"/>
  <c r="AA1024" i="1"/>
  <c r="AA1025" i="1"/>
  <c r="AA1026" i="1"/>
  <c r="AA1027"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2" i="1"/>
  <c r="AA1065" i="1"/>
  <c r="AA1066" i="1"/>
  <c r="AA1069" i="1"/>
  <c r="AA1070" i="1"/>
  <c r="AA1071" i="1"/>
  <c r="AA1074" i="1"/>
  <c r="AA1075" i="1"/>
  <c r="AA1078" i="1"/>
  <c r="AA1079" i="1"/>
  <c r="AA1082" i="1"/>
  <c r="AA1083" i="1"/>
  <c r="AA1084" i="1"/>
  <c r="AA1085" i="1"/>
  <c r="AA1088" i="1"/>
  <c r="AA1089" i="1"/>
  <c r="AA1090" i="1"/>
  <c r="AA1093" i="1"/>
  <c r="AA1096" i="1"/>
  <c r="AA1097" i="1"/>
  <c r="AA1098" i="1"/>
  <c r="AA1099" i="1"/>
  <c r="AA1100" i="1"/>
  <c r="AA1103" i="1"/>
  <c r="AA1106" i="1"/>
  <c r="AA1109" i="1"/>
  <c r="AA1112" i="1"/>
  <c r="AA1115" i="1"/>
  <c r="AA1118" i="1"/>
  <c r="AA1119" i="1"/>
  <c r="AA1120" i="1"/>
  <c r="AA1121" i="1"/>
  <c r="AA1122" i="1"/>
  <c r="AA1123" i="1"/>
  <c r="AA1124" i="1"/>
  <c r="AA1125" i="1"/>
  <c r="AA1126" i="1"/>
  <c r="AA1129" i="1"/>
  <c r="AA1132" i="1"/>
  <c r="AA1135" i="1"/>
  <c r="AA1138" i="1"/>
  <c r="AA1141" i="1"/>
  <c r="AA1142" i="1"/>
  <c r="AA1143" i="1"/>
  <c r="AA1144" i="1"/>
  <c r="AA1145" i="1"/>
  <c r="AA1146" i="1"/>
  <c r="AA1147" i="1"/>
  <c r="AA1148" i="1"/>
  <c r="AA1149" i="1"/>
  <c r="AA1150" i="1"/>
  <c r="AA1152" i="1"/>
  <c r="AA1153" i="1"/>
  <c r="AA1154" i="1"/>
  <c r="AA1155" i="1"/>
  <c r="AA1156" i="1"/>
  <c r="AA1158" i="1"/>
  <c r="AA1160" i="1"/>
  <c r="AA1161" i="1"/>
  <c r="AA1162" i="1"/>
  <c r="AA1163" i="1"/>
  <c r="AA1165" i="1"/>
  <c r="AA1167" i="1"/>
  <c r="AA1168" i="1"/>
  <c r="AA1169" i="1"/>
  <c r="AA1171" i="1"/>
  <c r="AA1172" i="1"/>
  <c r="AA1173" i="1"/>
  <c r="AA1174" i="1"/>
  <c r="AA1175" i="1"/>
  <c r="AA1176" i="1"/>
  <c r="AA1177" i="1"/>
  <c r="AA1178" i="1"/>
  <c r="AA1179" i="1"/>
  <c r="AA1180" i="1"/>
  <c r="AA1181" i="1"/>
  <c r="AA1182" i="1"/>
  <c r="AA1183" i="1"/>
  <c r="AA1184" i="1"/>
  <c r="AA1185" i="1"/>
  <c r="AA1186" i="1"/>
  <c r="AA1187" i="1"/>
  <c r="AA1188" i="1"/>
  <c r="AA1189" i="1"/>
  <c r="AA1190" i="1"/>
  <c r="AA1192" i="1"/>
  <c r="AA1194" i="1"/>
  <c r="AA1195" i="1"/>
  <c r="AA1196" i="1"/>
  <c r="AA1198" i="1"/>
  <c r="AA1199" i="1"/>
  <c r="AA1200" i="1"/>
  <c r="AA1201" i="1"/>
  <c r="AA1202" i="1"/>
  <c r="AA1204" i="1"/>
  <c r="AA1206" i="1"/>
  <c r="AA1208" i="1"/>
  <c r="AA1210" i="1"/>
  <c r="AA1212" i="1"/>
  <c r="AA1214" i="1"/>
  <c r="AA1215" i="1"/>
  <c r="AA1216" i="1"/>
  <c r="AA1217" i="1"/>
  <c r="AA1218" i="1"/>
  <c r="AA1220" i="1"/>
  <c r="AA1222" i="1"/>
  <c r="AA1224" i="1"/>
  <c r="AA1225" i="1"/>
  <c r="AA1226" i="1"/>
  <c r="AA1228" i="1"/>
  <c r="AA1229" i="1"/>
  <c r="AA1230"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6" i="1"/>
  <c r="AA1287" i="1"/>
  <c r="AA1288" i="1"/>
  <c r="AA1289" i="1"/>
  <c r="AA1290"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4" i="1"/>
  <c r="AA1445" i="1"/>
  <c r="AA1446" i="1"/>
  <c r="AA1447" i="1"/>
  <c r="AA1448" i="1"/>
  <c r="AA1449" i="1"/>
  <c r="AA1450" i="1"/>
  <c r="AA1452" i="1"/>
  <c r="AA1453" i="1"/>
  <c r="AA1454" i="1"/>
  <c r="AA1455" i="1"/>
  <c r="AA1456" i="1"/>
  <c r="AA1457" i="1"/>
  <c r="AA1458"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7" i="1"/>
  <c r="AA1498" i="1"/>
  <c r="AA1499" i="1"/>
  <c r="AA1500" i="1"/>
  <c r="AA1501" i="1"/>
  <c r="AA1502" i="1"/>
  <c r="AA1503" i="1"/>
  <c r="AA1504" i="1"/>
  <c r="AA1505" i="1"/>
  <c r="AA1506" i="1"/>
  <c r="AA1507" i="1"/>
  <c r="AA1508" i="1"/>
  <c r="AA1510" i="1"/>
  <c r="AA1511" i="1"/>
  <c r="AA1512" i="1"/>
  <c r="AA1513" i="1"/>
  <c r="AA1514" i="1"/>
  <c r="AA1515" i="1"/>
  <c r="AA1516" i="1"/>
  <c r="AA1517" i="1"/>
  <c r="AA1518"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8" i="1"/>
  <c r="AA1609" i="1"/>
  <c r="AA1610" i="1"/>
  <c r="AA1611" i="1"/>
  <c r="AA1612" i="1"/>
  <c r="AA1613" i="1"/>
  <c r="AA1614" i="1"/>
  <c r="AA1615" i="1"/>
  <c r="AA1616" i="1"/>
  <c r="AA1617" i="1"/>
  <c r="AA1618" i="1"/>
  <c r="AA1619" i="1"/>
  <c r="AA1621"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5" i="1"/>
  <c r="AA1666" i="1"/>
  <c r="AA1667" i="1"/>
  <c r="AA1668" i="1"/>
  <c r="AA1669" i="1"/>
  <c r="AA1670" i="1"/>
  <c r="AA1671" i="1"/>
  <c r="AA1672" i="1"/>
  <c r="AA1673" i="1"/>
  <c r="AA1674" i="1"/>
  <c r="AA1675" i="1"/>
  <c r="AA1676"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7" i="1"/>
  <c r="AA1728" i="1"/>
  <c r="AA1729" i="1"/>
  <c r="AA1730" i="1"/>
  <c r="AA1732" i="1"/>
  <c r="AA1734" i="1"/>
  <c r="AA1735" i="1"/>
  <c r="AA1736" i="1"/>
  <c r="AA1737" i="1"/>
  <c r="AA1738" i="1"/>
  <c r="AA1739" i="1"/>
  <c r="AA1740" i="1"/>
  <c r="AA1742" i="1"/>
  <c r="AA1745" i="1"/>
  <c r="AA1746" i="1"/>
  <c r="AA1747" i="1"/>
  <c r="AA1748" i="1"/>
  <c r="AA1749" i="1"/>
  <c r="AA1750" i="1"/>
  <c r="AA1751" i="1"/>
  <c r="S1507" i="1"/>
  <c r="S1732" i="1"/>
  <c r="S1438" i="1"/>
  <c r="S1476" i="1"/>
  <c r="S1510" i="1"/>
  <c r="S1509" i="1"/>
  <c r="S1496" i="1"/>
  <c r="S1474" i="1"/>
  <c r="S1547" i="1"/>
  <c r="S1505" i="1"/>
  <c r="S1731" i="1"/>
  <c r="S1506" i="1"/>
  <c r="S1586" i="1"/>
  <c r="S1482" i="1"/>
  <c r="S1729" i="1"/>
  <c r="S1728" i="1"/>
  <c r="S1727" i="1"/>
  <c r="S1416" i="1"/>
  <c r="S1706" i="1"/>
  <c r="S1705" i="1"/>
  <c r="S1704" i="1"/>
  <c r="S1703" i="1"/>
  <c r="S1702" i="1"/>
  <c r="S1699" i="1"/>
  <c r="S1700" i="1"/>
  <c r="S1701" i="1"/>
  <c r="S1698" i="1"/>
  <c r="S1697" i="1"/>
  <c r="S1696" i="1"/>
  <c r="S1695" i="1"/>
  <c r="S1434" i="1"/>
  <c r="E34" i="2" l="1"/>
  <c r="Z1788" i="1"/>
  <c r="E1788" i="1" s="1"/>
  <c r="E3008" i="1"/>
  <c r="E3040" i="1"/>
  <c r="E3037" i="1"/>
  <c r="Z2162" i="1"/>
  <c r="E2162" i="1" s="1"/>
  <c r="D281" i="17"/>
  <c r="D535" i="17" s="1"/>
  <c r="C537" i="17" s="1"/>
  <c r="E290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fauziah amalia</author>
    <author>Indhirani Khrisna Dewi</author>
  </authors>
  <commentList>
    <comment ref="S16" authorId="0" shapeId="0" xr:uid="{00000000-0006-0000-0900-000001000000}">
      <text>
        <r>
          <rPr>
            <b/>
            <sz val="9"/>
            <rFont val="Times New Roman"/>
            <family val="1"/>
          </rPr>
          <t>fauziah amalia:</t>
        </r>
        <r>
          <rPr>
            <sz val="9"/>
            <rFont val="Times New Roman"/>
            <family val="1"/>
          </rPr>
          <t xml:space="preserve">
Biaya Interkoneksi Selama 2 Bulan</t>
        </r>
      </text>
    </comment>
    <comment ref="AE268" authorId="0" shapeId="0" xr:uid="{00000000-0006-0000-0900-000002000000}">
      <text>
        <r>
          <rPr>
            <b/>
            <sz val="9"/>
            <rFont val="Times New Roman"/>
            <family val="1"/>
          </rPr>
          <t>fauziah amalia:</t>
        </r>
        <r>
          <rPr>
            <sz val="9"/>
            <rFont val="Times New Roman"/>
            <family val="1"/>
          </rPr>
          <t xml:space="preserve">
PO Date 2021</t>
        </r>
      </text>
    </comment>
    <comment ref="W1446" authorId="1" shapeId="0" xr:uid="{00000000-0006-0000-0900-000003000000}">
      <text>
        <r>
          <rPr>
            <b/>
            <sz val="9"/>
            <color indexed="81"/>
            <rFont val="Tahoma"/>
            <family val="2"/>
          </rPr>
          <t>Indhirani Khrisna Dewi:</t>
        </r>
        <r>
          <rPr>
            <sz val="9"/>
            <color indexed="81"/>
            <rFont val="Tahoma"/>
            <family val="2"/>
          </rPr>
          <t xml:space="preserve">
16 April 2021</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WorksheetConnection_Rekap Collo x Interkoneksi 2024 V2 ROM 22 Nov(1).xlsx!Table1" type="102" refreshedVersion="8" minRefreshableVersion="5">
    <extLst>
      <ext xmlns:x15="http://schemas.microsoft.com/office/spreadsheetml/2010/11/main" uri="{DE250136-89BD-433C-8126-D09CA5730AF9}">
        <x15:connection id="Table1" autoDelete="1">
          <x15:rangePr sourceName="_xlcn.WorksheetConnection_RekapColloxInterkoneksi2024V2ROM22Nov1.xlsxTable1"/>
        </x15:connection>
      </ext>
    </extLst>
  </connection>
</connections>
</file>

<file path=xl/sharedStrings.xml><?xml version="1.0" encoding="utf-8"?>
<sst xmlns="http://schemas.openxmlformats.org/spreadsheetml/2006/main" count="41122" uniqueCount="13030">
  <si>
    <t>No.</t>
  </si>
  <si>
    <t>Datetime</t>
  </si>
  <si>
    <t xml:space="preserve">By </t>
  </si>
  <si>
    <t xml:space="preserve">Description </t>
  </si>
  <si>
    <t>ROM</t>
  </si>
  <si>
    <t>1st created , ambil bahan dari App Jakman</t>
  </si>
  <si>
    <t>Revisi Name Pengelola DCI dan Status Keterangan</t>
  </si>
  <si>
    <t>Penambahan Kolom BuLan Habis Kontrak dan Tahun Habis Kontrak</t>
  </si>
  <si>
    <t>Penambahan Data Rekapan Revenue Sharing</t>
  </si>
  <si>
    <t>SYA</t>
  </si>
  <si>
    <t>Hapus Data PO 4500019515 Dikarenakan PO Sudah Upgrade ke PO 4500020849</t>
  </si>
  <si>
    <t xml:space="preserve">ROM </t>
  </si>
  <si>
    <t>Merubah Isi Penjelasan Sheet Klausul</t>
  </si>
  <si>
    <t>Menambahkan Sheet Resume /Pivot</t>
  </si>
  <si>
    <t>Penambahan Rekap Interkoneksi PO 4500022503, 4500022240, 4500022193, 4500022847</t>
  </si>
  <si>
    <t>Penambahan KOLOM LIST PIC Perijinan dan Penambahan Biaya Deposit</t>
  </si>
  <si>
    <t>Status</t>
  </si>
  <si>
    <t>ACTIVE</t>
  </si>
  <si>
    <t>Jenis  Sewa</t>
  </si>
  <si>
    <t>(Multiple Items)</t>
  </si>
  <si>
    <t>Start</t>
  </si>
  <si>
    <t>Habis Kontrak
(Bulan)</t>
  </si>
  <si>
    <t>(All)</t>
  </si>
  <si>
    <t>Habis Kontrak
(Tahun)</t>
  </si>
  <si>
    <t>Pengelola</t>
  </si>
  <si>
    <t>NO SO</t>
  </si>
  <si>
    <t>Rev Sewa (1 Thn)</t>
  </si>
  <si>
    <t>Biaya Sewa (1 Thn)
(Rp)</t>
  </si>
  <si>
    <t xml:space="preserve">Keterangan </t>
  </si>
  <si>
    <t>Nilai (Rp)</t>
  </si>
  <si>
    <t>Agung Sedayu Propertindo / Badan Pengelola Harco Mangga Dua</t>
  </si>
  <si>
    <t>A831205000116</t>
  </si>
  <si>
    <t xml:space="preserve">Revenue </t>
  </si>
  <si>
    <t>PA/ACT/2112/0932/TER/ AR/ACT/2112/37414 / 01000171880</t>
  </si>
  <si>
    <t xml:space="preserve">Biaya Sewa </t>
  </si>
  <si>
    <t xml:space="preserve">Alfa Gold Land Realty </t>
  </si>
  <si>
    <t>PA/ACT/2107/0553</t>
  </si>
  <si>
    <t>Aplikanusa Lintasarta</t>
  </si>
  <si>
    <t>A111202004320</t>
  </si>
  <si>
    <t>A821205000898</t>
  </si>
  <si>
    <t>A821303000708</t>
  </si>
  <si>
    <t xml:space="preserve">Aplikanusa Lintasarta </t>
  </si>
  <si>
    <t>PA/ACT/1904/2085</t>
  </si>
  <si>
    <t>R111202000635
R111202000650</t>
  </si>
  <si>
    <t>Asosiasi penyelenggara Jasa Internet Indonesia (APJII)</t>
  </si>
  <si>
    <t>ACT/1704/0442
 SOP/1611/0072
 ACT/1703/1365
 SOP/1701/0081
 SOP/1603/0065
 SOP/1612/0070
 ACT/1703/1366
 ACT/1702/0108
 ACT/1610/0703
 ACT/1611/0919
 ACT/1609/0163
 ACT/1608/0101
 ACT/1610/0796
 ACT/1610/0369
 ACT/1610/0840
 DOW/1610/0006
 ACT/1610/0793
 ACT/1610/0795
 ACT/1609/0710
 ACT/1610/0019
 ACT/1608/0100
 ACT/1609/0197
 ACT/1609/0136
 ACT/1608/0485
 MIG/1604/0045
 ACT/1608/0007
 ACT/1607/0239
 ACT/1609/0017
 SOP/1608/0056
 SOP/1602/0020
 ACT/1609/0137
 ACT/1609/0138
 ACT/1608/0243
 ACT/1608/0676
 ACT/1606/0359
 ACT/1606/0360
 ACT/1606/0324
 ACT/1606/0145
 ACT/1605/0528
 SOP/1606/0054
 ACT/1604/0026
 ACT/1604/0089
 ACT/1601/0335
 SOP/1601/0046
 SOP/1511/0059
 ACT/1504/0127
 SOP/1511/0008
 ACT/1503/0608
 ACT/1509/0051
 ACT/1509/0234
 ACT/1509/0235
 ACT/1508/0052
 ACT/1504/0186
 ACT/1506/0292
 SOP/1505/0097
 ACT/1503/0303
 ACT/1412/0547
 ACT/1409/0507
 ACT/1404/0026
 ACT/1404/0863
 ACT/1310/0140
 ACT/1310/0146
 ACT/1309/0104</t>
  </si>
  <si>
    <t>PA/ACT/1812/1562/TER 
 PA/ACT/1812/1561/TER</t>
  </si>
  <si>
    <t>PA/ACT/2008/2588</t>
  </si>
  <si>
    <t>(blank)</t>
  </si>
  <si>
    <t xml:space="preserve">Aston Inti Makmur </t>
  </si>
  <si>
    <t>PA/RLK/1902/0057
 PA/ACT/1812/0745</t>
  </si>
  <si>
    <t>Badan Kerjasama Graha Pratama</t>
  </si>
  <si>
    <t>A111303002787</t>
  </si>
  <si>
    <t xml:space="preserve">Bali Towerindo Sentra </t>
  </si>
  <si>
    <t>PA/RLK/2101/0116/TER</t>
  </si>
  <si>
    <t xml:space="preserve">Biru Hijau </t>
  </si>
  <si>
    <t>PA/ACT/2205/1858/TER</t>
  </si>
  <si>
    <t xml:space="preserve">Cablenet Fiber Data </t>
  </si>
  <si>
    <t>A811202000064</t>
  </si>
  <si>
    <t xml:space="preserve">Caturmas Kelola Sukses </t>
  </si>
  <si>
    <t>PA/ACT/1811/3227</t>
  </si>
  <si>
    <t xml:space="preserve">CBN Nusantara </t>
  </si>
  <si>
    <t>1000332707
 111204000122
 111202017819</t>
  </si>
  <si>
    <t>A821202001374</t>
  </si>
  <si>
    <t>PA/ACT/1908/0561</t>
  </si>
  <si>
    <t>PA/ACT/2002/0170</t>
  </si>
  <si>
    <t>PA/ACT/2207/0291
PA/ACT/2206/20542</t>
  </si>
  <si>
    <t xml:space="preserve">PA/ACT/2301/0482 </t>
  </si>
  <si>
    <t>R1112050003083</t>
  </si>
  <si>
    <t>Centrin Online Prima</t>
  </si>
  <si>
    <t>PA/UPG/2001/0203</t>
  </si>
  <si>
    <t>DCI Indonesia</t>
  </si>
  <si>
    <t>110130307988/04000187683</t>
  </si>
  <si>
    <t>230120200210</t>
  </si>
  <si>
    <t>A121202000211</t>
  </si>
  <si>
    <t>A821202000416 / 8223082400001</t>
  </si>
  <si>
    <t>A821205000161</t>
  </si>
  <si>
    <t>AL/1806/4710</t>
  </si>
  <si>
    <t>AL/2103/12970/ 01000022279</t>
  </si>
  <si>
    <t>AR/ACT/1810/18452</t>
  </si>
  <si>
    <t>ICON-00/ACT/1605/0716
 ICON-00/ACT/1605/0717
 ICON-00/ACT/1605/0718
 ICON-00/ACT/1605/0720
 ICON-00/ACT/1605/0719</t>
  </si>
  <si>
    <t>ICON-00/SBC/1611/0056</t>
  </si>
  <si>
    <t>PA/ACT/1812/0006</t>
  </si>
  <si>
    <t>PA/ACT/1912/2626
 PA/ACT/1912/2625</t>
  </si>
  <si>
    <t>PA/ACT/2003/0541</t>
  </si>
  <si>
    <t>PA/ACT/2104/2391</t>
  </si>
  <si>
    <t>PA/ACT/2105/1239</t>
  </si>
  <si>
    <t>PA/ACT/2112/3940/ORI</t>
  </si>
  <si>
    <t>PA/ACT/2201/1485/TER
 PA/ACT/2201/1486/TER</t>
  </si>
  <si>
    <t>PA/ACT/2202/0176/TER</t>
  </si>
  <si>
    <t>PA/ACT/2204/3848</t>
  </si>
  <si>
    <t>PA/RLK/1803/0020/TER</t>
  </si>
  <si>
    <t>PA/RLK/2302/0092/TER  </t>
  </si>
  <si>
    <t xml:space="preserve">DCI Indonesia </t>
  </si>
  <si>
    <t>A111303002994, A111202004236 dan A111205003981</t>
  </si>
  <si>
    <t>A211205000271</t>
  </si>
  <si>
    <t>A811202000149</t>
  </si>
  <si>
    <t>Dinamika Raya Prima</t>
  </si>
  <si>
    <t>ICON-00/SBC/1706/0035 
 ICON-00/SBC/1704/0227</t>
  </si>
  <si>
    <t>PA/ACT/1904/0253 - 110120208179 / 01000051525</t>
  </si>
  <si>
    <t>PA/ACT/2201/1333</t>
  </si>
  <si>
    <t>PA/ACT/2302/10715</t>
  </si>
  <si>
    <t xml:space="preserve">PA/RLK/2303/0017
PA/RLK/2303/0016
PA/ACT/2112/3139 </t>
  </si>
  <si>
    <t xml:space="preserve">Duta Pertiwi </t>
  </si>
  <si>
    <t>AL/2203/53173</t>
  </si>
  <si>
    <t>PA/ACT/1909/3860/TER</t>
  </si>
  <si>
    <t>PA/ACT/2112/1064/TER</t>
  </si>
  <si>
    <t>PA/ACT/2206/16525</t>
  </si>
  <si>
    <t xml:space="preserve">Graha Niaga Tata Utama </t>
  </si>
  <si>
    <t>ICON-00/ACT/1709/1154
 ICON-00/ACT/1302/0085</t>
  </si>
  <si>
    <t xml:space="preserve">Graha Pena Jawa Pos </t>
  </si>
  <si>
    <t>ICON-00/ACT/1501/0690</t>
  </si>
  <si>
    <t xml:space="preserve">Grya Catur Abadi </t>
  </si>
  <si>
    <t>PA/ACT/2012/0457/TER</t>
  </si>
  <si>
    <t xml:space="preserve">IDC (Internetindo Data Centra Indonesia) </t>
  </si>
  <si>
    <t>-</t>
  </si>
  <si>
    <t xml:space="preserve">Indo Internet  </t>
  </si>
  <si>
    <t>AL/2006/19405</t>
  </si>
  <si>
    <t>PA/ACT/1803/0184</t>
  </si>
  <si>
    <t xml:space="preserve">Indointernet </t>
  </si>
  <si>
    <t xml:space="preserve"> ICON-00/ACT/1603/0285 
 PA/ACT/2206/15945 </t>
  </si>
  <si>
    <t>PA/ACT/1912/0025</t>
  </si>
  <si>
    <t>PA/ACT/2003/0542</t>
  </si>
  <si>
    <t>PA/ACT/2302/10774</t>
  </si>
  <si>
    <t>PA/ACT/2302/8913</t>
  </si>
  <si>
    <t>Indonesia Net Teknologi</t>
  </si>
  <si>
    <t>A821303001181</t>
  </si>
  <si>
    <t>Infra Yes Solusindo</t>
  </si>
  <si>
    <t>PA/ACT/2112/2385</t>
  </si>
  <si>
    <t xml:space="preserve">Jakarta Industrial Estate Pulogadung (Persero) (JIEP) </t>
  </si>
  <si>
    <t>A111303002393</t>
  </si>
  <si>
    <t>A831205000620</t>
  </si>
  <si>
    <t>PA/ACT/2201/0883</t>
  </si>
  <si>
    <t>PA/ACT/2202/2487</t>
  </si>
  <si>
    <t>PA/ACT/2211/2168</t>
  </si>
  <si>
    <t>PA/RLK/2103/0017</t>
  </si>
  <si>
    <t>PA/UPG/2008/0151/TER</t>
  </si>
  <si>
    <t>PA/UPG/2011/0101</t>
  </si>
  <si>
    <t>PA/UPG/2101/0166/TER</t>
  </si>
  <si>
    <t>PA/UPG/2209/0055</t>
  </si>
  <si>
    <t xml:space="preserve">Jakarta Infrastruktur Propertindo </t>
  </si>
  <si>
    <t>PA/UPG/1805/0139
PA/UPG/1812/0208/TER
PA/UPG/2106/0218/TER
PA/UPG/2201/0518/TER
PA/ACT/2003/1278/TER
PA/UPG/2102/0554/TER
PA/ACT/2208/0577/TER
PA/ACT/2005/1005/TER
PA/UPG/1909/0085/TER
PA/DOW/2305/0003/ORI
AL/2205/81855
AL/2102/7935
AL/2102/9240
PA/ACT/2004/2366
PA/ACT/2004/2255
ICON-00/SBC/1810/0080
PA/ACT/2004/2253
AL/2201/2929
PA/ACT/1907/2021
PA/ACT/1909/0904
AL/2007/024868
PA/ACT/2011/0790
PA/ACT/2006/0082/TER
AL/2210/326231
SAL/2007/025595</t>
  </si>
  <si>
    <t>SPA/ACT/2109/064460
SPA/ACT/2111/107746
SPA/ACT/2201/152793
SPA/ACT/2202/178953
PA/ACT/2102/2627
PA/ACT/2105/0325</t>
  </si>
  <si>
    <t xml:space="preserve">Jaya Land </t>
  </si>
  <si>
    <t>A11130300013</t>
  </si>
  <si>
    <t>ICON-00/ACT/1706/0323</t>
  </si>
  <si>
    <t xml:space="preserve">Jekael Invesco </t>
  </si>
  <si>
    <t>A911303000010</t>
  </si>
  <si>
    <t>PA/ACT/1906/1465</t>
  </si>
  <si>
    <t>PA/ACT/1906/1466</t>
  </si>
  <si>
    <t>PA/ACT/2212/1390</t>
  </si>
  <si>
    <t xml:space="preserve">Karyagraha Nusantara </t>
  </si>
  <si>
    <t>110120206768 / 
0990000320470333</t>
  </si>
  <si>
    <t>PA/RLK/2102/0024</t>
  </si>
  <si>
    <t>Kawasan Lintas Biru Digital</t>
  </si>
  <si>
    <t>A821202000185</t>
  </si>
  <si>
    <t xml:space="preserve">A821303001179 </t>
  </si>
  <si>
    <t>R111202004860</t>
  </si>
  <si>
    <t>R111202004861</t>
  </si>
  <si>
    <t xml:space="preserve">R111303003485 </t>
  </si>
  <si>
    <t xml:space="preserve">Kawasan Lintas Biru Digital </t>
  </si>
  <si>
    <t xml:space="preserve">
A821202000185
</t>
  </si>
  <si>
    <t>A111202004487</t>
  </si>
  <si>
    <t>A121202000015</t>
  </si>
  <si>
    <t>A811205000166</t>
  </si>
  <si>
    <t>Link Net</t>
  </si>
  <si>
    <t>PA/ACT/1911/3416</t>
  </si>
  <si>
    <t xml:space="preserve">Maspion </t>
  </si>
  <si>
    <t>PA/UPG/1910/0214</t>
  </si>
  <si>
    <t>Media Nusantara Data Global</t>
  </si>
  <si>
    <t>01000352589</t>
  </si>
  <si>
    <t>1000106826
 1000094688</t>
  </si>
  <si>
    <t>A111204000149</t>
  </si>
  <si>
    <t>A821202001175</t>
  </si>
  <si>
    <t>PA/ACT/2003/0168
 PA/ACT/2004/0585</t>
  </si>
  <si>
    <t>PA/ACT/2112/2028</t>
  </si>
  <si>
    <t>PA/ACT/2202/1235 - 01000191675
PA/ACT/2201/3616 - 01000189483
PA/ACT/2011/1329 - 01000135431
PA/ACT/2207/3887 - 01000300143
PA/ACT/2208/0320 - 01000300145
PA/ACT/2207/4223 - 01000302099
PA/ACT/2208/0695 - 01000303446</t>
  </si>
  <si>
    <t>PA/ACT/2302/11309
PA/ACT/2302/11310</t>
  </si>
  <si>
    <t xml:space="preserve">U111204000146
A821202001175 </t>
  </si>
  <si>
    <t xml:space="preserve">Media Nusantara Data Global </t>
  </si>
  <si>
    <t>Megah Pratama Sejahtera</t>
  </si>
  <si>
    <t>PA/ACT/2112/0723</t>
  </si>
  <si>
    <t>Menara Thamrin</t>
  </si>
  <si>
    <t>PA/ACT/2204/0198</t>
  </si>
  <si>
    <t xml:space="preserve">Metropolitan Kentjana Tbk </t>
  </si>
  <si>
    <t>PA/ACT/2209/3589</t>
  </si>
  <si>
    <t>Multitech Infomedia</t>
  </si>
  <si>
    <t>A121303000900</t>
  </si>
  <si>
    <t>U221204000020</t>
  </si>
  <si>
    <t xml:space="preserve">Omega Propertindo </t>
  </si>
  <si>
    <t>PA/ACT/1912/3172</t>
  </si>
  <si>
    <t xml:space="preserve">PCDC Propco One </t>
  </si>
  <si>
    <t>PA/ACT/2211/5797</t>
  </si>
  <si>
    <t>R111205004006</t>
  </si>
  <si>
    <t xml:space="preserve">PD Pasar Jaya </t>
  </si>
  <si>
    <t>PA/ACT/2212/0862/TER</t>
  </si>
  <si>
    <t>Perhimpunan Pemilik dan Penghuni Rumah Susun Sementara Kawasan Bassura City</t>
  </si>
  <si>
    <t>A821204000077</t>
  </si>
  <si>
    <t>Perhimpunan Penghuni Menara Kadin</t>
  </si>
  <si>
    <t>AL/1904/5372
 AL/1912/56534
 PA/ACT/1802/2046</t>
  </si>
  <si>
    <t xml:space="preserve">Perwita Margasakti </t>
  </si>
  <si>
    <t xml:space="preserve">AL/2005/15433
AL/2203/70048 
</t>
  </si>
  <si>
    <t xml:space="preserve">Phinisindo Zamrud Nusantara </t>
  </si>
  <si>
    <t>ICON-00/ACT/1706/0466</t>
  </si>
  <si>
    <t>Rizki Lancar Sentosa</t>
  </si>
  <si>
    <t>A821303000668 
A821303000671</t>
  </si>
  <si>
    <t xml:space="preserve">Royal Oriental </t>
  </si>
  <si>
    <t>PA/ACT/2005/0486</t>
  </si>
  <si>
    <t xml:space="preserve">Sampoerna Land </t>
  </si>
  <si>
    <t>AL/1907/26735</t>
  </si>
  <si>
    <t>Samudra Data Indonesia</t>
  </si>
  <si>
    <t xml:space="preserve">A821202000812 </t>
  </si>
  <si>
    <t>PA/ACT/2201/1485</t>
  </si>
  <si>
    <t xml:space="preserve">Sanggarcipta Kreasitama </t>
  </si>
  <si>
    <t>PA/ACT/2202/1029</t>
  </si>
  <si>
    <t xml:space="preserve">Solusi Jasa Teknologi </t>
  </si>
  <si>
    <t>PA/ACT/2022/2483</t>
  </si>
  <si>
    <t xml:space="preserve">Swadaya Panduartha  - Belantik Prodjo CV </t>
  </si>
  <si>
    <t>PA/ACT/2203/0584</t>
  </si>
  <si>
    <t xml:space="preserve">Teknovatus Solusi Sejahtera </t>
  </si>
  <si>
    <t>PA/ACT/1911/3857</t>
  </si>
  <si>
    <t>Telkom Data Ekosistem</t>
  </si>
  <si>
    <t>A111202004460</t>
  </si>
  <si>
    <t>A821202001153</t>
  </si>
  <si>
    <t>R111205003161 dan R111205003160</t>
  </si>
  <si>
    <t xml:space="preserve">Telkom Data Ekosistem </t>
  </si>
  <si>
    <t>PA/ACT/2001/3966/TER</t>
  </si>
  <si>
    <t>PA/ACT/2301/5705</t>
  </si>
  <si>
    <t xml:space="preserve">Tunas Perkasa Propertindo </t>
  </si>
  <si>
    <t>A111302000058</t>
  </si>
  <si>
    <t xml:space="preserve">Turun Temurun Makmur Sejahtera </t>
  </si>
  <si>
    <t>PA/ACT/1808/0376</t>
  </si>
  <si>
    <t>Wisma Benhil</t>
  </si>
  <si>
    <t>A111401000979
A111401001990</t>
  </si>
  <si>
    <t>Yayasan Pendidikan Islam
 Al - Isti'aanah</t>
  </si>
  <si>
    <t>Zainal Johamsa</t>
  </si>
  <si>
    <t>PA/ACT/1911/000485/TER</t>
  </si>
  <si>
    <t>Grand Total</t>
  </si>
  <si>
    <t>Count of Pengelola</t>
  </si>
  <si>
    <t>Sum of Rev Sewa (1 Thn)</t>
  </si>
  <si>
    <t>Sum of Biaya Sewa (1 Thn)</t>
  </si>
  <si>
    <t>Collocation</t>
  </si>
  <si>
    <t>Cross Connect</t>
  </si>
  <si>
    <t>Interkoneksi</t>
  </si>
  <si>
    <t>ACTIVE Total</t>
  </si>
  <si>
    <t>DEACTIVASI</t>
  </si>
  <si>
    <t>DEACTIVASI Total</t>
  </si>
  <si>
    <t>Jumlah Pelanggan</t>
  </si>
  <si>
    <t>Revenue Pelanggan</t>
  </si>
  <si>
    <t>Biaya Sewa Pihak 3</t>
  </si>
  <si>
    <t>NON ACTIVE</t>
  </si>
  <si>
    <t xml:space="preserve">Collocation </t>
  </si>
  <si>
    <t>NON ACTIVE Total</t>
  </si>
  <si>
    <t xml:space="preserve">Kumpulan Penjelasan dalam Penamaan Status maupun data Update pekerjaan </t>
  </si>
  <si>
    <t>Ket - STATUS</t>
  </si>
  <si>
    <t>Masih ada Kerjasama / Kontrak</t>
  </si>
  <si>
    <t>Masa Kontrak Sudah Habis dan Belum ada PA Deaktivasi</t>
  </si>
  <si>
    <t xml:space="preserve">Sudak Tidak ada Kerja sama dan terbit PA Deaktivasi </t>
  </si>
  <si>
    <t xml:space="preserve">Ket - Metode Kerjasama </t>
  </si>
  <si>
    <t xml:space="preserve">BAGI HASIL </t>
  </si>
  <si>
    <t>Metode Pembayaran  Persentase (%) Sesuai Kesepakatan  (Revenue Sharing )</t>
  </si>
  <si>
    <t>SEWA BULANAN</t>
  </si>
  <si>
    <t xml:space="preserve">Metode Pembayaran Per-Bulan / 3 wulan </t>
  </si>
  <si>
    <t xml:space="preserve">SEWA TAHUNAN </t>
  </si>
  <si>
    <t xml:space="preserve">Metode Pembayaran Per-Tahun </t>
  </si>
  <si>
    <t>Ket - Warna</t>
  </si>
  <si>
    <t>Kontrak Sudah Non Aktif / Terlewat sudah Habis</t>
  </si>
  <si>
    <r>
      <t xml:space="preserve">Masa Kontrak  </t>
    </r>
    <r>
      <rPr>
        <b/>
        <u/>
        <sz val="11"/>
        <color rgb="FF000000"/>
        <rFont val="Calibri"/>
        <family val="2"/>
      </rPr>
      <t>&lt;</t>
    </r>
    <r>
      <rPr>
        <b/>
        <sz val="11"/>
        <color rgb="FF000000"/>
        <rFont val="Calibri"/>
        <family val="2"/>
      </rPr>
      <t xml:space="preserve"> 15 Hari Kalender Kedepan  ( Akan Habis )</t>
    </r>
  </si>
  <si>
    <t>Masa Kontrak  15 s/d 30 Hari Kalender Kedepan ( Akan Habis )</t>
  </si>
  <si>
    <t>Proses Perpanjangan Kontrak 30 s/d 60 Hari kalender untuk proses Start Perpanjangan</t>
  </si>
  <si>
    <r>
      <t xml:space="preserve">Masa Kontrak Aktif </t>
    </r>
    <r>
      <rPr>
        <b/>
        <u/>
        <sz val="11"/>
        <color theme="1"/>
        <rFont val="Calibri"/>
        <family val="2"/>
        <scheme val="minor"/>
      </rPr>
      <t xml:space="preserve">&gt; </t>
    </r>
    <r>
      <rPr>
        <b/>
        <sz val="11"/>
        <color theme="1"/>
        <rFont val="Calibri"/>
        <family val="2"/>
        <scheme val="minor"/>
      </rPr>
      <t>60 Jarak Aman Jangka waktu Kontrak</t>
    </r>
  </si>
  <si>
    <t xml:space="preserve">Proses Perpanjangan Diluar Interkoneksi dan Revenue Sharing </t>
  </si>
  <si>
    <t xml:space="preserve">Progress Pekerjaan </t>
  </si>
  <si>
    <t xml:space="preserve">1. Konfirmasi PPJG (yes/no) to Sales dan Negosiasi Pengelola Jika ada Kenaikan Harga </t>
  </si>
  <si>
    <t>2. Membuat dan Submit OD Dok TOR, BCR dan Dok Konfirm Sales dan SPH Kawasan.</t>
  </si>
  <si>
    <t>3. Submit SPP.</t>
  </si>
  <si>
    <t>4. Proses Konfirmasi SPP Pihak Anggaran / Bid Perbanjak (case keterlambatan bayar, etc)</t>
  </si>
  <si>
    <t>5. SPP Selesai dan PR Released.</t>
  </si>
  <si>
    <t>6. Create PO beserta dokumen kelengkapannya (BA dan Lampiran PO).</t>
  </si>
  <si>
    <t>7. Send PO BA dan kelengkapannya untuk dittd pengelola.</t>
  </si>
  <si>
    <t>8. Pengelola mengirimkan kembali PO BA yang telah dittd beserta Invoice dan FP</t>
  </si>
  <si>
    <t>9. Proses GR</t>
  </si>
  <si>
    <t>10. GR terbit kirim seluruh dokumen (PO, BA, Invoice, FP ke pusat)</t>
  </si>
  <si>
    <t>Details for Count of Monitoring Perpanjangan Sewa/Kontrak - Monitoring Perpanjangan Sewa/Kontrak: WARNING, Status: ACTIVE</t>
  </si>
  <si>
    <t>Column1</t>
  </si>
  <si>
    <t>Rekanan</t>
  </si>
  <si>
    <t>Pelanggan (Costumer)</t>
  </si>
  <si>
    <t>Alamat Pengelola</t>
  </si>
  <si>
    <t>Monitoring Perpanjangan Sewa/Kontrak</t>
  </si>
  <si>
    <t xml:space="preserve">Originating </t>
  </si>
  <si>
    <t xml:space="preserve">Terminating </t>
  </si>
  <si>
    <t>Metode Kerjasama</t>
  </si>
  <si>
    <t>SID</t>
  </si>
  <si>
    <t>SLA</t>
  </si>
  <si>
    <t xml:space="preserve">Layanan </t>
  </si>
  <si>
    <t>Kapasitas</t>
  </si>
  <si>
    <t>Rev Intalasi (OTC)
Pelanggan (Rp)</t>
  </si>
  <si>
    <t>Rev Sewa (1 Thn)
Pelanggan (Rp)</t>
  </si>
  <si>
    <t>Biaya  Deposit Sewa
(Rp)</t>
  </si>
  <si>
    <t>Biaya (OTC)
(Rp)</t>
  </si>
  <si>
    <t xml:space="preserve">Rev Sharing
(%) </t>
  </si>
  <si>
    <t>End</t>
  </si>
  <si>
    <t>Proses Admin</t>
  </si>
  <si>
    <t>Today</t>
  </si>
  <si>
    <t>Jangka Waktu Habis</t>
  </si>
  <si>
    <t>Reference SPP Before &amp; Periode Before</t>
  </si>
  <si>
    <t>SPP</t>
  </si>
  <si>
    <t>PO baru</t>
  </si>
  <si>
    <t>PIC Admin
Perijinan</t>
  </si>
  <si>
    <t>PIC Rekanan</t>
  </si>
  <si>
    <t>Telp</t>
  </si>
  <si>
    <t>2017-2018</t>
  </si>
  <si>
    <t>2018-2019</t>
  </si>
  <si>
    <t>2019-2020</t>
  </si>
  <si>
    <t>2020/2021</t>
  </si>
  <si>
    <t>2021-2022</t>
  </si>
  <si>
    <t>2022-2023</t>
  </si>
  <si>
    <t>2023-2024</t>
  </si>
  <si>
    <t>2024-2025</t>
  </si>
  <si>
    <t>2025-2026</t>
  </si>
  <si>
    <t>Keterangan</t>
  </si>
  <si>
    <t xml:space="preserve">Indosat Tbk </t>
  </si>
  <si>
    <t>PT Bank Central Asia</t>
  </si>
  <si>
    <t>Jl.Medan Merdeka Selatan No.12</t>
  </si>
  <si>
    <t>WARNING</t>
  </si>
  <si>
    <t>MENARA BCA GRAND INDONESIA, JL. M.H. THAMRIN NO.1, MENTENG, KEC. MENTENG, KOTA JAKARTA PUSAT, DAERAH KHUSUS IBUKOTA JAKARTA 10310</t>
  </si>
  <si>
    <t>H2H BCA - BPJS KETENAGAKERJAAN; DC KPPTI KANTOR PUSAT PT. INDOSAT LANTAI 5, JL. MEDAN MERDEKA BARAT NO 21, GAMBIR, JAKARTA PUSAT, DKI JAKARTA, IND</t>
  </si>
  <si>
    <t>Sewa Tahunan</t>
  </si>
  <si>
    <t>AL/2303/13840</t>
  </si>
  <si>
    <t>IPVPN</t>
  </si>
  <si>
    <t>0,256 Kbps</t>
  </si>
  <si>
    <t>3329/SPP/SBU/PLNICONPLUS/2024 | 4500025885</t>
  </si>
  <si>
    <t>7965/SPP/SBU/PLNICONPLUS/2025</t>
  </si>
  <si>
    <t>Livia Indraswati</t>
  </si>
  <si>
    <t>Join All Customer (UTP 115)</t>
  </si>
  <si>
    <t>Rukan Duren Tiga No. 7H
Jl. Duren Tiga Raya No. 7 Jakarta Selatan 12760</t>
  </si>
  <si>
    <t>IDC DUREN3</t>
  </si>
  <si>
    <t>Kapasitas besar</t>
  </si>
  <si>
    <t>9028/SPP/SBU/PLNICONPLUS/2025</t>
  </si>
  <si>
    <t>Fajar Paramita</t>
  </si>
  <si>
    <t>Join All Customer (FO 56)</t>
  </si>
  <si>
    <t>9027/SPP/SBU/PLNICONPLUS/2025</t>
  </si>
  <si>
    <t>Join All Customer (FO 68)</t>
  </si>
  <si>
    <t>9057/SPP/SBU/PLNICONPLUS/2025</t>
  </si>
  <si>
    <t>Join All Customer</t>
  </si>
  <si>
    <t>Cyber 1 Lantai 7 IDC Indonesia</t>
  </si>
  <si>
    <t>Colocation</t>
  </si>
  <si>
    <t>7280/SPP/SBU/PLNICONPLUS/2025</t>
  </si>
  <si>
    <t>Infrastruktur Cakrawala Telekomunikasi</t>
  </si>
  <si>
    <t>Bank Mega</t>
  </si>
  <si>
    <t>KAWASAN INDUSTRI JABABEKA II, JL. INDUSTRI SEL. VII NO.1C BLOK FF, PASIRSARI, CIKARANG SEL., KABUPATEN BEKASI, JAWA BARAT 17530</t>
  </si>
  <si>
    <t>A111303008484</t>
  </si>
  <si>
    <t>111303016285</t>
  </si>
  <si>
    <t>Internet Corporate</t>
  </si>
  <si>
    <t>5 Mbps</t>
  </si>
  <si>
    <t>8980/SPP/SBU/PLNICONPLUS/2025_x000D_</t>
  </si>
  <si>
    <t>Syifa Fauziyah</t>
  </si>
  <si>
    <t>aksho</t>
  </si>
  <si>
    <t>PT Jaya refrigeration Equipment</t>
  </si>
  <si>
    <t>JL. JABABEKA RAYA Q NO.1, WANGUNHARJA, KEC. CIKARANG UTARA, KABUPATEN BEKASI, JAWA BARAT 17530.</t>
  </si>
  <si>
    <t>U111303008096</t>
  </si>
  <si>
    <t>111202022694</t>
  </si>
  <si>
    <t>50 Mbps</t>
  </si>
  <si>
    <t xml:space="preserve"> 8129/SPP/SBU/PLNICONPLUS/2025_x000D_</t>
  </si>
  <si>
    <t>Kawasan Industri JIEP Pulogadung, Jakarta Timur</t>
  </si>
  <si>
    <t>Metronet</t>
  </si>
  <si>
    <t>8433/SPP/SBU/PLNICONPLUS/2025</t>
  </si>
  <si>
    <t>Anggit</t>
  </si>
  <si>
    <t>PT Bank Pembangunan Daerah Jawa Timur</t>
  </si>
  <si>
    <t>German Centre Building 3rd and 5th floor Jl. Kapt. Subijanto DJ Bumi Serpong Damai</t>
  </si>
  <si>
    <t>Gedung German Center Lantai 3 Jl Kapt Subijanto Dj. Bumi Serpong Damai, Tangerang 15231</t>
  </si>
  <si>
    <t>Gedung Sigma Lantai 3 Ciputra - Surabaya</t>
  </si>
  <si>
    <t>PA/ACT/2209/3781/ORI</t>
  </si>
  <si>
    <t>2 Gbps</t>
  </si>
  <si>
    <t>20480/SPP/008/PUSAT/ICON+/2022 | 4500019381</t>
  </si>
  <si>
    <t>7817/SPP/SBU/PLNICONPLUS/2025</t>
  </si>
  <si>
    <t>Yudhi Sukma</t>
  </si>
  <si>
    <t>Jl. Kuningan Barat No. 8 Cyber Building 1st &amp; 2nd Jakarta Selatan 12712</t>
  </si>
  <si>
    <t>CDCI</t>
  </si>
  <si>
    <t>7282/SPP/SBU/PLNICONPLUS/2025</t>
  </si>
  <si>
    <t>4500025683</t>
  </si>
  <si>
    <t>Ira</t>
  </si>
  <si>
    <t>NTT Indonesia</t>
  </si>
  <si>
    <t>PT Graha Layar Prima</t>
  </si>
  <si>
    <t>Wisma 46 Kota BNI Lt. 5, Jl. Jend. Sudirman, Tanah Abang, Kota Jak Pusat, Daerah Khusus Ibukota Jak 10250, Indonesia</t>
  </si>
  <si>
    <t>CGV NTT Data Center Jl. Kuningan Barat Raya No.8, RT.6/RW.3, Kuningan Bar., Kec. Mampang Prpt., Kota Jakarta Selatan, Daerah Khusus Ibukota Jakarta 12710</t>
  </si>
  <si>
    <t>PA/ACT/2212/6008</t>
  </si>
  <si>
    <t>110130100086 / 04000331777</t>
  </si>
  <si>
    <t>IP Transit</t>
  </si>
  <si>
    <t>100 Mbps</t>
  </si>
  <si>
    <t>21065/SPP/008/PUSAT/ICON+/2023 | 4500022568</t>
  </si>
  <si>
    <t>7837/SPP/SBU/PLNICONPLUS/2025</t>
  </si>
  <si>
    <t>Iffa</t>
  </si>
  <si>
    <t>PT Kereta Commuter Indonesia</t>
  </si>
  <si>
    <t>DC TELKOMSIGMA SENTUL</t>
  </si>
  <si>
    <t xml:space="preserve">A121202001424 </t>
  </si>
  <si>
    <t>200 Mbps</t>
  </si>
  <si>
    <t>6120/SPP/SBU/PLNICONPLUS/2025</t>
  </si>
  <si>
    <t>4500025083</t>
  </si>
  <si>
    <t xml:space="preserve"> Livia Indraswati </t>
  </si>
  <si>
    <t>Karyagraha Nusantara</t>
  </si>
  <si>
    <t>PT Ipwan Global Telecomm</t>
  </si>
  <si>
    <t>Gedung Cyber Jl. Kuningan Barat No.8 Kuningan Barat Jakarta</t>
  </si>
  <si>
    <t>CYBER 1 LANTAI 2,KUNINGAN JAKARTA SELATAN, -, -, DKI JAKARTA, INDONESIA, -</t>
  </si>
  <si>
    <t>BTN DI SURABAYA JL BUKIT DARMO KAMPUNG BALI ( DATA CENTER SIQMA).,- ,- ,- ,INDONESIA ,-</t>
  </si>
  <si>
    <t>110120203409 / 0990000320389715</t>
  </si>
  <si>
    <t>20 Mbps</t>
  </si>
  <si>
    <t>4056/SPP/SBU/PLNICONPLUS/2024 | 4500023280</t>
  </si>
  <si>
    <t>6649/SPP/SBU/PLNICONPLUS/2025</t>
  </si>
  <si>
    <t>4500025180</t>
  </si>
  <si>
    <t>Tito</t>
  </si>
  <si>
    <t>Princeton Digital Group</t>
  </si>
  <si>
    <t>PT Lima Menara Bintang</t>
  </si>
  <si>
    <t>Cyber 2 Tower 2nd Floor Jl HR Rasuna Said Kav X-5 No 13 Jakarta 12950</t>
  </si>
  <si>
    <t>IDC D3, Jl. Duren Tiga Raya No. 7 Duren Tiga, Pancoran, Jakarta Selatan, DKI Jakarta, Indonesia, 12760</t>
  </si>
  <si>
    <t>DC XL Cibitung Jl. Sumbawa Blok AB No. 1, Mekarwangi, Cikarang Barat, Bekasi, Jabar, Indonesia, 17530</t>
  </si>
  <si>
    <t>PA/ACT/2111/1334/TER</t>
  </si>
  <si>
    <t>2 Mbps</t>
  </si>
  <si>
    <t>6189/SPP/SBU/PLNICONPLUS/2025</t>
  </si>
  <si>
    <t>4500025085</t>
  </si>
  <si>
    <t>Nofi</t>
  </si>
  <si>
    <t>PT Bank Mega</t>
  </si>
  <si>
    <t>PLN SYB, SYB Data Center on Telkom Sigma (German Center), Lantai 6 Timur Ruang 6460-1-2 Jl. Kapten Subijanto Dj, Bumi Serpong Damai, Kota Tangerang Selatan, Banten, Indonesia, 15321</t>
  </si>
  <si>
    <t>AL/2002/5815</t>
  </si>
  <si>
    <t>64 Kbps</t>
  </si>
  <si>
    <t>3141/SPP/SBU/PLNICONPLUS/2024 | 4500022590</t>
  </si>
  <si>
    <t>6246/SPP/SBU/PLNICONPLUS/2025</t>
  </si>
  <si>
    <t>4500024905</t>
  </si>
  <si>
    <t>PT Bank Danamon Indonesia Tbk</t>
  </si>
  <si>
    <t>Komplek Nila Alam Ruko 1 Jl. Daan Mogot Blvd No.KM. 18 No. 18, RT.11/RW.6, Kalideres, West Jakarta City, Jakarta 11840</t>
  </si>
  <si>
    <t>BACKHAUL DC BDDC ATRIA - JL. DAAN MOGOT KM. 18 NO. 18, KALIDERES, JAKARTA BARAT - 11840</t>
  </si>
  <si>
    <t>R111205004006 / 1124040500183 - 110120522490 / 01000352535</t>
  </si>
  <si>
    <t>5586/SPP/SBU/PLNICONPLUS/2025</t>
  </si>
  <si>
    <t>4500024520</t>
  </si>
  <si>
    <t>Debbi</t>
  </si>
  <si>
    <t>PT Lintas Jaringan Nusantara
PT Telemedia Dinamika Sarana
PT Multidata Rancana Prima
PT Multidata Rancana Prima</t>
  </si>
  <si>
    <t>Gedung Cyber. JL. KUNINGAN BARAT RAYA NO.8, RT.1/RW.3, KUNINGAN BAR., KEC. MAMPANG PRPT., KOTA JAKARTA SELATAN, DAERAH KHUSUS IBUKOTA JAKARTA 12710</t>
  </si>
  <si>
    <t xml:space="preserve">U111204000146
A821202001175 
A111204000055
A111202004731  </t>
  </si>
  <si>
    <t>6018/SPP/SBU/PLNICONPLUS/2025</t>
  </si>
  <si>
    <t>4500024743</t>
  </si>
  <si>
    <t>Asosiasi Penyelenggara Jasa Internet Indonesia (APJII)</t>
  </si>
  <si>
    <t>PT Netciti Persada
PT Primacom Interbuana</t>
  </si>
  <si>
    <t>Gedung Cyber Lt.11 Jl. Kuningan Barat No.8 Kuningan Barat Jakarta</t>
  </si>
  <si>
    <t>GEDUNG CYBER APJII LT.1, JL. KUNINGAN BARAT RAYA NO.8, RT.1/RW.3, KUNINGAN BAR., KEC. MAMPANG PRAPATAN, JAKARTA SELATAN, DKI JAKARTA, INDONESIA, 12710</t>
  </si>
  <si>
    <t xml:space="preserve">RUMAH INDONET REMPOA JL. REMPOA RAYA NO. 11, CIPUTAT TIMUR, KOTA TANGERANG SELATAN, BANTEN, INDONESIA, 15412   </t>
  </si>
  <si>
    <t>AR/ACT/2107/19272
110120208839 / 01000159405</t>
  </si>
  <si>
    <t>2372/SPP/SBU/ICON+/2023 | 4500022067</t>
  </si>
  <si>
    <t>5440/SPP/SBU/PLNICONPLUS/2024</t>
  </si>
  <si>
    <t>4500024434</t>
  </si>
  <si>
    <t>Fatmah</t>
  </si>
  <si>
    <t>Indointernet</t>
  </si>
  <si>
    <t>PT Jaring Solusi Aplikasi</t>
  </si>
  <si>
    <t>Rumah Indonet. Jl.Rempoa Raya No. 11 Ciputat. Tangerang Selatan – Banten 15412</t>
  </si>
  <si>
    <t>(H2H) (INDONET) Jl. Rempoa Raya No.11, Rempoa, Ciputat Timur, Tangerang, Banten</t>
  </si>
  <si>
    <t>(H2H) Plaza Mandiri, Jl. Gatot Subroto No.Kav 36-38, RT.7/RW.3, Senayan, Kebayoran Baru, Jakarta Selatan</t>
  </si>
  <si>
    <t xml:space="preserve">PA/ACT/1912/0025 </t>
  </si>
  <si>
    <t>2450/SPP/SBU/ICON+/2024 | 4500022160</t>
  </si>
  <si>
    <t>5645/SPP/SBU/PLNICONPLUS/2025</t>
  </si>
  <si>
    <t>4500024532</t>
  </si>
  <si>
    <t>Supriatin</t>
  </si>
  <si>
    <t xml:space="preserve">Trans Hybrid Communication </t>
  </si>
  <si>
    <t>Bank Negara Indonesia</t>
  </si>
  <si>
    <t>Graha Trans Hybrid Margonda raya Jl. Salak No. 520 Ruko B-C Depok Jawa Barat</t>
  </si>
  <si>
    <t>BNI KCP PONDOK GEDE, KOMP, PLAZA PD. GEDE, JL. RAYA JATIWARINGIN BLK. H NO.1-2, RT.007/RW.009, JATICEMPAKA, KEC. PD. GEDE, KOTA BEKASI, JAWA BARAT, INDONESIA, 17411</t>
  </si>
  <si>
    <t>Sewa Bulanan</t>
  </si>
  <si>
    <t xml:space="preserve">A821401001039 </t>
  </si>
  <si>
    <t>111401005678</t>
  </si>
  <si>
    <t>Internet Broadband</t>
  </si>
  <si>
    <t>30 Mbps</t>
  </si>
  <si>
    <t>4500022038 | 2352/SPP/SBU/ICON+/2023</t>
  </si>
  <si>
    <t>5455/SPP/SBU/PLNICONPLUS/2024</t>
  </si>
  <si>
    <t>Syifa Artianingsih</t>
  </si>
  <si>
    <t>Pak Adi</t>
  </si>
  <si>
    <t>PT HANASTA Dakara</t>
  </si>
  <si>
    <t>WPT Building Jl. Jababeka IV Blok B No. 12 jbbk</t>
  </si>
  <si>
    <t>IDC 3D JL. DUREN TIGA RAYA NO.7, RT.9/RW.5, DUREN TIGA, KEC. PANCORAN, KOTA JAKARTA SELATAN, DAERAH KHUSUS IBUKOTA JAKARTA 12760</t>
  </si>
  <si>
    <t>PT. DAWEE ELECTRONOCS INDONESIA KAWASAN LNDUSTRI JABABEKA I CIKARANG, JI. JABABEKA XVI NO.3-C BLOK U, HARJA MEKAR, KEE. CIKARANG UTARA, KABUPATEN BEKASI, JAWA BARAT 17530 (-6.273972832289, 107.137210771164)</t>
  </si>
  <si>
    <t xml:space="preserve">A111202006962 </t>
  </si>
  <si>
    <t>111202020559</t>
  </si>
  <si>
    <t>baru</t>
  </si>
  <si>
    <t>5636/SPP/SBU/PLNICONPLUS/2025</t>
  </si>
  <si>
    <t>4500024515</t>
  </si>
  <si>
    <t>Anjar</t>
  </si>
  <si>
    <t>PT Jaya Refrigeration Equipment</t>
  </si>
  <si>
    <t>JL. JABABEKA -B NO.2, WANGUNHARJA, KEC. CIKARANG UTARA, KABUPATEN BEKASI, JAWA BARAT 17530</t>
  </si>
  <si>
    <t>A111202008220</t>
  </si>
  <si>
    <t>111202021431</t>
  </si>
  <si>
    <t>5548/SPP/SBU/PLNICONPLUS/2025</t>
  </si>
  <si>
    <t>4500024446</t>
  </si>
  <si>
    <t>PT Sokonindo Automobile</t>
  </si>
  <si>
    <t>Equity Tower 17th floor suite F SCBD lot Jl Jend Sudirman Kav 52-53 Jakarta 12196</t>
  </si>
  <si>
    <t>DCI Data Center Jl. Halmahera No.1 Blok F1, Danau Indah, Kec. Cikarang Bar., Kabupaten Bekasi, Jawa Barat 17530 (-6.304477678206756, 107.09772404663877)</t>
  </si>
  <si>
    <t>Sokonindo Automobile Jl. Raya Industri Modern Cikande Kav. 30-C Desa Barangkok, -, Kabupaten Serang, Banten, Indonesia (-6.210901300000,106.318955700000)</t>
  </si>
  <si>
    <t>AR/ACT/1905/13384</t>
  </si>
  <si>
    <t>10 Mbps</t>
  </si>
  <si>
    <t>5156/SPP/SBU/PLNICONPLUS/2024</t>
  </si>
  <si>
    <t>4500024130</t>
  </si>
  <si>
    <t>Irma</t>
  </si>
  <si>
    <t>H498</t>
  </si>
  <si>
    <t>BSI</t>
  </si>
  <si>
    <t>Jl.Sultan Iskandar Muda.Kav V-TA Pondok Indah
Jakarta Selatan 12310</t>
  </si>
  <si>
    <t>Pondok Indah Office Tower d/h Wisma Pondok Indah 2 (PT Agincourt Resources)</t>
  </si>
  <si>
    <t>4500008998
 11262/PJ/001/PUSAT/ICON+/2015 | 07817/SPP/008/PUSAT/ICON+/2017 | 4500011090
 039/LA-ANT/PIOT2/MK/XI/2015 | 09996/SPP/008/PUSAT/ICON+/2019 | 4500012358 | 12502/SPP/008/PUSAT/ICON+/2020 | 4500014043|15085/SPP/008/PUSAT/ICON+/2021|4500015685 | 17669 | 4500017613</t>
  </si>
  <si>
    <t>Putri Ayu Aisyah</t>
  </si>
  <si>
    <t>021-7697329, 7697349</t>
  </si>
  <si>
    <t>C5</t>
  </si>
  <si>
    <t>D211</t>
  </si>
  <si>
    <t>E144</t>
  </si>
  <si>
    <t>F55</t>
  </si>
  <si>
    <t>H148</t>
  </si>
  <si>
    <t>Jumlah dari Biaya Sewa (1 Thn)(Rp)</t>
  </si>
  <si>
    <t>Revenue Sharing</t>
  </si>
  <si>
    <t>Total Keseluruhan</t>
  </si>
  <si>
    <t>2024 Total</t>
  </si>
  <si>
    <t>2025 Total</t>
  </si>
  <si>
    <t>2026 Total</t>
  </si>
  <si>
    <t>2027 Total</t>
  </si>
  <si>
    <t>2028 Total</t>
  </si>
  <si>
    <t>2029 Total</t>
  </si>
  <si>
    <t>2026-2027</t>
  </si>
  <si>
    <t>Column2</t>
  </si>
  <si>
    <t xml:space="preserve">Bit Teknologi Nusantara </t>
  </si>
  <si>
    <t>PT NTT Indonesia</t>
  </si>
  <si>
    <t>Jakarta 12210</t>
  </si>
  <si>
    <t>AR/ACT/1904/10733</t>
  </si>
  <si>
    <t>13763/SPP/008/PUSAT/ICON+/2020</t>
  </si>
  <si>
    <t>Duta Pertiwi</t>
  </si>
  <si>
    <t xml:space="preserve">Bank Mega </t>
  </si>
  <si>
    <t>y</t>
  </si>
  <si>
    <t>PA/ACT /1808/0396</t>
  </si>
  <si>
    <t>Graha Inti Fauzi</t>
  </si>
  <si>
    <t>Commonwealth</t>
  </si>
  <si>
    <t>Jakarta Selatan 12510</t>
  </si>
  <si>
    <t>AL/1812/17142</t>
  </si>
  <si>
    <t>14227/SPP/008/PUSAT/ICON+/2020</t>
  </si>
  <si>
    <t>Graha Pena Jawa Pos</t>
  </si>
  <si>
    <t>PT Jawa Pos Koran</t>
  </si>
  <si>
    <t>12451/SPP/008/PUSAT/ICON+/2020</t>
  </si>
  <si>
    <t xml:space="preserve">PT Primacom Interbuana </t>
  </si>
  <si>
    <t>Jakarta 12710</t>
  </si>
  <si>
    <t>AL/1809/9066</t>
  </si>
  <si>
    <t>13421/SPP/008/PUSAT/ICON+/2020</t>
  </si>
  <si>
    <t>CBN Nusantara</t>
  </si>
  <si>
    <t>Kaldu Sari Nabati</t>
  </si>
  <si>
    <t>Jakarta 00000</t>
  </si>
  <si>
    <t>PA/ACT /1803/0827</t>
  </si>
  <si>
    <t>13722/SPP/008/PUSAT/ICON+/2020</t>
  </si>
  <si>
    <t>Metropolitan Kencana</t>
  </si>
  <si>
    <t>PT Mattel Trading Indonesia</t>
  </si>
  <si>
    <t>ICON-00/ACT/1603/0405</t>
  </si>
  <si>
    <t>12502/SPP/008/PUSAT/ICON+/2020</t>
  </si>
  <si>
    <t>PT GH EMM Indonesia</t>
  </si>
  <si>
    <t>Jakarta 12930</t>
  </si>
  <si>
    <t>PA/UPG /2001/0203</t>
  </si>
  <si>
    <t>13339/SPP/008/PUSAT/ICON+/2020</t>
  </si>
  <si>
    <t>PT Trans Retail Indonesia</t>
  </si>
  <si>
    <t>Jakarta Utara 14430</t>
  </si>
  <si>
    <t>ICON-00/SOP/1403/0019</t>
  </si>
  <si>
    <t>13725/SPP/008/PUSAT/ICON+/2020</t>
  </si>
  <si>
    <t>PT Pinus Merah Abadi</t>
  </si>
  <si>
    <t>Jakarta Selatan 12710</t>
  </si>
  <si>
    <t>PA/ACT /2006/1164/TER</t>
  </si>
  <si>
    <t>PT XL Axiata Tbk</t>
  </si>
  <si>
    <t>ICON-00/ACT/1409/0507</t>
  </si>
  <si>
    <t>13359/SPP/008/PUSAT/ICON+/2020</t>
  </si>
  <si>
    <t>Bank Perkreditan Rakyat</t>
  </si>
  <si>
    <t>ICON-00/ACT/1707/0184, ICON-00/ACT/1706/0551, ICON-00/ACT/1707/0086</t>
  </si>
  <si>
    <t>13981/SPP/008/PUSAT/ICON+/2020</t>
  </si>
  <si>
    <t>PT Indointernet</t>
  </si>
  <si>
    <t>ICON-00/SBC/1704/002, ICON-00/SBC/1509/002</t>
  </si>
  <si>
    <t>13983/SPP/008/PUSAT/ICON+/2020</t>
  </si>
  <si>
    <t>PT Airpay International Indonesia</t>
  </si>
  <si>
    <t>Jakarta 12190</t>
  </si>
  <si>
    <t>PA/ACT /1912/2626</t>
  </si>
  <si>
    <t>12521/SPP/008/PUSAT/ICON+/2020</t>
  </si>
  <si>
    <t>Astra International</t>
  </si>
  <si>
    <t>PA/ACT /2002/2222</t>
  </si>
  <si>
    <t>13955/SPP/008/PUSAT/ICON+/2020</t>
  </si>
  <si>
    <t>PT Signal Indo Sukses</t>
  </si>
  <si>
    <t>PA/ACT /2008/1120</t>
  </si>
  <si>
    <t>14222/SPP/008/PUSAT/ICON+/2020</t>
  </si>
  <si>
    <t>PT Bukit Asam, Bank Mega</t>
  </si>
  <si>
    <t>AL/1904/5372, AL/1912/56534, PA/ACT/1802/2046</t>
  </si>
  <si>
    <t>12759/SPP/008/PUSAT/ICON+/2020</t>
  </si>
  <si>
    <t xml:space="preserve">Jakarta Sinar Intertrade </t>
  </si>
  <si>
    <t>Bank Sinarmas</t>
  </si>
  <si>
    <t>Jakarta 10730</t>
  </si>
  <si>
    <t>AL/2005/15084</t>
  </si>
  <si>
    <t>Aston Inti Makmur</t>
  </si>
  <si>
    <t>PT Nugraha Indah Citrarasa</t>
  </si>
  <si>
    <t>Jakarta Selatan 00000</t>
  </si>
  <si>
    <t>PA/RLK/1902/0056, PA/RLK/1902/0058, PA/RLK/1920/0057</t>
  </si>
  <si>
    <t>12586/SPP/008/PUSAT/ICON+/2020</t>
  </si>
  <si>
    <t>Perhimpunan Penghuni Crown Court Executive Condominium</t>
  </si>
  <si>
    <t>Hanasta Dakara</t>
  </si>
  <si>
    <t>14093/SPP/008/PUSAT/ICON+/2020</t>
  </si>
  <si>
    <t>PT Pasifik Satelit Nusantara</t>
  </si>
  <si>
    <t>Ciputat 00000</t>
  </si>
  <si>
    <t>PA/ACT /2003/0542</t>
  </si>
  <si>
    <t>13317/SPP/008/PUSAT/ICON+/2020</t>
  </si>
  <si>
    <t>Karunia Mega Perkasa</t>
  </si>
  <si>
    <t>Iforte Global Internet</t>
  </si>
  <si>
    <t>Jakarta Barat 11730</t>
  </si>
  <si>
    <t>ICON-00/SBC/1802/0442</t>
  </si>
  <si>
    <t>13553/SPP/008/PUSAT/ICON+/2020</t>
  </si>
  <si>
    <t>Bank Syariah Mandiri, PT Bank Panin</t>
  </si>
  <si>
    <t>357849/1285644652/103|170000211820025, 170000218240011</t>
  </si>
  <si>
    <t>13547/SPP/008/PUSAT/ICON+/2020</t>
  </si>
  <si>
    <t>ICON-00/SBC/1507/0516</t>
  </si>
  <si>
    <t>Sigma Cipta Cakara</t>
  </si>
  <si>
    <t>PT Cyber Network Indonesia</t>
  </si>
  <si>
    <t>Tanggerang 15321</t>
  </si>
  <si>
    <t>PA/ACT /2001/1658/TER</t>
  </si>
  <si>
    <t>12640/SPP/008/PUSAT/ICON+/2020</t>
  </si>
  <si>
    <t>Circlecom Nusantara Indonesia</t>
  </si>
  <si>
    <t>PT Aplikanusa Lintasarta</t>
  </si>
  <si>
    <t>Kebayoran Baru, Jakarta Selatan 12190</t>
  </si>
  <si>
    <t>PA/ACT/1801/0234</t>
  </si>
  <si>
    <t>12988/SPP/008/PUSAT/ICON+/2020</t>
  </si>
  <si>
    <t>PT Bank BTPN Syariah, Bank Bukopin</t>
  </si>
  <si>
    <t>ICON-00/ACT/1511/0021, PA/ACT/1902/0567, PA/ACT/1902/0568,  PA/ACT/1902/0569,  PA/ACT/1902/0571,  PA/ACT/1902/0572</t>
  </si>
  <si>
    <t>13156/SPP/008/PUSAT/ICON+/2020</t>
  </si>
  <si>
    <t>13157/SPP/008/PUSAT/ICON+/2020</t>
  </si>
  <si>
    <t>Biznet Data Center</t>
  </si>
  <si>
    <t>PT Bank Central Asia Tbk</t>
  </si>
  <si>
    <t>Jakarta Pusat 10220</t>
  </si>
  <si>
    <t>PA/RLK/2001/0030/TER</t>
  </si>
  <si>
    <t>11680/SPP/008/PUSAT/ICON+/2020</t>
  </si>
  <si>
    <t>Serpong Mas Telematika</t>
  </si>
  <si>
    <t>PT Maxpower Indonesia</t>
  </si>
  <si>
    <t>Jakarta 15345</t>
  </si>
  <si>
    <t>PA/RLK/2007/0001</t>
  </si>
  <si>
    <t>13831/SPP/008/PUSAT/ICON+/2020</t>
  </si>
  <si>
    <t>Masrukhan</t>
  </si>
  <si>
    <t>+62 812-9844-8648</t>
  </si>
  <si>
    <t xml:space="preserve">NTT Indonesia </t>
  </si>
  <si>
    <t>PT Sumber Cipta Multiniaga</t>
  </si>
  <si>
    <t>PA/ACT /2004/0168 PA/ACT/2004/0585</t>
  </si>
  <si>
    <t>1890000000</t>
  </si>
  <si>
    <t>13275/SPP/008/PUSAT/ICON+/2020</t>
  </si>
  <si>
    <t xml:space="preserve">PT Sampoerna Land </t>
  </si>
  <si>
    <t>PT Aek Tarum, PT Binasawit Makmur</t>
  </si>
  <si>
    <t>Jakarta Selatan 12930</t>
  </si>
  <si>
    <t>PA/ACT /1901/1720, PA/ACT/1901/1721</t>
  </si>
  <si>
    <t>12491/SPP/008/PUSAT/ICON+/2020</t>
  </si>
  <si>
    <t>Phinisindo Zamrud Nusantara</t>
  </si>
  <si>
    <t>Depok 16431</t>
  </si>
  <si>
    <t>12455/SPP/008/PUSAT/ICON+/2020</t>
  </si>
  <si>
    <t xml:space="preserve">PT Djarum </t>
  </si>
  <si>
    <t>PA/ACT /2003/0168</t>
  </si>
  <si>
    <t>1476000000</t>
  </si>
  <si>
    <t>13482/SPP/008/PUSAT/ICON+/2020</t>
  </si>
  <si>
    <t>PA/ACT /2005/0446</t>
  </si>
  <si>
    <t>13468/SPP/008/PUSAT/ICON+/2020</t>
  </si>
  <si>
    <t>PT Bangun Ummat Sejahtera</t>
  </si>
  <si>
    <t>PA/ACT /2009/0311</t>
  </si>
  <si>
    <t>14285/SPP/008/PUSAT/ICON+/2020</t>
  </si>
  <si>
    <t>PT Sanggar Mustika Indah</t>
  </si>
  <si>
    <t>PT Hutchison 3 Indonesia</t>
  </si>
  <si>
    <t>ICON-00/ACT/1609/0540</t>
  </si>
  <si>
    <t>13600/SPP/008/PUSAT/ICON+/2020</t>
  </si>
  <si>
    <t xml:space="preserve">Badan Pengelola Pendapatan Daerah Provinsi Jawa Tengah </t>
  </si>
  <si>
    <t>PA/ACT/2001/3141/TER, PA/ACT/2001/3142</t>
  </si>
  <si>
    <t>12573/SPP/008/PUSAT/ICON+/2020</t>
  </si>
  <si>
    <t>PC 24 Telekomunikasi Indonesia</t>
  </si>
  <si>
    <t>PT Bank Rakyat Indonesia Tbk</t>
  </si>
  <si>
    <t>Jakarta Selatan 12240</t>
  </si>
  <si>
    <t>PA/ACT/2008/0810</t>
  </si>
  <si>
    <t>14178/SPP/008/PUSAT/ICON+/2020</t>
  </si>
  <si>
    <t>Pelabuhan Indonesia II  (Persero)/PELINDO II</t>
  </si>
  <si>
    <t>PT Toyota Motor Manufacturing Indonesia</t>
  </si>
  <si>
    <t>Jl Raya Pelabuhan No 9 Tanjung Priok</t>
  </si>
  <si>
    <t>ICON-00/SBC/1601/0379/ICON-00/ACT/1407/0018</t>
  </si>
  <si>
    <t>13865/SPP/008/PUSAT/ICON+/2020</t>
  </si>
  <si>
    <t xml:space="preserve">PT Taruna Bina Saran  </t>
  </si>
  <si>
    <t>kawasa</t>
  </si>
  <si>
    <t>ICON-00/SBC/1802/0359</t>
  </si>
  <si>
    <t xml:space="preserve">- </t>
  </si>
  <si>
    <t>12200/SPP/008/PUSAT/ICON+/2019</t>
  </si>
  <si>
    <t xml:space="preserve">MORA TELEMATIKA INDONESIA </t>
  </si>
  <si>
    <t xml:space="preserve">Asuransi ASEI Indonesia </t>
  </si>
  <si>
    <t>Grha9 lt.6 Jl.Penataran 9</t>
  </si>
  <si>
    <t>AL/1908/32235</t>
  </si>
  <si>
    <t>12973/SPP/008/PUSAT/ICON+/2020</t>
  </si>
  <si>
    <t>PT Prodia Widyahusada</t>
  </si>
  <si>
    <t>Jl Jend Surdiman Kav 52-53</t>
  </si>
  <si>
    <t>OPT/1801/1896</t>
  </si>
  <si>
    <t>12832/SPP/008/PUSAT/ICON+/2020</t>
  </si>
  <si>
    <t>PT JAYA FAJAR DEWATAMA</t>
  </si>
  <si>
    <t>Jl Rempoa Raya 11</t>
  </si>
  <si>
    <t>ICON-00/SBC/1606/0029</t>
  </si>
  <si>
    <t>13120/SPP/008/PUSAT/ICON+/2020</t>
  </si>
  <si>
    <t>P3SRS THE CITY TOWER,PT</t>
  </si>
  <si>
    <t xml:space="preserve"> PT Salim Ivomas </t>
  </si>
  <si>
    <t>Jl MH Thamrin 81 Menteng</t>
  </si>
  <si>
    <t>PA/ACT/1805/0890</t>
  </si>
  <si>
    <t>12593/SPP/008/PUSAT/ICON+/2020</t>
  </si>
  <si>
    <t>PT SUNVONE SOLUSINDO</t>
  </si>
  <si>
    <t>PA/ACT/1811/1730</t>
  </si>
  <si>
    <t>PT PRIMACOM INTERBUANA LINK BANK AGRIS</t>
  </si>
  <si>
    <t>ICON-00/SBC/1504/0028</t>
  </si>
  <si>
    <t>12706/SPP/008/PUSAT/ICON+/2020</t>
  </si>
  <si>
    <t>NAP Info</t>
  </si>
  <si>
    <t>ICON-00/SBC/1711/0073</t>
  </si>
  <si>
    <t>BANK WOORI SAUDARA</t>
  </si>
  <si>
    <t>Jl Mangga Dua Raya</t>
  </si>
  <si>
    <t>PA/UPG/1909/0275</t>
  </si>
  <si>
    <t>13596/SPP/008/PUSAT/ICON+/2020</t>
  </si>
  <si>
    <t>Graha Pratama Joint Operation</t>
  </si>
  <si>
    <t>PT Circlecom Nusantara Indonesia</t>
  </si>
  <si>
    <t>Jl M.T.Haryono Kav.15</t>
  </si>
  <si>
    <t>ICON-00/SBC/1611/0594</t>
  </si>
  <si>
    <t>13989/SPP/008/PUSAT/ICON+/2020</t>
  </si>
  <si>
    <t xml:space="preserve">PT PRIMACOM INTERBUANA </t>
  </si>
  <si>
    <t>ICON-00/SBC/1611/0224</t>
  </si>
  <si>
    <t>13714/SPP/008/PUSAT/ICON+/2020</t>
  </si>
  <si>
    <t>PT INTI DUNIA SUKSES</t>
  </si>
  <si>
    <t>Jl.H.R.Rasuna Said Blok X5 13</t>
  </si>
  <si>
    <t>13842/SPP/008/PUSAT/ICON+/2020</t>
  </si>
  <si>
    <t>PT IPWAN GLOBAL TELECOM</t>
  </si>
  <si>
    <t>Gd JITC Lt 7&amp;8 Jl Mangga Dua Jakarta</t>
  </si>
  <si>
    <t>AL/1910/51950</t>
  </si>
  <si>
    <t>13829/SPP/008/PUSAT/ICON+/2020</t>
  </si>
  <si>
    <t>PT BANK CENRALASIA TBK</t>
  </si>
  <si>
    <t>AL/1809/9566</t>
  </si>
  <si>
    <t>13721/SPP/008/PUSAT/ICON+/2020</t>
  </si>
  <si>
    <t>Sigma Cipta Caraka, PT</t>
  </si>
  <si>
    <t>PT.SEMEN INDONESIA (PERSERO)TBK</t>
  </si>
  <si>
    <t>Jl Kapt.Subijanto DJ</t>
  </si>
  <si>
    <t>PA/ACT/1906/1841/TER</t>
  </si>
  <si>
    <t>13592/SPP/008/PUSAT/ICON+/2020</t>
  </si>
  <si>
    <t>PT SOKONINDO</t>
  </si>
  <si>
    <t>PA/ACT/1905/0269</t>
  </si>
  <si>
    <t>12559/SPP/008/PUSAT/ICON+/2020</t>
  </si>
  <si>
    <t>PT DANKOM MITRA ABADI</t>
  </si>
  <si>
    <t>Jl Kuningan Barat 8</t>
  </si>
  <si>
    <t>PT BUKTI MAKMUR MANDIRI UTAMA</t>
  </si>
  <si>
    <t>PA/RLK/2005/0035</t>
  </si>
  <si>
    <t>13506/SPP/008/PUSAT/ICON+/2020</t>
  </si>
  <si>
    <t>Wiratara Prima</t>
  </si>
  <si>
    <t>Jl DR IDE ANAK AGUNG GDE AGUNG G.2</t>
  </si>
  <si>
    <t>ICON-00/SBC/1608/0499</t>
  </si>
  <si>
    <t>PT INDOMARCO PRISMATAMA</t>
  </si>
  <si>
    <t>Jl H R Rasuna Said Blok X5 13</t>
  </si>
  <si>
    <t>PA/ACT/1811/3222</t>
  </si>
  <si>
    <t>PT PLN (PERSERO)KANTOR PUSAT</t>
  </si>
  <si>
    <t>MyRepublic Plaza lt 2 WING A</t>
  </si>
  <si>
    <t>PA/RLK/1903/0003</t>
  </si>
  <si>
    <t>Bank BCA Syariah</t>
  </si>
  <si>
    <t>ICON-00/ACT/1409/0073/ICON-00/SBC/1503/0447</t>
  </si>
  <si>
    <t>PRESTASI PIRANTI INFORMASI, PT</t>
  </si>
  <si>
    <t>BANK WOORI</t>
  </si>
  <si>
    <t>Gd Menara Kadin Lt 11 Unit E-G</t>
  </si>
  <si>
    <t>PA/UPG/1909/0264</t>
  </si>
  <si>
    <t>LOKA AMAPANG INDAH REALTY, PT</t>
  </si>
  <si>
    <t>PT TELEKOMUNIKASI INDONESIA,Tbk</t>
  </si>
  <si>
    <t>Jl Let Jend T B Simatupang Kav 88</t>
  </si>
  <si>
    <t>ICON-00/ACT/1702/0224</t>
  </si>
  <si>
    <t>13050/SPP/008/PUSAT/ICON+/2021</t>
  </si>
  <si>
    <t>PT BANK SYARIAH BRI</t>
  </si>
  <si>
    <t>RUKO KEBAYORAN CENTRE BLOKA NO 5</t>
  </si>
  <si>
    <t>PA/ACT/2009/0322/TER, PA/ACT/2008/2026</t>
  </si>
  <si>
    <t>16464/SPP/008/PUSAT/ICON+/2021</t>
  </si>
  <si>
    <t>PT INDONESIA COMNETS PLUS</t>
  </si>
  <si>
    <t>Jl. Kuningan Barat No.8 Cyber Building 7, Jakarta Selatan 12710</t>
  </si>
  <si>
    <t>PT DATA SINERGITAMA JAYA</t>
  </si>
  <si>
    <t>ICON-00/SBC/1801/0589</t>
  </si>
  <si>
    <t>PT LINTAS JARINGAN NUSANTARA PERIODE 2020/2021</t>
  </si>
  <si>
    <t>Jl kuningan Barat 8</t>
  </si>
  <si>
    <t>PA/ACT/2002/2405</t>
  </si>
  <si>
    <t xml:space="preserve">     </t>
  </si>
  <si>
    <t>13024/SPP/008/PUSAT/ICON+/2020</t>
  </si>
  <si>
    <t xml:space="preserve">Teknovatus Solusi Sejahtera,PT </t>
  </si>
  <si>
    <t xml:space="preserve">PT NTT INDONESIA </t>
  </si>
  <si>
    <t>Jl Pahlan Seribu Lot.12A</t>
  </si>
  <si>
    <t>PA/ACT/2010/1221</t>
  </si>
  <si>
    <t>14606/SPP/008/PUSAT/ICON+/2020</t>
  </si>
  <si>
    <t>BCA MULTI FINANCE PERIODE 2020/2021</t>
  </si>
  <si>
    <t>Jl.Jend.Sudirman Kav.1 Wisma 46 kota BNI 5 Jakarta pusat</t>
  </si>
  <si>
    <t>PA/ACT/1907/2400</t>
  </si>
  <si>
    <t>12592/SPP/008/PUSAT/ICON+/2020</t>
  </si>
  <si>
    <t>Biznet Data Center,PT</t>
  </si>
  <si>
    <t>PT REKSO NASIONAL FOOD PERIODE 2020/2021</t>
  </si>
  <si>
    <t>Jl.Jend.Sudirman Kav 10-11 Midlaza 2 8</t>
  </si>
  <si>
    <t>ICON-00/ACT/1604/0047</t>
  </si>
  <si>
    <t>12698/SPP/008/PUSAT/ICON+/2020</t>
  </si>
  <si>
    <t>PT NAP INFOLINTASNUSA (CIGNA) PERIODE 2020/2021</t>
  </si>
  <si>
    <t>Jl.jend. Sudirman kav 52-53</t>
  </si>
  <si>
    <t>ICON-00/SBC/1708/0918</t>
  </si>
  <si>
    <t>13126/SPP/008/PUSAT/ICON+/2020</t>
  </si>
  <si>
    <t xml:space="preserve">Praja Puri indah Real Estate,PT </t>
  </si>
  <si>
    <t>BCA DI PASAR PAGI MANGGA DUA UNTUK PERIODE 2020/2021</t>
  </si>
  <si>
    <t>Gd.Grosir Pasar pagi Mangga dua</t>
  </si>
  <si>
    <t>ICON-00/SBC/1605/0306</t>
  </si>
  <si>
    <t>13121/SPP/008/PUSAT/ICON+/2020</t>
  </si>
  <si>
    <t>PT SERASI AUTORAYA PERIODE 2020/2021</t>
  </si>
  <si>
    <t>Jl.Tentara Pelajar</t>
  </si>
  <si>
    <t>PA/ACT/1907 /1761/TER</t>
  </si>
  <si>
    <t xml:space="preserve">Perwira Margasakti,PT </t>
  </si>
  <si>
    <t>BANK SINARMAS PERIODE 2020/2021</t>
  </si>
  <si>
    <t>ITC Kuningan 10th Floor,Prof Satrio</t>
  </si>
  <si>
    <t>ICON-00/SBC/1703/0371</t>
  </si>
  <si>
    <t>12568/SPP/008/PUSAT/ICON+/2020</t>
  </si>
  <si>
    <t>Loka Mampang indah Realty,PT</t>
  </si>
  <si>
    <t xml:space="preserve">PT. Telekomunikasi Indonesia,TBK </t>
  </si>
  <si>
    <t>Jl.Let.Jend.T.B Simatupang Kav.88</t>
  </si>
  <si>
    <t>12014/SPP/008/PUSAT/ICON+/2020</t>
  </si>
  <si>
    <t>PT SAMPOERNA TELEKOMUNIKASI INDONESIA PERIODE 2020/2021</t>
  </si>
  <si>
    <t>Jl.H.R Rasuna Said Blok X5 13</t>
  </si>
  <si>
    <t>PA/DOW/1812/0052</t>
  </si>
  <si>
    <t>12627/SPP/008/PUSAT/ICON+/2020</t>
  </si>
  <si>
    <t>Bizne Data Center,PT</t>
  </si>
  <si>
    <t>PT Berlian System Informasi qq PT DIPO STAR FINANCE PERIODE 2020/2021</t>
  </si>
  <si>
    <t>Jl.jend. Sudirman kav 10-11 Midlaza 2 8</t>
  </si>
  <si>
    <t>AL/1904/7057</t>
  </si>
  <si>
    <t>12630/SPP/008/PUSAT/ICON+/2020</t>
  </si>
  <si>
    <t xml:space="preserve">PT MULTI ADIPRAKARSA MANUNGGAL RACK ICON+ TO SECURE CAGE GIO PERIODE 2020/2021 </t>
  </si>
  <si>
    <t>Jl.Jend. Sudirman Kav 101-11 Midlaza 2 8</t>
  </si>
  <si>
    <t>PA/ACT/1903/0976</t>
  </si>
  <si>
    <t>12634/SPP/008/PUSAT/ICON+/2020</t>
  </si>
  <si>
    <t xml:space="preserve">BPJS KETENAGAKERJAAN </t>
  </si>
  <si>
    <t xml:space="preserve">PELANGGAN ICON+ </t>
  </si>
  <si>
    <t>GD Menara jamsostek</t>
  </si>
  <si>
    <t>13583/SPP/008/PUSAT/ICON+/2020</t>
  </si>
  <si>
    <t>PT DJARUM PERIODE 2020/2021</t>
  </si>
  <si>
    <t>Jl.Kuningan Barat No.8</t>
  </si>
  <si>
    <t>PA/ACT/2003/0168</t>
  </si>
  <si>
    <t>1327/SPP/008/PUSAT/ICON+/2020</t>
  </si>
  <si>
    <t>Sigma cipta caraka,PT</t>
  </si>
  <si>
    <t>BANK BJB SYARIAH PERIODE 2020/2021</t>
  </si>
  <si>
    <t>Jl. Kapt. Subijianto DJ</t>
  </si>
  <si>
    <t>12817/SPP/008/PUSAT/ICON+/2020</t>
  </si>
  <si>
    <t>PT BUKIT MAKMUR MANDIRI UTAMA PERIODE 2020/2021</t>
  </si>
  <si>
    <t>Jl.kuningan Barat No.8</t>
  </si>
  <si>
    <t>PA/RLK/2004/0088/ORI</t>
  </si>
  <si>
    <t>13471/SPP/008/PUSAT/ICON+/2020</t>
  </si>
  <si>
    <t>Teknovatus Solusi Sejahtera, PT</t>
  </si>
  <si>
    <t xml:space="preserve">PT. ARRANET INDONESIA SEJAHTERA </t>
  </si>
  <si>
    <t>Jl. Pahlawan Seribu Lot.12A Tanggerang 15322</t>
  </si>
  <si>
    <t xml:space="preserve">Sewa Tahunan </t>
  </si>
  <si>
    <t>PA/ACT/2008/1896</t>
  </si>
  <si>
    <t>14077/SPP/008/PUSAT/ICON+/2020</t>
  </si>
  <si>
    <t>Primacom qq Bank Jasa Jakarta</t>
  </si>
  <si>
    <t>Jl. Rempoa Raya 11</t>
  </si>
  <si>
    <t>ICON-00/SBC/1309/0461</t>
  </si>
  <si>
    <t>12656/SPP/008/PUSAT/ICON+/2020</t>
  </si>
  <si>
    <t>Perhimpunan Menara Karya</t>
  </si>
  <si>
    <t xml:space="preserve">PELANGGAN BUKIT ASAM </t>
  </si>
  <si>
    <t>G.M.Karya Jl. Rasuna Said B.x-5 Kav. 1-2 Jakarta Selatan 12950</t>
  </si>
  <si>
    <t>PT. Bank Mayapada Internasional</t>
  </si>
  <si>
    <t>Jl. Jend Sudirman Kav 52-53 Jakarta 12190</t>
  </si>
  <si>
    <t>12773/SPP/008/PUSAT/ICON+/2020</t>
  </si>
  <si>
    <t>11968/SPP/008/PUSAT/ICON+/2019</t>
  </si>
  <si>
    <t>Federal Internasional Finance</t>
  </si>
  <si>
    <t>Jl.Kapt.Subijanto DJ Tanggerang 15321</t>
  </si>
  <si>
    <t>PA/ACT/1812/0388</t>
  </si>
  <si>
    <t>12976/SPP/008/PUSAT/ICON+/2020</t>
  </si>
  <si>
    <t>Biznet Data Center, PT</t>
  </si>
  <si>
    <t>PT BAHANA SYSFO UTAMA</t>
  </si>
  <si>
    <t>Jl. Jend Sudirman Kav 10-11 Midplaza 2 8 Jakarta Pusat 10220</t>
  </si>
  <si>
    <t>ICON-00/SBC/1702/0689</t>
  </si>
  <si>
    <t>PT YESI MEDIA UTAMA WONOGIRI</t>
  </si>
  <si>
    <t>Jl. Kuningan Barat No. 8 Cyber Building 1st &amp; 2nd Jakarta Selatan 12710</t>
  </si>
  <si>
    <t>PA/ACT/2006/1779</t>
  </si>
  <si>
    <t>13812/SPP/008/PUSAT/ICON+/2020</t>
  </si>
  <si>
    <t>Praja Puri Indah Real Estate, PT</t>
  </si>
  <si>
    <t xml:space="preserve">BANK MANDIRI  DI PASAR PAGI MANGGA DUA </t>
  </si>
  <si>
    <t>Gd. Grosir Pasar Pagi Mangga Dua Jakarta 14430</t>
  </si>
  <si>
    <t>PA/UPG/1907/0071</t>
  </si>
  <si>
    <t>14052/SPP/008/PUSAT/ICON+/2020</t>
  </si>
  <si>
    <t xml:space="preserve">PT INDOMARCO PRISMATAMA </t>
  </si>
  <si>
    <t>12658/SPP/008/PUSAT/ICON+/2020</t>
  </si>
  <si>
    <t xml:space="preserve">PT BANK MEGA </t>
  </si>
  <si>
    <t>PA/RLK/2001/0008/TER</t>
  </si>
  <si>
    <t>12489/SPP/008/PUSAT/ICON+/2020</t>
  </si>
  <si>
    <t xml:space="preserve">PT BANGUN ANDALAN PERKASA </t>
  </si>
  <si>
    <t>12666/SPP/008/PUSAT/ICON+/2020</t>
  </si>
  <si>
    <t>PT. IPWAN GLOBAL TELECOM</t>
  </si>
  <si>
    <t>Jl.Kuningan Barat 8 Jakarta 12710</t>
  </si>
  <si>
    <t>ICON-00/ACT/1412/0261</t>
  </si>
  <si>
    <t>PA/DOW/1901/0107</t>
  </si>
  <si>
    <t>12503/SPP/008/PUSAT/ICON+/2020</t>
  </si>
  <si>
    <t>Data sinergitama Jaya, PT</t>
  </si>
  <si>
    <t>PT BANK CENTRAL ASIA TBK</t>
  </si>
  <si>
    <t>Jl. RS Fatmawati Ruko Fatmawati Blok A1 Kav 108</t>
  </si>
  <si>
    <t>PA/ACT/2011/1785/TER</t>
  </si>
  <si>
    <t>14861/SPP/008/PUSAT/ICON+/2020</t>
  </si>
  <si>
    <t>PT GPAY DIGITAL ASIA</t>
  </si>
  <si>
    <t>Jl. Kuningan Barat No. 8 Jakarta Selatan 12710</t>
  </si>
  <si>
    <t>PT Bank Woori Saudara</t>
  </si>
  <si>
    <t>PA/UPG/1910/0022</t>
  </si>
  <si>
    <t>13123/SPP/008/PUSAT/ICON+/2020</t>
  </si>
  <si>
    <t xml:space="preserve">PRIMACOM INTERBUANA QQ BANK HARDA </t>
  </si>
  <si>
    <t>PA/ACT/1804/1335/TER</t>
  </si>
  <si>
    <t>13706/SPP/008/PUSAT/ICON+/2020</t>
  </si>
  <si>
    <t xml:space="preserve">PT BANK PEMBANGUNAN DAERAH JAWA TIMUR </t>
  </si>
  <si>
    <t>PA/ACT/2009/0246</t>
  </si>
  <si>
    <t xml:space="preserve">   </t>
  </si>
  <si>
    <t>14836/SPP/008/PUSAT/ICON+/2020</t>
  </si>
  <si>
    <t>Sarana Titan Manunggal</t>
  </si>
  <si>
    <t xml:space="preserve">CYBERINDO ADITAMA </t>
  </si>
  <si>
    <t>Jl. Boulevard Bintaro Blok B/B1 sektor 7 5</t>
  </si>
  <si>
    <t>ICON-00/SBC/1612/0017</t>
  </si>
  <si>
    <t>Samudera Data Indonesia</t>
  </si>
  <si>
    <t>PT. Abadi Tambah Mulia Internasional (ATMI)</t>
  </si>
  <si>
    <t>Gedung Cyber 1 No. 8 Jakarta Selatan 12710</t>
  </si>
  <si>
    <t>PA/ACT/1908/2157, PA/ACT/1908/2158, PA/ACT/1908/2160</t>
  </si>
  <si>
    <t>16077/SPP/008/PUSAT/ICON+/2021</t>
  </si>
  <si>
    <t>SMARTFREN TELECOM, PT</t>
  </si>
  <si>
    <t>Jl. H. Agus Salim 45 Jakarta 10340</t>
  </si>
  <si>
    <t>PA/UPG/1909/0243, PA/ACT/1907/3735</t>
  </si>
  <si>
    <t>PT LINTASARTA QQ UNILEVER</t>
  </si>
  <si>
    <t>MyRepublic Plaza lt 2 WING A Jakarta 15345</t>
  </si>
  <si>
    <t>1000127778</t>
  </si>
  <si>
    <t>PT Indonesia Comnet Plus (ICON+)</t>
  </si>
  <si>
    <t xml:space="preserve">DCI  Indonesia </t>
  </si>
  <si>
    <t>ICON-00/ACT/1711/1089</t>
  </si>
  <si>
    <t>PT. XL AXIATA TBK.</t>
  </si>
  <si>
    <t>PT Bank Syariah BRI</t>
  </si>
  <si>
    <t xml:space="preserve">Cross Connect </t>
  </si>
  <si>
    <t>PA/ACT/2005/1127/TER</t>
  </si>
  <si>
    <t>14173/SPP/008/PUSAT/ICON+/2020</t>
  </si>
  <si>
    <t>PT Angkasa Pura Suport qq Bandara YIA</t>
  </si>
  <si>
    <t>Jalan Kuningan Barat No.8 Cyber Building 1st&amp;2nd</t>
  </si>
  <si>
    <t>14128/SPP/008/PUSAT/ICON+/2020</t>
  </si>
  <si>
    <t>Visionet Data International</t>
  </si>
  <si>
    <t>PT Siloam International Hospital</t>
  </si>
  <si>
    <t>Lippo Cyber Park. Jalan Boulevard Gajah Mada No. 2120, Lippo Karawaci, Tangerang 15811</t>
  </si>
  <si>
    <t>PA/ACT/1806/0736</t>
  </si>
  <si>
    <t>14200/SPP/008/PUSAT/ICON+/2020</t>
  </si>
  <si>
    <t xml:space="preserve">Sigma Cipta Caraka </t>
  </si>
  <si>
    <t>Komisi Pemberantas Korupsi</t>
  </si>
  <si>
    <t>Jl. Kapt.Subijanto DJ, Tangerang 15321</t>
  </si>
  <si>
    <t>PA/ACT/1907/2013/TER</t>
  </si>
  <si>
    <t>Biznet</t>
  </si>
  <si>
    <t>PT Bank Sinarmas CID 5008</t>
  </si>
  <si>
    <t>ICON-00//SBC/1706/0035</t>
  </si>
  <si>
    <t>12587/SPP/PUSAT/ICON+/2020</t>
  </si>
  <si>
    <t>PT Bank HSBC Indonesia</t>
  </si>
  <si>
    <t>PA/ACT/2002/1094</t>
  </si>
  <si>
    <t>12770/SPP/008/PUSAT/ICON+/2020</t>
  </si>
  <si>
    <t>PT Aeon Credit Services Indonesia</t>
  </si>
  <si>
    <t>PA/ACT/2001/3966</t>
  </si>
  <si>
    <t>12681/SPP/008/PUSAT/ICON+/2020</t>
  </si>
  <si>
    <t>12652/SPP/008/PUSAT/ICON+/2020</t>
  </si>
  <si>
    <t xml:space="preserve">PT Kideco Jaya Agung </t>
  </si>
  <si>
    <t>PA/ACT/2003/0160</t>
  </si>
  <si>
    <t>12926/SPP/008/PUSAT/ICON+/2020</t>
  </si>
  <si>
    <t>PT Tokopedia</t>
  </si>
  <si>
    <t>PA/ACT/2002/2086</t>
  </si>
  <si>
    <t>12820/SPP/008/PUSAT/ICON+/2020</t>
  </si>
  <si>
    <t>12942/SPP/008/PUSAT/ICON+/2020</t>
  </si>
  <si>
    <t>Primacom qq Bank Ina Perdana</t>
  </si>
  <si>
    <t>Jl. Rempoa Raya 11 Ciputat</t>
  </si>
  <si>
    <t>PA/ACT/1812/0776</t>
  </si>
  <si>
    <t>12655/SPP/008/PUSAT/ICON+/2020</t>
  </si>
  <si>
    <t>Envision</t>
  </si>
  <si>
    <t>Olam</t>
  </si>
  <si>
    <t>Ged. Perkantoran Prudential Centre Kota Kasablanka Jakarta 0000</t>
  </si>
  <si>
    <t>PA/ACT/1810/0186</t>
  </si>
  <si>
    <t>12975/SPP/008/PUSAT/ICON+/2020</t>
  </si>
  <si>
    <t>PT Hadisurjo Propertama</t>
  </si>
  <si>
    <t>Mora Telematika Indonesia</t>
  </si>
  <si>
    <t>Jl. Raya Perjuangan No. 88, Jakarta 0000</t>
  </si>
  <si>
    <t>ICON-00/ACT/1403/0570/0990000320347478/ICON-00/SBC/1411/0452</t>
  </si>
  <si>
    <t>12648/SPP/008/PUSAT/ICON+/2020</t>
  </si>
  <si>
    <t>Global Pahala Jasatama</t>
  </si>
  <si>
    <t>PT Astari Niagara Internasional</t>
  </si>
  <si>
    <t>Jln Gatot Subroto Kav. 51-52</t>
  </si>
  <si>
    <t>ICON-00/SBC/1710/2251</t>
  </si>
  <si>
    <t>13395/SPP/008/PUSAT/ICON+/2020</t>
  </si>
  <si>
    <t>ICON-00/ACT/1605/0716, ICON-00/ACT/1605/0717, ICON-00/ACT/1605/0718, ICON-00/ACT/1605/0720, ICON-00/ACT/1605/0719</t>
  </si>
  <si>
    <t>PT Prima Vista Solusi</t>
  </si>
  <si>
    <t>Jl. M. H. Thamrin Kav 3, Jakarta Pusat 10250</t>
  </si>
  <si>
    <t>AL/1906/14578, PA/ACT/1904/2085</t>
  </si>
  <si>
    <t>Jatelindo Perkasa Abadi</t>
  </si>
  <si>
    <t>Jl. M. H. Thamrin Kav 3, Jakarta Pusat 10251</t>
  </si>
  <si>
    <t>ICON-00/SBC/1208/0067, ICON-00/SBC/1208/0068</t>
  </si>
  <si>
    <t>13406/SPP?008/PUSAT/ICON+/2020</t>
  </si>
  <si>
    <t>Penghimpun Penghuni Menara Karya</t>
  </si>
  <si>
    <t>Bukit Asam</t>
  </si>
  <si>
    <t>G.M Karya Jl. HR. Rasuna Said B. X-5 Kav. 1-2 Jakarta Selatan 12950</t>
  </si>
  <si>
    <t>PA/UPG/1905/0156</t>
  </si>
  <si>
    <t>12187/SPP/008/PUSAT/ICON+/2019</t>
  </si>
  <si>
    <t>PT Lintas Arta QQ Prudential</t>
  </si>
  <si>
    <t>PA/ACT/1810/1684</t>
  </si>
  <si>
    <t>14022/SPP/008/PUSAT/ICON+/2020</t>
  </si>
  <si>
    <t>ICON-00/SOP/1403/0020</t>
  </si>
  <si>
    <t>PT Infinys System Indonesia</t>
  </si>
  <si>
    <t>Jl. H.R. Rasuna Said Blok X5 13 Jakarta 0000</t>
  </si>
  <si>
    <t>PA/ACT/1910/4038</t>
  </si>
  <si>
    <t>PT Sumber Alfaria Trijaya</t>
  </si>
  <si>
    <t>ICON-00/ACT/1510/0150</t>
  </si>
  <si>
    <t>Biznet DataCenter</t>
  </si>
  <si>
    <t>PT Bank Sinarmas CID 1939</t>
  </si>
  <si>
    <t>ICON-00/SBC/1706/0035, ICON-00/SBC/1704/0227</t>
  </si>
  <si>
    <t>12450/SPP/008/PUSAT/ICON+/2019</t>
  </si>
  <si>
    <t>PT Astra Sedaya Finance</t>
  </si>
  <si>
    <t>PA/RLK/2003/0178/TER</t>
  </si>
  <si>
    <t>12892/SPP/008/PUSAT/ICON+/2020</t>
  </si>
  <si>
    <t>PT Bank Rakyat Indonesia</t>
  </si>
  <si>
    <t>Jl. Kapt.Subijanto DJ, Tangerang 15322</t>
  </si>
  <si>
    <t>PA/RLK/2003/0008/TER</t>
  </si>
  <si>
    <t>12893/SPP/008/PUSAT/ICON+/2020</t>
  </si>
  <si>
    <t xml:space="preserve">Zainal Johamsa </t>
  </si>
  <si>
    <t>PT Sumber Mentari Elektrindo</t>
  </si>
  <si>
    <t>Jln Dwikora II 1238 Palembang 0000</t>
  </si>
  <si>
    <t>SPA/ACT/1911/000485</t>
  </si>
  <si>
    <t>Jl. Jend Sudirman Kav. 1 Wisma 46 Kota BNI 5 Jakarta Pusat 10220</t>
  </si>
  <si>
    <t>Arthamas Solusindo</t>
  </si>
  <si>
    <t>ROXY SQUARE Lantai 1 Blok B08.2, Jl. Kyai Tapa No.1, RT.10/RW.10, Tomang, Kec. Grogol petamburan, Kota Jakarta Barat, Daerah Khusus Ibukota Jakarta 11440</t>
  </si>
  <si>
    <t>PA/ACT/1808/0394</t>
  </si>
  <si>
    <t>12338/SPP/008/ICON+?2019</t>
  </si>
  <si>
    <t xml:space="preserve">Bank Woori </t>
  </si>
  <si>
    <t>Jl Jend Sudirman Kav. 52-53 Kebayoran Baru, Jakarta Selatan 12190</t>
  </si>
  <si>
    <t>AL/1809/10470</t>
  </si>
  <si>
    <t>12668/SPP/008/PUSAT/ICON+/2020</t>
  </si>
  <si>
    <t>ACE Hardware</t>
  </si>
  <si>
    <t>PA/ACT/1802/2350</t>
  </si>
  <si>
    <t>13715/SPP/008/PUSAT/ICON+/2020</t>
  </si>
  <si>
    <t>PT Jatelindo Perkasa Abadi</t>
  </si>
  <si>
    <t>PA/ACT/1905/1258</t>
  </si>
  <si>
    <t>13394/SPP/008/PUSAT/ICO+/2020</t>
  </si>
  <si>
    <t>PT Jala Lintas Media qq  IAIN Kediri</t>
  </si>
  <si>
    <t>PA/ACT/2001/0748</t>
  </si>
  <si>
    <t>13898/SPP/008/PUSAT/ICON+/2020</t>
  </si>
  <si>
    <t>Lekom Maras</t>
  </si>
  <si>
    <t>PT Telekomunikasi Indonesia Tbk</t>
  </si>
  <si>
    <t>Jl. TB Simatupang Kav 1B Jakarta Selatan 12560</t>
  </si>
  <si>
    <t>AL/1903/5178</t>
  </si>
  <si>
    <t>1195/SPP/008/PUSAT/ICON+/2019</t>
  </si>
  <si>
    <t>PT hanasta Dakara</t>
  </si>
  <si>
    <t>Jl. Kuningan Barat 8 Jakarta 12710</t>
  </si>
  <si>
    <t>PA/UPG/1804/0816</t>
  </si>
  <si>
    <t>13799/SPP/008/PUSAT/ICON+/2020</t>
  </si>
  <si>
    <t>Pusat Pengelolaan Komplek Kemayoran</t>
  </si>
  <si>
    <t>PT Angkasa Pura Logistik</t>
  </si>
  <si>
    <t>Jl. Angkasa Kemayoran Jakarta 10610</t>
  </si>
  <si>
    <t>PA/RLK/1809/0059</t>
  </si>
  <si>
    <t xml:space="preserve">BCA Multifinance </t>
  </si>
  <si>
    <t>Persatuan Penghuni Perkantoran Plaz</t>
  </si>
  <si>
    <t>PT Orbit Terminal Merak</t>
  </si>
  <si>
    <t>Gedung Plaza Asia Jl. Jend. Sudirman Kav 59 Jakarta 12190</t>
  </si>
  <si>
    <t>Cyberindo Aditama</t>
  </si>
  <si>
    <t>ICON-00/SBC/1710/1222</t>
  </si>
  <si>
    <t>All Pelanggan</t>
  </si>
  <si>
    <t>WTP Building Jl Jababeka IV Blok B No.n12 Jbbk</t>
  </si>
  <si>
    <t>ICON-00/SBC/1801/0258</t>
  </si>
  <si>
    <t>14338/SPP/008/PUSAT/ICON+/2020</t>
  </si>
  <si>
    <t>AL/2008/41053</t>
  </si>
  <si>
    <t>Seluruh Pelanggan</t>
  </si>
  <si>
    <t>15076/SPP/008/PUSAT/ICON+/2020</t>
  </si>
  <si>
    <t xml:space="preserve">PT Sigma Cipta Caraka </t>
  </si>
  <si>
    <t xml:space="preserve">Komisi Pemberantas Korupsi </t>
  </si>
  <si>
    <t xml:space="preserve"> </t>
  </si>
  <si>
    <t xml:space="preserve">PT GPAY Digital Asia </t>
  </si>
  <si>
    <t>Jakarta Pusat 10320</t>
  </si>
  <si>
    <t>PA/ACT/2009/0738/ORI</t>
  </si>
  <si>
    <t>14387/SPP/008/PUSAT/ICON+/2020</t>
  </si>
  <si>
    <t xml:space="preserve">Commonwealth Bank </t>
  </si>
  <si>
    <t>PA/ACT/2009/0142/TER</t>
  </si>
  <si>
    <t>14386/SPP/008/PUSAT/ICON+/2020</t>
  </si>
  <si>
    <t>PT Reksa Griya Antam</t>
  </si>
  <si>
    <t>Gedung Antam</t>
  </si>
  <si>
    <t>ICON-00/ACT/1108/3949</t>
  </si>
  <si>
    <t>12339/SPP/008/PUSAT/ICON+/2019</t>
  </si>
  <si>
    <t>Jl.Kemang Graha Kapital Basement Jakarta Selatan 12730</t>
  </si>
  <si>
    <t>13591/SPP/008/PUSAT/ICON+/2020</t>
  </si>
  <si>
    <t>PT Adeaksa Indo Jayatama</t>
  </si>
  <si>
    <t>Jakarta 12170</t>
  </si>
  <si>
    <t>14166/SPP/008/PUSAT/ICON+/2020</t>
  </si>
  <si>
    <t xml:space="preserve">The East Building </t>
  </si>
  <si>
    <t>PT Mora Telematika Indonesia</t>
  </si>
  <si>
    <t>Jakarta 12950</t>
  </si>
  <si>
    <t>ACT/1810/0036/AL/1811/13</t>
  </si>
  <si>
    <t>13888/SPP/008/PUSAT/ICON+/2020</t>
  </si>
  <si>
    <t xml:space="preserve">PT Anpa International  </t>
  </si>
  <si>
    <t xml:space="preserve">Bank Syariah Mandiri </t>
  </si>
  <si>
    <t>Jakarta 10110</t>
  </si>
  <si>
    <t>ICON-00/SBC/1408/0274/0990000320354328</t>
  </si>
  <si>
    <t>13599/SPP/008/PUSAT/ICON+/2020</t>
  </si>
  <si>
    <t xml:space="preserve">Grahaniaga Tatautama </t>
  </si>
  <si>
    <t>BUT.Sarulla Operations LTD</t>
  </si>
  <si>
    <t>ICON-00/ACT/1709/1154</t>
  </si>
  <si>
    <t>13595/SPP/008/PUSAT/ICON+/2020</t>
  </si>
  <si>
    <t xml:space="preserve">PT Berlian Sistem Informasi </t>
  </si>
  <si>
    <t>Jakarta 10260</t>
  </si>
  <si>
    <t>CT/1908/0063/TER/AL/1912/5</t>
  </si>
  <si>
    <t>14019/SPP/008/PUSAT/ICON+/2020</t>
  </si>
  <si>
    <t>ICON-00/SOP/1404/0010</t>
  </si>
  <si>
    <t>PA/ACT/1907/3933 , PA/ACT/1907/3934 , PA/ACT/1907/3935</t>
  </si>
  <si>
    <t>13890/SPP/008/PUSAT/ICON+/2020</t>
  </si>
  <si>
    <t>PT Teknovatus Solusi Sejahtera</t>
  </si>
  <si>
    <t>PT Bank Syariah Bukopin</t>
  </si>
  <si>
    <t>Tanggerang 15322</t>
  </si>
  <si>
    <t>PA/ACT/2007/0099/TER</t>
  </si>
  <si>
    <t xml:space="preserve">PT Teknologi Nusantara </t>
  </si>
  <si>
    <t>Astra International Tbk</t>
  </si>
  <si>
    <t>PA/ACT/2002/2222/TER</t>
  </si>
  <si>
    <t>13965/SPP/008/PUSAT/ICON+/2020</t>
  </si>
  <si>
    <t>PT Airpray International Indonesia</t>
  </si>
  <si>
    <t>PA/ACT/1908/0899</t>
  </si>
  <si>
    <t>13316/SPP/008/PUSAT/ICON+/2020</t>
  </si>
  <si>
    <t>Omega Propertindo</t>
  </si>
  <si>
    <t>PT Japfa Comfeed Indonesia</t>
  </si>
  <si>
    <t>Wisma Millenia Jakarta Jl. MT. Haryono kav. 16 Jakarta Selatan 12810</t>
  </si>
  <si>
    <t>12625/SPP/008/PUSAT/ICON+/2020</t>
  </si>
  <si>
    <t>PT Giga Patra Multumedia , IAIAN Salatiga</t>
  </si>
  <si>
    <t>1000106862 , 1000094688</t>
  </si>
  <si>
    <t>13825/SPP/008/PUSAT/ICON+/2020</t>
  </si>
  <si>
    <t>MIG/1705/0004</t>
  </si>
  <si>
    <t>13509/SPP/008/PUSAT/ICON+/2020</t>
  </si>
  <si>
    <t>PT Caltumas Kelola Sukses</t>
  </si>
  <si>
    <t>PT Krisbow Indonesia</t>
  </si>
  <si>
    <t>Jakarta Pusat 10440</t>
  </si>
  <si>
    <t>12631/SPP/008/PUSAT/ICON+/2020</t>
  </si>
  <si>
    <t xml:space="preserve">PT Bank Mandiri Tespen Jakarta </t>
  </si>
  <si>
    <t>PA/ACT/2003/1096</t>
  </si>
  <si>
    <t>13267/SPP/008/PUSAT/ICON+/2020</t>
  </si>
  <si>
    <t>Gedung Jaya Jl.MH Thamrin No.12</t>
  </si>
  <si>
    <t>12664/SPP/008/PUSAT/ICON+/2020</t>
  </si>
  <si>
    <t>PT Biznet Data Center</t>
  </si>
  <si>
    <t xml:space="preserve">PT Cyberindo Aditama </t>
  </si>
  <si>
    <t>AL/1908/31866</t>
  </si>
  <si>
    <t xml:space="preserve">Bank UMFG </t>
  </si>
  <si>
    <t>ICON-00/SBC/1506/0252</t>
  </si>
  <si>
    <t>12694/SPP/008/PUSAT/ICON+/2020</t>
  </si>
  <si>
    <t>14660/SPP/008/PUSAT/ICON+/2020</t>
  </si>
  <si>
    <t>PT Gclub Digital Asia</t>
  </si>
  <si>
    <t>Jakarta Pusat 10250</t>
  </si>
  <si>
    <t>PA/ACT/22010/1261/TER</t>
  </si>
  <si>
    <t>14732/SPP/008/PUSAT/ICON+/2020</t>
  </si>
  <si>
    <t>PA/ACT/2010/1259</t>
  </si>
  <si>
    <t>14734/SPP/008/PUSAT/ICON+/2020</t>
  </si>
  <si>
    <t>Komisi Pemberantasan Korupsi</t>
  </si>
  <si>
    <t>PA/ACT/1907/2014/TER , PA/ACT/1907/2013/TER , PA/ACT/1907/2012/TER , PA/ACT/1907/2010/TER , PA/ACT/1907/2009/TER , PA/ACT/1907/2007/TER</t>
  </si>
  <si>
    <t>PT Royal Oriental</t>
  </si>
  <si>
    <t>PT Smart Tbk</t>
  </si>
  <si>
    <t>Jakarta 10350</t>
  </si>
  <si>
    <t>13938/SPP/008/PUSAT/ICON+/2020</t>
  </si>
  <si>
    <t>PA/ACT/2007/1607 , PA/ACT/2007/1030</t>
  </si>
  <si>
    <t>13975/SPP/008/PUSAT/ICON+/2020</t>
  </si>
  <si>
    <t>PT Mitra Visioner Pratama</t>
  </si>
  <si>
    <t>Jakarta 15321</t>
  </si>
  <si>
    <t>PA/ACT/2001/0546/TER</t>
  </si>
  <si>
    <t>12572/SPP/008/PUSAT/ICON+/2020</t>
  </si>
  <si>
    <t>PT Bitniaga Cipta Gemilang</t>
  </si>
  <si>
    <t>PA/ACT/2005/0949</t>
  </si>
  <si>
    <t>13469/SPP/008/PUSAT/ICON+/2020</t>
  </si>
  <si>
    <t>12168/SPP/008/PUSAT/ICON+/2020</t>
  </si>
  <si>
    <t>PT Cakra Nusa Utama</t>
  </si>
  <si>
    <t>PA/ACT/1901/0690</t>
  </si>
  <si>
    <t>12654/SPP/008/PUSAT/ICON+/2020</t>
  </si>
  <si>
    <t>PT Patra Jasa Office Tower</t>
  </si>
  <si>
    <t>13678/SPP/008/PUSAT/ICON+/2020</t>
  </si>
  <si>
    <t>PT BCA Multifinance , PT NTT Indonesia , PT Link Net</t>
  </si>
  <si>
    <t>AR/UPG/1905/1992 , AR/ACT/1712/0967 , AR/ACT/2005/14669</t>
  </si>
  <si>
    <t>13889/SPP/008/PUSAT/ICON+/2020</t>
  </si>
  <si>
    <t>PT Bank Keb Hana Indonesia</t>
  </si>
  <si>
    <t>PA/ACT/2002/2197/TER</t>
  </si>
  <si>
    <t>Infrastruktur Bisnis Sejahtera</t>
  </si>
  <si>
    <t>PT Exceiso Multirasa</t>
  </si>
  <si>
    <t>Jakarta Pusat 10350</t>
  </si>
  <si>
    <t>PA/ACT/2008/0804</t>
  </si>
  <si>
    <t>16015/SPP/008/PUSAT/ICON+/2021</t>
  </si>
  <si>
    <t>Pratama Link</t>
  </si>
  <si>
    <t>ICON-00/SBC/1610/0269</t>
  </si>
  <si>
    <t>13982/SPP/008/PUSAT/ICON+/2021</t>
  </si>
  <si>
    <t>PA/ACT/2012/0399</t>
  </si>
  <si>
    <t>15147/SPP/008/PUSAT/ICON+/2021</t>
  </si>
  <si>
    <t>XL Axiata</t>
  </si>
  <si>
    <t>Kuningan Timur Setiabudi 00000</t>
  </si>
  <si>
    <t>PA/ACT/2012/0459</t>
  </si>
  <si>
    <t>15063/SPP/008/PUSAT/ICON+/2020</t>
  </si>
  <si>
    <t>PLN Icon Plus</t>
  </si>
  <si>
    <t>Jl.Kuningan Barat NO.8 Cyber-1</t>
  </si>
  <si>
    <t>15532/SPP/008/PUSAT/ICON+/2021</t>
  </si>
  <si>
    <t>PT Bina Informatika Solusi</t>
  </si>
  <si>
    <t>PA/ACT/2103/0262</t>
  </si>
  <si>
    <t>15531/SPP/008/PUSAT/ICON+/2021</t>
  </si>
  <si>
    <t>PT Umggaran Sari Germents</t>
  </si>
  <si>
    <t>Jl.Rempoa Raya 11 Ciputat 00000</t>
  </si>
  <si>
    <t>PA/UPG/2008/0002 , PA/UPG/2008/0011/TER . PA/UPG/2008/0003</t>
  </si>
  <si>
    <t>15281/SPP/008/PUSAT/ICON+/2021</t>
  </si>
  <si>
    <t>Kementrian Energi dan Sumber Daya Mineral</t>
  </si>
  <si>
    <t xml:space="preserve">PA/ACT/2102/0766/TER , PA/ACT/2102/0781/TER , PA/ACT/2102/0767/TER </t>
  </si>
  <si>
    <t>PT Cahaya Jakarta</t>
  </si>
  <si>
    <t>Bekasi 17530</t>
  </si>
  <si>
    <t>PA/ACT/2101/0388</t>
  </si>
  <si>
    <t>15177/SPP/008/PUSAT/ICON+/2021</t>
  </si>
  <si>
    <t>PA/ACT/2102/0657</t>
  </si>
  <si>
    <t>15277/SPP/008/PUSAT/ICON+/2021</t>
  </si>
  <si>
    <t>PT Cyberindo Aditama</t>
  </si>
  <si>
    <t>JL.H.R.Rasuna Said Blok X5 13 Jakarta 00000</t>
  </si>
  <si>
    <t>PA/ACT/2101/1877</t>
  </si>
  <si>
    <t>15221/SPP/008/PUSAT/ICON+/2021</t>
  </si>
  <si>
    <t>PT Serasi Autoraya</t>
  </si>
  <si>
    <t>Jl.Tentara Pelajar Jakarta 12210</t>
  </si>
  <si>
    <t>PA/ACT/1907/1761/TER</t>
  </si>
  <si>
    <t>Jl.Kuningan Barat 8 Jakarta 12170</t>
  </si>
  <si>
    <t>MIG/1705/0004/ICON-00/SBC/1710/0706</t>
  </si>
  <si>
    <t>PT Hatachi Contruction Machinery Indonesia</t>
  </si>
  <si>
    <t>PA/UPG/1909/0027</t>
  </si>
  <si>
    <t xml:space="preserve">PT Bank Mandiri (PERSERO) Tbk , Asuransi Umum BCA </t>
  </si>
  <si>
    <t>Jl.Gatot Subroto Jakarta 10270</t>
  </si>
  <si>
    <t>PA/UPG/1906/0029 , ICON-00/SBC/1711/0683</t>
  </si>
  <si>
    <t>Bank Woori Saudara</t>
  </si>
  <si>
    <t>Jakarta Selatan 12190</t>
  </si>
  <si>
    <t>PA/ACT/1809/1618 , PA/ACT/1809/1782</t>
  </si>
  <si>
    <t>PT DHL Supply Chain Indonesia</t>
  </si>
  <si>
    <t>PA/ACT/2106/1509</t>
  </si>
  <si>
    <t>16106/SPP/008/PUSAT/ICON+/2021</t>
  </si>
  <si>
    <t>PA/ACT/2107/0545</t>
  </si>
  <si>
    <t>16311/SPP/008/PUSAT/ICON+/2021</t>
  </si>
  <si>
    <t xml:space="preserve">PT Olam Idonesia </t>
  </si>
  <si>
    <t>PA/ACT/2106/0018</t>
  </si>
  <si>
    <t>16136/SPP/008/PUSAT/ICON+/2021</t>
  </si>
  <si>
    <t>PT Grafindo Mitrasemesta</t>
  </si>
  <si>
    <t>PA/ACT/2104/2615</t>
  </si>
  <si>
    <t xml:space="preserve">Platinum Ceramics </t>
  </si>
  <si>
    <t>Jl.Mangga Dua Raya Jakarta Pusat 10730</t>
  </si>
  <si>
    <t>AL/2001/2467</t>
  </si>
  <si>
    <t>Gd JITC Lt 7&amp;8 Jl Mangga Dua Jakarta Utara 14430</t>
  </si>
  <si>
    <t>AR/CHT/2103/1186</t>
  </si>
  <si>
    <t>The East Building</t>
  </si>
  <si>
    <t>PT Astra Sedaya Finance , PT Mora Telematika Indonesia , PT Tirta Sari Surya , PT Kirana Megatara , PT Djambi Waras</t>
  </si>
  <si>
    <t>ACT/1810/0036/AL/1811/13 , AR/ACT/1909/30972 , AR/UPG/1905/1914 , AR/UPG/1905/1913 , AR/UPG/1905/1918</t>
  </si>
  <si>
    <t>PT Trisula Media Data</t>
  </si>
  <si>
    <t>PA/ACT/2010/1353</t>
  </si>
  <si>
    <t>PT Inti Dunia Sukses</t>
  </si>
  <si>
    <t>PA/ACT/1912/0149/TER</t>
  </si>
  <si>
    <t>PA/RLK/2009/0090/TER</t>
  </si>
  <si>
    <t>PT Cakra Waskita Teknologi , BASARNAS</t>
  </si>
  <si>
    <t>Kemayoran Jakarta 10610</t>
  </si>
  <si>
    <t>PA/ACT/2111/3315/TER</t>
  </si>
  <si>
    <t>17628/SPP/008/PUSAT/ICON+/2022</t>
  </si>
  <si>
    <t xml:space="preserve">Bank BCA Syariah </t>
  </si>
  <si>
    <t>AL/1903/4924/0990000320376164 , AL/1903/4934/0990000320376162</t>
  </si>
  <si>
    <t>17323/SPP/008/PUSAT/ICON+/2022</t>
  </si>
  <si>
    <t>PT Angkasa Pura Logisik , PT Caraka Waskita Teknologi</t>
  </si>
  <si>
    <t>Jakarta 10610</t>
  </si>
  <si>
    <t xml:space="preserve">PA/ACT/1904/0156 </t>
  </si>
  <si>
    <t>17571/SPP/008/PUSAT/ICON+/2021</t>
  </si>
  <si>
    <t xml:space="preserve">PT Softex Indonesia </t>
  </si>
  <si>
    <t>PA/ACT/2109/1806/TER</t>
  </si>
  <si>
    <t>16813/SPP/008/PUSAT/ICON+/2021</t>
  </si>
  <si>
    <t>PT Jaya Media Express</t>
  </si>
  <si>
    <t>PA/ACT/2109/0110</t>
  </si>
  <si>
    <t>16886/SPP/008/PUSAT/ICON+/2021</t>
  </si>
  <si>
    <t xml:space="preserve">Artha Telekomindo  </t>
  </si>
  <si>
    <t>PT Fermentech Indonesia</t>
  </si>
  <si>
    <t>PA/UPG/1902/0037 , PA/UPG/1902/0043</t>
  </si>
  <si>
    <t>PT Excelso Multirasa</t>
  </si>
  <si>
    <t>PT Indonesia Comnet Plus</t>
  </si>
  <si>
    <t>PT Hipernet Indodata , PT Citra Plastik Makmur</t>
  </si>
  <si>
    <t>PA/ACT/2105/0443/TER</t>
  </si>
  <si>
    <t>15881/SPP/008/PUSAT/ICON+/2021</t>
  </si>
  <si>
    <t xml:space="preserve">PT Integra Kreasitama Solusindo </t>
  </si>
  <si>
    <t>Bank Mandiri , Bank Mega</t>
  </si>
  <si>
    <t>Jakarta 12410</t>
  </si>
  <si>
    <t>PA/UPG/1906/0069 , PA/ACT/1805/0437</t>
  </si>
  <si>
    <t>PA/ACT/2110/0365</t>
  </si>
  <si>
    <t>16930/SPP/008/PUSAT/ICON+/2021</t>
  </si>
  <si>
    <t>Jakarta 10270</t>
  </si>
  <si>
    <t>PA/UOD/2110/0010</t>
  </si>
  <si>
    <t>PT Artinus Komunika Lima</t>
  </si>
  <si>
    <t>16780/SPP/008/PUSAT/ICON+/2021</t>
  </si>
  <si>
    <t>16488/SPP/008/PUSAT/ICON+/2021</t>
  </si>
  <si>
    <t>Rekso Nasional Food</t>
  </si>
  <si>
    <t>Jakarta Pusat 00000</t>
  </si>
  <si>
    <t>ICON-00/SBC/1609/0292</t>
  </si>
  <si>
    <t>PT Hipernet Indodata qq PT Surya Internusa Hotels</t>
  </si>
  <si>
    <t>PA/ACT/2102/2076/TER</t>
  </si>
  <si>
    <t>15458/SPP/008/PUSAT/ICON+/2021</t>
  </si>
  <si>
    <t>PT Indonesia Comnets Plus</t>
  </si>
  <si>
    <t>PA/ACT/2011/1679/TER</t>
  </si>
  <si>
    <t>15143/SPP/008/PUSAT/ICON+/2021</t>
  </si>
  <si>
    <t>PT Hipernet Indodata qq PT Mitsuyoshi Manufacturing Indonesia</t>
  </si>
  <si>
    <t>PA/UPG/2102/0694</t>
  </si>
  <si>
    <t>15454/SPP/008/PUSAT/ICON+/2021</t>
  </si>
  <si>
    <t>Bali Towerindo Sentra Tbk</t>
  </si>
  <si>
    <t>PT Caturkarda Depo Bangunan</t>
  </si>
  <si>
    <t>Jl. Batu Ceper No. 53, Kebon Kelapa, Gambir, Jakarta Pusat 10120.</t>
  </si>
  <si>
    <t>15325/SPP/008/PUSAT/ICON+/2021</t>
  </si>
  <si>
    <t>PT Marmitria Land</t>
  </si>
  <si>
    <t>PT Kideco Jaya Agung</t>
  </si>
  <si>
    <t>PA/ACT/2012/2393/TER</t>
  </si>
  <si>
    <t>15383/SPP/008/PUSAT/ICON+/2021</t>
  </si>
  <si>
    <t>PT Data Buana Nusantara</t>
  </si>
  <si>
    <t>PA/ACT/2012/0489</t>
  </si>
  <si>
    <t>15187/SPP/008/PUSAT/ICON+/2021</t>
  </si>
  <si>
    <t>PA/ACT/2012/2159</t>
  </si>
  <si>
    <t>15188/SPP/008/PUSAT/ICON+/2021</t>
  </si>
  <si>
    <t>110214067/MI/07/PST/2020</t>
  </si>
  <si>
    <t>15097/SPP/008/PUSAT/ICON+/2021</t>
  </si>
  <si>
    <t>PT Adaro Indonesia</t>
  </si>
  <si>
    <t>PA/ACT/1904/2037/TER</t>
  </si>
  <si>
    <t>PT Kaldu Sari Nabati</t>
  </si>
  <si>
    <t>PA/ACT/1803/0827</t>
  </si>
  <si>
    <t>PT Astra Daihatsu Motor</t>
  </si>
  <si>
    <t>ICON-00/ACT/1705/1412</t>
  </si>
  <si>
    <t xml:space="preserve">Hipernet Indodata </t>
  </si>
  <si>
    <t>Commonwealth Bank</t>
  </si>
  <si>
    <t>Grogol, Petamburan,Jakarta Barat 11450</t>
  </si>
  <si>
    <t>AL/1912/61745</t>
  </si>
  <si>
    <t>PT Mattel Indonesia</t>
  </si>
  <si>
    <t>PA/UPG/2106/0232/TER</t>
  </si>
  <si>
    <t>16107/SPP/008/PUSAT/ICON+/2021</t>
  </si>
  <si>
    <t>PT Primacom Interbuana</t>
  </si>
  <si>
    <t>PA/ACT/2107/0057/TER</t>
  </si>
  <si>
    <t>16199/SPP/008/PUSAT/ICON+/2021</t>
  </si>
  <si>
    <t>PT Hipernet Indodata qq PT ICI Paints Indonesia</t>
  </si>
  <si>
    <t>PA/ACT/2104/2730/TER</t>
  </si>
  <si>
    <t>16111/SPP/008/PUSAT/ICON+/2021</t>
  </si>
  <si>
    <t>Crisis Menara Permai</t>
  </si>
  <si>
    <t>PT Link Net qq PT Pana Persada Nusantara</t>
  </si>
  <si>
    <t>Bogor 00000</t>
  </si>
  <si>
    <t>PA/ACT/2104/1125</t>
  </si>
  <si>
    <t>16149/SPP/008/PUSAT/ICON+/2021</t>
  </si>
  <si>
    <t xml:space="preserve">PT Anpa International </t>
  </si>
  <si>
    <t>Bank Syariah Mandiri</t>
  </si>
  <si>
    <t>PA/UPG/2101/0395</t>
  </si>
  <si>
    <t>Bank Bukopin</t>
  </si>
  <si>
    <t>PA/UPG/1810/0006</t>
  </si>
  <si>
    <t>Indosat, Bank Sinarmas, Jala Lintas Media</t>
  </si>
  <si>
    <t>0990000320511772/ICON-00/SBC/1707/0137, AL/2005/15476, AR/DOW/1804/0075</t>
  </si>
  <si>
    <t>PT Telekomunikasi Indonesia</t>
  </si>
  <si>
    <t>Badan Riset dan Inovasi Nasional</t>
  </si>
  <si>
    <t>Jakarta Selatan 12017</t>
  </si>
  <si>
    <t>PA/ACT/2112/2143</t>
  </si>
  <si>
    <t>17602/SPP/008/PUSAT/ICON+/2021</t>
  </si>
  <si>
    <t>ICON-00/ACT/1711/1437</t>
  </si>
  <si>
    <t>PA/ACT/2011/0709</t>
  </si>
  <si>
    <t>PT Hijau Solusi Utama</t>
  </si>
  <si>
    <t>PA/ACT/2109/2254/TER</t>
  </si>
  <si>
    <t>17563/SPP/008/PUSAT/ICON+/2021</t>
  </si>
  <si>
    <t>PT Sigma Cipta Caraka</t>
  </si>
  <si>
    <t>Badan Pengelola Pendapatan Daerah Jawa Tengah</t>
  </si>
  <si>
    <t>PA/RLK/2112/0084/TER</t>
  </si>
  <si>
    <t>17589/SPP/008/PUSAT/ICON+/2021</t>
  </si>
  <si>
    <t>PA/ACT/2108/1751/TER</t>
  </si>
  <si>
    <t>16538/SPP/008/PUSAT/ICON+/2021</t>
  </si>
  <si>
    <t>PT PLN</t>
  </si>
  <si>
    <t>PA/ACT/1805/0063</t>
  </si>
  <si>
    <t>16066/SPP/008/PUSAT/ICON+/2021</t>
  </si>
  <si>
    <t>PA/ACT/2109/1556/TER</t>
  </si>
  <si>
    <t>16823/SPP/008/PUSAT/ICON+/2021</t>
  </si>
  <si>
    <t xml:space="preserve">PT Sunvone Communication </t>
  </si>
  <si>
    <t>PT Moda Integrasi Transpotasi Jabodetabek</t>
  </si>
  <si>
    <t>PA/ACT/2004/1165/TER</t>
  </si>
  <si>
    <t>16338/SPP/008/PUSAT/ICON+/2021</t>
  </si>
  <si>
    <t>PT Dankom Mitra Abadi</t>
  </si>
  <si>
    <t>PA/UPG/1812/0585</t>
  </si>
  <si>
    <t xml:space="preserve">Serpong Mas Telematika </t>
  </si>
  <si>
    <t>PT Lulu Group Retail</t>
  </si>
  <si>
    <t>ICON-00/SBC/1711/0550</t>
  </si>
  <si>
    <t>16413/SPP/008/PUSAT/ICON+/2021</t>
  </si>
  <si>
    <t>16252/SPP/008/PUSAT/ICON+/2021</t>
  </si>
  <si>
    <t>ICON-00/ACT/1711/1474, ICON-00/ACT/1705/1419</t>
  </si>
  <si>
    <t>14937/SPP/008/PUSAT/ICON+/2020</t>
  </si>
  <si>
    <t>PT Nap Infolintasnusa (CIGNA)</t>
  </si>
  <si>
    <t>Jl. Tentara Pelajar Jakarta 12210</t>
  </si>
  <si>
    <t>PA/ACT/1902/1519</t>
  </si>
  <si>
    <t>PT Bank Neo Commerce Tbk</t>
  </si>
  <si>
    <t>PA/ACT/2104/2393</t>
  </si>
  <si>
    <t>15970/SPP/008/PUSAT/ICON+/2021</t>
  </si>
  <si>
    <t>APJII</t>
  </si>
  <si>
    <t xml:space="preserve">Sekertariat Jendral Kementerian Hukum </t>
  </si>
  <si>
    <t>PA/ACT/1812/1562/TER</t>
  </si>
  <si>
    <t>15667/SPP/008/PUSAT/ICON+/2021</t>
  </si>
  <si>
    <t xml:space="preserve">Bank BJB </t>
  </si>
  <si>
    <t>Grha9 lt.6 Jl. Penataran 9</t>
  </si>
  <si>
    <t>PA/RLK/2104/0013</t>
  </si>
  <si>
    <t>15917/SPP/008/PUSAT/ICON+/2021</t>
  </si>
  <si>
    <t>PT MNC Kabel Mediacom</t>
  </si>
  <si>
    <t>PT Santos Jaya Abadi</t>
  </si>
  <si>
    <t>MNC Tower, Jl. Kebon Sirih No 17 Jakarta 10340</t>
  </si>
  <si>
    <t>PA/UPG/2104/0197</t>
  </si>
  <si>
    <t>15781/SPP/008/PUSAT/ICON+/2021</t>
  </si>
  <si>
    <t>PT Prestasi Piranti Informasi</t>
  </si>
  <si>
    <t>Lotte Chemical Titan Nusantara</t>
  </si>
  <si>
    <t>Gd. Menara Kadin Lt. 11 Unit E-G DKI Jakarta 00000</t>
  </si>
  <si>
    <t>PA/UPG/2104/0111</t>
  </si>
  <si>
    <t>Jl. Jend Sudirman Kav 10-11 Jakarta Pusat 00000</t>
  </si>
  <si>
    <t>Primacom Link Bank Sahabat</t>
  </si>
  <si>
    <t>Perhimpun Penghuni Menara Karya</t>
  </si>
  <si>
    <t>G.M.Karya Jl. H.R Rasuna Said B. X-5 Kav. 1-2</t>
  </si>
  <si>
    <t>Alfa Goldland Realty</t>
  </si>
  <si>
    <t>PT Bank Syariah Mandiri</t>
  </si>
  <si>
    <t>Jl. Griya Hijau Kav. F Jakarta 00000</t>
  </si>
  <si>
    <t>16260/SPP/008/PUSAT/ICON+/2021</t>
  </si>
  <si>
    <t>Jl. Kuningan Barat No.8 Cyber Building 1st &amp; 2nd Jakarta Selatan 12710</t>
  </si>
  <si>
    <t>PA/ACT/2107/0206</t>
  </si>
  <si>
    <t>16370/SPP/008//PUSAT/ICON+/2021</t>
  </si>
  <si>
    <t xml:space="preserve">PT Ipwan Global Telecom </t>
  </si>
  <si>
    <t>AL/2010/50624</t>
  </si>
  <si>
    <t xml:space="preserve">Dinamika Raya Prima </t>
  </si>
  <si>
    <t>AL/2005/15474, AL/2005/15475</t>
  </si>
  <si>
    <t>Jl. H. R Rasuna Said Blok X5 13 Jakarta 0000</t>
  </si>
  <si>
    <t>PA/ACT/1806/1081</t>
  </si>
  <si>
    <t>15419/SPP/008/PUSAT/ICON+/2021</t>
  </si>
  <si>
    <t xml:space="preserve">PT Bumi Serpong Damai </t>
  </si>
  <si>
    <t>PT Bank Fama International</t>
  </si>
  <si>
    <t>PA/ACT/1809/0799</t>
  </si>
  <si>
    <t xml:space="preserve">Airpay Intenational Indonesia </t>
  </si>
  <si>
    <t>Cross connect</t>
  </si>
  <si>
    <t>PA/ACT/1912/2626</t>
  </si>
  <si>
    <t>Jl. Jend Sudirman Kav. 52-53 Kebayoran Baru, Jakarta Selatan 12190</t>
  </si>
  <si>
    <t>AL/1809/10470/ICON-00/1606/0123</t>
  </si>
  <si>
    <t>BCA Kota Baru Parahyangan</t>
  </si>
  <si>
    <t>Jl. Rempoa Raya 11 Ciputat 00000</t>
  </si>
  <si>
    <t>PA/ACT/2002/0814</t>
  </si>
  <si>
    <t>Indomarco Prismatama</t>
  </si>
  <si>
    <t>PA/ACT/2006/1141</t>
  </si>
  <si>
    <t>Metropolitan Kencana Tbk</t>
  </si>
  <si>
    <t>AL/2012/78421</t>
  </si>
  <si>
    <t>Data Sinergitama Jaya QQ Prima Sarana Jaya</t>
  </si>
  <si>
    <t>ICON-00/SBC/1806/0021</t>
  </si>
  <si>
    <t>PT Sampoerna Telekomunikasi Indonesia</t>
  </si>
  <si>
    <t>Jl. Mangga Dua Raya Jakarta Ousat 10730</t>
  </si>
  <si>
    <t>PT Bimasakti Multi Sinegi</t>
  </si>
  <si>
    <t>PA/ACT/2105/2400/TER</t>
  </si>
  <si>
    <t>16009/SPP/008/PUSAT/ICON+/2021</t>
  </si>
  <si>
    <t>Sigma Cipta Caraka</t>
  </si>
  <si>
    <t>Jl. Kapt. Subijanto DJ Tangerang 15321</t>
  </si>
  <si>
    <t>PA/ACT/2105/0645</t>
  </si>
  <si>
    <t>15979/SPP/008/PUSAT/ICON+/2021</t>
  </si>
  <si>
    <t>Samadista Karya</t>
  </si>
  <si>
    <t>PT Astra Graphia Informasi Technology</t>
  </si>
  <si>
    <t>Jl. TB Simatupang RT.004 RW.0001 Kav. 15 Jakarta Selatan 00000</t>
  </si>
  <si>
    <t>PA/ACT/1806/0079</t>
  </si>
  <si>
    <t>Komisi Aparatur Sipil Negara</t>
  </si>
  <si>
    <t>Citra Graha Lantai 4, Suite 403 Jakarta 12950</t>
  </si>
  <si>
    <t>PA/ACT/2001/1498</t>
  </si>
  <si>
    <t>PT Neo Commerce Tbk</t>
  </si>
  <si>
    <t>15980/SPP/008/PUSAT/ICON+/2021</t>
  </si>
  <si>
    <t>15660/SPP/008/PUSAT/ICON+/2021</t>
  </si>
  <si>
    <t>PA/ACT/1803/0081</t>
  </si>
  <si>
    <t>15457/SPP/008/PUSAT/ICON+/2021</t>
  </si>
  <si>
    <t>AL/2005/13887</t>
  </si>
  <si>
    <t>15468/SPP/008/PUSAT/ICON+/2021</t>
  </si>
  <si>
    <t>PT Bukit Asam Dan Bank Mega</t>
  </si>
  <si>
    <t>AL/1904/5372</t>
  </si>
  <si>
    <t>15591/SPP/008/PUSAT/ICON+/2021</t>
  </si>
  <si>
    <t>Prestasi Piranti Informasi</t>
  </si>
  <si>
    <t>PT Lotte Chemical Titan Nusantara</t>
  </si>
  <si>
    <t>PA/ACT/2001/0593</t>
  </si>
  <si>
    <t>PA/ACT/2104/2395</t>
  </si>
  <si>
    <t>15872/SPP/008/PUSAT/ICON+/2021</t>
  </si>
  <si>
    <t>Grya Catur Abadi</t>
  </si>
  <si>
    <t>PT Tera Logistic Indonesia</t>
  </si>
  <si>
    <t>Jl. Abdul Muis No. 46 Jakarta 10160</t>
  </si>
  <si>
    <t>15824/SPP/008/PUSAT/ICON+/2021</t>
  </si>
  <si>
    <t>CDC Cyber</t>
  </si>
  <si>
    <t>15809/SPP/008/PUSAT/ICON+/2021</t>
  </si>
  <si>
    <t>Bank Index Selindo</t>
  </si>
  <si>
    <t>PA/ACT/1802/1088</t>
  </si>
  <si>
    <t>15685/SPP/008/PUSAT/ICON+/2021</t>
  </si>
  <si>
    <t xml:space="preserve">PT Shenhua Guohua Pembangkitan Jawa Bali </t>
  </si>
  <si>
    <t>Jl. M. H Thamrin Kav 3 Jakarta Pusat 10250</t>
  </si>
  <si>
    <t>PA/UPG/2010/0056</t>
  </si>
  <si>
    <t>17875/SPP/008/PUSAT/ICON+/2022</t>
  </si>
  <si>
    <t>Iforte Solusi Infotek</t>
  </si>
  <si>
    <t>Prodia Widyahusada</t>
  </si>
  <si>
    <t>Jl. MH. Thamrin 1 Jakarta Pusat 10310</t>
  </si>
  <si>
    <t>PA/ACT/1802/1952</t>
  </si>
  <si>
    <t>Mandiri Andal Sejahtera</t>
  </si>
  <si>
    <t>PT PLN (Persero) Kantor Pusat</t>
  </si>
  <si>
    <t>Sudirman Kav 52-53 Jakarta Selatan 00000</t>
  </si>
  <si>
    <t>ICON-00/ACT/1606/0060</t>
  </si>
  <si>
    <t>PT Bank Raya Indonesia</t>
  </si>
  <si>
    <t>Ruko Kebayoran Centre Blok A No. 5 Jakarta Selatan 12240</t>
  </si>
  <si>
    <t>AR/ACT/2201/2563/PA/ACT/2201/3045/'01000187928</t>
  </si>
  <si>
    <t>Cyber</t>
  </si>
  <si>
    <t>ICON-00/SBC/1609/0095</t>
  </si>
  <si>
    <t xml:space="preserve">Bank Central Asia </t>
  </si>
  <si>
    <t>PA/RLK/2009/0090</t>
  </si>
  <si>
    <t xml:space="preserve">PT Lintasarta QQ Unilever </t>
  </si>
  <si>
    <t>My Republic Plaza lt 2 WING A Jakarta 15345</t>
  </si>
  <si>
    <t>17351/SPP/008/PUSAT/ICON+/2021</t>
  </si>
  <si>
    <t>PA/UPG/1909/0260, PA/UPG/1909/0264</t>
  </si>
  <si>
    <t>16939/SPP/008/PUSAT/ICON+/2021</t>
  </si>
  <si>
    <t>Power Telecom</t>
  </si>
  <si>
    <t xml:space="preserve">PT Athaasia Finance </t>
  </si>
  <si>
    <t>Jl. Tomang Raya No 43 Jakarta Barat 11440</t>
  </si>
  <si>
    <t>PA/ACT/1807/0999</t>
  </si>
  <si>
    <t>16667/SPP/008/PUSAt/ICON+/2021</t>
  </si>
  <si>
    <t>Tektovanus Solusi Sejahtera</t>
  </si>
  <si>
    <t>Jl. Pahlawan Seribu Lot. 12A Tangerang 15322</t>
  </si>
  <si>
    <t>17226/SPP/008/PUSAT/ICON+/2021</t>
  </si>
  <si>
    <t>Dwi Tunggal Putra</t>
  </si>
  <si>
    <t xml:space="preserve">PT Cipta Piranti </t>
  </si>
  <si>
    <t>Jl. Embong Tanjung No. 40 Surabaya 60271</t>
  </si>
  <si>
    <t>AL/2002/54551#PA/RLK/1909/</t>
  </si>
  <si>
    <t>Smartfren Telecom Tbk</t>
  </si>
  <si>
    <t>PA/ACT/1907/3735</t>
  </si>
  <si>
    <t>17691/SPP/008/PUSAT/ICON+/2021</t>
  </si>
  <si>
    <t>PT Semen Baturaja</t>
  </si>
  <si>
    <t>PA/ACT/2108/1056, PA/ACT/2108/1057</t>
  </si>
  <si>
    <t>16705/SPP/008/PUSAT/ICON+/2021</t>
  </si>
  <si>
    <t>Senayan Trikarya Sempana</t>
  </si>
  <si>
    <t>PT Seamless Pipe Indonesia, PT Berlian Sistem Informasi, Dan PT Maybank</t>
  </si>
  <si>
    <t>Jl. Asia Afrika No 8 Jakarta 10270</t>
  </si>
  <si>
    <t>PA/ACT/2108/0103, PA/UPG/2004/0026, PA/ACT/1905/2963</t>
  </si>
  <si>
    <t>16691/SPP/008/PUSAT/ICON+/2021</t>
  </si>
  <si>
    <t xml:space="preserve">PT Toyota Astra Motor TTC </t>
  </si>
  <si>
    <t>PA/UOD/2206/0010/TER</t>
  </si>
  <si>
    <t>19082/SPP/008/PUSAT/ICON+/2022</t>
  </si>
  <si>
    <t xml:space="preserve">Persatuan Penghuni Perkantoran Plaz </t>
  </si>
  <si>
    <t xml:space="preserve">PT Orbit Terminal Merak </t>
  </si>
  <si>
    <t>Gedung Plaza Asia Jl. Jend Sudirman Kav 59 Jakarta 12190</t>
  </si>
  <si>
    <t>ICON-00/SBC/1810/0080</t>
  </si>
  <si>
    <t>17306/SPP/008/PUSAT/ICON+/2021</t>
  </si>
  <si>
    <t>Project Nap 100 G</t>
  </si>
  <si>
    <t>Jl. Kuningan Barat 8 Cyber Building 7 Jakarta Selatan 12170</t>
  </si>
  <si>
    <t>16629/SPP/008/PUSAT/ICON+/2022</t>
  </si>
  <si>
    <t>JL. Rempoa Raya 11</t>
  </si>
  <si>
    <t>15269/SPP/008/PUSAT/ICON+/2021</t>
  </si>
  <si>
    <t>AL/2020/50623</t>
  </si>
  <si>
    <t>DCI INDONESIA</t>
  </si>
  <si>
    <t>PA/RLK/1803/0020</t>
  </si>
  <si>
    <t>15461/SPP/008/PUSAT/ICON+/2021</t>
  </si>
  <si>
    <t>PT BERLIAN SISTEM INFORMASI qq DIPO STAR FINANCE</t>
  </si>
  <si>
    <t>Jl. Jend Sudirman Kav 10-11</t>
  </si>
  <si>
    <t>PT NUTRIFOOD INDONESIA</t>
  </si>
  <si>
    <t>PA/UPG/1810/0084</t>
  </si>
  <si>
    <t>PT TARUNA BINA SARANA</t>
  </si>
  <si>
    <t>Jl. Raya Pelabuhan No. 1</t>
  </si>
  <si>
    <t>PT. Japfa Comfeed Indonesia</t>
  </si>
  <si>
    <t>15887/SPP/008/PUSAT/ICON+/2021</t>
  </si>
  <si>
    <t>PT AGINCOURT RESOURCES</t>
  </si>
  <si>
    <t>PA/ACT/2105/0711</t>
  </si>
  <si>
    <t>15873/SPP/008/PUSAT/ICON+/2021</t>
  </si>
  <si>
    <t>PT. Prodia Widyahusada</t>
  </si>
  <si>
    <t>15899/SPP/008/PUSAT/ICON+/2021</t>
  </si>
  <si>
    <t>PT TOYOTA ASTRA MOTOR</t>
  </si>
  <si>
    <t>ICON-00/SBC/1309/0467</t>
  </si>
  <si>
    <t>Grahalestari Ciptakencana</t>
  </si>
  <si>
    <t>GEDUNG TALAVERA</t>
  </si>
  <si>
    <t>Jl. Letjen T.B. Simatupang Kav.22-26 Jakarta 12430</t>
  </si>
  <si>
    <t>AL/1902/3892, AL/1910/52208</t>
  </si>
  <si>
    <t>BANK SINARMAS</t>
  </si>
  <si>
    <t>PA/ACT/1905/2978</t>
  </si>
  <si>
    <t>PT. Trans Retail di Bintaro dan Kupang</t>
  </si>
  <si>
    <t>Jl. Medan Merdeka Selatan No.17</t>
  </si>
  <si>
    <t>PT Rekajasa Akses</t>
  </si>
  <si>
    <t xml:space="preserve">PT. Trans Retail </t>
  </si>
  <si>
    <t>Jl. Permata Senayan Blok F 08-09 7fl #703</t>
  </si>
  <si>
    <t>PA/RLK/2006/0020</t>
  </si>
  <si>
    <t>PT TOKOPEDIA</t>
  </si>
  <si>
    <t>PA/ACT/1912/0555</t>
  </si>
  <si>
    <t>PT NUGRAHA INDAH CITARASA INDONESIA</t>
  </si>
  <si>
    <t>Jl. HR Rasuna Said BLK X-2</t>
  </si>
  <si>
    <t>PA/RLK/1902/0056</t>
  </si>
  <si>
    <t xml:space="preserve">Detik Ini Juga </t>
  </si>
  <si>
    <t>PT TRANS REKREASINDO</t>
  </si>
  <si>
    <t>Jl. Kapt. Tandean Kav 12-14A</t>
  </si>
  <si>
    <t>PA/ACT/1903/1573, PA/ACT/1903/2236</t>
  </si>
  <si>
    <t>PA/UPG/1909/0258</t>
  </si>
  <si>
    <t>MORINAGA KINO INDONESIA</t>
  </si>
  <si>
    <t>Jl. Makaliwe Raya 24-24a Grogol, Petamburan, Jakarta Barat 11450</t>
  </si>
  <si>
    <t>1000024892</t>
  </si>
  <si>
    <t>PT. JAYA WIRA JERINDO</t>
  </si>
  <si>
    <t>Jl. Jababeka IV Blok B No. 12 jbbk Industria Esta Cikarang</t>
  </si>
  <si>
    <t>60001748</t>
  </si>
  <si>
    <t>15180/SPP/008/PUSAT/ICON+/2021</t>
  </si>
  <si>
    <t>PT TRANS RETAIL CIBUBUR</t>
  </si>
  <si>
    <t>PA/UPG/1910/0010</t>
  </si>
  <si>
    <t>PT BANGUN ANDALAN PERKASA</t>
  </si>
  <si>
    <t>AL/2005/15326</t>
  </si>
  <si>
    <t>4500016135, 4500016245, 4500016346</t>
  </si>
  <si>
    <t>16316/SPP/008/PUSAT/ICON+/2021</t>
  </si>
  <si>
    <t xml:space="preserve">PT CIRCLECOM NUSANTARA INDONESIA </t>
  </si>
  <si>
    <t>Jl.M.T.Haryono Kav. 15 Jakarta 12810</t>
  </si>
  <si>
    <t>PT ASURANSI UMUM BCA</t>
  </si>
  <si>
    <t>PA/ACT/2108/0015</t>
  </si>
  <si>
    <t>16593/SPP/008/PUSAT/ICON+/2021</t>
  </si>
  <si>
    <t>PT. MULIA INTI PELANGI</t>
  </si>
  <si>
    <t>Jl. Gatot Subroto Jakarta 10270</t>
  </si>
  <si>
    <t>16121/SPP/008/PUSAT/ICON+/2021</t>
  </si>
  <si>
    <t xml:space="preserve">Sigma Cipta Caraka, PT </t>
  </si>
  <si>
    <t>PT BANK NEO COMMERCE TBK</t>
  </si>
  <si>
    <t>PA/RLK/2108/0043, PA/RLK/2108/0042, PA/RLK/2108/0041</t>
  </si>
  <si>
    <t>16554/SPP/008/PUSAT/ICON+/2021</t>
  </si>
  <si>
    <t>PT BANK NTB SYARIAH</t>
  </si>
  <si>
    <t>PA/ACT/2106/3300</t>
  </si>
  <si>
    <t>16500/SPP/008/PUSAT/ICON+/2021</t>
  </si>
  <si>
    <t>Zota Indonesia, PT</t>
  </si>
  <si>
    <t>PT LANDMARK CONCCURRENT SOLUSI INDONESIA</t>
  </si>
  <si>
    <t>Tebet Raya RT 009 RW 005 45d</t>
  </si>
  <si>
    <t>PA/RLK/2107/0057</t>
  </si>
  <si>
    <t>16627/SPP/008/PUSAT/ICON+/2021</t>
  </si>
  <si>
    <t>Fauzi Panca Manunggal</t>
  </si>
  <si>
    <t>PT  Bank Commonwealth</t>
  </si>
  <si>
    <t>Buncit Raya Lt. Penthouse No.22 Jakarta Selatan 12510</t>
  </si>
  <si>
    <t>PA/UPG/2010/0017, PA/ACT/1807/0333</t>
  </si>
  <si>
    <t>16417/SPP/008/PUSAT/ICON+/2021</t>
  </si>
  <si>
    <t>16547/SPP/008/PUSAT/ICON+/2021</t>
  </si>
  <si>
    <t>16545/SPP/008/PUSAT/ICON+/2021</t>
  </si>
  <si>
    <t>16548/SPP/008/PUSAT/ICON+/2021</t>
  </si>
  <si>
    <t>BUT. SARULLA OPERATIONS LTD, BANK WOORI SAUDARA</t>
  </si>
  <si>
    <t>Jl. Jend Sudirman kav 58 Gedung Graha Niaga 1 Jakarta 12190</t>
  </si>
  <si>
    <t>ICON-00/ACT/1709/1154, ICON-00/ACT/1302/0085</t>
  </si>
  <si>
    <t>16156/SPP/008/PUSAT/ICON+/2021</t>
  </si>
  <si>
    <t>PA/ACT/1801/0637</t>
  </si>
  <si>
    <t>15765/SPP/008/PUSAT/ICON+/2021</t>
  </si>
  <si>
    <t>PA/ACT/2003/0178</t>
  </si>
  <si>
    <t>15518/SPP/008/PUSAT/ICON+/2021</t>
  </si>
  <si>
    <t>PT Commonwealth Bank</t>
  </si>
  <si>
    <t>JL. MH. THAMRIN 1 JAKARTA PUSAT 10310</t>
  </si>
  <si>
    <t>AL/2010/56641</t>
  </si>
  <si>
    <t>PT UNIVERSAL SATELIT INDONESIA</t>
  </si>
  <si>
    <t>PA/RLK/2109/0003/ORI</t>
  </si>
  <si>
    <t>16811/SPP/008/PUSAT/ICON+/2021</t>
  </si>
  <si>
    <t xml:space="preserve">PT BITNIAGA CIPTA GEMILANG </t>
  </si>
  <si>
    <t>PA/ACT/2109/0159/ORI</t>
  </si>
  <si>
    <t>PT JATELINDO PERKASA ABADI</t>
  </si>
  <si>
    <t>PA/RLK/1907/0039</t>
  </si>
  <si>
    <t xml:space="preserve">Jala Lintas Media  </t>
  </si>
  <si>
    <t>Inoac Polytechno</t>
  </si>
  <si>
    <t xml:space="preserve">Jl. Mayor Oking No. 89 KM 2, Cibinong Bogor 16819
</t>
  </si>
  <si>
    <t>PA/ACT/2103/0900/TER</t>
  </si>
  <si>
    <t xml:space="preserve">PT KAO INDONESIA </t>
  </si>
  <si>
    <t>Jl.Jababeka IV Blok B No.12 Jbbk industrial Esta Cikarang</t>
  </si>
  <si>
    <t>PA/ACT/2104/2210</t>
  </si>
  <si>
    <t>15764/SPP/008/PUSAT/ICON+/2021</t>
  </si>
  <si>
    <t>PT HIPERNET INDONESIA QQ PT KOMATSU INDONESIA</t>
  </si>
  <si>
    <t>PA/UPG/2103/0224</t>
  </si>
  <si>
    <t>15596/SPP/008/PUSAT/ICON+/2021</t>
  </si>
  <si>
    <t>PT INTI DATA TELEMATIKA</t>
  </si>
  <si>
    <t>Jl.Kuningan Barat No.8 Cyber Building 1st &amp; 2nd</t>
  </si>
  <si>
    <t>PA/ACT/2104/2689</t>
  </si>
  <si>
    <t>15782/SPP/008/PUSAT/ICON+/2021</t>
  </si>
  <si>
    <t>Sigma Cipta Caraka,PT</t>
  </si>
  <si>
    <t>LEMBAGA ILMU PENGATAHUAN INDONESIA(LIPI)</t>
  </si>
  <si>
    <t>Jl.Subijanto DJ</t>
  </si>
  <si>
    <t>PA/ACT/2104/2657</t>
  </si>
  <si>
    <t>15783/SPP/008/PUSAT/ICON+/2021</t>
  </si>
  <si>
    <t>PT Sumber Mentari Elekrindo periode 2021-2022</t>
  </si>
  <si>
    <t>JLN DWIKORA II 1238</t>
  </si>
  <si>
    <t>15536/SPP/008/PUSAT/ICON+/2021</t>
  </si>
  <si>
    <t>PT LAWANGMAS PRIMAPACK DIMASPION PLAZA PERIODE 2021-2022</t>
  </si>
  <si>
    <t>Jl.Gunung sahari Raya No.18 Maspion Plaza 16</t>
  </si>
  <si>
    <t>ICON-00/SBC/1703/0276</t>
  </si>
  <si>
    <t>Sampoerna Land,PT</t>
  </si>
  <si>
    <t xml:space="preserve">PT,AEK TARUM,PT BINASAWIT MAKMUR </t>
  </si>
  <si>
    <t>Jl.Jend Sudirman kav. 45-46 Level Mezzanine</t>
  </si>
  <si>
    <t>AL/1907/26735,AL/1907/26741</t>
  </si>
  <si>
    <t>15415/SPP/008/PUSAT/ICON+/2021</t>
  </si>
  <si>
    <t>INDOMARCO PRISMATAMA PERIODE 2021-2022</t>
  </si>
  <si>
    <t>Jl.H.R.Rasuna said blok x5 13</t>
  </si>
  <si>
    <t>AL/2002/6689</t>
  </si>
  <si>
    <t>PT UNGARAN SARI GARMEN PERIODE 2021-2022</t>
  </si>
  <si>
    <t>Jl.Rempoa Raya 11</t>
  </si>
  <si>
    <t>PA/UPG/2008/0002</t>
  </si>
  <si>
    <t>PT FUMIRA PERIODE 2021-2022</t>
  </si>
  <si>
    <t>PA/ACT/1908/4529</t>
  </si>
  <si>
    <t xml:space="preserve">PT. BANK SYARIAH BRI </t>
  </si>
  <si>
    <t>RUKO KEBAYORAN CENTER BLOK A NO.5</t>
  </si>
  <si>
    <t>Fastel Sarana Indonesia</t>
  </si>
  <si>
    <t xml:space="preserve">PT. DJARUM </t>
  </si>
  <si>
    <t>Gd. TCC Batavia Tower One Lt. 16</t>
  </si>
  <si>
    <t>PA/ACT/1903/2565/TER</t>
  </si>
  <si>
    <t>Restyle Development</t>
  </si>
  <si>
    <t>Divmum PLN Pusat//Gedung Recapital (Lt.1)</t>
  </si>
  <si>
    <t>Jl.Adityawarman kav.55</t>
  </si>
  <si>
    <t>PT TOYOTA ASTRA MOTOR SPLD PERIODE 2021-2022</t>
  </si>
  <si>
    <t>PT. Adira Dinamika Periode 2021-2022</t>
  </si>
  <si>
    <t>Jl.Jend Sudirman kav.52-53</t>
  </si>
  <si>
    <t>AL/2103/12970,AL/2003/12911,AL/2010/58868</t>
  </si>
  <si>
    <t>16582/SPP/008/PUSAT/ICON+/2021</t>
  </si>
  <si>
    <t>Rukan kelapa gading square (MOI)-BCA Mall of indonesia</t>
  </si>
  <si>
    <t>16797/SPP/008/PUSAT/ICON+/2021</t>
  </si>
  <si>
    <t>PT TANGARA MITRAKOM PERIODE 2021-2022</t>
  </si>
  <si>
    <t>Jl.Jend Sudirman kav.10-11</t>
  </si>
  <si>
    <t>ICON-00/MIG/1611/0043,ICON-00/ACT/1610/0522,ICON-00/ACT/1609/0746</t>
  </si>
  <si>
    <t>PT. DCI Indonesia periode 2021-2022</t>
  </si>
  <si>
    <t>16578/SPP/008/PUSAT/ICON+/2021</t>
  </si>
  <si>
    <t>Jl.rempoa Raya 11</t>
  </si>
  <si>
    <t xml:space="preserve">PT CYBERINDO ADITAMA </t>
  </si>
  <si>
    <t>16331/SPP/008/PUSAT/ICON+/2021</t>
  </si>
  <si>
    <t>PT. INTI DUNIA SUKSES PERIODE 2021/2022</t>
  </si>
  <si>
    <t>PT.SAMPOERNA TELEKOMUNIKASI INDONESIA PERIODE 2021-2022</t>
  </si>
  <si>
    <t>Badan pengelola pendapatan Daerah jawa tangah periode 2021/2022</t>
  </si>
  <si>
    <t>PA/ACT/2001/3142,PA/ACT/2001/3142</t>
  </si>
  <si>
    <t>152321/SPP/008/PUSAT/ICON+/2021</t>
  </si>
  <si>
    <t xml:space="preserve">Federal internasional finance </t>
  </si>
  <si>
    <t>15605/SPP/008/PUSAT/ICON+/2021</t>
  </si>
  <si>
    <t xml:space="preserve">PT TRANS RETAIL INDONESIA </t>
  </si>
  <si>
    <t>Gd. JITC Lt. 7&amp;8 Jl.Mangga dua jakarta</t>
  </si>
  <si>
    <t xml:space="preserve">PT. IPWAN GLOBAL TELECOM </t>
  </si>
  <si>
    <t xml:space="preserve">Phisindo Zamrud Nusantara,PT </t>
  </si>
  <si>
    <t>TRANS RETAIL PERIODE 2021-2022</t>
  </si>
  <si>
    <t>Jl.Margonda Raya 56</t>
  </si>
  <si>
    <t>PT BANK SINARMAS 2021-2022</t>
  </si>
  <si>
    <t>Jl.Arteri Mnagga Dua Raya Gedung Mall magga dua D 5</t>
  </si>
  <si>
    <t>MEGA TELEKOMUNIKASI INDONESIA,PT</t>
  </si>
  <si>
    <t>BANK BTPN PERIODE 2021-2022</t>
  </si>
  <si>
    <t>Jl.Kanadianti nomor : 15 B pela mampang</t>
  </si>
  <si>
    <t>AL/2104/22820</t>
  </si>
  <si>
    <t xml:space="preserve">PT.SUPREME ENERGY MUARA LABOH </t>
  </si>
  <si>
    <t>Citra Graha Lantai 4, Suite 403</t>
  </si>
  <si>
    <t>PA/ACT/1911/43662</t>
  </si>
  <si>
    <t>15455/SPP/008/PUSAT/ICON+/2021</t>
  </si>
  <si>
    <t xml:space="preserve">Prima wira utama, PT </t>
  </si>
  <si>
    <t>PT. TRANS RETAIL INDONESIA</t>
  </si>
  <si>
    <t>Gedung berita satu plaza Lt 2</t>
  </si>
  <si>
    <t>ICON-00/SOP/1404/0004</t>
  </si>
  <si>
    <t>Graha Anugerah sejahtera,PT</t>
  </si>
  <si>
    <t>PT.TRANS RETAIL INDONESIA PERIODE 2021-2022</t>
  </si>
  <si>
    <t>Jl.kelapa cengkir timur II Blok EH 2,kelapa gading No.2</t>
  </si>
  <si>
    <t>Sukses kelole persada,PT</t>
  </si>
  <si>
    <t xml:space="preserve">PT.SUMBER MENTARI ELEKTRINDO DAN PT MITRA ERA GLOBAL </t>
  </si>
  <si>
    <t>Jl.gunung sahari Raya No.1</t>
  </si>
  <si>
    <t>PA/ACT/2106/2946/TER, PA/ACT/2106/2945/TER</t>
  </si>
  <si>
    <t>16250/SPP/008/PUSAT/ICON+/2021</t>
  </si>
  <si>
    <t>PELANGGAN ICON</t>
  </si>
  <si>
    <t>gedung cyber 1 No.8</t>
  </si>
  <si>
    <t>PT. Bitniaga Cipta Gemiling</t>
  </si>
  <si>
    <t>16027/SPP/008/PUSAT/ICON+/2021</t>
  </si>
  <si>
    <t xml:space="preserve">Biznet Data center,PT  </t>
  </si>
  <si>
    <t>BANK CENTRAL ASIA PERIODE 2021-2022</t>
  </si>
  <si>
    <t>AL/2009/45930</t>
  </si>
  <si>
    <t>15103/SPP/008/PUSAT/ICON+/2021</t>
  </si>
  <si>
    <t>PT.GIGA PATRA MULTIMEDIA</t>
  </si>
  <si>
    <t>1000106826, 1000094688</t>
  </si>
  <si>
    <t>16028/SPP/008/PUSAT/ICON+/2021</t>
  </si>
  <si>
    <t>PT Djarum periode 2021-2022</t>
  </si>
  <si>
    <t>PA/ACT/2004/0585</t>
  </si>
  <si>
    <t>15995/SPP/008/PUSAT/ICON+/2021</t>
  </si>
  <si>
    <t>GH EMM PERIODE 2021-2022</t>
  </si>
  <si>
    <t>Plaza sentral Lt 21. Jl jend sudirman kav 47</t>
  </si>
  <si>
    <t>16373/SPP/008/PUSAT/ICON+/2021</t>
  </si>
  <si>
    <t xml:space="preserve">P3SRSBH Multivision Tower </t>
  </si>
  <si>
    <t>COMMONWHEALTH BANK PERIODE 2021</t>
  </si>
  <si>
    <t>Gd.Multivision Tower Lt. Basement 1</t>
  </si>
  <si>
    <t>AR/ACT/1810/18466</t>
  </si>
  <si>
    <t>Telekomunikasi Indonesia Tbk,PT</t>
  </si>
  <si>
    <t>PT. TRANS RETAIL INDONESIA PERIODE 2021-2022</t>
  </si>
  <si>
    <t>Jl.kebon sirih No.12</t>
  </si>
  <si>
    <t>AR/CHT/2103/1196</t>
  </si>
  <si>
    <t>16420/SPP/008/PUSAT/ICON+/2021</t>
  </si>
  <si>
    <t>PA/ACT/2108/1899</t>
  </si>
  <si>
    <t>16555/SPP/008/PUSAT/ICON+/2021</t>
  </si>
  <si>
    <t>Inti Bangun Sejahtera</t>
  </si>
  <si>
    <t>PT NTT QQ PT DIAMON COLD STROGE PERIODE 2021-2022</t>
  </si>
  <si>
    <t>Jl.Riau 23</t>
  </si>
  <si>
    <t>15922/SPP/008/PUSAT/ICON+/2021</t>
  </si>
  <si>
    <t xml:space="preserve">  </t>
  </si>
  <si>
    <t xml:space="preserve">Plaza adika lestari </t>
  </si>
  <si>
    <t>Bank mega periode 2021-2022</t>
  </si>
  <si>
    <t>Senen,kompl.pertokoan segitiga senen blok</t>
  </si>
  <si>
    <t>PA/ACT/1808/0360</t>
  </si>
  <si>
    <t>16791/SPP/008/PUSAT/ICON+/2021</t>
  </si>
  <si>
    <t>PT Primacom Interbuana qq Bank Jasa Jakarta</t>
  </si>
  <si>
    <t>15268/SPP/008/PUSAT/ICON+/2021</t>
  </si>
  <si>
    <t>PT BANK PEMBANGUNAN DAERAH KALIMANTAN</t>
  </si>
  <si>
    <t>Jl Kapt Subijanto DJ</t>
  </si>
  <si>
    <t>PA/TRL/2101/0017/TER</t>
  </si>
  <si>
    <t>15484/SPP/008/PUSAT/ICON+/2021</t>
  </si>
  <si>
    <t>PT SUMBER CIPTA MULTINIAGA</t>
  </si>
  <si>
    <t>WTP Building Jl Jababeka IV Blok B No 12 Jbbk</t>
  </si>
  <si>
    <t>PA/RLK/2104/0051</t>
  </si>
  <si>
    <t>15777/SPP/008/PUSAT/ICON+/2021</t>
  </si>
  <si>
    <t>Bank Riau Kepri</t>
  </si>
  <si>
    <t>AL/2004/10293</t>
  </si>
  <si>
    <t>15220/SPP/008/PUSAT/ICON+/2021</t>
  </si>
  <si>
    <t>Jl Makaliwe Raya 24-24a</t>
  </si>
  <si>
    <t>PA/ACT/1911/0379/TER</t>
  </si>
  <si>
    <t>15128/SPP/008/PUSAT/ICON+/2021</t>
  </si>
  <si>
    <t>PT ARTHATECH SELARAS, BANK RIAU KEPRI</t>
  </si>
  <si>
    <t>Jl M H Thamrin Kav 3</t>
  </si>
  <si>
    <t>PA/ACT/2103/1475/ORI, PA/ACT/2103/1352</t>
  </si>
  <si>
    <t>15617/SPP/008/PUSAT/ICON+/2021</t>
  </si>
  <si>
    <t>PT GOBEL DHARMA SARANA KARYA</t>
  </si>
  <si>
    <t>PA/ACT/2103/1696</t>
  </si>
  <si>
    <t>15624/SPP/008/PUSAT/ICON+/2021</t>
  </si>
  <si>
    <t>PT BANK YUDHA BHAKTI</t>
  </si>
  <si>
    <t>Jl Jend Sudirman Kav 52-53</t>
  </si>
  <si>
    <t>PA/ACT/2103/1250/TER</t>
  </si>
  <si>
    <t>15600/SPP/008/PUSAT/ICON+/2021</t>
  </si>
  <si>
    <t>PT BANK SINARMAS</t>
  </si>
  <si>
    <t>AL/2008/38045</t>
  </si>
  <si>
    <t>15101/SPP/008/PUSAT/ICON+/2021</t>
  </si>
  <si>
    <t xml:space="preserve">PT TOYOTA ASTRA MOTOR </t>
  </si>
  <si>
    <t>AL/1809/9544, AL/2001/1116</t>
  </si>
  <si>
    <t>PT REKAJASA AKSES</t>
  </si>
  <si>
    <t xml:space="preserve">PT FOODS BEVERAGES INDONESIA </t>
  </si>
  <si>
    <t>Rukan Permata SEnayan Blok F 08-09 7fl #703</t>
  </si>
  <si>
    <t>PA/ACT/1901/0856</t>
  </si>
  <si>
    <t>PT BERDIKARI PRIMA MANDIRI</t>
  </si>
  <si>
    <t>PA/ACT/1811/1966</t>
  </si>
  <si>
    <t>BPJS KETENAGAKERJAAN (JAMSOSTEK)</t>
  </si>
  <si>
    <t>PT TANJUNG ENIM LESTARI PULP AND PAPER</t>
  </si>
  <si>
    <t>Jl Gatot Subroto 79</t>
  </si>
  <si>
    <t>ICON-00/SOP/1707/0112</t>
  </si>
  <si>
    <t>MULTIKONTROL NUSANTARA, PT</t>
  </si>
  <si>
    <t>Jl HR Rasuna Said Kav B-1</t>
  </si>
  <si>
    <t>14853/SPP/008/PUSAT/ICON+/2020</t>
  </si>
  <si>
    <t>Plaza Andika Lestari</t>
  </si>
  <si>
    <t>PT BANK CENTRAL ASIA, Tbk</t>
  </si>
  <si>
    <t>Plaza Atrium Komplek Blok Adan C Lt Basement 1</t>
  </si>
  <si>
    <t>ICON-00/SBC/1801/0213</t>
  </si>
  <si>
    <t>INTERSHOP PRIMA CENTER, PT</t>
  </si>
  <si>
    <t>Asuransi Umum BCA</t>
  </si>
  <si>
    <t>Jl Mangga Dua Raya No 8 Jakarta Utara</t>
  </si>
  <si>
    <t>ICON-00/SBC/1709/1243</t>
  </si>
  <si>
    <t>PT KALIMANTAN SANGGAR PUSAKA</t>
  </si>
  <si>
    <t>Jl Gatot Subroto</t>
  </si>
  <si>
    <t>PA/ACT/1812/1439</t>
  </si>
  <si>
    <t xml:space="preserve">PT BANK HSBC INDONESIA </t>
  </si>
  <si>
    <t>ICON-00/SBC/1802/0068</t>
  </si>
  <si>
    <t>15550/SPP/008/PUSAT/ICON+/2021</t>
  </si>
  <si>
    <t>ITC Kuningan 10th floor, Jl Prof Satrio</t>
  </si>
  <si>
    <t>AL/2005/15433</t>
  </si>
  <si>
    <t>Nettocyber Indonesia, PT</t>
  </si>
  <si>
    <t>PT BENTOEL PRIMA</t>
  </si>
  <si>
    <t>Jl TB Simatupang Kav 1S</t>
  </si>
  <si>
    <t>PT PARSAORAN GLOBAL DATATRANS</t>
  </si>
  <si>
    <t>AL/2102/9846</t>
  </si>
  <si>
    <t>CATURMAS KELOLA SUKSES, PT</t>
  </si>
  <si>
    <t>PT KRISBOW INDONESIA</t>
  </si>
  <si>
    <t>Gedung Kenari Mas Lt 6 No 101</t>
  </si>
  <si>
    <t xml:space="preserve">PT YESI MEDIA UTAMA WONOGIRI </t>
  </si>
  <si>
    <t>16238/SPP/008/PUSAT/ICON+/2021</t>
  </si>
  <si>
    <t>PT JAWA POS KORAN</t>
  </si>
  <si>
    <t>Jl Kebayoran Lama 12</t>
  </si>
  <si>
    <t>PA/ACT/1902/1116</t>
  </si>
  <si>
    <t xml:space="preserve">PTAIRPAY INTERNATIONAL INDONESIA </t>
  </si>
  <si>
    <t>Jl JEend Sudirman Kav 52-53</t>
  </si>
  <si>
    <t>PLN RAYON CIKARANG</t>
  </si>
  <si>
    <t>ICON-00/MIG/1703/0048</t>
  </si>
  <si>
    <t>PT SUMBER ALFARIA TRIJAYA</t>
  </si>
  <si>
    <t>Jl Jend Sudirman Kav 10-11</t>
  </si>
  <si>
    <t>ICON-00/SBC/1512/0452</t>
  </si>
  <si>
    <t xml:space="preserve">MEGA AKSES PERSADA, PT </t>
  </si>
  <si>
    <t>Jl HR Rasuna said x-5 Kav 2-3</t>
  </si>
  <si>
    <t>PA/UPG/2107/0003</t>
  </si>
  <si>
    <t>16322/SPP/008/PUSAT/ICON+/2021</t>
  </si>
  <si>
    <t>PT PINUS MERAH ABADI</t>
  </si>
  <si>
    <t>PA/ACT/2006/0717</t>
  </si>
  <si>
    <t>16237/SPP/008/PUSAT/ICON+/2021</t>
  </si>
  <si>
    <t>PT BANK SYARIAH INDONESIA</t>
  </si>
  <si>
    <t>Jl Jababeka IV Blok B No 12 Jbbk</t>
  </si>
  <si>
    <t>PA/ACT/2106/0130/TER</t>
  </si>
  <si>
    <t>16310/SPP/008/PUSAT/ICON+/2021</t>
  </si>
  <si>
    <t>PT DESIGN JAYA INDONESIA</t>
  </si>
  <si>
    <t>PA/DOW/2008/0029</t>
  </si>
  <si>
    <t>16801/SPP/008/PUSAT/ICON+/2021</t>
  </si>
  <si>
    <t xml:space="preserve">Bank BTPN Syariah </t>
  </si>
  <si>
    <t>ICON-00/ACT/1511/0021</t>
  </si>
  <si>
    <t>15795/SPP/008/PUSAT/ICON+/2021</t>
  </si>
  <si>
    <t>16173/SPP/008/PUSAT/ICON+/2021</t>
  </si>
  <si>
    <t>ICON-00/SBC/1811/0010</t>
  </si>
  <si>
    <t>PT Jala Lintas Media</t>
  </si>
  <si>
    <t>PA/ACT/2012/0255</t>
  </si>
  <si>
    <t>16236/SPP/008/PUSAT/ICON+/2021</t>
  </si>
  <si>
    <t>MAKMUR JAYA SERASI, PT</t>
  </si>
  <si>
    <t>PT PLN (PERSERO) KANTOR PUSAT</t>
  </si>
  <si>
    <t>Jl Boulevard Barat Raya,Kelapa Gading</t>
  </si>
  <si>
    <t>CENTRALINDO PANCA SAKTI, PT</t>
  </si>
  <si>
    <t>Jl Gajah Mada 3 Blok C No 49-50</t>
  </si>
  <si>
    <t>990000320427676</t>
  </si>
  <si>
    <t>PT Primacom Interbuana qq Bank Harda</t>
  </si>
  <si>
    <t>PA/ACT/1804/1335</t>
  </si>
  <si>
    <t>15993/SPP/008/PUSAT/ICON+/2021</t>
  </si>
  <si>
    <t>PT LINTAS JARINGAN NUSANTARA</t>
  </si>
  <si>
    <t>PA/ACT/2002/2405, PA/ACT/2002/2406</t>
  </si>
  <si>
    <t>15788/SPP/008/PUSAT/ICON+/2021</t>
  </si>
  <si>
    <t>BANK MEGA</t>
  </si>
  <si>
    <t>Jl Kemang Raya No 4</t>
  </si>
  <si>
    <t>15947/SPP/008/PUSAT/ICON+/2021</t>
  </si>
  <si>
    <t xml:space="preserve">Karunia Megah Perkasa, PT </t>
  </si>
  <si>
    <t xml:space="preserve"> BANK SYARIAH MANDIRI </t>
  </si>
  <si>
    <t>Jl Kamal Raya Outer Ring Road No 11</t>
  </si>
  <si>
    <t>357849/1285644652/103</t>
  </si>
  <si>
    <t>PT XL AXIATA TBK</t>
  </si>
  <si>
    <t>PA/ACT/2005/0446</t>
  </si>
  <si>
    <t>16024/SPP/008/PUSAT/ICON+/2021</t>
  </si>
  <si>
    <t>PT BANK MANDIRI TASPEN-JAKARTA</t>
  </si>
  <si>
    <t>;-</t>
  </si>
  <si>
    <t>16023/SPP/008/PUSAT/ICON+/2021</t>
  </si>
  <si>
    <t>PA/ACT/1907/3933, PA/ACT/1907/3934, PA/ACT/1907/3935</t>
  </si>
  <si>
    <t>KOMISI PEMBERANTASAN KORUPSI</t>
  </si>
  <si>
    <t>Jl Mega Kuningan Lot E 4-7 1</t>
  </si>
  <si>
    <t>16105/SPP/008/PUSAT/ICON+/2021</t>
  </si>
  <si>
    <t>TELEKOMUNIKASI INDONESIA Tbk, PT</t>
  </si>
  <si>
    <t>GRAHA MERAH PUTIH JL GATOT SUBROTO KAV 52</t>
  </si>
  <si>
    <t>PA/ACT/2108/2024</t>
  </si>
  <si>
    <t>Primacom Interbuana</t>
  </si>
  <si>
    <t>19500/SPP/008/PUSAT/ICON+/2022</t>
  </si>
  <si>
    <t>MORA TELEMATIKA INDONESIA</t>
  </si>
  <si>
    <t>Graha9 Lt 6 Jl Penataran 9</t>
  </si>
  <si>
    <t>AL/2012/74719</t>
  </si>
  <si>
    <t>18505/SPP/008/PUSAT/ICON+/2022</t>
  </si>
  <si>
    <t>LOTTE DATA COMMUNICATION</t>
  </si>
  <si>
    <t>PA/UPG/1906/0052</t>
  </si>
  <si>
    <t>19588/SPP/008/PUSAT/ICON+/2022</t>
  </si>
  <si>
    <t>PT TANGARA MITRAKOM</t>
  </si>
  <si>
    <t>ICON-00/MIG/1611/0043, ICON-00/ACT/1610/0522, ICON-00/ACT/1609/0746</t>
  </si>
  <si>
    <t>19416/SPP/008/PUSAT/ICON+/2022</t>
  </si>
  <si>
    <t>PT PERTAMINA (PERSERO)</t>
  </si>
  <si>
    <t>Gd TCC Batavia Tower One Lt 16</t>
  </si>
  <si>
    <t xml:space="preserve">AL/2009/41591 </t>
  </si>
  <si>
    <t>19601/SPP/008/PUSAT/ICON+/2022</t>
  </si>
  <si>
    <t xml:space="preserve">SIGMA CIPTA CARAKA, PT </t>
  </si>
  <si>
    <t>PT BANK NAGARI</t>
  </si>
  <si>
    <t>PA/TRL/2208/0040</t>
  </si>
  <si>
    <t>19702/SPP/008/PUSAT/ICON+/2022</t>
  </si>
  <si>
    <t>Akses Prima Indonesia</t>
  </si>
  <si>
    <t>PT BANK MANDIRI (PERSERO) Tbk</t>
  </si>
  <si>
    <t>Gd Menara MTH LT 12</t>
  </si>
  <si>
    <t>PA/ACT/2206/16523/TER</t>
  </si>
  <si>
    <t>19230/SPP/008/PUSAT/ICON+/2022</t>
  </si>
  <si>
    <t>Plaza Adika Lestari</t>
  </si>
  <si>
    <t>BCA</t>
  </si>
  <si>
    <t>RUKO Atrium Blok E No 12-13</t>
  </si>
  <si>
    <t>AL/2110/98772</t>
  </si>
  <si>
    <t>18234/SPP/008/PUSAT/ICON+/2022</t>
  </si>
  <si>
    <t>AL/2201/6674</t>
  </si>
  <si>
    <t>18357/SPP/008/PUSAT/ICON+/2022</t>
  </si>
  <si>
    <t>PA/ACT/2103/1352</t>
  </si>
  <si>
    <t>4118/SPP/SBU/PLNICONPLUS/2024</t>
  </si>
  <si>
    <t>Syarifah</t>
  </si>
  <si>
    <t>H362</t>
  </si>
  <si>
    <t>BANK SINARMAS DAN PT INDOSAT</t>
  </si>
  <si>
    <t>AL/2005/15476, ICON-00/SBC/1707/0137</t>
  </si>
  <si>
    <t>18842/SPP/008/PUSAT/ICON+/2022</t>
  </si>
  <si>
    <t>BANK MANDIRI DAN ASURANSI UMUM</t>
  </si>
  <si>
    <t>PA/UPG/1906/0029, ICON-00/SBC/1711/0683</t>
  </si>
  <si>
    <t>18754/SPP/008/PUSAT/ICON+/2022</t>
  </si>
  <si>
    <t>PT GH-EMM INDONESIA</t>
  </si>
  <si>
    <t>Plaza Sentral Lt 21 Jl Jend Sudirman Kav 47</t>
  </si>
  <si>
    <t>AL/2009/43209</t>
  </si>
  <si>
    <t>18700/SPP/008/PUSAT/ICON+/2022</t>
  </si>
  <si>
    <t>PT QUANTUM TERA NETWORK</t>
  </si>
  <si>
    <t>PA/ACT/2205/2008</t>
  </si>
  <si>
    <t>18863/SPP/008/PUSAT/ICON+/2022</t>
  </si>
  <si>
    <t>BANK COMMONWEALTH</t>
  </si>
  <si>
    <t>Jl MH Thamrin 1</t>
  </si>
  <si>
    <t>AL/2111/120283</t>
  </si>
  <si>
    <t>18763/SPP/008/PUSAT/ICON+/2022</t>
  </si>
  <si>
    <t>PERSEKUTUAN DAN PERKUMPULAN</t>
  </si>
  <si>
    <t>PT ENERGY MANAGEMENT INDONESIA</t>
  </si>
  <si>
    <t>Jl M T Haryono Kav 15</t>
  </si>
  <si>
    <t>PA/ACT/2201/4071</t>
  </si>
  <si>
    <t>18870/SPP/008/PUSAT/ICON+/2022</t>
  </si>
  <si>
    <t xml:space="preserve">BANK BUKOPIN </t>
  </si>
  <si>
    <t>Graha9 lt 6 Jl Penataran 9</t>
  </si>
  <si>
    <t>18776/SPP/008/PUSAT/ICON+/2022</t>
  </si>
  <si>
    <t>PRODIA WIDYAHUSADA</t>
  </si>
  <si>
    <t>GRAHA MERAH PUTIH Jl Gatot Subroto Kav 52</t>
  </si>
  <si>
    <t>PA/ACT/2201/3546</t>
  </si>
  <si>
    <t>18466/SPP/008/PUSAT/ICON+/2022</t>
  </si>
  <si>
    <t>PT DAYA MUDA AGUNG</t>
  </si>
  <si>
    <t>Jl Pulobuaran V No 25</t>
  </si>
  <si>
    <t>PA/UPG/2201/0411/TER</t>
  </si>
  <si>
    <t>20118/SPP/008/PUSAT/ICON+/2022</t>
  </si>
  <si>
    <t xml:space="preserve">PT ROYAL SUTAN AGUNG </t>
  </si>
  <si>
    <t>20114/SPP/008/PUSAT/ICON+/2022</t>
  </si>
  <si>
    <t>PT ASTRA AGRO LESTARI</t>
  </si>
  <si>
    <t>PAP/ACT/1809/1510</t>
  </si>
  <si>
    <t>20117/SPP/008/PUSAT/ICON+/2022</t>
  </si>
  <si>
    <t>ICON-00/SBC/1503/0192</t>
  </si>
  <si>
    <t>19673/SPP/008/PUSAT/ICON+/2022</t>
  </si>
  <si>
    <t>PA/ACT/2210/2385</t>
  </si>
  <si>
    <t>20314/SPP/008/PUSAT/ICON+/2022</t>
  </si>
  <si>
    <t>PT DIAMOND COLD STORAGE</t>
  </si>
  <si>
    <t>PA/ACT/2211/0133</t>
  </si>
  <si>
    <t>20660/SPP/008/PUSAT/ICON+/2022</t>
  </si>
  <si>
    <t>PT UNGARAN SARI GARMENT</t>
  </si>
  <si>
    <t>20488/SPP/008/PUSAT/ICON+/2022</t>
  </si>
  <si>
    <t>Jl Riau 23</t>
  </si>
  <si>
    <t>PA/ACT2110/2072</t>
  </si>
  <si>
    <t>20261/SPP/008/PUSAT/ICON+/2022</t>
  </si>
  <si>
    <t>19407/SPP/008/PUSAT/ICON+/2022</t>
  </si>
  <si>
    <t>PT TRANS RETAIL</t>
  </si>
  <si>
    <t>ITC Kuningan 10th floor Jl Prof Satrio</t>
  </si>
  <si>
    <t>AR/CHT/2103/1264</t>
  </si>
  <si>
    <t>19779/SPP/008/PUSAT/ICON+/2022</t>
  </si>
  <si>
    <t xml:space="preserve">PT BANK SINARMAS </t>
  </si>
  <si>
    <t>RUKO KEBAYORAN CENTRE BLOK A NO 5</t>
  </si>
  <si>
    <t>PA/ACT/2112/0041</t>
  </si>
  <si>
    <t>20176/SPP/008/PUSAT/ICON+/2022</t>
  </si>
  <si>
    <t>LOKA MAMPANG INDAH REALTY, PT</t>
  </si>
  <si>
    <t>PT ECO MULTI SINERGI</t>
  </si>
  <si>
    <t>PA/ACT/2209/4589/TER</t>
  </si>
  <si>
    <t>20242/SPP/008/PUSAT/ICON+/2022</t>
  </si>
  <si>
    <t>XL AXIATA</t>
  </si>
  <si>
    <t>PA/ACT/1804/1002</t>
  </si>
  <si>
    <t>19582/SPP/008/PUSAT/ICON+/2022</t>
  </si>
  <si>
    <t>ANUGRAH INTI KARYA</t>
  </si>
  <si>
    <t>GRHA9 lt 6 Jl Penataran 9</t>
  </si>
  <si>
    <t>PA/ACT/1810/0048</t>
  </si>
  <si>
    <t>19952/SPP/008/PUSAT/ICON+/2022</t>
  </si>
  <si>
    <t>INDONET</t>
  </si>
  <si>
    <t>PT PRIMACOM INTERBUANA</t>
  </si>
  <si>
    <t>19223/SPP/008/PUSAT/ICON+/2022</t>
  </si>
  <si>
    <t>MARMITRIA LAND, PT</t>
  </si>
  <si>
    <t>PT KIDECO JAYA AGUNG</t>
  </si>
  <si>
    <t>Jl Jend Gatot Subroto Kav 21</t>
  </si>
  <si>
    <t>18380/SPP/008/PUSAT/ICON+/2022</t>
  </si>
  <si>
    <t>SP2K 4500016079</t>
  </si>
  <si>
    <t>18720/SPP/008/PUSAT/ICON+/2022</t>
  </si>
  <si>
    <t>GEDUNG THAMRIN CITY Lt 1</t>
  </si>
  <si>
    <t>20061/SPP/008/PUSAT/ICON+/2022</t>
  </si>
  <si>
    <t xml:space="preserve">BPJS KETENAGAKERJAAN (JAMSOSTEK) </t>
  </si>
  <si>
    <t>TANJUNGENIM TAHUN 2022/2023</t>
  </si>
  <si>
    <t>Jl.Gatot subroto 79</t>
  </si>
  <si>
    <t>ICON00/S0P/1707/0112/AL/1909/367232</t>
  </si>
  <si>
    <t>18778/SPP/008/PUSAT/ICON+/2022</t>
  </si>
  <si>
    <t>Jakael invesco,PT</t>
  </si>
  <si>
    <t>PT.INDONESIA COMNETS PLUS PERIODE 2022-2023</t>
  </si>
  <si>
    <t>Gatoto subroto kav 38 38</t>
  </si>
  <si>
    <t>19268/SPP/008/PUSAT/ICON+/2022</t>
  </si>
  <si>
    <t>PT.SUMBER SEGERA PRIMADAYA PERIODE 2023</t>
  </si>
  <si>
    <t>PA/UPG/2111/0035</t>
  </si>
  <si>
    <t>20220/SPP/008/PUSAT/ICON+/2022</t>
  </si>
  <si>
    <t>PT.Toyota Motor Manufacturing indonesia</t>
  </si>
  <si>
    <t>Jl.Raya pelabuhan No.9 Tanjung priok</t>
  </si>
  <si>
    <t>ICON-00/SBC/1601/0379, ICON-00/ACT/1407/0018</t>
  </si>
  <si>
    <t>19116/SPP/008/PUSAT/ICON+/2022</t>
  </si>
  <si>
    <t>19025/SPP/008/PUSAT/ICON+/2022</t>
  </si>
  <si>
    <t>PT.AIRPAY INTERNATIONAL INDONESIA PERIODE 2022-2023</t>
  </si>
  <si>
    <t>19212/SPP/008/PUSAT/ICON+/2022</t>
  </si>
  <si>
    <t>PT.IPWAN GLOBAL TELECOMM</t>
  </si>
  <si>
    <t>19141/SPP/008/PUSAT/ICON+/2022</t>
  </si>
  <si>
    <t>PT.JARINGANKU SARANA NUSANTARA</t>
  </si>
  <si>
    <t>PA/ACT/2207/0766</t>
  </si>
  <si>
    <t>194114/SPP/008/PUSAT/ICON+/2022</t>
  </si>
  <si>
    <t>PT.ANUGRAH INTI KARYA,GPAY DIGITAL,PT.LINTAS TEKNOLOGI DIGITAL</t>
  </si>
  <si>
    <t>Grha9 Lt.6 Jl.penataran 9</t>
  </si>
  <si>
    <t>PA/ACT/1810/0048,PA/ACT/2009/0738,PA/ACT/2204/0857</t>
  </si>
  <si>
    <t>19057/SPP/008/PUSAT/ICON+/2022</t>
  </si>
  <si>
    <t>Telekomunikasi indonesia Tbk PT</t>
  </si>
  <si>
    <t>PT Pertamina RETAIL SPBU CIKUPA</t>
  </si>
  <si>
    <t>Jl. Kebon sirih No. 12</t>
  </si>
  <si>
    <t>PA/ACT/2205/2040</t>
  </si>
  <si>
    <t>19359/SPP/008/PUSAT/ICON+/2022</t>
  </si>
  <si>
    <t>PT.SOLUSINDO BINTANG PRATAMA QQ PT ASTRAZENECA PHARMACEUTIAL</t>
  </si>
  <si>
    <t>PA/ACT/2207/2392/TER</t>
  </si>
  <si>
    <t>19358/SPP/008/PUSAT/ICON+/2022</t>
  </si>
  <si>
    <t>Kawasan berikat Nusantara</t>
  </si>
  <si>
    <t>PT . Asianagro Agung jaya 2 (jl.fak-faj)</t>
  </si>
  <si>
    <t>Jl.raya Cakung cilincing</t>
  </si>
  <si>
    <t>PA/ACT/2206/19102/TER</t>
  </si>
  <si>
    <t>19426/SPP/008/PUSAT/ICON+/2022</t>
  </si>
  <si>
    <t>PT. WOM FINANCE</t>
  </si>
  <si>
    <t xml:space="preserve"> PA/TRL/2207/0053/TER</t>
  </si>
  <si>
    <t>20010/SPP/008/PUSAT/ICON+/2022</t>
  </si>
  <si>
    <t>Teknovatus solusi sejahtera,PT</t>
  </si>
  <si>
    <t>SMART TELECOM LOKASI UNIT RACK 8</t>
  </si>
  <si>
    <t>Jl.Pahlawan seribu lot 12A</t>
  </si>
  <si>
    <t>PA/ACT/2206/16564</t>
  </si>
  <si>
    <t>19382/SPP/008/PUSAT/ICON+/2022</t>
  </si>
  <si>
    <t xml:space="preserve">SMART TELECOM LOKASI UNIT RACK 47 </t>
  </si>
  <si>
    <t>19384/SPP/008/PUSAT/ICON+/2022</t>
  </si>
  <si>
    <t>PLN (Persero) Dist.Jaya AP Bulungan</t>
  </si>
  <si>
    <t>PELANGGAN PT PLN ICON+</t>
  </si>
  <si>
    <t>Jl.Sisingamangaraja No.1</t>
  </si>
  <si>
    <t>Pelanggan PT ICON</t>
  </si>
  <si>
    <t>18674/SPP/008/PUSAT/ICON+/2022</t>
  </si>
  <si>
    <t>PT IFORTE SOLUSI INFOTEK qq PT WAHANA CITRA NABATI</t>
  </si>
  <si>
    <t>Jl.pulobuaran V No.25</t>
  </si>
  <si>
    <t>20136/SPP/008/PUSAT/ICON+/2022</t>
  </si>
  <si>
    <t>PT.YAPINDO TRANSPORTAMA</t>
  </si>
  <si>
    <t>PA/ACT/1802/1067</t>
  </si>
  <si>
    <t>20116/SPP/008/PUSAT/ICON+/2022</t>
  </si>
  <si>
    <t>PT.TOKOPEDIA</t>
  </si>
  <si>
    <t>PA/ACT/2210/2386</t>
  </si>
  <si>
    <t>20335/SPP/008/PUSAT/ICON+/2022</t>
  </si>
  <si>
    <t>DWI TUNGGAL PUTRA,PT</t>
  </si>
  <si>
    <t>PT BANK MANDIRI (Persero) Tbk. Di Gedung Tifa</t>
  </si>
  <si>
    <t>Jl.Embong Tanjung No.40 Surabaya</t>
  </si>
  <si>
    <t>PA/ACT/2210/2015</t>
  </si>
  <si>
    <t>20275/SPP/008/PUSAT/ICON+/2022</t>
  </si>
  <si>
    <t>KEMENTERIAN ESDM PERIODE 2022-2023</t>
  </si>
  <si>
    <t>Jl.M.H Thamrin kav 3</t>
  </si>
  <si>
    <t>PA/ACT/2204/0271</t>
  </si>
  <si>
    <t>20258/SPP/008/PUSAT/ICON+/2022</t>
  </si>
  <si>
    <t>project NAP 100 G PERIODE 2022-2023</t>
  </si>
  <si>
    <t>19810/SPP/008/PUSAT/ICON+/2022</t>
  </si>
  <si>
    <t>ENVISION</t>
  </si>
  <si>
    <t>PT.BANK MANDIRI (PERSERO) TBK 2022-2023</t>
  </si>
  <si>
    <t>Gd.Perkantoran prudential centre kotakasablanka</t>
  </si>
  <si>
    <t>PA/ACT/2206/16524</t>
  </si>
  <si>
    <t>19251/SPP/008/PUSAT/ICON+/2022</t>
  </si>
  <si>
    <t>PT.HPERNET INDODATA qq PT LESTARI TEKNIK PLASTIKATAMA</t>
  </si>
  <si>
    <t>Jl.jababeka IV Blok B No.12 Jbbk</t>
  </si>
  <si>
    <t>PA/ACT2210/0062/TER</t>
  </si>
  <si>
    <t>20148/SPP/008/PUSAT/ICON+/2022</t>
  </si>
  <si>
    <t>PT. Layanan internet sakti di gedung tifa</t>
  </si>
  <si>
    <t>PA/ACT/2209/2049</t>
  </si>
  <si>
    <t>20270/SPP/008/PUSAT/ICON+/2027</t>
  </si>
  <si>
    <t>19809/SPP/008/PUSAT/ICON+/2022</t>
  </si>
  <si>
    <t xml:space="preserve">Senayan Trikarya sempana,PT </t>
  </si>
  <si>
    <t>PT.SEAMPLESS PIPE INDONESIA JAYA 2022-2023</t>
  </si>
  <si>
    <t>Jl.Asia Afrika No.8</t>
  </si>
  <si>
    <t>PA/ACT/2108/0103</t>
  </si>
  <si>
    <t>19951/SPP/008/PUSAT/ICON+/2022</t>
  </si>
  <si>
    <t>PT CARAKA WASKITA TEKNOLOGI PERIODE 2022-2023</t>
  </si>
  <si>
    <t>Jl.Angkasa kemayoran</t>
  </si>
  <si>
    <t>PA/ACT/2204/0193</t>
  </si>
  <si>
    <t>20466/SPP/008/PUSAT/ICON+/2022</t>
  </si>
  <si>
    <t>CYBER</t>
  </si>
  <si>
    <t>21014/SPP/008/PUSAT/ICON+/2022</t>
  </si>
  <si>
    <t>Primacom qq Bank ina perdana periode 2022-2023</t>
  </si>
  <si>
    <t>Jl.Rempoa raya 11</t>
  </si>
  <si>
    <t>19578/SPP/008/PUSAT/ICON+/2022</t>
  </si>
  <si>
    <t>PT.ASTRA INTERNATIONAL,PT.ASTRA FINANCE SERVICES</t>
  </si>
  <si>
    <t>Jl.TB SIMATUPANG RT.004 RW.001 KAV 15</t>
  </si>
  <si>
    <t>AL/1805/2823,ICON-00/SCB/1211/0462</t>
  </si>
  <si>
    <t>20629/SPP/008/PUSAT/ICON+/2022</t>
  </si>
  <si>
    <t>PT.KINEZ CREATIVE SOLUTIONS,PT KAWASAN BERIKAT NUSANTARA</t>
  </si>
  <si>
    <t>19468/SPP/008/PUSAT/ICON+/2022</t>
  </si>
  <si>
    <t>PT ASTRA INTERNATIONAL TBK</t>
  </si>
  <si>
    <t>Jl. Tentara pelajar</t>
  </si>
  <si>
    <t>19724/SPP/008/PUSAT/ICON+/2022</t>
  </si>
  <si>
    <t>PT CITRA SARI MAKMUR</t>
  </si>
  <si>
    <t>ICON-00/ACT/1502/0273</t>
  </si>
  <si>
    <t>19584/SPP/008/PUSAT/ICON+/2022</t>
  </si>
  <si>
    <t>Gentamulia Infra</t>
  </si>
  <si>
    <t>BANK DANAMON INDONESIA</t>
  </si>
  <si>
    <t>Jl. Lingkar Mega Kuningan Kav. E32 1 Jakarta 12950</t>
  </si>
  <si>
    <t>ICON-00/ACT/1506/0233</t>
  </si>
  <si>
    <t>18539/SPP/008/PUSAT/ICON+/2022</t>
  </si>
  <si>
    <t xml:space="preserve">PT DJARUM </t>
  </si>
  <si>
    <t>AL/2002/5192</t>
  </si>
  <si>
    <t>19281/SPP/008/PUSAT/ICON+/2022</t>
  </si>
  <si>
    <t xml:space="preserve">PT Fermentech Indonesia </t>
  </si>
  <si>
    <t>Jl.Jend.Sudirman 52-53 Jakarta 12190</t>
  </si>
  <si>
    <t>AL/1910/47255, AL/1910/47256</t>
  </si>
  <si>
    <t>18843/SPP/008/PUSAT/ICON+/2022</t>
  </si>
  <si>
    <t>COMMONWEALTH BANK</t>
  </si>
  <si>
    <t>AL/2112/136926</t>
  </si>
  <si>
    <t>18844/SPP/008/PUSAT/ICON+/2022</t>
  </si>
  <si>
    <t>Supra Pritama Nusantara</t>
  </si>
  <si>
    <t>PT POLYTAMA PROPINDO</t>
  </si>
  <si>
    <t>Jl.Jend.Sudirman Kav. 10-11 Jakarta 10220</t>
  </si>
  <si>
    <t>PA/ACT/2201/2967/ORI</t>
  </si>
  <si>
    <t>18524/SPP/008/PUSAT/ICON+/2022</t>
  </si>
  <si>
    <t>PT MULIA INTI PELANGI</t>
  </si>
  <si>
    <t>PA/ACT/2001/3225, AL/2008/37098</t>
  </si>
  <si>
    <t>18764/SPP/008/PUSAT/ICON+/2022</t>
  </si>
  <si>
    <t>PT YETOYA SOLUSI INDONESIA</t>
  </si>
  <si>
    <t>Jl. Kuningan Barat No. 8 Cyber Building 1st&amp;2nd Jakarta Selatan 12710</t>
  </si>
  <si>
    <t>PA/ACT/2205/0982/ORI</t>
  </si>
  <si>
    <t>18859/SPP/008/PUSAT/ICON+/2022</t>
  </si>
  <si>
    <t xml:space="preserve">Graha Anugerah Sejahtera, PT </t>
  </si>
  <si>
    <t>PT TRANS RETAIL INDONESIA</t>
  </si>
  <si>
    <t>Jl. Kelapa Cengkir Timur II Blok EH 2, Kelapa Gading No.2 Jakarta 14250</t>
  </si>
  <si>
    <t>PA/RLK/2111/0090</t>
  </si>
  <si>
    <t>18897/SPP/008/PUSAT/ICON+/2022</t>
  </si>
  <si>
    <t xml:space="preserve">Menara Thamrin, PT </t>
  </si>
  <si>
    <t>IFAD OFFICE</t>
  </si>
  <si>
    <t>Jl. MH Thamrin Kav 3 Jakarta 10250</t>
  </si>
  <si>
    <t>18437/SPP/008/PUSAT/ICON+/2022</t>
  </si>
  <si>
    <t>PT. BANK PEMBANGUNAN DAERAH KALIMANTAN TENGAH, PT BANK MANDIRI TASPEN - JAKARTA, PT BANK NB SYARIAH, PT XL AXIATATBK</t>
  </si>
  <si>
    <t>PA/ACT/2103/1983/ORI, PA/ACT/2003/1096/TER, PA/ACT/2106/3300, PA/ACT/2005/0446</t>
  </si>
  <si>
    <t>18928/SPP/008/PUSAT/ICON+/2022</t>
  </si>
  <si>
    <t xml:space="preserve">PT PASIFIK SATELIT NUSANTARA </t>
  </si>
  <si>
    <t>18850/SPP/008/PUSAT/ICON+/2022</t>
  </si>
  <si>
    <t>PT PRODIA WIDYAHUSADA</t>
  </si>
  <si>
    <t>18718/SPP/008/PUSAT/ICON+/2022</t>
  </si>
  <si>
    <t>Jl. Senen Raya No. 135</t>
  </si>
  <si>
    <t>BADAN PENGELOLA PENDAPATAN DAERAH JAWA TENGAH</t>
  </si>
  <si>
    <t>PA/ACT/2001/3141</t>
  </si>
  <si>
    <t>HANASTA DAKARA</t>
  </si>
  <si>
    <t>Jl. Pajajaran Lippo</t>
  </si>
  <si>
    <t>1000029813</t>
  </si>
  <si>
    <t>PT PRATAMA LINK</t>
  </si>
  <si>
    <t>PT SHENHUA GUOHUA PEMBANGKIT JAWA BALI</t>
  </si>
  <si>
    <t>Jl.M.H. Thamrin Kav 3</t>
  </si>
  <si>
    <t>20284/SPP/008/PUSAT/ICON+/2022</t>
  </si>
  <si>
    <t>PT DJARUM, PT SUMBER CIPTA MULTINIAGA</t>
  </si>
  <si>
    <t>PA/ACT/2003/0168, PA/ACT/2004/0585</t>
  </si>
  <si>
    <t>19418/SPP/008/PUSAT/ICON+/2022</t>
  </si>
  <si>
    <t>PT. TLELKOMUNIKASI INDONESIA INTERNATIONAL</t>
  </si>
  <si>
    <t>PA/ACT/2210/1177</t>
  </si>
  <si>
    <t>20313/SPP/008/PUSAT/ICON+/2022</t>
  </si>
  <si>
    <t>18914/SPP/008/PUSAT/ICON+/2022</t>
  </si>
  <si>
    <t>Jl. Margonda Raya 56 Depok 16431</t>
  </si>
  <si>
    <t>PT BANK SYARIAH MANDIRI</t>
  </si>
  <si>
    <t>Jl. Griya Hijau Kav. F</t>
  </si>
  <si>
    <t>PA/UPG/2112/0158</t>
  </si>
  <si>
    <t>PT BANK COMMONWEALTH</t>
  </si>
  <si>
    <t>Jl. Buncit Raya Lt. Penthouse No.22 Jakarta Selatan 12510</t>
  </si>
  <si>
    <t>PA/ACT/1807/0333</t>
  </si>
  <si>
    <t>19803/SPP/008/PUSAT/ICON+/2022</t>
  </si>
  <si>
    <t>YAYASAN GHANDI SEMESTA</t>
  </si>
  <si>
    <t>PA/ACT/2111/4500</t>
  </si>
  <si>
    <t>20468/SPP/008/PUSAT/ICON+/2022</t>
  </si>
  <si>
    <t>20675/SPP/008/PUSAT/ICON+/2022</t>
  </si>
  <si>
    <t>Dwi Tunggal Putra, PT</t>
  </si>
  <si>
    <t>CIPTA PIRANTI SEJAHTERA Gd. TIFA JL. KUNINGAN BAR MAMPANG PRAPATAN ORIGI, PT SARANA PRIMA TELEMATIKA TIFA ARUM REALTY - KANTOR PUSAT DIREKTORAT JENDERAL PAJAK, PT INDOMARCO DATA CENTER GED.CYBER JL.KUNINGAN BARAT RAYA, PT. LAYANAN INTERNET SAKIT POLLUX MALL CHADSTONE</t>
  </si>
  <si>
    <t>JL. Embong Tanjung No. 40 Surabaya 60271</t>
  </si>
  <si>
    <t>PA/RLK/2111/0021, PA/RLK/2111/0034, PA/ACT/2002/2154, PA/ACT/2203/2624</t>
  </si>
  <si>
    <t>20180/SPP/008/PUSAT/ICON+/2022</t>
  </si>
  <si>
    <t>PA/ACT/0457/TER</t>
  </si>
  <si>
    <t>Jl.Makaliwe Raya 24-24a</t>
  </si>
  <si>
    <t>Detik Ini Juga</t>
  </si>
  <si>
    <t>PT Trans Retail Cibubur</t>
  </si>
  <si>
    <t>Jl. Kapt. Tendean Kav 12-14A Jakarta Selatan 12790</t>
  </si>
  <si>
    <t>PT Nutrifood Indonesia</t>
  </si>
  <si>
    <t xml:space="preserve">PT Platinum Ceramics </t>
  </si>
  <si>
    <t>Jl. Mangga Dua Raya Jakarta Pusat 10730</t>
  </si>
  <si>
    <t>IDC</t>
  </si>
  <si>
    <t>PA/ACT/1804/0236/ORI</t>
  </si>
  <si>
    <t>Jl.M. H. Thamrin Kav 3 Jakarta Pusat 10250</t>
  </si>
  <si>
    <t>PT Jaya Wira Jerindo</t>
  </si>
  <si>
    <t>Jl. Riau 23 Jakarta Pusat 10350</t>
  </si>
  <si>
    <t>PA/ACT/2002/0731/TER</t>
  </si>
  <si>
    <t>18080/SPP/008/PUSAT/ICON+/2022</t>
  </si>
  <si>
    <t>Jl. Mega Kuningan Lot. E4-7 1 Kuningan Timur, Setiabudi 00000</t>
  </si>
  <si>
    <t>Gedung Kenari Mas Lt 6 No.101 Jakarta Pusat 10440</t>
  </si>
  <si>
    <t>18177/SPP/008/SPP/ICON+2022</t>
  </si>
  <si>
    <t>PT Hipernet Indodata</t>
  </si>
  <si>
    <t>WTP Building Jl Jababeka IV Blok B No. 12 Jbbk Industria Esta Cikarang</t>
  </si>
  <si>
    <t>PA/ACT/2203/2604/TER</t>
  </si>
  <si>
    <t>18316/SPP/008/PUSAT/ICON+/2022</t>
  </si>
  <si>
    <t>PT Hipernet Indodata (Kel. Jayamukti)</t>
  </si>
  <si>
    <t>PA/ACT/2203/2605/TER</t>
  </si>
  <si>
    <t>18318/SPP/008/PUSAT/ICON+/2022</t>
  </si>
  <si>
    <t>Adi Inti Mandiri Solusi</t>
  </si>
  <si>
    <t>PA/ACT/2203/1103/TER</t>
  </si>
  <si>
    <t>18301/SPP/008/PUSAT/ICON+/2022</t>
  </si>
  <si>
    <t xml:space="preserve">PT Astra International </t>
  </si>
  <si>
    <t>PA/ACT/2202/0907/TER</t>
  </si>
  <si>
    <t>18019/SPP/008/PUSAT/ICON+/2022</t>
  </si>
  <si>
    <t xml:space="preserve">PT Adaro Logistics </t>
  </si>
  <si>
    <t>Jl. H. R. Rasuna Said Blok X5 13 Jakarta 00000</t>
  </si>
  <si>
    <t>PA/ACT/2201/3835</t>
  </si>
  <si>
    <t>18158/SPP/008/PUSAT/ICON+/2022</t>
  </si>
  <si>
    <t>PT Mega Auto Finance</t>
  </si>
  <si>
    <t>PA/ACT/2203/0309/TER</t>
  </si>
  <si>
    <t>18273/SPP/008/PUSAT/ICON+/2022</t>
  </si>
  <si>
    <t>PT Aliansi Teknologi Indonesia</t>
  </si>
  <si>
    <t>PA/ACT/2209/5345</t>
  </si>
  <si>
    <t>20638/SPP/008/PUSAT/ICON+/2022</t>
  </si>
  <si>
    <t>Badan Pengelola Pendapatan Daerah Provinsi Jawa Tengah</t>
  </si>
  <si>
    <t>18264/SPP/008/PUSAT/ICON+/2022</t>
  </si>
  <si>
    <t xml:space="preserve">PT Tokopedia </t>
  </si>
  <si>
    <t>PA/ACT/2203/0817</t>
  </si>
  <si>
    <t>18218/SPP/008/PUSAT/ICON+/2022</t>
  </si>
  <si>
    <t xml:space="preserve">PT Nugraha Indah Citarasa Indonesia </t>
  </si>
  <si>
    <t>Jl. HR Rasuna Said BLK X-2 Jakarta Selatan 00000</t>
  </si>
  <si>
    <t>PA/RLK/1902/0057</t>
  </si>
  <si>
    <t xml:space="preserve">PT Lintas Arta qq Arta Jasa </t>
  </si>
  <si>
    <t>Jl. Jend Sudirman Kav 52-53</t>
  </si>
  <si>
    <t>AL/2007/35005</t>
  </si>
  <si>
    <t>17439/SPP/008/PUSAT/ICON+/2022</t>
  </si>
  <si>
    <t>Gd. Menara Kadin Lt. 11</t>
  </si>
  <si>
    <t>AL/2107/53240</t>
  </si>
  <si>
    <t>18341/SPP/008/PUSAT/ICON+/2022</t>
  </si>
  <si>
    <t>PT Media Lintasarta</t>
  </si>
  <si>
    <t>PA/ACT/2203/3379/TER</t>
  </si>
  <si>
    <t>18418/SPP/008/PUSAT/ICON+/2022</t>
  </si>
  <si>
    <t>Astra International TBK</t>
  </si>
  <si>
    <t>18292/SPP/008/PUSAT/ICON+/2022</t>
  </si>
  <si>
    <t>18398/SPP/008/PUSAT/ICON+/2022</t>
  </si>
  <si>
    <t>PA/ACT/2204/0476</t>
  </si>
  <si>
    <t>18538/SPP/008/PUSAT/ICON+/2022</t>
  </si>
  <si>
    <t>PA/UPG/2112/0336</t>
  </si>
  <si>
    <t>17680/SPP/008/PUSAT/ICON+/2022</t>
  </si>
  <si>
    <t>PT Bank Bukopin</t>
  </si>
  <si>
    <t>PA/RLK/2203/0007</t>
  </si>
  <si>
    <t>18419/SPP/008/PUSAT/ICON+/2022</t>
  </si>
  <si>
    <t>Nettocyber Indonesia</t>
  </si>
  <si>
    <t>PT Bantoel Prima Capital</t>
  </si>
  <si>
    <t>Jl. TB Simatupang Kav 1S Jakarta 00000</t>
  </si>
  <si>
    <t>PA/ACT/2203/1954/TER</t>
  </si>
  <si>
    <t>18289/SPP/008/PUSAT/ICON+/2022</t>
  </si>
  <si>
    <t xml:space="preserve">PT Caturkarda Depo Bangunan </t>
  </si>
  <si>
    <t>18161/SPP/008/PUSAT/ICON+/2022</t>
  </si>
  <si>
    <t xml:space="preserve">Bank BTPN Syariah dan Bukopin </t>
  </si>
  <si>
    <t>CON-00/ACT/1511/0021, PA/ACT/1902/0567</t>
  </si>
  <si>
    <t>18320/SPP/008/PUSAT/ICON+/2022</t>
  </si>
  <si>
    <t>PT Dwi Tunggal Putra</t>
  </si>
  <si>
    <t>Badan Riset dan Inovasi Nasional (BRIN)</t>
  </si>
  <si>
    <t>PA/ACT/2112/1723, PA/ACT/2112/2341</t>
  </si>
  <si>
    <t>17585/SPP/008/PUSAT/ICON+/2022</t>
  </si>
  <si>
    <t>Nusa Kirana Real Estate</t>
  </si>
  <si>
    <t>Jl. Yos Sudarso 88 Tj. Priok, Jakarta Utara 14350</t>
  </si>
  <si>
    <t>PA/ACT/1801/1090</t>
  </si>
  <si>
    <t>19758/SPP/008/PUSAT/ICON+/2022</t>
  </si>
  <si>
    <t>PT Magna Karsa Mulya</t>
  </si>
  <si>
    <t>ICON-00/ACT/1609/0670, ICON-00/ACT/1609/0671</t>
  </si>
  <si>
    <t>19624/SPP/008/PUSAT/ICON+/2022</t>
  </si>
  <si>
    <t>PA/ACT/1910/0328</t>
  </si>
  <si>
    <t>PT Power Telecom</t>
  </si>
  <si>
    <t>PT Artha Asia Finance</t>
  </si>
  <si>
    <t>Jl. Tomang Raya No. 43 Jakarta Barat 11440</t>
  </si>
  <si>
    <t>19926/SPP/008/PUSAT/ICON+/2022</t>
  </si>
  <si>
    <t>PT Inoac Polytechhno Indonesia</t>
  </si>
  <si>
    <t>AL/2112/140373</t>
  </si>
  <si>
    <t>19940/SPP/008/PUSAT/ICON+/2022</t>
  </si>
  <si>
    <t>PT Fumira</t>
  </si>
  <si>
    <t>19850/SPP/008/PUSAT/ICON+/2022</t>
  </si>
  <si>
    <t>PA/ACT/2209/0277/TER</t>
  </si>
  <si>
    <t>19912/SPP/008/PUSAT/ICON+/2022</t>
  </si>
  <si>
    <t>Kelola Graha Vinilon</t>
  </si>
  <si>
    <t>Jl. Raden Saleh No 13-17 Jakarta Pusat 10430</t>
  </si>
  <si>
    <t>ICON-00/SBC/1801/0265</t>
  </si>
  <si>
    <t>20462/SPP/008/PUSAT/ICON+/2022</t>
  </si>
  <si>
    <t>19755/SPP/008/PUSAT/ICON+/2022</t>
  </si>
  <si>
    <t>AL/2109/77146</t>
  </si>
  <si>
    <t>19406/SPP/008/PUSAT/ICON+/2022</t>
  </si>
  <si>
    <t xml:space="preserve">PT GH EMM Indonesia </t>
  </si>
  <si>
    <t>Plaza Sentral Lt. 21 Jend Sudirman Kav 47 Jakarta 12930</t>
  </si>
  <si>
    <t>19379/SPP/008/PUSAT/ICON+/2022</t>
  </si>
  <si>
    <t>Mekar Prana Indah</t>
  </si>
  <si>
    <t xml:space="preserve">PT Pembangkitan Jawa Bali </t>
  </si>
  <si>
    <t>Jl. Jend Gatot Subroto Kav. 71-73 Jakarta 12870</t>
  </si>
  <si>
    <t>PA/ACT/2009/0916</t>
  </si>
  <si>
    <t>19354/SPP/008/PUSAT/ICON+/2022</t>
  </si>
  <si>
    <t>Royal Oriental</t>
  </si>
  <si>
    <t xml:space="preserve">PT Smart Tbk </t>
  </si>
  <si>
    <t>Sinar Mas Land Plaza Tower III, B1 Jl. MH Thamrin No. 51 Jakarta 10350</t>
  </si>
  <si>
    <t>19215/SPP/008/PUSAT/ICON+/2022</t>
  </si>
  <si>
    <t>PT Klik Indomaret Sukses</t>
  </si>
  <si>
    <t>18913/SPP/008/PUSAT/ICON+/2022</t>
  </si>
  <si>
    <t>18789/SPP/008/PUSAT/ICON+/2022</t>
  </si>
  <si>
    <t>PT Lintas Jaringan Nusantara</t>
  </si>
  <si>
    <t>18997/SPP/008/PUSAT/ICON+/2022</t>
  </si>
  <si>
    <t>Zota Indonesia</t>
  </si>
  <si>
    <t>PT Land mark Conccurrent Solusi Indonesia</t>
  </si>
  <si>
    <t>Tebet Raya 009 RT 009 RW 005 45d Tebet 00000</t>
  </si>
  <si>
    <t>PA/RLK/2107/0057, PA/RLK/2107,0056</t>
  </si>
  <si>
    <t>19562/SPP/008/PUSAT/ICON+/2022</t>
  </si>
  <si>
    <t>PA/UPG/2201/0520</t>
  </si>
  <si>
    <t>19706/SPP/008/PUSAT/ICON+/2022</t>
  </si>
  <si>
    <t>PT Olam Indonesia</t>
  </si>
  <si>
    <t>PA/UPG/2208/0213, PA/UPG/2208/0214</t>
  </si>
  <si>
    <t>19770/SPP/008/PUSAT/ICON+/2022</t>
  </si>
  <si>
    <t>Gd. TCC Batavia Tower One Lt. 16 Jakarta Pusat 00000</t>
  </si>
  <si>
    <t>AL/2206/83115</t>
  </si>
  <si>
    <t>19678/SPP/008/PUSAT/ICON+/2022</t>
  </si>
  <si>
    <t>PA/UPG/1909/0258, PA/UPG/1911/0048</t>
  </si>
  <si>
    <t>19712/SPP/008/PUSAT/ICON+/2022</t>
  </si>
  <si>
    <t xml:space="preserve">PT Kaldu Sari Nabati </t>
  </si>
  <si>
    <t>19107/SPP/008/PUSAT/ICON+/2022</t>
  </si>
  <si>
    <t>PLN Rayon Cikarang</t>
  </si>
  <si>
    <t>ICON-00/SBC/1712/0380</t>
  </si>
  <si>
    <t>19010/SPP/008/PUSAT/ICON+/2022</t>
  </si>
  <si>
    <t xml:space="preserve">Dwi Tunggal Putra </t>
  </si>
  <si>
    <t xml:space="preserve">PT Layanan Internet Sakti </t>
  </si>
  <si>
    <t>PA/ACT/2203/2624/ORI</t>
  </si>
  <si>
    <t>19206/SPP/008/PUSAT/ICON+/2022</t>
  </si>
  <si>
    <t>AL/2120/98772</t>
  </si>
  <si>
    <t>Bank Mizuho</t>
  </si>
  <si>
    <t>18902/SPP/008/PUSAT/ICON+/2022</t>
  </si>
  <si>
    <t>18845/SPP/008/PUSAT/ICON+/2022</t>
  </si>
  <si>
    <t xml:space="preserve">All Pelanggan </t>
  </si>
  <si>
    <t>18423/SPP/008/PUSAT/ICON+/2022</t>
  </si>
  <si>
    <t xml:space="preserve">Cyberindo Aditama </t>
  </si>
  <si>
    <t>18804/SPP/008/PUSAT/ICON+/2022</t>
  </si>
  <si>
    <t>Gd JITC Lt 7&amp;8 Jl. Mangga Dua Jakarta Utara 14430</t>
  </si>
  <si>
    <t>PA/ACT/1808/0396</t>
  </si>
  <si>
    <t>18242/SPP/008/PUSAT/ICON+/2022</t>
  </si>
  <si>
    <t>Lintasarta QQ Bank Woori Saudara</t>
  </si>
  <si>
    <t>PA/ACT/2112/0932/TER, AR/ACT/2112/37414/0100017880</t>
  </si>
  <si>
    <t>19009/SPP/008/PUSAT/ICON+/2022</t>
  </si>
  <si>
    <t>PT Cyberindo Aditama qq PT Biznet Gio Nusantara CID 5200</t>
  </si>
  <si>
    <t>MidPlaza 2 Lt. 8 Jl Jend. Sudirman 10-11 Jakarta 10220</t>
  </si>
  <si>
    <t>Backhaul CBN Cyber 2</t>
  </si>
  <si>
    <t>CBN - Biznet Technovillage, Jl. Riverside Golf Club No.1, Bojong Nangka, Gn. Putri, Kabupaten Bogor, Jawa Barat, Indonesia, 16965</t>
  </si>
  <si>
    <t>18807/SPP/008/PUSAT/ICON+/2022</t>
  </si>
  <si>
    <t>Farrah C. Cardifana</t>
  </si>
  <si>
    <t>0819-0507-9785</t>
  </si>
  <si>
    <t>18904/SPP/008/PUSAT/ICON+/2022</t>
  </si>
  <si>
    <t>PT Angkasa Pura 1 (Persero)</t>
  </si>
  <si>
    <t>PA/ACT/1901/0235, PA/ACT/1901/0236</t>
  </si>
  <si>
    <t>17858/SPP/008/PUSAT/ICON+/2022</t>
  </si>
  <si>
    <t>BUT. Sarulla Operations LTD, Bank Woori Saudara</t>
  </si>
  <si>
    <t>Jl. Jend Sudirman Kav 58 Gedung Graha Niaga 1 Jakarta 12190</t>
  </si>
  <si>
    <t>18846/SPP/008/PUSAT/ICON+/2022</t>
  </si>
  <si>
    <t>Botika Teknologi Indonesia</t>
  </si>
  <si>
    <t>Direktorat Jendral Imigrasi Ditjen Imigrai Kementerian Hukum dan HAM</t>
  </si>
  <si>
    <t>Jl. Balirejo RT. 24 RW. 08 No. 12 Yogyakarta 55165</t>
  </si>
  <si>
    <t>PA/ACT/2103/0587, AL/2107/56681</t>
  </si>
  <si>
    <t>18416/SPP/008/PUSAT/ICON+/2022</t>
  </si>
  <si>
    <t>Integra Kreasitama Solusindo</t>
  </si>
  <si>
    <t>PT Bank Mandiri (Persero)</t>
  </si>
  <si>
    <t>Pangeran Antasari 18 A Jakarta 12410</t>
  </si>
  <si>
    <t>PA/UPG/2204/0451</t>
  </si>
  <si>
    <t>19743/SPP/008/PUSAT/ICON+/2022</t>
  </si>
  <si>
    <t>20182/SPP/008/PUSAT/ICON+/2022</t>
  </si>
  <si>
    <t>PT Sukanda Djaya</t>
  </si>
  <si>
    <t>PA/ACT/2110/1649/TER</t>
  </si>
  <si>
    <t>20239/SPP/008/PUSAT/ICON+/2022</t>
  </si>
  <si>
    <t>AL/1903/4924/0990000320376164</t>
  </si>
  <si>
    <t>Jekael Invesco</t>
  </si>
  <si>
    <t>PT Bank Mandiri (Persero), Tbk</t>
  </si>
  <si>
    <t>Jl. Gatot Subroto Kav 38 38 Jakarta Selatan 00000</t>
  </si>
  <si>
    <t>PA/UPG/1906/0005</t>
  </si>
  <si>
    <t>19356/SPP/008/PUSAT/ICON+/2022</t>
  </si>
  <si>
    <t>20204/SPP/008/PUSAT/ICON+/2022</t>
  </si>
  <si>
    <t>PT Menara Antam Sejahtera</t>
  </si>
  <si>
    <t>PT Bank Syariah</t>
  </si>
  <si>
    <t>Jl. TB Simatupang No. 1 Jakarta Selatan 12530</t>
  </si>
  <si>
    <t>PA/ACT/2208/3992</t>
  </si>
  <si>
    <t>20511/SPP/008/PUSAT/ICON+/2022</t>
  </si>
  <si>
    <t>Jl.Kuningan Barat No. 8 Cyber Building 1st&amp;2nd Jakarta Selatan 12710</t>
  </si>
  <si>
    <t>20312/SPP/008/PUSAT/ICON+/2022</t>
  </si>
  <si>
    <t>PA/RLK/2109/0110</t>
  </si>
  <si>
    <t>20306/SPP/008/PUSAT/ICON+/2022</t>
  </si>
  <si>
    <t>PT Akses Data Internusa</t>
  </si>
  <si>
    <t>PA/ACT/2210/0687/ORI</t>
  </si>
  <si>
    <t>20541/SPP/008/PUSAT/ICON+/2022</t>
  </si>
  <si>
    <t>20518/SPP/008/PUSAT/ICON+/2022</t>
  </si>
  <si>
    <t>PT Data Sinergitama</t>
  </si>
  <si>
    <t>Jl Rempoa Raya 11 Ciputat 00000</t>
  </si>
  <si>
    <t>20498/SPP/008/PUSAT/ICON+/2022</t>
  </si>
  <si>
    <t>Bahanasemesta Citranusantara</t>
  </si>
  <si>
    <t xml:space="preserve">BTPN </t>
  </si>
  <si>
    <t>Gd. Menara BTPN Lt. 9 Jakarta Selatan 12950</t>
  </si>
  <si>
    <t>ICON-00/SBC/1701/0192, ICON-00/SBC/1602/0097</t>
  </si>
  <si>
    <t>20281/SPP/008/PUSAT/ICON+/2022</t>
  </si>
  <si>
    <t>ICON-00/SBC/1801/0268</t>
  </si>
  <si>
    <t xml:space="preserve">PT Astra Daihatsu Motor </t>
  </si>
  <si>
    <t>PA/UPG/2111/0138</t>
  </si>
  <si>
    <t>20461/SPP/008/PUSAT/ICON+/2022</t>
  </si>
  <si>
    <t>PT Toyota Astra Motor SPLD</t>
  </si>
  <si>
    <t>20485/SPP/008/PUSAT/ICON+/2022</t>
  </si>
  <si>
    <t xml:space="preserve">Global Pahala Jasatama </t>
  </si>
  <si>
    <t>PT Berlian Sistem Informasi</t>
  </si>
  <si>
    <t>Jln Gatot Subroto Kav. 51-52 Jakarta 10260</t>
  </si>
  <si>
    <t>20287/SPP/008/PUSAT/ICON+/2022</t>
  </si>
  <si>
    <t xml:space="preserve">Infranstruktur Cakrawala Telekomunikasi </t>
  </si>
  <si>
    <t xml:space="preserve">PT Eonchemicals </t>
  </si>
  <si>
    <t>WTP Building Jl Jababeka IV Blok B No. 12 Jbbk Industria Esta Cikarang Bekasi 17530</t>
  </si>
  <si>
    <t>PA/ACT/2210/2259</t>
  </si>
  <si>
    <t>20455/SPP/008/PUSAT/ICON+/2022</t>
  </si>
  <si>
    <t>19240/SPP/008/PUSAT/ICON+/2022</t>
  </si>
  <si>
    <t>18959/SPP/008/PUSAT/ICON+/2022</t>
  </si>
  <si>
    <t>PT Trans Rekreasindo</t>
  </si>
  <si>
    <t>Jl.Kapt Tendean Kav 12-14A Jakarta Selatan 12790</t>
  </si>
  <si>
    <t>PA/ACT/1903/1573 , PA/ACT/1903/2236</t>
  </si>
  <si>
    <t>18745/SPP/008/PUSAT/ICON+/2022</t>
  </si>
  <si>
    <t>Supra Primatama Nusantara</t>
  </si>
  <si>
    <t>PT Jakarta Lingko Indonesia</t>
  </si>
  <si>
    <t>Jl.Jend Sudirman Kav 10-11 Jakarta 10220</t>
  </si>
  <si>
    <t>PA/ACT/2201/1163</t>
  </si>
  <si>
    <t>PT Bank Pembangunan Daerah Kalimantan Selatan</t>
  </si>
  <si>
    <t>Jl.Jend Sudirman Kav 52-53 Jakarta 12190</t>
  </si>
  <si>
    <t>18650/SPP/008/PUSAT/ICON+/2022</t>
  </si>
  <si>
    <t>PT Pama Persada Nusantara</t>
  </si>
  <si>
    <t>Jl. Pulokambing No. 1 Lahan Industri Pulogadung Jakarta Timur 13290</t>
  </si>
  <si>
    <t>18632/SPP/008/PUSAT/ICON+/2022</t>
  </si>
  <si>
    <t>PA/ACT/2201/3558</t>
  </si>
  <si>
    <t>18325/SPP/008/PUSAT/ICON+/2022</t>
  </si>
  <si>
    <t>PT Nosairis Teknologi Solutions</t>
  </si>
  <si>
    <t>PA/ACT/2204/0219/TER</t>
  </si>
  <si>
    <t>18596/SPP/008/PUSAT/ICON+/2022</t>
  </si>
  <si>
    <t>17654/SPP/008/PUSAT/ICON+/2022</t>
  </si>
  <si>
    <t>l Kuningan Barat 8 Jakarta 12710</t>
  </si>
  <si>
    <t>PA/ACT/1811/1730/0100007538 , PA/ACT/1908/5781/01000075385</t>
  </si>
  <si>
    <t>18428/SPP/008/PUSAT/ICON+/2022</t>
  </si>
  <si>
    <t>398/SPP/SBU/ICON+/2023</t>
  </si>
  <si>
    <t>H363</t>
  </si>
  <si>
    <t>4051/SPP/SBU/PLNICONPLUS/2024</t>
  </si>
  <si>
    <t>H364</t>
  </si>
  <si>
    <t>Jl.Jend Sudirman Kav 10-11 Jakarta Pusat 00000</t>
  </si>
  <si>
    <t>PA/ACT/2201/1232/TER</t>
  </si>
  <si>
    <t>PT Cyberindo Aditama , PT Suzuki Finance</t>
  </si>
  <si>
    <t>AL/2008/41053 , PA/UPG/1907/0156</t>
  </si>
  <si>
    <t>PT Intershop Prima Center</t>
  </si>
  <si>
    <t>PT Bumi Serpong Damai Tbk</t>
  </si>
  <si>
    <t>PT Pembangkitan Jawa Bali</t>
  </si>
  <si>
    <t>GD 18 Office Park LT B1 Jakarta Selatan</t>
  </si>
  <si>
    <t>17648/SPP/008/PUSAT/ICON+/2022</t>
  </si>
  <si>
    <t>PT Swadaya Panduartha</t>
  </si>
  <si>
    <t>PT Home Center Indonesia</t>
  </si>
  <si>
    <t>Jakarta 14240</t>
  </si>
  <si>
    <t>PA/UPG/1802/0189</t>
  </si>
  <si>
    <t>18365/SPP/008/PUSAT/ICON+/2022</t>
  </si>
  <si>
    <t>Jatelindo</t>
  </si>
  <si>
    <t>ICON-00/SBC/1208/0067 , ICON-00/SBC/1208/0068</t>
  </si>
  <si>
    <t>18315/SPP/008/PUSAT/ICON+/2022</t>
  </si>
  <si>
    <t>PT Bukit Asam , Bank Mega</t>
  </si>
  <si>
    <t>AL/1904/5372 , PA/ACT/1802/2046</t>
  </si>
  <si>
    <t>18180/SPP/008/PUSAT/ICON+/2022</t>
  </si>
  <si>
    <t>Tri Tunggal Jaya , Mitra Era Global</t>
  </si>
  <si>
    <t>Palembang 00000</t>
  </si>
  <si>
    <t>PA/RLK/2111/0055 , SPA/ACT/1911/000485</t>
  </si>
  <si>
    <t>18281/SPP/008/PUSAT/ICON+/2022</t>
  </si>
  <si>
    <t>PT Airpray International</t>
  </si>
  <si>
    <t>PA/ACT/1912/2626 , PA/ACT/1912/2625</t>
  </si>
  <si>
    <t>17624/SPP/008/PUSAT/ICON+/2022</t>
  </si>
  <si>
    <t>PT Sokonindo</t>
  </si>
  <si>
    <t>P3SRSBH Multivision Tower</t>
  </si>
  <si>
    <t>PA/ACT/2107/0340</t>
  </si>
  <si>
    <t>17478/SPP/008/PUSAT/ICON+/2022</t>
  </si>
  <si>
    <t>PT Sunvone Solusindo</t>
  </si>
  <si>
    <t>AL/2006/23523</t>
  </si>
  <si>
    <t>PT Supreme Energy Muara Laboh</t>
  </si>
  <si>
    <t>18079/SPP/008/PUSAT/ICON+/2022</t>
  </si>
  <si>
    <t>PT Taruna Bina Sarana</t>
  </si>
  <si>
    <t>Jakarta Utara 14310</t>
  </si>
  <si>
    <t>17565/SPP/008/PUSAT/ICON+/2022</t>
  </si>
  <si>
    <t>PT Solusi Jasa Teknologi</t>
  </si>
  <si>
    <t>PT Sarana Yukti Bandhana</t>
  </si>
  <si>
    <t>PA/ACT/2202/2483</t>
  </si>
  <si>
    <t>18233/SPP/008/PUSAT/ICON+/2022</t>
  </si>
  <si>
    <t>Jakarta Selata 12710</t>
  </si>
  <si>
    <t>17759/SPP/008/PUSAT/ICON+/2022</t>
  </si>
  <si>
    <t>PT Kabelindo Murni Tbk</t>
  </si>
  <si>
    <t>Jl. Pulokambing No. 1 Lahan Industri Pulogadung Jakarta Timur 13291</t>
  </si>
  <si>
    <t>18026/SPP/008/PUSAT/ICON+/2022</t>
  </si>
  <si>
    <t xml:space="preserve">PT Bright Honey Lady </t>
  </si>
  <si>
    <t>PT Twoba Box Ind0nesia</t>
  </si>
  <si>
    <t>Jakarta Utara 14440</t>
  </si>
  <si>
    <t>PA/ACT/2202/1364</t>
  </si>
  <si>
    <t>18116/SPP/008/PUSAT/ICON+/2022</t>
  </si>
  <si>
    <t>PT Oleos Kirana Pratama</t>
  </si>
  <si>
    <t>PT Arnotts Indonesia</t>
  </si>
  <si>
    <t>PA/ACT/2112/1376</t>
  </si>
  <si>
    <t>18070/SPP/008/PUSAT/ICON+/2022</t>
  </si>
  <si>
    <t>PA/ACT/2202/2688/TER</t>
  </si>
  <si>
    <t>18064/SPP/008/PUSAT/ICON+/2022</t>
  </si>
  <si>
    <t>PT Alfa Retailindo</t>
  </si>
  <si>
    <t>Jakarta Selatan 12790</t>
  </si>
  <si>
    <t>PA/ACT/2112/0100/TER</t>
  </si>
  <si>
    <t>17695/SPP/008/PUSAT/ICON+/2022</t>
  </si>
  <si>
    <t>Grogol Pertamburan Jakarta Barat 11450</t>
  </si>
  <si>
    <t>PA/ACT/2112/2341 , PA/ACT/2112/2236 , PA/ACT/2112/2143 , PA/ACT/2112/1723 , PA/ACT/2112/2191</t>
  </si>
  <si>
    <t>17562/SPP/008/PUSAT/ICON+/2022</t>
  </si>
  <si>
    <t>PA/ACT/2112/3236</t>
  </si>
  <si>
    <t>17840/SPP/008/PUSAT/ICON+/2022</t>
  </si>
  <si>
    <t>PT Bank Victoria International</t>
  </si>
  <si>
    <t>PA/ACT/2109/3044/TER</t>
  </si>
  <si>
    <t>17688/SPP/008/PUSAT/ICON+/2022</t>
  </si>
  <si>
    <t>PT Prawathiya Karsa Pradiptha</t>
  </si>
  <si>
    <t>PA/ACT/2201/2302</t>
  </si>
  <si>
    <t>17921/SPP/008/PUSAT/ICON+/2022</t>
  </si>
  <si>
    <t>PA/ACT/2201/1485/TER , PA/ACT/2201/1486/TER</t>
  </si>
  <si>
    <t>PT Parsaoran Global Datarans</t>
  </si>
  <si>
    <t>Jakarta Selatan 12760</t>
  </si>
  <si>
    <t>17603/SPP/008/PUSAT/ICON+/2021</t>
  </si>
  <si>
    <t>PT Trans Mikro</t>
  </si>
  <si>
    <t>17615/SPP/008/PUSAT/ICON+/2022</t>
  </si>
  <si>
    <t>17672/SPP/008/PUSAT/ICON+/2022</t>
  </si>
  <si>
    <t>PA/ACT/2112/1723</t>
  </si>
  <si>
    <t>17604/SPP/008/PUSAT/ICON+/2022</t>
  </si>
  <si>
    <t>Improvement Link</t>
  </si>
  <si>
    <t>17719/SPP/008/PUSAT/ICON+/2022</t>
  </si>
  <si>
    <t xml:space="preserve">PT NTT Indonesia </t>
  </si>
  <si>
    <t>PA/ACT/2201/0094</t>
  </si>
  <si>
    <t>18228/SPP/008/PUSAT/ICON+/2022</t>
  </si>
  <si>
    <t xml:space="preserve">PT PLN </t>
  </si>
  <si>
    <t>16831/SPP/008/PUSAT/ICON+/2022</t>
  </si>
  <si>
    <t>PT Menara Thamrin</t>
  </si>
  <si>
    <t>Jakarta 10250</t>
  </si>
  <si>
    <t>PA/ACT/1804/020</t>
  </si>
  <si>
    <t>15439/SPP/008/PUSAT/ICON+/2021</t>
  </si>
  <si>
    <t>Jakarta 10340</t>
  </si>
  <si>
    <t>AL/2105/30861</t>
  </si>
  <si>
    <t>18353/SPP/008/PUSAT/ICON+/2022</t>
  </si>
  <si>
    <t>PT Vopak Terminal Merak , PC Ketapang II LTD</t>
  </si>
  <si>
    <t>ICON-00/ACT/1711/0378 , AL/2006/18858 , AL/2005/16302</t>
  </si>
  <si>
    <t>18271/SPP/008/PUSAT/ICON+/2022</t>
  </si>
  <si>
    <t>PT Federal International Finance</t>
  </si>
  <si>
    <t>18324/SPP/008/PUSAT/ICON+/2022</t>
  </si>
  <si>
    <t>PT KAI Commuter Jabodetabek</t>
  </si>
  <si>
    <t>18036/SPP/008/PUSAT/ICON+/2022</t>
  </si>
  <si>
    <t>18034/SPP/008/PUSAT/ICON+/2022</t>
  </si>
  <si>
    <t xml:space="preserve">PT Bank Sinarmas </t>
  </si>
  <si>
    <t>17742/SPP/008/PUSAT/ICON+/2022</t>
  </si>
  <si>
    <t>ICON-00/ACT/1710/0264</t>
  </si>
  <si>
    <t>PA/RLK/2201/0094</t>
  </si>
  <si>
    <t>19175/SPP/008/PUSAT/ICON+/2022</t>
  </si>
  <si>
    <t>PT Milenial Inti Telekomunikasi , RS Hrapan Keluarga</t>
  </si>
  <si>
    <t>PA/ACT/2207/2494/TER</t>
  </si>
  <si>
    <t>19312/SPP/008/PUSAT/ICON+/2022</t>
  </si>
  <si>
    <t>PT Aeon Indonesia</t>
  </si>
  <si>
    <t>PA/ACT/2207/2501/TER</t>
  </si>
  <si>
    <t>19448/SPP/008/PUSAT/ICON+/2022</t>
  </si>
  <si>
    <t>19245/SPP/008/PUSAT/ICON+/2022</t>
  </si>
  <si>
    <t>PT Hitachi Construction Machinery Indonesia</t>
  </si>
  <si>
    <t>ICON-00/SBC/1710/2154</t>
  </si>
  <si>
    <t>19191/SPP/008/PUSAT/ICON+/2022</t>
  </si>
  <si>
    <t>PT Serasi Auto Raya</t>
  </si>
  <si>
    <t>PA/ACT/1907/1761</t>
  </si>
  <si>
    <t>19189/SPP/008/PUSAT/ICON+/2022</t>
  </si>
  <si>
    <t>PT Inti Data Telematika</t>
  </si>
  <si>
    <t>18706/SPP/008/PUSAT/ICON+/2022</t>
  </si>
  <si>
    <t>PA/ACT/2203/4071</t>
  </si>
  <si>
    <t>19023/SPP/008/PUSAT/ICON+/2022</t>
  </si>
  <si>
    <t>PA/ACT/2203/2153</t>
  </si>
  <si>
    <t>19534/SPP/008/PUSAT/ICON+/2022</t>
  </si>
  <si>
    <t>Sampoerna Land</t>
  </si>
  <si>
    <t>PT Aek Tarum , PT Binasawit Makmur</t>
  </si>
  <si>
    <t>AL/1907/26735 , AL/1907/26741</t>
  </si>
  <si>
    <t>Kawasan Berikat Nusantara</t>
  </si>
  <si>
    <t xml:space="preserve">PT Bina Karya Prima </t>
  </si>
  <si>
    <t>Jakarta Utara 14140</t>
  </si>
  <si>
    <t>PA/ACT/2206/15980/TER</t>
  </si>
  <si>
    <t>19547/SPP/008/PUSAT/ICON+/2022</t>
  </si>
  <si>
    <t>PT PLN Kantor Pusat (Rumah Dirut PLN)</t>
  </si>
  <si>
    <t>PA/UPG/2009/0134</t>
  </si>
  <si>
    <t>19480/SPP/008/PUSAT/ICON+/2022</t>
  </si>
  <si>
    <t xml:space="preserve">Solusi Data Cepat </t>
  </si>
  <si>
    <t xml:space="preserve">PT Fahasa Tri Data </t>
  </si>
  <si>
    <t>PA/ACT/2206/18200/ORI</t>
  </si>
  <si>
    <t>19385/SPP/008/PUSAT/ICON+/2022</t>
  </si>
  <si>
    <t>PT Gobel Dharma Nusantara</t>
  </si>
  <si>
    <t>PT Internetwork Komunikasi Indonesia</t>
  </si>
  <si>
    <t>Cawang 2 13630</t>
  </si>
  <si>
    <t>PA/ACT/2204/2799/TER</t>
  </si>
  <si>
    <t>19515/SPP/008/PUSAT/ICON+/2022</t>
  </si>
  <si>
    <t>PT Bank Mandiri</t>
  </si>
  <si>
    <t>19429/SPP/008/PUSAT/ICON+/2022</t>
  </si>
  <si>
    <t>PT Hanasta Dakara</t>
  </si>
  <si>
    <t>1000037511 , 1000029813</t>
  </si>
  <si>
    <t>19241/SPP/008/PUSAT/ICON+/2022</t>
  </si>
  <si>
    <t>Cablenet Fiber Data</t>
  </si>
  <si>
    <t xml:space="preserve">PT Pertamina EP </t>
  </si>
  <si>
    <t>Jakarta Barat 00000</t>
  </si>
  <si>
    <t>PA/ACT/2207/0177/TER</t>
  </si>
  <si>
    <t>19560/SPP/008/PUSAT/ICON+/2022</t>
  </si>
  <si>
    <t>PT Detik Ini Juga</t>
  </si>
  <si>
    <t>PA/ACT/2207/3855</t>
  </si>
  <si>
    <t>19447/SPP/008/PUSAT/ICON+/2022</t>
  </si>
  <si>
    <t>PT Jakarta Sinar Intertrade</t>
  </si>
  <si>
    <t xml:space="preserve">PT Bank Central Asia </t>
  </si>
  <si>
    <t>17133/SPP/008/PUSAT/ICON+/2022</t>
  </si>
  <si>
    <t>PT XL Axiata , PT Artha Telekomindo , PT Varnion</t>
  </si>
  <si>
    <t>ICON-00/ACT/1409/0507 , ICON-00/ACT/1310/0038 , ICON-00/ACT/1606/0359 , ICON-00/ACT/1606/0360 , ICON-00/ACT/1301/0159 , ICON-00/SOP/1307/0004</t>
  </si>
  <si>
    <t>18803/SPP/008/PUSAT/ICON+/2022</t>
  </si>
  <si>
    <t>PT Semen Indonesia</t>
  </si>
  <si>
    <t>PA/ACT/2106/1405</t>
  </si>
  <si>
    <t>18847/SPP/008/PUSAT/ICON+/2022</t>
  </si>
  <si>
    <t>PT Net One Asia</t>
  </si>
  <si>
    <t>PA/ACT/2207/0291</t>
  </si>
  <si>
    <t>19156/SPP/008/PUSAT/ICON+/2022</t>
  </si>
  <si>
    <t>PT Sokka Tama Fiber</t>
  </si>
  <si>
    <t>PT Indosat , PT Lord Indonesia</t>
  </si>
  <si>
    <t>Bekasi 00000</t>
  </si>
  <si>
    <t>PA/ACT/2112/2390</t>
  </si>
  <si>
    <t>18719/SPP/008/PUSAT/ICON+/2022</t>
  </si>
  <si>
    <t xml:space="preserve">PT Nettocyber Indonesia </t>
  </si>
  <si>
    <t>PT Bentoel Prima</t>
  </si>
  <si>
    <t>AL/2204/74715</t>
  </si>
  <si>
    <t>19052/SPP/008/PUSAT/ICON+/2022</t>
  </si>
  <si>
    <t>Dinas Komunikasi , Persandian Aceh</t>
  </si>
  <si>
    <t>PA/RLK/2205/0047/TER</t>
  </si>
  <si>
    <t>19115/SPP/008/PUSAT/ICON+/2022</t>
  </si>
  <si>
    <t>PA/ACT/1809/1782</t>
  </si>
  <si>
    <t>19011/SPP/008/PUSAT/ICON+/2022</t>
  </si>
  <si>
    <t>19055/SPP/008/PUSAT/ICON+/2022</t>
  </si>
  <si>
    <t>Jakarta Pusat 10110</t>
  </si>
  <si>
    <t>AL/2104/23598</t>
  </si>
  <si>
    <t>18896/SPP/008/PUSAT/ICON+/2022</t>
  </si>
  <si>
    <t>17740/SPP/008/PUSAT/ICON+/2022</t>
  </si>
  <si>
    <t>Perum Jamkrindo</t>
  </si>
  <si>
    <t>AL/1810/11520</t>
  </si>
  <si>
    <t>PA/ACT/2012/0399 , PA/ACT/2012/0459</t>
  </si>
  <si>
    <t>PT Graha Telekomunikasi Indonesia</t>
  </si>
  <si>
    <t>PT Toyota Motor Manufacturing</t>
  </si>
  <si>
    <t>PA/ACT/2202/1469/TER</t>
  </si>
  <si>
    <t>18099/SPP/008/PUSAT/ICON+/2022</t>
  </si>
  <si>
    <t>PA/ACT/2202/1626</t>
  </si>
  <si>
    <t>18593/SPP/008/PUSAT/ICON+/2022</t>
  </si>
  <si>
    <t>PA/ACT/2209/4092/TER</t>
  </si>
  <si>
    <t>20022/SPP/008/PUSAT/ICON+/2022</t>
  </si>
  <si>
    <t>Bank Central Asia</t>
  </si>
  <si>
    <t>AL/2206/83181</t>
  </si>
  <si>
    <t>19788/SPP/008/PUSAT/ICON+/2022</t>
  </si>
  <si>
    <t>PT Eco Multi Sinergi</t>
  </si>
  <si>
    <t>PA/ACT/2209/2139/ORI</t>
  </si>
  <si>
    <t>20006/SPP/008/PUSAT/ICON+/2022</t>
  </si>
  <si>
    <t>PT Adira Dinamika</t>
  </si>
  <si>
    <t>AL/2103/12970</t>
  </si>
  <si>
    <t>19863/SPP/008/PUSAT/ICON+/2022</t>
  </si>
  <si>
    <t>PT Gemilang Sarana Mandiri</t>
  </si>
  <si>
    <t>PA/ACT/2210/3359/TER</t>
  </si>
  <si>
    <t>20500/SPP/008/PUSAT/ICON+/2022</t>
  </si>
  <si>
    <t>20252/SPP/008/PUSAT/ICON+/2022</t>
  </si>
  <si>
    <t>PT Astra International</t>
  </si>
  <si>
    <t>ICON-00/ACT/1202/0051</t>
  </si>
  <si>
    <t>20209/SPP/008/PUSAT/ICON+/2022</t>
  </si>
  <si>
    <t xml:space="preserve">PT PLN Kantor Pusat </t>
  </si>
  <si>
    <t>PA/ACT/2005/1817/TER</t>
  </si>
  <si>
    <t>20167/SPP/008/PUSAT/ICON+/2022</t>
  </si>
  <si>
    <t>PT Sarana Steel</t>
  </si>
  <si>
    <t>PA/ACT/1801/1072</t>
  </si>
  <si>
    <t>20178/SPP/008/PUSAT/ICON+/2022</t>
  </si>
  <si>
    <t>PA/UPG/2004/0101/TER</t>
  </si>
  <si>
    <t>20159/SPP/008/PUSAT/ICON+/2022</t>
  </si>
  <si>
    <t>PT Indosat Tbk</t>
  </si>
  <si>
    <t>PA/UPG/2007/0067</t>
  </si>
  <si>
    <t>20161/SPP/008/PUSAT/ICON+/2022</t>
  </si>
  <si>
    <t>PT Nettocyber Indonesia</t>
  </si>
  <si>
    <t>PA/UPG/2104/0186</t>
  </si>
  <si>
    <t>20149/SPP/008/PUSAT/ICON+/2022</t>
  </si>
  <si>
    <t>PT Pasifiktel Indotama QQ PT Hexindo Adi Perkasa</t>
  </si>
  <si>
    <t>PA/ACT/2004/1141/TER</t>
  </si>
  <si>
    <t>20151/SPP/008/PUSAT/ICON+/2022</t>
  </si>
  <si>
    <t>PT Kimia Farma</t>
  </si>
  <si>
    <t>PA/ACT/1803/0231/TER</t>
  </si>
  <si>
    <t>20137/SPP/008/PUSAT/ICON+/2022</t>
  </si>
  <si>
    <t>PT Global Teknologi Teraindo</t>
  </si>
  <si>
    <t>PT Infomedia Nusantara</t>
  </si>
  <si>
    <t>Jakarta Selatan 12560</t>
  </si>
  <si>
    <t>PA/ACT/2211/1972/ORI</t>
  </si>
  <si>
    <t>20565/SPP/008/PUSAT/ICON+/2022</t>
  </si>
  <si>
    <t>PA/ACT/2109/0828</t>
  </si>
  <si>
    <t>19081/SPP/008/PUSAT/ICON+/2022</t>
  </si>
  <si>
    <t>PA/ACT/2210/3361/TER</t>
  </si>
  <si>
    <t>20513/SPP/008/PUSAT/ICON+/2022</t>
  </si>
  <si>
    <t>20373/SPP/008/PUSAT/ICON+/2022</t>
  </si>
  <si>
    <t>PT Jakael Invesco</t>
  </si>
  <si>
    <t>Bank Mandiri</t>
  </si>
  <si>
    <t>19355/SPP/008/PUSAT/ICON+/2022</t>
  </si>
  <si>
    <t>PT Sari Coffee Indonesia</t>
  </si>
  <si>
    <t>A/ACT/1910/0429/AR/ACT/1910/38348</t>
  </si>
  <si>
    <t>20631/SPP/008/PUSAT/ICON+/2022</t>
  </si>
  <si>
    <t>Supra Boga Lestari</t>
  </si>
  <si>
    <t>PA/ACT/1910/0323</t>
  </si>
  <si>
    <t>PT Media Telekomunikasi Mandiri</t>
  </si>
  <si>
    <t>PA/ACT/2211/1776/TER</t>
  </si>
  <si>
    <t>Akamai , Facebook</t>
  </si>
  <si>
    <t>20857/SPP/008/PUSAT/ICON+/2022</t>
  </si>
  <si>
    <t>20389/SPP/008/PUSAT/ICON+/2022</t>
  </si>
  <si>
    <t>Jakarta Land</t>
  </si>
  <si>
    <t>PT Worley Sea Indonesia</t>
  </si>
  <si>
    <t>PA/ACT/2210/2013</t>
  </si>
  <si>
    <t>20800/SPP/008/PUSAT/ICON+/2022</t>
  </si>
  <si>
    <t>Trans Retail</t>
  </si>
  <si>
    <t>ICON-00/ACT/1711/1474 , ICON-00/ACT/1705/1419</t>
  </si>
  <si>
    <t>17339/SPP/008/PUSAT/ICON+/2021</t>
  </si>
  <si>
    <t>PT Roma Stone Indonesia</t>
  </si>
  <si>
    <t>PA/ACT/2211/5398/TER PA/ACT/2211/5399/TER , PA/ACT/2211/5413/TER</t>
  </si>
  <si>
    <t>20720/SPP/008/PUSAT/ICON+/2022</t>
  </si>
  <si>
    <t>PT Yetoya Solusi Indonesia</t>
  </si>
  <si>
    <t>PA/ACT/2210/0176/ORI</t>
  </si>
  <si>
    <t>20696/SPP/008/PUSAT/ICON+/2022</t>
  </si>
  <si>
    <t>PA/ACT/2211/3272/TER</t>
  </si>
  <si>
    <t>20656/SPP/008/PUSAT/ICON+/2022</t>
  </si>
  <si>
    <t>19708/SPP/008/PUSAT/ICON+/2022</t>
  </si>
  <si>
    <t>20402/SPP/008/PUSAT/ICON+/2022</t>
  </si>
  <si>
    <t>PT Toyota Astra Motor</t>
  </si>
  <si>
    <t>ICON-00/SBC/1809/0003</t>
  </si>
  <si>
    <t>20572/SPP/008/PUSAT/ICON+/2022</t>
  </si>
  <si>
    <t xml:space="preserve">Adhi Persada +B2:C1290Properti </t>
  </si>
  <si>
    <t>Jl.Margonda Raya Kav 525A Depok 16424</t>
  </si>
  <si>
    <t>[UID JAYA - UP2D] DCC GAMBIR</t>
  </si>
  <si>
    <t>APARTEMEN TAMAN MELATI , JLN. MARGONDA RAYA NO. 525A, Pondok Cina, Kota Administrasi Jakarta Selatan, Banten, Indonesia,</t>
  </si>
  <si>
    <t>SEWA TAHUNAN</t>
  </si>
  <si>
    <t>PA/ACT/1804/0055</t>
  </si>
  <si>
    <t>08942/SPP/008/PUSAT/ICON+/2018 | 4500011693 | 11019/SPP/008/PUSAT/ICON+/2019 | 4500013340 | 13776/SPP/008/PUSAT/ICON+/2020 | 4500014713</t>
  </si>
  <si>
    <t xml:space="preserve">1560/SPP/SBU/ICON+/2023	</t>
  </si>
  <si>
    <t>C246</t>
  </si>
  <si>
    <t>D353</t>
  </si>
  <si>
    <t>G317</t>
  </si>
  <si>
    <t>Terkonfirmasi dengan pihak sales terkait tidak di perpanjang</t>
  </si>
  <si>
    <t>PT. AUTOCIPTA KARYA</t>
  </si>
  <si>
    <t>Gedung Pusat Komputer dan Elektronik Lt. Basement Jl. Mangga Dua Raya Jakarta 10730</t>
  </si>
  <si>
    <t>Jalan Diponegoro No 28 Bandung</t>
  </si>
  <si>
    <t>Komp. Agung Sedayu Harco Elektronik Jl. Mangga Dua Raya Blok E No.1, Sawah Besar, Jakarta Pusat, DKI Jakarta, Indonesia, 10730</t>
  </si>
  <si>
    <t>PA/ACT/2110/2049/TER</t>
  </si>
  <si>
    <t>17246/SPP/008/PUSAT/ICON+/2021</t>
  </si>
  <si>
    <t>Fika Ririn</t>
  </si>
  <si>
    <t>021-6129329-30-31</t>
  </si>
  <si>
    <t>E336</t>
  </si>
  <si>
    <t>Aplikasi Lintasarta qq Bank Woori Saudara</t>
  </si>
  <si>
    <t>Jl. Panglima Sudirman 23-25 Surabaya</t>
  </si>
  <si>
    <t>Komplek Ruko Agung Sedayu (Harco Mangga Dua) Blok L No. 05 (Bank Woori Saudara So No. ICON-00/ACT/1605/0538)</t>
  </si>
  <si>
    <t>4500009583 |062413/SPR/008/PUSAT/ICON+/2016 | 06895/SPP/008/PUSAT/ICON+/2017 | 4500010558 | 08839/SPP/008/PUSAT/ICON+/2018 | 4500011650 | 450001290410756/SPP/008/PUSAT/ICON+/2019 | 13596/SPP/008/PUSAT/ICON+/2020 | 4500014585| 15951/SPP/008/PUSAT/ICON+/2021| 4500016262 | 19009/SPP/008/PUSAT/ICON+/2022 | 4500018283 | 21648 | 4500020637</t>
  </si>
  <si>
    <t>B80</t>
  </si>
  <si>
    <t>C121</t>
  </si>
  <si>
    <t>D142</t>
  </si>
  <si>
    <t>E138</t>
  </si>
  <si>
    <t>F205</t>
  </si>
  <si>
    <t>G129</t>
  </si>
  <si>
    <t>1.Jaminan Sewa Rp3.000.000
2.Jaminan Pekerjaan Rp2.000.000
3. Biaya Kebersihan 20% dari jaminan Pekerjaan Rp400.000,- (OTC)</t>
  </si>
  <si>
    <t>Dwimitra Nuansa Satria</t>
  </si>
  <si>
    <t>Komplek Ruko Agung Sedayu (Harco Mangga Dua) Jl. Mangga Dua Raya Blok E No. 4-5 Jakarta 10730 (PT Platinum Ceramic)</t>
  </si>
  <si>
    <t>ICON-00/SBC/1710/1432 / 0990000320431030</t>
  </si>
  <si>
    <t>4500009477 | 06885/SPP/008/PUSAT/ICON+/2017 | 45000010480 | 08560/SPP/008/PUSAT/ICON+/2018 | 4500011462 | 10619/SPP/008/PUSAT/ICON+/2019 | 4500012743|15733/SPP/008/PUSAT/ICON+/2021|4500016170 | 17912/SPP/008/PUSAT/ICON+/2022 | 4500017674</t>
  </si>
  <si>
    <t>21605/SPP/008/PUSAT/ICON+/2023</t>
  </si>
  <si>
    <t>B124</t>
  </si>
  <si>
    <t>C81</t>
  </si>
  <si>
    <t>F73</t>
  </si>
  <si>
    <t>G137</t>
  </si>
  <si>
    <t>PT Berdikari Prima Mandiri</t>
  </si>
  <si>
    <t>PT Berdikari Prima Mandiri, Harco Mangga Dua Blok P No. 28-29 Mangga Dua Selatan Sawah Besar Jakarta Pusat</t>
  </si>
  <si>
    <t>09984/SPP/008/PUSAT/ICON+/2018 | 4500012350 | 11981/SPP/008/PUSAT/ICON+/2019 | 4500013549 | 14779/SPP/008/PUSAT/ICON+/2020 | 4500015423</t>
  </si>
  <si>
    <t>17123/SPP/008/PUSAT/ICON+/2021</t>
  </si>
  <si>
    <t>C291</t>
  </si>
  <si>
    <t>E217</t>
  </si>
  <si>
    <t>E339</t>
  </si>
  <si>
    <t>PT BANK BCA SYARIAH</t>
  </si>
  <si>
    <t>KANTOR PUSAT JATINEGARA ( BACKHAUL ) :JL. JATINEGARA TIMUR NO. 72 – JAKARTA TIMUR 13310,- ,- ,- ,Indonesia ,-</t>
  </si>
  <si>
    <t>Ruko Agung Sedayu (Harco Mangga Dua) dari Gerbang Utama HMD ke Ruko Blok E No. 26 Jl. Mangga Dua Raya Jakarta 10730 (BCA Syariah)</t>
  </si>
  <si>
    <t>ICON-00/ACT/1409/0073</t>
  </si>
  <si>
    <t>5351116/SPR/ICON+/2016 |07551/SPP/008/PUSAT/ICON+/2017 | 4500010882 | 09604/SPP/008/PUSAT/ICON+/2018 | 4500012116 | 11912/SPP/008/PUSAT/ICON+/2019 |4500013561 | 14778/SPP/008/PUSAT/ICON+/2020 | 17189/SPP/008/PUSAT/ICON+/2021 | 4500017117 | 20560/SPP/008/PUSAT/ICON+/2022 | 4500019549 | 21320/SPP/008/PUSAT/ICON+/2023 | 4500021959</t>
  </si>
  <si>
    <t>5450/SPP/SBU/PLNICONPLUS/2024</t>
  </si>
  <si>
    <t>C292</t>
  </si>
  <si>
    <t>E216</t>
  </si>
  <si>
    <t>F434</t>
  </si>
  <si>
    <t>G392</t>
  </si>
  <si>
    <t>1.Jaminan Sewa Rp3.000.000
2.Jaminan Pekerjaan Rp2.000.000
3.Biaya Kebersihan 20% dari jaminan Rp400.000,- (OTC)</t>
  </si>
  <si>
    <t>PT. BANK SYARIAH MANDIRI</t>
  </si>
  <si>
    <t>The Tower, (Lt. 11) Jl. Gatot Subroto No.27, RT.2/RW.4, Karet Semanggi, Kec. Setiabudi, Jakarta Selatan, DKI Jakarta, Indonesia, 12930</t>
  </si>
  <si>
    <t>16260/SPP/008/PUSAT/ICON+/2021| 4500016461 | 19271/SPP/008/PUSAT/ICON+/2022 | 4500018527 | 797/SPP/SBU/ICON+/2023 | 4500020981</t>
  </si>
  <si>
    <t>3750/SPP/SBU/PLNICONPLUS/2024</t>
  </si>
  <si>
    <t>E160</t>
  </si>
  <si>
    <t>D347</t>
  </si>
  <si>
    <t>G268</t>
  </si>
  <si>
    <t xml:space="preserve">Alpena Bakti Karya </t>
  </si>
  <si>
    <t>Angkasa Pura Logistik</t>
  </si>
  <si>
    <t>Jalan Selaparang Blok B-15 Kav.9 Jakarta 10610</t>
  </si>
  <si>
    <t>Gedung Datascrip Kemayoran</t>
  </si>
  <si>
    <t>PA/RLK/1809/0059
 PA/RLK/1808/0051</t>
  </si>
  <si>
    <t>4500012039 | 09503/SPP/008/PUSAT/ICON+/2018 | 4500015273</t>
  </si>
  <si>
    <t>14563/SPP/008/PUSAT/ICON+/2020</t>
  </si>
  <si>
    <t>Konfirmasi to Sales</t>
  </si>
  <si>
    <t xml:space="preserve">Anpa International </t>
  </si>
  <si>
    <t>Wisma Antara 2nd Floor Jl. Merdeka Selatan 17 Jakarta 10110</t>
  </si>
  <si>
    <t>Plaza Mandiri Lt. 4 Jl. Jend. Gatot Subroto,- ,- ,- ,Indonesia ,-</t>
  </si>
  <si>
    <t>Gedung Wisma Antara</t>
  </si>
  <si>
    <t>ICON-00/SBC/1408/0274 / 0990000320354328</t>
  </si>
  <si>
    <t>062316/MI/004/PUSAT/ICON+/2016 | 06620/SPP/008/PUSAT/ICON+/2017 |4500010297 | 08426/SPP/008/PUSAT/ICON+/2018 | 4500011410 | 10681/SPP/008/PUSAT/ICON+/2019 | 4500012719 | 13599/SPP/008/PUSAT/ICON+/2020 | 4500014595</t>
  </si>
  <si>
    <t>15958/SPP/008/PUSAT/ICON+/2021</t>
  </si>
  <si>
    <t>Kania</t>
  </si>
  <si>
    <t>021–3847824</t>
  </si>
  <si>
    <t>B67</t>
  </si>
  <si>
    <t>C78</t>
  </si>
  <si>
    <t>D144</t>
  </si>
  <si>
    <t>E126</t>
  </si>
  <si>
    <t>Sewa Shaft Kabel Rp18.500.000,-/tahun
 Biaya Jaminan senilai 3 bulan dari harga sewa (existing USD 300 dan tambahan 2015 Rp661.700)</t>
  </si>
  <si>
    <t>Gedung Menara Thamrin Lt. 19
Jl. MH Thamrin kav. 3 Jakarta Pusat</t>
  </si>
  <si>
    <t>(Backhaul) DC Lintas Artha Taman Tekno. Kav C/09A, Jl. Tekno Widya No.9 A, Setu, Tangerang, Banten</t>
  </si>
  <si>
    <t>10870/SPP/008/PUSAT/ICON+/2019 | 4500012828|13128/SPP/008/PUSAT/ICON+/2020|4500014207 | 17935 | 4500017675</t>
  </si>
  <si>
    <t>395/SPP/SBU/PLNICONPLUS/2023</t>
  </si>
  <si>
    <t>021-2302346</t>
  </si>
  <si>
    <t>C104</t>
  </si>
  <si>
    <t>D126</t>
  </si>
  <si>
    <t>F70</t>
  </si>
  <si>
    <t>H273</t>
  </si>
  <si>
    <t>3935/SPP/SBU/PLNICONPLUS/2024</t>
  </si>
  <si>
    <t>H272</t>
  </si>
  <si>
    <t>PT. DIGITAL VISION NUSANTARA</t>
  </si>
  <si>
    <t>MNC Vision Tower, Jalan Panjang Z / III, RT.14/RW.8, Kedoya Utara, Kb. Jeruk, Jakarta Barat</t>
  </si>
  <si>
    <t>Data Center lt.3, Gedung Lintasarta, Jalan T.B. Simatupang Kav. 10, Kebayoran Lama, RT.16/RW.6, Cilandak Barat, Jakarta Selatan</t>
  </si>
  <si>
    <t>PA/ACT/1909/1780</t>
  </si>
  <si>
    <t>4500013323 | 11666</t>
  </si>
  <si>
    <t>C209</t>
  </si>
  <si>
    <t>PT. TELKOM SATELIT INDONESIA</t>
  </si>
  <si>
    <t>PT. Telkom Satelit Indonesia Jl. Sholeh Iskandar RT.01/RW.01, Cibadak, Bogor, Jawa Barat</t>
  </si>
  <si>
    <t>PA/ACT/2007/0689</t>
  </si>
  <si>
    <t>4500014792 | 13940</t>
  </si>
  <si>
    <t>D164</t>
  </si>
  <si>
    <t>DIREKTORAT JENDERAL APLIKASI INFORMATIKA KEMENTRIAN KOMINFO</t>
  </si>
  <si>
    <t>Datacenter Lintas Arta, Komplek Pergudangan Taman Tekno Blok D No.8, BSD, Tangerang, Banten</t>
  </si>
  <si>
    <t>PA/ACT/2001/0059/TER</t>
  </si>
  <si>
    <t>12931/SPP/008/PUSAT/ICON+/2020 | 4500014077</t>
  </si>
  <si>
    <t>17736/SPP/008/PUSAT/ICON+/2022</t>
  </si>
  <si>
    <t>D80</t>
  </si>
  <si>
    <t>F417</t>
  </si>
  <si>
    <t>PT. SUMBER UTAMA FIBER INDONESIA</t>
  </si>
  <si>
    <t xml:space="preserve">DC LA Taman Tekno lantai 1 ruangan DH1C, Cage W18, rak nomor W13,  -,  Kota Tangerang Selatan,  Banten,  Indonesia, </t>
  </si>
  <si>
    <t>PA/ACT/2301/0645/TER</t>
  </si>
  <si>
    <t>2.500.000</t>
  </si>
  <si>
    <t>21026/SPP/008/PUSAT/ICON+/2023</t>
  </si>
  <si>
    <t>G9</t>
  </si>
  <si>
    <t>OTC Rp.2.500.000</t>
  </si>
  <si>
    <t>PT Indomarco Prismatama</t>
  </si>
  <si>
    <t>BACKHAUL MITRA - Jl.Ancol Barat No.9-10, Jakarta Utara,- ,- ,- ,Indonesia ,-</t>
  </si>
  <si>
    <t>Gedung Lintasarta Ruang Meet Me Room Jl. TB Simatupang kav. 10 Jakarta (Indomarco Prismatama PT)</t>
  </si>
  <si>
    <t>ICON-00/SBC/1409/0173</t>
  </si>
  <si>
    <t>4500009650 |06882/SPP/008/PUSAT/ICON+/2017 | 4500010543 | 08533/SPP/008/PUSAT/ICON+/2018 | 4500011441</t>
  </si>
  <si>
    <t>10540/SPP/008/PUSAT/ICON+/2019</t>
  </si>
  <si>
    <t>021-2302345</t>
  </si>
  <si>
    <t>B139</t>
  </si>
  <si>
    <t>C174</t>
  </si>
  <si>
    <t>DER/1908/0816</t>
  </si>
  <si>
    <t>Server Jatelindo, Ged.Lintasarta Lt.2 Jl.TB Simatupang Jaksel,- ,- ,- ,Indonesia ,-</t>
  </si>
  <si>
    <t>Gedung Lintasarta Ruang Meet Me Room Jl. TB Simatupang kav. 10 Jakarta (Jatelindo Perkasa Abadi PT)</t>
  </si>
  <si>
    <t>ICON-00/SBC/1208/0067
 ICON-00/SBC/1208/0068</t>
  </si>
  <si>
    <t>4500009649 | 07930/SPP/008/PUSAT/ICON+/2018 | 4500011155 | 08501/SPP/008/PUSAT/ICON+/2018 |4500011422 | 10539/SPP/008/PUSAT/ICON+/2019 | 4500012781 | 13406/SPP/008/PUSAT/ICON+/2020 | 4500014397| 15418/SPP/008/PUSAT/ICON+/2021| 4500016052</t>
  </si>
  <si>
    <t>18240/SPP/008/PUSAT/ICON+/2022</t>
  </si>
  <si>
    <t>B14</t>
  </si>
  <si>
    <t>B146</t>
  </si>
  <si>
    <t>C101</t>
  </si>
  <si>
    <t>D124</t>
  </si>
  <si>
    <t>E81</t>
  </si>
  <si>
    <t>F137</t>
  </si>
  <si>
    <t>OTC Rp 2.000.000,-</t>
  </si>
  <si>
    <t>PT ARTHATECH SELARAS
 BANK RIAU KEPRI</t>
  </si>
  <si>
    <t>Jalan T.B. Simatupang Kav. 10, Kebayoran Lama, RT.16/RW.6, Cilandak Barat,  Kec. Cilandak,  Jakarta Selatan,  DKI Jakarta,  Indonesia,  12430</t>
  </si>
  <si>
    <t>Jalan TB Simatupang, RT.3/RW.2, Tanjung Barat, Kec. Jagakarsa, Jakarta Selatan, DKI Jakarta, Indonesia, 12530</t>
  </si>
  <si>
    <t>PA/ACT/2103/1475/ORI
 PA/ACT/2103/1352</t>
  </si>
  <si>
    <t>E28</t>
  </si>
  <si>
    <t>PT. PRIMACOM INTERBUANA</t>
  </si>
  <si>
    <t>PT Rintis Sejahtera, Komplek Pergudangan Taman Tekno Blok D No.8, BSD Lintasarta Technopark Data Center</t>
  </si>
  <si>
    <t>4500016617 | 16538</t>
  </si>
  <si>
    <t>E288</t>
  </si>
  <si>
    <t xml:space="preserve">PT. GEMILANG SARANA MANDIRI </t>
  </si>
  <si>
    <t>PT. Gemilang Sarana Mandiri, Komplek Pergudangan Taman Tekno Blok D No. 8, BSD, Setu,</t>
  </si>
  <si>
    <t>F400</t>
  </si>
  <si>
    <t>PT. JATELINDO PERKASA ABADI</t>
  </si>
  <si>
    <t>LINTASARTA TECHNOPARK DATA CENTER, KOMPLEK PERGUDANGAN TAMAN TEKNO BLOK D NO.8</t>
  </si>
  <si>
    <t>1019/SPP/SBU/ICON+/2023</t>
  </si>
  <si>
    <t>G159</t>
  </si>
  <si>
    <t>Aristi Jasadata  (Serpong Tatanan Kota Estate Management)</t>
  </si>
  <si>
    <t>PT ARISTI JASADATA
 PT SRIWIJAYA LINTAS RAYA
 PT PUMA ENERGY INDONESIA</t>
  </si>
  <si>
    <t>Jl. Raya Telaga Gading Serpong Cihuni Tangerang 15810
Graha BIP 3rd Floor Jl. Jend. Gatot Subroto Kav. 23 Jakarta 12930</t>
  </si>
  <si>
    <t>GRAHA ANABATIC LT.4 JL. SCIENTA BOULEVARD KAV U2 SUMARECON SERPONG BANTEN</t>
  </si>
  <si>
    <t>Gading Serpong (Data Center Graha Anabatic Lt.4 Gading Serpong Building Office Building Nearby Cities Tangerang Selatan Tangerang Jakarta - PT Sriwijaya Lintas Raya dan PT Puma Energy Indonesia)</t>
  </si>
  <si>
    <t>ICON-00/ACT/1701/1030
 ICON-00/ACT/1507/0128
 ICON-00/ACT/1507/0036</t>
  </si>
  <si>
    <t>4500009959 | 07883/SPP/008/PUSAT/ICON+/2017 | 4500011116 (PO BELUM DIPRINT)</t>
  </si>
  <si>
    <t>09163/SPP/008/PUSAT/ICON+/2018</t>
  </si>
  <si>
    <t>Eka Agus H.
 Anang Maruf
 Panji Lesmana
 Raditya Anggara (Data Center Aristi)</t>
  </si>
  <si>
    <t>021-5376050
 021-5225295 (Aristi)</t>
  </si>
  <si>
    <t>B6</t>
  </si>
  <si>
    <t>1. Ijin Penarikan kabel FO One Time Charged Rp2.000.000,- s/d Rp10.000.000 
 2. Jasa Man Hour One Time Charged Rp3.000.000
 3. Biaya Perbaikan Penarikan Kabel FO dengan rincian sebagai berikut :
 a. Perbaikan akibat galian dan perapian rumput gajah Rp32.875/titik 
 b.Perbaikan akibat galian dan perapian semak perdu Rp105.700/titik
 c. Perbaikan akibat galian dan perapian paving bloc Rp207.000/titik
 d. Biaya perapian dan kebersihan Rp500.000/ls
 4. Biaya supervisi Rp2.500.000
 5. Biaya Jaminan bervariasi dari Rp5.000.000,- s/d Rp20.000.000,-
 di Data Center Aristi Jasadata
 1. Biaya Sewa UTP Rp2.180.000/bulan
 2. Sewa Tahunan Rp5.500.000/tarikan kabel/tahun
 3. Jasa Penarikan kabel UTP Rp5000.000,-/intalasi</t>
  </si>
  <si>
    <t>PT. SAKTI GLOBAL SOLUSINDO</t>
  </si>
  <si>
    <t>Balai Karantina Pertanian kelas II Cilegon Jl.Transit Cikuasa,Pantai Gerem Cilegon Banten 424389</t>
  </si>
  <si>
    <t>APJII BANTEN Jl. Trip Jamaksari Ruko Inti, Jl. Cinanggung, Sumurpecung, Kec. Serang,</t>
  </si>
  <si>
    <t>PA/ACT/2203/1329/TER</t>
  </si>
  <si>
    <t>21068 | 4500019926</t>
  </si>
  <si>
    <t>815 8436 3772</t>
  </si>
  <si>
    <t>G15</t>
  </si>
  <si>
    <t>H27</t>
  </si>
  <si>
    <t>PT. ADEAKSA INDO JAYATAMA</t>
  </si>
  <si>
    <t>Gedung Cyber Lt.1 (APJII), Jakarta Selatan</t>
  </si>
  <si>
    <t>Dusun Kp. Baru, Jajag, Gambiran, Banyuwangi Regency, East Java 68486, Banyuwangi, Kabupaten Banyuwangi, Jawa Timur, Indonesia</t>
  </si>
  <si>
    <t>14166/SPP/008/PUSAT/ICON+/2020 | 4500015137 | 16784/SPP/008/PUSAT/ICON+/2021 | 4500017302 | 2445- | 4500019921</t>
  </si>
  <si>
    <t>814 8436 3772</t>
  </si>
  <si>
    <t>D232</t>
  </si>
  <si>
    <t>E410</t>
  </si>
  <si>
    <t>G35</t>
  </si>
  <si>
    <t>H14</t>
  </si>
  <si>
    <t>PT. MATRIXNET GLOBAL INDONESIA
 PT ARTHA MEDIA LINTAS NUSA
 PT TRANS HYBRID COMMUNICATION
 PT NTT INDONESIA
 PT TELE GLOBE GLOBAL
 PT. ARTHA TELEKOMINDO
 PT EKA MAS REPUBLIK
 PT TUJUH DELAPAN SEMBILAN NET
 PT GRAHA ANUGERAH SEJAHTERA
 PT DEWATA TELEMATIKA
 PT MORA TELEMATIKA INDONESIA
 PT MORA TELEMATIKA INDONESIA
 PT MORA TELEMATIKA INDONESIA
 PT FIBER NETWORKS INDONESIA
 PT PRESTASI PIRANTI INFORMASI
 PT ATOZ TOTAL SOLUSI
 PT PRESTASI PIRANTI INFORMASI
 PT ATLASAT SOLUSINDO
 PT WIFIKU INDONESIA
 PT ATOZ TOTAL SOLUSI
 PT MORA TELEMATIKA INDONESIA
 PT REKAJASA AKSES
 PT WIFIKU INDONESIA
 UNIVERSAL BROADBAND
 PT. CIRCLECOM NUSANTARA INDONESIA
 PT WIFIKU INDONESIA
 PT TELE GLOBE GLOBAL
 PT TELE GLOBE GLOBAL
 PT. ARTHA TELEKOMINDO
 PT WIFIKU INDONESIA
 PT WIFIKU INDONESIA
 PT EKA MAS REPUBLIK
 PT NTT INDONESIA
 PT. CIRCLECOM NUSANTARA INDONESIA
 PT EKA MAS REPUBLIK
 PT SARANAINSAN MUDASELARAS
 PT TELINDO NUSANTARA
 PT WIFIKU INDONESIA
 PT WIFIKU INDONESIA
 UNIVERSAL BROADBAND
 PT XL AXIATA Tbk.
 PT EKA MAS REPUBLIK
 PT EKA MAS REPUBLIK
 PT DATAKOM STRATA TIGA
 PT. ARTHA TELEKOMINDO
 PT. ARTHA TELEKOMINDO
 PT. ARTHA TELEKOMINDO
 PT MORA TELEMATIKA INDONESIA
 PT MORA TELEMATIKA INDONESIA
 PT MORA TELEMATIKA INDONESIA
 PT PRESTASI PIRANTI INFORMASI
 PT REKAJASA AKSES
 PT FAASRI UTAMA SAKTI
 PT XL AXIATA Tbk.
 PT TELE GLOBE GLOBAL
 PT XL AXIATA Tbk.
 YAY. ABUL YATAMA
 PT. CYBERINDO ADITAMA
 PT XL AXIATA Tbk.
 PT MORA TELEMATIKA INDONESIA
 YAY. ABUL YATAMA
 PT. TELEMEDIA NETWORK CAKRAWALA
 PT.SMARTFREN TELECOM TBK
 PT TELINDO NUSANTARA
 PT XL AXIATA Tbk.
 PT XL AXIATA Tbk.
 PT. CIRCLECOM NUSANTARA INDONESIA
 PT MORA TELEMATIKA INDONESIA
 PT. CIRCLECOM NUSANTARA INDONESIA
 PT. CIRCLECOM NUSANTARA INDONESIA</t>
  </si>
  <si>
    <t>Gedung Cyber 1</t>
  </si>
  <si>
    <t>ICON-00/MIG/1705/0005
 ICON-00/ACT/1704/0371
 ICON-00/ACT/1707/0003
 ICON-00/ACT/1704/0247
 ICON-00/ACT/1703/0162
 ICON-00/ACT/1703/0952
 ICON-00/ACT/1703/1249
 ICON-00/ACT/1703/1614
 ICON-00/ACT/1704/0837
 ICON-00/ACT/1706/0182
 ICON-00/ACT/1702/0906
 ICON-00/ACT/1703/0647
 ICON-00/ACT/1705/0013
 ICON-00/ACT/1704/0442
 ICON-00/SOP/1611/0072
 ICON-00/ACT/1703/1365
 ICON-00/SOP/1701/0081
 ICON-00/SOP/1603/0065
 ICON-00/SOP/1612/0070
 ICON-00/ACT/1703/1366
 ICON-00/ACT/1702/0108
 ICON-00/ACT/1610/0703
 ICON-00/ACT/1611/0919
 ICON-00/ACT/1609/0163
 ICON-00/ACT/1608/0101
 ICON-00/ACT/1610/0796
 ICON-00/ACT/1610/0369
 ICON-00/ACT/1610/0840
 ICON-00/DOW/1610/0006
 ICON-00/ACT/1610/0793
 ICON-00/ACT/1610/0795
 ICON-00/ACT/1609/0710
 ICON-00/ACT/1610/0019
 ICON-00/ACT/1608/0100
 ICON-00/ACT/1609/0136
 ICON-00/ACT/1608/0485
 ICON-00/ACT/1608/0007
 ICON-00/ACT/1607/0239
 ICON-00/ACT/1609/0017
 ICON-00/SOP/1608/0056
 ICON-00/SOP/1602/0020
 ICON-00/ACT/1609/0137
 ICON-00/ACT/1609/0138
 ICON-00/ACT/1608/0243
 ICON-00/ACT/1606/0359
 ICON-00/ACT/1606/0360
 ICON-00/ACT/1606/0324
 ICON-00/ACT/1606/0145
 ICON-00/ACT/1605/0528
 ICON-00/SOP/1606/0054
 ICON-00/ACT/1604/0026
 ICON-00/ACT/1604/0089
 ICON-00/ACT/1601/0335
 ICON-00/SOP/1601/0046
 ICON-00/SOP/1511/0059
 ICON-00/SOP/1601/0012
 ICON-00/ACT/1504/0127
 ICON-00/SOP/1511/0008
 ICON-00/ACT/1503/0608
 ICON-00/ACT/1508/0052
 ICON-00/ACT/1504/0186
 ICON-00/ACT/1506/0292</t>
  </si>
  <si>
    <t>4500009930 |07468/SPP/008/PUSAT/ICON+/2017 | 4500010848 | 09418/SPP/008/PUSAT/ICON+/2018 | 4500011976 | 11887/SPP/008/PUSAT/ICON+/2019 | 4500013462 | 14410/SPP/008/PUSAT/ICON+/2020 | 4500015215 | 20376/SPP/008/PUSAT/ICON+/2022 | 4500019251</t>
  </si>
  <si>
    <t>1733/SPP/SBU/ICON+/2023</t>
  </si>
  <si>
    <t>021-52960634</t>
  </si>
  <si>
    <t>B222</t>
  </si>
  <si>
    <t>C243</t>
  </si>
  <si>
    <t>D302</t>
  </si>
  <si>
    <t>F395</t>
  </si>
  <si>
    <t>G352</t>
  </si>
  <si>
    <t>Joint customer External</t>
  </si>
  <si>
    <t>ICON-00/ACT/1608/0676
 ICON-00/ACT/1310/0146
 ICON-00/ACT/1608/0243
 ICON-00/ACT/1610/0840
 ICON-00/ACT/1412/0547
 ICON-00/ACT/1608/0007
 ICON-00/ACT/1606/0324
 ICON-00/ACT/1510/0054
 ICON-00/ACT/1404/0863
 ICON-00/MIG/1604/0045
 ICON-00/ACT/1606/0359
 ICON-00/ACT/1606/0360
 ICON-00/ACT/1604/0026
 ICON-00/ACT/1601/0014
 ICON-00/ACT/1605/0528
 ICON-00/DOW/1610/0006
 ICON-00/ACT/1503/0608
 ICON-00/ACT/1609/0197
 ICON-00/ACT/1607/0238
 ICON-00/ACT/1601/0019
 ICON-00/SOP/1606/0054
 ICON-00/SOP/1505/0097
 ICON-00/ACT/1609/0163
 ICON-00/SOP/1511/0008
 ICON-00/ACT/1608/0101
 ICON-00/ACT/1608/0100
 ICON-00/ACT/1202/0263
 ICON-00/ACT/1606/0145
 ICON-00/ACT/1310/0140
 ICON-00/SOP/1408/0013
 ICON-00/ACT/1506/0292
 ICON-00/ACT/1607/0239
 ICON-00/SOP/1608/0056
 ICON-00/ACT/1602/0516
 ICON-00/ACT/1504/0127
 ICON-00/ACT/1504/0186
 ICON-00/ACT/1610/0369
 ICON-00/ACT/1604/0089
 ICON-00/SOP/1511/0059
 ICON-00/ACT/1601/0335
 ICON-00/ACT/1509/0235
 ICON-00/ACT/1608/0485
 ICON-00/ACT/1509/0051
 ICON-00/ACT/1509/0234
 ICON-00/ACT/1508/0052
 ICON-00/ACT/1511/0046
 ICON-00/ACT/1309/0104
 ICON-00/SOP/1601/0046
 ICON-00/ACT/1211/0105
 001022.AV/SO/R1/ICON+/2011
 ICON-00/ACT/1207/0111
 ICON-00/ACT/1207/0045
 ICON-00/ACT/1509/0287
 ICON-00/ACT/1205/0414
 ICON-00/SOP/1603/0110
 ICON-00/ACT/1609/0324
 ICON-00/ACT/1610/0234
 ICON-00/SOP/1410/0020
 ICON-00/ACT/1609/0322
 ICON-00/ACT/1106/3107
 ICON-00/ACT/1610/0229
 ICON-00/MIG/1609/0039
 ICON-00/ACT/1608/0054
 ICON-00/SOP/1606/0211
 ICON-00/ACT/1610/0231
 ICON-00/ACT/1610/0233
 ICON-00/ACT/1605/0471
 ICON-00/MIG/1601/0024
 ICON-00/ACT/1510/0217
 ICON-00/ACT/1510/0270
 ICON-00/ACT/1610/0232
 ICON-00/ACT/1409/0511
 5
 ICON-00/ACT/1509/0417
 ICON-00/MIG/1608/0012
 ICON-00/ACT/1512/0052
 ICON-00/SOP/1501/0050
 ICON-00/SOP/1604/0035
 ICON-00/SOP/1503/0064
 ICON-00/MIG/1604/0050
 ICON-00/ACT/1509/0416
 ICON-00/SOP/1507/0041
 ICON-00/SOP/1506/0032
 ICON-00/SOP/1602/0064
 ICON-00/SOP/1507/0061
 ICON-00/SOP/1501/0067
 ICON-00/SOP/1504/0142
 ICON-00/MIG/1601/0033
 ICON-00/SOP/1512/0011
 ICON-00/SOP/1502/0010
 ICON-00/SOP/1602/0031
 ICON-00/SOP/1609/0138
 ICON-00/SOP/1503/0065
 ICON-00/SOP/1603/0002
 ICON-00/SOP/1510/0003
 ICON-00/SOP/1509/0053
 ICON-00/SOP/1501/0101
 ICON-00/MIG/1505/0023
 ICON-00/ACT/1510/0218
 ICON-00/SOP/1509/0064
 ICON-00/SOP/1503/0071
 ICON-00/ACT/1602/0322
 ICON-00/SOP/1607/0075
 ICON-00/SOP/1509/0018
 ICON-00/SOP/1508/0034
 ICON-00/SOP/1609/0020
 ICON-00/ACT/1412/0547
 ICON-00/ACT/1404/0863
 ICON-00/ACT/1503/0608
 ICON-00/SOP/1601/0046
 ICON-00/MIG/1604/0012
 ICON-00/ACT/1412/0261
 ICON-00/ACT/1606/0324
 ICON-00/ACT/1606/0359
 ICON-00/ACT/1606/0360
 ICON-00/DOW/1610/0006
 ICON-00/ACT/1505/0227
 ICON-00/ACT/1505/0202
 ICON-00/ACT/1504/0188
 ICON-00/ACT/1507/0230
 ICON-00/ACT/1503/0612
 ICON-00/ACT/1608/0850
 ICON-00/ACT/1608/0853
 ICON-00/ACT/1605/0330
 ICON-00/ACT/1601/0346
 ICON-00/ACT/1509/0080
 ICON-00/ACT/1601/0347
 ICON-00/ACT/1607/0020
 ICON-00/ACT/1503/0591
 ICON-00/SOP/1610/0044
 ICON-00/ACT/1505/0131
 ICON-00/ACT/1503/0576
 ICON-00/ACT/1503/0575
 ICON-00/ACT/1503/0572
 ICON-00/ACT/1603/0069
 ICON-00/SOP/1511/0038
 ICON-00/ACT/1503/0557
 ICON-00/ACT/1503/0574
 ICON-00/DOW/1609/0042
 ICON-00/SOP/1610/0085
 ICON-00/SOP/1507/0019
 ICON-00/ACT/1504/0059
 ICON-00/ACT/1503/0578
 ICON-00/SOP/1511/0037</t>
  </si>
  <si>
    <t>0340317/SPR/ICON+/2017 07603/SPP/008/PUSAT/ICON+/2017 4500010952 | 09156/SPP/008/PUSAT/ICON+/2018 | 4500011820 | 11645/SPP/008/PUSAT/ICON+/2019 | 4500013462 | 14316/SPP/008/PUSAT/ICON+/2020 | 4500015112 | 16690/SPP/008/PUSAT/ICON+/2021 | 4500016735 | 20252/SPP/008/PUSAT/ICON+/2022 | 4500019399</t>
  </si>
  <si>
    <t>1503/SPP/SBU/ICON+/2023</t>
  </si>
  <si>
    <t>B211</t>
  </si>
  <si>
    <t>C195</t>
  </si>
  <si>
    <t>D34</t>
  </si>
  <si>
    <t>E295</t>
  </si>
  <si>
    <t>F423</t>
  </si>
  <si>
    <t>G322</t>
  </si>
  <si>
    <t>PT FIBER NETWORKS INDONESIA 
 PT PRESTASI PIRANTI INFORMASI
 PT ATOZ TOTAL SOLUSI
 PT ATLASAT SOLUSINDO
 PT WIFIKU INDONESIA
 PT MORA TELEMATIKA INDONESIA
 PT REKAJASA AKSES
 UNIVERSAL BROADBAND
 PT. CIRCLECOM NUSANTARA INDONESIA
 PT TELE GLOBE GLOBAL
 PT. ARTHA TELEKOMINDO
 PT EKA MAS REPUBLIK
 PT NTT INDONESIA
 PT. MATRIXNET GLOBAL INDONESIA
 PT EKA MAS REPUBLIK
 PT DATAKOM STRATA TIGA</t>
  </si>
  <si>
    <t>1821216/SPR/ICON+/2016 | 07080/SPP/008/PUSAT/ICON+/2017 &amp; 07773/SPP/008/PUSAT/ICON+/2017 | 4500010584 &amp; 4500011048 | 09838/SPP/008/PUSAT/ICON+/2018 | 45000123024500012302 | 4500013746 | 14972/SPP/008/PUSAT/ICON+/2020 | 4500015512 | 21017 | 4500019901</t>
  </si>
  <si>
    <t>0812 8436 3772</t>
  </si>
  <si>
    <t>B277</t>
  </si>
  <si>
    <t>D321</t>
  </si>
  <si>
    <t>G37</t>
  </si>
  <si>
    <t>SEKRETARIAT JENDERAL KEMENTERIAN HUKUM DAN HAM</t>
  </si>
  <si>
    <t>10695/SPP/008/PUSAT/ICON+/2019 | 4500012710| 15667/SPP/008/PUSAT/ICON+/2021 | 4500016104 | 17906/SPP/008/PUSAT/ICON+/2022 | 4500017676  | 17906/SPP/008/PUSAT/ICON+/2023 | 4500020426</t>
  </si>
  <si>
    <t>3288/SPP/SBU/PLNICONPLUS/2024</t>
  </si>
  <si>
    <t>813 8436 3772</t>
  </si>
  <si>
    <t>C76</t>
  </si>
  <si>
    <t>E73</t>
  </si>
  <si>
    <t>F75</t>
  </si>
  <si>
    <t>G36</t>
  </si>
  <si>
    <t>PT JARINGAN INTERNET BANTEN</t>
  </si>
  <si>
    <t>Serang, Unyur, Kec. Serang, Kota Serang, Banten 42111</t>
  </si>
  <si>
    <t>A111204000011</t>
  </si>
  <si>
    <t>1014/SPP/SBU/ICON+/2023</t>
  </si>
  <si>
    <t>G126</t>
  </si>
  <si>
    <t>PT. NUGRAHA INDAH CITARASA INDONESIA</t>
  </si>
  <si>
    <t>JL.HR Rasuna Said BLK X-2 Jakarta Selatan</t>
  </si>
  <si>
    <t>Sudirman Plaza, Indofood Tower Lt.27 Jl.Jend Sudirman Kav.76-78 Jakarta 12910, -, Jakarta Selatan, DKI Jakarta, Indonesia, -</t>
  </si>
  <si>
    <t>Gedung Ariobimo Sentral Lt. 5 Jl. HR Rasuna Said Blok X2 Kav 5 Jakarta Selatan, DKI Jakarta 12950</t>
  </si>
  <si>
    <t>10434/SPP/008/PUSAT/ICON+/2019 | 4500012522 | 12586/SPP/008/PUSAT/ICON+/2020 | 4500013907| 15417/SPP/008/PUSAT/ICON+/2021| 4500015907 | 17632/SPP/008/PUSAT/ICON+/2022 | 4500017617 | 21102 | 4500019955</t>
  </si>
  <si>
    <t>Yadi</t>
  </si>
  <si>
    <t>C41</t>
  </si>
  <si>
    <t>D33</t>
  </si>
  <si>
    <t>E171</t>
  </si>
  <si>
    <t>F84</t>
  </si>
  <si>
    <t>G130</t>
  </si>
  <si>
    <t>H79</t>
  </si>
  <si>
    <t>PT. CORE MEDIATECH</t>
  </si>
  <si>
    <t>Kalimantan, CA2 1&amp;2 Gandasari Kab Bekasi 17842</t>
  </si>
  <si>
    <t>Gd Cyber lantai 1 Jl. Kuningan Barat Raya No.8, RW.3, Kuningan Bar., Kec. Mampang Prpt., Kota Jakarta Selatan, Daerah Khusus Ibukota Jakarta 12710</t>
  </si>
  <si>
    <t>H74</t>
  </si>
  <si>
    <t xml:space="preserve">Bahanasemesta Citranusantara </t>
  </si>
  <si>
    <t>PT. BANK BTPN Tbk</t>
  </si>
  <si>
    <t>Menara BTPN 9th Floor. JL DR Ide Anak Agung Gde Agung Kav 5.5-5.6 Kawasan mega kuningan, jakarta selatan 12950</t>
  </si>
  <si>
    <t xml:space="preserve">Backup Backhaul BTPN, Data Center IBM (Telkom Sigma) Sentul JL. IR Haji Juanda No. F3, Sentul City, Citeureup-Bogor Indonesia,- ,- ,- ,Indonesia  </t>
  </si>
  <si>
    <t>Gedung Bahana Tower</t>
  </si>
  <si>
    <t>ICON-00/SBC/1701/0192
 ICON-00/SBC/1606/0788
 ICON-00/SBC/1602/0415
 ICON-00/SBC/1602/0097
 ICON-00/SBC/1601/0411
 ICON-00/SBC/1601/0133
 ICON-00/SBC/1601/0089</t>
  </si>
  <si>
    <t>07951/SPP/008/PUSAT/ICON+/2018 4500011230 | 09707/SPP/008/PUSAT/ICON+/2018 | 4500012171 | 11990/SPP/008/PUSAT/ICON+/2019 | 4500013647 | 14744/SPP/008/PUSAT/ICON+/2020 | 4500015366| 17124/SPP/008/PUSAT/ICON+/2021 | 4500017085 | 20281/SPP/008/PUSAT/ICON+/2022 | 4500019257</t>
  </si>
  <si>
    <t>2038/SPP/SBU/ICON+/2023</t>
  </si>
  <si>
    <t>B35</t>
  </si>
  <si>
    <t>B251</t>
  </si>
  <si>
    <t>C288</t>
  </si>
  <si>
    <t>D366</t>
  </si>
  <si>
    <t>E342</t>
  </si>
  <si>
    <t>G325</t>
  </si>
  <si>
    <t>Balai Sidang Jakarta Convention Center /  Graha Sidang Pratama</t>
  </si>
  <si>
    <t>Balai Sidang Jakarta Convention Center Gedung Jakarta Convention Center Jl. Jend. Gatot Soebroto Jakarta 12310</t>
  </si>
  <si>
    <t xml:space="preserve">Jakarta Convention Center (JCC) Jl. Jend. Gatot Soebroto </t>
  </si>
  <si>
    <t>Jakarta Convention Center (JCC) Jl. Jend. Gatot Soebroto (PT Indonesia Comnets Plus - Mahkamah Agung)</t>
  </si>
  <si>
    <t>Tidak ada SO</t>
  </si>
  <si>
    <t>022411/SPR/008/PUSAT/ICON+/2016 053112/SPR/008/PUSAT/ICON+/2016(Vsat Cancel )
 061315/SPR/008/PUSAT/ICON+/2016 (Vsat Cancel) | 08382/SPP/008/PUSAT/ICON+/2018 | 4500011445 | 4500012418 | 10026</t>
  </si>
  <si>
    <t>Salis/Sita/Prima</t>
  </si>
  <si>
    <t>021-5276000</t>
  </si>
  <si>
    <t>PT. CATURKARDA DEPO BANGUNAN</t>
  </si>
  <si>
    <t>(Backhaul) Gedung DC Bali Tower JI. Batu Ceper No- 53 RT.15/RW.1 Kebon Kelapa, Jakarta Pusat</t>
  </si>
  <si>
    <t>4500015834 | 18161/SPP/008/PUSAT/ICON+/2022 | 4500017802 | 21276 | 4500020006</t>
  </si>
  <si>
    <t>Meri</t>
  </si>
  <si>
    <t>F114</t>
  </si>
  <si>
    <t>G51</t>
  </si>
  <si>
    <t>H36</t>
  </si>
  <si>
    <t>1.Biaya Sewa Metro-E MMR DC Bacep 10 Mbps Rp.24.000.000 | 2.Biaya Sewa Space MMR 2U Rp.48.000.000 | 3.Biaya Sewa Crossconnect UTP Rp.6.000.000</t>
  </si>
  <si>
    <t xml:space="preserve">Bangun Cia Karya Perkasa </t>
  </si>
  <si>
    <t>PT Sumber Graha Sejahtera
 PT Trans Retail Indonesia</t>
  </si>
  <si>
    <t>Mutiara Taman Palem
Perumahan Mutiara Taman Palem Blok B 6 No. 1 Jl. Kamal Raya Outering Road Cengkareng Jakarta Barat</t>
  </si>
  <si>
    <t xml:space="preserve">ID0010363 - GD. BSM, JL. MH THAMRIN II 9 NO.5 JAKARTA,- ,- ,- </t>
  </si>
  <si>
    <t>Mall Taman Palem</t>
  </si>
  <si>
    <t>PA/UPG/1903/0144
 ICON-00/ACT/1306/0093</t>
  </si>
  <si>
    <t>4500010607 | 09419/SPP/008/PUSAT/ICON+/2018 | 4500012027 | 11134/SPP/008/PUSAT/ICON+/2019 | 4500013529 | 13693/SPP/008/PUSAT/ICON+/2020 | 4500014720</t>
  </si>
  <si>
    <t>16751/SPP/008/PUSAT/ICON+/2021</t>
  </si>
  <si>
    <t>Arfian</t>
  </si>
  <si>
    <t>B163</t>
  </si>
  <si>
    <t>C298</t>
  </si>
  <si>
    <t>D295</t>
  </si>
  <si>
    <t>E405</t>
  </si>
  <si>
    <t>Binajasa Abadikarya  (Bijak)/Jamsostek /BPJS KetenagaKerjaan/ Jekael Invesco</t>
  </si>
  <si>
    <t>Gedung menara Selatan Lt.9 Jl. Jend. Gatot Subroto No. 38 Jakarta 12712</t>
  </si>
  <si>
    <t xml:space="preserve"> ICON+ Jamsostek</t>
  </si>
  <si>
    <t>A911205000005</t>
  </si>
  <si>
    <t xml:space="preserve">1888/SPP/SBU/ICON+/2023	</t>
  </si>
  <si>
    <t>Tri</t>
  </si>
  <si>
    <t>021-5279317
 021-52961504
 021-52961511</t>
  </si>
  <si>
    <t>G307</t>
  </si>
  <si>
    <t>1. Shaft sebesar Rp.10.000.000 | 2.Supervisi Rp.440.000 | 3.Biaya Perbaikan Firestop Rp.900.000</t>
  </si>
  <si>
    <t xml:space="preserve">Binapratama Sakatojaya </t>
  </si>
  <si>
    <t>PT. Selago Makmur Plantation</t>
  </si>
  <si>
    <t>The Vida Lt.9 Jakarta Barat</t>
  </si>
  <si>
    <t>Jl. Raya Perjuangan No. 8 Kebun Jeruk</t>
  </si>
  <si>
    <t>PA/UPG/2103/0309</t>
  </si>
  <si>
    <t>18613/SPP/008/PUSAT/ICON+/2022</t>
  </si>
  <si>
    <t>F149</t>
  </si>
  <si>
    <t>Skema kerja sama berubah menjadi revenue sharing dengan pengelola The Vida (PT Binapratama Saktojaya)</t>
  </si>
  <si>
    <t>PT. HIPERNET INDODATA  qq PT Samchem Prasandha</t>
  </si>
  <si>
    <t>Jl. Lingkar Luar Barat Kavling 88</t>
  </si>
  <si>
    <t>PT Samchem Prasandha - The Blugreen Boutique Office Tower A-Blue Lantai 2 Unit AB-0, 2, Jl. Lkr. Luar Barat, RT.6/RW.1</t>
  </si>
  <si>
    <t xml:space="preserve">Colocation </t>
  </si>
  <si>
    <t>19787/SPP/008/PUSAT/ICON+/2022</t>
  </si>
  <si>
    <t>F297</t>
  </si>
  <si>
    <t>ASTRA INTERNATIONAL TBK</t>
  </si>
  <si>
    <t>Jl Tentara Pelajar Jakarta 12215</t>
  </si>
  <si>
    <t>A000 - AIHO, Mini Data Center Astra International Head Office Lantai 59, Menara Astra, Jl. Jend. Sudirman No. Kav 5, RT. 10/RW. 11 Karet Tengsin, Tanah Abang, Jakarta Pusat</t>
  </si>
  <si>
    <t>13316/SPP/008/PUSAT/ICON+/2020 | 4500014387- | 20057 | 4500019558 | 4500022096</t>
  </si>
  <si>
    <t>1267/SPP/SBU/ICON+/2024</t>
  </si>
  <si>
    <t>D191</t>
  </si>
  <si>
    <t>F442</t>
  </si>
  <si>
    <t>H81</t>
  </si>
  <si>
    <t>PT. SERASI AUTORAYA</t>
  </si>
  <si>
    <t>(backhaul) Jln Mitra Sunter Boulevard Blok C2 Kav 9, Sunter Jaya-JAKARTA 14350</t>
  </si>
  <si>
    <t>Menara Astra Lt.12, Jl. Jend. Sudirman No.Kav 5-6, RT.10/RW.11, Karet Tengsin, Tanahabang, Kota Jakarta Pusat</t>
  </si>
  <si>
    <t>11380/SPP/008/PUSAT/ICON+/2019 | 4500013133</t>
  </si>
  <si>
    <t>13772/SPP/008/PUSAT/ICON+/2020</t>
  </si>
  <si>
    <t>Indah</t>
  </si>
  <si>
    <t>0812-1097-4826</t>
  </si>
  <si>
    <t>C163</t>
  </si>
  <si>
    <t>D157</t>
  </si>
  <si>
    <t xml:space="preserve">Botika Teknologi Indonesia </t>
  </si>
  <si>
    <t>DIREKTORAT JENDERAL IMIGRASI DITJEN IMIGRASI KEMENTERIAN HUKUM DAN HAM</t>
  </si>
  <si>
    <t>Jl.Turonggongsari Blok III , Jl Perumnas No.50 NGROPOH Condongcatur Kec.Depok Yogyakarta</t>
  </si>
  <si>
    <t>Ditjen Imigrasi - JL H.R Rasuna Said Kav. X-6 no 8, Kuningan, Jakarta Selatan, DKI Jakarta, Indonesia,</t>
  </si>
  <si>
    <t xml:space="preserve">PA/ACT/2301/7032 </t>
  </si>
  <si>
    <t>Aplikasi</t>
  </si>
  <si>
    <t>15723/SPP/008/PUSAT/ICON+/2021| 4500016287 | 18416/SPP/008/PUSAT/ICON+/2022 | 4500018073</t>
  </si>
  <si>
    <t>397/SPP/SBU/ICON+/2023</t>
  </si>
  <si>
    <t>E110</t>
  </si>
  <si>
    <t>F210</t>
  </si>
  <si>
    <t>G185</t>
  </si>
  <si>
    <t>1.chatbot setup  Rp.20.000.000 | monthly commitment subscription chatbot Rp.60.000.000 | 3.monthly commitment subscription omnichannel 8.000.000</t>
  </si>
  <si>
    <t xml:space="preserve">Bright Honey Lady </t>
  </si>
  <si>
    <t>PT TWOBA BOX INDONESIA</t>
  </si>
  <si>
    <t>Jl.Pluit Selatan Raya 1 Jakarta Utara 14440</t>
  </si>
  <si>
    <t>Gedung The Honey Lady Lantai 16, Jl. Pluit Selatan Raya No.1, Penjaringan, Jakarta Utara, DKI Jakarta,</t>
  </si>
  <si>
    <t>F48</t>
  </si>
  <si>
    <t>1.Biaya Sewa tahunan 35.000.000</t>
  </si>
  <si>
    <t xml:space="preserve">Bumi Serpong Damai </t>
  </si>
  <si>
    <t>Sinar Mas Land Plaza
Jalan Grand Boulevard BSD Green Office Park BSD City Tangerang 15345</t>
  </si>
  <si>
    <t>Bank Fama International, KCP BSD - BSD Junction Ruko Blok A No. 45, Jalan Pahlawan Seribu, Tangerang, 15322</t>
  </si>
  <si>
    <t>PA/ACT/1809/0799
 PA/ACT/1810/1817
 PA/ACT/1809/1030
 PA/ACT/1809/1029
 PA/ACT/1809/1028
 PA/ACT/1809/1027
 PA/ACT/1809/1026 
 PA/ACT/1809/1025</t>
  </si>
  <si>
    <t>09959/SPP/008/PUSAT/ICON+/2018 | 4500012329 | 12160/SPP/008/PUSAT/ICON+/2019 | 4500013748| 14748/SPP/008/PUSAT/ICON+/2020| 4500015365</t>
  </si>
  <si>
    <t>17343/SPP/008/PUSAT/ICON+/2021</t>
  </si>
  <si>
    <t>Hendra/Hans</t>
  </si>
  <si>
    <t>021-50368368</t>
  </si>
  <si>
    <t>B267</t>
  </si>
  <si>
    <t>D16</t>
  </si>
  <si>
    <t>E153</t>
  </si>
  <si>
    <t>F7</t>
  </si>
  <si>
    <t>Biaya sewa tahunan sebesar Rp.48.015.000,-</t>
  </si>
  <si>
    <t>Bumi Serpong Damai (BSD) (ITC BSD Taman Perkantoran I BSD, Jl. Pahlawan Seribu , Tangerang-Trans Retail)</t>
  </si>
  <si>
    <t>ICON-00/SOP/1404/0012
 ICON-00/ACT/1306/0100</t>
  </si>
  <si>
    <t>4080916/SPR/ICON+/2016 | 08843/SPP/008/PUSAT/ICON+/2018 | Note : PO belum di TTD (4500011651 &amp; 4500011760 ) | 09021/SPP/008/PUSAT/ICON+/2018</t>
  </si>
  <si>
    <t>09021/SPP/008/PUSAT/ICON+/2018 |16285/SPP/008/PUSAT/ICON+/2021</t>
  </si>
  <si>
    <t>Indoor ITC BSD:
 Dikenakan biaya sewa shaft per meter total untuk 185 meter Update tahun 2016 Rp60.000/meter
 Outdoor Lahan BSD:
 1. Biaya Perbaikan dan Perapihan (tergantung panjang galian dan jalur-Bervariasi) mulai dari Rp3.500.000,- s/d Rp3.600.000 One Time Charged
 2. Tarif Jaminan :
 a. Galian Boring : panjang galian 0 s/d 200 m Rp4.800.000
 b. Galian Boring : panjang galian 201 s/d 1000 m Rp14.400.000
 c. Galian Boring : panjang galian 1001 s/d 5000 m Rp42.000.000
 d. Galian Boring : panjang galian 5001 s/d 10000 m Rp54.000.000
 e. Galian Boring : panjang galian &gt; 10000m Rp90.000.000
 f. Galian Open : Panjang Galian 0 s/d 200 m Rp6.000.000
 g. Galian Open : Panjang Galian 201 s/d 1000 m Rp18.000.000
 h. Galian Open : Panjang Galian 1001 s/d 5000 m Rp54.000.000
 i. Galian Open : Panjang Galian 5001 s/d 10000 m Rp72.000.000
 j. Galian Open : Panjang Galian &gt; 10000 m Rp120.000.000</t>
  </si>
  <si>
    <t xml:space="preserve">Cakra Nusa Utama </t>
  </si>
  <si>
    <t>PT Indonesia Power</t>
  </si>
  <si>
    <t>Centenial Tower Lt.6 Jakarta 12930</t>
  </si>
  <si>
    <t>Centennial Tower Lt 6 Jl. Gatot Subroto Kav 24 &amp; 25 Jakarta 12930</t>
  </si>
  <si>
    <t>PA/ACT/1806/0222</t>
  </si>
  <si>
    <t>08877/SPP/008/PUSAT/ICON+/2018 | 4500011672</t>
  </si>
  <si>
    <t>11130/SPP/008/PUSAT/ICON+/2019</t>
  </si>
  <si>
    <t>Aya</t>
  </si>
  <si>
    <t>B110</t>
  </si>
  <si>
    <t>C142</t>
  </si>
  <si>
    <t>1.Biaya sewa tahunan Rp.96.000.000</t>
  </si>
  <si>
    <t>PT Cyber Network Indonesia qq PT Indopower</t>
  </si>
  <si>
    <t>PT Indopower, Centennial Tower Lt.8, Jl. Gatot Subroto No Kav. 24-25, Karet Semanggi, Kec. Setiabudi, Jakarta Selatan, DKI Jakarta, 12710</t>
  </si>
  <si>
    <t>10211/SPP/008/PUSAT/ICON+/2019 | 4500012469</t>
  </si>
  <si>
    <t>C15</t>
  </si>
  <si>
    <t>D118</t>
  </si>
  <si>
    <t>PT. KRISBOW INDONESIA</t>
  </si>
  <si>
    <t>Gedung Kenari Mas Lt.6 Np.101 Jakarta Pusat 10440</t>
  </si>
  <si>
    <t>Krisbow Indonesia, Plaza Kenari Mas, Jl. Kramat Raya No.101, RT.18/RW.1, Paseban, Senen, Kota Jakarta Pusat, Daerah Khusus Ibukota Jakarta (Gedung kenari mas Lantai Dasar Blok C no 2), Senen, Jakarta Pusat, DKI Jakarta, Indonesia, 10440</t>
  </si>
  <si>
    <t>10701/SPP/008/PUSAT/ICON+/2019| 4500012715 | 12631/SPP/008/PUSAT/ICON+/2020 | 4500013903| 15169/SPP/008/PUSAT/ICON+/2021| 4500015749 | 18177/SPP/008/PUSAT/ICON+/2022 | 4500017780 | 21757 | 4500020389</t>
  </si>
  <si>
    <t>Fitry Juni</t>
  </si>
  <si>
    <t>021 3984 2777</t>
  </si>
  <si>
    <t>C50</t>
  </si>
  <si>
    <t>D203</t>
  </si>
  <si>
    <t>E221</t>
  </si>
  <si>
    <t>F99</t>
  </si>
  <si>
    <t>G96</t>
  </si>
  <si>
    <t>H35</t>
  </si>
  <si>
    <t>TBK KCP KAS Plaza Kenari Mas (KPK) Plaza Kenari Mas</t>
  </si>
  <si>
    <t>A821303000172</t>
  </si>
  <si>
    <t>1849/SPP/SBU/ICON+/2023</t>
  </si>
  <si>
    <t>Hana</t>
  </si>
  <si>
    <t>0812-9035-7435</t>
  </si>
  <si>
    <t>G308</t>
  </si>
  <si>
    <t>PT Adaro Indonesia (cm_icon-adaro03)</t>
  </si>
  <si>
    <t>Jl. HR. Rasuna Said Blok X5 No. 13
Kuningan Timur Jakarta</t>
  </si>
  <si>
    <t>(PT. Adaro Indonesia site KM 35) Jl. Hauling Road KM 35. Pasar Panas, Benua Lima, Kabupaten Barito Timur, Kalimantan Tengah, Indonesia, 73661</t>
  </si>
  <si>
    <t xml:space="preserve">PA/ACT/2305/1636/ORI </t>
  </si>
  <si>
    <t>spp</t>
  </si>
  <si>
    <t>278/SPP/SBU/ICON+/2023</t>
  </si>
  <si>
    <t>Erni Monalena / Helvi Susanti</t>
  </si>
  <si>
    <t>0856 9322 1320 (Erni)</t>
  </si>
  <si>
    <t>G108</t>
  </si>
  <si>
    <t>1.Biaya Instalasi Rp.2.000.000 | 2.Material Support Cost Rp.2.000.000</t>
  </si>
  <si>
    <t>PT Global Digital Niaga</t>
  </si>
  <si>
    <t>Bank Mandiri Gedung Mandiri Sentra Rempoa 1, Jl. Ir. H. Juanda Komp. Mandiri Griya Rempoa, Ciputat – Rempoa , Tangerang Selatan 15412</t>
  </si>
  <si>
    <t>PA/ACT/1910/0423</t>
  </si>
  <si>
    <t>14680/SPP/008/PUSAT/ICON+/2020</t>
  </si>
  <si>
    <t>858 9322 1320 (Erni)</t>
  </si>
  <si>
    <t>C235</t>
  </si>
  <si>
    <t>D389</t>
  </si>
  <si>
    <t xml:space="preserve">Cyber2 Tower, Kuningan, East Kuningan, Setiabudi, South Jakarta City, Jakarta,  Kuningan,  Jakarta Selatan,  DKI Jakarta,  Indonesia,  </t>
  </si>
  <si>
    <t>CBN Bali Istana Kuta Galeria  Blok PM 3 No. 7 Jl. Patih Jelantik,  Kuta,  Kabupaten Badung,  Bali,  Indonesia,  80361</t>
  </si>
  <si>
    <t>21127/SPP/008/PUSAT/ICON+/2023 | 4500020016</t>
  </si>
  <si>
    <t>3385/SPP/SBU/PLNICONPLUS/2024</t>
  </si>
  <si>
    <t>G29</t>
  </si>
  <si>
    <t>project pembangunan router 100G Joint Customer External</t>
  </si>
  <si>
    <t>CBN Nusantara Next Data Center Cyber2 Tower, 2nd Floor - Jl. H.R Rasuna Said Blok X-5 No. 13 Jakarta</t>
  </si>
  <si>
    <t>21885/SPP/008/PUSAT/ICON+/2023 | 4500020327</t>
  </si>
  <si>
    <t>3215/SPP/SBU/PLNICONPLUS/2024</t>
  </si>
  <si>
    <t>857 9322 1320 (Erni)</t>
  </si>
  <si>
    <t>G72</t>
  </si>
  <si>
    <t>H172</t>
  </si>
  <si>
    <t>1.Biaya Instalasi Rp.2.000.000 | 2.Material Support Cost Rp.2.000.001</t>
  </si>
  <si>
    <t>PT CBN NUSANTARA qq PT. ADARO INDONESIA</t>
  </si>
  <si>
    <t>Cyber 2 - JL H. Rasuna Said X5 No 13, Kuningan, Jakarta Selatan</t>
  </si>
  <si>
    <t>10821/SPP/008/PUSAT/ICON+/2019 |4500014444 | 4500012790| 15921/SPP/008/PUSAT/ICON+/2021| 4500016427</t>
  </si>
  <si>
    <t>18322/SPP/008/PUSAT/ICON+/2022</t>
  </si>
  <si>
    <t>C103</t>
  </si>
  <si>
    <t>E119</t>
  </si>
  <si>
    <t>F340</t>
  </si>
  <si>
    <t>1.Biaya sewa tahunan Rp.12.000.000</t>
  </si>
  <si>
    <t>CYBER 2 RAK STI (BACKHAUL),  -,  -,  -,  Indonesia,  -</t>
  </si>
  <si>
    <t>Cyber 2 Tower, 2nd Floor – JL. HR Rasuna Said Blok X-5 No. 13 – Jakarta 12950</t>
  </si>
  <si>
    <t>08013/SPP/008/PUSAT/ICON+/2018 | 4500011185 | 09877/SPP/008/PUSAT/ICON+/2018 | 12627/SPP/008/PUSAT/ICON+/2020 | 4500013964</t>
  </si>
  <si>
    <t>15132/SPP/008/PUSAT/ICON+/2021</t>
  </si>
  <si>
    <t>B9</t>
  </si>
  <si>
    <t>B291</t>
  </si>
  <si>
    <t>E141</t>
  </si>
  <si>
    <t>Data Center CBN Nusantara Cyber 2 Tower, 2nd floor | Jl. H.R. Rasuna Said Blok X5 No. 13 Jakarta Selatan - 12950. lokasi rak N2C1-05-02)</t>
  </si>
  <si>
    <t>08041/SPP/008/PUSAT/ICON+/2018 | 4500011282 | Note : PO belum di Print | 09709/SPP/008/PUSAT/ICON+/2018 | 4500012173 | 12176/SPP/008/PUSAT/ICON+/2019 | 4500013738 | 14753/SPP/008/PUSAT/ICON+/2020 | 4500015367 | 17489/SPP/008/PUSAT/ICON+/2021 | 4500017405 | 18911 | 4500021250</t>
  </si>
  <si>
    <t>C150</t>
  </si>
  <si>
    <t>D7</t>
  </si>
  <si>
    <t>D390</t>
  </si>
  <si>
    <t>F15</t>
  </si>
  <si>
    <t>G244</t>
  </si>
  <si>
    <t xml:space="preserve"> CYBER 2 RAK STI (BACKHAUL</t>
  </si>
  <si>
    <t>08223/SPP/008/PUSAT/ICON+/2018 |09535/SPP/008/PUSAT/ICON+/2018 | 4500012060 | 12088/SPP/008/PUSAT/ICON+/2019 | 4500013739</t>
  </si>
  <si>
    <t>12088/SPP/008/PUSAT/ICON+/2019</t>
  </si>
  <si>
    <t>C250</t>
  </si>
  <si>
    <t>D6</t>
  </si>
  <si>
    <t>PT. UNIVERSAL SATELIT INDONESIA</t>
  </si>
  <si>
    <t>Cyber 2, Jl. H. R. Rasuna Said No.5 No.13, RT.7/RW.2, Kuningan, Kuningan Tim, Kec. Setiabudi</t>
  </si>
  <si>
    <t>E277</t>
  </si>
  <si>
    <t>PT. INTI DUNIA SUKSES</t>
  </si>
  <si>
    <t>12254/SPP/008/PUSAT/ICON+/2019 | 4500013660 | 14754/SPP/008/PUSAT/ICON+/2020 | 4500015359 | 17488/SPP/008/PUSAT/ICON+/2021 | 4500017404</t>
  </si>
  <si>
    <t>1977/SPP/SBU/ICON+/2023</t>
  </si>
  <si>
    <t>C265</t>
  </si>
  <si>
    <t>D382</t>
  </si>
  <si>
    <t>F14</t>
  </si>
  <si>
    <t>G389</t>
  </si>
  <si>
    <t>PT KIS, Nex Datacenter Cyber2 Tower 2nd Floor, Jl. HR Rasuna Said X5 No.13, Cage (ND2-N2C1-05-01) rak pertama,  Setiabudi,  Jakarta Selatan,  DKI Jakarta,  Indonesia,  12950</t>
  </si>
  <si>
    <t>cm_icon-indomarco03 | baru | 10570/SPP/008/PUSAT/ICON+/2019 | 4500012620 | 15119/SPP/008/PUSAT/ICON+/2021 | 4500015717</t>
  </si>
  <si>
    <t>17656/SPP/008/PUSAT/ICON+/2022</t>
  </si>
  <si>
    <t>C61</t>
  </si>
  <si>
    <t>E218</t>
  </si>
  <si>
    <t>E145</t>
  </si>
  <si>
    <t>G49</t>
  </si>
  <si>
    <t>DC CBN, Cyber 2 Tower, lantai 2 Jl HR Rasuna Said Blok X5 no 13 (Rack N2C1-05-02), Kuningan, Jakarta Selatan.</t>
  </si>
  <si>
    <t>11468/SPP/008/PUSAT/ICON+/2019| 4500013155 | 13842/SPP/008/PUSAT/ICON+/2020 | 4500014745| 16300/SPP/008/PUSAT/ICON+/2021| 4500016490 | 18911/SPP/008/PUSAT/ICON+/2022 | 4500018221</t>
  </si>
  <si>
    <t>C167</t>
  </si>
  <si>
    <t>D189</t>
  </si>
  <si>
    <t>E188</t>
  </si>
  <si>
    <t>F199</t>
  </si>
  <si>
    <t>G194</t>
  </si>
  <si>
    <t>3827/SPP/SBU/PLNICONPLUS/2024</t>
  </si>
  <si>
    <t>H207</t>
  </si>
  <si>
    <t>Suzuki Finance</t>
  </si>
  <si>
    <t>Ged. Cyber Two/dua Data Center Lt. 2 (Suzuki Finance So No.ICON-00/ACT/1408/0226)</t>
  </si>
  <si>
    <t>SOP/1704/0067</t>
  </si>
  <si>
    <t>072904/SPR/008/PUSAT/ICON+/2016 |
 060105/SPR/008/PUSAT/ICON+/2016 |
 060104/SPR/008/PUSAT/ICON+/2016 | 07441/SPP/008/PUSAT/ICON+/2017 |Note : PO 4500010827 belum di print | 09172/SPP/008/PUSAT/ICON+/2018 | 4500011855</t>
  </si>
  <si>
    <t>14305/SPP/008/PUSAT/ICON+/2020</t>
  </si>
  <si>
    <t>D197</t>
  </si>
  <si>
    <t>D355</t>
  </si>
  <si>
    <t>1. Sewa Berlangganan Data Center di CBN Nusantara (Cyber 2) berupa 1 unit full rack 19 inci-45U Rp9.000.000,-/bulan atau total Rp108.000.000/tahun
  Fasilitas sewa rack terdiri dari 1 (satu) rak penuh 19 inci – 45 U, milik rekanan dengan fasilitas :
 a. 3 (tiga) buah koneksi UTP cat 5e atau 1 (satu) buah koneksi FO dan rak ICON+ menuju MMR;
 b. Toleransi grounding listrik 0,1 -0,5 ohm;
 c. Ruang ber AC dengan temperatur ruang 23° C - 25° C;
 d. Sistem pendingin presisi dan redundan;
 e. Perforated raised floor;
 f. Uninterruptible Power Supply (UPS) redundant;
 g. Sistem monitoring 24 jam;
 h. Sensor panas dan asap yang dilengkapi dengan system pemadam kebakaran pyrogen.
 2.Biaya Instalasi 
 a.Instalasi Kabel FO Rp2.000.000/intalasi (dari handhole Ged. Cyber 2 menuju Rg MMR di Lt.2) (harga Instalasi Backbone FO) update th 2015 Rp.5.500.000,-
 b.Instalasi Rp1.300.000/Core FO/aktivasi (Rg MMR di Lt.2 menuju tenant) (harga aktivasi bacbone core FO) update th 2015 Rp2.500.000,-
 c. Instalasi Rp750.000/link fO/Instalasi (antar tenant) (harga Instalasi MMR-DC) update th 2015 Rp2.000.000,- s/d Rp3.500.000,-
 d. Instalasi Rp500.000/kabel UTP/Instalasi (Ruang MMR di Lt.2 menuju rak ICON+ di Rg dt Center CBN) (Harga Instalasi MMR-DC) update th 2015 Rp1.500.000,-
 e. Instalasi Rp1000.000/Link UTP/Instalasi (Instalasi kabel dari ruang MMR di Lt.2 Menuju tenant) (Harga Instalasi MMR-Tenant) update th 2015 Rp1.750.000,-
 f. Instalasi Rp1000.000/Kabel UTP/Instalasi (Instalasi kabel dari ruang MMR di Lt.2 Menuju pelanggan rack) (Harga Instalasi MMR-Tenant) update tahun 2015 Rp2.000.000/kabel/UTP/Instalasi
 g. Instalasi UTP antar 2 pelanggan di Gedung Cyber update tahun 2015 Rp2.000.000/kabel/UTP/Instalasi
 3. Sewa Infrastruktur :
 a. Sewa Kabel FO Rp3.000.000/Link FO/Tahun (dari Rg MMR di Lt. 2 menuju rak ICON+ di Rg Data Center CBN) (Sw Interkoneksi FO MMR-DC) update th 2015 Rp4.000.000,-/tahun
 b. Sewa Kabel UTP Rp1.500.000/Kabel UTP/tahun (dr Rg MMR di Lt.2 menuju rak ICON+ di Gedung Cyber 2) (Sw Interkoneksi UTP MMR-DC) update harga tahun 2015 Rp2.000.000/kabel UTP/tahun
 c. Sewa Rp5.000.000/link fo/tahun (Kabel dari Rg MMR di Lt.2 menuju pelanggan ICON+ di Gedung Cyber 2) (Sw Interkoneksi FO MMR-Tenant) update th 2015 Rp6.000.000,-/tahun
 d. Sewa Rp2.500.000/kabel UTP/Tahun (Kabel UTP dari Rg MMR di Lt.2 menuju Pelanggan ICON+ di gedung Cyber 2) (Sw Interkoneksi UTP MMR-Tenant) update th 2015 Rp4.000.000,-/tahun
 e. Sewa UTP dari MMR to Data Center Room update th 2015 Rp3.000.000,-/Tahun
 f. Sewa UTP antara 2 tenant di ged. Cyber 2 update th 2015 Rp4.500.000,-/Tahun
 g. Sewa FO antara 2 tenant di ged. Cyber 2 update th 2015 Rp7.000.000,-/Tahun</t>
  </si>
  <si>
    <t>Ged. Cyber Two/dua Data Center Lt. 2 (UTP dari ke ICON+ ke RaCk Indomarco) (PT Indomarco Prismatama So No. ICON-00/ACT/1502/0384)</t>
  </si>
  <si>
    <t>03303/SPR/008/PUSAT/ICON+/2016| 06600/SPP/008/PUSAT/ICON+/2017| 4500010295 | 08963/SPP/008/PUSAT/ICON+/2018 | 4500011371 | 10289/SPP/008/PUSAT/ICON+/2019 | 4500012495 | 12658/SPP/008/PUSAT/ICON+/2020 | 4500013996</t>
  </si>
  <si>
    <t>15790/SPP/008/PUSAT/ICON+/2021</t>
  </si>
  <si>
    <t>B186</t>
  </si>
  <si>
    <t>C45</t>
  </si>
  <si>
    <t>D64</t>
  </si>
  <si>
    <t>E302</t>
  </si>
  <si>
    <t>Ged. Cyber Two/dua Data Center Lt. 2 Ruang Meet Me Room - 2 kabel (fo dari Rack CBN (CRF1-05) ke MMR dan dari rack ICON+ (NF1-01-06) ke MMR (PT Cyberindo Aditama So No. ICON-00/ACT/1610/0722)</t>
  </si>
  <si>
    <t>username : cm_icon_cbn01 |2711116/SPR/ICON+/2016 |
 5551116/SPR/ICON+/2016 |
 Letter of Acknowledgment No. 0121/CN/DIOICP/CH/BA/XI/2016 | 07966/SPP/008/PUSAT/ICON+/2018 | 4500011166| 09443/SPP/008/PUSAT/ICON+/2018 | 4500012008 | 11799/SPP/008/PUSAT/ICON+/2019 | 4500013406| 11799/SPP/008/PUSAT/ICON+/2019 | 14461/SPP/008/PUSAT/ICON+/2020| 4500015269</t>
  </si>
  <si>
    <t>17043/SPP/008/PUSAT/ICON+/2021</t>
  </si>
  <si>
    <t>B10</t>
  </si>
  <si>
    <t>B294</t>
  </si>
  <si>
    <t>C222</t>
  </si>
  <si>
    <t>D309</t>
  </si>
  <si>
    <t>F240</t>
  </si>
  <si>
    <t>PT. CYBERINDO ADITAMA
 PT INDOMARCO PRISMATAMA
 PT. CYBERINDO ADITAMA
 PT. CYBERINDO ADITAMA
 PT. CYBERINDO ADITAMA
 PT. CYBERINDO ADITAMA
 PT. CYBERINDO ADITAMA
 PT. CYBERINDO ADITAMA
 PT. CYBERINDO ADITAMA
 PT. CYBERINDO ADITAMA
 PT. CYBERINDO ADITAMA
 PT. CYBERINDO ADITAMA
 PT. CYBERINDO ADITAMA
 PT. CYBERINDO ADITAMA
 PT. CYBERINDO ADITAMA
 PT. CYBERINDO ADITAMA
 PT. CYBERINDO ADITAMA
 PT. CYBERINDO ADITAMA
 PT. CYBERINDO ADITAMA
 PT. CYBERINDO ADITAMA
 PT. CYBERINDO ADITAMA
 PT. CYBERINDO ADITAMA
 PT HOME CREDIT INDONESIA
 PT HOME CREDIT INDONESIA
 PT HOME CREDIT INDONESIA
 PT HOME CREDIT INDONESIA
 PT HOME CREDIT INDONESIA
 PT HOME CREDIT INDONESIA
 PT HOME CREDIT INDONESIA
 PT HOME CREDIT INDONESIA
 PT INDOMARCO PRISMATAMA
 PT INDOMARCO PRISMATAMA
 PT INDOMARCO PRISMATAMA
 PT INDOMARCO PRISMATAMA
 PT TRANS RETAIL INDONESIA
 PT INDOSAT Tbk
 PT INDOMARCO PRISMATAMA
 PT INDOMARCO PRISMATAMA
 PT INDOMARCO PRISMATAMA
 PT INDOMARCO PRISMATAMA</t>
  </si>
  <si>
    <t>Ged. Cyber Two/dua Lt. 2 -</t>
  </si>
  <si>
    <t>ICON-00/ACT/1510/0107
 ICON-00/ACT/1505/0006
 ICON-00/ACT/1710/0264
 ICON-00/SOP/1703/0068
 ICON-00/SOP/1705/0060
 ICON-00/DOW/1705/0002
 ICON-00/SOP/1702/0045
 ICON-00/ACT/1611/0950
 ICON-00/ACT/1611/0431
 ICON-00/ACT/1610/0525
 ICON-00/ACT/1607/0060
 ICON-00/ACT/1610/0028
 ICON-00/ACT/1610/0235
 ICON-00/ACT/1609/0683
 ICON-00/ACT/1609/0855
 ICON-00/ACT/1607/0003
 ICON-00/ACT/1605/0395
 ICON-00/ACT/1604/0057
 ICON-00/SOP/1603/0087
 ICON-00/ACT/1604/0098
 ICON-00/ACT/1511/0293
 ICON-00/ACT/1510/0107
 ICON-00/ACT/1701/0369
 ICON-00/ACT/1701/0370
 ICON-00/ACT/1701/0932
 ICON-00/ACT/1609/0192
 ICON-00/ACT/1609/0192
 ICON-00/ACT/1609/0567
 ICON-00/ACT/1609/0566
 ICON-00/ACT/1605/0641
 ICON-00/ACT/1605/0612
 ICON-00/ACT/1511/0315
 ICON-00/ACT/1509/0104
 ICON-00/ACT/1509/0105
 ICON-00/MIG/1501/0021
 ICON-00/ACT/1605/0613
 ICON-00/ACT/1504/0302
 ICON-00/ACT/1502/0384
 ICON-00/ACT/1509/0104</t>
  </si>
  <si>
    <t>4500010017
 100538/MI/008/PUSAT/ICON+/2016 | 07935/SPP/008/PUSAT/ICON+/2018 | 4500011141 | 09791/SPP/008/PUSAT/ICON+/2018 | 4500012276 | 12224/SPP/008/PUSAT/ICON+/2019 | 4500013664 | 14749/SPP/008/PUSAT/ICON+/2020| 4500015428 | 17136/SPP/008/PUSAT/ICON+/2021 | 4500017131 | 21020/SPP/008/PUSAT/ICON+/2023 | 4500019902</t>
  </si>
  <si>
    <t>2589/SPP/SBU/ICON+/2024</t>
  </si>
  <si>
    <t>4500022248</t>
  </si>
  <si>
    <t>B5</t>
  </si>
  <si>
    <t>B282</t>
  </si>
  <si>
    <t>C297</t>
  </si>
  <si>
    <t>E143</t>
  </si>
  <si>
    <t>F17</t>
  </si>
  <si>
    <t>G31</t>
  </si>
  <si>
    <t>H72</t>
  </si>
  <si>
    <t>Biaya Sewa Berlangganan sebesat Rp.108.000.000,-</t>
  </si>
  <si>
    <t>PT INDOSAT Tbk</t>
  </si>
  <si>
    <t>Ged. Cyber Two/dua Lt. 2 (PT Indosat link PT Danone)</t>
  </si>
  <si>
    <t>ICON-00/SBC/1108/1670</t>
  </si>
  <si>
    <t>052308/SPR/008/PUSAT/ICON+/2016 |07072/SPP/008/PUSAT/ICON+/2017 | 4500010563 | 08503/SPP/008/PUSAT/ICON+/2018 | 4500011726</t>
  </si>
  <si>
    <t>10632/SPP/008/PUSAT/ICON+/2019</t>
  </si>
  <si>
    <t>B171</t>
  </si>
  <si>
    <t>C120</t>
  </si>
  <si>
    <t>1. Sewa Berlangganan Data Center di CBN Nusantara (Cyber 2) berupa 1 unit full rack 19 inci-45U Rp9.000.000,-/bulan atau total Rp108.000.000/tahun
  Fasilitas sewa rack terdiri dari 1 (satu) rak penuh 19 inci – 45 U, milik rekanan dengan fasilitas :
 a. 3 (tiga) buah koneksi UTP cat 5e atau 1 (satu) buah koneksi FO dan rak ICON+ menuju MMR;
 b. Toleransi grounding listrik 0,1 -0,5 ohm;
 c. Ruang ber AC dengan temperatur ruang 23° C - 25° C;
 d. Sistem pendingin presisi dan redundan;
 e. Perforated raised floor;
 f. Uninterruptible Power Supply (UPS) redundant;
 g. Sistem monitoring 24 jam;
 h. Sensor panas dan asap yang dilengkapi dengan system pemadam kebakaran pyrogen.
 2.Biaya Instalasi 
 a.Instalasi Kabel FO Rp2.000.000/intalasi (dari handhole Ged. Cyber 2 menuju Rg MMR di Lt.2) (harga Instalasi Backbone FO) update th 2015 Rp.5.500.000,-
 b.Instalasi Rp1.300.000/Core FO/aktivasi (Rg MMR di Lt.2 menuju tenant) (harga aktivasi bacbone core FO) update th 2015 Rp2.500.000,-
 c. Instalasi Rp750.000/link fO/Instalasi (antar tenant) (harga Instalasi MMR-DC) update th 2015 Rp3.500.000,-
 d. Instalasi Rp500.000/kabel UTP/Instalasi (Ruang MMR di Lt.2 menuju rak ICON+ di Rg dt Center CBN) (Harga Instalasi MMR-DC) update th 2015 Rp1.500.000,-
 e. Instalasi Rp1000.000/Link UTP/Instalasi (Instalasi kabel dari ruang MMR di Lt.2 Menuju tenant) (Harga Instalasi MMR-Tenant) update th 2015 Rp1.750.000,-
 f. Instalasi Rp1000.000/Kabel UTP/Instalasi (Instalasi kabel dari ruang MMR di Lt.2 Menuju pelanggan rack) (Harga Instalasi MMR-Tenant) update tahun 2015 Rp2.000.000/kabel/UTP/Instalasi
 g. Instalasi UTP antar 2 pelanggan di Gedung Cyber update tahun 2015 Rp2.000.000/kabel/UTP/Instalasi
 3. Sewa Infrastruktur :
 a. Sewa Kabel FO Rp3.000.000/Link FO/Tahun (dari Rg MMR di Lt. 2 menuju rak ICON+ di Rg Data Center CBN) (Sw Interkoneksi FO MMR-DC) update th 2015 Rp4.000.000,-/tahun
 b. Sewa Kabel UTP Rp1.500.000/Kabel UTP/tahun (dr Rg MMR di Lt.2 menuju rak ICON+ di Gedung Cyber 2) (Sw Interkoneksi UTP MMR-DC) update harga tahun 2014 Rp2.000.000/kabel UTP/tahun
 c. Sewa Rp5.000.000/link fo/tahun (Kabel dari Rg MMR di Lt.2 menuju pelanggan ICON+ di Gedung Cyber 2) (Sw Interkoneksi FO MMR-Tenant) update th 2015 Rp6.000.000,-/tahun
 d. Sewa Rp2.500.000/kabel UTP/Tahun (Kabel UTP dari Rg MMR di Lt.2 menuju Pelanggan ICON+ di gedung Cyber 2) (Sw Interkoneksi UTP MMR-Tenant) update th 2015 Rp4.000.000,-/tahun
 e. Sewa UTP dari MMR to Data Center Room update th 2015 Rp3.000.000,-/Tahun
 f. Sewa UTP antara 2 tenant di ged. Cyber 2 update th 2015 Rp4.500.000,-/Tahun
 g. Sewa FO antara 2 tenant di ged. Cyber 2 update th 2015 Rp7.000.000,-/Tahun</t>
  </si>
  <si>
    <t>Mega Akses Persada</t>
  </si>
  <si>
    <t>Gedung Cyber 2 2nd floor
 Jl. HR Rasuna said Blok X5 No. 13
 Kuningan Timur, Jakarta 12950</t>
  </si>
  <si>
    <t>PA/UPG/1809/0177</t>
  </si>
  <si>
    <t>4500010436 | 08429/SPP/008/PUSAT/ICON+/2018 | 4500011416</t>
  </si>
  <si>
    <t>10310/SPP/008/PUSAT/ICON+/2019</t>
  </si>
  <si>
    <t>B131</t>
  </si>
  <si>
    <t>C47</t>
  </si>
  <si>
    <t>1.Biaya Sewa tahunan Rp.8.000.000</t>
  </si>
  <si>
    <t>PT. Kaldu Sari Nabati</t>
  </si>
  <si>
    <t>Gedung Cyber 2 CBN</t>
  </si>
  <si>
    <t>1000010978
 1000010971
 1000010991
 1000010989</t>
  </si>
  <si>
    <t>08412/SPP/008/PUSAT/ICON+/2018 | 4500011354 | 10206/SPP/008/PUSAT/ICON+/2019 | 4500012451 | 15419/SPP/008/PUSAT/ICON+/2021 | 4500015888| 4500020008</t>
  </si>
  <si>
    <t>18350/SPP/008/PUSAT/ICON+/2022</t>
  </si>
  <si>
    <t>B55</t>
  </si>
  <si>
    <t>C29</t>
  </si>
  <si>
    <t>E154</t>
  </si>
  <si>
    <t>G180</t>
  </si>
  <si>
    <t>1.Biaya Sewa Tahunan(2 link) sebesar 8.000.000/tahun 2.Biaya Instalasi Kabel Gedung sebesar 3.000.000</t>
  </si>
  <si>
    <t>PA/ACT/1910/4033/TER</t>
  </si>
  <si>
    <t>11918/SPP/008/PUSAT/ICON+/2019 | 4500013477 | 14699 | 4500015358</t>
  </si>
  <si>
    <t>C232</t>
  </si>
  <si>
    <t>D394</t>
  </si>
  <si>
    <t>1.Biaya Sewa Tahunan(2 link) sebesar 8.000.000/tahun 2.Biaya Instalasi Kabel Gedung sebesar 9.000.000</t>
  </si>
  <si>
    <t>PT. ADARO LOGISTICS</t>
  </si>
  <si>
    <t>Gedung Cyber 2 Lantai.23 Jl. Hr Rasuna Said Blok X-5 Kav.1-2 Kuningan Timur, Kec. Setiabudi, Jakarta Selatan, DKI Jakarta, Indonesia, 70244</t>
  </si>
  <si>
    <t>4500017588 | 17855</t>
  </si>
  <si>
    <t>F89</t>
  </si>
  <si>
    <t>Installation Cost Rp.4.000.000 | Material Support Cost 4.000.000</t>
  </si>
  <si>
    <t>PT Kaldu Sari Nabati Indonesia</t>
  </si>
  <si>
    <t>Gedung Cyber 2, Lt. 2 Jl. H. R. Rasuna Said No.13, Kuningan, Jakarta, Kuningan, Jakarta Selatan,</t>
  </si>
  <si>
    <t>11957/SPP/008/PUSAT/ICON+/2019 | 4500013513 | 14459 | 4500015335</t>
  </si>
  <si>
    <t>C236</t>
  </si>
  <si>
    <t>D392</t>
  </si>
  <si>
    <t>Gedung Cyber 2, Lt. 2 Jl. H. R. Rasuna Said No.13, Kuningan, Jakarta, Kuningan, Jakarta Selatan, DKI Jakarta</t>
  </si>
  <si>
    <t>PA/ACT/1901/2833</t>
  </si>
  <si>
    <t>11548/SPP/008/PUSAT/ICON+/2019| 4500013227 | 4500015119 | 14315/SPP/008/PUSAT/ICON+/2020| 16287/SPP/008/PUSAT/ICON+/2021| 4500016957</t>
  </si>
  <si>
    <t>19750/SPP/008/PUSAT/ICON+/2022</t>
  </si>
  <si>
    <t>C181</t>
  </si>
  <si>
    <t>D356</t>
  </si>
  <si>
    <t>E345</t>
  </si>
  <si>
    <t>F337</t>
  </si>
  <si>
    <t>Activation Fee sebesar 2.000.000 3.Material Support Fee sebesar 1.000.000</t>
  </si>
  <si>
    <t>PT. NET ONE ASIA</t>
  </si>
  <si>
    <t>Gedung Cyber lantai 2 Jalan Kuningan Barat Raya Nomor 8, RT/RW 001/003, Kuningan Barat, Kecamata  Mampang Prapatan</t>
  </si>
  <si>
    <t>19156 | 4500018379</t>
  </si>
  <si>
    <t>F193</t>
  </si>
  <si>
    <t>1.Instalasi Cost CAT6 - UTP CAT 6 FROM MMR TO RACK - cm_icon-netone Rp.4.000.000 | 2.Material Support Cost CAT6 - UTP CAT 6 FROM MMR TO RACK - cm_icon-netone Rp.4.000.000</t>
  </si>
  <si>
    <t>3367/SPP/SBU/PLNICONPLUS/2024</t>
  </si>
  <si>
    <t>G101</t>
  </si>
  <si>
    <t>H220</t>
  </si>
  <si>
    <t>PT Home Credit Indonesia</t>
  </si>
  <si>
    <t>Jl HR. Rasuna Said Blok X-5 No.13, Setiabudi, RT.7/RW.2, Kota Jakarta Selatan, DKI Jakarta, Kec.Setiabudi, Jakarta Selatan, DKI Jakarta, 12920</t>
  </si>
  <si>
    <t>PA/ACT/1902/0299</t>
  </si>
  <si>
    <t>cm_icon-hcid05 | baru</t>
  </si>
  <si>
    <t>10272/SPP/008/PUSAT/ICON+/2019</t>
  </si>
  <si>
    <t>C38</t>
  </si>
  <si>
    <t>PT. CYBERINDO ADITAMA</t>
  </si>
  <si>
    <t>Nex Data Center, Cyber 2 Tower 2nd Floor Jl. HR Rasuna Said Blok X-5 No. 13 Jakarta 12950</t>
  </si>
  <si>
    <t>4500015766 | 15221</t>
  </si>
  <si>
    <t>E4</t>
  </si>
  <si>
    <t>Nex Data Center, Cyber 2 Tower, 2nd Floor-Jl HR Rasuna Said Blok X-5 No. 13 Jakarta 12950</t>
  </si>
  <si>
    <t>08896/SPP/008/PUSAT/ICON+/2018 | 4500011702 | 10910/SPP/008/PUSAT/ICON+/2019 | 4500012894 | 4500014714 | 13930</t>
  </si>
  <si>
    <t>B20</t>
  </si>
  <si>
    <t>C117</t>
  </si>
  <si>
    <t>D208</t>
  </si>
  <si>
    <t>Biaya Aktivasi sebesar 2.000.000 3.Material Support Fee sebesar 1.000.000</t>
  </si>
  <si>
    <t>PT HOME CREDIT INDONESIA</t>
  </si>
  <si>
    <t>Next Data Center Gedung Cyber 2 Tower,2nd Floor Jl. HR. Rasuna said Kav X-5 No.13 Jakarta 12950</t>
  </si>
  <si>
    <t>ICON-00/ACT/1605/0641</t>
  </si>
  <si>
    <t>06890/SPP/008/PUSAT/ICON+/2017 |4500010591 |08693/SPP/008/PUSAT/ICON+/2018 | 4500011553</t>
  </si>
  <si>
    <t>10658/SPP/008/PUSAT/ICON+/2019</t>
  </si>
  <si>
    <t>B107</t>
  </si>
  <si>
    <t>C83</t>
  </si>
  <si>
    <t>Plaza Mandiri, Jl. Gatot Subroto No.Kav 36-38, RT.7/RW.3, Senayan,Kby Baru ,Jakarta Selatan ,DKI Jakarta</t>
  </si>
  <si>
    <t>PA/ACT/1910/4083</t>
  </si>
  <si>
    <t>11917/SPP/008/PUSAT/ICON+/2019 | 4500013479 | 14558/SPP/008/PUSAT/ICON+/2020 | 4500015276</t>
  </si>
  <si>
    <t>20687/SPP/008/PUSAT/ICON+/2022</t>
  </si>
  <si>
    <t>C234</t>
  </si>
  <si>
    <t>D185</t>
  </si>
  <si>
    <t>G353</t>
  </si>
  <si>
    <t>PT Sampoerna Telekomunikasi</t>
  </si>
  <si>
    <t>PT CBN Nusantara, Gedung Cyber 2 Lt 2, Jl HR Rasuna Said Blok C3 No 22-23 dan X5 No 13 Kuningan , rak ND4 (STI)</t>
  </si>
  <si>
    <t>ICON-00/ACT/1705/0727 
 ICON-00/ACT/1710/0156
 ICON-00/ACT/1710/0156</t>
  </si>
  <si>
    <t>07259/SPP/008/PUSAT/ICON+/2017 |4500010773 | 08933/SPP/008/PUSAT/ICON+/2018 | 4500011700 | 11466/SPP/008/PUSAT/ICON+/2019 | 45000132421 | 13980/SPP/008/PUSAT/ICON+/2020 | 4500014891</t>
  </si>
  <si>
    <t>16286/SPP/008/PUSAT/ICON+/2021</t>
  </si>
  <si>
    <t>B173</t>
  </si>
  <si>
    <t>C183</t>
  </si>
  <si>
    <t>E187</t>
  </si>
  <si>
    <t>PT. BANK PERKREDITAN RAKYAT KARYAJATNIKA SADAYA</t>
  </si>
  <si>
    <t>PT CBN Nusantara, Gedung Cyber 2 Lt 2, Jl HR Rasuna Said Blok X5 No 13 Kuningan</t>
  </si>
  <si>
    <t>ICON-00/ACT/1707/0184 ICON-00/ACT/1706/0551 ICON-00/ACT/1707/0086</t>
  </si>
  <si>
    <t>07366/SPP/008/PUSAT/ICON+/2017 | 4500010774 | 09018/SPP/008/PUSAT/ICON+/2018 | 4500011749 | 11416/SPP/008/PUSAT/ICON+/2019| 4500013147</t>
  </si>
  <si>
    <t>B187</t>
  </si>
  <si>
    <t>C166</t>
  </si>
  <si>
    <t>D184</t>
  </si>
  <si>
    <t>1.Rack 1U di Ner utk ODF lt Basement Gd Cyber : •OTB 1 U di NER CDCI basement Rp 2.000.000/bulan •Installasi Rp 1.500.000/OTC 2.Biaya Splcing core : Biaya splicing adalah biaya terminasi yaitu sebesar Rp100.000/core/OTC - 6 x 100.000 : 600.000 (OTC) 3.Biaya Interkoneksi dari Ner ke MMR •Fiber Optik (2 core) Rp 1.500.000/tahun 4.Colocation di Data center CDC 1U •Collocation 1 U switch manageable Rp 2.500.000/bulan •Installasi Rp 1.500.000/OTC Total OTC : 3.600.000 Per Bulan : 4.500.000 x 12 Bulan : 54.000.000 Per Tahun : 1.500.000</t>
  </si>
  <si>
    <t>PT CYBERINDO ADITAMA QQ PT ABIMANYU BANGKIT MANDIRI</t>
  </si>
  <si>
    <t xml:space="preserve">PT. Abimanyu Bangkit Mandiri, Area Sawah/Kebun, Ketapangkuning,  Kec. Ngusikan,  Kabupaten Jombang,  Jawa Timur,  Indonesia,  </t>
  </si>
  <si>
    <t xml:space="preserve"> PA/ACT/2301/0744</t>
  </si>
  <si>
    <t>Baru</t>
  </si>
  <si>
    <t>21081/SPP/008/PUSAT/ICON+/2023</t>
  </si>
  <si>
    <t>G23</t>
  </si>
  <si>
    <t>PT. Jatelindo Perkasa Abadi, data center indonet, Jl. Rempoa Raya No. 11, Ciputat, Kota Tangerang Selatan, Banten, Indonesia, 15412</t>
  </si>
  <si>
    <t>10926/SPP/008/PUSAT/ICON+/2019 | 4500012889</t>
  </si>
  <si>
    <t>13394/SPP/008/PUSAT/ICON+/2020</t>
  </si>
  <si>
    <t>859 9322 1320 (Erni)</t>
  </si>
  <si>
    <t>C109</t>
  </si>
  <si>
    <t>D168</t>
  </si>
  <si>
    <t>BCA qq Multi Adiprakarsa Manunggal</t>
  </si>
  <si>
    <t>PT. Multi Adiprakasa Manunggal, Cyber 2 Tower, Floor 2, Jl. HR. Rasuna Said X-5/13, Kuningan, Setiabudi,</t>
  </si>
  <si>
    <t>11092/SPP/008/PUSAT/ICON+/2019 | 4500014567 | 13721 | 4500014715</t>
  </si>
  <si>
    <t>D342</t>
  </si>
  <si>
    <t>D201</t>
  </si>
  <si>
    <t>Sewa Shaft Kabel sebesar Rp.6.000.000</t>
  </si>
  <si>
    <t>PT Cyberindo Aditama QQ Univ Pelita Harapan</t>
  </si>
  <si>
    <t>Universitas Pelita Bangsa Jl. Inspeksi Kalimalang No.9, Cibatu,  Kec. Cikarang Sel.,,  Kabupaten Bekasi,  Jawa Barat,  Indonesia,  17530</t>
  </si>
  <si>
    <t>F425</t>
  </si>
  <si>
    <t>1.Material Support Cost Rp.2.000.000 | 2.Installation Cost  Rp.2.000.000 | 3.Annual Cost Rp.8.000.000</t>
  </si>
  <si>
    <t>PT. BANGUN ANDALAN PERKASA</t>
  </si>
  <si>
    <t>Telkomsel TBS, Jalan TB Simatupang, RT.3/RW.2, Tanjung Barat, Jagakarsa, RT.3/RW.2, Tj. Barat, Jagakarsa, Jakarta Selatan</t>
  </si>
  <si>
    <t>Cyber 2 Tower, Jl. H. R. Rasuna Said No.13, RT.7/RW.2, Kuningan, Kuningan Timur, Setiabudi, Jakarta Selatan</t>
  </si>
  <si>
    <t>12666/SPP/008/PUSAT/ICON+/2020 | 4500013948 | 15120/SPP/008/PUSAT/ICON+/2021 | 4500015716</t>
  </si>
  <si>
    <t>17657/SPP/008/PUSAT/ICON+/2022</t>
  </si>
  <si>
    <t>D27</t>
  </si>
  <si>
    <t>E178</t>
  </si>
  <si>
    <t>G50</t>
  </si>
  <si>
    <t>H12</t>
  </si>
  <si>
    <t>1.Biaya Material Support Crossconnect DC Nex Rp.2.000.000,- 2.Biaya Instalasi Crossconnect DC Nex Rp.2.000.000,- 3.Biaya Sewa Crossconnect DC Nex Rp.8.000.000,-</t>
  </si>
  <si>
    <t>JL.Rasuna Said Blok X5 13 Jakarta</t>
  </si>
  <si>
    <t>635/SPP/SBU/ICON+/2023</t>
  </si>
  <si>
    <t>G122</t>
  </si>
  <si>
    <t>4294/SPP/SBU/PLNICONPLUS/2024</t>
  </si>
  <si>
    <t>H344</t>
  </si>
  <si>
    <t>PT Amanda Komunika ciherang Rt6 Rw2,kecamata banjarsari Kabupaten Ciamis Jawa Barat Bandung</t>
  </si>
  <si>
    <t>A822305230005</t>
  </si>
  <si>
    <t xml:space="preserve">564/SPP/SBU/ICON+/2023	</t>
  </si>
  <si>
    <t>G121</t>
  </si>
  <si>
    <t xml:space="preserve">Circlecom Nusantara Indonesia </t>
  </si>
  <si>
    <t>Indonesia Stock Exchange Building, Penthouse Tower I, 31 st Floor Jl. Jend. Sudirman Kav. 52-53 Jakarta 12910</t>
  </si>
  <si>
    <t>Indonesia stock exchange building , penthouse tower II,28th Floor Suite 2804 Jl.Jend Sudirman Kav.52-53 Jakarta 12190</t>
  </si>
  <si>
    <t>PA/ACT/1801/0234/TER</t>
  </si>
  <si>
    <t>08493/SPP/008/PUSAT/ICON+/2018 | 4500011420 | 10469/SPP/008/PUSAT/ICON+/2019 | 4500012617 | 12988/SPP/008/PUSAT/ICON+/2020 | 4500014234</t>
  </si>
  <si>
    <t>15472/SPP/008/PUSAT/ICON+/2021</t>
  </si>
  <si>
    <t>Chaula Balqis/Niken/M. Yacub</t>
  </si>
  <si>
    <t>(021) 5155555</t>
  </si>
  <si>
    <t>B47</t>
  </si>
  <si>
    <t>C66</t>
  </si>
  <si>
    <t>D129</t>
  </si>
  <si>
    <t>E85</t>
  </si>
  <si>
    <t>1.Biaya sekali bayar 5.000.000</t>
  </si>
  <si>
    <t>Komplek Ruko Sunter Permai Indah Blok B.7 Jakarta Utara</t>
  </si>
  <si>
    <t>Mall of Indonesia (MOI) Jl. Raya Boulevard Barat Raya No. 1 kelapa Gading (Carrefour -PT Trans Retail Indonesia) (exclusive pengelola infrastruktur telekomunikasi Namun pemilik Lahan adalah PT Makmur Jaya Serasi)</t>
  </si>
  <si>
    <t>5091116/SPR/ICON+/2016 |121930/MI/008/PUSAT/ICON+/2016 |08283/SPP/008/PUSAT/ICON+/2018 | 4500011292 | 08914/SPP/008/PUSAT/ICON+/2018 | 4500011682 | 11258/SPP/008/PUSAT/ICON+/2019 | 4500013042</t>
  </si>
  <si>
    <t>13979/SPP/008/PUSAT/ICON+/2020</t>
  </si>
  <si>
    <t>Lusi</t>
  </si>
  <si>
    <t>021-65832518</t>
  </si>
  <si>
    <t>B50</t>
  </si>
  <si>
    <t>B155</t>
  </si>
  <si>
    <t>C153</t>
  </si>
  <si>
    <t>D186</t>
  </si>
  <si>
    <t>1. Update sewa shaft tahun 2015 di RukanKelapa Gading Square Rp14.400.000,-/Tahun (karena FO dan jaraknya jauh), jika (STP dan jaraknya dekat) Biaya Sewa Rp7.200.000/tahun 
 2. Biaya Instalasi di unit apartemen max 100m Rp500.000 (incl. kabel RJ 45 dan bhn perbaikan bangunan) update thn 2014 Rp550.000
 3. Biaya Instalasi di Mall of Indonesia max 100m Rp750.000 (incl. kabel RJ 45 dan bhn perbaikan bangunan) update thn 2014 Rp825.000
 4. Biaya Instalasi di Ruko dan kompleks The Villas max 100m Rp1000.000 (incl. kabel RJ 45 dan bhn perbaikan bangunan) update thn 2014 Rp1.100.000
 5. Biaya Supervisi bervariasi untuk 2 hari Rp1000.000,-/One Time Charged s/d Rp2.750.000/One Time Charged 
 6. Biaya Set Up Aktivasi Rp2.750.000 s/d Rp3.500.000 (One Time Charged)
 7. Biaya Admin Rp300.000</t>
  </si>
  <si>
    <t>Rukan Kelapa Gading Square (MOI) - BCA, Mall of Indonesia</t>
  </si>
  <si>
    <t>09141/SPP/008/PUSAT/ICON+/2018 | 4500011814 | 11833/SPP/008/PUSAT/ICON+/2019 | 4500013417 | 14310/SPP/008/PUSAT/ICON+/2020 | 4500015176| 4500016880</t>
  </si>
  <si>
    <t>20174/SPP/008/PUSAT/ICON+/2022</t>
  </si>
  <si>
    <t>B52</t>
  </si>
  <si>
    <t>B200</t>
  </si>
  <si>
    <t>C226</t>
  </si>
  <si>
    <t>D286</t>
  </si>
  <si>
    <t>E312</t>
  </si>
  <si>
    <t>F406</t>
  </si>
  <si>
    <t>Ruko Mall of Indonesia (MOI) Blok I No.15 Jl. Boulevard Barat Raya, kel. Kelapa Gading Barat (Bank Woori Saudara)</t>
  </si>
  <si>
    <t>4500009269 | 06776/SPP/008/PUSAT/ICON+/2017 | 4500010381 | 09141/SPP/008/PUSAT/ICON+/2018 | 4500011279 | 10337/SPP/008/PUSAT/ICON+/2019 | 4500012499 | 12668/SPP/008/PUSAT/ICON+/2020 | 4500013963</t>
  </si>
  <si>
    <t>16055/SPP/008/PUSAT/ICON+/2021</t>
  </si>
  <si>
    <t>B51</t>
  </si>
  <si>
    <t>C49</t>
  </si>
  <si>
    <t>D39</t>
  </si>
  <si>
    <t>E149</t>
  </si>
  <si>
    <t>1. Update sewa shaft Rp12.000.000/tahun
 2. Instalasi Rp2.500.000,-</t>
  </si>
  <si>
    <t xml:space="preserve">Cricis Center Menara Permai </t>
  </si>
  <si>
    <t>PT. LINK NET qq PT Pama Persada Nusantara</t>
  </si>
  <si>
    <t>Jl.Raya Naronggong KM 23,8 Bogor</t>
  </si>
  <si>
    <t>4500016364</t>
  </si>
  <si>
    <t>E102</t>
  </si>
  <si>
    <t>PT GH EMM INDONESIA</t>
  </si>
  <si>
    <t>APL Tower 39 Floor T1 Jl. Letjen Suparman</t>
  </si>
  <si>
    <t>Dusun 2 Gunung Raja Kelurahan Rambang Dangku Muara Enim, Sumatera Selatan</t>
  </si>
  <si>
    <t>3947/SPP/SBU/PLNICONPLUS/2024</t>
  </si>
  <si>
    <t>4500023158</t>
  </si>
  <si>
    <t>H323</t>
  </si>
  <si>
    <t>Data Sinergitama Jaya /Elitery</t>
  </si>
  <si>
    <t>PT Mega Akses Persada</t>
  </si>
  <si>
    <t>Fatmawati Festival Blok D/11 Jl. RS. Fatmawati Ruko Fatmawati Blok A1 Kav.112</t>
  </si>
  <si>
    <t>BNI Securitas - DC Elitery Jl. Cilandak 1 No. 14 Cilandak Barat Rt. 01/09 Cilandak Barat, Cilandak, Jakarta Selatan, 12430</t>
  </si>
  <si>
    <t>PA/ACT/1905/0130</t>
  </si>
  <si>
    <t>10925/SPP/008/PUSAT/ICON+/2019</t>
  </si>
  <si>
    <t>Nuriza</t>
  </si>
  <si>
    <t>021-7511005</t>
  </si>
  <si>
    <t>C110</t>
  </si>
  <si>
    <t>PT. MAYBANK KIM ENG SEKURITAS</t>
  </si>
  <si>
    <t>Fatmawati Festival Blok D/11 Jl. RS. Fatmawati Ruko Fatmawati Blok A1 Kav.113</t>
  </si>
  <si>
    <t>Elitery Recovery Data Center, Jalan Padjajaran No.17 Sanggar Ksatria 5 Lantai 5, Bogor, Jawa Barat</t>
  </si>
  <si>
    <t>PA/ACT/1905/2962/TER</t>
  </si>
  <si>
    <t>11068/SPP/008/PUSAT/ICON+/2019</t>
  </si>
  <si>
    <t>021-7511006</t>
  </si>
  <si>
    <t>C126</t>
  </si>
  <si>
    <t xml:space="preserve">Perubahan Sekema Kerjasama (Revenue Sharing 15%) Proses Konfirmasi </t>
  </si>
  <si>
    <t>PT. DATA SINERGITAMA JAYA</t>
  </si>
  <si>
    <t>Fatmawati Festival Blok D/11 Jl. RS. Fatmawati Ruko Fatmawati Blok A1 Kav.114</t>
  </si>
  <si>
    <t>H2H Bank Mandiri GD. Plaza Mandiri Jl. Jend. Gatot Subroto Kav.36-38., Jakarta, Jakarta Selatan, DKI Jakarta, Indonesia, 12190</t>
  </si>
  <si>
    <t>PA/ACT/1909/1155</t>
  </si>
  <si>
    <t>11714/SPP/008/PUSAT/ICON+/2019</t>
  </si>
  <si>
    <t>C201</t>
  </si>
  <si>
    <t>PT. BANK CENTRAL ASIA, TBK</t>
  </si>
  <si>
    <t>H2H BCA Elitery Data Center; Jl. Raya Pajajaran No.61, RT.06/RW.13, Baranangsiang, Bogor, Jawa Barat</t>
  </si>
  <si>
    <t>D278</t>
  </si>
  <si>
    <t>Biaya Instalasi Crossconnect MMR to Softorb Rack Elitery Data Center Rp.1.500.000</t>
  </si>
  <si>
    <t>PT TRIMEGAH SECURITIES</t>
  </si>
  <si>
    <t>Fatmawati Festival Blok D/11 Jl. RS. Fatmawati Ruko Fatmawati Blok A1 Kav.111</t>
  </si>
  <si>
    <t>Rak No 22A Ruang Server Lantai 5
 Data Center Elitery 
 Jl Raya Pajajaran No 17, Bogor</t>
  </si>
  <si>
    <t>AL/1810/10837 / ICON-00/SBC/1504/0179</t>
  </si>
  <si>
    <t>07516/SPP/008/PUSAT/ICON+/2017 |4500010883|08398/SPP/008/PUSAT/ICON+/2018|4500012221</t>
  </si>
  <si>
    <t>09876/SPP/008/PUSAT/ICON+/2018</t>
  </si>
  <si>
    <t>021-7511004</t>
  </si>
  <si>
    <t>B266</t>
  </si>
  <si>
    <t>B290</t>
  </si>
  <si>
    <t>BANK BJB</t>
  </si>
  <si>
    <t>Equity Tower 17th floor suiteF SCBD lot
Jl Jend Sudirman Kav 52-53 Jakarta 12196</t>
  </si>
  <si>
    <t>Backhaul WAN DCI Indonesia, Kawasan Industri MM2100, Jl. Jawa Blok GGS No. 1, Gd. JK 3 Lt. 4, Cikarang Barat, Kabupaten Bekasi, Jawa Barat, Indonesia</t>
  </si>
  <si>
    <t>PA/ACT/2110/4570</t>
  </si>
  <si>
    <t>17248 | 4500017299</t>
  </si>
  <si>
    <t>Fenny Intani Dewi</t>
  </si>
  <si>
    <t>021-29037500</t>
  </si>
  <si>
    <t>E371</t>
  </si>
  <si>
    <t>H26</t>
  </si>
  <si>
    <t>Biaya OTC Rp.1.500.000</t>
  </si>
  <si>
    <t>BNC Alicloud JL Irian, GG 5-1, Kawasan Industri MM 2100, Cikarang Barat, Bekasi, Jawa Barat, Indonesia, 17530</t>
  </si>
  <si>
    <t>E52</t>
  </si>
  <si>
    <t>Equity Tower 17th floor suiteF SCBD lot
Jl Jend Sudirman Kav 52-53 Jakarta 12190</t>
  </si>
  <si>
    <t>PT DCI Indonesia. Rack Jatelindo. MM2100 Industrial Town. Jl. Irian 1 Blok GG5-1 Cikarang Barat, 17520</t>
  </si>
  <si>
    <t>Data Center Infrastructure Indonesia
 Rack Jatelindo menuju perangkat ICON+
 Jalan Irian 1 Blok GG5-1
 Kawasan MM2100 Industrial Town
 Cikarang Barat 17520</t>
  </si>
  <si>
    <t>ICON-00/ACT/1407/0271</t>
  </si>
  <si>
    <t>1811016/SPR/ICON+/2016 | 07683/SPP/008/PUSAT/ICON+/2017 | 4500010982 | 09435/SPP/008/PUSAT/ICON+/2018 | 4500012003 | 11965/SPP/008/PUSAT/ICON+/2019 | 4500013536 | 14462/SPP/008/PUSAT/ICON+/2020 | 4500015221 | 19673 | 4500019163</t>
  </si>
  <si>
    <t>4500021614</t>
  </si>
  <si>
    <t>B154</t>
  </si>
  <si>
    <t>C252</t>
  </si>
  <si>
    <t>D287</t>
  </si>
  <si>
    <t>F375</t>
  </si>
  <si>
    <t>H28</t>
  </si>
  <si>
    <t>PT SPRINT ASIA TECHNOLOGY</t>
  </si>
  <si>
    <t>Data Center Infrastructure Indonesia
 Rack Sprint Asia menuju perangkat ICON+
 Jalan Irian 1 Blok GG5-1
 Kawasan MM2100 Industrial Town
 Cikarang Barat 17520</t>
  </si>
  <si>
    <t>ICON-00/ACT/1610/0559
 ICON-00/ACT/1610/0558</t>
  </si>
  <si>
    <t>4500009904 07676/SPP/008/PUSAT/ICON+/2017 4500010981 | 09441/SPP/008/PUSAT/ICON+/2018 | 4500012017 | 11810/SPP/008/PUSAT/ICON+/2019 | 4500013405 | 14607/SPP/008/PUSAT/ICON+/2020 | 4500015229</t>
  </si>
  <si>
    <t>16793/SPP/008/PUSAT/ICON+/2021</t>
  </si>
  <si>
    <t>Feeny Intani Dewi</t>
  </si>
  <si>
    <t>B198</t>
  </si>
  <si>
    <t>C224</t>
  </si>
  <si>
    <t>D281</t>
  </si>
  <si>
    <t>E344</t>
  </si>
  <si>
    <t>Data Center Infrastructure Indonesia - (Pelanggan PT Aplikanusa Lintasarta SO No. ICON-00/ACT/1606/0069)
 Jalan Irian 1 Blok GG5-1
 Kawasan MM2100 Industrial Town
 Cikarang Barat 17520</t>
  </si>
  <si>
    <t>ICON-00/ACT/1606/0069</t>
  </si>
  <si>
    <t>4500009601 |043/DCI/SO/VI/2016 | 06897/SPP/008/PUSAT/ICON+/2017 |4500010542 | 08778/SPP/008/PUSAT/ICON+/2018 | 4500011628| 10685/SPP/008/PUSAT/ICON+/2019 | 4500012766 | 4500014433 | 13456/SPP/008/PUSAT/ICON+/2020| 16065/SPP/008/PUSAT/ICON+/2021| 4500016261 | 18904/SPP/008/PUSAT/ICON+/2022 | 4500018219</t>
  </si>
  <si>
    <t>21734/SPP/008/PUSAT/ICON+/2023</t>
  </si>
  <si>
    <t>B121</t>
  </si>
  <si>
    <t>C92</t>
  </si>
  <si>
    <t>D130</t>
  </si>
  <si>
    <t>E140</t>
  </si>
  <si>
    <t>F203</t>
  </si>
  <si>
    <t>G135</t>
  </si>
  <si>
    <t>POP Lintasarta, Gedung Lintasarta Jl. TB. Simatupang Kav.10, Jakarta, Indonesia</t>
  </si>
  <si>
    <t>Artajasa Pembayaran Elektronis, DCI Kawasan MM2100 Jl. Halmahera Blok F1 NO. 1 Danau Indah, Cikarang Barat, Kabupaten Bekasi, Jawa Barat, Indonesia, 17530</t>
  </si>
  <si>
    <t>3138/SPP/SBU/PLNICONPLUS/2024</t>
  </si>
  <si>
    <t>H160</t>
  </si>
  <si>
    <t>Data Center Infrastructure Indonesia - (Pelanggan PT Magna Karsa Mulya SO No. ICON-00/ACT/1609/0670)
 Jalan Irian 1 Blok GG5-1
 Kawasan MM2100 Industrial Town
 Cikarang Barat 17520</t>
  </si>
  <si>
    <t>ICON-00/ACT/1609/0670
 ICON-00/ACT/1609/0671</t>
  </si>
  <si>
    <t>3321016/SPR/ICON+/2016
 104/DCI/SO/X/2016 07588/SPP/008/PUSAT/ICON+/2017 4500010948 | 09118/SPP/008/PUSAT/ICON+/2018 | 4500011803 | 11832/SPP/008/PUSAT/ICON+/2019 | 4500013404 | 14311/SPP/008/PUSAT/ICON+/2020 | 4500015118 | 16796/SPP/008/PUSAT/ICON+/2021| 4500016899 | 19624/SPP/008/PUSAT/ICON+/2022 | 4500018866</t>
  </si>
  <si>
    <t>1978/SPP/SBU/ICON+/2023</t>
  </si>
  <si>
    <t>B180</t>
  </si>
  <si>
    <t>C225</t>
  </si>
  <si>
    <t>D328</t>
  </si>
  <si>
    <t>E318</t>
  </si>
  <si>
    <t>F319</t>
  </si>
  <si>
    <t>G327</t>
  </si>
  <si>
    <t>Data Center Infrastructure Indonesia - (Pelanggan PT Primacom Link Bank Sahabat)
 Jalan Irian 1 Blok GG5-1
 Kawasan MM2100 Industrial Town
 Cikarang Barat 17520</t>
  </si>
  <si>
    <t>ICON-00/ACT/1504/0011</t>
  </si>
  <si>
    <t>071803/SPR/008/PUSAT/ICON+/2016 | 080913/MI/008/PUSAT/ICON+/2016 |07073/SPP/008/PUSAT/ICON+/2017 |4500010581 | 08505/SPP/008/PUSAT/ICON+/2018 | 4500011425 | || 10547/SPP/008/PUSAT/ICON+/2019 | 4500012586 | 13441/SPP/008/PUSAT/ICON+/2020 | 4500014432</t>
  </si>
  <si>
    <t>15564/SPP/008/PUSAT/ICON+/2021</t>
  </si>
  <si>
    <t>B101</t>
  </si>
  <si>
    <t>C118</t>
  </si>
  <si>
    <t>D132</t>
  </si>
  <si>
    <t>E76</t>
  </si>
  <si>
    <t>PT NTT INDONESIA</t>
  </si>
  <si>
    <t>Data Center Infrastructure Indonesia - Bank Mizuho (Pelanggan PT Mora Telematika Indonesia SO No. ICON-00/ACT/1605/0529)
 Jalan Irian 1 Blok GG5-1
 Kawasan MM2100 Industrial Town
 Cikarang Barat 17520</t>
  </si>
  <si>
    <t>05661/SPP/008/PUSAT/ICON+/2016 | 4500009541 |042/DCI/SO/VI/2016 |06889/SPP/008/PUSAT/ICON+/2017 | 4500010486 | 08652/SPP/008/PUSAT/ICON+/2018 | 4500011539 | 10660/SPP/008/PUSAT/ICON+/2019 | 4500012768 | 13455/SPP/008/PUSAT/ICON+/2020 | 4500014435| 15927/SPP/008/PUSAT/ICON+/2021| 4500016260 | 18902/SPP/008/PUSAT/ICON+/2022 | 4500018255</t>
  </si>
  <si>
    <t>21737/SPP/008/PUSAT/ICON+/2023</t>
  </si>
  <si>
    <t>B78</t>
  </si>
  <si>
    <t>C97</t>
  </si>
  <si>
    <t>D128</t>
  </si>
  <si>
    <t>E127</t>
  </si>
  <si>
    <t>F212</t>
  </si>
  <si>
    <t>G134</t>
  </si>
  <si>
    <t>3829/SPP/SBU/PLNICONPLUS/2024</t>
  </si>
  <si>
    <t>H208</t>
  </si>
  <si>
    <t>Data Center Infrastructure Indonesia - Bank Mizuho (Second Cable)(Pelanggan PT NTT Indonesia SO No. ICON-00/ACT/1605/0719)
 Jalan Irian 1 Blok GG5-1
 Kawasan MM2100 Industrial Town
 Cikarang Barat 17520</t>
  </si>
  <si>
    <t>4500009599 |044/DCI/SO/VI/2016 |06889/SPP/008/PUSAT/ICON+/2017 |4500010486 |08666/SPP/008/PUSAT/ICON+/2018 | 4500011542 | 10699/SPP/008/PUSAT/ICON+/2019 | 4500012767 | 13452/SPP/008/PUSAT/ICON+/2020 | 4500014434| 18902/SPP/008/PUSAT/ICON+/2022| 4500016259 | 18903/SPP/008/PUSAT/ICON+/2022 | 4500018254</t>
  </si>
  <si>
    <t xml:space="preserve">3139/SPP/SBU/PUSATICONPLUS/2024        </t>
  </si>
  <si>
    <t>B106</t>
  </si>
  <si>
    <t>C95</t>
  </si>
  <si>
    <t>D131</t>
  </si>
  <si>
    <t>E139</t>
  </si>
  <si>
    <t>F213</t>
  </si>
  <si>
    <t>G136</t>
  </si>
  <si>
    <t>DBS (Development Bank Singapore ) MM 2100 Industri town jalan Irian 1 Blok GG5-1 Kawasan Cibitung.DCI Indonesia</t>
  </si>
  <si>
    <t>ICON-00/ACT/1310/0140</t>
  </si>
  <si>
    <t>07201/SPP/008/PUSAT/ICON+/2017 |4500010758 | 08703/SPP/008/PUSAT/ICON+/2018 | 4500011554</t>
  </si>
  <si>
    <t>11288/SPP/008/PUSAT/ICON+/2019</t>
  </si>
  <si>
    <t>B108</t>
  </si>
  <si>
    <t>C151</t>
  </si>
  <si>
    <t>Tokopedia</t>
  </si>
  <si>
    <t>DC Telkomsigma BSD - PT Sarana Yukti Bandhana, Jl.Pahlawan Seribu No.1, Lengkong Wetan,</t>
  </si>
  <si>
    <t>18398/SPP/008/PUSAT/ICON+/2022 | 4500017862</t>
  </si>
  <si>
    <t>021-29037501</t>
  </si>
  <si>
    <t>F105</t>
  </si>
  <si>
    <t>G224</t>
  </si>
  <si>
    <t>LEMBAGA KEBIJAKAN PENGADAAN BARANG/JASA PEMERINTAH</t>
  </si>
  <si>
    <t>DCI - Jl. Halmahera Blok F1 No.1, Danau Indah, Cikarang Barat, Kab. Bekasi</t>
  </si>
  <si>
    <t>PA/ACT/1905/2771/TER
 PA/ACT/1905/2773/TER
 PA/ACT/1905/2774/TER</t>
  </si>
  <si>
    <t>10952/SPP/008/PUSAT/ICON+/2019</t>
  </si>
  <si>
    <t>4500012890</t>
  </si>
  <si>
    <t>C114</t>
  </si>
  <si>
    <t>PT. BANK NEO COMMERCE TBK</t>
  </si>
  <si>
    <t>DCI Cibitung Akulaku Alicloud Jl. Irian, GG 5-1, Kawasan Industri MM 2100, Cikarang Barat, Bekasi, Jawa Barat, Indonesia, 17530</t>
  </si>
  <si>
    <t>15970/SPP/008/PUSAT/ICON+/2021| 4500016290</t>
  </si>
  <si>
    <t>E64</t>
  </si>
  <si>
    <t>F349</t>
  </si>
  <si>
    <t>15998/SPP/008/PUSAT/ICON+/2021 | 4500016291 | 19120/SPP/008/PUSAT/ICON+/2022 | 4500018823 | 651/SPP/SBU/ICON+/2023 | 4500020748</t>
  </si>
  <si>
    <t>3140/SPP/SBU/PLNICONPLUS/2024</t>
  </si>
  <si>
    <t>E97</t>
  </si>
  <si>
    <t>F321</t>
  </si>
  <si>
    <t>G220</t>
  </si>
  <si>
    <t>H162</t>
  </si>
  <si>
    <t>PT. NOSAIRIS TEKNOLOGI SOLUTIONS</t>
  </si>
  <si>
    <t>DCI Cibitung Gd. JK 1 Jl. Halmahera Blok. F1 No. 1, Danau Indah, Cikarang Barat, Bekasi</t>
  </si>
  <si>
    <t>17765/SPP/008/PUSAT/ICON+/2022 | 4500017576 | 21497 | 4500020355</t>
  </si>
  <si>
    <t>F32</t>
  </si>
  <si>
    <t>G212</t>
  </si>
  <si>
    <t>H73</t>
  </si>
  <si>
    <t>DCI Cibitung Gd. JK 1 JL. Halmahera Blok. F1 No.1 Danau Indah, Cikarang Barat, Bekasi</t>
  </si>
  <si>
    <t>18596/SPP/008/PUSAT/ICON+/2022 | 4500018020</t>
  </si>
  <si>
    <t>3542/SPP/SBU/PLNICONPLUS/2024</t>
  </si>
  <si>
    <t>F146</t>
  </si>
  <si>
    <t>G221</t>
  </si>
  <si>
    <t>H227</t>
  </si>
  <si>
    <t>PT. PASIFIK SATELIT NUSANTARA</t>
  </si>
  <si>
    <t>DCI Cibitung gedung JK 1, Jl. Halmahera Blok F1 No.1, Danau Indah, Kec. Cikarang Bar., Bekasi, Jawa Barat</t>
  </si>
  <si>
    <t>12942/SPP/008/PUSAT/ICON+/2020 | 4500014094|15766/SPP/008/PUSAT/ICON+/2021|4500015880- | 18426/SPP/008/PUSAT/ICON+/2022 | 4500017893</t>
  </si>
  <si>
    <t>3246/SPP/SBU/PLNICON/2024</t>
  </si>
  <si>
    <t>D79</t>
  </si>
  <si>
    <t>E55</t>
  </si>
  <si>
    <t>F200</t>
  </si>
  <si>
    <t>G210</t>
  </si>
  <si>
    <t>H223</t>
  </si>
  <si>
    <t>PT ARTINUS KOMUNIKA LIMA</t>
  </si>
  <si>
    <t>DCI Cikarang Gedung JKT2 lantai 3 Rack 13 - Jl. Halmahera Blok F1 No.1, Danau Indah, Cikarang Barat, Kabupaten Bekasi, Jawa Barat, Indonesia, 17530</t>
  </si>
  <si>
    <t>PA/ACT/2109/0246</t>
  </si>
  <si>
    <t>16780/SPP/008/PUSAT/ICON+/2021 | 4500016819 | 19757 | 4500018825</t>
  </si>
  <si>
    <t>E279</t>
  </si>
  <si>
    <t>F323</t>
  </si>
  <si>
    <t>H15</t>
  </si>
  <si>
    <t>Bank Mayapada International</t>
  </si>
  <si>
    <t>DCI Equinix (Cibitung), JL Halmahera blok F1 no 1, Danau indah</t>
  </si>
  <si>
    <t>08454/SPP/008/PUSAT/ICON+/2018 | 4500011385 | 10203/SPP/008/PUSAT/ICON+/2019 | 4500012491 | 12773/SPP/008/PUSAT/ICON+/2020 | 4500014092 | 15461/SPP/008/PUSAT/ICON+/2021 | 4500015870 | 21410 | 4500020023</t>
  </si>
  <si>
    <t>C53</t>
  </si>
  <si>
    <t>D72</t>
  </si>
  <si>
    <t>E43</t>
  </si>
  <si>
    <t>G75</t>
  </si>
  <si>
    <t>H42</t>
  </si>
  <si>
    <t>Equity Tower 17th Floor Suite F Jl. Jend Sudirman Kav. 52-53 Jakarta</t>
  </si>
  <si>
    <t>08492/SPP/008/PUSAT/ICON+/2018 | 4500011419 | 10325/SPP/008/PUSAT/ICON+/2019 | 4500012484 | 12832/SPP/008/PUSAT/ICON+/2020 | 4500014090| 4500015871 | 18354/SPP/008/PUSAT/ICON+/2022 | 4500017870</t>
  </si>
  <si>
    <t xml:space="preserve">3210/SPP/SBU/PLNICONPLUS/2024	</t>
  </si>
  <si>
    <t>B53</t>
  </si>
  <si>
    <t>C51</t>
  </si>
  <si>
    <t>D73</t>
  </si>
  <si>
    <t>E57</t>
  </si>
  <si>
    <t>F197</t>
  </si>
  <si>
    <t>G74</t>
  </si>
  <si>
    <t>H217</t>
  </si>
  <si>
    <t>PT PRIMACOM INTERBUANA
 PT. PRIMACOM INTERBUANA
 PT XL AXIATA
  PT. CIRCLECOM NUSANTARA INDONESIA
 PT NTT INDONESIA
 PT NTT INDONESIA
 PT NTT INDONESIA
 PT SPRINT ASIA TECHNOLOGY
 PT JATELINDO PERKASA ABADI
 PT INTEK MEGA SOLUTION
 PT. APLIKANUSA LINTASARTA
 PT. PRIMACOM INTERBUANA
 PT. MAGNA KARSA MULYA
 PT. NAP INFO LINTASNUSA
 PT. NAP INFO LINTASNUSA (CITIBANK)
 PT. CIRCLECOM NUSANTARA INDONESIA
 PT INDOMARCO PRISMATAMA
 PT. PRODIA WIDYAHUSADA</t>
  </si>
  <si>
    <t>ICON-00/ACT/1410/0100
 ICON-00/ACT/1407/0271
 ICON-00/ACT/1605/0555
 ICON-00/ACT/1606/0069
 ICON-00/ACT/1609/0384
 ICON-00/ACT/1609/0670
 ICON-00/ACT/1704/1130
 ICON-00/ACT/1707/0139
 ICON-00/ACT/1706/0006
 ICON-00/ACT/1711/1089
 AL/1806/4710</t>
  </si>
  <si>
    <t>09058/SPP/008/PUSAT/ICON+/2018 | 4500011816 | 11547/SPP/008/PUSAT/ICON+/2019 | 4500013288 | 4500015126| 16578//SPP/008/PUSAT/ICON+/2021| 4500016755 | 4500018824 | 1441/SPP/SBU/ICON+/2023 | 4500021341</t>
  </si>
  <si>
    <t>4529/SPP/SBU/PLNICONPLUS/2024</t>
  </si>
  <si>
    <t>B195</t>
  </si>
  <si>
    <t>C242</t>
  </si>
  <si>
    <t>D339</t>
  </si>
  <si>
    <t>E308</t>
  </si>
  <si>
    <t>F320</t>
  </si>
  <si>
    <t>G313</t>
  </si>
  <si>
    <t>H375</t>
  </si>
  <si>
    <t>PT INDOMARCO PRISMATAMA qq Jatelindo</t>
  </si>
  <si>
    <t>Equity Tower 17th floor suiteF SCBD lot
Jl Jend Sudirman Kav 52-53 Jakarta 12191</t>
  </si>
  <si>
    <t>Gedung Equity Tower 17th Floor Suite F, SCBD Lot. 9 Jl. Jend Sudirman Kav 52 - 53</t>
  </si>
  <si>
    <t>07722/SPP/008/PUSAT/ICON+/2017 4500011011 | 09436/SPP/008/PUSAT/ICON+/2018 | 4500012009 | 12161/SPP/008/PUSAT/ICON+/2019 | 4500013642 | 14933/SPP/008/PUSAT/ICON+/2020 | 4500015482</t>
  </si>
  <si>
    <t>14933/SPP/008/PUSAT/ICON+/2020</t>
  </si>
  <si>
    <t>B275</t>
  </si>
  <si>
    <t>C289</t>
  </si>
  <si>
    <t>D391</t>
  </si>
  <si>
    <t>E180</t>
  </si>
  <si>
    <t>Aplikanusa LINTASARTA</t>
  </si>
  <si>
    <t>09554/SPP/008/PUSAT/ICON+/2018 | 4500012070 | 11673/SPP/008/PUSAT/ICON+/2019| 4500013535| 14022/SPP/008/PUSAT/ICON+/2020| 4500014890 | 17439/SPP/008/PUSAT/ICON+/2021 | 4500017314 | 20182/SPP/008/PUSAT/ICON+/2022 | 4500019324</t>
  </si>
  <si>
    <t xml:space="preserve">1504/SPP/SBU/ICON+/2023	</t>
  </si>
  <si>
    <t>B243</t>
  </si>
  <si>
    <t>C300</t>
  </si>
  <si>
    <t>D187</t>
  </si>
  <si>
    <t>F83</t>
  </si>
  <si>
    <t>F420</t>
  </si>
  <si>
    <t>G343</t>
  </si>
  <si>
    <t>Primacom end user PT. Agin Court Resources</t>
  </si>
  <si>
    <t>Gedung Equity Tower 17th Floor Suite F, SCBD Lot. 9 Jl. Jend Sudirman Kav 52 – 53</t>
  </si>
  <si>
    <t>ICON-00/ACT/1609/0384</t>
  </si>
  <si>
    <t>071803/SPR/008/PUSAT/ICON+/2016 | 080913/MI/008/PUSAT/ICON+/2016 | 07628/SPP/008/PUSAT/ICON+/2017 | 4500010941 | 08939/SPP/008/PUSAT/ICON+/2018 | 4500011696 | | 11451/SPP/008/PUSAT/ICON+/2019 |13714/SPP/008/PUSAT/ICON+/2020 | 4500013192 | 4500014632</t>
  </si>
  <si>
    <t>16303/SPP/008/PUSAT/ICON+/2021</t>
  </si>
  <si>
    <t>B170</t>
  </si>
  <si>
    <t>C176</t>
  </si>
  <si>
    <t>D149</t>
  </si>
  <si>
    <t>E252</t>
  </si>
  <si>
    <t>Gedung JK 3, Jl. Irian I Blok GG 5-1, Kawasan MM 2100, Cibitung, Kabupaten Bekasi, Jawa Barat, Indonesia,</t>
  </si>
  <si>
    <t>17052/SPP/008/PUSAT/ICON+/2021 | 4500017113 | 20239/SPP/008/PUSAT/ICON+/2022  | 4500019325</t>
  </si>
  <si>
    <t xml:space="preserve">1677/SPP/SBU/ICON+/2023	</t>
  </si>
  <si>
    <t>E330</t>
  </si>
  <si>
    <t>F419</t>
  </si>
  <si>
    <t>G319</t>
  </si>
  <si>
    <t xml:space="preserve">PT. DIAMOND COLD STORAGE - </t>
  </si>
  <si>
    <t>Gedung JK 3, Jl. IRIAN I Blok GG 5-1, Kawasan MM 2100,Cibitung</t>
  </si>
  <si>
    <t>20660/SPP/008/PUSAT/ICON+/2022 | 4500019532</t>
  </si>
  <si>
    <t>1678/SPP/SBU/ICON+/2023</t>
  </si>
  <si>
    <t>F365</t>
  </si>
  <si>
    <t>G328</t>
  </si>
  <si>
    <t>Equity Tower 17th floor suiteF SCBD lot
Jl Jend Sudirman Kav 52-53 Jakarta 12194</t>
  </si>
  <si>
    <t>H2H - Data Center KAI Bandung, Jl. Perintis Kemerdekaan No. 1 Babakan Ciamis, Kec. Sumur Bandung, Kota Bandung, Jawa Barat,</t>
  </si>
  <si>
    <t>11881/SPP/008/PUSAT/ICON+/2019 | 4500013473| 14313/SPP/008/PUSAT/ICON+/2020| 4500015107 | 4500015107 | 19674/SPP/008/PUSAT/ICON+/2022 | 4500018867</t>
  </si>
  <si>
    <t>2111/SPP/SBU/ICON+/2023</t>
  </si>
  <si>
    <t>021-29037503</t>
  </si>
  <si>
    <t>C233</t>
  </si>
  <si>
    <t>D341</t>
  </si>
  <si>
    <t>F318</t>
  </si>
  <si>
    <t>G391</t>
  </si>
  <si>
    <t>H2H Kantor Pusat Direktorat Jenderal Pajak Jl. Gatot Subroto No. Kav 40-42, RT.7/RW.1 Senayan, Kec. Kebayoran Baru, Jakarta Selatan</t>
  </si>
  <si>
    <t>12820/SPP/008/PUSAT/ICON+/2020 | 4500014027| 15123/SPP/008/PUSAT/ICON+/2021| 4500015715 | 18179/SPP/008/PUSAT/ICON+/2022 | 4500017798</t>
  </si>
  <si>
    <t>D50</t>
  </si>
  <si>
    <t>E169</t>
  </si>
  <si>
    <t>F121</t>
  </si>
  <si>
    <t>G112</t>
  </si>
  <si>
    <t>PT. AIRPAY INTERNATIONAL INDONESIA</t>
  </si>
  <si>
    <t>Equity Tower 17th floor suiteF SCBD lot
Jl Jend Sudirman Kav 52-53 Jakarta 12192</t>
  </si>
  <si>
    <t>H2H PT DCI Indonesia, Gedung JK2, Jl. Irian I Blok GG 5-1, Kawasan MM 2100, Cibitung, Bekasi, Jawa Barat</t>
  </si>
  <si>
    <t>11462/SPP/008/PUSAT/ICON+/2019 | 4500013141| 16438/SPP/008/PUSAT/ICON+/2021| 4500016561 | 19212/SPP/008/PUSAT/ICON+/2022 | 4500018447</t>
  </si>
  <si>
    <t>487/SPP/SBU/ICON+/2023</t>
  </si>
  <si>
    <t>C165</t>
  </si>
  <si>
    <t>E228</t>
  </si>
  <si>
    <t>F256</t>
  </si>
  <si>
    <t>G169</t>
  </si>
  <si>
    <t>3892/SPP/SBU/PLNICONPLUS/2024</t>
  </si>
  <si>
    <t>H361</t>
  </si>
  <si>
    <t>Equity Tower 17th floor suiteF SCBD lot
Jl Jend Sudirman Kav 52-53 Jakarta 12195</t>
  </si>
  <si>
    <t>12521/SPP/008/PUSAT/ICON+/2020 | 4500013824| 15140/SPP/008/PUSAT/ICON+/2021| 4500015714 | 17624/SPP/008/PUSAT/ICON+/2022 | 4500017500 | 21077 | 4500019996</t>
  </si>
  <si>
    <t>D14</t>
  </si>
  <si>
    <t>E152</t>
  </si>
  <si>
    <t>F126</t>
  </si>
  <si>
    <t>G53</t>
  </si>
  <si>
    <t>H70</t>
  </si>
  <si>
    <t>Equity Tower 17th floor suiteF SCBD lot
Jl Jend Sudirman Kav 52-53 Jakarta 12193</t>
  </si>
  <si>
    <t>H2H, (Backhaul) DCI Data Center Jl. Halmahera Blok F1 No.1, Danau Indah, Kec. Cikarang Barat, Kota Bekasi, Jawa Barat</t>
  </si>
  <si>
    <t>PA/ACT/1907/3933
 PA/ACT/1907/3934
 PA/ACT/1907/3935</t>
  </si>
  <si>
    <t>11382/SPP/008/PUSAT/ICON+/2019| 4500013131 | 13890/SPP/008/PUSAT/ICON+/2020 | 4500014837| 16288/SPP/008/PUSAT/ICON+/2021| 4500016492 | 18845/SPP/008/PUSAT/ICON+/2022 | 4500018256</t>
  </si>
  <si>
    <t xml:space="preserve">941/SPP/SBU/ICON+/2023	</t>
  </si>
  <si>
    <t>021-29037502</t>
  </si>
  <si>
    <t>C161</t>
  </si>
  <si>
    <t>D177</t>
  </si>
  <si>
    <t>E254</t>
  </si>
  <si>
    <t>F211</t>
  </si>
  <si>
    <t>G236</t>
  </si>
  <si>
    <t>PT. TRANS MIKRO BERSAMA</t>
  </si>
  <si>
    <t>DCI Cibitung, Jl. Halmahera No.1, danau Indah,  Kecamatan Cikarang Barat,  Bekasi,  Jawa Barat,  Indonesia,  17530</t>
  </si>
  <si>
    <t>Jl. Gatot Subroto No.Kav 36-38, Kecamatan Kebayoran baru, Jakarta Selatan, DKI Jakarta, Indonesia, 12190</t>
  </si>
  <si>
    <t>F27</t>
  </si>
  <si>
    <t>H45</t>
  </si>
  <si>
    <t>PT. BANK PEMBANGUNAN DAERAH KALIMANTAN SELATAN</t>
  </si>
  <si>
    <t>Jl. Halmahera Kawasan Industri MM2100</t>
  </si>
  <si>
    <t>18650/SPP/008/PUSAT/ICON+/2022 | 4500018058 | 638/SPP/SBU/ICON+/2023 | 4500020746</t>
  </si>
  <si>
    <t>638/SPP/SBU/ICON+/2023</t>
  </si>
  <si>
    <t>F153</t>
  </si>
  <si>
    <t>G222</t>
  </si>
  <si>
    <t>3205/SPP/SBU/PLNICONPLUS/2024</t>
  </si>
  <si>
    <t>H256</t>
  </si>
  <si>
    <t>PT. APLIKANUSA LINTASARTA</t>
  </si>
  <si>
    <t>Jl. Halmahera No.1, Danau Indah
DC ALFA CILEUNGSI Ktr. Cab Cileungsi, Dayeuh</t>
  </si>
  <si>
    <t>19912/SPP/008/PUSAT/ICON+/2022 | 4500018909</t>
  </si>
  <si>
    <t>1590/SPP/SBU/ICON+/2023</t>
  </si>
  <si>
    <t>F313</t>
  </si>
  <si>
    <t>G379</t>
  </si>
  <si>
    <t>PT. GCLUB DIGITAL ASIA</t>
  </si>
  <si>
    <t>Jl. Irian Blok GG5/1, Kawasan Industri MM2100, Danau Indah, Bekasi, Jawa Barat</t>
  </si>
  <si>
    <t>D272</t>
  </si>
  <si>
    <t>Primary Link H2H DC Tokopedia (DCI Cibitung) - Jl. Halmahera Blok F1 No.1, Danau Indah</t>
  </si>
  <si>
    <t>20314/SPP/008/PUSAT/ICON+/2022 | 4500019501</t>
  </si>
  <si>
    <t>2110/SPP/SBU/ICON+/2023</t>
  </si>
  <si>
    <t>F370</t>
  </si>
  <si>
    <t>G390</t>
  </si>
  <si>
    <t>PT Nap Info Lintasnusa</t>
  </si>
  <si>
    <t>PT Cigna Corporate Verizon Business Cigna Corporate DCI Equinix MM2100</t>
  </si>
  <si>
    <t>4500010732 |07288/SPP/008/PUSAT/ICON+/2017 | 08534/SPP/008/PUSAT/ICON+/2018 | 4500011440 | 10543/SPP/008/PUSAT/ICON+/2019 | 4500012745 | 13126/SPP/008/PUSAT/ICON+/2020 | 4500014317| 15565/SPP/008/PUSAT/ICON+/2021| 4500016044 | 18178/SPP/008/PUSAT/ICON+/2022 | 4500017881</t>
  </si>
  <si>
    <t>21732/SPP/008/PUSAT/ICON+/2023</t>
  </si>
  <si>
    <t>B89</t>
  </si>
  <si>
    <t>C85</t>
  </si>
  <si>
    <t>D125</t>
  </si>
  <si>
    <t>E68</t>
  </si>
  <si>
    <t>F196</t>
  </si>
  <si>
    <t>G111</t>
  </si>
  <si>
    <t>PT Layanan Imedia</t>
  </si>
  <si>
    <t>Data Center Lintasarta - Jl. Ciungwanara No. 6, Lb. Siliwangi</t>
  </si>
  <si>
    <t>PT DCI Indonesia Cibitung - Jl. Halmahera No.1, Danau Indah</t>
  </si>
  <si>
    <t>3208/SPP/SBU/PLNICONPLUS/2024</t>
  </si>
  <si>
    <t>G55</t>
  </si>
  <si>
    <t>H222</t>
  </si>
  <si>
    <t>Adira Dinamika</t>
  </si>
  <si>
    <t>PT DCI INDONESIA Jalan Jawa Blok GG-5-1. Kawasan Industri MM 2100 Lantai 3 JK2, rack 13</t>
  </si>
  <si>
    <t>PA/ACT/1807/0241
 PA/ACT/1807/0291
 PA/ACT/1807/0293
 PA/ACT/1807/0296
 PA/ACT/1807/0297</t>
  </si>
  <si>
    <t>09092/SPP/008/PUSAT/ICON+/2018 | 4500011799 | 11174/SPP/008/PUSAT/ICON+/2019 | 4500013013 | 14099/SPP/008/PUSAT/ICON+/2020 | 4500015127| 16582/SPP/008/PUSAT/ICON+/2021| 4500016754 |</t>
  </si>
  <si>
    <t>B197</t>
  </si>
  <si>
    <t>C147</t>
  </si>
  <si>
    <t>D333</t>
  </si>
  <si>
    <t>E303</t>
  </si>
  <si>
    <t>F322</t>
  </si>
  <si>
    <t>PT KLIK INDOMARET SUKSES</t>
  </si>
  <si>
    <t>PT DCI Indonesia, Gedung JK2, Jl. Irian I Blok GG 5-1, Kawasan MM 2100, Cibitung (Jatelindo di DCI Cibitung ID Rack: jk1-rck-1b-009-002), Cikarang, Kabupaten Bekasi, Jawa Barat, Indonesia</t>
  </si>
  <si>
    <t>15956/SPP/008/PUSAT/ICON+/2021| 4500016289 | 18913/SPP/008/PUSAT/ICON+/2022 | 4500018326 | 719/SPP/SBU/ICON+/2023 | 4500018326</t>
  </si>
  <si>
    <t>3206/SPP/SBU/PLNICONPLUS/2024</t>
  </si>
  <si>
    <t>E58</t>
  </si>
  <si>
    <t>F303</t>
  </si>
  <si>
    <t>G204</t>
  </si>
  <si>
    <t>H176</t>
  </si>
  <si>
    <t>PT IPC Network DCI Equinix MM2100</t>
  </si>
  <si>
    <t>07291/SPP/008/PUSAT/ICON+/2017 |4500010733 | 08682/SPP/008/PUSAT/ICON+/2018 | 4500011545 | 11166/SPP/008/PUSAT/ICON+/2019 | 4500012983</t>
  </si>
  <si>
    <t>13546/SPP/008/PUSAT/ICON+/2020</t>
  </si>
  <si>
    <t>B88</t>
  </si>
  <si>
    <t>C141</t>
  </si>
  <si>
    <t>D140</t>
  </si>
  <si>
    <t>PT. Data Center Infrastruktur Indonesia (Dci) Kawasan Industri MM2100 Cibitung, Jl Irian, Cikarang, Jawa Barat, Indonesia,</t>
  </si>
  <si>
    <t>15873/SPP/008/PUSAT/ICON+/2021 | 4500016200</t>
  </si>
  <si>
    <t>3541/SPP/SBU/PLNICONPLUS/2024</t>
  </si>
  <si>
    <t>E51</t>
  </si>
  <si>
    <t>G223</t>
  </si>
  <si>
    <t>H228</t>
  </si>
  <si>
    <t>Sukonindo</t>
  </si>
  <si>
    <t xml:space="preserve">DCI Data Center, Jl. Halmahera Blok F1 No.1, Danau Indah,  Cikarang Barat,  Kabupaten Bekasi,  Jawa Barat,  Indonesia,  </t>
  </si>
  <si>
    <t>Sokonindo JL. Raya Industri Modern Cikande Kav. 30-C Desa Barangkok, -, Kabupaten Serang, Banten,</t>
  </si>
  <si>
    <t>10049/SPP/008/PUSAT/ICON+/2019 | 4500012384 | 10049/SPP/008/PUSAT/ICON+/2019 | 4500013953| 15108/SPP/008/PUSAT/ICON+/2021| 4500015702 | 17675 | 4500017501</t>
  </si>
  <si>
    <t>C2</t>
  </si>
  <si>
    <t>D86</t>
  </si>
  <si>
    <t>E219</t>
  </si>
  <si>
    <t>F124</t>
  </si>
  <si>
    <t>H44</t>
  </si>
  <si>
    <t>DATA CENTER INDONESIA (DCI) JK1, CIBITUNG, JL. HALMAHERA NO.1, DANAU INDAH, KEC. CIKARANG BAR., KABUPATEN BEKASI, JAWA BARAT 17530)</t>
  </si>
  <si>
    <t>A822305240010</t>
  </si>
  <si>
    <t>764/SPP/SBU/ICON+/2023 | 4500020890</t>
  </si>
  <si>
    <t>4313/SPP/SBU/PLNICONPLUS/2024</t>
  </si>
  <si>
    <t>G127</t>
  </si>
  <si>
    <t>H343</t>
  </si>
  <si>
    <t>PT JAMINAN KREDIT INDONESIA</t>
  </si>
  <si>
    <t>1054/SPP/SBU/ICON+/2023</t>
  </si>
  <si>
    <t>G164</t>
  </si>
  <si>
    <t>3828/SPP/SBU/PLNICONPLUS/2024</t>
  </si>
  <si>
    <t>H209</t>
  </si>
  <si>
    <t>DATA CENTER INDONESIA (DCI) JK1, CIBITUNG)</t>
  </si>
  <si>
    <t>826/SPP/SBU/ICON+/2023</t>
  </si>
  <si>
    <t>G174</t>
  </si>
  <si>
    <t>Biaya OTC Rp.4.000.000</t>
  </si>
  <si>
    <t>4048/SPP/SBU/PLNICONPLUS/2024</t>
  </si>
  <si>
    <t>H285</t>
  </si>
  <si>
    <t>DCI CIBITUNG AKULAKU ALICLOUD JL. IRIAN, GG 5-1, KAWASAN INDUSTRI MM 2100, CIKARANG BARAT, BEKASI, JAWA BARAT, INDONESIA, 17530.</t>
  </si>
  <si>
    <t>1227/SPP/SBU/ICON+/2023</t>
  </si>
  <si>
    <t>G192</t>
  </si>
  <si>
    <t>3891/SPP/SBU/PLNICONPLUS/2024</t>
  </si>
  <si>
    <t>H257</t>
  </si>
  <si>
    <t>PT. ADIRA DINAMIKA MULTIFINANCE</t>
  </si>
  <si>
    <t>PT DCI INDONESIA  Jalan Jawa Blok GG-5-1. Kawasan Industri MM 2100,  Cikarang,  Kota Bekasi,  Jawa Barat,  Indonesia,  17520</t>
  </si>
  <si>
    <t>1922/SPP/SBU/ICON+/2023</t>
  </si>
  <si>
    <t>G326</t>
  </si>
  <si>
    <t>3861/SPP/SBU/PLNICONPLUS/2024</t>
  </si>
  <si>
    <t>H261</t>
  </si>
  <si>
    <t>PT DIGITAL KARYALOKA NUSANTARA</t>
  </si>
  <si>
    <t>DCI Cibitung Jl. Halmahera No.1, Danau Indah, Kec. Cikarang Bar. Kabupaten Bekasi, Jawa Barat 17530</t>
  </si>
  <si>
    <t>BNI DC Slipi Jl. Anggrek Neli Murni VI No.14, RT.13/RW.1, Kemanggisan, Kec. Palmerah, Kota Jakarta Barat, Daerah Khusus Ibukota Jakarta 11480</t>
  </si>
  <si>
    <t>A821205000211</t>
  </si>
  <si>
    <t>1651/SPP/SBU/ICON+/2023</t>
  </si>
  <si>
    <t>G276</t>
  </si>
  <si>
    <t>PT BAHANA PEMBINAAN USAHA INDONESIA</t>
  </si>
  <si>
    <t>(DCI) JL. HALMAHERA NO.1, DANAU INDAH, KEC. CIKARANG BAR., KABUPATEN BEKASI, JAWA BARAT 17530</t>
  </si>
  <si>
    <t>ELITERY) JL. RAYA PAJAJARAN NO.17, RT.06/RW.13, BARANANGSIANG, KEC. BOGOR TIM., KOTA BOGOR, JAWA BARAT 16143</t>
  </si>
  <si>
    <t>A821202000636</t>
  </si>
  <si>
    <t>1994/SPP/SBU/ICON+/2023</t>
  </si>
  <si>
    <t>G309</t>
  </si>
  <si>
    <t>PT Bank Pembangunan Daerah
Bali</t>
  </si>
  <si>
    <t>KCP Baturiti, Jl. Gunung Agung No.23, Baturiti, Kec.
Baturiti, Kabupaten Tabanan, Bali 82191 (-
8.328644978535914, 115.18610477301344)</t>
  </si>
  <si>
    <t>PT DCI INDONESIA CIBITUNG, JL. HALMAHERA NO.1, DANAU
INDAH, KEC. CIKARANG BAR., KABUPATEN BEKASI, JAWA BARAT
17530</t>
  </si>
  <si>
    <t xml:space="preserve">A151202000026 
</t>
  </si>
  <si>
    <t>G356</t>
  </si>
  <si>
    <t xml:space="preserve">PT. Abadi Tambah Mulia Internasional </t>
  </si>
  <si>
    <t>PT. Tangara Mitrakom JL. RP Soeroso No. 37</t>
  </si>
  <si>
    <t>PT Abadi Tambah Mulia Internasional, DCI Cibitung Jl. Halmahera No.1, Danau Indah</t>
  </si>
  <si>
    <t>21509 | 4500020077</t>
  </si>
  <si>
    <t>H78</t>
  </si>
  <si>
    <t xml:space="preserve">PT Adi Inti Mandiri Solusi </t>
  </si>
  <si>
    <t>MidPlaza 2 Lt. 8 Jl Jend. Sudirman 10-11 Jakarta 10223</t>
  </si>
  <si>
    <t xml:space="preserve"> Graha Baramulti Komp. Harmoni Blok A-8, Jl. Suryapranoto No.2, RT.2/RW.8,</t>
  </si>
  <si>
    <t xml:space="preserve">PA/ACT/2203/1103/TER </t>
  </si>
  <si>
    <t>Marissa</t>
  </si>
  <si>
    <t>021-57998891</t>
  </si>
  <si>
    <t>F95</t>
  </si>
  <si>
    <t xml:space="preserve">1.Biaya OTC Rp.6.000.000 </t>
  </si>
  <si>
    <t>PT BANK SYARIAH INDONESIA TBK</t>
  </si>
  <si>
    <t>(Relokasi Rack dan masih satu gedung) H2H BSM-Bukalapak, Data Center Biznet, Biznet Technovillage, PT. Dinamika Raya Prima (Relokasi lantai 3), Jl. Riverside Golf Club No. 1, Bojong Nangka</t>
  </si>
  <si>
    <t>21807/SPP/008/PUSAT/ICON+/2023 | 4500020329</t>
  </si>
  <si>
    <t>3093/SPP/SBU/PLNICONPLUS/2024</t>
  </si>
  <si>
    <t>G82</t>
  </si>
  <si>
    <t>H212</t>
  </si>
  <si>
    <t>Instalasi Biznet Rp.5.000.000</t>
  </si>
  <si>
    <t>PT. AEON CREDIT SERVICES INDONESIA</t>
  </si>
  <si>
    <t>MidPlaza 2 Lt. 8 Jl Jend. Sudirman 10-11 Jakarta 10222</t>
  </si>
  <si>
    <t>Biznet Technovillage - Jl. Riverside Golf Club No.1, Bojong Nangka, Kec. Gn. Putri, Kabupaten Bogor</t>
  </si>
  <si>
    <t>PA/ACT/2202/0451/TER</t>
  </si>
  <si>
    <t>Rp.5.000.000</t>
  </si>
  <si>
    <t>17920/SPP/008/PUSAT/ICON+/2022 | 4500017626</t>
  </si>
  <si>
    <t>21265/SPP/008/PUSAT/ICON+/2023</t>
  </si>
  <si>
    <t>F33</t>
  </si>
  <si>
    <t>Konfirm to Sales</t>
  </si>
  <si>
    <t>BUT. MUFG BANK, LTD sebelumnya Bank Of Tokyo</t>
  </si>
  <si>
    <t>Biznet Technovillage Bukit Riverside Golf Jl. Biznet Technovillage No. Cimanggis ( BUT The Bank of Tokyo SO No. ICON-00/ACT/1501/0184)</t>
  </si>
  <si>
    <t xml:space="preserve">Rp1.500.000 </t>
  </si>
  <si>
    <t>070317/MI/008/PUSAT/ICON+/2015 | 10579/SPP/008/PUSAT/ICON+/2019 | 4500012925</t>
  </si>
  <si>
    <t>C305</t>
  </si>
  <si>
    <t>D91</t>
  </si>
  <si>
    <t>PT Rekso Nasional Food</t>
  </si>
  <si>
    <t>Biznet Technovillage Bukit Riverside Golf Jl. Biznet Technovillage No. Cimanggis ( PT Rekso Nasional Food No. ICON-00/ACT/1604/0047)</t>
  </si>
  <si>
    <t>04184/MI/008/PUSAT/ICON+/2016 | 06869/SPP/008/PUSAT/ICON+/2017 |
 053104/MI/000/PUSAT/ICON+/2016 |08427/SPP/008/PUSAT/ICON+/2018 | 4500011377
 042010/SPR/008/PUSAT/ICON+/2016 | 4500010484 | 10429/SPP/008/PUSAT/ICON+/2019 | 4500012722 | 12698/SPP/008/PUSAT/ICON+/2020 | 4500013998</t>
  </si>
  <si>
    <t>15559/SPP/008/PUSAT/ICON+/2021</t>
  </si>
  <si>
    <t>C79</t>
  </si>
  <si>
    <t>D70</t>
  </si>
  <si>
    <t>E79</t>
  </si>
  <si>
    <t>1. Biaya Instalasi UTP Rp1.000.000 
 2. Biaya sewa Rp2.000.000,-/tahun</t>
  </si>
  <si>
    <t>PT Tangara Mitrakom</t>
  </si>
  <si>
    <t>Biznet Technovillage Bukit Riverside Golf Jl. Biznet Technovillage No. Cimanggis ( PT Tangara Mitrakom No. ICON-00/ACT/1609/0747, ICON-00/ACT/1609/0746, ICON-00/ACT/1609/0592)</t>
  </si>
  <si>
    <t>ICON-00/MIG/1611/0043 - 110120208994 / 0990000320485037
ICON-00/ACT/1610/0522 - 110120208996 / 0990000320480304</t>
  </si>
  <si>
    <t>3271016/SPR/ICON+/2016
 1251016/SPR/ICON+/2016 07627/SPP/008/PUSAT/ICON+/2017 |4500010956 |09321/SPP/008/PUSAT/ICON+/2018 | 4500011893 | 11687/SPP/008/PUSAT/ICON+/2019 | 4500013316 | 14312/SPP/008/PUSAT/ICON+/2020 | 4500015117|16792/SPP/008/PUSAT/ICON+/2021| 4500016958</t>
  </si>
  <si>
    <t>B201</t>
  </si>
  <si>
    <t>C203</t>
  </si>
  <si>
    <t>D338</t>
  </si>
  <si>
    <t>E311</t>
  </si>
  <si>
    <t>F289</t>
  </si>
  <si>
    <t>1. Biaya Instalasi UTP Rp1.000.000 total untuk 3 kabel Rp3.000.000,-
 2. Biaya sewa Rp2.000.000,-/tahun total untuk 3 kabel Rp6.000.000,-</t>
  </si>
  <si>
    <t>4117/SPP/SBU/PLNICONPLUS/2024</t>
  </si>
  <si>
    <t>021-57998892</t>
  </si>
  <si>
    <t>H300</t>
  </si>
  <si>
    <t>PT Bank Sinarmas (CID 1939)</t>
  </si>
  <si>
    <t>Biznet Technovillage Bukit Riverside Golf Jl. Biznet Technovillage No. Cimanggis (PT Bahana Sysfo Utama)</t>
  </si>
  <si>
    <t>0670317/SPR/ICON+/2017 | 08010/SPP/008/PUSAT/ICON+/2018 | 4500011246 | 09839/SPP/008/PUSAT/ICON+/2018 | 4500012301 | 12450/SPP/008/PUSAT/ICON+/2019 | 4500013745 | 17621/SPP/008/PUSAT/ICON+/2022 | 4500017804 | |21082/SPP/008/PUSAT/ICON+/2023 | 4500019974</t>
  </si>
  <si>
    <t xml:space="preserve">3143/SPP/SBU/PLNICONPLUS/2024	</t>
  </si>
  <si>
    <t>B38</t>
  </si>
  <si>
    <t>B288</t>
  </si>
  <si>
    <t>D5</t>
  </si>
  <si>
    <t>E156</t>
  </si>
  <si>
    <t>G81</t>
  </si>
  <si>
    <t>H179</t>
  </si>
  <si>
    <t>1. Biaya collocation Crossconect MMR Cable UTP @Rp2.000.000/tahun 
 2. Biaya Instalasi Rp1.000.000 one time charge</t>
  </si>
  <si>
    <t>PT. PRAWATHIYA KARSA PRADIPTHA</t>
  </si>
  <si>
    <t>MidPlaza 2 Lt. 8 Jl Jend. Sudirman 10-11 Jakarta 10221</t>
  </si>
  <si>
    <t>Biznet Technovillage Jl. Riverside Golf Club No.1, Bojong Nangka</t>
  </si>
  <si>
    <t>Rp 3.000.000</t>
  </si>
  <si>
    <t>F34</t>
  </si>
  <si>
    <t>Bukalapak, Data Center Biznet, Biznet Technovillage, PT. Dinamika Raya Prima, Jl. Riverside Golf Club No. 1, Bojong Nangka, Gunung Putri, Kabupaten Bogor, Jawa Barat, Indonesia, 16965</t>
  </si>
  <si>
    <t>PA/ACT/1810/1104</t>
  </si>
  <si>
    <t>09478/SPP/008/PUSAT/ICON+/2018 | 4500012020 | 14564/SPP/008/PUSAT/ICON+/2020 | 4500015396 | 17172/SPP/008/PUSAT/ICON+/2021 | 4500017286</t>
  </si>
  <si>
    <t>20198/SPP/008/PUSAT/ICON+/2022</t>
  </si>
  <si>
    <t>B228</t>
  </si>
  <si>
    <t>D297</t>
  </si>
  <si>
    <t>PT Cyberindo Aditama qq PT Biznet Gio Nusantara</t>
  </si>
  <si>
    <t>10816/SPP/008/PUSAT/ICON+/2019 | 4500012818 | 13124/SPP/008/PUSAT/ICON+/2020 | 4500014192| 15560/SPP/008/PUSAT/ICON+/2021| 4500016050</t>
  </si>
  <si>
    <t>C102</t>
  </si>
  <si>
    <t>D92</t>
  </si>
  <si>
    <t>E78</t>
  </si>
  <si>
    <t>F204</t>
  </si>
  <si>
    <t>021-57998893</t>
  </si>
  <si>
    <t>PT.SUMBER ALFARIA TRIJAYA Tbk</t>
  </si>
  <si>
    <t>Data Center Biznet Technovillage
 Jl.BiznetTechnovillageNo1
 Cimanggis, Jawa Barat</t>
  </si>
  <si>
    <t>08011/SPP/008/PUSAT/ICON+/2018 | 4500011192 | 09794/SPP/008/PUSAT/ICON+/2018 | 4500012290 | 09794/SPP/008/PUSAT/ICON+/2018 | 4500013734 | 14745/SPP/008/PUSAT/ICON+/2020 | 4500015357| 17205/SPP/008/PUSAT/ICON+/2021 | 4500017129</t>
  </si>
  <si>
    <t>20571/SPP/008/PUSAT/ICON+/2022</t>
  </si>
  <si>
    <t>B32</t>
  </si>
  <si>
    <t>B269</t>
  </si>
  <si>
    <t>D8</t>
  </si>
  <si>
    <t>E230</t>
  </si>
  <si>
    <t>E389</t>
  </si>
  <si>
    <t>F435</t>
  </si>
  <si>
    <t>PT Bank Sinarmas</t>
  </si>
  <si>
    <t>ICON-00/SBC/1704/0227</t>
  </si>
  <si>
    <t>Collocation Cross Connect - UTP (Rack ICONPLUS &lt;&gt; RACK BEPS|4500010296| CID 1988 berubah menjadi CID 5008 | 08395/SPP/008/PUSAT/ICON+/2018 | 4500011372 | 10556/SPP/008/PUSAT/ICON+/2019 | 4500012664 | 12587/SPP/008/PUSAT/ICON+/2020 | 4500014038 | 15084/SPP/008/PUSAT/ICON+/2021 | 4500015683</t>
  </si>
  <si>
    <t>17647/SPP/008/PUSAT/ICON+/2022</t>
  </si>
  <si>
    <t>B184</t>
  </si>
  <si>
    <t>C70</t>
  </si>
  <si>
    <t>D61</t>
  </si>
  <si>
    <t>E157</t>
  </si>
  <si>
    <t>08054/SPP/008/PUSAT/ICON+/2018 | 4500011242| 09712/SPP/008/PUSAT/ICON+/2018 | 4500012193 | 12181/SPP/008/PUSAT/ICON+/2019 | 4500013733 | 14770/SPP/008/PUSAT/ICON+/2020| 4500015646 | 17134/SPP/008/PUSAT/ICON+/2021 | 4500017369</t>
  </si>
  <si>
    <t>20748/SPP/008/PUSAT/ICON+/2022</t>
  </si>
  <si>
    <t>B295</t>
  </si>
  <si>
    <t>D9</t>
  </si>
  <si>
    <t>E165</t>
  </si>
  <si>
    <t>G32</t>
  </si>
  <si>
    <t>DRC Tokopedia, Biznet Technovillage, Jl. Riverside Golf No. 1, Bojong Nangka, Kec. Gunung Putri, Kabupaten Bogor, Jawa Barat, Indonesia, 16965</t>
  </si>
  <si>
    <t>17683/SPP/008/PUSAT/ICON+/2022</t>
  </si>
  <si>
    <t>F20</t>
  </si>
  <si>
    <t>Biaya Set Up Rp.4.000.000</t>
  </si>
  <si>
    <t>Graha Telkom Sigma, Lengkong Gudang, BSD</t>
  </si>
  <si>
    <t>D54</t>
  </si>
  <si>
    <t>PT BANK MANDIRI</t>
  </si>
  <si>
    <t>H2H Bukalapak, Biznet Technovillage Lt.3 Open Space, Rack DC-JK2-095 Jl. Riverside Golf Club No.1, Bojong Nangka,  Kec. Gn Putri,  Kota Bogor,  Jawa Barat,  Indonesia,  16965</t>
  </si>
  <si>
    <t>PA/RLK/2303/0094</t>
  </si>
  <si>
    <t>21710/SPP/008/PUSAT/ICON+/2023</t>
  </si>
  <si>
    <t>G78</t>
  </si>
  <si>
    <t>H2H DRC Tokopedia (Biznet Technovillage) Jl. Riverside Golf No. 1, Bojong Nangka</t>
  </si>
  <si>
    <t xml:space="preserve">PA/ACT/2210/2386 </t>
  </si>
  <si>
    <t>F371</t>
  </si>
  <si>
    <t>Biaya Instalasi Cross Connect Fiber Optic
from Icon+ rack to Tokopedia Rack  Rp.5.000.000</t>
  </si>
  <si>
    <t>Nap Info</t>
  </si>
  <si>
    <t>Jakarta Future Exchange, Data Center Biznet, Biznet Technovillage, , Jl. Riverside Golf Club No. 1, Bojong Nangka, Gunung Putri, Kabupaten Bogor, Jawa Barat, Indonesia, 16965</t>
  </si>
  <si>
    <t>AL/1905/14081 - 110120210133</t>
  </si>
  <si>
    <t>09559/SPP/008/PUSAT/ICON+/2018</t>
  </si>
  <si>
    <t>B253</t>
  </si>
  <si>
    <t>3944/SPP/SBU/PLNICONPLUS/2024</t>
  </si>
  <si>
    <t>H301</t>
  </si>
  <si>
    <t>PT. BUKALAPAK.COM</t>
  </si>
  <si>
    <t>Jl. Dr. Wahidin Raya No.1</t>
  </si>
  <si>
    <t>21667/SPP/008/PUSAT/ICON+/2023 | 4500020115</t>
  </si>
  <si>
    <t>3095/SPP/SBU/PLNICONPLUS/2024</t>
  </si>
  <si>
    <t>G66</t>
  </si>
  <si>
    <t>H182</t>
  </si>
  <si>
    <t>PT Multi Adiprakarsa Manunggal</t>
  </si>
  <si>
    <t>Jl. Riverside Golf Club No. 1, Bojong Nangka, Biznet Technovillage, Kabupaten Bogor, Jawa Barat, Indonesia, 16965</t>
  </si>
  <si>
    <t>11608/SPP/008/PUSAT/ICON+/2019 | 4500013255| 12634/SPP/008/PUSAT/ICON+/2020| 4500014041</t>
  </si>
  <si>
    <t>18368/SPP/008/PUSAT/ICON+/2022</t>
  </si>
  <si>
    <t>C186</t>
  </si>
  <si>
    <t>D65</t>
  </si>
  <si>
    <t>F132</t>
  </si>
  <si>
    <t>Jl. Riverside Golf Club No.1</t>
  </si>
  <si>
    <t>PA/ACT/2112/3139/ORI
 PA/ACT/2112/3135/ORI</t>
  </si>
  <si>
    <t>17566/SPP/008/PUSAT/ICON+/2021</t>
  </si>
  <si>
    <t>E376</t>
  </si>
  <si>
    <t>OTC Sebesar Rp.5.000.000</t>
  </si>
  <si>
    <t>Lengkong Gudang, Kec. Serpong, Kota Tangerang Selatan, Banten, Indonesia, 15321</t>
  </si>
  <si>
    <t>1.Biaya Instalasi PA/ACT/2001/3966/TER (crossconnect Telkomsigma BSD) Rp.3.000.000,- 2.Biaya Sewa PA/ACT/2001/3966/TER (crossconnect Telkomsigma BSD) Rp.6.000.000,- 3.Biaya Instalasi PA/ACT/2001/3966/ORI (crossconnect UTP Biznet DC) Rp.2.000.000,- 4.Biaya Sewa PA/ACT/2001/3966/ORI (crossconnect UTP Biznet DC) Rp.6.000.000,- 5.Biaya Sewa PA/ACT/2001/3966/ORI (crossconnect FO Biznet DC) Rp.12.000.000,-</t>
  </si>
  <si>
    <t>PT Asuransi Multi Artha Guna (CID 2845 berubah menjadi 5009)</t>
  </si>
  <si>
    <t>MidPlaza 2, 8th Floor Jl. Jend. Sudirman 10-11 Jakarta 10220</t>
  </si>
  <si>
    <t>ICON-00/SBC/1607/0255</t>
  </si>
  <si>
    <t>0660317 SPR [CID : 2845 berubah menjadi 5009] | 08366/SPP/008/PUSAT/ICON+/2018 | 4500011351</t>
  </si>
  <si>
    <t>10604/SPP/008/PUSAT/ICON+/2019</t>
  </si>
  <si>
    <t>B183</t>
  </si>
  <si>
    <t>C32</t>
  </si>
  <si>
    <t>1.Biaya Sewa Tahunan sebesar Rp.4.000.000,-</t>
  </si>
  <si>
    <t>PT Dipo Star Finance DRC Biznet Technovillage, Jl. Riverside Golf Club No.1, Bojong Nangka, Gn. Putri, Kabupaten Bogor, Jawa Barat, Indonesia, 16965</t>
  </si>
  <si>
    <t>10531/SPP/008/PUSAT/ICON+/2019 | 4500012672 | 12630/SPP/008/PUSAT/ICON+/2020 | 4500014042</t>
  </si>
  <si>
    <t>15170/SPP/008/PUSAT/ICON+/2021</t>
  </si>
  <si>
    <t>C62</t>
  </si>
  <si>
    <t>D63</t>
  </si>
  <si>
    <t>E44</t>
  </si>
  <si>
    <t>PT Supra Primatama Nusantara (BCA)</t>
  </si>
  <si>
    <t>PT SUPRA PRIMA TAMA, RUKO PANDANARAN KAV. 8 JL. PANDANARAN NO. 2-6</t>
  </si>
  <si>
    <t>PA/RLK/1901/0036</t>
  </si>
  <si>
    <t>11680/SPP/008/PUSAT/ICON+/2019 | 4500013932| 15103/SPP/008/PUSAT/ICON+/2021| 4500015889</t>
  </si>
  <si>
    <t>17748/SPP/008/PUSAT/ICON+/2022</t>
  </si>
  <si>
    <t>D32</t>
  </si>
  <si>
    <t>E198</t>
  </si>
  <si>
    <t>F127</t>
  </si>
  <si>
    <t>PT. GRAHA INFORMATIKA NUSANTARA</t>
  </si>
  <si>
    <t>PT. Graha Informatika Nusantara, Biznet Technovillage Jl. Riverside Golf Club No.1, Bojong Nangka</t>
  </si>
  <si>
    <t>17689/SPP/008/PUSAT/ICON+/2022 | 4500017531 | 21091/SPP/008/PUSAT/ICON+/2023 | 4500022793</t>
  </si>
  <si>
    <t>3666/SPP/SBU/PLNICONPLUS/2024</t>
  </si>
  <si>
    <t>F22</t>
  </si>
  <si>
    <t>H175</t>
  </si>
  <si>
    <t>BPJS KESEHATAN</t>
  </si>
  <si>
    <t>(Jl. Riverside Golf Club No.1, Bojong Nangka, Kec. Gn. Putri, Kabupaten Bogor, Jawa Barat 16965)</t>
  </si>
  <si>
    <t>A811202000039</t>
  </si>
  <si>
    <t>1400/SPP/SBU/ICON+/2023</t>
  </si>
  <si>
    <t>anggun</t>
  </si>
  <si>
    <t>G238</t>
  </si>
  <si>
    <t>1.Biaya Sewa Xconnect 2 item @ 1 Tahun Rp.48.000.000 | 2.OTC Rp.10.000.000</t>
  </si>
  <si>
    <t>LJN TECHNO VILLAGE JL. RIVERSIDE GOLF CLUB NO.1, BOJONG NANGKA, KEC. GN. PUTRI, KABUPATEN BOGOR, JAWA BARAT 16965</t>
  </si>
  <si>
    <t>A821202000415</t>
  </si>
  <si>
    <t>1403/SPP/SBU/ICON+/2023</t>
  </si>
  <si>
    <t>G237</t>
  </si>
  <si>
    <t>1.MRC Cross Connect Services to MMR (UTP/FO)  @1 tahun  Rp.12.000.000 | Biaya Instalasi OTC Rp.3.000.000</t>
  </si>
  <si>
    <t>Dunia Virtual Online</t>
  </si>
  <si>
    <t>PT. BANK MANDIRI (PERSERO), TBK</t>
  </si>
  <si>
    <t>Jl. Raya Tapos No. 31, Depok, Jawa Barat</t>
  </si>
  <si>
    <t>H2H e-mobile BMRI, (Data Center TIfa Building), Jalan Kuningan barat 1 No.26</t>
  </si>
  <si>
    <t>20275 | 4500019217</t>
  </si>
  <si>
    <t>F361</t>
  </si>
  <si>
    <t>H25</t>
  </si>
  <si>
    <t>OTC Rp.500.000</t>
  </si>
  <si>
    <t>PT. LAYANAN INTERNET SAKTI</t>
  </si>
  <si>
    <t>Jl. Margonda Raya No.525A, Pondok Cina</t>
  </si>
  <si>
    <t>20270 | 4500019216</t>
  </si>
  <si>
    <t>F359</t>
  </si>
  <si>
    <t>H23</t>
  </si>
  <si>
    <t>Pollux Mall Chadstone: Jl. Raya Cikarang - Cibarusah</t>
  </si>
  <si>
    <t>19206 | 4500018439</t>
  </si>
  <si>
    <t>F215</t>
  </si>
  <si>
    <t>H82</t>
  </si>
  <si>
    <t>Cipta Piranti Sejahtera Gd. Tifa Jl. Kuningan Bar Mampang Prapatan ORIGI
PT Indomarco Data Center Ged.Cyber Jl.Kuningan Barat Raya
PT.Layanan Internet Sakit Pollux Mall Chadstone
PT Sarana Prima Telematika Tifa Arum Realty - Kantor Pusat Direktorat Jenderal Pajak
PT. BANK MANDIRI (PERSERO), TBK</t>
  </si>
  <si>
    <t>Server CPS – Data Center DTP Ged. Tifa, Kuningan Barat Jaksel</t>
  </si>
  <si>
    <t>PA/RLK/2111/0021
PA/ACT/2002/2154
PA/ACT/2203/2624
PA/RLK/2111/0034
PA/ACT/2210/2015</t>
  </si>
  <si>
    <t>09573/SPP/008/PUSAT/ICON+/2018 | 4500012134 | 11813/SPP/008/PUSAT/ICON+/2019| 4500013869| 14304/SPP/008/PUSAT/ICON+/2020 | 4500015106 |  17646/SPP/008/PUSAT/ICON+/2022 | 4500017616 | 20180/SPP/008/PUSAT/ICON+/2022 | 4500019570</t>
  </si>
  <si>
    <t>Jaka</t>
  </si>
  <si>
    <t>021 526 0626</t>
  </si>
  <si>
    <t>B242</t>
  </si>
  <si>
    <t>D330</t>
  </si>
  <si>
    <t>F82</t>
  </si>
  <si>
    <t>G474</t>
  </si>
  <si>
    <t>H24</t>
  </si>
  <si>
    <t xml:space="preserve">Duta Merlin </t>
  </si>
  <si>
    <t>Kantor Pusat Gedung Harco Electronic Superstore Lt.IV Jl. Arteri Mangga Dua Jakarta Pusat 10730
Kantor Representatif :
Graha Gramala Komplek Duta Merlin Blok H No. 1-3 Jl. Gajah Mada No. 3-5 Jakarta 10130</t>
  </si>
  <si>
    <t>Duta Merlin
 Rukan Blok C s/d Rukan Blok D
 Jl. Gajah Mada No.3-5
 Jakarta
 (Trans Retail Indonesia)</t>
  </si>
  <si>
    <t>ICON-00/ACT/1306/0121</t>
  </si>
  <si>
    <t>4500009722 |07415/SPP/008/PUSAT/ICON+/2017 |4500010811 | 09194/SPP/008/PUSAT/ICON+/2018 | 4500011856 | 11745/SPP/008/PUSAT/ICON+/2019 | 4500013371 | 14314/SPP/008/PUSAT/ICON+/2020 | 4500015175</t>
  </si>
  <si>
    <t>16759/SPP/008/PUSAT/ICON+/2021</t>
  </si>
  <si>
    <t>4500016854</t>
  </si>
  <si>
    <t>Wilda Wildiana</t>
  </si>
  <si>
    <t>021-6127122,6127155
 021-63867676</t>
  </si>
  <si>
    <t>B215</t>
  </si>
  <si>
    <t>C205</t>
  </si>
  <si>
    <t>D329</t>
  </si>
  <si>
    <t>E319</t>
  </si>
  <si>
    <t>1. Sewa Shaft Kabel Rp16.500.000/tahun update tahun 2016 Rp19.000.000 (karena tarikan kabel lebih panjang di banding OCBC NISP)
 2. Jaminan Sewa Rp5.000.000
 3. Biaya Supervisi Rp300.000,- (OTC)
 4. Jaminan Pekerjaan Rp1.500.000 update tahun 2016 Rp3.000.000,-</t>
  </si>
  <si>
    <t xml:space="preserve">Duta Parahyangan Lestari </t>
  </si>
  <si>
    <t>PT. BCA FINANCE</t>
  </si>
  <si>
    <t>Menara Citibank Gallery Suite 7-02
Jl. Metro Pondok Indah Kav. II BA No. 2
Jakarta 12310</t>
  </si>
  <si>
    <t>Menara Citibank Lantai 1, Jalan Metro Pondok Indah Kav II BA No 2, Jakarta Selatan</t>
  </si>
  <si>
    <t>PA/ACT/2004/1362/TER</t>
  </si>
  <si>
    <t>13791/SPP/008/PUSAT/ICON+/2020 | 4500014766 | 776/SPP/SBU/ICON+/2023 | 4500020937</t>
  </si>
  <si>
    <t>4530/SPP/SBU/PLNICONPLUS/2024</t>
  </si>
  <si>
    <t>D148</t>
  </si>
  <si>
    <t>G195</t>
  </si>
  <si>
    <t>H374</t>
  </si>
  <si>
    <t>biaya sewa pertahuna 75.000.000</t>
  </si>
  <si>
    <t>ITC Cempaka Mas Mega Grosir Lt. 5 Jl. Letjen Suprapto kav. 1 Jakarta 10640</t>
  </si>
  <si>
    <t>12710 Jakarta ITC Fatmawati, Pertokoan Duta Mas Blok A Jl. Fatmawati No.17-18, RT.3/RW.5</t>
  </si>
  <si>
    <t>19492/SPP/008/PUSAT/ICON+/2022 | 4500018593 | 1161/SPP/SBU/ICON+/2023 | 4500021286</t>
  </si>
  <si>
    <t>3669/SPP/SBU/PLNICONPLUS/2024</t>
  </si>
  <si>
    <t>F266</t>
  </si>
  <si>
    <t>G360</t>
  </si>
  <si>
    <t>H173</t>
  </si>
  <si>
    <t>Biaya Perizinan Sewa selama 1 tahun  (85 ribu x 56.67 meter) Rp.4.816.950</t>
  </si>
  <si>
    <t>PT. IPWAN GLOBAL TELECOMM</t>
  </si>
  <si>
    <t>Gd.JITC Lt.7&amp;8 Jl Mangga dua raya Jakarta Utara</t>
  </si>
  <si>
    <t>BTN Jl. RS. Fatmawati Komp. Pertokoan Duta Mas, Blok A1 No. 19, Fatmawati, Jakarta Selatan, DKI Jakarta</t>
  </si>
  <si>
    <t>PA/ACT/1904/2434/TER</t>
  </si>
  <si>
    <t>11254/SPP/008/PUSAT/ICON+/2019 | 4500013032 | 13829/SPP/008/PUSAT/ICON+/2020 | 4500014744| 16290/SPP/008/PUSAT/ICON+/2021| 4500016494</t>
  </si>
  <si>
    <t xml:space="preserve">19141/SPP/008/PUSAT/ICON+/2022        </t>
  </si>
  <si>
    <t>Lela Tobing/Bram</t>
  </si>
  <si>
    <t>021-42878833 ext 418</t>
  </si>
  <si>
    <t>D171</t>
  </si>
  <si>
    <t>E192</t>
  </si>
  <si>
    <t>F253</t>
  </si>
  <si>
    <t>Biaya sewa tahunan sebesar 10.500.000</t>
  </si>
  <si>
    <t>4500009754 | 06996/SPP/008/PUSAT/ICON+/2017 |4500010559 | 08858/SPP/008/PUSAT/ICON+/2018 | 450001168 | 11020/SPP/008/PUSAT/ICON+/2019 | 4500012942 | 13725/SPP/008/PUSAT/ICON+/2020 | 4500014634| 16289/SPP/008/PUSAT/ICON+/2021| 4500016493</t>
  </si>
  <si>
    <t>18910/SPP/008/PUSAT/ICON+/2022</t>
  </si>
  <si>
    <t>B156</t>
  </si>
  <si>
    <t>C119</t>
  </si>
  <si>
    <t>D150</t>
  </si>
  <si>
    <t>E195</t>
  </si>
  <si>
    <t>F239</t>
  </si>
  <si>
    <t>Sewa Cable Shaft sepanjang 500 meter dari Lantai Ground Floor ke Lantai Lower Ground (Kantor PLN Gambir I Cempaka Mas ke Kantor Carrefour) sebesar Rp55.000/meter/tahun</t>
  </si>
  <si>
    <t>Komplek Pertokoan Duta Mas Fatmawati Blok B1 No. 6 Jl. RS Fatmawati No. 39 12150</t>
  </si>
  <si>
    <t>08160/SPP/008/PUSAT/ICON+/2018 | 4500011262 | 10041/SPP/008/PUSAT/ICON+/2019 | 4500012436 | 12635/SPP/008/PUSAT/ICON+/2020 | 4500014316| 15566/SPP/008/PUSAT/ICON+/2021| 4500016054 | 18242/SPP/008/PUSAT/ICON+/2022 | 4500017925 | 21147 | 4500020068</t>
  </si>
  <si>
    <t>C27</t>
  </si>
  <si>
    <t>D155</t>
  </si>
  <si>
    <t>E125</t>
  </si>
  <si>
    <t>F206</t>
  </si>
  <si>
    <t>G64</t>
  </si>
  <si>
    <t>G146</t>
  </si>
  <si>
    <t xml:space="preserve"> Deposit sebesar 1.000.000</t>
  </si>
  <si>
    <t>PT. BANK SINARMAS</t>
  </si>
  <si>
    <t>Ruko Cempaka Mas Blok E No. 5-6, Jalan Letjen Suprapto, Sumur Batu, Kemayoran, Jakarta Pusat</t>
  </si>
  <si>
    <t>12151/SPP/008/PUSAT/ICON+/2019 | 4500013731 | 15235/SPP/008/PUSAT/ICON+/2021| 4500015779 | 17742/SPP/008/PUSAT/ICON+/2022 | 4500017587 | 20966 | 4500020106</t>
  </si>
  <si>
    <t>C262</t>
  </si>
  <si>
    <t>E134</t>
  </si>
  <si>
    <t>F24</t>
  </si>
  <si>
    <t>G217</t>
  </si>
  <si>
    <t>H66</t>
  </si>
  <si>
    <t>2.Biaya Perijinan PU Jakarta Utara sebesar Rp.10.000.000</t>
  </si>
  <si>
    <t>PT. TRI MANDIRI SELARAS</t>
  </si>
  <si>
    <t>Tri Mandiri Selaras, Jl. Ruko Cempaka Mas Blok J31 - 33, Komplek Ruko Cempaka Mas, Sumur Batu</t>
  </si>
  <si>
    <t>18071/SPP/008/PUSAT/ICON+/2022 | 4500017710 | 21489 | 4500020124</t>
  </si>
  <si>
    <t>brahmono</t>
  </si>
  <si>
    <t>F47</t>
  </si>
  <si>
    <t>G73</t>
  </si>
  <si>
    <t>H39</t>
  </si>
  <si>
    <t>PT SUMMIT OTO FINANCE (BLOK E NO 11-12)</t>
  </si>
  <si>
    <t>(SOF Cempaka Mas + Oto Pec) Ruko Mega Grosir Cempaka Mas Blok E 11-12, Kemayoran, Jakarta Pusat, DKI Jakarta, Indonesia, 10640</t>
  </si>
  <si>
    <t>A82130300341</t>
  </si>
  <si>
    <t>2180/SPP/SBU/ICON+/2023</t>
  </si>
  <si>
    <t>Chandra</t>
  </si>
  <si>
    <t>0819-0566-0781</t>
  </si>
  <si>
    <t>G354</t>
  </si>
  <si>
    <t>Biaya Perizinan Sewa selama 1 tahun  (90 ribu x 430 meter) Rp.38.700.000</t>
  </si>
  <si>
    <t>PT SUMMIT OTO FINANCE (BLOK I NO 48-50)</t>
  </si>
  <si>
    <t>(Sub HO Ard Cemas) Ruko Mega Grosir Cempaka Mas Blok I No. 48-50, Jl. Letjend Soeprapto, Jakarta Pusat, DKI Jakarta, Indonesia</t>
  </si>
  <si>
    <t>A82130300340</t>
  </si>
  <si>
    <t>2178/SPP/SBU/ICON+/2023</t>
  </si>
  <si>
    <t>G355</t>
  </si>
  <si>
    <t>Biaya Perizinan Sewa selama 1 tahun  (90 ribu x 280 meter) Rp.25.200.000</t>
  </si>
  <si>
    <t>PT OTO MULTIARTHA (BLOK Q NO 12-14)</t>
  </si>
  <si>
    <t>(SUB HO Cempaka Mas) Ruko Cempaka Mas Blok Q No. 12-14 Jl. Letjend Soeprapto, Jakarta Pusat, DKI Jakarta, Indonesia</t>
  </si>
  <si>
    <t>A82130300463</t>
  </si>
  <si>
    <t>2182/SPP/SBU/ICON+/2023</t>
  </si>
  <si>
    <t>G358</t>
  </si>
  <si>
    <t>Biaya Perizinan Sewa selama 1 tahun  (90 ribu x 300 meter) Rp.27.000.000</t>
  </si>
  <si>
    <t>PT BANK RAKYAT INDONESIA (PERSERO) TBK</t>
  </si>
  <si>
    <t>Jl. Harsono RM No.26, RT.6/RW.7, Ragunan, Ps. Minggu, Kota Jakarta Selatan, Daerah Khusus Ibukota Jakarta 12550</t>
  </si>
  <si>
    <t>Jl Ruko Cempaka Mas No.27, Sumur Batu, Kec. Kemayoran, Kota Jakarta Pusat, DKI Jakarta 10640</t>
  </si>
  <si>
    <t>R111205001181</t>
  </si>
  <si>
    <t>2040/SPP/SBU/ICON+/2023</t>
  </si>
  <si>
    <t>G25</t>
  </si>
  <si>
    <t>Biaya Perizinan Sewa selama 1 tahun  (90 ribu x 517 meter) Rp.46.530.000</t>
  </si>
  <si>
    <t>Ekagrata Data Gemilang</t>
  </si>
  <si>
    <t>Gedung Menara Tendean Lt.22 No.21</t>
  </si>
  <si>
    <t>H2H Gedung Menara BCA Grand Indonesia, Jl. MH Thamrin No.1, Menteng, RT.1/RW.5, Menteng,  Menteng,  Jakarta Pusat,  DKI Jakarta,  Indonesia,  10310</t>
  </si>
  <si>
    <t>PA/ACT/2212/0254</t>
  </si>
  <si>
    <t>20901/SPP/008/PUSAT/ICON+/2022 | 4500019781</t>
  </si>
  <si>
    <t>1867/SPP/SBU/ICON+/2023</t>
  </si>
  <si>
    <t>f450</t>
  </si>
  <si>
    <t>.</t>
  </si>
  <si>
    <t xml:space="preserve">PT Bank Mandiri </t>
  </si>
  <si>
    <t>Gedung Menara Tendean Lt.22 No.20</t>
  </si>
  <si>
    <t>H2H Shopee, Gedung Edge Lantai 3, Jl. Kuningan Barat Raya No. 59, RT.1/RW.3, Kuningan Barat, Jakarta, Indonesia</t>
  </si>
  <si>
    <t>20808/SPP/008/PUSAT/ICON+/2022 | 4500019676</t>
  </si>
  <si>
    <t>1868/SPP/SBU/ICON+/2023</t>
  </si>
  <si>
    <t>F432</t>
  </si>
  <si>
    <t>G384</t>
  </si>
  <si>
    <t>Biaya OTC Rp.2.500.000</t>
  </si>
  <si>
    <t xml:space="preserve">Envision </t>
  </si>
  <si>
    <t>PT Ace Hardware Indonesia</t>
  </si>
  <si>
    <t>Lahan Gandaria 8 Unit 6-H Kebayoran Lama Jakarta Selatan 12240</t>
  </si>
  <si>
    <t>Gandaria Unit 6H Jakarta 12240</t>
  </si>
  <si>
    <t>08956/SPP/008/PUSAT/ICON+/2018 | 4500011707 | 13715/SPP/008/PUSAT/ICON+/2020 | 4500014680</t>
  </si>
  <si>
    <t>16155/SPP/008/PUSAT/ICON+/2021</t>
  </si>
  <si>
    <t>Dinda</t>
  </si>
  <si>
    <t>81519819883
 021-29052905</t>
  </si>
  <si>
    <t>D161</t>
  </si>
  <si>
    <t>E413</t>
  </si>
  <si>
    <t>1.Sewa Shaft Rp.36.000.000</t>
  </si>
  <si>
    <t>PT OLAM INDONESIA</t>
  </si>
  <si>
    <t>Perkantoran Gandaria Kebayoran Baru/Mall Gandaria City (exclusive penyedia jasa telekomunikasi adalah PT Envision namun pemilik gedung adalah PT Artisan Wahyu)</t>
  </si>
  <si>
    <t>ICON-00/ACT/1201/0170 
 ICON-00/ACT/1202/0262
 ICON-00/SOP/1711/0091
 ICON-00/ACT/1708/0014</t>
  </si>
  <si>
    <t>4500009374 |06884/SPP/008/PUSAT/ICON+/2017 |4500010489 | 08524/SPP/008/PUSAT/ICON+/2018 | 4500011443 | 10463/SPP/008/PUSAT/ICON+/2019 | 4500012808</t>
  </si>
  <si>
    <t>B83</t>
  </si>
  <si>
    <t>C99</t>
  </si>
  <si>
    <t>D76</t>
  </si>
  <si>
    <t>1. Sewa Shaft untuk Penempatan 2 Core Kabel FO (PT Envision)
 2. Link Local Loop Rp2.500.000,-/bulan (PT Envision)
 3. Instalasi Rp2.500.000 (PT Envision)
 4. Jaminan Rp5.000.000 (PT Artisan Wahyu)</t>
  </si>
  <si>
    <t>PT Bank Commonwealth</t>
  </si>
  <si>
    <t>Jl Buncit Raya Lt Penthouse No.22 Jakarta 12510</t>
  </si>
  <si>
    <t>Jl. Warung Jati Barat No.22, RT.2/RW.7, Pejaten Bar., Ps. Minggu, Kota Jakarta Selatan, Daerah Khusus Ibukota Jakarta 12510</t>
  </si>
  <si>
    <t>AL/1812/21323
 AL/1812/17142</t>
  </si>
  <si>
    <t>09347/SPP/008/PUSAT/ICON+/2018 | | 11768/SPP/008/PUSAT/ICON+/2019| 4500013449 | 14227/SPP/008/PUSAT/ICON+/2020 | 4500015016|4500016628 16417/SPP/008/PUSAT/ICON+/2021 | 19803/SPP/008/PUSAT/ICON+/2022 | 4500018896</t>
  </si>
  <si>
    <t>716/SPP/SBU/ICON+/2023</t>
  </si>
  <si>
    <t>Magdalena Novita</t>
  </si>
  <si>
    <t>021-7918 2222</t>
  </si>
  <si>
    <t>C251</t>
  </si>
  <si>
    <t>D214</t>
  </si>
  <si>
    <t>E266</t>
  </si>
  <si>
    <t>F346</t>
  </si>
  <si>
    <t>G170</t>
  </si>
  <si>
    <t>1.Biaya Sewa Tahunan Rp.70.000.000,- 2.Biaya PKB sebesar Rp.8.652.573,-</t>
  </si>
  <si>
    <t xml:space="preserve">Five Pillars Indonesia Office Park </t>
  </si>
  <si>
    <t>PT. ASURANSI PERISAI LISTRIK NASIONAL</t>
  </si>
  <si>
    <t>Jl.MT Haryono Kav 58-60 Pancoran 12830</t>
  </si>
  <si>
    <t>Mulia Business Park, Jl. Letjen M.T. Haryono No.Kav. 58 - 60, Pancoran, Kec. Pancoran</t>
  </si>
  <si>
    <t>PA/ACT/2205/1484</t>
  </si>
  <si>
    <t>18786/SPP/008/PUSAT/ICON+/2022</t>
  </si>
  <si>
    <t>F159</t>
  </si>
  <si>
    <t xml:space="preserve">1.Biaya sewa tahunan Rp.63.000.000 2.Biaya Jaminan setara Sewa selama 3 Bulan  Rp.15.750.000 </t>
  </si>
  <si>
    <t>Garama Dhanalaksmi</t>
  </si>
  <si>
    <t>PT BERLIAN AMAL PERKASA</t>
  </si>
  <si>
    <t>Jl.TB Simatupang Kav.36 Jakarta Selatan</t>
  </si>
  <si>
    <t>Sovereign Plaza, Lt.16 Unit D-E, Jl. TB Simatupang No.36, RT.1/RW.2, Cilandak Barat, Jakarta Selatan, DKI Jakarta, Indonesia, 12430</t>
  </si>
  <si>
    <t>PA/ACT/2201/0439</t>
  </si>
  <si>
    <t>17660/SPP/008/PUSAT/ICON+/2022</t>
  </si>
  <si>
    <t>F4</t>
  </si>
  <si>
    <t>1.Biaya Sewa 3 tahun RFp.180.000.000</t>
  </si>
  <si>
    <t>PT. BANK BTPN Tbk
 PT. BANK DANAMON INDONESIA
 PT Bank Pembangunan Sumatera Selatan dan Bangka Belitung</t>
  </si>
  <si>
    <t>Gedung The East Building Lt. 32 Jl. Lingkar Mega Kuningan / Gedung The East Jl. DR.Ide Anak Agung Gde Agung Kav. E3.2 No. 1 Jakarta 12950
Jl. Pedurenan Masjid 1 No. 18</t>
  </si>
  <si>
    <t>Gedung The East Kawasan Mega Kuningan Jl. DR.Ide Anak Agung Gde Agung Kav. E3.2 No. 1 Jakarta 12950</t>
  </si>
  <si>
    <t>ICON-00/ACT/1506/0233
 ICON-00/ACT/1204/0114
 ICON-00/ACT/1405/0198</t>
  </si>
  <si>
    <t>4500009957
 Amandemen IV
 02031/AMDIV/061/ICON+/2017 07170/SPP/008/PUSAT/ICON+/2017 4500010668 | 08824/SPP/008/PUSAT/ICON+/2018 | 4500011647 | 11206/SPP/008/PUSAT/ICON+/2019 | 4500014577 | 13888/SPP/008/PUSAT/ICON+/2020 | 4500014817| 15962/SPP/008/PUSAT/ICON+/2021| 4500016264 | 18539/SPP/008/PUSAT/ICON+/2022 | 4500018124</t>
  </si>
  <si>
    <t>442/SPP/SBU/ICON+/2023</t>
  </si>
  <si>
    <t>4500020733</t>
  </si>
  <si>
    <t>Retno
 Jamaludin
 Endang</t>
  </si>
  <si>
    <t>021-57900690
 08129233394</t>
  </si>
  <si>
    <t>C139</t>
  </si>
  <si>
    <t>E123</t>
  </si>
  <si>
    <t>F284</t>
  </si>
  <si>
    <t>G177</t>
  </si>
  <si>
    <t>1. Sewa Shaft Kabel Rp50.000.000,-/Tahun update tahun 2016 Rp73.000.000,-/tahun 
 3. Ijin Penarikan Rp4.400.000/One Time Charged
 4. Jasa Man Hour Rp3.000.000/One Time Charged</t>
  </si>
  <si>
    <t>PT ASTARI NIAGARA INTERNATIONAL</t>
  </si>
  <si>
    <t>Jl.Gatot Subroto Kav 51-52 JAKARTA 102660</t>
  </si>
  <si>
    <t>Gedung Dipo Tower lt 10 Jl Gatot Subroto kav 50-52 Jakarta 10260</t>
  </si>
  <si>
    <t>AL/1901/1008
 AL/1901/1009
 ICON-00/SBC/1710/2251</t>
  </si>
  <si>
    <t>4500010328 |06669/SPP/008/PUSAT/ICON+/2017 | 08425/SPP/008/PUSAT/ICON+/2018 | 4500011375 | 10394/SPP/008/PUSAT/ICON+/2019 | 4500012621</t>
  </si>
  <si>
    <t>Dina Rofiana</t>
  </si>
  <si>
    <t>B76</t>
  </si>
  <si>
    <t>C36</t>
  </si>
  <si>
    <t>D205</t>
  </si>
  <si>
    <t>PT. BERLIAN SISTEM INFORMASI</t>
  </si>
  <si>
    <t>PT. Dipo Star Finance, Gedung Dipo Tower lantai 8, Jl. Jendral Gatot Subroto Kav. 52-53, Tanah Abang, Jakarta Pusat.</t>
  </si>
  <si>
    <t>PA/ACT/1908/0063/TER</t>
  </si>
  <si>
    <t>11659/SPP/008/PUSAT/ICON+/2019 | 4500013278 | 14019/SPP/008/PUSAT/ICON+/2020| 4500014888 | 17155/SPP/008/PUSAT/ICON+/2021 | 4500017142 | 20287 | 4500019423</t>
  </si>
  <si>
    <t>C202</t>
  </si>
  <si>
    <t>D179</t>
  </si>
  <si>
    <t>E397</t>
  </si>
  <si>
    <t>F402</t>
  </si>
  <si>
    <t>H29</t>
  </si>
  <si>
    <t xml:space="preserve">Gobel Dharma Nusantara </t>
  </si>
  <si>
    <t>PT. INTERNETWORK KOMUNIKASI INDONESIA</t>
  </si>
  <si>
    <t>Lahan Industri Cibitung (Jl. Dewi Sartika No. 14 Cawang II Jakarta Timur 13630)</t>
  </si>
  <si>
    <t>McD Cibitung</t>
  </si>
  <si>
    <t>19515/SPP/008/PUSAT/ICON+/2022 | 4500018572</t>
  </si>
  <si>
    <t>831/SPP/SBU/ICON+/2023</t>
  </si>
  <si>
    <t>Agus Purwanto</t>
  </si>
  <si>
    <t>021-8015666 Ext 265</t>
  </si>
  <si>
    <t>F267</t>
  </si>
  <si>
    <t>G341</t>
  </si>
  <si>
    <t>Sewa lahan Rp24.000.000/tarikan kabel/tahun</t>
  </si>
  <si>
    <t>BUT. SARULLA OPERATIONS LTD
 Bank Woori Saudara</t>
  </si>
  <si>
    <t>Gedung Graha Niaga Lantai 1 Jl. Jendral Sudirman Kav. 58 Jakarta 12190</t>
  </si>
  <si>
    <t>Gedung Graha Niaga</t>
  </si>
  <si>
    <t>4500009588 |Addendum Ke Tujuh 07234/SPP/008/PUSAT/ICON+/2017| 4500010667 | 08854/SPP/008/PUSAT/ICON+/2018 | 4500011661 | 11207/SPP/008/PUSAT/ICON+/2019 | 4500013023 | 13595/SPP/008/PUSAT/ICON+/2020 | 4500014584| 16737/SPP/008/PUSAT/ICON+/2021| 4500016619 | 18846/SPP/008/PUSAT/ICON+/2022 | 4500018224</t>
  </si>
  <si>
    <t>Hetmi</t>
  </si>
  <si>
    <t>021-2505250</t>
  </si>
  <si>
    <t>B127</t>
  </si>
  <si>
    <t>C143</t>
  </si>
  <si>
    <t>D141</t>
  </si>
  <si>
    <t>E271</t>
  </si>
  <si>
    <t>F201</t>
  </si>
  <si>
    <t>G181</t>
  </si>
  <si>
    <t>Sewa Shaft Kabel</t>
  </si>
  <si>
    <t>Jl. Raya Kebayoran Lama No. 12
Jakarta 12210</t>
  </si>
  <si>
    <t>Jl. Sumengko Wringinanom Gresik</t>
  </si>
  <si>
    <t>Graha Pena Jawa Pos Jakarta 
 Ruang Roof Top Lt.11
 Jl. Kebayoran Lama No. 12 Jakarta Selatan 12210</t>
  </si>
  <si>
    <t>4500010058 | 07709/SPP/008/PUSAT/ICON+/2017 | 4500011003 | 09908/SPP/008/PUSAT/ICON+/2018 | 4500012357 | 12451/SPP/008/PUSAT/ICON+/2019 | 4500013795 | 15074/SPP/008/PUSAT/ICON+/2020 | 4500015632 | 17614/SPP/008/PUSAT/ICON+/2022 | 4500017429 | 20990</t>
  </si>
  <si>
    <t>Putri</t>
  </si>
  <si>
    <t>021-53699542-3</t>
  </si>
  <si>
    <t>C16</t>
  </si>
  <si>
    <t>D15</t>
  </si>
  <si>
    <t>E223</t>
  </si>
  <si>
    <t>F18</t>
  </si>
  <si>
    <t>G13</t>
  </si>
  <si>
    <t>H43</t>
  </si>
  <si>
    <t>Badan Kerjasama Graha Pratama Jl. M.T. Haryono Kav.15 Jakarta 12810</t>
  </si>
  <si>
    <t>Gedung Graha Pratama Jl. M.T. Haryono Kav. 15 Jakarta (PT Circlecom Nusantara Indonesia SO No. ICON-00/ACT/1609/0121)</t>
  </si>
  <si>
    <t>4500007412 | 061521/MI/004/PUSAT/ICON+/2015 | 05297/SKU/008/PUSAT/ICON+/2015 | 07396/SPP/008/PUSAT/ICON+/2017 | 4500010777 | 08950/SPP/008/PUSAT/ICON+/2018 | 4500011706 | 11311/SPP/008/PUSAT/ICON+/2019 | 4500013066 | 13989/SPP/008/PUSAT/ICON+/2020 | 4500014889</t>
  </si>
  <si>
    <t>16302/SPP/008/PUSAT/ICON+/2021</t>
  </si>
  <si>
    <t>4500016589</t>
  </si>
  <si>
    <t>Hesti</t>
  </si>
  <si>
    <t>021-83790777</t>
  </si>
  <si>
    <t>B175</t>
  </si>
  <si>
    <t>C158</t>
  </si>
  <si>
    <t>D180</t>
  </si>
  <si>
    <t>E238</t>
  </si>
  <si>
    <t>1. Sewa shaft Rp5.000.000/tahun
 2. Biaya Supervisi Rp50.000,-/jam</t>
  </si>
  <si>
    <t>PT. ENERGY MANAGEMENT INDONESIA</t>
  </si>
  <si>
    <t xml:space="preserve">Graha Pratama RT.11/RW.5, Tebet Bar., Kec. Tebet, Kota Jakarta Selatan, Daerah Khusus Ibukota Jakart,Graha Pratama RT.11/RW.5, Tebet Bar., Kec. Tebet, Kota Jakarta </t>
  </si>
  <si>
    <t>18870/SPP/008/PUSAT/ICON+/2022 | 4500018193</t>
  </si>
  <si>
    <t xml:space="preserve">515/SPP/SBU/ICON+/2023	</t>
  </si>
  <si>
    <t>F169</t>
  </si>
  <si>
    <t>G227</t>
  </si>
  <si>
    <t>1.Biaya Sewa Shaft pertahun Rp.7.000.000,-</t>
  </si>
  <si>
    <t>PT. ACTAVIS INDONESIA
 PT. MULTIPOLAR TECHNOLOGY TBK
 PT. BERDIKARI PRIMA MANDIRI</t>
  </si>
  <si>
    <t>Talavera Office Park Jl. TB Simatupang Kav. 22 - 26 Cilandak, Jakarta - 12430</t>
  </si>
  <si>
    <t>Gedung Talavera Jl. TB Simatupang Kav. 22 - 26 Cilandak, Jakarta - 12430</t>
  </si>
  <si>
    <t>PA/UPG/1910/0013
 PA/ACT/1812/1403
 PA/ACT/1811/1742
 PA/UPG/1810/0069
 PA/ACT/1804/0538</t>
  </si>
  <si>
    <t>4500010184 | 08286/SPP/008/PUSAT/ICON+/2018 | 4500011335 | 10406/SPP/008/PUSAT/ICON+/2019 | 4500012527 | 12628/SPP/008/PUSAT/ICON+/2020 | 4500013906| 15124/SPP/008/PUSAT/ICON+/2021| 4500015726</t>
  </si>
  <si>
    <t>Froleen</t>
  </si>
  <si>
    <t>021-75 900 911</t>
  </si>
  <si>
    <t>B40</t>
  </si>
  <si>
    <t>C46</t>
  </si>
  <si>
    <t>D35</t>
  </si>
  <si>
    <t>E164</t>
  </si>
  <si>
    <t>F120</t>
  </si>
  <si>
    <t>1. Sewa Collo dan Shaft Kabel Rp84.000.000,-/tahun
 2. Biaya Instalasi Rp1.000.000,-/instalasi
 3. Jaminan Pekerjaan Rp2.000.000,-/instalasi
 4. Biaya firestop Rp250.000,-</t>
  </si>
  <si>
    <t>PC KETAPANG II LTD |PT INDONESIA COMNETS PLUS</t>
  </si>
  <si>
    <t>AL/2006/18858
PA/ACT/2210/2796</t>
  </si>
  <si>
    <t>21103/SPP/008/PUSAT/ICON+/2023</t>
  </si>
  <si>
    <t>G21</t>
  </si>
  <si>
    <t>Biaya Sewa Shaft Perangkat Selama 2 Tahun Rp.250.000.000 | Jaminan Sewa Rp.25.000.000 | Biaya Pergantian Firestopper (OTC) RP.20.000.000</t>
  </si>
  <si>
    <t>Griya Kirana Properti</t>
  </si>
  <si>
    <t>PT BCA Finance 
  PT Hanasta Dakara</t>
  </si>
  <si>
    <t>Jl. Boulevard Raya No. 1 Kelapa Gading Jakarta</t>
  </si>
  <si>
    <t>Kirana Boutique Kelapa Gading (PT BCA Finance SO No. ICON-00/ACT/1605/0532 dan PT Hanasta Dakara SO No. ICON-00/ACT/1606/0018)</t>
  </si>
  <si>
    <t>ICON-00/SBC/1612/0251
 ICON-00/ACT/1605/0532</t>
  </si>
  <si>
    <t>092317/MI/004/PUSAT/ICON+/2016
 4108916/SPR/ICON+/2016
 4320916/SPR/ICON+/2016
 5001016/SPR/ICON+/2016 07405/SPP/008/PUSAT/ICON+/2017 4500010806 | 08938/SPP/008/PUSAT/ICON+/2018 | 4500012109 | 11402/SPP/008/PUSAT/ICON+/2019 | 4500013331 | 14253/SPP/008/PUSAT/ICON+/2020 | 4500015142</t>
  </si>
  <si>
    <t>16575/SPP/008/PUSAT/ICON+/2021</t>
  </si>
  <si>
    <t>Agus Sunarto</t>
  </si>
  <si>
    <t>021-29375657</t>
  </si>
  <si>
    <t>B151</t>
  </si>
  <si>
    <t>C218</t>
  </si>
  <si>
    <t>D296</t>
  </si>
  <si>
    <t>E320</t>
  </si>
  <si>
    <t>1 Jaminan Rp5.000.000,-
 2. Pembayaran Terminasi Rp2.500.000/pelanggan
 3. Biaya Administrasi Rp150.000,-
 4. Biaya sewa Rp23.000.000,-</t>
  </si>
  <si>
    <t>PT TERA LOGISTIC INDONESIA</t>
  </si>
  <si>
    <t>JL. Abdul Muis No. 50 Gambir, Jakarta Pusat, DKI Jakarta, Indonesia</t>
  </si>
  <si>
    <t>15824/SPP/008/PUSAT/ICON+/2021 | 4500016197 | 17690/SPP/008/PUSAT/ICON+/2022 | 4500017689 | 21042 | 4500019932</t>
  </si>
  <si>
    <t>Lia Simorangkir</t>
  </si>
  <si>
    <t>021-3505350</t>
  </si>
  <si>
    <t>E59</t>
  </si>
  <si>
    <t>F80</t>
  </si>
  <si>
    <t>G54</t>
  </si>
  <si>
    <t>H38</t>
  </si>
  <si>
    <t>Grya Mekar Abadi</t>
  </si>
  <si>
    <t>PT MITRA VISIONER PRATAMA</t>
  </si>
  <si>
    <t>Jl Abdul Muis No.46 Jakarta Pusat 10160</t>
  </si>
  <si>
    <t>Jl. Abdul Muis No. 46, Petojo Selatan, Gambir, Jakarta</t>
  </si>
  <si>
    <t>PA/ACT/1802/1734</t>
  </si>
  <si>
    <t>08161/SPP/008/PUSAT/ICON+/2018 | 4500011289</t>
  </si>
  <si>
    <t>10492/SPP/008/PUSAT/ICON+/2019</t>
  </si>
  <si>
    <t>Roni Saputra &lt;roni.saputra@gkabadi.com&gt;</t>
  </si>
  <si>
    <t>B28</t>
  </si>
  <si>
    <t>C69</t>
  </si>
  <si>
    <t xml:space="preserve">Hadisurjo Propertama </t>
  </si>
  <si>
    <t>PT MORA TELEMATIKA INDONESIA</t>
  </si>
  <si>
    <t>Gedung Graha Kencana Sejahtera Jl. Raya Perjuangan No. 88 Jakarta Barat 11530</t>
  </si>
  <si>
    <t>Gedung Graha Kencana</t>
  </si>
  <si>
    <t>ICON-00/SBC/1411/0452</t>
  </si>
  <si>
    <t>4500009406 | Addendum VI |06887/SPP/008/PUSAT/ICON+/2017 |4500010479 |08554/SPP/008/PUSAT/ICON+/2018 | 4500011461 | 10710/SPP/008/PUSAT/ICON+/2019 | 4500012926</t>
  </si>
  <si>
    <t>Bapak Iwan dan Ibu Neli</t>
  </si>
  <si>
    <t>53679658 ext 323(iwan) Neli (305)</t>
  </si>
  <si>
    <t>B82</t>
  </si>
  <si>
    <t>C127</t>
  </si>
  <si>
    <t>D206</t>
  </si>
  <si>
    <t>1. Sewa Shaft Cable Rp33.000.000/tahun
 2. Jaminan sebesar 30% dari biaya sewa Rp7.200.000,-</t>
  </si>
  <si>
    <t>PT Goto (Gojek Tokopedia)</t>
  </si>
  <si>
    <t>Jalan Batan Lebak Bulus Raya No. Z8 Lebak Bulus, Cilandak</t>
  </si>
  <si>
    <t>MMR Building Pasaraya Blok M Gedung B Lt. 6</t>
  </si>
  <si>
    <t>3767/SPP/SBU/PLNICONPLUS/2024</t>
  </si>
  <si>
    <t>Ibu Soraya</t>
  </si>
  <si>
    <t>0877-7010-1025</t>
  </si>
  <si>
    <t>H317</t>
  </si>
  <si>
    <t>Metro Admedia + Metro Global Sekawan Komunika
 Trunk to CPE Interconnection ICON Cyber (172.16.40.237)
 ### METRO INFRATEL BEKASI - Gd. CYBER lokasi CYBER Lt. 4###
 Trunk to NNI to PT Envison
 ### METRO PHISON W.T. link Cyber Twins (Satnet lt 4) ke Tangerang ###
 ### METRO.BITNET.to.Metro.Angke ###
 0990000320480362 Metro Sistelindo Mitralintas PT Sungintex Kawasan Indutri Wijayakusuma Kendal Km 12 - Cyber LT 7 [112016] NEWACT
 01000011260 Metro P2MP Media Andalan Nusa Backhaul Cyber 1 Jl.Kuningan Barat No 8 Mampang [HO]
 01000008284 Metro Voltras International - Kereta Api Indonesia Jl. Perintis Kemerdekaan No.1 Babakan Ciamis Sumur Bandung
 Trunk to NNI Metro Hipernet Indodata
 INTERCONNECTION CUSTOMER VIA NNI TELKOM
 Link.to.Telkom.45(up grade become 90 Mbps).Mbps
 Trunk to PT SISTELINDO MITRALINTAS
 01000043951 Metro P2MP Pemprov DKI Jakarta Gedung Teknis Kuningan(Epicentrum Mall PTSP) JL.HR Rasuna Said Kav C/21
 0990000320486961 Metro Bank BTPN 0043 Retail KC Rasuna Said (TB Simatupang) - Data Center IBM [via Megatel-NetStar]
 01000037728 Metro Jetcoms Netindo - Pt.Conservation International,Jl.Pejatan Barat Raya Ragunan Jaksel
 0990000320403537 IPVPN Design Jaya Indonesia Cyber Backhaul
 NMS PDH RAD Gd.Cyber Lt7 - GIS Mampang 2 (10.10.31.147)
 01000027252 Metro Metro PT.Transdata Sejahtera Perumahan Citra Harmony KM 20,Sidoarjo,Kabupaten Sidoarjo,Jawa Timur
 0990000020261893 Metro Interlink Technology Container Terminal Priok - Cyber
 0990000320317952 Metro Hanasta Dakara PT. Hankook Tire Indonesia bekasi
 Trunk to Metro DIGISAT CYBER LT
 Interkoneksi NNI Indosat Trans Retail
 Trunk to Metro Lintas Data Prima JKT
 0990000320349420 Metro IFORTE GLOBAL INTERNET Cyber to Hotel Sheraton Bali (SOP: 11042017 20Mbp s-100M bps)
 [01000036751 Taman Bintaro] [01000049301 Nok Indonesia] Total Info Kharisma
 0990000020277036 Metronet Kresna Graha Sekurindo Cyber - Diponegoro Medan
 01000012215 Metro Hanasta Dakara - Daehal Tegal Jl. Raya Pantura No. 600 Pejagan Tanjung
 01000089640 Metro Berdikari Prima Mandiri Gedung Plaza Mandiri LT. 4 Jl. Jend Gatot Subroto Kav. 36-38 Kebayoran Baru
 01000033540 Metro Qinq PT.Tujuh Akses Mentari Prima CV.Putera Anteja,JL.Temanggung Jalil No.08 RT.04 Kel. Kebun Sari Kalimantan Selatan
 0990000320655557 Metro Dutakom Wibawa Putra IDC Cyber - Jl. A. A Gede Ngurah Mataram
 0990000320427741 Metro PT Kresna Securities Solo - Cyber Lt 7
 01000021124 Metronet P2MP PT.Tujuh Akses Mentari Prima Gedung Cyber Lt.7,Jl.Kuningan Barat Raya No.8,Ma
 [01000037030 Holcim Tuban][01000037012:01000037008 Metro Telekomunikasi Indonesia - PT Holcim,Talavera
 01000101781;01000101778 Metro Interlink Technology Cyber - Bppt Wisma Teknologi Bppt Tugu Selatan Cisar
 Link to RKAL-BALIKPAPAN.PLN.WIL-ASR920-NPE-01 via Telkom 500Mbps CID: 1-3778110713
 Interconnection Gbic Optical Jakarta-Bangka 50 Mb ps via Telkom Antarpulau
 Link to SBS-CABANG.BANGKABELITUNG-ME3600-UPE-01 04 C825L10 EOS via XL 45Mbps (3rd Party)
 01000103670 Metro Qinq Maxindo Mitra Solusi Cyber IDC Data Center - Hotel Aria Gajayana Malang
 Trunk to PT Flash Mobile Cyber Lantai 10
 01000004416 Metro Maxindo Mitra Solusi Cyber - The Oasis Cikarang Jl.Raya Cikarang Cibarusah Kav. 1
 01000089516 Metro Dutakom Wibawa Putra Villa Sorga, Senggigi. Lombok. NTB.
 [01000037010 Holcim Cilacap] [01000037013 Holcim Site Lhoknga] Metro Telekomunikasi Indonesia
 0990000320299558 Metro Parsaoran Global Datatrans MM 2100 Industrial Town - IDC
 0990000320325774 Metro PT Gaharu sejahtera CATI Jl.Malabar 67 - Cyber lt 7
 01000010133 Metro P2MP Maxindo Mitra Solusi Backhaul Gedung Cyber Lt.7 - IDC Data Center Jl.Kuningan Barat No.8 Jakarta Selatan
 01000046778 Metro Cakramedia Indocyber Cyber 1 - Central Mega Kencana Sintesis Tower LT. 9 &amp; 10
 0990000320380149 Metronet Cyber building Lt. 7 - Kawasan Industri MM2100 Jl. Irian I Blok GG 5-1, Desa Danau Indah. Cikarang Barat
 [01000047592 Karawang Branch] [01000048274 ESD Branch] Hutchison 3 Indonesia Gedung Cyber Jl. Kuningan Barat Raya
 NNI PT. Solusindo Bintang Pratama Cyber 1 Lt.7
 0990000320472933 Metro P2MP iForte Global Internet Cyber Lt. 7 - Backhaul
 01000029657 Metro Qinq Hanasta Dakara (Backhaul)
 Trunk to Perangkat Gravitti Technology Cyber1
 01000120463 Qinq Metro Ethernet PT Ajin Solusindo Cyber Building Jakarta Gedung Cyber - Telkomsel TTC Buaran</t>
  </si>
  <si>
    <t>15034/SPP/008/PUSAT/ICON+/2020|4500015580 | 17627/SPP/008/PUSAT/ICON+/2022 | 4500017631</t>
  </si>
  <si>
    <t xml:space="preserve">21067/SPP/008/PUSAT/ICON+/2023        </t>
  </si>
  <si>
    <t>Rahmat
 Galih / Nopita</t>
  </si>
  <si>
    <t>D357</t>
  </si>
  <si>
    <t>F71</t>
  </si>
  <si>
    <t>G131</t>
  </si>
  <si>
    <t>PT Central Online
 PT. NETTOCYBER INDONESIA
 PT. MEDIA SARANA DATA
 PT. SISTELINDO MITRALINTAS
 PT. SISTELINDO MITRALINTAS
 PT. INDOSAT TBK
 PT. HANASTA DAKARA
 PT Sprint 
 PT. GAHARU SEJAHTERA
 PT. TOTAL INFO KHARISMA
 PT. VARNION INTERNASIONAL
 PT. INTERLINK TECHNOLOGY
 PT. GAHARU SEJAHTERA
 PT. AJN SOLUSINDO</t>
  </si>
  <si>
    <t>Cyber Building Jakarta Gedung Cyber, Lantai 7 Jl. Kuningan Barat No.8, -, Jakarta Selatan, DKI Jakarta, Indonesia, 12710</t>
  </si>
  <si>
    <t>15660/SPP/008/PUSAT/ICON+/2021| 4500016114 | 18423/SPP/008/PUSAT/ICON+/2022 | 4500018004</t>
  </si>
  <si>
    <t>325/SPP/PUSAT/ICON+/2023</t>
  </si>
  <si>
    <t>E29</t>
  </si>
  <si>
    <t>F209</t>
  </si>
  <si>
    <t>G260</t>
  </si>
  <si>
    <t>1.Pembayaran sewa cross connect Rp.1.164.000.000</t>
  </si>
  <si>
    <t xml:space="preserve">all pelanggan di IDC </t>
  </si>
  <si>
    <t>Gedung IDC 3D Jl.Duren Tiga raya 7 Jakarta selatan</t>
  </si>
  <si>
    <t>3370/SPP/SBU/PLNICONPLUS/2024</t>
  </si>
  <si>
    <t>F154</t>
  </si>
  <si>
    <t>H219</t>
  </si>
  <si>
    <t>1.Pembayaran sewa collocation Rp.928.800.000</t>
  </si>
  <si>
    <t>PT MEDIA SARANA DATA (GMEDIA)
 PT MEDIA SARANA DATA (GMEDIA)
 PT MEDIA SARANA DATA (GMEDIA)
 PT MEDIA SARANA DATA (GMEDIA)
 PT MEDIA SARANA DATA (GMEDIA)
 ADI INTI MANDIRI SOLUSI
 PT. SMART MEDIA PRATAMA
 PT IFORTE GLOBAL INTERNET
 PT. PRIMACOM INTERBUANA
 PT IFORTE GLOBAL INTERNET
 PT MITRA AKSES GLOBALINDO
 PT MITRA AKSES GLOBALINDO
 PT INDOMARCO PRISMATAMA</t>
  </si>
  <si>
    <t>Gedung IDC 3D Lt.2
 IDC Rack Centre No. Winter WI 275</t>
  </si>
  <si>
    <t>ICON-00/ACT/1506/0013
 ICON-00/ACT/1501/0581
 ICON-00/ACT/1707/0013
 ICON-00/SOP/1701/0179
 ICON-00/SOP/1701/0223
 ICON-00/ACT/1703/1299
 ICON-00/ACT/1704/0102
 ICON-00/ACT/1610/0834
 ICON-00/SOP/1704/0167
 ICON-00/ACT/1706/0015
 ICON-00/DOW/1612/0003
 ICON-00/MIG/1504/0003
 ICON-00/ACT/1608/0290
 ICON-00/ACT/1611/0130
 ICON-00/ACT/1611/0131
 ICON-00/ACT/1504/0302</t>
  </si>
  <si>
    <t>4500009931|07901/SPP/008/PUSAT/ICON+/2018 | 4500011117 | 09589/SPP/008/PUSAT/ICON+/2018 | 4500012153 | 11787/SPP/008/PUSAT/ICON+/2019 | 4500013407 | 14449/SPP/008/PUSAT/ICON+/2020 | 4500015278| 4500016857 | 19809/SPP/008/PUSAT/ICON+/2022 | 4500018921</t>
  </si>
  <si>
    <t>1979/SPP/SBU/ICON+/2023</t>
  </si>
  <si>
    <t>021-7987982</t>
  </si>
  <si>
    <t>B4</t>
  </si>
  <si>
    <t>C227</t>
  </si>
  <si>
    <t>E229</t>
  </si>
  <si>
    <t>E386</t>
  </si>
  <si>
    <t>F352</t>
  </si>
  <si>
    <t>G388</t>
  </si>
  <si>
    <t>Sewa Shaft Kabel dan Collo</t>
  </si>
  <si>
    <t>20204/SPP/008/PUSAT/ICON+/2022 | 4500019285</t>
  </si>
  <si>
    <t>2049/SPP/SBU/ICON+/2023</t>
  </si>
  <si>
    <t>F414</t>
  </si>
  <si>
    <t>G347</t>
  </si>
  <si>
    <t>1.Pembayaran sewa collocation Rp.145.825.000</t>
  </si>
  <si>
    <t>Project Improvement Backbone All Pelanggan</t>
  </si>
  <si>
    <t>PT Internetindo Data Centra Indonesia, Gedung IDC 3D Duren Tiga, Jakarta</t>
  </si>
  <si>
    <t>21579/SPP/008//PUSAT/ICON+/2023 | 4500020250</t>
  </si>
  <si>
    <t>3212/SPP/SBU/PLNICONPLUS/2024</t>
  </si>
  <si>
    <t>G57</t>
  </si>
  <si>
    <t>H522</t>
  </si>
  <si>
    <t>1.pembayaran sewa collocation Rp.246.050.000</t>
  </si>
  <si>
    <t>Tambahan Project DWDM NAP 100G Jakarta</t>
  </si>
  <si>
    <t>15097/SPP/008/PUSAT/ICON+/2021 | 4500015736 | 20819/SPP/008/PUSAT/ICON+/2022 | 4500019851</t>
  </si>
  <si>
    <t>1980/SPP/SBU/ICON+/2023</t>
  </si>
  <si>
    <t>E5</t>
  </si>
  <si>
    <t>F460</t>
  </si>
  <si>
    <t>G349</t>
  </si>
  <si>
    <t>PT. JARING SOLUSI APLIKASI</t>
  </si>
  <si>
    <t>12413/SPP/008/PUSAT/ICON+/2019 | 4500013714 | 14772/SPP/008/PUSAT/ICON+/2020 | 4500015691 | 4500020210</t>
  </si>
  <si>
    <t>Sugiharti &lt;sugiharti@indonet.co.id&gt;</t>
  </si>
  <si>
    <t>021-73882525</t>
  </si>
  <si>
    <t>C270</t>
  </si>
  <si>
    <t>E150</t>
  </si>
  <si>
    <t>G205</t>
  </si>
  <si>
    <t>H40</t>
  </si>
  <si>
    <t>1.Biaya sewa pertahun sebesar Rp.2.500.000</t>
  </si>
  <si>
    <t>PT. BANK BCA SYARIAH</t>
  </si>
  <si>
    <t>Jl. Rempoa Raya No. 11 Ciputat Tangerang Selatan Banten 15412, Indonesia</t>
  </si>
  <si>
    <t>(Open Port) DRC IPVPN Jl. Rempoa Raya No. 11</t>
  </si>
  <si>
    <t>PA/ACT/2209/2406</t>
  </si>
  <si>
    <t>20069/SPP/008/PUSAT/ICON+/2022 | 4500019045</t>
  </si>
  <si>
    <t>2112/SPP/SBU/ICON+/2023</t>
  </si>
  <si>
    <t>F332</t>
  </si>
  <si>
    <t>G378</t>
  </si>
  <si>
    <t>1.Biaya Sewa Pertahun sebesar Rp.12.000.000,- 2. OTC Rp.1.000.000,-</t>
  </si>
  <si>
    <t>PT. PRIMACOM INTERBUANA qq Bank Harda</t>
  </si>
  <si>
    <t>Bank Harda lnternational (DC) Rumah lndonet Rempoa Jl. Rempoa Raya No, 11, Bintaro, Kota Administrasi Jakarta Selatan, DKI Jakarta, Indonesia,</t>
  </si>
  <si>
    <t>13706/SPP/008/PUSAT/ICON+/2020 | 4500014679</t>
  </si>
  <si>
    <t>D162</t>
  </si>
  <si>
    <t>F470</t>
  </si>
  <si>
    <t>1.Biaya Sewa Pertahun sebesar Rp.2.500.000,-</t>
  </si>
  <si>
    <t>PT Primacom Interbuana qq Bank Ina Perdana</t>
  </si>
  <si>
    <t>Bank Ina Perdana (DRC) Indonet Jl. Rempoa Raya No.11, Rempoa, Ciputat Tim., Kota Tangerang Selatan, Banten 15412</t>
  </si>
  <si>
    <t>10136/SPP/008/PUSAT/ICON+/2019 | 4500012440 | 12655/SPP/008/PUSAT/ICON+/2020 | 4500014170 | 15269/SPP/008/PUSAT/ICON+/2021 | 4500015778</t>
  </si>
  <si>
    <t>C12</t>
  </si>
  <si>
    <t>D78</t>
  </si>
  <si>
    <t>E41</t>
  </si>
  <si>
    <t>F469</t>
  </si>
  <si>
    <t>1.Biaya Sewa Tahunan 2.000.000</t>
  </si>
  <si>
    <t>Cyber Building Jl. Kuningan Barat No. 8 Jakarta 12710</t>
  </si>
  <si>
    <t>PA/ACT/1801/0637/TER</t>
  </si>
  <si>
    <t>08706/SPP/008/PUSAT/ICON+/2018 | 4500011569</t>
  </si>
  <si>
    <t>10598/SPP/008/PUSAT/ICON+/2019</t>
  </si>
  <si>
    <t>B91</t>
  </si>
  <si>
    <t>C154</t>
  </si>
  <si>
    <t>1.Biaya Sekali Bayar Rp.3.500.000,- 2.Biaya PKB (Aktivasi )Rp.8,577.508,-</t>
  </si>
  <si>
    <t>BCA Syariah</t>
  </si>
  <si>
    <t>Data Center Indonet Jalan Rempoa Raya No. 11 Ciputat Tanggerang - Interkoneksi dari rack ICON+ menuju (BCA Syariah) No. Pel :005900053210845</t>
  </si>
  <si>
    <t>ICON-00/ACT/1409/0150
 ICON-00/ACT/1409/0148</t>
  </si>
  <si>
    <t>0811216/SPR/ICON+/2016 07728/SPP/008/PUSAT/ICON+/2017 4500011022 | 09439/SPP/008/PUSAT/ICON+/2018 | 4500012005 | 11785/SPP/008/PUSAT/ICON+/2019 | 4500013416| 14464/SPP/008/PUSAT/ICON+/2020| 4500015272 | 17323/SPP/008/PUSAT/ICON+/2021 | 4500017890</t>
  </si>
  <si>
    <t>19751/SPP/008/PUSAT/ICON+/2022</t>
  </si>
  <si>
    <t>B247</t>
  </si>
  <si>
    <t>C223</t>
  </si>
  <si>
    <t>D319</t>
  </si>
  <si>
    <t>F131</t>
  </si>
  <si>
    <t>F416</t>
  </si>
  <si>
    <t>1. colocation perangkat ICON+ (1/2 rack) dan akses masuk Rp48.000.000 update harga 2015 Rp58.200.000/tahun
 2. Sewa Shaft Kabel Rp2.500.000/tahun update tahun 2014 Rp2.500.000/tahun
 3. Layanan Koneksi VPN Rp2.500.000/bulan harga tahun 2012</t>
  </si>
  <si>
    <t>Data Center Indonet Jalan Rempoa Raya No. 11 Ciputat Tanggerang - Interkoneksi dari rack ICON+ menuju (Pelanggan PT Jatelindo Perkasa Abadi)No. Pel : 0053210845</t>
  </si>
  <si>
    <t>ICON-00/SBC/1503/0316</t>
  </si>
  <si>
    <t>2520217/SPR/ICON+/2017 | 08034/SPP/008/PUSAT/ICON+/2018 | 4500011195| 10068/SPP/008/PUSAT/ICON+/2019| 4500012411</t>
  </si>
  <si>
    <t>19594/SPP/008/PUSAT/ICON+/2022</t>
  </si>
  <si>
    <t>B26</t>
  </si>
  <si>
    <t>C57</t>
  </si>
  <si>
    <t>F286</t>
  </si>
  <si>
    <t>1. colocation perangkat ICON+ (1/2 rack) dan akses masuk Rp48.000.000 update harga 2015 Rp58.200.000/tahun
 2. Sewa Shaft Kabel Rp2.500.000/tahun update tahun 2014 Rp2.750.000/tahun
 3. Layanan Koneksi VPN Rp2.500.000/bulan harga tahun 2012</t>
  </si>
  <si>
    <t>PT Citra Sari Makmur</t>
  </si>
  <si>
    <t>Data Center Indonet Jalan Rempoa Raya No. 11 Ciputat Tanggerang - Interkoneksi dari rack ICON+ menuju Bank Chinatrust (Pelanggan PT Citra Sari Makmur) No. Pel : 0053210845 [ Note : ICON+ To Pactindo)</t>
  </si>
  <si>
    <t>032420/SPR/008/PUSAT/ICON+/2016 | 07726/SPP/008/PUSAT/ICON+/2017 | 4500011000 | 07726/SPP/008/PUSAT/ICON+/2017 | 4500011383| 10300/SPP/008/PUSAT/ICON+/2019| 4500012487</t>
  </si>
  <si>
    <t>B147</t>
  </si>
  <si>
    <t>C37</t>
  </si>
  <si>
    <t>F287</t>
  </si>
  <si>
    <t>PT. Bank Index Selindo Rempoa</t>
  </si>
  <si>
    <t>Data Center Indonet Rempoa
 Jl. Rempoa Raya No 11 Ciputat Tangerang Selatan 15412</t>
  </si>
  <si>
    <t>08456/SPP/008/PUSAT/ICON+/2018 | 4500011386 | 10377/SPP/008/PUSAT/ICON+/2019 | 4500012490</t>
  </si>
  <si>
    <t>B98</t>
  </si>
  <si>
    <t>C54</t>
  </si>
  <si>
    <t>E136</t>
  </si>
  <si>
    <t>1.OTC Rp.3.500.000,- 2.Biaya Sewa Tahunan Rp.2.500.000,-</t>
  </si>
  <si>
    <t>21846/SPP/008/PUSAT/ICON+/2023</t>
  </si>
  <si>
    <t>08458/SPP/008/PUSAT/ICON+/2018 | 4500011387 | 10941/SPP/008/PUSAT/ICON+/2019 | 4500013033| 13050/SPP/008/PUSAT/ICON+/2020| 4500014248 | 18718/SPP/008/PUSAT/ICON+/2022| 4500018609 |  21846/SPP/008/PUSAT/ICON+/2023 | 4500020390</t>
  </si>
  <si>
    <t>3094/SPP/SBU/PLNICONPLUS/2024</t>
  </si>
  <si>
    <t>B97</t>
  </si>
  <si>
    <t>C149</t>
  </si>
  <si>
    <t>E224</t>
  </si>
  <si>
    <t>F345</t>
  </si>
  <si>
    <t>G98</t>
  </si>
  <si>
    <t>H167</t>
  </si>
  <si>
    <t>1.Biaya Sewa Tahunan Rp.2.500.000,-</t>
  </si>
  <si>
    <t>BPR SUPRA ARTA PERSADA</t>
  </si>
  <si>
    <t>PA/ACT/1804/0612</t>
  </si>
  <si>
    <t>08544/SPP/008/PUSAT/ICON+/2018 | 4500011467</t>
  </si>
  <si>
    <t>10908/SPP/008/PUSAT/ICON+/2019</t>
  </si>
  <si>
    <t>C247</t>
  </si>
  <si>
    <t>XL Axiata qq Bank Sahabat Sampoerna</t>
  </si>
  <si>
    <t>08578/SPP/008/PUSAT/ICON+/2018 | 4500011486</t>
  </si>
  <si>
    <t>F471</t>
  </si>
  <si>
    <t>1.Biaya OTC Rp 5.000.000,- 2.Biaya Sewa Tahunan Rp.2.500.000,-</t>
  </si>
  <si>
    <t>AR/RLK/1807/0002</t>
  </si>
  <si>
    <t>08955/SPP/008/PUSAT/ICON+/2018 4500011692 | 12656/SPP/008/PUSAT/ICON+/2020 | 4500014171 | 15268/SPP/008/PUSAT/ICON+/2021 | 4500015812</t>
  </si>
  <si>
    <t>19579/SPP/008/PUSAT/ICON+/2022</t>
  </si>
  <si>
    <t>D75</t>
  </si>
  <si>
    <t>E40</t>
  </si>
  <si>
    <t>F427</t>
  </si>
  <si>
    <t>PT. AKSES CIPTA SOLUSI</t>
  </si>
  <si>
    <t>DC Rempoa Rack A03 - Lantai 1, Jl. Rempoa Raya No.11, Rempoa</t>
  </si>
  <si>
    <t>21673 | 4500020166</t>
  </si>
  <si>
    <t>G65</t>
  </si>
  <si>
    <t>H65</t>
  </si>
  <si>
    <t>OTC Rp.1.000.000</t>
  </si>
  <si>
    <t>PT Pratama Link</t>
  </si>
  <si>
    <t>Gedung Cyber Lt.8 (Data Center Indonet-Rack Pactindo)-(Pelanggan PT Pratama Link So No. ICON-00/ACT/1608/0127) R A05 No. Pelanggan 0054981024</t>
  </si>
  <si>
    <t>ICON-00/ACT/1608/0127</t>
  </si>
  <si>
    <t>0801216/MI/004/PUSAT/ICON+/2016 | 08946/SPP/008/PUSAT/ICON+/2018 | 11627/SPP/008/PUSAT/ICON+/2019| 4500013296
 0801216/SPR/ICON+/2016 07727/SPP/008/PUSAT/ICON+/2017 4500010999 | 4500011705 | 13982/SPP/008/PUSAT/ICON+/2020 | 4500014894| 16542/SPP/008/PUSAT/ICON+/2021</t>
  </si>
  <si>
    <t>19752/SPP/008/PUSAT/ICON+/2022</t>
  </si>
  <si>
    <t>B152</t>
  </si>
  <si>
    <t>C198</t>
  </si>
  <si>
    <t>D183</t>
  </si>
  <si>
    <t>E306</t>
  </si>
  <si>
    <t>F341</t>
  </si>
  <si>
    <t>1. colocation perangkat ICON+ (1/2 rack) dan akses masuk Rp48.000.000 update harga 2015 Rp58.200.000/tahun
 2. Sewa Shaft Kabel Rp3.500.000
 3. Layanan Koneksi VPN Rp2.500.000/bulan harga tahun 2012</t>
  </si>
  <si>
    <t>Gedung Cyber Lt.8 (Data Center Indonet)-(Pelanggan Bank Woori Saudara terminating PT Sarana Pactindo Jl. Rempoa Raya No. 11 Ciputat Tangerang Selatan So No. ICON-00/ACT/1603/0285) No. Pel : 0053210845</t>
  </si>
  <si>
    <t>ICON-00/SBC/1606/0180</t>
  </si>
  <si>
    <t>083011/MI/004/PUSAT/ICON+/2016 | 07724/SPP/008/PUSAT/ICON+/2017 | 4500011001 | 08449/SPP/008/PUSAT/ICON+/2018 | 4500011394 | 10336/SPP/008/PUSAT/ICON+/2019 | 4500012503 | 13123/SPP/008/PUSAT/ICON+/2020 | 4500014203| 15568/SPP/008/PUSAT/ICON+/2021| 4500016055 | 18314/SPP/008/PUSAT/ICON+/2022 | 4500017880</t>
  </si>
  <si>
    <t>99/SPP/SBU/ICON+/2023</t>
  </si>
  <si>
    <t>B104</t>
  </si>
  <si>
    <t>C48</t>
  </si>
  <si>
    <t>D93</t>
  </si>
  <si>
    <t>E74</t>
  </si>
  <si>
    <t>F130</t>
  </si>
  <si>
    <t>Gedung Cyber Lt.8 (Data Center Indonet)-(Pelanggan PT Primacom Interbuana- Bank Agris ACTIVE sejak tanggal 04 Feb 2015 dan periode sewa 2015 belum ditagihkan) No. Pel : 0053210845</t>
  </si>
  <si>
    <t>0630317/SPR/ICON+/2017 | 08296/SPP/008/PUSAT/ICON+/2018 | 4500011350 | 10045/SPP/008/PUSAT/ICON+/2019 | 4500012382| 12706/SPP/008/PUSAT/ICON+/2020| 4500013985</t>
  </si>
  <si>
    <t>B56</t>
  </si>
  <si>
    <t>C22</t>
  </si>
  <si>
    <t>D68</t>
  </si>
  <si>
    <t>F290</t>
  </si>
  <si>
    <t>Gedung Indonet / Jl. Rempoa Raya No. 11, Ciputat Tangerang Selatan (Rack Pactindo)</t>
  </si>
  <si>
    <t>ICON-00/SBC/1606/0028 / 0990000320461929
 ICON-00/SBC/1606/0029 / 0990000320461930)</t>
  </si>
  <si>
    <t>07867/SPP/008/PUSAT/ICON+/2017 | 4500011118 | 08484/SPP/008/PUSAT/ICON+/2018 | 4500011424 | 10718/SPP/008/PUSAT/ICON+/2019 | 4500012763</t>
  </si>
  <si>
    <t>B142</t>
  </si>
  <si>
    <t>C96</t>
  </si>
  <si>
    <t>D94</t>
  </si>
  <si>
    <t>PT. BANK RAKYAT INDONESIA (PERSERO) TBK</t>
  </si>
  <si>
    <t>H2H Bus Suroboyo Gedung Data Center Indonet, Jl. Rempoa Raya No.11, Rempoa</t>
  </si>
  <si>
    <t>21577 | 4500020097</t>
  </si>
  <si>
    <t>G60</t>
  </si>
  <si>
    <t>H69</t>
  </si>
  <si>
    <t>1.Biaya Sewa 1 Tahun Rp.12.000.000 | 2.OTC Rp.1.000.000</t>
  </si>
  <si>
    <t>PT Widya Intersat Nusantara</t>
  </si>
  <si>
    <t>Jl Kuningan Barat No 8 Mampang Prapatan</t>
  </si>
  <si>
    <t>PA/RLK/1902/0054</t>
  </si>
  <si>
    <t>10500/SPP/008/PUSAT/ICON+/2019 | 4500012608 | 16050/SPP/008/PUSAT/ICON+/2021 | 4500016393 | 16347/SPP/008/PUSAT/ICON+/2021 |  4500016529</t>
  </si>
  <si>
    <t>021-73882527</t>
  </si>
  <si>
    <t>C44</t>
  </si>
  <si>
    <t>E177</t>
  </si>
  <si>
    <t>E239</t>
  </si>
  <si>
    <t>PT. Integra Multi Solusi</t>
  </si>
  <si>
    <t>Jl. Rempoa Raya No.11, Kota Tangerang, Banten</t>
  </si>
  <si>
    <t>PA/ACT/2303/0373</t>
  </si>
  <si>
    <t>16009/SPP/008/PUSAT/ICON+/2021 | 4500016292 | 18995/SPP/008/PUSAT/ICON+/2022</t>
  </si>
  <si>
    <t xml:space="preserve">	807/SPP/SBU/ICON+/2023</t>
  </si>
  <si>
    <t>E98</t>
  </si>
  <si>
    <t>G228</t>
  </si>
  <si>
    <t>G330</t>
  </si>
  <si>
    <t>1.Biaya Sewa Pertahun sebesar Rp.12.000.000,-</t>
  </si>
  <si>
    <t>PT. MEGA AUTO FINANCE</t>
  </si>
  <si>
    <t>Jl. Rempoa Raya No.11, Rempoa, Ciputat Timur, Tangerang</t>
  </si>
  <si>
    <t>PA/ACT/1905/0177</t>
  </si>
  <si>
    <t>10894/SPP/008/PUSAT/ICON+/2019</t>
  </si>
  <si>
    <t>021-73882528</t>
  </si>
  <si>
    <t>C108</t>
  </si>
  <si>
    <t>PSN Mega Kuningan ,5th Floor Ged. Kantor Taman A9 Unit C3 &amp; C4Jl. Mega Kuningan Raya Lot. 8/9 No.9 Jakarta 12950</t>
  </si>
  <si>
    <t>13317/SPP/008/PUSAT/ICON+/2020 | 4500014386 | 18850/SPP/008/PUSAT/ICON+/2022 | 4500018610</t>
  </si>
  <si>
    <t>3207/SPP/SBU/PLNICONPLUS/2024</t>
  </si>
  <si>
    <t>D137</t>
  </si>
  <si>
    <t>F348</t>
  </si>
  <si>
    <t>G138</t>
  </si>
  <si>
    <t>1.Biaya Sewa Cable Shaft Rp.12.000.000 2.OTC Rp.1.000.000</t>
  </si>
  <si>
    <t>PT Sarana Pactindo - Jl. Rempoa Raya No.11, Rempoa</t>
  </si>
  <si>
    <t>20860 | 4500019841</t>
  </si>
  <si>
    <t>G90</t>
  </si>
  <si>
    <t>H63</t>
  </si>
  <si>
    <t>PT Sunvone Solusindo Jl. Raden Inten II 3-5, RW.15, Duren Sawit, Buaran, Jakarta Timur, DKI Jakarta 13440</t>
  </si>
  <si>
    <t>09911/SPP/008/PUSAT/ICON+/2018 | 4500012324 | 11968/SPP/008/PUSAT/ICON+/2019 | 4500013749|14746/SPP/008/PUSAT/ICON+/2020|4500015368</t>
  </si>
  <si>
    <t>17145/SPP/008/PUSAT/ICON+/2021</t>
  </si>
  <si>
    <t>021-73882526</t>
  </si>
  <si>
    <t>B268</t>
  </si>
  <si>
    <t>D2 /D66 / D368</t>
  </si>
  <si>
    <t>F60</t>
  </si>
  <si>
    <t>Biaya sewa shaft Rp.3.500.000</t>
  </si>
  <si>
    <t>Rumah Indonet Rempoa Jl. Rempoa Raya No. 11, Ciputat Timur, Kota Tangerang Selatan, Banten, Indonesia, 15412</t>
  </si>
  <si>
    <t>16199/SPP/008/PUSAT/ICON+/2021 | 4500016416 | 19224/SPP/008/PUSAT/ICON+/2022 | 4500018936</t>
  </si>
  <si>
    <t>1334/SPP/SBU/ICON+2023</t>
  </si>
  <si>
    <t>F446</t>
  </si>
  <si>
    <t>PT. Mitra Pajakku</t>
  </si>
  <si>
    <t>Gedung Graha Pertamina</t>
  </si>
  <si>
    <t>A111202000736</t>
  </si>
  <si>
    <t>1033/SPP/SBU/ICON+/2023 | 4500021642</t>
  </si>
  <si>
    <t>4287/SPP/SBU/PLNICONPLUS/2024</t>
  </si>
  <si>
    <t>F162</t>
  </si>
  <si>
    <t>H341</t>
  </si>
  <si>
    <t>1.Biaya Sewa @ 1 tahun  Rp.12.000.000 | 2.Biaya OTC Rp.1.000.000</t>
  </si>
  <si>
    <t>PT ELECTRONIC DATA INTERCHANGE INDONESIA</t>
  </si>
  <si>
    <t>Jl. Kebagusan Raya No. 36
Ragunan Jakarta 12550</t>
  </si>
  <si>
    <t>PT Indosat Mega Media (IM2) - PT Edi Indonesia
 Lantai 3
 Jl. Kebagusan Raya No. 36
 Ragunan Jakarta
  - (Serah terima ke Div. Operasi)</t>
  </si>
  <si>
    <t>ICON-00/DOW/1711/0001</t>
  </si>
  <si>
    <t>4821116/SPR/ICON+/2016 07665/SPP/008/PUSAT/ICON+/2017 4500010978 | 09175/SPP/008/PUSAT/ICON+/2018 | 4500011848</t>
  </si>
  <si>
    <t>11795/SPP/008/PUSAT/ICON+/2019</t>
  </si>
  <si>
    <t>Ifan Lubis</t>
  </si>
  <si>
    <t>021-78546969
 021-78830983</t>
  </si>
  <si>
    <t>B199</t>
  </si>
  <si>
    <t>C296</t>
  </si>
  <si>
    <t>Sewa Interkoneksi Rp400.000/bulan</t>
  </si>
  <si>
    <t>PT Indosat Mega Media (IM2) - PT Edi Indonesia
 Lantai 3
 Jl. Kebagusan Raya No. 36
 Ragunan Jakarta (Bank Mega -ICON-00/ACT/1311/0083)</t>
  </si>
  <si>
    <t>ICON-00/ACT/1311/0083</t>
  </si>
  <si>
    <t>0881216/SPR/ICON+/2016 | 4500013334 | 10603/SPP/008/PUSAT/ICON+/2019</t>
  </si>
  <si>
    <t>12336/SPP/008/PUSAT/ICON+/2019</t>
  </si>
  <si>
    <t>C286</t>
  </si>
  <si>
    <t>C290</t>
  </si>
  <si>
    <t>1. Sewa Shaft Cable dan Interkoneksi Rp7.200.000,-
 2. Biaya Instalasi Rp1.500.000,-</t>
  </si>
  <si>
    <t>KOMISI PEMBERANTASAN KORUPSI (KPK)</t>
  </si>
  <si>
    <t>Indosat KPPTI</t>
  </si>
  <si>
    <t>15147/SPP/008/PUSAT/ICON+/2021 | 4500015758 |17692/SPP/008/PUSAT/ICON+/2022 | 4500022225</t>
  </si>
  <si>
    <t>3103/SPP/SBU/PLNIOCNPLUS/2024</t>
  </si>
  <si>
    <t xml:space="preserve">Ibu Tika </t>
  </si>
  <si>
    <t>+62 08551212185</t>
  </si>
  <si>
    <t>E2/114</t>
  </si>
  <si>
    <t>H2H BCA - BPJS Ketenagakerjaan; DC KPPTI Kantor Pusat PT. Indosat Lantai 5, Jl. Medan Merdeka Barat No 21,  Gambir,  Jakarta Pusat,  DKI Jakarta,  Indonesia,  10110</t>
  </si>
  <si>
    <t>PA/ACT/2012/0385</t>
  </si>
  <si>
    <t>15053/SPP/008/PUSAT/ICON+/2020 | 4500015581</t>
  </si>
  <si>
    <t>3329/SPP/SBU/PLNICONPLUS/2024</t>
  </si>
  <si>
    <t>G115</t>
  </si>
  <si>
    <t>PT. LOTTE DATA COMMUNICATION INDONESIA</t>
  </si>
  <si>
    <t>Lotte Mart Green Pramuka Square (Lotte Mart Green Pramuka Square Lt. LG) Jl. Jend. A. Yani Kav. 49, Rawasari, Cempaka Putih, Jakarta Pusat</t>
  </si>
  <si>
    <t>Apartement Green Pramuka City KAV.49 Jakarta Pusat 10570</t>
  </si>
  <si>
    <t>PA/ACT/1902/2034</t>
  </si>
  <si>
    <t>10839/SPP/008/PUSAT/ICON+/2019</t>
  </si>
  <si>
    <t>C106</t>
  </si>
  <si>
    <t>Jln Ragunan No 36 A Jakarta Selatan</t>
  </si>
  <si>
    <t>Blitzmegaplex Green Pramuka Square Lantai 1 Jl. Jend. A Yani Kav. 49 Rawasari</t>
  </si>
  <si>
    <t>18264/SPP/008/PUSAT/ICON+/2022 | 4500017769 | 196/SPP/SBU/ICON+/2023 | 4500020566</t>
  </si>
  <si>
    <t>3389/SPP/SBU/PLNICONPLUS/2024</t>
  </si>
  <si>
    <t xml:space="preserve">F86 </t>
  </si>
  <si>
    <t>G218</t>
  </si>
  <si>
    <t>H242</t>
  </si>
  <si>
    <t>1.Pembayaran Sewa cross connect Rp.15.000.000</t>
  </si>
  <si>
    <t>PT. SUPRA BOGA LESTARI, TBK</t>
  </si>
  <si>
    <t>Gedung GKM Lt 2, Jalan Cikini Raya No 12 – 14, Menteng – Jakarta Pusat</t>
  </si>
  <si>
    <t>PT. Supra Boga Lestari, Tbk, Living Plaza Jababeka (Farmers Market) , Jl. Niaga Raya BB/2-4, Kel. Pasarsari, Cikarang, Bekasi, Jawa Barat,</t>
  </si>
  <si>
    <t>PA/ACT/1910/0323/TER</t>
  </si>
  <si>
    <t>11843/SPP/008/PUSAT/ICON+/2019 | 4500013475 | 14545/SPP/008/PUSAT/ICON+/2020 | 4500015223 | 16810/SPP/008/PUSAT/ICON+/2021 | 4500017019 | 20514/SPP/008/PUSAT/ICON+/2022 | 4500019561</t>
  </si>
  <si>
    <t>D320</t>
  </si>
  <si>
    <t>E393</t>
  </si>
  <si>
    <t>F440</t>
  </si>
  <si>
    <t>G318</t>
  </si>
  <si>
    <t>PA/ACT/1910/4029/TER</t>
  </si>
  <si>
    <t>11943/SPP/008/PUSAT/ICON+/2019 | 4500013508| 14544/SPP/008/PUSAT/ICON+/2020| 4500015204 | 4500017020 | 20631 | 4500019559</t>
  </si>
  <si>
    <t>C240</t>
  </si>
  <si>
    <t>D304</t>
  </si>
  <si>
    <t>E400</t>
  </si>
  <si>
    <t>F441</t>
  </si>
  <si>
    <t>PT. ERIA TIGA ADIRAJA</t>
  </si>
  <si>
    <t>Jl.Riau 23 Jakarta 10310</t>
  </si>
  <si>
    <t>PA/ACT/1911/0093/TER</t>
  </si>
  <si>
    <t>14982/SPP/008/PUSAT/ICON+/2020|4500015517 | 16819/SPP/008/PUSAT/ICON+/2021 | 4500017018</t>
  </si>
  <si>
    <t>D351</t>
  </si>
  <si>
    <t>E403</t>
  </si>
  <si>
    <t>F443</t>
  </si>
  <si>
    <t>Shihlin, Living Plaza Jababeka Living Plaza, Jl. Niaga Raya BB/2-4, Kel. Pasarsari, Cikarang Barat, Bekasi, Jawa Barat</t>
  </si>
  <si>
    <t>AL/2002/6383</t>
  </si>
  <si>
    <t>04000104394</t>
  </si>
  <si>
    <t>Dismatle sesuai masa berakhir PO</t>
  </si>
  <si>
    <t>Excelso Living Plaza jababeka Jl. Niaga Raya Cikarang Unit : G-26, G 26A, Cikarang, Bekasi, Jawa Barat, Indonesia, 17530</t>
  </si>
  <si>
    <t>04000127029</t>
  </si>
  <si>
    <t>19217/SPP/008/PUSAT/ICON+/2022 | 4500018423</t>
  </si>
  <si>
    <t>1003/SPP/SBU/ICON+/2023</t>
  </si>
  <si>
    <t>Hapsah</t>
  </si>
  <si>
    <t>0815-9821-393</t>
  </si>
  <si>
    <t xml:space="preserve">CGV LIVING PLAZA JABABEKA, Jl. Niaga Raya BB/2-4 Kel. Pasarsari, Cikarang Barat, Bekasi, Jawa Barat, Indonesia. </t>
  </si>
  <si>
    <t>PA/ACT/1911/2682</t>
  </si>
  <si>
    <t>04000090446</t>
  </si>
  <si>
    <t>99,50%</t>
  </si>
  <si>
    <t>3 Mbps</t>
  </si>
  <si>
    <t>1300/SPP/SBU/ICON+/2023</t>
  </si>
  <si>
    <t>PT Media Lintas Data</t>
  </si>
  <si>
    <t>WTP Building Jl.Jababeka IV Blok B No.12 Cikarang</t>
  </si>
  <si>
    <t>Jl. Kuningan Barat Raya No.8, RW.3, Kuningan Bar</t>
  </si>
  <si>
    <t>BOF Liquid New WareHouse Cikarang, P45G+W46,</t>
  </si>
  <si>
    <t>Anggun</t>
  </si>
  <si>
    <t>F107</t>
  </si>
  <si>
    <t>PT. GENERO PHARMACEUTICALS</t>
  </si>
  <si>
    <t>Genero KK, Jl. Industri Selatan 1B Blok KK No. 1-2, Kawasan Industri Jababeka 2</t>
  </si>
  <si>
    <t>PA/UPG/2206/0110/TER</t>
  </si>
  <si>
    <t>19002/SPP/008/PUSAT/ICON+/2022</t>
  </si>
  <si>
    <t>F182</t>
  </si>
  <si>
    <t>21741/SPP/008/PUSAT/ICON+/2023</t>
  </si>
  <si>
    <t>G77</t>
  </si>
  <si>
    <t>PT MATTEL INDONESIA</t>
  </si>
  <si>
    <t>Jl. Industri Utama Blok SS Kav 1- 3, Kawasan Industri Jababeka II, Cikarang Utara, Kabupaten Bekasi, Jawa Barat, Indonesia, 17530</t>
  </si>
  <si>
    <t>JL. JABABEKA V BLOK G 4-6 KAWASAN INDUSTRI JABABEKA, DESA HARJA MEKAR, KECAMATAN CIKARANG UTARA KABUPATEN BEKASI INDONESIA</t>
  </si>
  <si>
    <t>PA/UPG/2203/0053</t>
  </si>
  <si>
    <t>E108</t>
  </si>
  <si>
    <t>PT DHL SUPPLY CHAIN INDONESIA</t>
  </si>
  <si>
    <t>Jl. Jababeka II, Blok C 9-10, Jababeka I, Passir Gombong, Pasirgombong, Kec. Cikarang Utara, Bekasi, Jawa Barat 17530, Pasirgombong, Cikarang, Jawa Barat, Indonesia,, Cikarang Utara, Bekasi, Jawa Barat, Indonesia, 17530</t>
  </si>
  <si>
    <t>E109</t>
  </si>
  <si>
    <t>Jl. Jababeka IIIG no. C17R, Bekasi, Cikarang, Jawa Barat, Indonesia,</t>
  </si>
  <si>
    <t>E27</t>
  </si>
  <si>
    <t>PT CIKARANG LISTRINDO TBK</t>
  </si>
  <si>
    <t>Jl. Jababeka Raya, Blok R, Wangunharja,,  Cikarang Utara,  Kota Bekasi,  Jawa Barat,  Indonesia,  17550</t>
  </si>
  <si>
    <t>PA/UPG/2301/0510/TER</t>
  </si>
  <si>
    <t>21072/SPP/008/PUSAT/ICON+/2023</t>
  </si>
  <si>
    <t>G22</t>
  </si>
  <si>
    <t>Jl. Niaga Raya, Pasirsari</t>
  </si>
  <si>
    <t>20627/SPP/008/PUSAT/ICON+/2022</t>
  </si>
  <si>
    <t>F438</t>
  </si>
  <si>
    <t xml:space="preserve">PT MEDIA TELEKOMUNIKASI MANDIRI </t>
  </si>
  <si>
    <t>Jl. Niaga Raya, Pasirsari, Cikarang Selatan, Kabupaten Bekasi, Jawa Barat, Indonesia, 17530</t>
  </si>
  <si>
    <t>PA/UPG/2304/0299</t>
  </si>
  <si>
    <t>91/SPP/SBU/ICON+/2023</t>
  </si>
  <si>
    <t>G93</t>
  </si>
  <si>
    <t>Jl. Niaga Raya, Ruko CBD Kav AA3 - D 25, Cikarang, Bekasi, Jawa Barat</t>
  </si>
  <si>
    <t>F88</t>
  </si>
  <si>
    <t>PT MANE INDONESIA JABABEKA</t>
  </si>
  <si>
    <t>JL.JABABEKA XVI, KAV.66 CIKARANG BEKASI 17530,  -,  -,  -,  Indonesia,  -</t>
  </si>
  <si>
    <t xml:space="preserve"> PA/UPG/2211/0174/TER</t>
  </si>
  <si>
    <t>21032/SPP/008/PUSAT/ICON+/2023</t>
  </si>
  <si>
    <t>G8</t>
  </si>
  <si>
    <t>PT. KAO INDONESIA</t>
  </si>
  <si>
    <t>Kawasan Industri Jababeka Cikarang - Jln. Jababeka VI / N-2</t>
  </si>
  <si>
    <t>PA/UPG/2304/0283/TER</t>
  </si>
  <si>
    <t>90/SPP/SBU/ICON+/2023</t>
  </si>
  <si>
    <t>G76</t>
  </si>
  <si>
    <t>Kawasan Industri Jababeka Cikarang - Jln. Jababeka VI / N-2, Kab. Bekasi, Jawa Barat</t>
  </si>
  <si>
    <t>PA/ACT/2012/0139/TER
 PA/ACT/2012/0230/TER</t>
  </si>
  <si>
    <t>14929/SPP/008/PUSAT/ICON+/2020</t>
  </si>
  <si>
    <t>D346</t>
  </si>
  <si>
    <t>Kawasan Industri Jababeka Cikarang, Jl. Jababeka VI/N2 Cikarang, Kec. Cikarang Utara, Kabupaten Bekasi, Jawa Barat, Indonesia, 17530</t>
  </si>
  <si>
    <t>E282</t>
  </si>
  <si>
    <t>PT. SOFTEX INDONESIA</t>
  </si>
  <si>
    <t>Kawasan Industri Jababeka Jl. Jababeka IX B Blok Q2, Wangunharja, Cikarang Utara, Kabupaten Bekasi, Jawa Barat, Indonesia, 17530</t>
  </si>
  <si>
    <t>E291</t>
  </si>
  <si>
    <t>PT. EONCHEMICALS PUTRA</t>
  </si>
  <si>
    <t>Kawasan industri jababeka, jalan jababeka XVII B blok U no 21F, desa harja mekar</t>
  </si>
  <si>
    <t>F401</t>
  </si>
  <si>
    <t>KCP CIKARANG CBD, Ruko CBD Blok/Kavling AA3 Blok CD No. 1 Jl. Niaga Raya, Bekasi, Jawa Barat</t>
  </si>
  <si>
    <t>E235</t>
  </si>
  <si>
    <t>PT. MITRA VISIONER PRATAMA</t>
  </si>
  <si>
    <t>IIDC 3D, Duren tiga, kota administrasi Jakarta Selatan</t>
  </si>
  <si>
    <t>Nippont Paint Cikarang, Jl.Kawasan Industri Jababeka Blok U No.8B Cikarang,  Cikarang,  Cikarang,  Jawa Barat,  Indonesia,</t>
  </si>
  <si>
    <t>F44</t>
  </si>
  <si>
    <t>PT Astrazeneca Pharmaceutical</t>
  </si>
  <si>
    <t>PT Astrazeneca Pharmaceutical, , Jababeka Phase III,Technopark Blok B1A-B1B, Lemah Abang</t>
  </si>
  <si>
    <t>F247</t>
  </si>
  <si>
    <t>PT Indointernet qq PT Katsushiro Indonesia</t>
  </si>
  <si>
    <t>PT Katsushiro Indonesia Jl Jababeka XII Blok I Kawasan Jababeka Tahap I, -, Cikarang, Jawa Barat</t>
  </si>
  <si>
    <t>PA/ACT/2012/0170</t>
  </si>
  <si>
    <t>14965/SPP/008/PUSAT/ICON+/2020</t>
  </si>
  <si>
    <t>D293</t>
  </si>
  <si>
    <t>PT Quantum Tera Network</t>
  </si>
  <si>
    <t>PT Kiat Ananda Cold Storage (MMP Warehouse XII), Pasirgombong</t>
  </si>
  <si>
    <t>F166</t>
  </si>
  <si>
    <t>PT. HIPERNET INDODATA qq PT. KOMATSU INDONESIA</t>
  </si>
  <si>
    <t>PT Komatsu Indonesia KUI Jababeka,Jl. Jababeka XI Blok H-16, Cikarang Industrial Estate, Cikarang, Bekasi, Jawa Barat, Indonesia, 17530</t>
  </si>
  <si>
    <t>PA/UPG/2012/0045/TER</t>
  </si>
  <si>
    <t>14976/SPP/008/PUSAT/ICON+/2020</t>
  </si>
  <si>
    <t>D359</t>
  </si>
  <si>
    <t>PT HIPERNET INDODATA QQ PT KOMATSU INDONESIA</t>
  </si>
  <si>
    <t>E25</t>
  </si>
  <si>
    <t>PT. Hipernet Indodata qq PT Lestari Teknik Plastikatama</t>
  </si>
  <si>
    <t>PT. Lestari Teknik Plastikatama - Kawasan Industri Jababeka, Jl. Jababeka XI Blok K No.8C, Harja Mekar,</t>
  </si>
  <si>
    <t>PA/ACT/2210/0062/TER</t>
  </si>
  <si>
    <t>F353</t>
  </si>
  <si>
    <t>PT Hipernet Indodata qq PT Nippon Indosari Corpindo Tbk</t>
  </si>
  <si>
    <t>PT. Nippon Indosari Corpindo Jababeka 5; Jl. Science Timur 2, Blok B1H-A, Kel. Jayamukti</t>
  </si>
  <si>
    <t>F96</t>
  </si>
  <si>
    <t>PT. Nippon Indosari Corpindo Kawasan Industri Jababeka, Jl. Jababeka XVII B Blok U, No. 33</t>
  </si>
  <si>
    <t>F97</t>
  </si>
  <si>
    <t>PT. MILENIAL INTI TELEKOMUNIKASI qq RS Harapan keluarga</t>
  </si>
  <si>
    <t>Jl. Duren Tiga Raya No.7, RT.9/RW.5, Duren Tiga, Kec. Pancoran, Kota Jakarta Selatan, Daerah Khusus Ibukota Jakarta 12760,  -,  Jakarta Selatan,  DKI Jakarta,  Indonesia,</t>
  </si>
  <si>
    <t>RS Harapan Keluarga Jababeka Jl. Kasuari Raya  Kav.1A&amp;1B, Mekarmukti,  Cikarang Utara,  Bekasi,  Jawa Barat,  Indonesia,</t>
  </si>
  <si>
    <t xml:space="preserve">19312/SPP/008/PUSAT/ICON+/2022	</t>
  </si>
  <si>
    <t>F234</t>
  </si>
  <si>
    <t>PT PC24 TELEKOMUNIKASI QQ WATSONS STORE</t>
  </si>
  <si>
    <t>Watsons Store - Living Plaza Jababeka, Mega Jababeka, Makarmukti,  Unit: G-01B,  Cikarang Utara,  Bekasi,  Jawa Barat,  Indonesia,  17530</t>
  </si>
  <si>
    <t>PA/ACT/2302/10683</t>
  </si>
  <si>
    <t>21607/SPP/008/PUSAT/ICON+/2023</t>
  </si>
  <si>
    <t>G83</t>
  </si>
  <si>
    <t>PA/ACT/2302/10684</t>
  </si>
  <si>
    <t>PT HIPERNET INDODATA qq PT Mitsuyoshi Manufacturing Indonesia</t>
  </si>
  <si>
    <t>PT. Mitsuyoshi Manufacturing Indonesia, Jl. Jababeka SFB Blok V No. 86 A-B Cikarang Industrial Estate, Cikarang, Kabupaten Bekasi, Jawa Barat, Indonesia</t>
  </si>
  <si>
    <t>E13</t>
  </si>
  <si>
    <t>PT HIPERNET INDODATA qq PT Surya Internusa Hotels</t>
  </si>
  <si>
    <t>PT. Surya Internusa Hotels, Jl. Niaga Raya Blok CC No.3A, Pasirsari,  Cikarang Selatan,  Kabupaten Bekasi,  Jawa Barat,  Indonesia,  17530</t>
  </si>
  <si>
    <t>E20</t>
  </si>
  <si>
    <t>PT Jetcoms Netindo qq PT Nano Coating dan Prima Tolling
 PT Tele Globe Global
 Rapigra Flexible Packaging
 PT Ingress Malindo Ventures
 PT Axalta Powder Coating System Indonesia
 PT Geoservices
 BCA Multifinance
 PT COMTRICS SYSTEM
 PT. Fukoku Tokai Rubber
 PT HIPERNET INDODATA
 PT MATTEL INDONESIA
 PT Menara Terus Makmur
 PT MULIA MEGA MAKMUR
 PT PALAPA MEDIA INDONESIA qq PT KAO INDONESIA
 APLIKANUSA LINTASARTA
 PT YAKULT INDONESIA PERSADA</t>
  </si>
  <si>
    <t>Jl. Industri Selatan 7 Blok FF 1 C Kawasan Industry Jababeka 2 (Interkoneksi PT Nano Coating Indonesia) Cikarang Utara, Kota Bekasi, Jawa Barat, Indonesia</t>
  </si>
  <si>
    <t>ICON-00/SBC/1801/0258
 AL/1902/1852
 ICON-00/SBC/1604/0355
 PA/ACT/1902/0294
 PA/ACT/1902/0301
 PA/ACT/1810/0773
 PA/ACT/1901/1451
 PA/ACT/1901/1450
 ICON-00/SBC/1802/0059
 ICON-00/SBC/1710/1103
 PA/ACT/1909/0692
 ICON-00/SBC/1209/0511
 ICON-00/SBC/1310/0176
 ICON-00/SBC/1310/0176
 PA/ACT/1811/1775
 PA/ACT/1911/0927
 PA/ACT/1907/0848
 PA/ACT/1905/0318
 PA/UPG/1807/0326
 ICON-00/SBC/1610/0191 
 PA/ACT/1812/0449
 ICON-00/SBC/1710/0716
 PA/RLK/1810/0038
 PA/ACT/1903/1098
 PA/ACT/1901/0193
 "AL/2006/16713
 0990000320491203
 "
 "AL/2006/16713
 0990000320491208
 "
 PA/ACT/1906/0631
 ICON-00/SBC/1801/0053
 ICON-00/SBC/1802/0318
 AL/1807/6361
 PA/ACT/1808/0427
 PA/ACT/1811/2837
 PA/ACT/1902/1709
 PA/ACT/1902/1710
 PA/ACT/1802/111 /AL/1806/4272
 ICON-00/SBC/1709/0134
 ICON-00/SBC/1406/0396
 PA/ACT/1905/2226 / AL/1906/15327
 PA/UPG/1905/0122
 PA/ACT/1907/2968
 1000129316
 1000129323
 1000129321
 ICON-00/SBC/1708/0374
 ICON-00/SBC/1708/0375
 OPT/1807/16145
 OPT/1810/24899
 OPT/1904/10228
 ICON-00/SBC/1603/0160
 ICON-00/SBC/1203/0194
 PA/ACT/1803/0832
 PA/ACT/1810/2531
 PA/ACT/2007/0049
 PA/ACT/1906/0952</t>
  </si>
  <si>
    <t>14338/SPP/008/PUSAT/ICON+/2020 | 4500015634 |17033/SPP/008/PUSAT/ICON+/2021 | 4500017234</t>
  </si>
  <si>
    <t>E147</t>
  </si>
  <si>
    <t>E404</t>
  </si>
  <si>
    <t>E445</t>
  </si>
  <si>
    <t>E174</t>
  </si>
  <si>
    <t>KAO Logistic Center - Jl. Science Boulevard, Jayamukti,  Kec. Cikarang Pusat,  Kabupaten Bekasi,  Jawa Barat,  Indonesia,  17530</t>
  </si>
  <si>
    <t>E34</t>
  </si>
  <si>
    <t>PT. GRAFINDO MITRASEMESTA</t>
  </si>
  <si>
    <t xml:space="preserve">Cikarang Industrial Estate, Jababeka 1 Block U 8D, U 8C &amp; U 7A, Cikarang, Harja Mekar,  Cikarang Utara,  Bekasi,  Jawa Barat,  Indonesia,  </t>
  </si>
  <si>
    <t>16112/SPP/008/PUSAT/ICON+/2021</t>
  </si>
  <si>
    <t>E103</t>
  </si>
  <si>
    <t>PT HIPERNET INDODATA qq PT ICI Paints Indonesia</t>
  </si>
  <si>
    <t>PT. ICI Paints Indonesia Jl. Jababeka IV Blok V No.64,  Kec. Cikarang Utara,  Kabupaten Bekasi,  Jawa Barat,  Indonesia,  17530</t>
  </si>
  <si>
    <t>E104</t>
  </si>
  <si>
    <t>ICON-00/ACT/1703/0494</t>
  </si>
  <si>
    <t>15283/SPP/008/PUSAT/ICON+/2021</t>
  </si>
  <si>
    <t>E281</t>
  </si>
  <si>
    <t>PT KAO INDONESIA</t>
  </si>
  <si>
    <t>Kawasan Industri Jababeka Cikarang - Jl. Jababeka VI/N2 Cikarang, Kec. Cikarang Utara, Kabupaten Bekasi, Jawa Barat, Indonesia, 17530</t>
  </si>
  <si>
    <t>PA/UPG/2305/0286/TER</t>
  </si>
  <si>
    <t>234/SPP/SBU/ICON+/2023</t>
  </si>
  <si>
    <t>G104</t>
  </si>
  <si>
    <t>PT Hipernet Indodata qq PT Sebastian Jaya Metal</t>
  </si>
  <si>
    <t xml:space="preserve">SEBASTIAN JAYA METAL - Kawasan Industri Jababeka I JL. Jababeka X, Blok F No.5,  Cikarang,  Bekasi,  Jawa Barat,  Indonesia,  </t>
  </si>
  <si>
    <t>PA/ACT/2304/1192</t>
  </si>
  <si>
    <t>27/SPP/SBU/ICON+/2023</t>
  </si>
  <si>
    <t>G89</t>
  </si>
  <si>
    <t>PT Hipernet Indodata qq Fanuc Indonesia</t>
  </si>
  <si>
    <t>FANUC INDONESIA -Jl. Science Boulevard A1 C1,Kawasan Jababeka,  Cikarang,  Bekasi,  Jawa Barat,  Indonesia</t>
  </si>
  <si>
    <t>PA/ACT/2304/1193</t>
  </si>
  <si>
    <t>89/SPP/SBU/ICON+/2023</t>
  </si>
  <si>
    <t>G88</t>
  </si>
  <si>
    <t xml:space="preserve">COMMONWEALTH BANK </t>
  </si>
  <si>
    <t>Cabang Pondok Indah, ANZ Pondok Indah (Samping Houbii adventure park), Jl. Metro Pondok Indah Kav. III
B, Pondok Indah, Jakarta Selatan, DKI Jakarta, Indonesia, 12310</t>
  </si>
  <si>
    <t>PA/ACT/2006/1647</t>
  </si>
  <si>
    <t>340/SPP/SBU/ICON+/2023</t>
  </si>
  <si>
    <t>G103</t>
  </si>
  <si>
    <t>Cabang Pondok Indah, ANZ Pondok Indah (Samping Houbii adventure park), Jl. Metro Pondok Indah Kav. III
B, Pondok Indah, Jakarta Selatan, DKI Jakarta, Indonesia, 12311</t>
  </si>
  <si>
    <t>Cabang Pondok Indah, ANZ Pondok Indah (Samping Houbii adventure park), Jl. Metro Pondok Indah Kav. III
B, Pondok Indah, Jakarta Selatan, DKI Jakarta, Indonesia, 12312</t>
  </si>
  <si>
    <t>PT TECHNO ORBIT PARTICLE FILTRATION</t>
  </si>
  <si>
    <t>JABABEKA IV E BLOK V NOMOR 78 Q</t>
  </si>
  <si>
    <t>A111303000136</t>
  </si>
  <si>
    <t>798/SPP/SBU/ICON+/2023</t>
  </si>
  <si>
    <t>G123</t>
  </si>
  <si>
    <t>PT Rudolf Chemicals Indonesia</t>
  </si>
  <si>
    <t>PT. RUDOLF CHEMICALS INDONESIA JABABEKA 1, KAV.K2FGH, WANGUNHARJA, CIKARANG UTARA, BEKASI REGENCY, WEST JAVA 17530</t>
  </si>
  <si>
    <t>A821303000076</t>
  </si>
  <si>
    <t>969/SPP/SBU/ICON+/2023</t>
  </si>
  <si>
    <t>G173</t>
  </si>
  <si>
    <t>PT IP TEKNOLOGI KOMUNIKASI</t>
  </si>
  <si>
    <t>Jababeka Phase 5, Jl.Science Tim 1 No.7, Sertajaya, Cikarang Timur, Bekasi Regency, West, Java 1753</t>
  </si>
  <si>
    <t>A111202001140</t>
  </si>
  <si>
    <t>1550/SPP/SBU/ICON+/2023</t>
  </si>
  <si>
    <t>G303</t>
  </si>
  <si>
    <t xml:space="preserve">Insan Asia Nusantara </t>
  </si>
  <si>
    <t>PT SURYA RENGO CONTAINERS
 PT SURYA RENGO CONTAINERS
 PT INDOMARCO ADI PRIMA
 PT INDOMARCO ADI PRIMA
 PT INDOMARCO ADI PRIMA
 PT INDOMARCO ADI PRIMA
 PT INDOMARCO ADI PRIMA
 PT INDOFOOD SUKSES MAKMUR TBK, DIV BOGASARI
 PT INDOMARCO ADI PRIMA
 PT. SALIM IVOMAS PRATAMA,TBK
 PT TIRTA SUKSES PERKASA
 PT TIRTA SUKSES PERKASA
 PT TIRTA MAKMUR PERKASA
 PT ASAHI INDOFOOD BEVERAGE MAKMUR
 PT TIRTA MAKMUR PERKASA
 PT TIRTA MAKMUR PERKASA
 PT TIRTA SUKSES PERKASA
 PT TIRTA SUKSES PERKASA
 PT. INDOFOOD SUKSES MAKMUR, TBK
 PT INDOFOOD ASAHI SUKSES BEVERAGE
 PT INDOFOOD ASAHI SUKSES BEVERAGE
 PT INDOFOOD ASAHI SUKSES BEVERAGE
 NESTLE INDOFOOD CITARASA INDONESIA
 PT. INDOFOOD CBP SUKSES MAKMUR Tbk
 NESTLE INDOFOOD CITARASA INDONESIA
 PT SURYA RENGO CONTAINERS
  PT SURYA RENGO CONTAINERS</t>
  </si>
  <si>
    <t>Sudirman Plaza Jl. Jend. Sudirman Kav. 76-78 Kel. Setia Budi Kec. Setia Budi Jakarta Selatan 12910
Jalan Rs. Fatmawati No. 50 Pondok Labu Jakarta Selatan</t>
  </si>
  <si>
    <t>Gedung Sudirman Plaza/Indofood Tower/Sudirman Square</t>
  </si>
  <si>
    <t>ICON-00/ACT/1409/0047
 ICON-00/ACT/1407/0335
 ICON-00/SOP/1405/0007
 ICON-00/ACT/1310/0134
 ICON-00/ACT/1310/0113
 ICON-00/ACT/1310/0114
 ICON-00/ACT/1303/0385
 ICON-00/ACT/1304/0223
 ICON-00/ACT/1212/0276
 ICON-00/ACT/1210/0159
  ICON-00/ACT/1207/0081</t>
  </si>
  <si>
    <t>4500009267 |06604/SPP/008/PUSAT/ICON+/2017 | 4500010304 | 08298/SPP/008/PUSAT/ICON+/2018 | 4500011336 | Note : PO belum di Print</t>
  </si>
  <si>
    <t>10163/SPP/008/PUSAT/ICON+/2019</t>
  </si>
  <si>
    <t>widya</t>
  </si>
  <si>
    <t>021-57936855</t>
  </si>
  <si>
    <t>1. Sewa Shaft Untuk Jalur FO dan atau Penempatan Perangkat Pendukung Lainya USD 800
 2.Biaya Ijin Penarikan (One Time Charged) Rp2.600.000/tarikan/Instalasi</t>
  </si>
  <si>
    <t xml:space="preserve">Intershop Prima Center </t>
  </si>
  <si>
    <t>PT SURYA RENGO CONTAINERS</t>
  </si>
  <si>
    <t>WTC Mangga Dua Lantai 11
Jl. Mangga Dua Raya Kav. 8</t>
  </si>
  <si>
    <t>WTC Mangga Dua, Gedung WTC Mangga Dua Jl. Mangga Dua Raya No.8 Blok CL001 Lantai UG Jakarta (Pelanggan PT Iforte Global Internet -BCA So No. ICON-00/ACT/1611/0189)</t>
  </si>
  <si>
    <t>ICON-00/ACT/1611/0189</t>
  </si>
  <si>
    <t>013117/MI/004/PUSAT/ICON+/2017 | 4500010293 | 10601/SPP/008/PUSAT/ICON+/2019 | 4500014605 | 14989/SPP/008/PUSAT/ICON+/2020
 06631/SPP/008/ | 20930/SPP/008/PUSAT/ICON+/2022 | 4500019907
 PUSAT/ICON+/2017 | 4500015614 | 17191/SPP/008/PUSAT/ICON+/2021 | 4500017465| 1951 | 4500021741</t>
  </si>
  <si>
    <t>Windari Handayani</t>
  </si>
  <si>
    <t>021-30013001</t>
  </si>
  <si>
    <t>D147</t>
  </si>
  <si>
    <t>E214</t>
  </si>
  <si>
    <t>F8</t>
  </si>
  <si>
    <t>G30 | G348</t>
  </si>
  <si>
    <t>1. Jaminan Kerja Rp5.000.000,-
 2. Sewa penempatan Kabel Tray dan Shaft Rp9.000.000,-/tahun
 3. Biaya Penarikan Kabel Rp25.000,-/meter untuk panjang 400 m total sebesar Rp10.000.000,-</t>
  </si>
  <si>
    <t xml:space="preserve">Jakarta Golden Landmark </t>
  </si>
  <si>
    <t>The Landmark Center Lt. 33 Jl. Jend. Sudirman No. 1 Jakarta 12910</t>
  </si>
  <si>
    <t>Jl. Letjen. TB. Simatupang Kav.10 Jakarta Selatan 12430,  -,  -,  -,  Indonesia,  -</t>
  </si>
  <si>
    <t>Gedung Landmark Jl. Jend. Sudirman No. 1 Jakarta 12910</t>
  </si>
  <si>
    <t>PA/UPG/1801/0043</t>
  </si>
  <si>
    <t>5781116/SPR/ICON+/2016 07528/SPP/008/PUSAT/ICON+/2017 4500010860 | 09446/SPP/008/PUSAT/ICON+/2018 | 4500010293 | 11812/SPP/008/PUSAT/ICON+/2019 | 4500013400</t>
  </si>
  <si>
    <t>14685/SPP/008/PUSAT/ICON+/2020</t>
  </si>
  <si>
    <t>Nini Martini</t>
  </si>
  <si>
    <t>021-5700363</t>
  </si>
  <si>
    <t>B229</t>
  </si>
  <si>
    <t>C217</t>
  </si>
  <si>
    <t>E82</t>
  </si>
  <si>
    <t>Jaminan Sewa senilai 3 bulan dari masa sewa</t>
  </si>
  <si>
    <t>[UID JAYA - UP2D] [UP3 CEMPAKA PUTIH],  -,  Jakarta Pusat,  DKI Jakarta,  Indonesia,  -</t>
  </si>
  <si>
    <t>20167/SPP/008/PUSAT/ICON+/2022 | 4500019283</t>
  </si>
  <si>
    <t>2081/SPP/SBU/ICON+/2023</t>
  </si>
  <si>
    <t>F391</t>
  </si>
  <si>
    <t>G337</t>
  </si>
  <si>
    <t>PT Aplikanusa Lintasarta qq PT Bank Cimb Niaga</t>
  </si>
  <si>
    <t>Node Lintasarta Ruang Lintasarta, Jl. TB. Simatupang Kav. 10, Jakarta,  -,  Jakarta Selatan,  DKI Jakarta,  Indonesia,  -</t>
  </si>
  <si>
    <t>BANK CIMB NIAGA TBK, PULOGADUNG POLIKLINIK PT. JIEP Lahan INDUSTRI PULOGADUNG, Jl. Rawa Terate II, Jakarta Timur 13930 (2010001692),  -,  -,  -,  Indonesia,  -</t>
  </si>
  <si>
    <t>F388</t>
  </si>
  <si>
    <t>G116</t>
  </si>
  <si>
    <t>PT Indosat Tbk qq Tirta Investama</t>
  </si>
  <si>
    <t>DIVERSITY TIRTA INVESTAMA 63682  KANTOR PUSAT Lahan .JL PULO LENTUT NO.3 KIP JAKARTA TIMUR 13920,  -,  -,  -,  Indonesia,  -</t>
  </si>
  <si>
    <t>F386</t>
  </si>
  <si>
    <t>Jakarta Lahan Industri Pulogadung, Jl. Pulobuaran Raya No.2 Lahan Industri Pulogadung, Jakarta, 13930,- ,- ,- ,Indonesia ,-</t>
  </si>
  <si>
    <t>20808 | 4500019503</t>
  </si>
  <si>
    <t>F394</t>
  </si>
  <si>
    <t>H13</t>
  </si>
  <si>
    <t>Cyber 1, Jl. Kuningan Barat Raya No.8, RT.1/RW.3, Kuningan Barat,  Kec. Mampang Prapatan,  Jakarta Selatan,  DKI Jakarta,  Indonesia,  12710</t>
  </si>
  <si>
    <t>Hexindo Adi Perkasa, Lahan Industri Pulo Gadung Jl. Pulo Kambing 2/33 Kav 1-2,  -,  Jakarta Timur,  DKI Jakarta,  Indonesia,  13930</t>
  </si>
  <si>
    <t>20151 | 4500019267</t>
  </si>
  <si>
    <t>F382</t>
  </si>
  <si>
    <t>G118</t>
  </si>
  <si>
    <t>PT. PAMA PERSADA NUSANTARA</t>
  </si>
  <si>
    <t>Jatinegara,  CAKUNG,  Jakarta Timur,  DKI Jakarta,</t>
  </si>
  <si>
    <t>18632/SPP/008/PUSAT/ICON+/2022 | 4500018065</t>
  </si>
  <si>
    <t>654/SPP/SBU/ICON+/2023</t>
  </si>
  <si>
    <t>F151</t>
  </si>
  <si>
    <t>G418</t>
  </si>
  <si>
    <t>3895/SPP/SBU/PLNICONPLUS/2024</t>
  </si>
  <si>
    <t>H263</t>
  </si>
  <si>
    <t>PT Yapindo Transportama</t>
  </si>
  <si>
    <t>Jl Rawa Gelam 1 no 26,  Pulogadung,  Jakarta Timur,  DKI Jakarta,  Indonesia,</t>
  </si>
  <si>
    <t>F377</t>
  </si>
  <si>
    <t>PT Daya Muda Agung</t>
  </si>
  <si>
    <t>Jl. Pulo Kambing Raya No. 9 Lahan Industri Pulo Gadung Jakarta Timur,  -,  -,  -,  Indonesia,  -</t>
  </si>
  <si>
    <t>F379</t>
  </si>
  <si>
    <t>Jl. Pulo lentut No. 09 Pulogadung Lahan Industri Pulo gadung Jakarta Timur</t>
  </si>
  <si>
    <t>F393</t>
  </si>
  <si>
    <t>PT Royal Sultan Agung</t>
  </si>
  <si>
    <t>Jl. Rawa Gelam IV KIP Jatinegara, Cakung, Jakarta Timur</t>
  </si>
  <si>
    <t>20114/SPP/008/PUSAT/ICON+/2022 | 4500019262 | 21812 | 4500021239</t>
  </si>
  <si>
    <t>F378</t>
  </si>
  <si>
    <t>G416</t>
  </si>
  <si>
    <t>H8</t>
  </si>
  <si>
    <t>PT. KABELINDO MURNI TBK</t>
  </si>
  <si>
    <t>Jl. Rawagirang no 2 Lahan industri pulogadung zip 13930, CAKUNG, Jakarta Timur, DKI Jakarta, Indonesia, 13930</t>
  </si>
  <si>
    <t>18026/SPP/008/PUSAT/ICON+/2022 | 4500017659</t>
  </si>
  <si>
    <t>21340/SPP/008/PUSAT/ICON+/2023</t>
  </si>
  <si>
    <t>Ade</t>
  </si>
  <si>
    <t>021-4600306</t>
  </si>
  <si>
    <t>F49</t>
  </si>
  <si>
    <t>G102</t>
  </si>
  <si>
    <t>3862/SPP/SBU/PLNICONPLUS/2024</t>
  </si>
  <si>
    <t>H262</t>
  </si>
  <si>
    <t>Lahan Industri Pulo Gadung Blok N6-11, Jalan Rawa Gelam 5 No. 1, RW.9, Jatinegara, Cakung, Kota Jakarta Timur, Daerah Khusus Ibukota Jakarta,  Pulo Gadung,  Kota Administrasi Jakarta Timur,  .Banten - salah,  Indonesia,  13920</t>
  </si>
  <si>
    <t>20137 | 4500019266</t>
  </si>
  <si>
    <t>730/SPP/SBU/ICON+/2023</t>
  </si>
  <si>
    <t>F381</t>
  </si>
  <si>
    <t>3752/SPP/SBU/PLNICONPLUS/2024</t>
  </si>
  <si>
    <t>H205</t>
  </si>
  <si>
    <t>PT SOLO MURNI</t>
  </si>
  <si>
    <t>Lahan Industri Pulogadung Blok III.BB.17B, Jl. Rw. Sumur I, RT.2/RW.9, Jatinegara</t>
  </si>
  <si>
    <t>PA/ACT/2201/0586</t>
  </si>
  <si>
    <t>18634 | 4500018066</t>
  </si>
  <si>
    <t>F152</t>
  </si>
  <si>
    <t>PT PLN (Persero) Unit Induk Distribusi Jakarta Raya</t>
  </si>
  <si>
    <t>PLN DISJAYA
PLN DISJAYA</t>
  </si>
  <si>
    <t>PG189 PULOGADUNG PT. ENSEVAL PUTRA M / JL. PULO LENTUT,  pulo entut,  Kota Administrasi Jakarta Timur,  .Banten - salah,  Indonesia,</t>
  </si>
  <si>
    <t>PA/ACT/1712/0247</t>
  </si>
  <si>
    <t>20168 | 4500019275</t>
  </si>
  <si>
    <t>F390</t>
  </si>
  <si>
    <t>G114</t>
  </si>
  <si>
    <t xml:space="preserve">PT  Sarana Steel </t>
  </si>
  <si>
    <t>PLN DISJAYA, PLN DISJAYA, Kota Administrasi Jakarta utara, DKI Jakarta, Indonesia, 11410</t>
  </si>
  <si>
    <t xml:space="preserve">PG257 PULOGADUNG PT. SARANA STEEL CORP / JL. RW BULAK II,RW BULAK ,Kota Administrasi Jakarta Timur ,DKI Jakarta ,Indonesia ,- </t>
  </si>
  <si>
    <t>PA/ACT/1801/1972</t>
  </si>
  <si>
    <t>20178 | 4500019274</t>
  </si>
  <si>
    <t>F389</t>
  </si>
  <si>
    <t>G117</t>
  </si>
  <si>
    <t>PT Iforte Solusi Infotek QQ PT Herlina Indah</t>
  </si>
  <si>
    <t>IFORTE IDC DUREN 3</t>
  </si>
  <si>
    <t>PT Herlina Indah, Lahan Industri Pulogadung Blok DD 14,16 Jl. Rawa Sumur Jakarta Timur,  Pulogadung,  Jakarta Timur,  DKI Jakarta,  Indonesia,  -</t>
  </si>
  <si>
    <t>20150/SPP/008/PUSAT/ICON+/2022 | 4500019268</t>
  </si>
  <si>
    <t>2082/SPP/SBU/ICON+/2023</t>
  </si>
  <si>
    <t>F383</t>
  </si>
  <si>
    <t>G339</t>
  </si>
  <si>
    <t>3758/SPP/SBU/PLNICONPLUS/2024</t>
  </si>
  <si>
    <t>H202</t>
  </si>
  <si>
    <t>PT Iforte Solusi Infotek QQ PT Wahana Citra Nabati</t>
  </si>
  <si>
    <t>IFORTE IDC DUREN 3,  -,  Jakarta Selatan,  DKI Jakarta,  Indonesia,  -</t>
  </si>
  <si>
    <t>PT WAHANA CITRA NABATI, Jl. Rawa Sumur 1 Blok EE NO.5 Lahan Industri Pulogadung Jaktim,  -,  -,  -,  Indonesia,  -</t>
  </si>
  <si>
    <t>20136/SPP/008/PUSAT/ICON+/2022 | 4500019265</t>
  </si>
  <si>
    <t>2083/SPP/SBU/ICON+/2023</t>
  </si>
  <si>
    <t>F380</t>
  </si>
  <si>
    <t>G338</t>
  </si>
  <si>
    <t>3761/SPP/SBU/PLNICONPLUS/2024</t>
  </si>
  <si>
    <t>H204</t>
  </si>
  <si>
    <t>PT Astra Agro Lestari</t>
  </si>
  <si>
    <t xml:space="preserve">PT. Astra Agro Lestari, Lahan Industri Pulogadung Blok OR 1-2 Pulo Ayang Raya Cakung RW. 9, Rawa Terate,  Cakung,  Jakarta Timur,  DKI Jakarta,  Indonesia,  </t>
  </si>
  <si>
    <t>PA/ACT/1809/1510</t>
  </si>
  <si>
    <t>20117 | 4500019260</t>
  </si>
  <si>
    <t>F376</t>
  </si>
  <si>
    <t>G113</t>
  </si>
  <si>
    <t xml:space="preserve">PT. Nutrifood Indonesia, Jl. Rawabali II No.3, JIEP Pulogadung,- ,- ,- ,Indonesia </t>
  </si>
  <si>
    <t>PA/UPG/1909/0105</t>
  </si>
  <si>
    <t>20162/SPP/008/PUSAT/ICON+/2022 | 4500019270</t>
  </si>
  <si>
    <t>21810/SPP/008/PUSAT/ICON+/2023</t>
  </si>
  <si>
    <t>F385</t>
  </si>
  <si>
    <t>G421</t>
  </si>
  <si>
    <t>PT Iforte Solusi Infotek qq PT Pionir Beton</t>
  </si>
  <si>
    <t>PT. Pionir Beton - Jl. Rawa Sumur IV Blok BB No. 9A-9B, Lahan Industri Pulogadung, Jakarta Timur,  -,  -,  -,  Indonesia,  -</t>
  </si>
  <si>
    <t>20165/SPP/008/PUSAT/ICON+/2022 | 4500019281</t>
  </si>
  <si>
    <t>2084/SPP/SBU/ICON+/2023</t>
  </si>
  <si>
    <t>F392</t>
  </si>
  <si>
    <t>G344</t>
  </si>
  <si>
    <t>H203</t>
  </si>
  <si>
    <t>3759/SPP/SBU/PLNICONPLUS/2024</t>
  </si>
  <si>
    <t>PT Nettocyber Indonesia QQ PT Swakarsa Sinar Sentosa</t>
  </si>
  <si>
    <t>Menara Rajawali Lahan Mega Kuningan lt.10 lot 5.1 jakarta,  -,  -,  -,  Indonesia,  -</t>
  </si>
  <si>
    <t>PT. Swakarsa Sinar Sentosa : Jl. Rawa Gelam 5. Gedung Graha Sapta Mulia lt. 3,  -,  -,  -,  Indonesia,  -</t>
  </si>
  <si>
    <t>20149/SPP/008/PUSAT/ICON+/2022 | 4500019269</t>
  </si>
  <si>
    <t>F384</t>
  </si>
  <si>
    <t>G417</t>
  </si>
  <si>
    <t>PT Aplikanusa Lintasarta qq PT Parit Padang Global</t>
  </si>
  <si>
    <t>Soho Global Health (PT Parit Padang Global), Jl. Rawa Sumur II Kav. BB No.3, Lahan Industri Pulo Gadung, Jakarta 13930,  -,  -,  -,  Indonesia,  -</t>
  </si>
  <si>
    <t>PA/UPG/1806/0037/TER</t>
  </si>
  <si>
    <t>20160/SPP/008/PUSAT/ICON+/2022</t>
  </si>
  <si>
    <t>F387</t>
  </si>
  <si>
    <t xml:space="preserve">PT Pama Persada
PT Yapindo Transportama
PT Iforte Solusi Infotek qq PT Wahana Citra Nabati
PT Iforte Solusi Infotek QQ PT Herlina Indah
PT Nutrifood Indonesia
PT Indosat Tbk qq Tirta Investama
PT Aplikanusa Lintasarta qq PT Bank Cimb Niaga
PT PLN (Persero) Kantor Pusat
PT Iforte Solusi Infotek qq PT Pionir Beton
PT Bank Mandiri
</t>
  </si>
  <si>
    <t>Lahan JIEP</t>
  </si>
  <si>
    <t xml:space="preserve">PA/ACT/2202/2487
PA/UPG/1805/0261
PA/UPG/2008/0151
PA/UPG/2011/0101
PA/UPG/1909/0105
PA/UPG/2007/0067
PA/ACT/2203/1175
PA/UPG/2004/0101/TER
PA/ACT/2005/1817/TER
PA/UPG/2209/0077
ICON-00/SBC/1710/1084 - 0990000320515696
</t>
  </si>
  <si>
    <t>1214 | 4500021388</t>
  </si>
  <si>
    <t>G253</t>
  </si>
  <si>
    <t>H41</t>
  </si>
  <si>
    <t>PA Penutuan Temuan Kawasan JIEP</t>
  </si>
  <si>
    <t xml:space="preserve">PT. JALA LINTAS MEDIA
PT. PLN (PERSERO) KANTOR PUSAT
PT. HOME CENTER INDONESIA
</t>
  </si>
  <si>
    <t>Gedung Thamrin City Lt.1 Jakarta 10230</t>
  </si>
  <si>
    <t>USER SEPANJANG MAMPANG PRAPATAN</t>
  </si>
  <si>
    <t xml:space="preserve">
AL/2009/48404 / PA/ACT/1805/0724
0990000320374109 
0990000320375804
990000320354365
0990000320523705 
01000034064
01000052949 </t>
  </si>
  <si>
    <t>=</t>
  </si>
  <si>
    <t>20061/SPP/008/PUSAT/ICON+/2022 | 4500019039</t>
  </si>
  <si>
    <t>98/SPP/SBU/ICON+/2023</t>
  </si>
  <si>
    <t>Irfan</t>
  </si>
  <si>
    <t>815-2587-5256</t>
  </si>
  <si>
    <t>F350</t>
  </si>
  <si>
    <t>G178</t>
  </si>
  <si>
    <t>PT Marunda Distribundo Raya
PT Trans Retail Indonesia
PT Asuransi Astra Buana
PT Hutchison 3 Indonesia
KEMENTERIAN ENERGI DAN SUMBER DAYA MINERAL</t>
  </si>
  <si>
    <t>H3I Menara Mulia Basement FL Menara Mulia, Jl. Jend. Gatot Subroto Kav. 9-11 Jakarta , -, Jakarta Selatan, DKI Jakarta, Indonesia, -</t>
  </si>
  <si>
    <t>USER SEPANJANG TENDEAN</t>
  </si>
  <si>
    <t>PA/ACT/2103/2394
AL/2104/24052
PA/UPG/2006/0169
ICON-00/SBC/1610/0127
"AL/2007/024908</t>
  </si>
  <si>
    <t>21883/SPP/008/PUSAT/ICON+/2023 | 4500020373</t>
  </si>
  <si>
    <t>3213/SPP/SBU/PLNICONPLUS/2024</t>
  </si>
  <si>
    <t>G87</t>
  </si>
  <si>
    <t>H180</t>
  </si>
  <si>
    <t>Parno Isworo
Amir Rosidin
Doddy Sukmajaya
Kartini Sally HB Joenoes
PT. PLN (PERSERO) KANTOR PUSAT
PT. CIMB NIAGA AUTO FINANCE</t>
  </si>
  <si>
    <t>sepanjang jalan cikajang</t>
  </si>
  <si>
    <t>825/SPP/SBU/ICON+/2023 | 4500021008</t>
  </si>
  <si>
    <t>2480/SPP/SBU/ICON+/2024</t>
  </si>
  <si>
    <t>G175</t>
  </si>
  <si>
    <t>H206</t>
  </si>
  <si>
    <t xml:space="preserve">PT Lucky Strategis
PT Sumber Alfaria Trijaya Tbk
PT Prodia Widyahusada
PT Prodia Widyahusada
Kementerian Energi dan Sumber Daya Mineral
PT Jala Lintas Media
PT Tele Globe Global qq ATM Mu Gung Hwa Supermarket
PT Astra International Tbk
PT Bank Mandiri (Persero) Tbk
BUT. Sarulla Operations Ltd
PT Bank Mandiri (Persero) Tbk
PT PLN (Persero) Kantor Pusat
PT. PLN (PERSERO) KANTOR PUSAT
PT PLN (Persero) Kantor Pusat
PT PLN (Persero) Kantor Pusat
PT. ORBIT TERMINAL MERAK
PT. PLN (PERSERO) KANTOR PUSAT
KEMENTERIAN PEKERJAAN UMUM DAN PERUMAHAN RAKYAT DIREKTORAT JENDRAL
PT PLN (Persero) Kantor Pusat
PT Indonesia Comnets Plus
PT Indonesia Comnets Plus
PT. CYBER NETWORK INDONESIA qq Bareskrim Polri
PEMERINTAH PROVINSI DKI JAKARTA
PT Aplikanusa Lintasarta qq Korlantas Polri
Abdul Ghofur </t>
  </si>
  <si>
    <t>sepanjang jalan gunawarman</t>
  </si>
  <si>
    <t>705/SPP/SBU/ICON+/2023 | 4500021009</t>
  </si>
  <si>
    <t>irfan</t>
  </si>
  <si>
    <t>G124</t>
  </si>
  <si>
    <t>sepanjang jalan suryo</t>
  </si>
  <si>
    <t>706/SPP/SBU/ICON+/2023 | 4500021010</t>
  </si>
  <si>
    <t>G125</t>
  </si>
  <si>
    <t>sepanjang jalan monginsidi</t>
  </si>
  <si>
    <t>890/SPP/SBU/ICON+/2023 | 4500021014</t>
  </si>
  <si>
    <t>G148</t>
  </si>
  <si>
    <t>sepanjang jalan senopati</t>
  </si>
  <si>
    <t>708/SPP/SBU/ICON+/2023 | 4500021013</t>
  </si>
  <si>
    <t>G147</t>
  </si>
  <si>
    <t>PT. WORLEY SEA INDONESIA</t>
  </si>
  <si>
    <t>Jl.Jend Sudirman Kav.29-31 Jakarta 12190</t>
  </si>
  <si>
    <t>Building WTC 3 Floor 18, Jl. Jend. Sudirman kav 29-31 RT.4/RW.2, Kuningan, Karet</t>
  </si>
  <si>
    <t>20800/SPP/008/PUSAT/ICON+/2022 | 4500019756</t>
  </si>
  <si>
    <t>2115/SPP/SBU/ICON+/2023</t>
  </si>
  <si>
    <t>F431</t>
  </si>
  <si>
    <t>G385</t>
  </si>
  <si>
    <t>Security Deposit 5.000.000</t>
  </si>
  <si>
    <t>PT Cikarang Listrindo Tbk</t>
  </si>
  <si>
    <t>Jl. Jend. Sudirman, World Trade Center Kav 29 - 31 Lantai 17, RT.8/RW.3, Kuningan, Karet, Setiabudi, Jakarta Selatan, DKI Jakarta, 12920</t>
  </si>
  <si>
    <t>PA/ACT/1901/1451
 PA/ACT/1901/1450</t>
  </si>
  <si>
    <t>10253/SPP/008/PUSAT/ICON+/2019 | 4500012509</t>
  </si>
  <si>
    <t>15557/SPP/008/PUSAT/ICON+/2021</t>
  </si>
  <si>
    <t>C23</t>
  </si>
  <si>
    <t>E67</t>
  </si>
  <si>
    <t>ITC Mangga Dua 6th Floor Jl. Mangga Dua Raya Jakarta 14430</t>
  </si>
  <si>
    <t>PLAZA SINARMAS JL. FACHRUDIN 18 LT.6 JAKARTAPUSAT 10250, -, Jakarta Pusat, DKI Jakarta, Indonesia, -</t>
  </si>
  <si>
    <t>ITC Mangga Dua (Lt. Dasar sampai ATM Bank Sinarmas Lt.1 Blok D No. 61-62 ITC Mangga Dua Jl. Mangga Dua Raya Jakarta-Bank Sinarmas)</t>
  </si>
  <si>
    <t>ICON-00/ACT/1503/0100</t>
  </si>
  <si>
    <t>4500009719 | 004/CTFO/L&amp;P/VIII/2016 | 07107/SPP/008/PUSAT/ICON+/2017 | 4500010609 | 08806/SPP/008/PUSAT/ICON+/2018 | 4500011660 | 450001303011185/SPP/008/PUSAT/ICON+/2019 | 4500013030 | 13945/SPP/008/PUSAT/ICON+/2020 | 4500014819 | 15964/SPP/008/PUSAT/ICON+/2021 | 4500016270 | 4500018463</t>
  </si>
  <si>
    <t>2044/SPP/SBU/ICON+/2023</t>
  </si>
  <si>
    <t>Meiky</t>
  </si>
  <si>
    <t>021-6017771</t>
  </si>
  <si>
    <t>B166</t>
  </si>
  <si>
    <t>C146</t>
  </si>
  <si>
    <t>D199</t>
  </si>
  <si>
    <t>E194</t>
  </si>
  <si>
    <t>G387</t>
  </si>
  <si>
    <t>ITC Mangga Dua (Lt. Dasar sampai ATM BCA lt.4 Jl. Mangga Dua Raya Jakarta-Bank Central Asia So No.ICON-00/ACT/1602/0472 )</t>
  </si>
  <si>
    <t>AL/2303/13854</t>
  </si>
  <si>
    <t>4500009756
 Revisi
 4500009909
 111113/MI/004/PUSAT/ICON+/2016
 006/CTFO/L&amp;P/XI/2016 07552/SPP/008/PUSAT/ICON+/2017 4500011045 | 09456/SPP/008/PUSAT/ICON+/2018 | 4500012046 | 11789/SPP/008/PUSAT/ICON+/2019 | 4500013402| 14469/SPP/008/PUSAT/ICON+/2020| 4500015209 |17133/SPP/008/PUSAT/ICON+/2021 | 4500018727 | 20681| 4500019997</t>
  </si>
  <si>
    <t>Dani Dwi Aditya</t>
  </si>
  <si>
    <t>B250</t>
  </si>
  <si>
    <t>C220</t>
  </si>
  <si>
    <t>D311</t>
  </si>
  <si>
    <t>F261</t>
  </si>
  <si>
    <t>G80</t>
  </si>
  <si>
    <t>H104</t>
  </si>
  <si>
    <t>PT BANK DANAMON INDONESIA, TBK</t>
  </si>
  <si>
    <t>Gedung Mall Mangga Dua Lt. 5
Jl. Arteri Mangga Dua Raya Jakarta 10730
Indonesia</t>
  </si>
  <si>
    <t>BDI BSD</t>
  </si>
  <si>
    <t>Ruko Orion Mangga Dua Jl. Raya Mangga Dua No. 3 Jakarta -Bank Danamon Indonesia</t>
  </si>
  <si>
    <t>ICON-00/SBC/1803/0091
 ICON-00/ACT/1103/0510</t>
  </si>
  <si>
    <t>4500009479 |002/LP-ORION/V/2016 |4500010588 |05426/SPP/008/PUSAT/ICON+/2017 | 08601/SPP/008/PUSAT/ICON+/2018 | 4500011490</t>
  </si>
  <si>
    <t>10520/SPP/008/PUSAT/ICON+/2019</t>
  </si>
  <si>
    <t>4500012782</t>
  </si>
  <si>
    <t>Hendra</t>
  </si>
  <si>
    <t>021-6126000</t>
  </si>
  <si>
    <t>B79</t>
  </si>
  <si>
    <t>C107</t>
  </si>
  <si>
    <t>PT JAKARTA INFRASTRUKTUR PROPERTINDO</t>
  </si>
  <si>
    <t>Gedung JAYA, Gedung Jaya, Jl. M.H. Thamrin No.12, RW.1, Kb. Sirih, Kec. Menteng, Kota Jakarta Pusat, Daerah Khusus Ibukota Jakarta 10340</t>
  </si>
  <si>
    <t>21501 | 4500020103</t>
  </si>
  <si>
    <t>G67</t>
  </si>
  <si>
    <t>H31</t>
  </si>
  <si>
    <t>Backhaul Metronet) Menara Bank Mega Lt. 8. Jl.Kapten Tendean Kav. 12 - 14 A Jakarta,  Mampang Prapatan,  Kota Administrasi Jakarta Selatan,  DKI Jakarta,  Indonesia,  12790</t>
  </si>
  <si>
    <t>KCP Gedung Jaya Thamrin, JL. MH Thamrin No. 12 10340</t>
  </si>
  <si>
    <t>07823/SPP/008/PUSAT/ICON+/2017 | 4500011087 | 10047/SPP/008/PUSAT/ICON+/2019 | 4500012388 | 12664/SPP/008/PUSAT/ICON+/2020 | 4500014000 | 4500015608 | 17586/SPP/008/PUSAT/ICON+/2021 | 4500017469 | 20675 | 4500019683</t>
  </si>
  <si>
    <t>C56</t>
  </si>
  <si>
    <t>D135</t>
  </si>
  <si>
    <t>E65</t>
  </si>
  <si>
    <t>F11</t>
  </si>
  <si>
    <t>F468</t>
  </si>
  <si>
    <t>H62</t>
  </si>
  <si>
    <t>Biaya Pengawasan Pekerjaan Rp.500.000 3.Jaminan Pekerjaan Rp.3.000.000</t>
  </si>
  <si>
    <t xml:space="preserve">Jaya Real Property </t>
  </si>
  <si>
    <t>NESTLE INDOFOOD CITARASA INDONESIA</t>
  </si>
  <si>
    <t>Bintaro Trade Centre Lt. 2 Blok H 4 No. 1 - 33 Jl. Jend. Sudirman Pusat Kawasan Niaga Bintaro Jaya Sektor VII Tangerang 15224</t>
  </si>
  <si>
    <t>1. Jl. MH. Thamrin Sektor 7 CBD Bintaro
 2. Jalan Depan Carrefour Blok CBD A1 Sektor 7 Bintaro</t>
  </si>
  <si>
    <t>4500008597
 070330/MI/004/PUSAT/ICON+/2015</t>
  </si>
  <si>
    <t>Taufiq</t>
  </si>
  <si>
    <t>021-74864001</t>
  </si>
  <si>
    <t>1. Perijinan Pemanfaatan lahan untuk 10 tahun Rp150.000/m total 150 m update tahun 2016 Rp250.000,-
 2. Jasa Pengawasan Rp350.000 total untuk 7 hari update tahun 2016 Rp300.000/hari 
 3. Jaminan Rp75.000/m total untuk 150m update tahun 2016 LS Rp7.500.000,-</t>
  </si>
  <si>
    <t>Gedung menara Selatan Lt.9 Jl. Jend. Gatot Subroto No. 38 Jakarta 12710</t>
  </si>
  <si>
    <t>Gedung Menara Jamsostek Jl. Jend. Gatot Subroto No. 38 Jakarta</t>
  </si>
  <si>
    <t>06809/SPP/008/PUSAT/ICON+/2017 4500010413 | 09354/SPP/008/PUSAT/ICON+/2018 | 4500011961 | 11646/SPP/008/PUSAT/ICON+/2019 | 4500013292 | 14407/SPP/008/PUSAT/ICON+/2020 | 4500015174 | 16790/SPP/008/PUSAT/ICON+/2021 | 4500017202 | 19356/SPP/008/PUSAT/ICON+/2022 | 4500019237</t>
  </si>
  <si>
    <t>1857/SPP/SBU/ICON+/2023</t>
  </si>
  <si>
    <t>Puty</t>
  </si>
  <si>
    <t>021-5279317
 021-52961504
 021-52961509</t>
  </si>
  <si>
    <t>B223</t>
  </si>
  <si>
    <t>C196</t>
  </si>
  <si>
    <t>D360</t>
  </si>
  <si>
    <t>F9</t>
  </si>
  <si>
    <t>G345</t>
  </si>
  <si>
    <t>1.Biaya Sewa Tahunan sebesar Rp.7.500.000</t>
  </si>
  <si>
    <t>Gedung menara Selatan Lt.9 Jl. Jend. Gatot Subroto No. 38 Jakarta 12711</t>
  </si>
  <si>
    <t>11335/SPP/008/PUSAT/ICON+/2019 | 4500013058 | 13582/SPP/008/PUSAT/ICON+/2020 | 4500014591| 4500016267| 15952/SPP/008/PUSAT/ICON+/2021 | 19025/SPP/008/PUSAT/ICON+/2022  | 4500018604 | 312/SPP/SBU/ICON+/2023 |   4500020788</t>
  </si>
  <si>
    <t>312/SPP/SBU/ICON+/2023</t>
  </si>
  <si>
    <t>021-5279317
 021-52961504
 021-52961510</t>
  </si>
  <si>
    <t>C156</t>
  </si>
  <si>
    <t>D145</t>
  </si>
  <si>
    <t>E209</t>
  </si>
  <si>
    <t>F255</t>
  </si>
  <si>
    <t>G176</t>
  </si>
  <si>
    <t>1.Biaya Sewa Tahunan sebesar Rp.10.000.000</t>
  </si>
  <si>
    <t>3831/SPP/SBU/PLNICONPLUS/2024</t>
  </si>
  <si>
    <t>Tri / Ramlis</t>
  </si>
  <si>
    <t>H250</t>
  </si>
  <si>
    <t xml:space="preserve">11279/SPP/008/PUSAT/ICON+/2019 | 4500013060 | 13583/SPP/008/PUSAT/ICON+/2020 | 4500014586| 15953/SPP/008/PUSAT/ICON+/2021| 4500016268 | 19356/SPP/008/PUSAT/ICON+/2022 | 4500018605 | 429/SPP/SBU/ICON+/2023 | 4500020785 | </t>
  </si>
  <si>
    <t>429/SPP/SBU/ICON+/2023</t>
  </si>
  <si>
    <t>C157</t>
  </si>
  <si>
    <t>D146</t>
  </si>
  <si>
    <t>E205</t>
  </si>
  <si>
    <t>F259</t>
  </si>
  <si>
    <t>1.Biaya Sewa Tahunan sebesar Rp.5.000.000</t>
  </si>
  <si>
    <t>3830/SPP/SBU/PLNICONPLUS/2024</t>
  </si>
  <si>
    <t>H251</t>
  </si>
  <si>
    <t>Gedung Menara Jamsostek Jl. Jend. Gatot Subroto No. 38 Jakarta (Bank Mandiri)</t>
  </si>
  <si>
    <t>ICON-00/ACT/1107/3460</t>
  </si>
  <si>
    <t>2141116/SPR/ICON+/2016
 32/LOI/BIJAK-ICON+/01.2017 07341/SPP/008/PUSAT/ICON+/2017 4500010770 | 09447/SPP/008/PUSAT/ICON+/2018 | 4500012007 | 11791/SPP/008/PUSAT/ICON+/2019 | 4500013415 | 14456/SPP/008/PUSAT/ICON+/2020 | 4500015271 | 16773/SPP/008/PUSAT/ICON+/2021 | 4500016881 | 19355/SPP/008/PUSAT/ICON+/2022 | 4500018689</t>
  </si>
  <si>
    <t>1675/SPP/SBU/ICON+/2023</t>
  </si>
  <si>
    <t>B236</t>
  </si>
  <si>
    <t>C221</t>
  </si>
  <si>
    <t>D305</t>
  </si>
  <si>
    <t>E409</t>
  </si>
  <si>
    <t>F444</t>
  </si>
  <si>
    <t>G386</t>
  </si>
  <si>
    <t>1. Biaya Perbaikan Fire Stop per lantai Rp400.000 total untuk 12 lantai Rp4.800.000 one Time Charged
 2. Biaya Supervisi Rp300.000,- update tahun 2014 Rp900.000,- one Time Charged
 3. Sewa Shaft per tarikan Rp4.000.000 update akhir tahun 2014 Rp5.000.000/unit/tahun
 4. Sewa Panel Rp2.500.000/unit/tahun
 5. Jaminan Rp1.875.000</t>
  </si>
  <si>
    <t>PT Tanjung Enim Lestari</t>
  </si>
  <si>
    <t>Desa. Niru Tebat Agung Kec. Rambang Dangku Kab. Muara Enim Sumatera Selatan 31172</t>
  </si>
  <si>
    <t>Gedung Menara Jamsostek Jl. Jend. Gatot Subroto No. 38 Jakarta (Menara Jamsostek Utara B1 s/d Lt.12-PT Tanjung Enim Lestari)</t>
  </si>
  <si>
    <t>061726/SPR/008/PUSAT/ICON+/2016 | 32/LOI/BIJAK-ICON+/01.2017 | 07245/SPP/008/PUSAT/ICON+/2017 |4500010674 | 08779/SPP/008/PUSAT/ICON+/2018 | 4500011633 | 10953/SPP/008/PUSAT/ICON+/2019 | 4500012934| 15925/SPP/008/PUSAT/ICON+/2021| 4500016266</t>
  </si>
  <si>
    <t>B129</t>
  </si>
  <si>
    <t>C123</t>
  </si>
  <si>
    <t>E202</t>
  </si>
  <si>
    <t>F258</t>
  </si>
  <si>
    <t>Gedung Menara Jamsostek Jl. Jend. Gatot Subroto No. 38 Jakarta lantai 10</t>
  </si>
  <si>
    <t>20865/SPP/008/PUSAT/ICON+/2022</t>
  </si>
  <si>
    <t>G11</t>
  </si>
  <si>
    <t>3940/SPP/SBU/PLNICONPLUS/2024</t>
  </si>
  <si>
    <t>H268</t>
  </si>
  <si>
    <t>R. Direksi Kantor ICON+ Jamsostek LT 19</t>
  </si>
  <si>
    <t>PA/ACT/2209/4005</t>
  </si>
  <si>
    <t>20013/SPP/008/PUSAT/ICON+/2022 | 4500018982 | 1674/SPP/SBU/ICON+/2023 | 4500021538</t>
  </si>
  <si>
    <t>4531/SPP/SBU/PLNICONPLUS/2024</t>
  </si>
  <si>
    <t>F325</t>
  </si>
  <si>
    <t>G342</t>
  </si>
  <si>
    <t>H371</t>
  </si>
  <si>
    <t>1.Biaya Sewa Tahunan sebesar Rp.5.000.000 | 2.Biaya Supervisi Rp.440.000 | 3.Biaya Firestop Rp.1.350.000</t>
  </si>
  <si>
    <t>KAI Commuter Jabodetabek</t>
  </si>
  <si>
    <t>PT. Prodia Widyahusada
 PT. BANK SYARIAH BRI KC Bogor 
 GIS 150 KV BOGOR BARU II (TAJUR), -, -, -, Indonesia - GI 150 KV CIANJUR
 Bank BJB KCP Suryakencana No.315 Bogor
 Maybank Kim Eng Sekuritas Ruko Mega Mall Pluit
 PT. NAP INFO LINTASNUSA PLAZA KUNINGAN - StanChart Elitery Bogor
 BCA H2H Elitery Data Center
 PT Maybank Kim Eng Securities Indonesia Elitery Recovery Data Center
 Data Sinergi H2H Bank Mandiri
 Aplikanusa Lintasarta Unilever Indonesia
 FUJITSU INDONESIA 
 BT Communications Indonesia Graha Unilever
 DATA SINERGITAMA JAYA 
 CBN Cyber 2 P2MP QinQ</t>
  </si>
  <si>
    <t>Stasiun Cikini Lt. Dasar
Jln. Cikini Raya, Cikini - Menteng Jakarta Pusat - 10330</t>
  </si>
  <si>
    <t>Jl. Jend. Sudirman No. 38-B, Bogor
 Jl. Jend. Ahmad Yani Bogor
 Jl. Kapten Muslihat No.25 Central Bogor Bogor West Java 16124 Indonesia
 Elitery Recovery Data Center, Jalan Padjajaran No.17 Sanggar Ksatria 5 Lantai 5
 Elitery Recovery Data Center, Jalan Padjajaran No.17 Sanggar Ksatria 5 Lantai 5
 H2H BCA Elitery Data Center; Jl. Raya Pajajaran No.61, RT.06/RW.13, Baranangsiang
 Elitery Data Center; Jl. Raya Pajajaran No.61, RT.06/RW.13, Baranangsiang</t>
  </si>
  <si>
    <t>1000008128
 990000320370121
 990000320520509
 990000320409433
 1000058903
 990000320368897
 1000135933
 '0990000320470177 
 1000076136
 1000127778
 990000320452699
 990000320478376
 990000320514810
 990000320433457</t>
  </si>
  <si>
    <t>F53</t>
  </si>
  <si>
    <t>1.Biaya sewa 105.010.000</t>
  </si>
  <si>
    <t xml:space="preserve">Karunia Megah Perkasa </t>
  </si>
  <si>
    <t>PT. BANK PANIN, Tbk
 PT. BANK SYARIAH MANDIRI</t>
  </si>
  <si>
    <t>Lahan Mutiara Taman Palem
 1. Bank Panin Blok A2 No. 20 Mutiara Taman Palem
 2. Bank Syariah Mandiri Blok A2 No. 09 Mutiara Taman Palem</t>
  </si>
  <si>
    <t>ICON-00/SOP/1505/0062
 357849/1285644652/103 | 357849/1285644652/103 | 170000211820025
 170000218240011</t>
  </si>
  <si>
    <t>022011/MI/004/PUSAT/ICON+/2017 | 09420/SPP/008/PUSAT/ICON+/2018 | 4500012028 | 10773/SPP/008/PUSAT/ICON+/2019 | 4500012765 | 4500010138 | 07688/SPP/008/PUSAT/ICON+/2017 |4500011005 | 08796/SPP/008/PUSAT/ICON+/2018 | 4500011630 | 10750/SPP/008/PUSAT/ICON+/2019 | 4500013057 | 13553/SPP/008/PUSAT/ICON+/2020 | 4500014492| 13553/SPP/008/PUSAT/ICON+/2020 | 4500014491 | 18851/SPP/008/PUSAT/ICON+/2022 | 4500018967</t>
  </si>
  <si>
    <t>657/SPP/SBU/ICON+/2023</t>
  </si>
  <si>
    <t>4500021351</t>
  </si>
  <si>
    <t>Mugiono</t>
  </si>
  <si>
    <t>021-54350222</t>
  </si>
  <si>
    <t>C93</t>
  </si>
  <si>
    <t>D134</t>
  </si>
  <si>
    <t>E249</t>
  </si>
  <si>
    <t>F335</t>
  </si>
  <si>
    <t>G321</t>
  </si>
  <si>
    <t>1. Sewa Lahan Rp12.000.000/tahun/pelanggan</t>
  </si>
  <si>
    <t>PT INDOINTERNET</t>
  </si>
  <si>
    <t>Box ICON+ di Basement Ke RDC Indonet di Lantai 8 
 Gedung Cyber 
 Jl. Kuningan Barat No.8 
 Jakarta</t>
  </si>
  <si>
    <t>ICON-00/SBC/1704/0025</t>
  </si>
  <si>
    <t>555/KN/Cable Shaft/II/2017 |07311/SPP/008/PUSAT/ICON+/2017 / 4500010832 | 08299/SPP/008/PUSAT/ICON+/2018 |4500011308</t>
  </si>
  <si>
    <t>10008/SPP/008/PUSAT/ICON+/2019</t>
  </si>
  <si>
    <t>021-5269588 Ext. 620</t>
  </si>
  <si>
    <t>B73</t>
  </si>
  <si>
    <t>C55</t>
  </si>
  <si>
    <t>PT. LINTAS JARINGAN NUSANTARA</t>
  </si>
  <si>
    <t>Cyber 1, Jl. Kuningan Barat, Jakarta Selatan</t>
  </si>
  <si>
    <t>PA/ACT/2002/2405
 PA/ACT/2002/2406</t>
  </si>
  <si>
    <t>13024/SPP/008/PUSAT/ICON+/2020 | 4500014161| 15788/SPP/008/PUSAT/ICON+/2021| 4500016453</t>
  </si>
  <si>
    <t>D81</t>
  </si>
  <si>
    <t>E247</t>
  </si>
  <si>
    <t>F301</t>
  </si>
  <si>
    <t>Biaya ORI Sewa Cable Tray Cyber 1 (Karyagraha Nusantara) Rp.7.000.000,-</t>
  </si>
  <si>
    <t>CV Media Internet Kudus
PT. NETCITI PERSADA
PT Supra Prima Nusantara
PT. TRANS HYBRID COMMUNICATION qq PT Longrich
PT. ANAGATA CIPTA TEKNOLOGI
PT XL Axiata Tbk qq Bank BNI
PT. JARING SOLUSI PERSADA
PT Digitel Tech Solutions
PT Data Prima Solusindo</t>
  </si>
  <si>
    <t xml:space="preserve">01000334781
110120205827 / 100000002820000
01000304026
01000317606
01000315365
01000315886
111202018690
01000208742
</t>
  </si>
  <si>
    <t>4303/SPP/SBU/PLNICONPLUS/2024</t>
  </si>
  <si>
    <t>H307</t>
  </si>
  <si>
    <t>15887/SPP/008/PUSAT/ICON+/2021| 4500016198</t>
  </si>
  <si>
    <t>E50</t>
  </si>
  <si>
    <t>F305</t>
  </si>
  <si>
    <t>4306/SPP/SBU/PLNICONPLUS/2024</t>
  </si>
  <si>
    <t>H304</t>
  </si>
  <si>
    <t>PT PARSAORAN GLOBAL DATATRANS
 PT SISTELINDO MITRALINTAS
 PT. FLASH MOBILE
 PT. FLASH MOBILE
 PT.HANASTA DAKARA
 PT.HANASTA DAKARA
 PT.HANASTA DAKARA</t>
  </si>
  <si>
    <t>Gedung Cyber</t>
  </si>
  <si>
    <t>990000320299558
 990000320297000
 ICON-00/ACT/1205/0545
 ICON-00/ACT/1205/0544
 ICON-00/SOP/1507/0041 
 ICON-00/SOP/1710/0008 
 ICON-00/SOP/1507/0061</t>
  </si>
  <si>
    <t>061316/SPR/008/PUSAT/ICON+/2016 | 08282/SPP/008/PUSAT/ICON+/2018 |4500011290 | 08772/SPP/008/PUSAT/ICON+/2018 | 4500011604 | 11032/SPP/008/PUSAT/ICON+/2019 | 4500012953 | 13716/SPP/008/PUSAT/ICON+/2020 | 4500014639| 15965/SPP/008/PUSAT/ICON+/2021| 4500016271 | 19407/SPP/008/PUSAT/ICON+/2022 | 4500018856</t>
  </si>
  <si>
    <t>584/SPP/SBU/ICON+/2023</t>
  </si>
  <si>
    <t>B48</t>
  </si>
  <si>
    <t>B138</t>
  </si>
  <si>
    <t>C131</t>
  </si>
  <si>
    <t>D352</t>
  </si>
  <si>
    <t>E240</t>
  </si>
  <si>
    <t>F351</t>
  </si>
  <si>
    <t>G182</t>
  </si>
  <si>
    <t>1. Sewa Cable Shaft -UTP 4 pair dari lantai 10 PT Cyberindo Aditama sampai ke lantai 7 IDC, yang melalui lorong Cable Shaft "B" Rp5.500.000 (Th. 2013) update harga tahun 2016 Rp6.500.000 (Perjanjian serupa)</t>
  </si>
  <si>
    <t>3937/SPP/SBU/PLNICONPLUS/2024</t>
  </si>
  <si>
    <t>H270</t>
  </si>
  <si>
    <t>PT XL AXIATA Tbk.
 PT. ARTHA TELEKOMINDO
 PT. VARNION INTERNASIONAL</t>
  </si>
  <si>
    <t>4500009401 
 Amandemen Ke-Dua Perjanjian Sewa Menyewa Jalur Kabel 132/KN/SUBDUCT/V/2009 |4500010346 |06722/SPP/008/PUSAT/ICON+/2017 |4500011393 | 08447/SPP/008/PUSAT/ICON+/2018 | 10734/SPP/008/PUSAT/ICON+/2019 | 4500012761 | 13359/SPP/008/PUSAT/ICON+/2020 | 4500014450| 15572/SPP/008/PUSAT/ICON+/2021| 4500016058</t>
  </si>
  <si>
    <t>B69</t>
  </si>
  <si>
    <t>C98</t>
  </si>
  <si>
    <t>D202</t>
  </si>
  <si>
    <t>E77</t>
  </si>
  <si>
    <t>F198</t>
  </si>
  <si>
    <t>Sewa Subduct (FO 96 core Depan Gedung cyber (Mainhole) ke lantai 1 (APJII)) Rp33.500.000/tahun 
 Jasa Penarikan (One Time Charged)</t>
  </si>
  <si>
    <t>4054/SPP/SBU/PLNICONPLUS/2024</t>
  </si>
  <si>
    <t>H335</t>
  </si>
  <si>
    <t>Cyberindo Aditama 
 Flash Mobile</t>
  </si>
  <si>
    <t>MIG/1705/0004
 ACT/1205/0544
 ACT/1205/0545</t>
  </si>
  <si>
    <t>362A/KN/Cable Shaft/IV_04 |4500009402 | 06721/SPP/008/PUSAT/ICON+/2017/ |4500010349 | 08500/SPP/008/PUSAT/ICON+/2018 | 4500011421 | 10518/SPP/008/PUSAT/ICON+/2019 | 4500012670 | 13509/SPP/008/PUSAT/ICON+/2020 | 4500014574| 15571/SPP/008/PUSAT/ICON+/2021| 4500016300</t>
  </si>
  <si>
    <t>B70</t>
  </si>
  <si>
    <t>C73</t>
  </si>
  <si>
    <t>D204</t>
  </si>
  <si>
    <t>E118</t>
  </si>
  <si>
    <t>F207</t>
  </si>
  <si>
    <t>1.Sewa Cable Shaft (FO 12 core dari Subduct depan Gedung Cyber Menuju Lt.10) Rp33.500.000,- 
 2. Sewa Panel Box Rp6.500.000/tahun
 3. Jasa Penarikan (One Time Charged)</t>
  </si>
  <si>
    <t>4304/SPP/SBU/PLNICONPLUS/2024</t>
  </si>
  <si>
    <t>H306</t>
  </si>
  <si>
    <t>PT.HANASTA DAKARA</t>
  </si>
  <si>
    <t>ICON-00/SBC/1610/0009
 ICON-00/SBC/1611/0605
 ICON-00/SBC/1703/0283
 ICON-00/SBC/1705/0136
 ICON-00/SBC/1708/0783
 ICON-00/SBC/1708/1327
 AL/1808/8640
 AL/1808/8641
 AL/1812/17440
 AL/1903/5003
 ICON-00/SBC/1809/0015
 AL/1810/10855</t>
  </si>
  <si>
    <t>4500009670 |08061/SPP/008/PUSAT/ICON+/2018 | 4500011266 | 08887/SPP/008/PUSAT/ICON+/2018 | 4500011679 | 11070/SPP/008/PUSAT/ICON+/2019 | 4500012955 | 13799/SPP/008/PUSAT/ICON+/2020 | 4500014682</t>
  </si>
  <si>
    <t>2331/SPP/SBU/ICON+/2024</t>
  </si>
  <si>
    <t>B125</t>
  </si>
  <si>
    <t>C128</t>
  </si>
  <si>
    <t>D160</t>
  </si>
  <si>
    <t>H253</t>
  </si>
  <si>
    <t>Sewa Subduct (FO 16 Core dari Mainhole ke Lt. 7) - Rp33.500.000,-
 Biaya Penarikan Kabel FO-Rp2.000.000,- (non resmi-One Time Charged) (PJ No. 078/KN-D/SUBDUCT/VIII/01)</t>
  </si>
  <si>
    <t>PA/ACT/1908/4074
PA/ACT/1810/1607</t>
  </si>
  <si>
    <t>4301/SPP/SBU/PLNICONPLUS/2024</t>
  </si>
  <si>
    <t>H340</t>
  </si>
  <si>
    <t>PT Indonet</t>
  </si>
  <si>
    <t>ICON-00/ACT/1701/0763 
 ICON-00/ACT/1701/0813 
 ICON-00/SOP/1607/0106 
 ICON-00/SOP/1505/0054 
 ICON-00/ACT/1503/0058 
 ICON-00/SOP/1703/0095</t>
  </si>
  <si>
    <t>4500009707
 Amandemen Kedua 07326/SPP/008/PUSAT/ICON+/2017 4500010738 | 09046/SPP/008/PUSAT/ICON+/2018 | 4500011779 | 11660/SPP/008/PUSAT/ICON+/2019 | 4500013290| 13983/SPP/008/PUSAT/ICON+/2020| 4500014857| 18428/SPP/008/PUSAT/ICON+/2022| 4500017892 | 19253/SPP/008/PUSAT/ICON+/2022 | 4500018445</t>
  </si>
  <si>
    <t>586/SPP/SBU/ICON+/2023</t>
  </si>
  <si>
    <t>B17</t>
  </si>
  <si>
    <t>B148</t>
  </si>
  <si>
    <t>C193</t>
  </si>
  <si>
    <t>D178</t>
  </si>
  <si>
    <t>F142</t>
  </si>
  <si>
    <t>F264</t>
  </si>
  <si>
    <t>G393</t>
  </si>
  <si>
    <t>Sewa Menyewa Cable Shaft dari Lt. Basement PT Indonesia Comnets Plus ke Lt. 8 (PT Indonet)</t>
  </si>
  <si>
    <t>PT.HANASTA DAKARA
 PT. GLOBAL KOMUNIKA DEWATA</t>
  </si>
  <si>
    <t>100000042820001
 1000037511
 990000020265432
 990000020261346
 1000029813
 1000043301
 1000042892</t>
  </si>
  <si>
    <t>4500009705 | 08031/SPP/008/PUSAT/ICON+/2018 | 4500011267 | 09077/SPP/008/PUSAT/ICON+/2018 | 4500011783 | 11461/SPP/008/PUSAT/ICON+/2019 | 4500013200| 13984/SPP/008/PUSAT/ICON+/2020 | 4500014998| 16862/SPP/008/PUSAT/ICON+/2021| 4500016998 | 19241/SPP/008/PUSAT/ICON+/2022 | 4500018456</t>
  </si>
  <si>
    <t>579/SPP/SBU/ICON+/2023</t>
  </si>
  <si>
    <t>B43</t>
  </si>
  <si>
    <t>B190</t>
  </si>
  <si>
    <t>C175</t>
  </si>
  <si>
    <t>E317</t>
  </si>
  <si>
    <t>F265</t>
  </si>
  <si>
    <t>G172</t>
  </si>
  <si>
    <t>Sewa Subduct (FO 96 Core dan Sewa Cable Shaft 24 Core dari mainhole ke Lt.7 di gedung Cyber)</t>
  </si>
  <si>
    <t>PT. MATRIXNET GLOBAL INDONESIA
 PT. ARTHA TELEKOMINDO
 PT. HIPERNET INDODATA
 PT. HAWK TEKNOLOGI SOLUSI</t>
  </si>
  <si>
    <t>ICON-00/SBC/1810/0136
 AL/1810/12176
 ICON-00/SBC/1709/0314
 AL/1810/12129
 AL/1810/12128
 AL/1805/3436
 ICON-00/SBC/1803/0021
 ICON-00/SBC/1609/0095
 ICON-00/SBC/1209/0518
 ICON-00/SBC/1202/0123
 ICON-00/SBC/1708/0536
 ICON-00/SBC/1701/0007
 ICON-00/SBC/1612/0288
 ICON-00/SBC/1609/0094
 ICON-00/SBC/1609/0093
 ICON-00/SBC/1504/0714
 ICON-00/SBC/1504/0713
 ICON-00/SBC/1211/0446
 AL/1809/9388
 ICON-00/SBC/1406/0343
 AL/1809/9388
 ICON-00/SBC/1406/0343
 ICON-00/SBC/1712/0633
 ICON-00/SBC/1302/0440</t>
  </si>
  <si>
    <t>4500009958 | 07584/SPP/008/PUSAT/ICON+/2017 |4500010908 | 09769/SPP/008/PUSAT/ICON+/2018 |4500012231 | 12174/SPP/008/PUSAT/ICON+/2019 | 4500013735| 14795/SPP/008/PUSAT/ICON+/2020| 4500015420 | 17501/SPP/008/PUSAT/ICON+/2021 | 4500017569</t>
  </si>
  <si>
    <t>2496/SPP/SBU/ICON+/2024</t>
  </si>
  <si>
    <t>B263</t>
  </si>
  <si>
    <t>D10</t>
  </si>
  <si>
    <t>E179</t>
  </si>
  <si>
    <t>F64</t>
  </si>
  <si>
    <t>H252</t>
  </si>
  <si>
    <t>Sewa Subduct dari Rack ICON+ Lantai Basement (PABX) sampai ke Handhole Depan Gedung Cyber untuk penempatan 1 (satu) buah kabel FO 4 core (PJ Nomor 069/KN/SUBDUCT/XII/05)</t>
  </si>
  <si>
    <t>PT XL AXIATA Tbk.</t>
  </si>
  <si>
    <t>PA/ACT/1804/0749
 PA/ACT/1804/1002
 ICON-00/SBC/1802/0197
 ICON-00/SBC/1611/0388
 ICON-00/SBC/1604/0771
 ICON-00/SBC/1512/0180
 ICON-00/SBC/1510/0605
 ICON-00/SBC/1504/0328
 ICON-00/SBC/1609/0551
 ICON-00/SBC/1512/0184
 ICON-00/SBC/1609/0552
 ICON-00/SBC/1703/0667
 ICON-00/SBC/1703/0143
 ICON-00/SBC/1611/0307
 ICON-00/SBC/1609/0540
 ICON-00/SBC/1609/0526
 ICON-00/SBC/1602/0100
 ICON-00/SBC/1510/0611
 ICON-00/SBC/1510/0604
 ICON-00/SBC/1509/0613
 ICON-00/SBC/1509/0586
 ICON-00/SBC/1509/0585
 ICON-00/SBC/1509/0584
 ICON-00/SBC/1509/0583
 ICON-00/SBC/1509/0273
 ICON-00/SBC/1508/0578
 ICON-00/SBC/1504/0330
 ICON-00/SBC/1504/0327
 ICON-00/SBC/1412/0167
 ICON-00/SBC/1411/0127
 ICON-00/SBC/1406/0274
 ICON-00/SBC/1405/0112
 ICON-00/SBC/1405/0111
 ICON-00/SBC/1401/0057
 ICON-00/SBC/1401/0055#3104
 ICON-00/SBC/1401/0055#3103
 ICON-00/SBC/1311/0347
 ICON-00/SBC/1311/0008
 ICON-00/SBC/1304/0125
 ICON-00/SBC/1211/0377
 ICON-00/SBC/1207/0007
 ICON-00/SBC/1206/0216
 ICON-00/SBC/1206/0123
 ICON-00/SBC/1204/0034
 ICON-00/SBC/1202/0158
 ICON-00/SBC/1108/1466
 ICON-00/SBC/1107/1347
 363548/1263528792/2</t>
  </si>
  <si>
    <t>0181116/SPR/ICON+/2016 07615/SPP/008/PUSAT/ICON+/2017 4500010954 | 09704/SPP/008/PUSAT/ICON+/2018 | 4500012170 | 12209/SPP/008/PUSAT/ICON+/2019 | 4500013736|14780/SPP/008/PUSAT/ICON+/2020| 14780/SPP/008/PUSAT/ICON+/2020| 4500015421 | 17500/SPP/008/PUSAT/ICON+/2021 | 4500017568</t>
  </si>
  <si>
    <t>2332/SPP/SBU/PLNICONPLUS/2024</t>
  </si>
  <si>
    <t>B262</t>
  </si>
  <si>
    <t>D11</t>
  </si>
  <si>
    <t>E162</t>
  </si>
  <si>
    <t>F63</t>
  </si>
  <si>
    <t>H254</t>
  </si>
  <si>
    <t>Sewa Cable Shaft -STP dari Lt.5 (PT Excelcomindo Pratama) ke Lantai 1 (APJII) melalui lorong cable shaft "B" Rp7.500.000/tahun (PJ No. 930/KN/Cable Shaft/XII/2009)</t>
  </si>
  <si>
    <t>PT IPWAN GLOBAL TELECOMM</t>
  </si>
  <si>
    <t>AL/2010/50623</t>
  </si>
  <si>
    <t>2230117/SPR/ICON+/2017 | 08176/SPP/008/PUSAT/ICON+/2018 | 4500011268 | 10022/SPP/008/PUSAT/ICON+/2019 | 4500012421 | 12503/SPP/008/PUSAT/ICON+/2020 | 4500013867 | 12503/SPP/008/PUSAT/ICON+/2020 | 4500013867| 15133/SPP/008/PUSAT/ICON+/2021| 4500015724</t>
  </si>
  <si>
    <t>17623/SPP/008/PUSAT/ICON+/2022</t>
  </si>
  <si>
    <t>B41</t>
  </si>
  <si>
    <t>C21</t>
  </si>
  <si>
    <t>D25</t>
  </si>
  <si>
    <t>E42</t>
  </si>
  <si>
    <t>F138</t>
  </si>
  <si>
    <t>1. Sewa Cable Shaft STP dari Data Center APJII Cage KS di Lt. 1 ke CDC Media Nusantara Data Global di Lt. 2 PT Ipwan Global Telecom Rp6.000.000/tahun update tahun 2016 menjadi Rp6.500.000,-/tahun
 2. Jasa Penarikan Rp2.600.000/One Time Charge</t>
  </si>
  <si>
    <t>4056/SPP/SBU/PLNICONPLUS/2024</t>
  </si>
  <si>
    <t>021-5269588 Ext. 621</t>
  </si>
  <si>
    <t>H286</t>
  </si>
  <si>
    <t>2220117/SPR/008/PUSAT/ICON+/2017 | 08007/SPP/008/PUSAT/ICON+/2018 | 4500011168 | 10019/SPP/008/PUSAT/ICON+/2019 | 4500012416 | 12504/SPP/008/PUSAT/ICON+/2020 | 4500013868| 15134/SPP/008/PUSAT/ICON+/2021| 4500015725</t>
  </si>
  <si>
    <t>17674/SPP/008/PUSAT/ICON+/2022</t>
  </si>
  <si>
    <t>C19</t>
  </si>
  <si>
    <t>D26</t>
  </si>
  <si>
    <t>E158</t>
  </si>
  <si>
    <t>F136</t>
  </si>
  <si>
    <t>1. Sewa Cable Shaft STP dari Data Center APJII Cage KS di Lt. 1 ke CDC Media Nusantara Data Global di Lt. 2 PT Ipwan Global Telecom (Back Up) Rp6.000.000/tahun update tahun 2016 naik menjadi Rp6.500.000,-
 2. Jasa Penarikan Rp2.600.000/One Time Charge</t>
  </si>
  <si>
    <t>4057/SPP/SBU/PLNICONPLUS/2024</t>
  </si>
  <si>
    <t>H287</t>
  </si>
  <si>
    <t>PJ 009/KN/CABLE TRAY/III/2014 | 
 022217/SPR/008/PUSAT/ICON+/2016 |
 08303/SPP/008/PUSAT/ICON+/2018 | 4500011357 | 10591/SPP/008/PUSAT/ICON+/2019 | 4500012658 | 12717/SPP/008/PUSAT/ICON+/2020 | 4500013997| 15250/SPP/008/PUSAT/ICON+/2021| 4500016449 | 18372/SPP/008/PUSAT/ICON+/2022 | 4500017865</t>
  </si>
  <si>
    <t>2333/SPP/SBU/ICON+/2024</t>
  </si>
  <si>
    <t>B68</t>
  </si>
  <si>
    <t>C68</t>
  </si>
  <si>
    <t>D67</t>
  </si>
  <si>
    <t>E236</t>
  </si>
  <si>
    <t>F143</t>
  </si>
  <si>
    <t>H255</t>
  </si>
  <si>
    <t>1. Sewa Shaft Kabel STP dari Ruang Data Center CBN di Lt.10 menuju ke Data Center Flash Mobile di Lt.10 @ Rp2.000.000/tahun/tarikan total untuk 2 tarikan Rp4.000.000/tahun update tahun 2016 @Rp2.500.000,-
 2. Jasa Penarikan Kabel FO One Time Charged @ Rp2.000.000,-/tarikan/One tima Charged total untuk 2 tarikan Rp4.000.000/One Time Charged 
(PJ No. 009/KN/Cable Tray/III/2014)</t>
  </si>
  <si>
    <t>4302/SPP/SBU/PLNICONPLUS/2024</t>
  </si>
  <si>
    <t>H303</t>
  </si>
  <si>
    <t>ICON-00/SBC/1611/0332</t>
  </si>
  <si>
    <t>2240117/SPR/ICON+/2017 | 08208/SPP/008/PUSAT/ICON+/2018 | 4500011297</t>
  </si>
  <si>
    <t>09874/SPP/008/PUSAT/ICON+/2018</t>
  </si>
  <si>
    <t>B49</t>
  </si>
  <si>
    <t>B281</t>
  </si>
  <si>
    <t>1. Sewa Kabel Shaft unutk 1 fo 6 core dari APJII Cage ke PT Multitech Infomedia Lt.1 (Data Center MDC sebrang Gedung Cyber 1) Rp5.500.000,-/Tahun update tahun 2016 naik menjadi Rp6.000.000,-</t>
  </si>
  <si>
    <t>990000320643284
 ICON-00/ACT/1703/0380</t>
  </si>
  <si>
    <t>07346/SPP/008/PUSAT/ICON+/2017 | 4500010834 | 08621/SPP/008/PUSAT/ICON+/2018 | 4500011562</t>
  </si>
  <si>
    <t>10897/SPP/008/PUSAT/ICON+/2019</t>
  </si>
  <si>
    <t>B105</t>
  </si>
  <si>
    <t>C129</t>
  </si>
  <si>
    <t>Biaya Sewa Rp.8.500.000 , Biaya Materai Rp.6.000.000</t>
  </si>
  <si>
    <t>ICON-00/DOW/1704/0012 
  ICON-00/SBC/1708/0661
 ICON-00/DOW/1704/0010 
  ICON-00/SBC/1708/0660</t>
  </si>
  <si>
    <t>369/KN/CABLE TRAY/III/2014 |032214_MI_2540117_SPR_PRMN PBYN Perpanjangan Sewa Cable di Karyagraha Nusantara PJ 369 | 08192/SPP/008/PUSAT/ICON+/2018 | 4500011273 | 10611/SPP/008/PUSAT/ICON+/2019 | 4500012659 | 4500014655 | 12771/SPP/008/PUSAT/ICON+/2020| 15251/SPP/008/PUSAT/ICON+/2021| 4500016456</t>
  </si>
  <si>
    <t>18373/SPP/008/PUSAT/ICON+/2022</t>
  </si>
  <si>
    <t>B46</t>
  </si>
  <si>
    <t>C67</t>
  </si>
  <si>
    <t>D349</t>
  </si>
  <si>
    <t>E241</t>
  </si>
  <si>
    <t>F141</t>
  </si>
  <si>
    <t>1. Sewa Shaft Kabel STP dari Ruang Data Center CBN di Lt.10 menuju ke Data Center Flash Mobile di Lt.10 @ Rp2.000.000/tahun/tarikan total untuk 2 tarikan Rp4.000.000/tahun update tahun 2016 @Rp2.500.000,-
 2. Jasa Penarikan Kabel FO One Time Charged @ Rp2.000.000,-/tarikan/One tima Charged total untuk 2 tarikan Rp4.000.000/One Time Charged</t>
  </si>
  <si>
    <t>4307/SPP/SBU/PLNICONPLUS/2024</t>
  </si>
  <si>
    <t>H302</t>
  </si>
  <si>
    <t>Gedung Cyber (PT Bank Central Asia)</t>
  </si>
  <si>
    <t>AL/1901/1029</t>
  </si>
  <si>
    <t>090706/SPR/008/PUSAT/ICON+/2016 |08180/SPP/008/PUSAT/ICON+/2018 | 4500011265 | 09200/SPP/008/PUSAT/ICON+/2018 | 4500011928 | 11540/SPP/008/PUSAT/ICON+/2019 | 4500013205| 14447/SPP/008/PUSAT/ICON+/2020| 4500015202 | 17314/SPP/008/PUSAT/ICON+/2021 | 4500017513 | 4500019535</t>
  </si>
  <si>
    <t>B143</t>
  </si>
  <si>
    <t>B217</t>
  </si>
  <si>
    <t>C177</t>
  </si>
  <si>
    <t>D284</t>
  </si>
  <si>
    <t>F65</t>
  </si>
  <si>
    <t>F436</t>
  </si>
  <si>
    <t>H106</t>
  </si>
  <si>
    <t>1. Sewa Kabel Shaft 1 STP dari Data Center APJII Cage KS di Lt. 1 ke PT Dhecyber Flow Indonesia (BCA-H2H Trans Jakarta) di Lt. 5 Rp6.000.000,-/Tahun update tahun 2016 Rp6.500.000,-</t>
  </si>
  <si>
    <t>Gedung Cyber (PT Dankom Mitra Abadi)</t>
  </si>
  <si>
    <t>PA/ACT/1801/0286
 PA/ACT/1801/0665
 PA/ACT/1801/0282
 PA/ACT/1801/0667
 PA/UPG/1803/0184
 PA/DOW/1804/0035
 PA/DOW/1804/0036
 PA/DOW/1804/0037
 PA/UPG/1812/0585</t>
  </si>
  <si>
    <t>072807/SPR/008/PUSAT/ICON+/2016 |08043/SPP/008/PUSAT/ICON+/2018 |4500011243 |08899/SPP/008/PUSAT/ICON+/2018 | 4500011681 | 11069/SPP/008/PUSAT/ICON+/2019 | 4500012954 | 13800/SPP/008/PUSAT/ICON+/2020 | 4500014683</t>
  </si>
  <si>
    <t>16196/SPP/008/PUSAT/ICON+/2021</t>
  </si>
  <si>
    <t>B44</t>
  </si>
  <si>
    <t>B128</t>
  </si>
  <si>
    <t>C130</t>
  </si>
  <si>
    <t>D159</t>
  </si>
  <si>
    <t>E294</t>
  </si>
  <si>
    <t>1. Sewa Cable STP dari RDC APJII Lt. 1 ke CDC menuju PT Media Nusantara Data Global Rak No. 2A0817 (Lt. 2-PT Dankom Mitra Abadi). Perjanjian Nomor 855_KN_Cable Shaft_VIII_2015</t>
  </si>
  <si>
    <t>Primacom Sigma German Center BSD Backhaul IPVN (NNI)</t>
  </si>
  <si>
    <t>08495/SPP/008/PUSAT/ICON+/2018 | 4500011418 |10280/SPP/008/PUSAT/ICON+/2019 | 4500012485 | 13421/SPP/008/PUSAT/ICON+/2020 | 4500014438 | 15765/SPP/008/PUSAT/ICON+/2021| 4500016299</t>
  </si>
  <si>
    <t>C52</t>
  </si>
  <si>
    <t>D213</t>
  </si>
  <si>
    <t>F302</t>
  </si>
  <si>
    <t>1.Biaya Sekali bayar Rp.3.500.000 2.Biaya Sewa pertahun 6.000.000 3.Biaya Materai 6.000 4.Biaya PKB ( RAB Biaya Aktivasi) Rp.8.577.508. Perjanjian Nomor 725_KN_Cable Shaft_V_2018</t>
  </si>
  <si>
    <t>4309/SPP/SBU/PLNICONPLUS/2024</t>
  </si>
  <si>
    <t>H305</t>
  </si>
  <si>
    <t>PT Quiros Network</t>
  </si>
  <si>
    <t>RDC APJII ke RDC GSD Alpha Gedung Cyber
 Gedung Cyber 
 Jl. Kuningan Barat No.8 
 Jakarta</t>
  </si>
  <si>
    <t>ICON-00/SBC/1703/0436</t>
  </si>
  <si>
    <t>07312/SPP/008/PUSAT/ICON+/2017 | 4500010833 | 08297/SPP/008/PUSAT/ICON+/2018 | 4500011311</t>
  </si>
  <si>
    <t>09894/SPP/008/PUSAT/ICON+/2018</t>
  </si>
  <si>
    <t>B123</t>
  </si>
  <si>
    <t>B278</t>
  </si>
  <si>
    <t>Perjanjian Nomor 554_KN_Cable Tray_II_2017</t>
  </si>
  <si>
    <t>Jl.Kuningan Barat 8 Jakarta 12711</t>
  </si>
  <si>
    <t>sentra mulia Jl. H. R. Rasuna Said No.Kav X-6, 8</t>
  </si>
  <si>
    <t>10694/SPP/008/PUSAT/ICON+/2019</t>
  </si>
  <si>
    <t>C75</t>
  </si>
  <si>
    <t>1.Biaya sewa 16.000.000</t>
  </si>
  <si>
    <t>PT BINA KARYA PRIMA</t>
  </si>
  <si>
    <t>Lahan Berikat Nusantara SBU Lahan Tanjung Priok Marunda</t>
  </si>
  <si>
    <t>Jalan Semarang Blok A6 No.4, Lahan Berikat (KBN) North, Jl. Nusantara, RW.2, Cakung Bar., Kec. Cilincing, Kota Jkt Utara, Daerah Khusus Ibukota Jakarta 14140,  KEC. CILINCING,  Jakarta Utara,  DKI Jakarta,  Indonesia,</t>
  </si>
  <si>
    <t>4500018666 | 19547/SPP/008/PUSAT/ICON+/2022 | 4500018666</t>
  </si>
  <si>
    <t>1240/SPP/SBU/ICON+/2023</t>
  </si>
  <si>
    <t xml:space="preserve">Mulyana </t>
  </si>
  <si>
    <t>F273</t>
  </si>
  <si>
    <t>G329</t>
  </si>
  <si>
    <t>PT. SARI DUMAI OLEO ( Asia Nagro)</t>
  </si>
  <si>
    <t>Jl. Fak-fak No.6, RW.2, Cilincing, Kec. Cilincing, Kota Jkt Utara, Daerah Khusus Ibukota Jakarta 14120</t>
  </si>
  <si>
    <t>4500018591 | 19426/SPP/008/PUSAT/ICON+/2022 |4500018591</t>
  </si>
  <si>
    <t>F252</t>
  </si>
  <si>
    <t>G334</t>
  </si>
  <si>
    <t>PT. Sari Dumai Oleo</t>
  </si>
  <si>
    <t>Jl. Fak-fak No.6, RW.2, Cilincing, Kec. Cilincing, Kota
Jkt Utara, Daerah Khusus Ibukota Jakarta 14120</t>
  </si>
  <si>
    <t>Jl. Semarang Bl A-6 No. 1 Marunda Cilincing Jakarta Utara DKI Jakarta, RW.2, Cilincing, Kec. Cilincing, Kota Jkt Utara, Daerah Khusus Ibukota Jakarta 14120</t>
  </si>
  <si>
    <t>PA/ACT/2206/19330/TER</t>
  </si>
  <si>
    <t>4500018514 | 19348 | 4500018514</t>
  </si>
  <si>
    <t xml:space="preserve"> 	2241</t>
  </si>
  <si>
    <t>F237</t>
  </si>
  <si>
    <t>H84</t>
  </si>
  <si>
    <t>1.PT Sistelindo Mitralintas 
2.PT Bitnet Komunikasindo 
3.PT Kinex</t>
  </si>
  <si>
    <t>Jl.Raya Cakung Cirincing Jakarta Utara 14140</t>
  </si>
  <si>
    <t>PA/ACT/1808/0386
PA/ACT/2001/3409_AL/2002/5752_AR/ACT/2001/4192
01000187130/PA/ACT/2201/1141/AL/2203/71724</t>
  </si>
  <si>
    <t>B8</t>
  </si>
  <si>
    <t>F292</t>
  </si>
  <si>
    <t>PT. ROMA STONE INDONESIA</t>
  </si>
  <si>
    <t>JL Irian Blok E 10, Sukapura, Kec. Cilincing, Kota Jkt Utara, Daerah Khusus Ibukota Jakarta</t>
  </si>
  <si>
    <t>PA/ACT/2211/5398/TER
PA/ACT/2211/5399/TER
PA/ACT/2211/5413/TER</t>
  </si>
  <si>
    <t>F428</t>
  </si>
  <si>
    <t xml:space="preserve">Kelola Graha Vinilon </t>
  </si>
  <si>
    <t>Bank BCA</t>
  </si>
  <si>
    <t>Jl. Raden Saleh No. 13-17
Kenari Jakarta Pusat</t>
  </si>
  <si>
    <t>Gedung Vinilon Jl. Raden Saleh No. 13-17 Kenari Jakarta Pusat (Bank BCA)</t>
  </si>
  <si>
    <t>ICON-00/SOP/1510/0203 (ICON-00/SBC/1801/0265)</t>
  </si>
  <si>
    <t>028120462/SPP/008/PUSAT/ICON+/2022216/SPR/ICON+/2016
 121509/MI/008/PUSAT/ICON+/2016 07695/SPP/008/PUSAT/ICON+/2017 4500011002 | 09448/SPP/008/PUSAT/ICON+/2018 | 4500012006 | 11811/SPP/008/PUSAT/ICON+/2019 | 4500013496 | 14574/SPP/008/PUSAT/ICON+/2020 | 4500015228 | 4500019427</t>
  </si>
  <si>
    <t>1920/SPP/SBU/ICON+/2023</t>
  </si>
  <si>
    <t>Yunita</t>
  </si>
  <si>
    <t>021-29578188</t>
  </si>
  <si>
    <t>B178</t>
  </si>
  <si>
    <t>C269</t>
  </si>
  <si>
    <t>G316</t>
  </si>
  <si>
    <t>1. Sewa Shaft Rp5.000.000/tahun
 2. Biaya Administrasi Jaminan Fit Out Rp200.000,-/One Time Charged
 3. Biaya Supervisi bervariasi mulai dar Rp1.000.000,- s/d Rp2.500.000,-/One Time charged
 4. Jaminan Rp2.000.000,-</t>
  </si>
  <si>
    <t>Kereta Api Indonesia  (Persero) Daerah Operasi I</t>
  </si>
  <si>
    <t>KM.6+0/1 (di Udara /Melayang) antara Karang Tengah - Cisaat Lintas Kereta Api Bogor - Yogyakarta</t>
  </si>
  <si>
    <t>Saepudin Nugroho</t>
  </si>
  <si>
    <t>021-3924676</t>
  </si>
  <si>
    <t>1. Biaya sewa Pengawasan Rp52.800.000,-/tahun untuk 2 titik
 2. Biaya Ukur/Adm Rp9.610.000</t>
  </si>
  <si>
    <t>PT. KERETA API INDONESIA</t>
  </si>
  <si>
    <t>KM.6+284 antara Stasiun Pasar Senen –Stasiun Gangsentiong di Jl. Suprapto Kelurahan Senen Jakarta Pusat 10410</t>
  </si>
  <si>
    <t>ICON-00/SOP/1611/0191</t>
  </si>
  <si>
    <t>1. Biaya sewa Pengawasan Rp69.020.875,-/tahun</t>
  </si>
  <si>
    <t xml:space="preserve">Krakatau Industrial Estate </t>
  </si>
  <si>
    <t>wisma krakatau 1st floor</t>
  </si>
  <si>
    <t>15743/SPP/008/PUSAT/ICON+/2021</t>
  </si>
  <si>
    <t>E31</t>
  </si>
  <si>
    <t>biaya cross connect sebesar Rp. 589.500.000</t>
  </si>
  <si>
    <t xml:space="preserve">Krakatau Sarana Properti </t>
  </si>
  <si>
    <t xml:space="preserve">PT. CIPTA TELEKOMUNIKASI MANDIRI </t>
  </si>
  <si>
    <t>Jl.Raya Bagendung Cilegon</t>
  </si>
  <si>
    <t>Wisma Baja Jl. Jend Gatot Subroto Kav 54 Kuningan Timur Setiabudi Jakarta Selatan DKI Jakarta</t>
  </si>
  <si>
    <t xml:space="preserve"> PA/ACT/2301/3840/TER </t>
  </si>
  <si>
    <t>21128/SPP/008/PUSAT/ICON+/2023</t>
  </si>
  <si>
    <t>G28</t>
  </si>
  <si>
    <t>Biaya Sewa jalur kawasan 1 tahun Rp.24.000.000</t>
  </si>
  <si>
    <t>Lantamal III</t>
  </si>
  <si>
    <t>Lintas jalur Perumahan Lantamal</t>
  </si>
  <si>
    <t>Bungur Besar Raya No.76-78 8, RT.8/RW.7, Gn. Sahari Sel., Kec. Senen, Kota Jakarta Pusat, Pangkalan Angkatan Laut</t>
  </si>
  <si>
    <t>Komplek TNI AL Wilayah Lantamal III</t>
  </si>
  <si>
    <t>Jl. Bungur Besar Raya</t>
  </si>
  <si>
    <t>Ratu Prabu 2 Building Management Jl. TB Simatupang Kav 1B Jakarta 12560</t>
  </si>
  <si>
    <t>09909/SPP/008/PUSAT/ICON+/2018| 4500012325</t>
  </si>
  <si>
    <t>11995/SPP/008/PUSAT/ICON+/2019</t>
  </si>
  <si>
    <t>Sintia</t>
  </si>
  <si>
    <t>(021) 7884.1046</t>
  </si>
  <si>
    <t>B265</t>
  </si>
  <si>
    <t>D22</t>
  </si>
  <si>
    <t>Biaya Sewa Tahunan Rp.30.000.000,-</t>
  </si>
  <si>
    <t xml:space="preserve">Loka Mampang Indah Realty </t>
  </si>
  <si>
    <t>PT Telekomunikasi Inonesia Tbk</t>
  </si>
  <si>
    <t>Perkantoran Hijau Arkadia
Jl. TB Simatupang Kav. 88 Jakarta 12520</t>
  </si>
  <si>
    <t>Gedung Arkadia Tower B (PT Telekomunikasi Inonesia Tbk Link Nestle SO No. ICON-00/ACT/1609/0620)</t>
  </si>
  <si>
    <t>2781216/SPRICON+/2016 | 08195/SPP/008/PUSAT/ICON+/2018 | 4500011358 | 09692/SPP/008/PUSAT/ICON+/2018 | 4500012199 | 12014/SPP/008/PUSAT/ICON+/2019 | 4500014086| 14893/SPP/008/PUSAT/ICON+/2020| 4500015616</t>
  </si>
  <si>
    <t>17152/SPP/008/PUSAT/ICON+/2021</t>
  </si>
  <si>
    <t>Arsa</t>
  </si>
  <si>
    <t>021-7827610</t>
  </si>
  <si>
    <t>B45</t>
  </si>
  <si>
    <t>C25</t>
  </si>
  <si>
    <t>D69</t>
  </si>
  <si>
    <t>E226</t>
  </si>
  <si>
    <t>1.Sewa Shaft Kabel Rp20.000.000,-/tahun/shaft
 2. Jaminan Pekerjaan Rp5.000.000/instalasi
 3. Instalasi Rp1.000.000,-/instalasi</t>
  </si>
  <si>
    <t xml:space="preserve">PT. ECO MULTI SINERGI </t>
  </si>
  <si>
    <t>Menara Arcadia Tower G Lantai 15) Jl. TB Simatupang</t>
  </si>
  <si>
    <t xml:space="preserve">PA/ACT/2209/4589/TER </t>
  </si>
  <si>
    <t>F360</t>
  </si>
  <si>
    <t>1.Biaya  Sewa Shaft Rack Selama 1 tahun  Rp.30.000.000 | Biaya OTC Supervisi Fee Rp.1.000.000</t>
  </si>
  <si>
    <t>PT. NTT INDONESIA SOLUTIONS QQ PT PERTAMINA HULU ENERGI</t>
  </si>
  <si>
    <t xml:space="preserve">PHE Tower Jl. TB Simatupang No.Kav. 99, RT.1/RW.1, Kebagusan,Kecamatan Pasar Minggu ,Jakarta Selatan ,DKI Jakarta ,Indonesia ,12520  </t>
  </si>
  <si>
    <t>PA/ACT/2302/11050/ORI</t>
  </si>
  <si>
    <t>21553/SPP/008/PUSAT/ICON+/2023</t>
  </si>
  <si>
    <t>G56</t>
  </si>
  <si>
    <t>1.Biaya Sewa Kawasangan Arkadia @1tahun Rp.22.000.000 | Biaya Supervisi Rp.1.000.000 | Deposit selama sewa  Rp.5.000.000</t>
  </si>
  <si>
    <t>Makmur Jaya Serasi  berubah menjadi Mandiri Andal Sejahtera</t>
  </si>
  <si>
    <t>Mall of Indonesia Lt. Lower Ground Jl. Boulevard Barat Raya Kelapa Gading Square Jakarta Utara</t>
  </si>
  <si>
    <t>Area Tnjung Priuk GH0019 /Mall Of Indonesia</t>
  </si>
  <si>
    <t>07349/SPP/008/PUSAT/ICON+/2017 | 4500010775 | 09080/SPP/008/PUSAT/ICON+/2018 | 4500011791 | 11251/SPP/008/PUSAT/ICON+/2019 | 4500013262 | 13674/SPP/008/PUSAT/ICON+/2020 | 4500014712</t>
  </si>
  <si>
    <t>15984/SPP/008/PUSAT/ICON+/2021</t>
  </si>
  <si>
    <t>Kiki</t>
  </si>
  <si>
    <t>021-45867888 +62 813-1565-9321</t>
  </si>
  <si>
    <t>B181</t>
  </si>
  <si>
    <t>C245</t>
  </si>
  <si>
    <t>F67</t>
  </si>
  <si>
    <t>1.Uang Jaminan Rp.2.500.000</t>
  </si>
  <si>
    <t xml:space="preserve">Marmitria Land </t>
  </si>
  <si>
    <t>PT. KIDECO JAYA AGUNG</t>
  </si>
  <si>
    <t>Jl.Jend Gatot Subroto Kav. 21 Jakarta Selatan</t>
  </si>
  <si>
    <t>Gedung Graha Mitra LT 1, Jl. Jend. Gatot Subroto Kav. 21, Jakarta Selatan</t>
  </si>
  <si>
    <t>15383/SPP/008/PUSAT/ICON+/2021 | 4500015835</t>
  </si>
  <si>
    <t>E11</t>
  </si>
  <si>
    <t>F464</t>
  </si>
  <si>
    <t>Berubah skema kerjasama menjadi interkoneksi</t>
  </si>
  <si>
    <t>PT Lawangmas Primapack</t>
  </si>
  <si>
    <t>Maspion Plaza Gunung Sahari Jl Gunung Sahari Raya No. 18 Lt.16 Jakarta Utara 14420</t>
  </si>
  <si>
    <t>Maspion Plaza Gunung Sahari Kav. 18 (lt.5 s/d Lt.6) (PT Lawangmas Primapack)</t>
  </si>
  <si>
    <t>012016/SPR/000/PUSAT/ICON+/2016 | 07962/SPP/008/PUSAT/ICON+/2018 | 4500011158 | 10009/SPP/008/PUSAT/ICON+/2019 | 4500012420 | 12486/SPP/008/PUSAT/ICON+/2020 | 4500013878|15104/SPP/008/PUSAT/ICON+/2021|4500015684 | 17750/SPP/008/PUSAT/ICON+/2022| 4500017624 | 21039 | 4500019900</t>
  </si>
  <si>
    <t>Wulan</t>
  </si>
  <si>
    <t>021-64701000</t>
  </si>
  <si>
    <t>B18</t>
  </si>
  <si>
    <t>C20</t>
  </si>
  <si>
    <t>D354</t>
  </si>
  <si>
    <t>E130</t>
  </si>
  <si>
    <t>F62</t>
  </si>
  <si>
    <t>G40</t>
  </si>
  <si>
    <t>H30</t>
  </si>
  <si>
    <t xml:space="preserve">Matra Olah Cipta </t>
  </si>
  <si>
    <t>Grand ITC Permata Hijau Lt. 7 Jl Arteri Permata Hijau Jakarta 12210</t>
  </si>
  <si>
    <t>DBS Kantor Emerald No. 23 - 24, Grand ITC Permata Hijau, Jl. Letnan Jenderal Soepomo, RT 11/RW.10, Grogol Utara, Kec. Kby Lama, Kota Jakarta Selatan</t>
  </si>
  <si>
    <t xml:space="preserve">A821202000240 </t>
  </si>
  <si>
    <t>1345/SPP/SBU/ICON+/2023</t>
  </si>
  <si>
    <t>G230</t>
  </si>
  <si>
    <t>1.Biaya Sewa 288 meter x 120.000 @ 3 tahun Rp.103.680.000</t>
  </si>
  <si>
    <t>Jalan Kuningan Barat No.8 Cyber 1nd &amp; 2 nd jakarta selatam 12710</t>
  </si>
  <si>
    <t>14182/SPP/008/PUSAT/ICON+/2020</t>
  </si>
  <si>
    <t>0819-3243-0596</t>
  </si>
  <si>
    <t>D194</t>
  </si>
  <si>
    <t>15809/SPP/008/PUSAT/ICON+/2021| 4500016167 | 18720/SPP/008/PUSAT/ICON+/2022 | 4500018011</t>
  </si>
  <si>
    <t xml:space="preserve">1117/SPP/SBU/ICON+/2023	</t>
  </si>
  <si>
    <t>E36</t>
  </si>
  <si>
    <t>F291</t>
  </si>
  <si>
    <t>G335</t>
  </si>
  <si>
    <t>1.Biaya Cross Connect Rp.36.000.000</t>
  </si>
  <si>
    <t>Join Customer All</t>
  </si>
  <si>
    <t>3838/SPP/SBU/PLNICONPLUS/2024</t>
  </si>
  <si>
    <t>H315</t>
  </si>
  <si>
    <t>PT PINUS MERAH ABADI qq Bitniaga Cipta Gemilang</t>
  </si>
  <si>
    <t>(Bitniaga 1GB Mojokerto) Jl. Raden Patah No.16 Dsn Bedagas Ds Tunggul Pager, Kec. Pungging, Kabupaten Mojokerto, Jawa Timur, Indonesia, 61382</t>
  </si>
  <si>
    <t>13738/SPP/008/PUSAT/ICON+/2020</t>
  </si>
  <si>
    <t>D143</t>
  </si>
  <si>
    <t>PT. BITNIAGA CIPTA GEMILANG</t>
  </si>
  <si>
    <t>(Bitniaga node Dawar) Sidokerto RT. 001/RW.002 Ds. Pulorejo, Kec. Dawarblandong, Kabupaten Mojokerto, Jawa Timur, Indonesia, 61354</t>
  </si>
  <si>
    <t>16750/SPP/008/PUSAT/ICON+/2021</t>
  </si>
  <si>
    <t>E278</t>
  </si>
  <si>
    <t>Jalan Kuningan Barat No.8 Cyber 1nd &amp; 2 nd jakarta selatam 12713</t>
  </si>
  <si>
    <t>(Originating Backhaul PT. Bitniaga Cipta Gemilang ) Gedung Cyber 1 Lt.2 (Rak 2A0818) Jl. Kuningan Barat Raya No.8, RT.1/RW.3, Kuningan Barat, Jakarta Selatan</t>
  </si>
  <si>
    <t>PA/ACT/2011/1164</t>
  </si>
  <si>
    <t>15100/SPP/008/PUSAT/ICON+/2021</t>
  </si>
  <si>
    <t>D324</t>
  </si>
  <si>
    <t>backbone</t>
  </si>
  <si>
    <t>16801/SPP/008/PUSAT/ICON+/2021 | 4500016817 | 20312/SPP/008/PUSAT/ICON+/2022 | 4500019391</t>
  </si>
  <si>
    <t>1949/SPP/SBU/ICON+/2023</t>
  </si>
  <si>
    <t>E233</t>
  </si>
  <si>
    <t>F412</t>
  </si>
  <si>
    <t>G377</t>
  </si>
  <si>
    <t>1.Biaya Cross Connect untuk Backbone Rp.36.000.000</t>
  </si>
  <si>
    <t>akamai dan Facebook</t>
  </si>
  <si>
    <t>CDC Cyber 1</t>
  </si>
  <si>
    <t>21031/SPP/008/PUSAT/ICON+/2023</t>
  </si>
  <si>
    <t>G6</t>
  </si>
  <si>
    <t>PT. JARINGANKU SARANA NUSANTARA</t>
  </si>
  <si>
    <t xml:space="preserve">CV.  HAANSIRO, RT.4 RW.1 Ds. Jontro, Jl Wijayakusuma No 6 RT 05 RW III, Perum Griya Sekar Asri, Sekarkurung, Desa, Sekarkurung, Muktiharjo, 59163,  Kecamatan Wedarijaksa,  Kabupaten Pati,  Jawa Tengah,  Indonesia,  </t>
  </si>
  <si>
    <t>19414/SPP/008/PUSAT/ICON+/2022 | 4500018501</t>
  </si>
  <si>
    <t>1136/SPP/SBU/ICON+/2023</t>
  </si>
  <si>
    <t>F250</t>
  </si>
  <si>
    <t>G269</t>
  </si>
  <si>
    <t>1.Biaya Cross Connect Rp.18.000.000 | 2.Biaya OTC Rp.1.500.000</t>
  </si>
  <si>
    <t>Cyber Building 1st &amp; 2nd Floor, Jl. Kuningan Barat Raya No.8, RT.1/RW.3, Kuningan Bar., Kec. Mampang Prpt., Jakarta Selatan, DKI Jakarta, Indonesia, 12710</t>
  </si>
  <si>
    <t>160 | 4500020579</t>
  </si>
  <si>
    <t>ira</t>
  </si>
  <si>
    <t>0819-3243-0597</t>
  </si>
  <si>
    <t>G94</t>
  </si>
  <si>
    <t>H1</t>
  </si>
  <si>
    <t>Data center CDCI</t>
  </si>
  <si>
    <t>17719/SPP/008/PUSAT/ICON+/2022 | 4500017575</t>
  </si>
  <si>
    <t>21138/SPP/008/PUSAT/ICON+/2023</t>
  </si>
  <si>
    <t>F26</t>
  </si>
  <si>
    <t>G63</t>
  </si>
  <si>
    <t>18892/SPP/008/PUSAT/ICON+/2022 | 4500018217</t>
  </si>
  <si>
    <t>862/SPP/SBU/ICON+/2023</t>
  </si>
  <si>
    <t>F192</t>
  </si>
  <si>
    <t>GF259</t>
  </si>
  <si>
    <t>1.Biaya Cross Connect Rp.18.000.001</t>
  </si>
  <si>
    <t>PA/ACT/2211/5458/ORI 
PA/ACT/2211/5112/ORI 
PA/ACT/2211/5111/ORI
PA/ACT/2211/5110/ORI
PA/ACT/2211/4785/ORI
PA/UPG/2211/0146/ORI
PA/UPG/2211/0113/ORI
PA/UPG/2209/0146/ORI
PA/UPG/2209/0145/ORI
PA/UPG/2209/0144/ORI
PA/UPG/2209/0143/ORI
PA/ACT/2212/1318/ORI
PA/ACT/2301/0549/ORI
PA/UPG/2301/0104/ORI
PA/ACT/2301/1442/ORI 
PA/ACT/2301/4194/ORI</t>
  </si>
  <si>
    <t>21434/SPP/008/PUSAT/ICON+/2023</t>
  </si>
  <si>
    <t>G47</t>
  </si>
  <si>
    <t>PT. DATA BUANA NUSANTARA</t>
  </si>
  <si>
    <t>DBN Tenggiring, Kab. Lamongan, Jawa Timur</t>
  </si>
  <si>
    <t>E7</t>
  </si>
  <si>
    <t>PT. BANGUN UMMAT SEJAHTERA</t>
  </si>
  <si>
    <t>Desa Jolotundo RT 03 RW 01, Kab. Rembang, Jawa Tengah</t>
  </si>
  <si>
    <t>PA/ACT/2009/0311</t>
  </si>
  <si>
    <t>D193</t>
  </si>
  <si>
    <t>Dinas Kominfo Bangkalan, Jl. Soekarno Hatta No.35, Wr 08, Mlajah, Bangkalan, Kec. Bangkalan, Kabupaten Bangkalan, Jawa Timur, Indonesia, 69116</t>
  </si>
  <si>
    <t>15782/SPP/008/PUSAT/ICON+/2021| 4500016120</t>
  </si>
  <si>
    <t>E35</t>
  </si>
  <si>
    <t>F222</t>
  </si>
  <si>
    <t xml:space="preserve">PT. ALIANSI TEKNOLOGI INDONESIA </t>
  </si>
  <si>
    <t>DWDM, Gd. NTTi data Center, Jl. Kuningan Barat Raya No.8, RT.6/RW.3, Kuningan Barat</t>
  </si>
  <si>
    <t>20638 | 4500019491</t>
  </si>
  <si>
    <t>F87</t>
  </si>
  <si>
    <t>H110</t>
  </si>
  <si>
    <t>Biaya OTC 1.500.000</t>
  </si>
  <si>
    <t>PT. TRISULA MEDIA DATA</t>
  </si>
  <si>
    <t>Jalan Kuningan Barat No.8 Cyber 1nd &amp; 2 nd jakarta selatam 12711</t>
  </si>
  <si>
    <t>Gedung Cyber 1 lantai 2 (CDCI)</t>
  </si>
  <si>
    <t>15027/SPP/008/PUSAT/ICON+/2020 | 4500015537</t>
  </si>
  <si>
    <t>17579/SPP/008/PUSAT/ICON+/2021</t>
  </si>
  <si>
    <t>D326</t>
  </si>
  <si>
    <t>F12</t>
  </si>
  <si>
    <t xml:space="preserve">PT. WOM FINANCE </t>
  </si>
  <si>
    <t>Gedung Cyber 1 Lt. 2 Jl. Kuningan Barat Raya, No. 9B, RT. 03/ RW 02. Kuningan Barat,  Mampang Prapatan,  Jakarta Selatan,  DKI Jakarta,  Indonesia,</t>
  </si>
  <si>
    <t>PA/TRL/2207/0053/TER</t>
  </si>
  <si>
    <t>F246</t>
  </si>
  <si>
    <t>1.Biaya Cross Connect  Rp.1.500.000</t>
  </si>
  <si>
    <t>Gedung Cyber 1 Lt. 8 Jl. Kuningan Barat Raya, No. 9B, RT. 03/ RW 02. Kuningan Barat,  Mampang Prapatan,  Jakarta Selatan,  DKI Jakarta,  Indonesia,</t>
  </si>
  <si>
    <t>F409</t>
  </si>
  <si>
    <t>1.Biaya Cross Connect DI CDC u Project DWDM (Merujuk pada SP2K 4500019159)</t>
  </si>
  <si>
    <t>PT. SIGNAL INDO SUKSES</t>
  </si>
  <si>
    <t>Gedung Cyber APjii, Jl. Kuningan Barat Raya No.8, RT.1/RW.3, Kuningan Bar., Kec. Mampang Prpt., Kota Jakarta, Jakarta Selatan, DKI Jakarta, Indonesia</t>
  </si>
  <si>
    <t>PA/ACT/2008/1120</t>
  </si>
  <si>
    <t>D195</t>
  </si>
  <si>
    <t>Jalan Kuningan Barat No.8 Cyber 1nd &amp; 2 nd jakarta selatam 12715</t>
  </si>
  <si>
    <t>Gedung Cyber Lt. 1, Jalan Kuningan Barat No. 8, Kuningan Barat, Jakarta Selatan</t>
  </si>
  <si>
    <t>15000/SPP/008/PUSAT/ICON+/2020 | 4500015538</t>
  </si>
  <si>
    <t>17581/SPP/008/PUSAT/ICON+/2021</t>
  </si>
  <si>
    <t>D325</t>
  </si>
  <si>
    <t>F16</t>
  </si>
  <si>
    <t>PT Fahasa Tri Data
PT Metrosolusi Teknologi Indonesia
PT Giga Digital Nusantara
PT Akses Bersama Sedaya</t>
  </si>
  <si>
    <t xml:space="preserve">Gedung Cyber Lt. 1, Jl. Kuningan Barat Raya No.8, RT.1/RW.3, Kuningan Barat,  Mampang Prapatan,  Jakarta Selatan,  DKI Jakarta,  Indonesia,  </t>
  </si>
  <si>
    <t xml:space="preserve">
PA/UPG/2211/0071/ORI
PA/UPG/2211/0069/ORI
PA/UPG/2209/0105/ORI
PA/ACT/2211/0117/ORI
PA/ACT/2210/3216/ORI
PA/ACT/2210/0687/ORI
PA/ACT/2210/2189/ORI</t>
  </si>
  <si>
    <t>F410</t>
  </si>
  <si>
    <t>H2H PT. Transjakarta – AINO ; Gedung Cyber 1 Lt.1 No. Rak 1a0212, Jl. Kuningan Barat Raya No. 8, Kuningan Barat, Jakarta Selatan, DKI Jakarta, Indonesia, 12710</t>
  </si>
  <si>
    <t>14991/SPP/008/PUSAT/ICON+/2020 | 4500015536 | 17528/SPP/008/PUSAT/ICON+/2021 | 4500017432 | 20893/SPP/008/PUSAT/ICON+/2022 | 4500019845</t>
  </si>
  <si>
    <t>2974/SPP/SBU/PLNICONPLUS/2024</t>
  </si>
  <si>
    <t>D327</t>
  </si>
  <si>
    <t>F6</t>
  </si>
  <si>
    <t>G10</t>
  </si>
  <si>
    <t>H243</t>
  </si>
  <si>
    <t>PT. JALA LINTAS MEDIA qq IAIN Kediri</t>
  </si>
  <si>
    <t>IAIN Kediri, Jl. Sunan Ampel No.7, Rejomulyo, Kediri, Kota Kediri, Jawa Timur, Indonesia,</t>
  </si>
  <si>
    <t>13898/SPP/008/PUSAT/ICON+/2020 | 4500014743</t>
  </si>
  <si>
    <t>D166</t>
  </si>
  <si>
    <t>E242</t>
  </si>
  <si>
    <t>1000008966
 1000008248
 1000015005
 1000021664
 1000059277
 1000041784
 1000054123
 1000072810
 1000064029
 1000037667
 99000032051
 1000087667
 4000062481
 [01000044710
 [0990000320643284
 1000056441</t>
  </si>
  <si>
    <t>,07172/SPP/008/PUSAT/ICON+/2017 | 09986/SPP/008/PUSAT/ICON+/2018 | 4500010800 | 12323/SPP/008/PUSAT/ICON+/2019 | 4500013760</t>
  </si>
  <si>
    <t>14812/SPP/008/PUSAT/ICON+/2020</t>
  </si>
  <si>
    <t>C112</t>
  </si>
  <si>
    <t>D298</t>
  </si>
  <si>
    <t>PT. DWI TUNGGAL PUTRA</t>
  </si>
  <si>
    <t>Cyber Building, Jl. Kuningan Barat Raya No.8, RT.1/RW.3, Kuningan Barat,  Kec. Mampang Prapatan,  Jakarta Selatan,  DKI Jakarta,  Indonesia,  12710</t>
  </si>
  <si>
    <t>Jalan Kuningan Barat No.8 Cyber 1nd &amp; 2 nd jakarta selatan 12711</t>
  </si>
  <si>
    <t>17672/SPP/008/PUSAT/ICON+/2022| 4500017499 | 21040 | 4500019920</t>
  </si>
  <si>
    <t>G33</t>
  </si>
  <si>
    <t>H34</t>
  </si>
  <si>
    <t>Akamai dan Facebook</t>
  </si>
  <si>
    <t>Jalan Kuningan Barat No.8 Cyber 1nd &amp; 2 nd jakarta selatan 12710</t>
  </si>
  <si>
    <t>20857 | 4500019747</t>
  </si>
  <si>
    <t>2765/SPP/SBU/ICON+/2024</t>
  </si>
  <si>
    <t>F437</t>
  </si>
  <si>
    <t>G120</t>
  </si>
  <si>
    <t>H216</t>
  </si>
  <si>
    <t>PT. JAYA MEDIA EXPRESS</t>
  </si>
  <si>
    <t>Jl. H. Sanusi, Randegan Kulon,, Kecamatan Jatitujuh, Kabupaten Majalengka, Jawa Barat, Indonesia, 45458</t>
  </si>
  <si>
    <t>16886/SPP/008/PUSAT/ICON+/2021 | 4500016925 | 20306/SPP/008/PUSAT/ICON+/2022 | 4500019390</t>
  </si>
  <si>
    <t>1961/SPP/SBU/ICON+/2023</t>
  </si>
  <si>
    <t>E287</t>
  </si>
  <si>
    <t>F28</t>
  </si>
  <si>
    <t>F411'</t>
  </si>
  <si>
    <t>G376</t>
  </si>
  <si>
    <t>Jl. Kuningan Barat Raya No.8, RW.3, Kuningan Bar, Jakarta Selatan</t>
  </si>
  <si>
    <t>PA/ACT/2007/1607
 PA/ACT/2007/1030</t>
  </si>
  <si>
    <t>13975/SPP/008/PUSAT/ICON+/2020 | 4500014802</t>
  </si>
  <si>
    <t>16685/SPP/008/PUSAT/ICON+/2021</t>
  </si>
  <si>
    <t>D169</t>
  </si>
  <si>
    <t>E407</t>
  </si>
  <si>
    <t>PT CYBERINDO ADITAMA</t>
  </si>
  <si>
    <t>14007/SPP/008/PUSAT/ICON+/2020| 4500014850| 16629/SPP/008/PUSAT/ICON+/2021 | 4500016886 | 19810/SPP/008/PUSAT/ICON+/2022 | 4500019055</t>
  </si>
  <si>
    <t>1138/SPP/SBU/ICON+/2023</t>
  </si>
  <si>
    <t>D175</t>
  </si>
  <si>
    <t>F220</t>
  </si>
  <si>
    <t>F373</t>
  </si>
  <si>
    <t>G272</t>
  </si>
  <si>
    <t>1.Biaya Sewa Tahunan Rp,2.500.000</t>
  </si>
  <si>
    <t>3945/SPP/SBU/PLNICONPLUS/2024</t>
  </si>
  <si>
    <t>H281</t>
  </si>
  <si>
    <t>No PA</t>
  </si>
  <si>
    <t>13469/SPP/008/PUSAT/ICON+/2020 | 4500014448</t>
  </si>
  <si>
    <t>D117</t>
  </si>
  <si>
    <t>E183</t>
  </si>
  <si>
    <t xml:space="preserve">PT. DJARUM
</t>
  </si>
  <si>
    <t>13482/SPP/008/PUSAT/ICON+/2020 | 4500014453| 15995/SPP/008/PUSAT/ICON+/2021 | 4500016317 | 19418/SPP/008/PUSAT/ICON+/2022 | 4500019058 | 802/SPP/SBU/ICON+/2023 | 4500020895</t>
  </si>
  <si>
    <t>3749/SPP/SBU/PLNICONPLUS/2024</t>
  </si>
  <si>
    <t>D97</t>
  </si>
  <si>
    <t>E184</t>
  </si>
  <si>
    <t>F374</t>
  </si>
  <si>
    <t>G209</t>
  </si>
  <si>
    <t>H244</t>
  </si>
  <si>
    <t>Joint ALL pelanggan</t>
  </si>
  <si>
    <t>13825/SPP/008/PUSAT/ICON+/2020 | 4500014668| 16028/SPP/008/PUSAT/ICON+/2021| 4500016301 | 19240/SPP/008/PUSAT/ICON+/2022 | 4500018490</t>
  </si>
  <si>
    <t>728/SPP/SBU/ICON+/2023</t>
  </si>
  <si>
    <t>D192</t>
  </si>
  <si>
    <t>E185</t>
  </si>
  <si>
    <t>F306</t>
  </si>
  <si>
    <t>G214</t>
  </si>
  <si>
    <t>3866/SPP/SBU/PLNICONPLUS/2024</t>
  </si>
  <si>
    <t>H316</t>
  </si>
  <si>
    <t>Jl. Raya Kesongo Kedungadem, Grogol, Sidorejo, Kedungadem, Kabupaten Bojonegoro, Jawa Timur, Indonesia, 62195</t>
  </si>
  <si>
    <t>E6</t>
  </si>
  <si>
    <t>PT. YESI MEDIA UTAMA WONOGIRI</t>
  </si>
  <si>
    <t>Jl. Raya Nguntoronadi KM 24 RT 02/ 01, Kedungrejo, Nguntoronadi, Wonogiri, Kecamatan Nguntoronadi, Kabupaten Wonogiri, Jawa Tengah, Indonesia, 57671</t>
  </si>
  <si>
    <t>D151</t>
  </si>
  <si>
    <t>E222</t>
  </si>
  <si>
    <t>E237</t>
  </si>
  <si>
    <t>PT. FIVENDRO MANDIRI INDONESIA</t>
  </si>
  <si>
    <t>Jalan Kuningan Barat No.8 Cyber 1nd &amp; 2 nd jakarta selatam 12712</t>
  </si>
  <si>
    <t>Jl. Kuningan Barat Raya No.8, RW.3, Kuningan Bar,  Mampang Prpt,  Jakarta Selatan,  DKI Jakarta,  Indonesia,  12710</t>
  </si>
  <si>
    <t>Kauman, Ajibarang Wetan, Ajibarang, Kabupaten Banyumas, Jawa Tengah, Indonesia, 53163</t>
  </si>
  <si>
    <t>PA/ACT/2012/0147</t>
  </si>
  <si>
    <t>15109/SPP/008/PUSAT/ICON+/2021</t>
  </si>
  <si>
    <t>D348</t>
  </si>
  <si>
    <t>Jl. Kuningan Barat Raya No.8, RT.1/RW.3, Kuningan Bar., Kec. Mampang Prpt., Jakarta Selatan, DKI Jakarta, Indonesia, 12710</t>
  </si>
  <si>
    <t>Omadata DC Intiland Tower, Jl. Panglima Sudirman No.101-103, Embong Kaliasin, Kec. Genteng, Surabaya, Jawa Timur, Indonesia, 60271</t>
  </si>
  <si>
    <t>21596 | 4500020204</t>
  </si>
  <si>
    <t>G58</t>
  </si>
  <si>
    <t>H109</t>
  </si>
  <si>
    <t>OTC Rp.3.000.000</t>
  </si>
  <si>
    <t>19334/SPP/008/PUSAT/ICON+/2022 | 4500018496</t>
  </si>
  <si>
    <t>D246</t>
  </si>
  <si>
    <t>1.Biaya Sewa Trial Rp.1.500.000 | 2.Biaya OTC Rp.1.500.000</t>
  </si>
  <si>
    <t>PT. YETOYA SOLUSI INDONESIA</t>
  </si>
  <si>
    <t>PT. Yetoya Solusi Indonesia Jl. Patih Jelantik Vallet, Kuta</t>
  </si>
  <si>
    <t>18859/SPP/008/PUSAT/ICON+/2022 | 4500018164</t>
  </si>
  <si>
    <t>1086/SPP/SBU/ICON+/2023</t>
  </si>
  <si>
    <t>F165</t>
  </si>
  <si>
    <t>G270</t>
  </si>
  <si>
    <t>Jl. Kuningan Barat Raya No.8, RW.3, Kuningan Bar., Kec. Mampang Prpt.</t>
  </si>
  <si>
    <t xml:space="preserve">PA/UPG/2210/0176/ORI </t>
  </si>
  <si>
    <t>F426</t>
  </si>
  <si>
    <t>10696/SPP/008/PUSAT/ICON+/2019</t>
  </si>
  <si>
    <t>C77</t>
  </si>
  <si>
    <t>Collocation 1U OTB dan Splicing 24 Core di NER CDCI Basement Rak 0F0310</t>
  </si>
  <si>
    <t>PT. BINA INFORMATIKA SOLUSI</t>
  </si>
  <si>
    <t>Cyber 1, Jl. Kuningan Barat No. 8, Kuningan Barat, Jakarta</t>
  </si>
  <si>
    <t>Sregen Wifi, Kebayanan 1, Krikilan, Kab. Sragen, Jawa Tengah</t>
  </si>
  <si>
    <t>15531/SPP/008/PUSAT/ICON+/2021| 4500015896</t>
  </si>
  <si>
    <t>18215/SPP/008/PUSAT/ICON+/2022</t>
  </si>
  <si>
    <t>E18</t>
  </si>
  <si>
    <t>F125</t>
  </si>
  <si>
    <t>15532/SPP/008/PUSAT/ICON+/2021| 4500015926 | 18221/SPP/008/PUSAT/ICON+/2022 | 4500017766 | 21748/SPP/008/PUSAT/ICON+/2023 | 4500020269</t>
  </si>
  <si>
    <t>4400/SPP/SBU/PLNICONPLUS/2024</t>
  </si>
  <si>
    <t>E19</t>
  </si>
  <si>
    <t>F128</t>
  </si>
  <si>
    <t>H201</t>
  </si>
  <si>
    <t>15623/SPP/008/PUSAT/ICON+/2021| 4500015985</t>
  </si>
  <si>
    <t>18290/SPP/008/PUSAT/ICON+/2022</t>
  </si>
  <si>
    <t>E24</t>
  </si>
  <si>
    <t>F221</t>
  </si>
  <si>
    <t>Jl. Kuningan Barat Raya No.8, RT.1/RW.3, Kuningan Bar.,  Kec. Mampang Prpt.,  Jakarta Selatan,  DKI Jakarta,  Indonesia,  12710</t>
  </si>
  <si>
    <t>16331/SPP/008/PUSAT/ICON+/2021| 4500016504 | 19406/SPP/008/PUSAT/ICON+/2022 | 4500018743 | 835/SPP/SBU/ICON+/2023 | 4500020894</t>
  </si>
  <si>
    <t>4295/SPP/SBU/PLNICONPLUS/2024</t>
  </si>
  <si>
    <t>E186</t>
  </si>
  <si>
    <t>F311</t>
  </si>
  <si>
    <t>G213</t>
  </si>
  <si>
    <t>H342</t>
  </si>
  <si>
    <t>16370/SPP/008/PUSAT/ICON+/2021| 4500016522</t>
  </si>
  <si>
    <t>E159</t>
  </si>
  <si>
    <t>F312</t>
  </si>
  <si>
    <t>Joint customer external</t>
  </si>
  <si>
    <t xml:space="preserve">Cyber 1 </t>
  </si>
  <si>
    <t>728 | 4500019940</t>
  </si>
  <si>
    <t>2454/SPP/SBU/PLNICONPLUS/2024</t>
  </si>
  <si>
    <t>G245</t>
  </si>
  <si>
    <t>H147</t>
  </si>
  <si>
    <t>Cyber 1 Jl. Kuningan Barat Raya No.8, RW.3, Kuningan Bar., Kec. Mampang Prpt.</t>
  </si>
  <si>
    <t>LJN KARAWANG JL. AHMAD YANI NO.25B KARWANG BARAT - KARAWANG
-6.295944474137, 107.293680778819</t>
  </si>
  <si>
    <t>A821204000019</t>
  </si>
  <si>
    <t>1166/SPP/SBU/ICON+/2023 | 4500021162</t>
  </si>
  <si>
    <t>4296/SPP/SBU/PLNICONPLUS/2024</t>
  </si>
  <si>
    <t>G188</t>
  </si>
  <si>
    <t>H345</t>
  </si>
  <si>
    <t>1.Biaya Cross Connect Rp.18.000.000 | 2. OTC 1.500.000,-</t>
  </si>
  <si>
    <t>16316/SPP/008/PUSAT/ICON+/2021 | 19404/SPP/008/PUSAT/ICON+/2022| 4500019060</t>
  </si>
  <si>
    <t>866/SPP/SBU/ICON+/2023</t>
  </si>
  <si>
    <t>G258</t>
  </si>
  <si>
    <t>785/SPP/SBU/ICON+/2023</t>
  </si>
  <si>
    <t>G261</t>
  </si>
  <si>
    <t>1.Biaya Cross Connect Rp.18.000.000</t>
  </si>
  <si>
    <t>PT MONSADATA NUANSA TEKNOLOGI</t>
  </si>
  <si>
    <t>JL. KUNINGAN BARAT RAYA NO.8, RT.1/RW.3, KUNINGAN BAR., KEC. MAMPANG PRPT., KOTA JAKARTA SELATAN, DAERAH KHUSUS IBUKOTA JAKARTA 12710</t>
  </si>
  <si>
    <t>JL.AGUNG PERKASA BLOK 9 K1 9-15, RT.15/RW.14, SUNTER AGUNG, KEC. TJ. PRIOK, JKT UTARA, DAERAH KHUSUS IBUKOTA JAKARTA 14230</t>
  </si>
  <si>
    <t>A111202000964</t>
  </si>
  <si>
    <t>1527/SPP/SBU/ICON+/2023</t>
  </si>
  <si>
    <t>G263</t>
  </si>
  <si>
    <t>OTC 1.500.000,-</t>
  </si>
  <si>
    <t>Backup Link Kantor ICON Jamsostek</t>
  </si>
  <si>
    <t xml:space="preserve"> ICON+ GANDUL,  Limo,  Kota Depok,  Jawa Barat,  Indonesia,  16514</t>
  </si>
  <si>
    <t>Gd. Jamsostek Selatan (lt.15-17) Jl Gatot Subroto,  Mampang,  Jakarta Selatan,  DKI Jakarta,  Indonesia,</t>
  </si>
  <si>
    <t>1459/SPP/SBU/ICON+/2023</t>
  </si>
  <si>
    <t>G262</t>
  </si>
  <si>
    <t>Biaya Cross Connect Rp.18.000.000</t>
  </si>
  <si>
    <t>PT. JARINGANKU SARANA NUSANTARA (Uplink Backbone)</t>
  </si>
  <si>
    <t>MATRIX DATA CENTER CYBER BUILDING</t>
  </si>
  <si>
    <t>TUBAN, JAWA TIMUR</t>
  </si>
  <si>
    <t xml:space="preserve">A221204000007
A221204000024
</t>
  </si>
  <si>
    <t>1429/SPP/SBU/ICON+/2023</t>
  </si>
  <si>
    <t>G254</t>
  </si>
  <si>
    <t>1.Biaya Cross Connect Rp.72.000.000 | 2.Biaya OTC instalasi 2P15 Rp.6.000.000 | 3.Biaya OTC Instalasi 2P26 Rp.3.000.000</t>
  </si>
  <si>
    <t>PT. SUPRA PRIMATAMA NUSANTARA</t>
  </si>
  <si>
    <t>BIZNET TECHNOCENTER SURABAYA JL. SUMATERA NO.120, GUBENG, KEC. GUBENG,</t>
  </si>
  <si>
    <t>A821204000046</t>
  </si>
  <si>
    <t>1461/SPP/SBU/ICON+/2023</t>
  </si>
  <si>
    <t>G257</t>
  </si>
  <si>
    <t>OTC Rp.1.500.000</t>
  </si>
  <si>
    <t>PT. Yetoya Solusi Indonesia</t>
  </si>
  <si>
    <t xml:space="preserve">PT. Yetoya Solusi Indonesia Jl. Patih Jelantik Vallet, Kuta,  Kec. Kuta,  Kabupaten Badung,  Bali,  Indonesia </t>
  </si>
  <si>
    <t>A821204000043</t>
  </si>
  <si>
    <t>1413/SPP/SBU/ICON+/2023</t>
  </si>
  <si>
    <t>G264</t>
  </si>
  <si>
    <t>Jl. Kuningan Barat Raya No.8, RT.1/RW.3, Kuningan Barat, Kec. Mampang Prapatan, Jakarta Selatan</t>
  </si>
  <si>
    <t>U111204000021</t>
  </si>
  <si>
    <t>1950/SPP/SBU/ICON+/2023</t>
  </si>
  <si>
    <t>G302</t>
  </si>
  <si>
    <t>AL/2303/17561</t>
  </si>
  <si>
    <t>G357</t>
  </si>
  <si>
    <t xml:space="preserve">Mega Akses Persada </t>
  </si>
  <si>
    <t>PT indomarco Prismatama</t>
  </si>
  <si>
    <t>Jl Rasuna Said X-8 Kav 2-3 Jakarta Selatan</t>
  </si>
  <si>
    <t>Indomaret Tower, RT. 6/RW. 2, Kamal Muara, Kec. Penjaringan (Interkoneksi Fiberstar), -, Jakarta Utara, DKI Jakarta, Indonesia, 14470</t>
  </si>
  <si>
    <t>PA/ACT/2011/1190</t>
  </si>
  <si>
    <t>17427/SPP/008/PUSAT/ICON+/2021 | 4500017269 I 21806/SPP/008/PUSAT/ICON+/2022</t>
  </si>
  <si>
    <t>21086/SPP/008/PUSAT/ICON+/2023</t>
  </si>
  <si>
    <t>E347</t>
  </si>
  <si>
    <t>F98</t>
  </si>
  <si>
    <t>H319</t>
  </si>
  <si>
    <t>1.Biaya Registrasi (fiberstar) Rp.5.000.000 | 2.Biaya sewa per tahun (fiberstar) Rp.84.000.000 | 3.Biaya Backhaul Rp.36.000.000. | 4. Konfirm to Sales</t>
  </si>
  <si>
    <t>Mega Telekomunikasi Indonesia</t>
  </si>
  <si>
    <t>PT Bukalapak.com</t>
  </si>
  <si>
    <t>Jln.Canadianti No.15B Pela Mampang Jakarta Selatan</t>
  </si>
  <si>
    <t>Jl Ampera Raya No. 22</t>
  </si>
  <si>
    <t>PA/ACT/2112/2471/ORI</t>
  </si>
  <si>
    <t>17896/SPP/008/PUSAT/ICON+/2022</t>
  </si>
  <si>
    <t>F37</t>
  </si>
  <si>
    <t>Berubah skema kerjasama menjadi revenue sharing</t>
  </si>
  <si>
    <t xml:space="preserve">Megah Agung Lestari </t>
  </si>
  <si>
    <t>PT XL Axiata</t>
  </si>
  <si>
    <t>Darmawangsa Square - The City Walk Lt. Basement Unit 42-45 Jl. Dharmawangsa VI &amp; XI Jakarta Selatan 12160</t>
  </si>
  <si>
    <t>Dharmawangsa Square Jl Dharmawangsa 6 &amp; 9 Jakarta Selatan (PT XL Axiata - Ranch Market Tbk SO No. ICON-00/ACT/1608/0740)</t>
  </si>
  <si>
    <t>ICON-00/ACT/1608/0740</t>
  </si>
  <si>
    <t>112111/MI/004/PUSAT/ICON+/2016 |
 011615/MI/004/PUSAT/ICON+/2017 |
 1790117/SPR/ICON+/2017 |
 1800117/SPR/ICON+/2017 | 
 007/PSM/LGL-POM/DS-ICP/II/2017 | 07931/SPP/008/PUSAT/ICON+/2018 | 4500011134 | 10010/SPP/008/PUSAT/ICON+/2019 |</t>
  </si>
  <si>
    <t>10010/SPP/008/PUSAT/ICON+/2019</t>
  </si>
  <si>
    <t>Maily Tandiah</t>
  </si>
  <si>
    <t>021-7205066
 021-63867676 Ext 750</t>
  </si>
  <si>
    <t>B2</t>
  </si>
  <si>
    <t>C17</t>
  </si>
  <si>
    <t>1. Biaya Sewa Kabel tray Rp10.000,-/meter total untuk 250 update tahun 2016 Rp25.000,-/m2/th total untuk 250 m' Rp6.250.000
 2. Sewa Tempat box panel Rp3.750.000,-/tahun
 3. Deposit Sewa Rp5.000.000,-
 4. Biaya Supervisi Rp300.000,-/SIK</t>
  </si>
  <si>
    <t>PT PEMBANGKITAN JAWA BALI</t>
  </si>
  <si>
    <t>[PJB KANTOR PUSAT],  Jl. Ketintang Baru No. 11,  Surabaya,  Jawa Timur,  Indonesia,  60231</t>
  </si>
  <si>
    <t>OFFICE 18, Gedung 18 Office Park, Jl. TB Simatupang No. 18, Rt. 02/ Rw. 01, Kebagusan, Pasar Minggu, Jakarta Selatan, DKI Jakarta, Indonesia, 12520</t>
  </si>
  <si>
    <t>17648/SPP/008/PUSAT/ICON+/2022 | 4500017472 | 21066 | 4500020086</t>
  </si>
  <si>
    <t>2850/SPP/SBU/ICON+/2024</t>
  </si>
  <si>
    <t>Margono</t>
  </si>
  <si>
    <t>0856-7557-754</t>
  </si>
  <si>
    <t>F2</t>
  </si>
  <si>
    <t>G315</t>
  </si>
  <si>
    <t>H126</t>
  </si>
  <si>
    <t xml:space="preserve">Mekar Prana Indah </t>
  </si>
  <si>
    <t>Bank Syariah Indonesia</t>
  </si>
  <si>
    <t>Menara Bidakara Jl. Jendral Gatot Subroto Kav. 71-73 Pancoran Jakarta Selatan 12871</t>
  </si>
  <si>
    <t>Kantor Perwakilan PJB Jakarta / Menara Bidakara 2 Lt. 16 , Jln. Gatot Subroto Kav 71-73,  Tebet,  Jakarta Selatan,  DKI Jakarta,  Indonesia,</t>
  </si>
  <si>
    <t>Kantor Perwakilan PJB Jakarta / Menara Bidakara 2 Lt. 16 , Jln. Gatot Subroto Kav 71-73, Tebet, Jakarta Selatan, DKI Jakarta,</t>
  </si>
  <si>
    <t>PA/ACT/1904/1014</t>
  </si>
  <si>
    <t>11083/SPP/008/PUSAT/ICON+/2019 | 4500012939 | 13747/SPP/008/PUSAT/ICON+/2020 | 4500014711| 16565/SPP/008/PUSAT/ICON+/2021| 4500016700 | 4500018794</t>
  </si>
  <si>
    <t>781/SPP/SBU/ICON+/2023</t>
  </si>
  <si>
    <t>4500021172</t>
  </si>
  <si>
    <t>Fajar</t>
  </si>
  <si>
    <t>021-83793050</t>
  </si>
  <si>
    <t>C124</t>
  </si>
  <si>
    <t>D350</t>
  </si>
  <si>
    <t>E316</t>
  </si>
  <si>
    <t>F308</t>
  </si>
  <si>
    <t>G235</t>
  </si>
  <si>
    <t>biaya sewa tahunan sebesar 51.500.000</t>
  </si>
  <si>
    <t xml:space="preserve">Menara Antam Sejahtera </t>
  </si>
  <si>
    <t xml:space="preserve"> PT BANK SYARIAH INDONESIA TBK</t>
  </si>
  <si>
    <t>Gedung Antam Lt. 3 Jl. Letjen TB Simatupang No. 1 Tanjung Barat</t>
  </si>
  <si>
    <t>KCP Jakarta Antam, Antam Building Tower B, Lantai GF, Jl. TB Simatupang No. Kel. Tanjung Barat,  Kec. Jagakarsa,  Jakarta Selatan,  DKI Jakarta,  Indonesia,  12530</t>
  </si>
  <si>
    <t xml:space="preserve">PA/ACT/2208/3992 </t>
  </si>
  <si>
    <t>20511/SPP/008/PUSAT/ICON+/2022 | 4500019394</t>
  </si>
  <si>
    <t>2120/SPP/SBU/ICON+/2023</t>
  </si>
  <si>
    <t>Tia Pamudji</t>
  </si>
  <si>
    <t>021-7812635</t>
  </si>
  <si>
    <t>F413</t>
  </si>
  <si>
    <t>G346</t>
  </si>
  <si>
    <t>1.Sewa Tray dan Shaft Rp.35.000.000 | 2.Biaya Tarikan Kabel Indoor Rp.4.000.000</t>
  </si>
  <si>
    <t xml:space="preserve">Menara Capital Indonusa </t>
  </si>
  <si>
    <t>PT. NAP INFO LINTASNUSA</t>
  </si>
  <si>
    <t>Menara Palma Lantai 27, Jkl. HR Rasuna Said Blok X-2 Kav. 6 Jakarta Selatan</t>
  </si>
  <si>
    <t>Gedung Palma Tower Jl. TB. Simatupang II S Kav. 6 
 Jakarta Selatan</t>
  </si>
  <si>
    <t>ICON-00/SBC/1501/0084</t>
  </si>
  <si>
    <t>4500009748 | 060/ADD I/MCI-ICON+/XI/2016 | 07227/SPP/008/PUSAT/ICON+/2017 |4500010669 | 08865/SPP/008/PUSAT/ICON+/2018 | 4500011671 | 11204/SPP/008/PUSAT/ICON+/2019 | 4500013021 | 4500015165</t>
  </si>
  <si>
    <t>16857/SPP/008/PUSAT/ICON+/2021</t>
  </si>
  <si>
    <t>4500017146</t>
  </si>
  <si>
    <t>Andi Noviyanto</t>
  </si>
  <si>
    <t>021-2520241</t>
  </si>
  <si>
    <t>B137</t>
  </si>
  <si>
    <t>C144</t>
  </si>
  <si>
    <t>D312</t>
  </si>
  <si>
    <t>E340</t>
  </si>
  <si>
    <t>1. Sewa Shaft Kabel Rp30.000.000,-/tahun update tahun 2016 Rp45.000.000,-/tahun
 2. Jaminan sewa Rp20.000.000,-</t>
  </si>
  <si>
    <t>Jl.MH Thamrin Kav 3 Jakarta 10250</t>
  </si>
  <si>
    <t>Menara Thamrin, Jl. MH Thamrin Kav. 3 Jakarta 10250</t>
  </si>
  <si>
    <t>PA/ACT/1804/0208</t>
  </si>
  <si>
    <t>08649/SPP/008/PUSAT/ICON+/2018 | 4500011538</t>
  </si>
  <si>
    <t>F119</t>
  </si>
  <si>
    <t>1.Jaminan Pekerjaan 3.000.000 , 2.Biaya PKB 8.806.244</t>
  </si>
  <si>
    <t>IFAD Office</t>
  </si>
  <si>
    <t>Menara Thamrin, Lantai 5, Jl MH Thamrin Kav. 3, Menteng, Jakarta Pusat, 10340,  Menteng,  Jakarta Pusat,</t>
  </si>
  <si>
    <t>18437/SPP/008/PUSAT/ICON+/2022 | 4500018172 | 215/SPP/SBU/ICON+/2023 | 4500020684</t>
  </si>
  <si>
    <t>3088/SPP/SBU/PLNICONPLUS/2024</t>
  </si>
  <si>
    <t xml:space="preserve">Bapak Webi </t>
  </si>
  <si>
    <t>0812-8357 889</t>
  </si>
  <si>
    <t>F170</t>
  </si>
  <si>
    <t>G219</t>
  </si>
  <si>
    <t>H168</t>
  </si>
  <si>
    <t>1.Biaya Cross Connect Rp.10.500.000</t>
  </si>
  <si>
    <t>Badan Pengawas Pemilihan Umum (BAWASLU)</t>
  </si>
  <si>
    <t>Jl. M.H. Thamrin No.14, RT.8/RW.4, Gondangdia</t>
  </si>
  <si>
    <t>Thamrin Menara Tower, Jl. M.H. Thamrin No.3, RT.10/RW.10, Kebon Sirih,</t>
  </si>
  <si>
    <t>PA/ACT/2211/4577</t>
  </si>
  <si>
    <t>21023/SPP/008/PUSAT/ICON+/2023 | 450001994</t>
  </si>
  <si>
    <t>2281/SPP/SBU/ICON+/2023</t>
  </si>
  <si>
    <t>G24</t>
  </si>
  <si>
    <t>H322</t>
  </si>
  <si>
    <t>1.Biaya Sewa shaft selama 3 tahun Rp.63.000.000 | Revenue Sharing 7,5% / Bulan</t>
  </si>
  <si>
    <t xml:space="preserve">Mora Telematika Indonesia </t>
  </si>
  <si>
    <t xml:space="preserve">PT. ANUGRAH INTI KARYA
Gpay Digital Asia
PT Lintas Teknologi Digital
</t>
  </si>
  <si>
    <t>Grha 9 6th floor, Jl. Penataran No.9 Proklamasi Jakarta Pusat 10320, Indonesia</t>
  </si>
  <si>
    <t>NDC Jl. Raya Jatinegara Barat No.44, RT.1/RW.5, Kp. Melayu, Kecamatan Jatinegara, Kota Jakarta Timur, Daerah Khusus Ibukota Jakarta 13320</t>
  </si>
  <si>
    <t>PA/ACT/1810/0048 PA/ACT/2009/0738 PA/ACT/2204/0857</t>
  </si>
  <si>
    <t>19057/SPP/008/PUSAT/ICON+/2022 | 4500018395</t>
  </si>
  <si>
    <t>2238/SPP/SBU/ICON+/2023</t>
  </si>
  <si>
    <t>Alwin</t>
  </si>
  <si>
    <t>021-31998603</t>
  </si>
  <si>
    <t>f243</t>
  </si>
  <si>
    <t>PT. ANUGRAH INTI KARYA</t>
  </si>
  <si>
    <t>Nusantara Data Center(NDC) PT.Moratelindo Jl. Jatinegara Bar. No.44, RT.1/RW.5, Bidara Cina, Jatinegara, Kota Jakarta Timur, Daerah Khusus Ibukota Jakarta 13320</t>
  </si>
  <si>
    <t>AL/1812/21311</t>
  </si>
  <si>
    <t>09220/SPP/008/PUSAT/ICON+/2018 | 4500011886 | 11587/SPP/008/PUSAT/ICON+/2019 | 4500013379| 14204/SPP/008/PUSAT/ICON+/2020| 4500015370 | 16580/SPP/008/PUSAT/ICON+/2021 | 4500017734 | 19952/SPP/008/PUSAT/ICON+/2022 | 4500019772</t>
  </si>
  <si>
    <t xml:space="preserve">744/SPP/SBU/ICON+/2023	</t>
  </si>
  <si>
    <t>Maria Fransiska</t>
  </si>
  <si>
    <t>021-31998601</t>
  </si>
  <si>
    <t>C295</t>
  </si>
  <si>
    <t>D393</t>
  </si>
  <si>
    <t>F275</t>
  </si>
  <si>
    <t>G183</t>
  </si>
  <si>
    <t>1.Biaya Sewa Tahunan Collocation Rp.30.000.000 2.Biaya sewa tahunan xconnect Rp.6.000.000 3.Biaya Instalasi Collocation Rp.2.500.000 4.Biaya Instalasi Xconnect Rp.2.500.000</t>
  </si>
  <si>
    <t>PT Asuransi Asei Indonesia</t>
  </si>
  <si>
    <t>PT Mora Telematika Indonesia Grha 9 6th Floor Jl. Panataran No. 9 Proklamasi Jakarta Pusat 10320</t>
  </si>
  <si>
    <t>PA/ACT/1803/0242</t>
  </si>
  <si>
    <t>08389/SPP/008/PUSAT/ICON+/2018 | 4500011368 | 10471/SPP/008/PUSAT/ICON+/2019 | 4500012604</t>
  </si>
  <si>
    <t>B54</t>
  </si>
  <si>
    <t>C59</t>
  </si>
  <si>
    <t>D74</t>
  </si>
  <si>
    <t>1.Biaya Instalasi sebesar 2.500.000 2. Biaya Sewa Tahunan sebesar 9.000.000</t>
  </si>
  <si>
    <t>PT. GPAY DIGITAL ASIA</t>
  </si>
  <si>
    <t>PT. NTT Indonesia Nexcenter Cyber CSF Building, Floor 2 Room 2-2, Jl. Kuningan Barat No. 8, Jakarta, Jakarta Selatan, DKI Jakarta, Indonesia, 12710</t>
  </si>
  <si>
    <t>PA/ACT/2009/0739</t>
  </si>
  <si>
    <t>14387/SPP/008/PUSAT/ICON+/2020| 4500015136 | 18505/SPP/008/PUSAT/ICON+/2022| 4500018133 | 20196 | 4500019300</t>
  </si>
  <si>
    <t>021-31998602</t>
  </si>
  <si>
    <t>D227</t>
  </si>
  <si>
    <t>F288</t>
  </si>
  <si>
    <t>F422</t>
  </si>
  <si>
    <t>H107</t>
  </si>
  <si>
    <t>PT Aplikanusa Lintasarta qq PT Artajasa</t>
  </si>
  <si>
    <t>Artajasa Pembayaran Elektronis, DCI Kawasan MM2100 Jl. Halmahera Blok F1 No. 1 Danau Indah, Cikarang Barat, Kabupaten Bekasi, Jawa Barat,</t>
  </si>
  <si>
    <t>10135/SPP/008/PUSAT/ICON+/2019 | 4500012470</t>
  </si>
  <si>
    <t>12591/SPP/008/PUSAT/ICON+/2020</t>
  </si>
  <si>
    <t>Gite / Iffa (Finance</t>
  </si>
  <si>
    <t>0856-1160-826 / 0856-8737-200</t>
  </si>
  <si>
    <t>C28</t>
  </si>
  <si>
    <t>D41</t>
  </si>
  <si>
    <t>PT. BANK CIMB NIAGA</t>
  </si>
  <si>
    <t>Backhaul Bank CIMB Niaga, Gedung Cyber Lt. 4, Jl. Kuningan Barat Raya No.8, RT.1/RW.3, Kuningan Barat,  Kec. Mampang Prapatan,  Jakarta Selatan,  DKI Jakarta,  Indonesia,  12910</t>
  </si>
  <si>
    <t>PA/ACT/2108/2160</t>
  </si>
  <si>
    <t>16737/SPP/008/PUSAT/ICON+/2021</t>
  </si>
  <si>
    <t>E39</t>
  </si>
  <si>
    <t>G39</t>
  </si>
  <si>
    <t>PT Mitra Akses Globalindo</t>
  </si>
  <si>
    <t>Backhaul Nexcenter,Cyber Building I, Lantai 3A, Jl. Kuningan Barat Raya No.8, RT.6/RW.3, Kuningan Barat, Mampang Prapatan, Jakarta Selatan,</t>
  </si>
  <si>
    <t>PA/ACT/1902/2062</t>
  </si>
  <si>
    <t>10858/SPP/008/PUSAT/ICON+/2019</t>
  </si>
  <si>
    <t>C88</t>
  </si>
  <si>
    <t>PT. BUKIT MAKMUR MANDIRI UTAMA</t>
  </si>
  <si>
    <t>BUKIT MAKMUR MANDIRI NTTI-Nex Center Lokasi Cyber 1. (no rack L1.SRV01.09-07)</t>
  </si>
  <si>
    <t>D112</t>
  </si>
  <si>
    <t>BUKIT MAKMUR MANDIRI NTTI-Nex Center Lokasi Cyber 1. (no rack L1.SRV01.09-07) (Relokasi Ruang)</t>
  </si>
  <si>
    <t>D113</t>
  </si>
  <si>
    <t>PT Bukit Makmur Mandiri Utama</t>
  </si>
  <si>
    <t>Cyber Building Nex Center Lantai 1 Jalan Kuningan Barat No. 8, Mampang Prapatan, Jakarta Selatan,</t>
  </si>
  <si>
    <t>PA/ACT/1806/0912</t>
  </si>
  <si>
    <t>08941/SPP/008/PUSAT/ICON+/2018 | 4500011817</t>
  </si>
  <si>
    <t>11093/SPP/008/PUSAT/ICON+/2019</t>
  </si>
  <si>
    <t>B115</t>
  </si>
  <si>
    <t>C134</t>
  </si>
  <si>
    <t>PT. BANK KEB HANA INDONESIA</t>
  </si>
  <si>
    <t>13501/SPP/008/PUSAT/ICON+/2020</t>
  </si>
  <si>
    <t>D115</t>
  </si>
  <si>
    <t>PT. NUSA SATU INTI ARTHA</t>
  </si>
  <si>
    <t>DC ALFA CILEUNGSI Ktr. Cab Cileungsi, Dayeuh</t>
  </si>
  <si>
    <t xml:space="preserve">PA/ACT/2208/2714 </t>
  </si>
  <si>
    <t>19884/SPP/008/PUSAT/ICON+/2022</t>
  </si>
  <si>
    <t>F310</t>
  </si>
  <si>
    <t>PT. VERENA MULTIFINANCE</t>
  </si>
  <si>
    <t>DRC PT Satata Neka Tama Cyber Building 3rd Floor Jl. Kuningan Barat No.8</t>
  </si>
  <si>
    <t>PA/ACT/2204/3319
PA/ACT/2204/3315</t>
  </si>
  <si>
    <t>18621/SPP/008/PUSAT/ICON+/2022</t>
  </si>
  <si>
    <t>F150</t>
  </si>
  <si>
    <t>PT Bhinneka Life Indonesia</t>
  </si>
  <si>
    <t>Gedung Cyber 3, Jl. Kuningan Barat Raya No.8, RT.1/RW.3, lt.1 Kuningan Bar., Mampang Prpt., Kota Jakarta Selatan, Daerah Khusus Ibukota Jakarta 12710</t>
  </si>
  <si>
    <t>PA/ACT/1902/1154</t>
  </si>
  <si>
    <t>10856/SPP/008/PUSAT/ICON+/2019</t>
  </si>
  <si>
    <t>C89</t>
  </si>
  <si>
    <t>BUT. MUFG BANK, LTD
 PT. BANK MAYBANK INDONESA TBK
 PT. CENTRAL SANTOSA FINANCE
 PT. LINK NET
 PT. NTT INDONESIA
 PT. SEPATU MAS IDAMAN
 PT. BANK CENTRAL ASIA, TBK
 PT. MORA TELEMATIKA INDONESIA
 PT. PRIMACOM INTERBUANA
 PT. SEWU SEGAR NUSANTARA</t>
  </si>
  <si>
    <t>Gedung Cyber CSF</t>
  </si>
  <si>
    <t>ICON-00/SBC/1609/0443
 AL/1807/6516
 ICON-00/SBC/1512/0665
 AL/1805/3463
 ICON-00/SBC/1612/0107
 ICON-00/SBC/1511/0163
 ICON-00/SBC/1708/0116
 ICON-00/SBC/1411/0456
 ICON-00/SBC/1605/0308
 AL/1803/0574</t>
  </si>
  <si>
    <t>11508/SPP/008/PUSAT/ICON+/2019</t>
  </si>
  <si>
    <t>C164</t>
  </si>
  <si>
    <t>PT. BCA MULTI FINANCE</t>
  </si>
  <si>
    <t>Gedung Cyber CSF Lt 1 Jl. Kuningan Barat No. 8 Jakarta Selatan</t>
  </si>
  <si>
    <t>PA/ACT/1907/2400
 PA/ACT/1907/2400</t>
  </si>
  <si>
    <t>10418/SPP/008/PUSAT/ICON+/2019 | 4500012521</t>
  </si>
  <si>
    <t>C10</t>
  </si>
  <si>
    <t>D62/E56</t>
  </si>
  <si>
    <t>PT Cheil Jedang Indonesia</t>
  </si>
  <si>
    <t>Gedung NTT Indonesia Nexcenter, Cyber Building I, Lantai 3A, Jl. Kuningan Barat Raya No.8, RT.6/RW.3,, Mampang Prapatan, Jakarta Selatan, DKI Jakarta</t>
  </si>
  <si>
    <t>PA/ACT/1901/0119</t>
  </si>
  <si>
    <t>10110/SPP/008/PUSAT/ICON+/2019</t>
  </si>
  <si>
    <t>C8</t>
  </si>
  <si>
    <t>1.Biaya sewa tahunan sebesar 12.000.000</t>
  </si>
  <si>
    <t>PA/ACT/1901/0119
 PA/ACT/1901/0121</t>
  </si>
  <si>
    <t>10868/SPP/008/PUSAT/ICON+/2019</t>
  </si>
  <si>
    <t>C87</t>
  </si>
  <si>
    <t>Gedung NTT Indonesia Nexcenter, Cyber Building I, Lantai 3A, Jl. Kuningan Barat Raya No.8, RT.6/RW.3,, Mampang Prapatan, Jakarta Selatan, DKI Jakarta,</t>
  </si>
  <si>
    <t>PA/ACT/1901/0119
 PA/ACT/1901/0121
 PA/ACT/1901/0120</t>
  </si>
  <si>
    <t>11640/SPP/008/PUSAT/ICON+/2019</t>
  </si>
  <si>
    <t>C214</t>
  </si>
  <si>
    <t>PT RITEL BERSAMA NASIONAL</t>
  </si>
  <si>
    <t>H2H - PT RITEL BERSAMA NASIONAL Menara Jamsostek Menara Utara Lt 18, Kuningan Barat, Kec. Mampang Prapatan, Jakarta Selatan, DKI Jakarta, Indonesia.</t>
  </si>
  <si>
    <t>PA/ACT/1908/5717</t>
  </si>
  <si>
    <t>11703/SPP/008/PUSAT/ICON+/2019</t>
  </si>
  <si>
    <t>C199</t>
  </si>
  <si>
    <t>H2H BRI - OVO NTT Indonesia Nexcenter Jl. Kuningan Barat Raya No.8, RT.6/RW.3</t>
  </si>
  <si>
    <t>PA/ACT/2209/5147</t>
  </si>
  <si>
    <t>20280/SPP/008/PUSAT/ICON+/2022</t>
  </si>
  <si>
    <t>F363</t>
  </si>
  <si>
    <t>IDC Duren Tiga Open IXP, Jl. Duren Tiga Raya No.7, RT.9/RW.5, Duren Tiga</t>
  </si>
  <si>
    <t>20251/SPP/008/PUSAT/ICON+/2022</t>
  </si>
  <si>
    <t>F362</t>
  </si>
  <si>
    <t xml:space="preserve">PT. BANK RAKYAT INDONESIA (PERSERO) TBK </t>
  </si>
  <si>
    <t>Jl. Kuningan Barat Raya No.8, RT.6/RW.3</t>
  </si>
  <si>
    <t>PA/ACT/2204/3976/TER</t>
  </si>
  <si>
    <t>18937/SPP/008/PUSAT/ICON+/2022</t>
  </si>
  <si>
    <t>F181</t>
  </si>
  <si>
    <t>PT. DJARUM
 PT. SUMBER CIPTA MULTINIAGA</t>
  </si>
  <si>
    <t>Kantor Djarum Kudus Jl. A. Yani No. 26 Kudus, Jawa Tengah</t>
  </si>
  <si>
    <t>13427/SPP/008/PUSAT/ICON+/2020</t>
  </si>
  <si>
    <t>D96</t>
  </si>
  <si>
    <t>PT. SUMBER CIPTA MULTINIAGA</t>
  </si>
  <si>
    <t>Kantor Semarang Jl. Pandean Lamper 4 No 16 , Semarang (Lantai 1), Jawa Tengah</t>
  </si>
  <si>
    <t>Menara Jamsostek, Jalan Gatot Subroto, Kav 38. RT.6/RW.1. Lantai 21.Kuningan Barat,, Mampang Prapatan, Jakarta Selatan, DKI Jakarta, Indonesia, 12710</t>
  </si>
  <si>
    <t>11277/SPP/008/PUSAT/ICON+/2019</t>
  </si>
  <si>
    <t>C155</t>
  </si>
  <si>
    <t>PT. DJARUM</t>
  </si>
  <si>
    <t>NTT Indonesia Nexcenter Cyber Building I, Lantai 3A, Jl. Kuningan Barat Raya No.8, RT.6/RW.3, Kuningan Bar., Kec. Mampang Prpt</t>
  </si>
  <si>
    <t>PA/ACT/2207/1934
PA/ACT/2003/0168</t>
  </si>
  <si>
    <t>19446/SPP/008/PUSAT/ICON+/2022</t>
  </si>
  <si>
    <t>F233</t>
  </si>
  <si>
    <t>PT. NTT INDONESIA</t>
  </si>
  <si>
    <t>PT NTT Indonesia Wisma 46 Kota BNI Jl.Jend Sudirman Kav 1 Jakarta</t>
  </si>
  <si>
    <t xml:space="preserve">18541/SPP/008/PUSAT/ICON+/2022        </t>
  </si>
  <si>
    <t>PT Teknovatus SS, Jl. Pahlawan Seribu Lot 12 A BSD CBD Serpong, Tangerang 15322</t>
  </si>
  <si>
    <t>D274</t>
  </si>
  <si>
    <t>PT Great Giant Pineapple</t>
  </si>
  <si>
    <t>PT. Great Giant Pineapple Cyber 3 (Backhaul), Jl. Wijayakarta IV No.217, RT.1/RW.3, Kuningan Bar. Mampang Prpt,, Kuningan Barat, Jakarta Selatan, DKI Jakarta, Indonesia,</t>
  </si>
  <si>
    <t>PA/ACT/1902/1061</t>
  </si>
  <si>
    <t>10571/SPP/008/PUSAT/ICON+/2019</t>
  </si>
  <si>
    <t>C40</t>
  </si>
  <si>
    <t>1.Biaya sewa tahunan sebesar 24.000.000</t>
  </si>
  <si>
    <t>14534/SPP/008/PUSAT/ICON+/2020</t>
  </si>
  <si>
    <t>Wisma 46 Kota BNI , Jl. Jend. Sudirman, Tanah Abang, Kota Jak Pusat, Daerah Khusus Ibukota Jak 10250, Indonesia ((LG) menuju Primacom lt. 49 (radio room) exclusive penyedia jasa telekomunikasi PT NTT Indonesia- Pemilik Gedung PT Swadharma Primautama/ PT Citanduy Perkasa)</t>
  </si>
  <si>
    <t>ICON-00/ACT/1502/0235</t>
  </si>
  <si>
    <t>4500009466 |NTTI-ICON+/MAINETENANCE-BT/AMD-I/256/IX/16 |06888/SPP/008/PUSAT/ICON+/2018 | 4500010589 | 08605/SPP/008/PUSAT/ICON+/2018 | 4500011488</t>
  </si>
  <si>
    <t>10532/SPP/008/PUSAT/ICON+/2019</t>
  </si>
  <si>
    <t>B19</t>
  </si>
  <si>
    <t>B159</t>
  </si>
  <si>
    <t>C132</t>
  </si>
  <si>
    <t>1. Instalasi Rp4.000.000/tarikan
 2. Sewa Shaft Rp24.000.000/tahun
 3. Jaminan dengan Pihak Gedung (PT Swadharma Primautama/Citanduy Perkasa) Rp10.000.000,-
 4.. Biaya Kebersihan Rp300.000,-/tarikan</t>
  </si>
  <si>
    <t>PT Telindo Nusantara</t>
  </si>
  <si>
    <t>Wisma 46 Kota BNI, 5th Floor Jl. Jend Sudirman Kav. 1 Jakarta 10220</t>
  </si>
  <si>
    <t>PA/ACT/1804/0486/TER</t>
  </si>
  <si>
    <t>08614/SPP/008/PUSAT/ICON+/2018 |4500011718</t>
  </si>
  <si>
    <t>10454/SPP/008/PUSAT/ICON+/2019</t>
  </si>
  <si>
    <t>C248</t>
  </si>
  <si>
    <t>PT Link Net</t>
  </si>
  <si>
    <t>PA/ACT/1801/0048</t>
  </si>
  <si>
    <t>08384/SPP/008/PUSAT/ICON+/2018 | 4500011409</t>
  </si>
  <si>
    <t>10024/SPP/008/PUSAT/ICON+/2019</t>
  </si>
  <si>
    <t>B16</t>
  </si>
  <si>
    <t>C30</t>
  </si>
  <si>
    <t>PT. BANK MAYBANK INDONESIA</t>
  </si>
  <si>
    <t>PA/ACT/1803/0186</t>
  </si>
  <si>
    <t>08826/SPP/008/PUSAT/ICON+/2018 | 4500011719</t>
  </si>
  <si>
    <t>10217/SPP/008/PUSAT/ICON+/2019</t>
  </si>
  <si>
    <t>B102</t>
  </si>
  <si>
    <t>C31</t>
  </si>
  <si>
    <t>Wisma BNI 46</t>
  </si>
  <si>
    <t>20917/SPP/008/PUSAT/ICON+/2022</t>
  </si>
  <si>
    <t>F399</t>
  </si>
  <si>
    <t>AKAMAI DAN FACEBOOK</t>
  </si>
  <si>
    <t>Konfirmasi Sales</t>
  </si>
  <si>
    <t>G12</t>
  </si>
  <si>
    <t>PT. CENTRIN ONLINE PRIMA qq PT Accenture
 PT. PRIMACOM INTERBUANA</t>
  </si>
  <si>
    <t>Wisma BNI 46,</t>
  </si>
  <si>
    <t>PA/ACT/1905/2810
 PA/RLK/1906/0030</t>
  </si>
  <si>
    <t>11493/SPP/008/PUSAT/ICON+/2019</t>
  </si>
  <si>
    <t>C171</t>
  </si>
  <si>
    <t>PT. Astra Daihatsu Motor</t>
  </si>
  <si>
    <t xml:space="preserve">JL. SELAYAR BLOK A-6 KAWASAN MM2100 IDUSTRIAL ESTATE CIBITUNG (Interkoneksi Indonet),- ,- ,- ,Indonesia </t>
  </si>
  <si>
    <t>A821205000115</t>
  </si>
  <si>
    <t xml:space="preserve">1097/SPP/SBU/ICON+/2023	</t>
  </si>
  <si>
    <t>x</t>
  </si>
  <si>
    <t>G165</t>
  </si>
  <si>
    <t>Sewa Cross Connect sebesar 12.000.000</t>
  </si>
  <si>
    <t>PT. GRAHA LAYAR PRIMA TBK</t>
  </si>
  <si>
    <t>21065/SPP/008/PUSAT/ICON+/2023</t>
  </si>
  <si>
    <t>G20</t>
  </si>
  <si>
    <t>PT Nosairis Teknologi Indonesia</t>
  </si>
  <si>
    <t>NTT Data Center, Cyber 3. Jl. Kuningan Barat Raya No.8, RT.6/RW.3, Kuningan Bar., Kec. Mampang Prpt., Kota Jakarta Selatan, Daerah Khusus Ibukota Jakarta 12710</t>
  </si>
  <si>
    <t>A811202000017 - 8123062000003</t>
  </si>
  <si>
    <t>1021/SPP/SBU/ICON+/2023</t>
  </si>
  <si>
    <t>G160</t>
  </si>
  <si>
    <t>20917/SPP/SBU/ICON+/2022</t>
  </si>
  <si>
    <t>F452</t>
  </si>
  <si>
    <t xml:space="preserve">Oleos Kirana Pratama </t>
  </si>
  <si>
    <t>PT. AT&amp;T GLOBAL NETWORK SERVICES INDONE - MTX07715378</t>
  </si>
  <si>
    <t>Jl.Kebagusan 1 No.6 Jakarta Selatan</t>
  </si>
  <si>
    <t>MPOE room 6th floor 
Jl. TB Simatupang Kav 53 A 
Building Plaza Oleos</t>
  </si>
  <si>
    <t>F46</t>
  </si>
  <si>
    <t>Berubah Skema menjadi Revenue Sharing</t>
  </si>
  <si>
    <t>Gedung Wisma Milenia
 (Shaft Lt. Basement 1 B1 s/d Lt.4 Gedung Wisma Millenia)</t>
  </si>
  <si>
    <t>Addendum V 
 No.002/OP-ICON/BM-WM/II/2017
 No. 02131/ADD.V/061/ICON+/2017 4500011140 | 08293/SPP/008/PUSAT/ICON+/2018 | 4500011315 | 09863/SPP/008/PUSAT/ICON+/2018 | 4500012321 | 12625/SPP/008/PUSAT/ICON+/2020+L688 | 4500014005| 15167/SPP/008/PUSAT/ICON+/2021| 4500015839| 17654/SPP/008/PUSAT/ICON+/2022 | 17654/SPP/008/PUSAT/ICON+/2022 | 4500017749 | 20774 | 4500019869</t>
  </si>
  <si>
    <t>Ida</t>
  </si>
  <si>
    <t>0812 8129 3919</t>
  </si>
  <si>
    <t>B64</t>
  </si>
  <si>
    <t>B287</t>
  </si>
  <si>
    <t>D38</t>
  </si>
  <si>
    <t>E49</t>
  </si>
  <si>
    <t>F144</t>
  </si>
  <si>
    <t>G14</t>
  </si>
  <si>
    <t>H71</t>
  </si>
  <si>
    <t>P3SRS Bukan Hunian Multivision Tower</t>
  </si>
  <si>
    <t>GD Multivision Tower Lt Basement 1 Jakarta Selatan</t>
  </si>
  <si>
    <t>Jl Kuningan Mulia Lot 9B – Kuningan Jakarta Selatan 12980</t>
  </si>
  <si>
    <t>PA/ACT/1809/0907
 PA/ACT/1809/0911
 PA/ACT/1807/0340
 PA/ACT/1809/1175</t>
  </si>
  <si>
    <t>09907/SPP/008/PUSAT/ICON+/2018 | 4500012331 | 12452/SPP/008/PUSAT/ICON+/2019 | 4500013905 | 14934/SPP/008/PUSAT/ICON+/2020| 4500015687 | 17487/SPP/008/PUSAT/ICON+/2021 | 4500017871</t>
  </si>
  <si>
    <t>20894/SPP/008/PUSAT/ICON+/2022</t>
  </si>
  <si>
    <t>B264</t>
  </si>
  <si>
    <t>E292</t>
  </si>
  <si>
    <t>F122</t>
  </si>
  <si>
    <t>G320</t>
  </si>
  <si>
    <t>P3SRS The City Tower</t>
  </si>
  <si>
    <t>PT. SALIM IVOMAS PRATAMA,TBK</t>
  </si>
  <si>
    <t>Jl.MH Thamrin 81 Menteng Jakarta Pusat 10310</t>
  </si>
  <si>
    <t>The City Tower JL MH Thamrin no 81 Menteng Jakarta Pusat</t>
  </si>
  <si>
    <t>09257/SPP/008/PUSAT/ICON+/2018 | 4500011864</t>
  </si>
  <si>
    <t>D83</t>
  </si>
  <si>
    <t xml:space="preserve">Patra Jasa Office Tower Jakarta </t>
  </si>
  <si>
    <t>PT BANK MANDIRI (PERSERO), Tbk
 BANK MEGA</t>
  </si>
  <si>
    <t>Patra Jasa Office Tower Jl. Gatot Subroto kav.32-34
12950 Jakarta</t>
  </si>
  <si>
    <t>Patra Jasa Office Tower</t>
  </si>
  <si>
    <t>ICON-00/MIG/1602/0043
 PA/ACT/1805/0437</t>
  </si>
  <si>
    <t>4500009895
 AMD.1/PSM.2931/PJOT/2016 | 07459/SPP/008/PUSAT/ICON+/2017 | 4500010926 | 10600/SPP/008/PUSAT/ICON+/2019 | 4500012673 | 11766/SPP/008/PUSAT/ICON+/2019 | 4500013494</t>
  </si>
  <si>
    <t>14276/SPP/008/PUSAT/ICON+/2020</t>
  </si>
  <si>
    <t>4500015124</t>
  </si>
  <si>
    <t>Agustina</t>
  </si>
  <si>
    <t>021-5217427</t>
  </si>
  <si>
    <t>C72/C294</t>
  </si>
  <si>
    <t>D294</t>
  </si>
  <si>
    <t xml:space="preserve">Patra Jasa </t>
  </si>
  <si>
    <t>PT XL AXIATA Tbk.
 PT. PRIMACOM INTERBUANA
 PT. SATKOMINDO MEDIYASA
 PT. GAHARU SEJAHTERA
 PT.GAYA FAVORIT PRESS (FEMINA GROUP)
 PT. PRIMACOM INTERBUANA
 PT UNGGUL INDAH CAHAYA Tbk
 PT. INTI EVERSPRING INDONESIA
 PT INDOSAT Tbk
 PT IFORTE GLOBAL INTERNET
 PT. BANK SYARIAH BRI
 PT TRANS RETAIL INDONESIA
 PT. PRIMACOM INTERBUANA
 PT CITRA SARI MAKMUR
 PT. ASURANSI SINARMAS
 BANK BJB
 PT.PRATAMA LINK
 PT. SUZUKI FINANCE INDONESIA
 PT.PRATAMA LINK
 PT ANGGARA ARCHITEAM
 PT PASIFIKTEL INDOTAMA
 PT INDOSAT Tbk
 PT. CYBERINDO ADITAMA
 PT INDOMARCO PRISMATAMA</t>
  </si>
  <si>
    <t>Jl. Taman Patra Raya No. 2
Jakarta 12950</t>
  </si>
  <si>
    <t>Dari Jl. Taman Patra II, Jl. Taman Patra IV, Jl. Taman patra X, Jl. Taman Patra Kuningan , Jl. Dukuh Patra I sampai dengan Jl. Raya Mandala IV, Pertamina Oil Village</t>
  </si>
  <si>
    <t>ICON-00/ACT/1207/0109
 ICON-00/ACT/1312/0016
 ICON-00/ACT/1410/0169
 ICON-00/ACT/1312/0017
 ICON-00/ACT/1312/0018
 ICON-00/ACT/1312/0019
 ICON-00/SOP/1502/0006
 ICON-00/MIG/1412/0020
 ICON-00/ACT/1402/0242
 ICON-00/ACT/1411/0008
 ICON-00/ACT/1504/0302</t>
  </si>
  <si>
    <t>450008676 | 07501/SPP/008/PUSAT/ICON+/2017 | 4500010867 | 11307/SPP/008/PUSAT/ICON+/2019 | 4500013359</t>
  </si>
  <si>
    <t>16550/SPP/008/PUSAT/ICON+/2021</t>
  </si>
  <si>
    <t>Ririn</t>
  </si>
  <si>
    <t>021-8280463</t>
  </si>
  <si>
    <t>C145</t>
  </si>
  <si>
    <t>7010 KCP Gd. Patrajasa, Jl.Jend.Gatot Subroto Kav.32-34 Jaksel,  -,  -,  -,  Indonesia,  -</t>
  </si>
  <si>
    <t>PA/RLK/2206/0064</t>
  </si>
  <si>
    <t>G200</t>
  </si>
  <si>
    <t xml:space="preserve">Patra Jasa Residential </t>
  </si>
  <si>
    <t>Dari Jl. Mandala Raya menuju Jl. Patra Kuningan 7 Jakarta</t>
  </si>
  <si>
    <t>- 01000040211
  01000002762
 01000040470 
 01000040478 
 0990000320516968 
 01000012546
 01000008344
 01000008343
 04000030948
 01000049377
 04000003723
 0990000320490183
 04000003710
 0990000320490184
 04000003712
 04000003713
 04000026559
 04000026558
 04000003714
 04000003715
 0990000320386604 
 01000005535 
 01000038455
 04000038349
 04000038350
 0990000320396251 
 0990000320447602 
 01000041282 
 01000041276 
 0990000320487053 
 01000040250 
 01000007993 
 01000020717 
 04000023130 
 04000023129
 02000023131 
 01000023229 
 04000030504 
 04000037261 
 01000037255
 04000001324
 01000027254
 01000043320
 0990000320523172
 01000014895
 0990000320471532
 01000014195
 0990000320501040
 0990000320508826
 0990000320513749
 01000029013
 01000044058
 01000025553</t>
  </si>
  <si>
    <t>4500008493
 060437/MI/004/PUSAT/ICON+/2015 | 06894/SPP/008/PUSAT/ICON+/2017 | 4500010812 | 10975/SPP/008/PUSAT/ICON+/2019 | 4500013358</t>
  </si>
  <si>
    <t>C244</t>
  </si>
  <si>
    <t>D212</t>
  </si>
  <si>
    <t>Jaminan Rp10.000.000,-</t>
  </si>
  <si>
    <t xml:space="preserve">PC 24 Telekomunikasi Indonesia </t>
  </si>
  <si>
    <t>PT. BANK SYARIAH BRI</t>
  </si>
  <si>
    <t>(ATM BRIS Kedaung) Indomaret Kedaung Barat 15 Jl. Raya Gatot Soebroto, Kedaung Barat, Kota Tangerang, Banten</t>
  </si>
  <si>
    <t>D262</t>
  </si>
  <si>
    <t>Biaya Instalasi PC24 Rp.2.000.000</t>
  </si>
  <si>
    <t>PT. MERDEKA COPPER GOLD TBK</t>
  </si>
  <si>
    <t>Komplek Nilai Alam Ruko 1 KM 18</t>
  </si>
  <si>
    <t>(DC ATRIA) Jl. Raya Daan Mogot No.37, RT.11/RW.3, Cengkareng Tim.</t>
  </si>
  <si>
    <t>2587 | 4500019677</t>
  </si>
  <si>
    <t>G43</t>
  </si>
  <si>
    <t>H67</t>
  </si>
  <si>
    <t xml:space="preserve">Biaya OTC Rp.2.500.000 </t>
  </si>
  <si>
    <t>PT. WIFIKU INDONESIA</t>
  </si>
  <si>
    <t>Komplek Nilai Alam Ruko 1 KM 19</t>
  </si>
  <si>
    <t>DC ATRIA JL. RAYA DAAN MOGOT NO.37, RT.11/RW.3, CENGKARENG TIM., KECAMATAN CENGKARENG</t>
  </si>
  <si>
    <t>A111205000005</t>
  </si>
  <si>
    <t xml:space="preserve">465/SPP/SBU/ICON+/2023        </t>
  </si>
  <si>
    <t>MRC Cross Connect Services to MMR (UTP/FO)  Rp.12.000.000 | NRC Cross Connect Services to MMR (UTP/FO)  Rp.2.000.000</t>
  </si>
  <si>
    <t>PT BANK MANDIRI (PERSERO), TBK</t>
  </si>
  <si>
    <t>Perumda Pasar Jaya Jatinegara</t>
  </si>
  <si>
    <t>Bank Mandiri Jakarta Pasar Jatinegara Pasar Jatinegara Blok A Lantai 3 Los AKS No. 012,  Jatinegara,  Jakarta Timur,  DKI Jakarta,  Indonesia,</t>
  </si>
  <si>
    <t>482/SPP/SBU/ICON+/2023 | 4500022709</t>
  </si>
  <si>
    <t>3757/SPP/SBU/PLNICONPLUS/2024</t>
  </si>
  <si>
    <t>H174</t>
  </si>
  <si>
    <t>1.Biaya Sewa Lahan Rp.15.000.000</t>
  </si>
  <si>
    <t>PT Toyota Manufacturing Indonesia</t>
  </si>
  <si>
    <t>Jl. Raya Pelabuhan No. 9 Tanjung Priok Jakarta</t>
  </si>
  <si>
    <t xml:space="preserve">PT. TMMIN, Jl. Laksda Yos Sudarso Sunter II Jakarta Utara (Existing),- ,- ,- ,Indonesia ,- </t>
  </si>
  <si>
    <t xml:space="preserve">Gedung/Yard TFLI Export Cargo lt.1, Jl. Sindang Laut Cilincing Jakarta Utara,- ,- ,- ,Indonesia ,- </t>
  </si>
  <si>
    <t>ICON-00/ACT/1407/0018 </t>
  </si>
  <si>
    <t>4500009513 |4500010628 |07874/SPP/008/PUSAT/ICON+/2017 |4500011725 | 09123/SPP/008/PUSAT/ICON+/2018 | 4500011818 | 11182/SPP/008/PUSAT/ICON+/2019 | 4500013235| 13865/SPP/008/PUSAT/ICON+/2020| 4500014841 | 19116/SPP/008/PUSAT/ICON+/2022 | 4500019109</t>
  </si>
  <si>
    <t>Bakhus Salihin</t>
  </si>
  <si>
    <t>021-4301080</t>
  </si>
  <si>
    <t>B194</t>
  </si>
  <si>
    <t>B177</t>
  </si>
  <si>
    <t>C182</t>
  </si>
  <si>
    <t>D279</t>
  </si>
  <si>
    <t>F56</t>
  </si>
  <si>
    <t>1.Sewa lahan Rp261.375/meter/tahun
 2.Biaya administrasi 1,5% dari biaya sewa lahan
 3.Biaya Supervisi Rp10.000.000
 4.Jaminan Pekerjaan Rp15.000.000,-</t>
  </si>
  <si>
    <t>PT TARUNA
  BINA SARANA</t>
  </si>
  <si>
    <t>Jl. Raya Pelabuhan No. 1 Ciwandan Cilegon 42166</t>
  </si>
  <si>
    <t>Pelabuhan Banten Jl. Raya Pelabuhan No. 1 Lahan Pelindo II Cabang Banten Desa Kepuh Kec. Ciwandan Cilegon Banten 42166 (PT Taruna Bina Sarana)</t>
  </si>
  <si>
    <t>ICON-00/SOP/1412/0039</t>
  </si>
  <si>
    <t>TS.140/17/II/I/C.Btn.15 | 01274/SPR/008/PUSAT/ICON+/2016 | "216/SPP/SBU/ICON+/2023 | 4500021612
 HK.56/27/1/1/C.Btn-16 06644/SPP/008/PUSAT/ICON+/2017 07766/SPP/008/PUSAT/ICON+/2017 4500010290 | 09697/SPP/008/PUSAT/ICON+/2018 | 4500012197 4500011047|09697/SPP/008/PUSAT/ICON+/2018|4500012197 | 12200/SPP/008/PUSAT/ICON+/2019 | 4500013839+L687 | 14936/SPP/008/PUSAT/ICON+/2020 | 4500016051| 14936/SPP/008/PUSAT/ICON+/2020|4500016051 | 17565/SPP/008/PUSAT/ICON+/2021 | 4500017793</t>
  </si>
  <si>
    <t>2975/SPP/SBU/ICON+/2024</t>
  </si>
  <si>
    <t>Zahara</t>
  </si>
  <si>
    <t>0254-601417</t>
  </si>
  <si>
    <t>B270</t>
  </si>
  <si>
    <t>D85</t>
  </si>
  <si>
    <t>E47</t>
  </si>
  <si>
    <t>G184</t>
  </si>
  <si>
    <t>H318</t>
  </si>
  <si>
    <t>1. Biaya Sewa Rp85.000/m2 total untuk 80,6 m2 Rp6.851.000,-/tahun
 2. Biaya Administrasi Rp200.000,-</t>
  </si>
  <si>
    <t xml:space="preserve">Pembangkitan Jawa Bali </t>
  </si>
  <si>
    <t>PT. PJB</t>
  </si>
  <si>
    <t>Jl. Ketintang Baru 11 Surabaya 60231</t>
  </si>
  <si>
    <t>PT Pembangkitan Jawa Bali unit Pembangkitan Muara Karang</t>
  </si>
  <si>
    <t>990000320480209
 990000320504090
 990000320459007
 990000320458858
 990000320473028
 990000320515190
 990000320415205
 990000320523295
 990000320415201
 1000051535
 Ga bIsa Di Tellnet
 990000320425399
 990000320450909
 990000320480461
 990000020268103
 990000320513651
 1000005770
 1000025793
 4000027047
 1000058903</t>
  </si>
  <si>
    <t>6021016/ICON+/2016 | 11822/SPP/008/PUSAT/ICON+/2019 | 4500013506</t>
  </si>
  <si>
    <t>14483/SPP/008/PUSAT/ICON+/2020</t>
  </si>
  <si>
    <t>Farida</t>
  </si>
  <si>
    <t>0857-2923-0935</t>
  </si>
  <si>
    <t>C299</t>
  </si>
  <si>
    <t>D383</t>
  </si>
  <si>
    <t>sewa lahan untuk shelter/server room dengan ukuran 5m x 8 m =
 40m2 dengan rincian :
 3,3% x (luas Tanah x Nilai Tanah)</t>
  </si>
  <si>
    <t>Perhimpunan Penghuni Menara Batavia</t>
  </si>
  <si>
    <t>Global Digital Niaga 
 Wifiku Indonesia
 PT. ASURANSI MULTI ARTHA GUNA TBK
 PT. INDOSAT TBK</t>
  </si>
  <si>
    <t>Menara Batavia Lt. Basement 2 Jl. KH. Mas Mansyur Kav. 126 Jakarta 10220</t>
  </si>
  <si>
    <t>Menara Batavia 3rd floor Jl. KH Mas Mansyur Kav. 126 Jakarta (Bank BTPN dan PT Global Digital Niaga)- Bank Mega</t>
  </si>
  <si>
    <t>ICON-00/SOP/1603/0092
 ICON-00/ACT/1701/0980
 ICON-00/ACT/1612/0447
 ICON-00/SBC/1402/0289
 ICON-00/SBC/1402/0290
 ICON-00/SBC/1411/0063
 ICON-00/SBC/1607/0255
  ICON-00/SBC/1711/0351
 ICON-00/SBC/1703/0533</t>
  </si>
  <si>
    <t>3041216/SPR/ICON+/2016 | 08885/SPP/008/PUSAT/ICON+/2018 | 4500011701 | 4500015430 | 4500015688 | 09716/SPP/008/PUSAT/ICON+/2018 | 09716/SPP/008/PUSAT/ICON+/2018 | 4500019942 | 1422 | 4500021415</t>
  </si>
  <si>
    <t>Arief N (Building Manager)</t>
  </si>
  <si>
    <t>021-5745060</t>
  </si>
  <si>
    <t>G196</t>
  </si>
  <si>
    <t>G362</t>
  </si>
  <si>
    <t>H83</t>
  </si>
  <si>
    <t>Bukit Asam
 BANK MEGA</t>
  </si>
  <si>
    <t>Menara Kadin Jl. HR Rasuna Said Blok X-5 Kav. 2-3 Kuningan Jakarta Selatan 12950</t>
  </si>
  <si>
    <t>Menara Kadin Jl. HR Rasuna Said Blok X-5 Kav. 2-3 Kuningan Jakarta Selatan 12950 (Bank Mega)</t>
  </si>
  <si>
    <t>4500009382 |04131/AMDV/061/ICON+/2016 4500010345 |06595/SPP/008/PUSAT/ICON+/2017 | 08421/SPP/008/PUSAT/ICON+/2018 | 4500011376 | 450001268110474/SPP/008/PUSAT/ICON+/2019 | 12759/SPP/008/PUSAT/ICON+/2020 | 4500013982| 15591/SPP/008/PUSAT/ICON+/2021| 4500016070 | 18180/SPP/008/PUSAT/ICON+/2022 | 4500017867 I 100/SPP/SBU/ICON+/2023 I 4500020638</t>
  </si>
  <si>
    <t>3368/SPP/SBU/ICON+/2023</t>
  </si>
  <si>
    <t>Fitri</t>
  </si>
  <si>
    <t>021-5274201</t>
  </si>
  <si>
    <t>B72</t>
  </si>
  <si>
    <t>C74</t>
  </si>
  <si>
    <t>D37</t>
  </si>
  <si>
    <t>E54</t>
  </si>
  <si>
    <t>F133</t>
  </si>
  <si>
    <t>G133</t>
  </si>
  <si>
    <t>H245</t>
  </si>
  <si>
    <t>1. Sewa Penempatan Perangkat (Colocation) Rp23.200.000,- update tahun 2016 turun menjadi Rp19.000.000,-/tahun
 2. Biaya Supervisi Rp5.500.000,- update harga tahun 2015 naik menjadi Rp10.000.000,-/instalasi/One time charged update tahun 2016 turun menjadi Rp6.000.000,-
 3. Biaya Instalasi baru Rp5.500.000/intalasi/One time charged
 4. Jaminan pekerjaan Rp5.000.000,-</t>
  </si>
  <si>
    <t>Perhimpunan Penghuni Menara Karya</t>
  </si>
  <si>
    <t>PT Bukit Asam
 PT Bank Rakyat Indonesia</t>
  </si>
  <si>
    <t>Jl. H.R. Rasuna Said Blok X-5 Kav.1-2
Jakarta 12950</t>
  </si>
  <si>
    <t>Menara Karya lt 17 Jl HR Rasuna Said Kav 1-2 BI X-5 Kuningan Timur Setia Budi Jakarta</t>
  </si>
  <si>
    <t>ICON-00/SBC/1605/0242
 ICON-00/ACT/1703/0662</t>
  </si>
  <si>
    <t>dokumen pengadaan Bukit Asam : 4500009396 | 07681/SPP/008/PUSAT/ICON+/2017 | 4500011100
 050303/MI/004/PUSAT/ICON+/2016
 Ref.PP/220/01/LA/PKS-01/IV-2016/ICON+ | Dokumen perpanjangan Bukit asam dan BRI Setelah digabung : 07681/SPP/008/PUSAT/ICON+/2017 4500011100 | 09735/SPP/008/PUSAT/ICON+/2018 | 4500012234 | 12187/SPP/008/PUSAT/ICON+/2019 | 4500013876|14848/SPP/008/PUSAT/ICON+/2020| 4500015689</t>
  </si>
  <si>
    <t>17499/SPP/008/PUSAT/ICON+/2021</t>
  </si>
  <si>
    <t>Debby</t>
  </si>
  <si>
    <t>021-5794 4488</t>
  </si>
  <si>
    <t>153 (2018)</t>
  </si>
  <si>
    <t>B289 (2019)</t>
  </si>
  <si>
    <t>D123</t>
  </si>
  <si>
    <t>E75</t>
  </si>
  <si>
    <t>F59</t>
  </si>
  <si>
    <t>Biaya sewa sebesar 50.000.000/Tahun</t>
  </si>
  <si>
    <t>Persatuan Penghuni 
 Perkantoran Plaza</t>
  </si>
  <si>
    <t>PT ORBIT TERMINAL MERAK</t>
  </si>
  <si>
    <t>Gedung Plaza Asia Jl.Jend Sudirman kav 59 Jakarta 12190</t>
  </si>
  <si>
    <t>Plaza Asia, lt.20, jl. Jendral Sudirman Kav.59, Senayan, kebayoran Baru.Jakarta Selatan 12190</t>
  </si>
  <si>
    <t>ICON-00/ACT/1710/0051</t>
  </si>
  <si>
    <t>07928/SPP/008/PUSAT/ICON+/2018 4500011125 | 09741/SPP/008/PUSAT/ICON+/2018 | 4500012232 | 15663/SPP/008/PUSAT/ICON+/2021 | 14849/SPP/008/PUSAT/ICON+/2020</t>
  </si>
  <si>
    <t>Gita</t>
  </si>
  <si>
    <t>E45</t>
  </si>
  <si>
    <t>F208</t>
  </si>
  <si>
    <t>1.Biaya sewa di Plaza Asia 15.000.000 2.PKB 13.300.622</t>
  </si>
  <si>
    <t>Jl. Prof. Dr. Satrio Jakarta 12940 Indonesia</t>
  </si>
  <si>
    <t>ITC Kuningan Jl. Prof. Dr. Satrio Jakarta 12940 Indonesia (Basement 1 PT Trans Retail Indonesia/Carrefour)</t>
  </si>
  <si>
    <t>ICON-00/SOP/1404/0002</t>
  </si>
  <si>
    <t>4500009874 | 07339/SPP/008/PUSAT/ICON+/2017 | 4500010735 | 09004/SPP/008/PUSAT/ICON+/2018 | 4500011745 | 11534/SPP/008/PUSAT/ICON+/2019 |  4500013217 | 14171/SPP/008/PUSAT/ICON+/2020 | 4500015143</t>
  </si>
  <si>
    <t>4500019069</t>
  </si>
  <si>
    <t>Nova</t>
  </si>
  <si>
    <t>021-5766688 Ext. 134</t>
  </si>
  <si>
    <t>C189</t>
  </si>
  <si>
    <t>C178</t>
  </si>
  <si>
    <t>D283</t>
  </si>
  <si>
    <t>F355</t>
  </si>
  <si>
    <t>Mall Ambasador Jl. Prof. Dr. Satrio Lt. 5 Blok 9C Setiabudi Jakarta Selatan (PT Bank Sinarmas SO No. ICON-00/ACT/1609/0269)</t>
  </si>
  <si>
    <t>012719/MI/004/PUSAT/ICON+/2017 07840/SPP/008/PUSAT/ICON+/2017 4500011111
 2970117/SPR/ICON+/2017
 013116/MI/004/PUSAT/ICON+/2017 | 10018/SPP/008/PUSAT/ICON+/2019 | 4500012434
 003 / PM - AB/ II / 2017 | 12568/SPP/008/PUSAT/ICON+/2020 | 4500013901| 15225/SPP/008/PUSAT/ICON+/2021| 4500015748 | 17860/SPP/008/PUSAT/ICON+/2022 | 4500017625 | 21209 | 4500020094</t>
  </si>
  <si>
    <t>2523</t>
  </si>
  <si>
    <t>4500022206</t>
  </si>
  <si>
    <t>Rosida</t>
  </si>
  <si>
    <t>B189</t>
  </si>
  <si>
    <t>C18</t>
  </si>
  <si>
    <t>D36</t>
  </si>
  <si>
    <t>E212</t>
  </si>
  <si>
    <t>F57</t>
  </si>
  <si>
    <t>G61</t>
  </si>
  <si>
    <t>H105</t>
  </si>
  <si>
    <t>Jl. Margonda Raya No. 56 Pancoran Mas Depok 16431</t>
  </si>
  <si>
    <t>DC Menara Bank Mega &amp; DRC Bank Mega Bogor</t>
  </si>
  <si>
    <t>ITC Depok Jl. Margonda Raya No. 56 Depok 16431</t>
  </si>
  <si>
    <t>07672/SPP/008/PUSAT/ICON+/2017 | 4500010975 | 09467/SPP/008/PUSAT/ICON+/2018 | 4500012015 | 12455/SPP/008/PUSAT/ICON+/2019 | 4500013766 | 15091/SPP/008/PUSAT/ICON+/2021 | 4500015663 | 4500017487 | 20991 | 4500019867</t>
  </si>
  <si>
    <t>Tyaz Dewi</t>
  </si>
  <si>
    <t>021-7775333</t>
  </si>
  <si>
    <t>B276</t>
  </si>
  <si>
    <t>D21</t>
  </si>
  <si>
    <t>E124</t>
  </si>
  <si>
    <t>F21</t>
  </si>
  <si>
    <t>G34</t>
  </si>
  <si>
    <t>H61</t>
  </si>
  <si>
    <t>deposite sewa sebesar 1.000.000</t>
  </si>
  <si>
    <t>ITC Depok Jl. Margonda Raya No. 56 Pancoran Mas Depok 16431 (dr ruko ke PT Trans Retail Indonesia/Carrefour))</t>
  </si>
  <si>
    <t>4500009673 |Addendum Pertama No. 010-A/PKS/PZN-ICON/ITC-Depok/IX/2016 | 07229/SPP/008/PUSAT/ICON+/2017 |4500010670 | 08661/SPP/008/PUSAT/ICON+/2018 | 4500011540 |11337/SPP/008/PUSAT/ICON+/2019 | 4500013193 | 14001/SPP/008/PUSAT/ICON+/2020 | 4500014892| 16291/SPP/008/PUSAT/ICON+/2021 | 4500016497</t>
  </si>
  <si>
    <t>19776/SPP/008/PUSAT/ICON+/2022</t>
  </si>
  <si>
    <t>B100</t>
  </si>
  <si>
    <t>C184</t>
  </si>
  <si>
    <t>D182</t>
  </si>
  <si>
    <t>E196</t>
  </si>
  <si>
    <t>F356</t>
  </si>
  <si>
    <t>1. Sewa Shaft Kabel Rp62.000/mtr
 2. Jaminan Sewa Rp2.000.000
 3. Jaminan Renovasi Rp1.500.000,-
 4. Biaya Supervisi 3 hari Rp547.500</t>
  </si>
  <si>
    <t>PT. OTO Multiartha</t>
  </si>
  <si>
    <t>(OTO Depok) Ruko ITC Depok No. 40 &amp; 41, Jl. Margonda Raya</t>
  </si>
  <si>
    <t>PA/ACT/2304/1755/TER</t>
  </si>
  <si>
    <t>936/SPP/SBU/ICON+/2023 | 4500021037</t>
  </si>
  <si>
    <t>4293/SPP/SBU/PLNICONPLUS/2024</t>
  </si>
  <si>
    <t>Puji</t>
  </si>
  <si>
    <t>+62 878-8300-0201</t>
  </si>
  <si>
    <t>G156</t>
  </si>
  <si>
    <t>H378</t>
  </si>
  <si>
    <t>1.Biaya Sewa @ 1 tahun  Rp.22.680.000</t>
  </si>
  <si>
    <t>PT. SMART MULTI FINANCE</t>
  </si>
  <si>
    <t>PERTOKOAN ITC DEPOK NO. 48 JL. MARGONDA RAYA NO. 56 DESA DEPOK KEC. PANCORAN MAS KAB. DEPOK JAWA BARAT.</t>
  </si>
  <si>
    <t>R111401000262
A821401000624
A821401000625
A821401000625
A821401000625</t>
  </si>
  <si>
    <t>1938/SPP/SBU/ICON+/2023</t>
  </si>
  <si>
    <t>G301</t>
  </si>
  <si>
    <t>1.Sewa Lahan Sebesar Rp.9.000.000</t>
  </si>
  <si>
    <t xml:space="preserve">Plaza Adika Lestari </t>
  </si>
  <si>
    <t>Gedung Graha Atrium Lt.2 Jl. Senen Raya No. 35 Jakarta Pusat 10410</t>
  </si>
  <si>
    <t>Lahan Segitiga Senen/Plaza Atrium/Ruko Atrium Jakarta Pusat Unit 0010-AT (Bank Mega Kompl. Pertokoan Segitiga Senen Blok C.8 Jl. Senen Raya No.135 Jakarta 10140)</t>
  </si>
  <si>
    <t>ICON-00/ACT/1310/0150</t>
  </si>
  <si>
    <t>4500009709
 092731/MI/004/PUSAT/ICON+/2016
 0336/PAL/RK-PSM/IX/2016 07269/SPP/008/PUSAT/ICON+/2017 4500010694 | 08669/SPP/008/PUSAT/ICON+/2018 | 4500011543 | 11641/SPP/008/PUSAT/ICON+/2019 | 4500013291| 16791/SPP/008/PUSAT/ICON+/2021 | 4500017280</t>
  </si>
  <si>
    <t>Retta</t>
  </si>
  <si>
    <t>3853985 ext.554</t>
  </si>
  <si>
    <t>B85</t>
  </si>
  <si>
    <t>C197</t>
  </si>
  <si>
    <t>E414</t>
  </si>
  <si>
    <t>F344</t>
  </si>
  <si>
    <t>1. Sewa Pemasangan Jaringan Telekomunikasi - Kabel Fiber Optik Bank Mega Rp12.250.000/Tarikan Kabel/Tahun (update harga terbaru untuk tahun 2016 Rp15.600.000/tarikan kabel/ Tahun)
 2.Biaya Supervisi Rp150.000/One Time Charged jika diluar jam kerja Rp300.000
 3. Jaminan sewa senilai 3 bulan masa sewa
 4. Jaminan Kerja Rp2.000.000,-</t>
  </si>
  <si>
    <t>Lahan Segitiga Senen/Plaza Atrium/Ruko Atrium Jakarta Pusat-Area Luar Plaza Atrium Lt. Basement 1 Komplek Ruko Atrium Blok A dan C Menuju Ruko Atrium Blok E No. 12-13 Unit 0008-AT (Kantor BCA)</t>
  </si>
  <si>
    <t>4500009360
 0635/PAL/PA-PSM/XI/15 | 06775/SPP/008/PUSAT/ICON+/2017
 051920/MI/004/PUSAT/ICON+/2016 | 4500010412 | 09900/SPP/008/PUSAT/ICON+/2018 | 4500012326| 15160/SPP/008/PUSAT/ICON+/2021| 4500015760 | 18234/SPP/008/PUSAT/ICON+/2022 | 4500017899</t>
  </si>
  <si>
    <t>21055/SPP/008/PUSAT/ICON+/2023</t>
  </si>
  <si>
    <t>021-3853985 ext.554</t>
  </si>
  <si>
    <t>B252</t>
  </si>
  <si>
    <t>E215</t>
  </si>
  <si>
    <t>F241</t>
  </si>
  <si>
    <t>G48</t>
  </si>
  <si>
    <t>1.Sewa Pemasangan Jaringan Telekomunikasi - Kabel Fiber Optik Bank Central Asia Rp13.000.000/Tarikan Kabel/Tahun
 2. Biaya Supervisi Rp150.000/One Time Charged jika diluar jam kerja Rp300.000,-
 3. Jaminan Sewa senilai 3 bulan masa sewa update tahun 2014 selain ada jaminan sewa terdapat pula jaminan kerja Rp2.000.000,-</t>
  </si>
  <si>
    <t>PT. APLIKANUSA LINTASARTA qq PT Anugerah Pharmindo Lestari</t>
  </si>
  <si>
    <t>PT Anugerah Pharmindo Lestari, Tower 10th Floor Cowell Tower, Jl. Senen Raya No.135, Senen, -, Jakarta Pusat, DKI Jakarta, Indonesia, 10410</t>
  </si>
  <si>
    <t>PA/ACT/2109/2089/TER</t>
  </si>
  <si>
    <t>17160/SPP/008/PUSAT/ICON+/2021</t>
  </si>
  <si>
    <t>Erika</t>
  </si>
  <si>
    <t>E337</t>
  </si>
  <si>
    <t>1.Sewa Fiber optik tahun pertama dan kedua Rp.10.000.000,- | tahun ketiga Rp.13.000.000.-</t>
  </si>
  <si>
    <t>PLN (Persero) Dist JAYA AP Bandengan</t>
  </si>
  <si>
    <t>01000172327 Metro P2MP PT. Kereta Commuter Indonesia Stasiun Kampung Bandan - Ancol
01000116273 PEMPROV DKI
01000131105_ Kereta Api Logistik
01000142253-Hipernet-Puskemas.Kec.Sawah.Besar
01000116179_Kelurahan Mangga Besar [01000140192]
01000051867 Altra Multi Sandang Toko 3 Sakura Jakarta
01000116285 PEMPROV DKI KEL TANGKI
01000142273-Hipernet-Puskemas.Kec.Taman.Sari
01000078389_04000078391_BCA_Mall_Serpong</t>
  </si>
  <si>
    <t>Jl Bandengan Utara No.79</t>
  </si>
  <si>
    <t>Jl Bandengan Utara Raya No. 79 Kel. Penjaringan Kec. Penjaringan Jakarta Utara.</t>
  </si>
  <si>
    <t>18672/SPP/008/PUSAT/ICON+/2022</t>
  </si>
  <si>
    <t>F167</t>
  </si>
  <si>
    <t>1.Sewa Lahan Rp.75.590.640</t>
  </si>
  <si>
    <t>PLN (Persero) Dist JAYA AP Bulungan</t>
  </si>
  <si>
    <t xml:space="preserve"> 01000042003_MVP_Kby_Baru 
 01000044050_PEMPROV.DKI Kec Kebayoran Baru 
 01000134602 _ESDM PUSDATIN 
 01000154023_PERTAMINA_BINA.MEDIKA 
 543100023592-Achmad chaerul 
 543100024504_ Ir.Denny.Pranoto 
 01000190604-Cyberindo Aditama 
 Kel.Gunung_01000116511 
 01000154031_ Petamina Bina Medika 
 543104219709 Pandu Perkasa 
 543105592681-MUHAMMAD JAUHADI 
 01000015426_Metro_Gemilang_Sarana_Mandiri 
 01000139805-Kel.Kramat.Pela 
 04000142386-Rumah DIRUT PLN(backup) 
 01000154095 IPVPN PT Bank Syariah Indonesia BSI KCP Jakarta 
 543105224822 - Jiddan Alfriandi 
 543101199501-RIO OCTOGI SIREGAR 
 04000176196 Internet Yayasan Baitul Maal PLN Pusat Jl. Gandaria II no 13 
 04000183960 IBBC 100Mbps 
 01000069034_IPVPN_PLNBATAM 
 01000116503 PemprovDKI KEL Gandaria Selatan 
 01000125642_BRIS 
 04000090344_Taman_Sambas 
 01000116871.PEMPROV.DKI-Kel.Kebayoran Baru 
 01000151485_Astra.D215 
 543103668297 Dadan Supriyatna 
 543101107713-Fauzi Setyaji 
 543100811336-Muhammad Arif Budiman 
 04000030216 _Adi _Sarana Armada 
 04000131357_Tanah_Kusir_II 
 543104436771-Zulfikar 
 01000163149 PT. CYBERINDO ADITAMA Smartfren QQ SGMW Sales Indonesia 
 01000003481_IPVPN_PRODIA.ARTERI 
 01000163892_JL.MADRASAH 
 01000139801_Kel.Kebayoran.Lama.Utara 
 04000180062 Internet Corporate PT. Koka Indonesia 
 04000178815 Internet PT Dekoruma Niaga Sejahtera 
 543105499777-Rizka Mardha 
 543104568468-Andjar Pramudiya 
 04000027675_Lotte_Fatmawati 
 01000140678-Kec Kebayoran Lama 
 01000049492_Mitra Visioner Pratama 
 01000051254_BTN_Gandaria 
 01000050160_Lotte_Fatmawati 
 01000073048_Jala_Lintas_Gandaria 
 01000116457_kel.Cilandak 
 01000140061-Hipernet.Puskesmas.Kec.Kebayoran.Lama 
 543103817127-Harry.S. 
 0990000320520108 IPVPN MITRA VISIONER PRATAMA 
 04000013099_Sumber_Sarana_era_abadi_Jl.Ciputat 
 01000049903 Metro Kosmetika Tama Super Indah 
 Djoko R Abumanan_535596310546 
 543100579030_Bobby rashid 
 01000117403 Kel Pondok Pinang 
01000114483 BCA
543104556195-Iwan Tirtha
04000160720_Internet_Rumah_DIRAGA
543101730258-Deni Salim
04000160806 Internet PLN Kantor Pusat Rumah Dinas Direksi PLN BPK Syamsul Huda Link Backup
04000188757 Internet Corporate PT. PLN (PERSERO) KANTOR PUSAT
01000163903 Metro P2MP PT.XL AXIATA MUHI.12
01000163904 Metro P2MP PT.XL AXIATA MUHI.8
543100336111-Muhammad agil
543100471441-Wina Aprianti
543105735968-Toni.Istanto</t>
  </si>
  <si>
    <t>Jl.Sisingamangaraja No. 1</t>
  </si>
  <si>
    <t>Jl Sisingamangaraja No. 1 Kel. Gunung, Kec. Kebayoran Baru, Jakarta Selatan.</t>
  </si>
  <si>
    <t>F168</t>
  </si>
  <si>
    <t>1.Sewa Lahan Rp.93.555.000</t>
  </si>
  <si>
    <t>Jl. Pajajaran Lippo Cikarang Bekasi 17550</t>
  </si>
  <si>
    <t>Apartemen Crown Court Lippo Cikarang</t>
  </si>
  <si>
    <t>07371/SPP/008/PUSAT/ICON+/2017 4500010778 | 09082/SPP/008/PUSAT/ICON+/2018 | 4500011792 | 11769/SPP/008/PUSAT/ICON+/2019 | 4500013482 | 14093/SPP/008/PUSAT/ICON+/2020 | 4500015007| 16511/SPP/008/PUSAT/ICON+/2021|4500016708 | 19627/SPP/008/PUSAT/ICON+/2022 | 4500018953</t>
  </si>
  <si>
    <t>1410/SPP/SBU/ICON+/2023</t>
  </si>
  <si>
    <t>B176</t>
  </si>
  <si>
    <t>C301</t>
  </si>
  <si>
    <t>D196</t>
  </si>
  <si>
    <t>E298</t>
  </si>
  <si>
    <t>F342</t>
  </si>
  <si>
    <t>G350</t>
  </si>
  <si>
    <t>Sewa Penempatan perangkat sebesar Rp.25.080.000</t>
  </si>
  <si>
    <t xml:space="preserve">Praja Puri Indah Real Estate </t>
  </si>
  <si>
    <t>Gedung Pusat Grosir Pasar Pagi Mangga Dua Lt.7 Blok D Jl. Arteri Mangga Dua Raya Jakarta Utara 14430 Indonesia</t>
  </si>
  <si>
    <t>Bank BCA lantai III blok D 004 dari lantai dasar gedung Pasar Pagi Mangga dua</t>
  </si>
  <si>
    <t>04279_MI_dan_033013_SPR_Pmbyrn_Sewa_Shaft_di_PT_Praja_Puri_Indah (4) |07870/SPP/008/PUSAT/ICON+/2017 | 4500011129|4500011395|08472/SPP/008/PUSAT/ICON+/2018 | 10109/SPP/008/PUSAT/ICON+/2019 | 4500012435 | 4500014887| 15563/SPP/008/PUSAT/ICON+/2021| 4500017357</t>
  </si>
  <si>
    <t xml:space="preserve">18315/SPP/008/PUSAT/ICON+/2022        </t>
  </si>
  <si>
    <t>Hardjono Gunawan</t>
  </si>
  <si>
    <t>021-6004840
 021-6599450</t>
  </si>
  <si>
    <t>B7</t>
  </si>
  <si>
    <t>B103</t>
  </si>
  <si>
    <t>C26</t>
  </si>
  <si>
    <t>D181</t>
  </si>
  <si>
    <t>E387</t>
  </si>
  <si>
    <t>F140</t>
  </si>
  <si>
    <t>PT TELINDO NUSANTARA</t>
  </si>
  <si>
    <t>Gedung Pusat Grosir Pasar Pagi Mangga Dua (PT Bank Agris di Lt. 2 Blok KA No. 003 dr lt dasar Gedung Pelanggan PT Telindo Nusantara SO No. ICON-00/ACT/1611/0760)</t>
  </si>
  <si>
    <t>ICON-00/SBC/1710/0976</t>
  </si>
  <si>
    <t>0470317/SPR/008/PUSAT/ICON+/2017 |345/eks-psm/leg-ppi/II/2017 | 07945/SPP/008/PUSAT/ICON+/2018 | 4500011159 | 10050/SPP/008/PUSAT/ICON+/2019 | 4500012389</t>
  </si>
  <si>
    <t>12702/SPP/008/PUSAT/ICON+/2020</t>
  </si>
  <si>
    <t>B24</t>
  </si>
  <si>
    <t>C7</t>
  </si>
  <si>
    <t>D269</t>
  </si>
  <si>
    <t>PT Bank Multiarta Sentosa</t>
  </si>
  <si>
    <t>Gedung Pusat Grosir Pasar Pagi Mangga Dua (PT Bank Multiarta Sentosa di Lt. 2 Blok KA No. 004 dr lt dasar Gedung SONo. ICON-00/ACT/1610/0187)</t>
  </si>
  <si>
    <t>ICON-00/SBC/1711/0434</t>
  </si>
  <si>
    <t>0910217/SPR/008/PUSAT/ICON+/2017 
 345/eks-psm/leg-ppi/II/2017 | 07942/SPP/008/PUSAT/ICON+/2018 | 4500011160</t>
  </si>
  <si>
    <t>10036/SPP/008/PUSAT/ICON+/2019</t>
  </si>
  <si>
    <t>B25</t>
  </si>
  <si>
    <t>B286</t>
  </si>
  <si>
    <t>PT Bank Mandiri Tbk</t>
  </si>
  <si>
    <t>Pasar Pagi Mangga Dua, Gedung Pusat Perdagangan Grosir Mangga Dua Blok Ka No.12A-14Jl. Mangga Dua Raya, RT.11/RW.5, Kota Tua, Jakarta Utara, DKI Jakarta,</t>
  </si>
  <si>
    <t>09457/SPP/008/PUSAT/ICON+/2018 | 4500012016 | 11863/SPP/008/PUSAT/ICON+/2019| 4500013484 | 14052/SPP/008/PUSAT/ICON+/2020 | 4500014924</t>
  </si>
  <si>
    <t>C219</t>
  </si>
  <si>
    <t>D188</t>
  </si>
  <si>
    <t>E402</t>
  </si>
  <si>
    <t>1.Biaya PKB Rp.7.759.434,- 2.Biaya Sewa Tahunan Rp.6.363.636,-</t>
  </si>
  <si>
    <t xml:space="preserve">Prima Wira Utama </t>
  </si>
  <si>
    <t>PT LINK NET</t>
  </si>
  <si>
    <t>BeritaSatu Plaza Lt Sub Ground Jl. Jend. Gatot Subroto Kav 35-36
Jakarta 12950 atau
Lippo Cyber Park
Jl. Boulevard Gajah Mada No.B2058 Lippo Karawaci – Tangerang 15811</t>
  </si>
  <si>
    <t>Berita Satu Plaza (Gedung parkir,lantai SG ke lantai 3) (4 lantai)
  Jl. Jend. Gatot Subroto Kav. 35-36
  Jakarta 12950</t>
  </si>
  <si>
    <t>ICON-00/SOP/1310/0022</t>
  </si>
  <si>
    <t>4500009742 |07297/SPP/008/PUSAT/ICON+/2017 | 4500010695 | 08930/SPP/008/PUSAT/ICON+/2018 | 4500011699 | 4500013232</t>
  </si>
  <si>
    <t>14142/SPP/008/PUSAT/ICON+/2020</t>
  </si>
  <si>
    <t>4500015116</t>
  </si>
  <si>
    <t>Harmon Surya beralih ke 
 Mela Hera beralih ke Tiffany</t>
  </si>
  <si>
    <t>021-5200202
 021-557933253</t>
  </si>
  <si>
    <t>B153</t>
  </si>
  <si>
    <t>C190</t>
  </si>
  <si>
    <t>D332</t>
  </si>
  <si>
    <t>1. Sewa Shaft Kabel untuk Area Parkir Rp500.000/bulan update tahun 2016 Rp20.700.000,-/tahun
 2. Sewa Shaft Perlantai Rp250.000/lantai/bulan update tahun 2016 Rp20.700.000,-/tahun
 3. Jaminan Pekerjaan Rp5.000.000,-
 4. Jaminan Sewa Rp3.000.000</t>
  </si>
  <si>
    <t>BeritaSatu Plaza Lt 7 Jl. Jend. Gatot Subroto Kav 35-36 Jakarta 12950</t>
  </si>
  <si>
    <t>Lahan Indoor Mega Mall Pluit/Pluit Village Mall Jl. Pluit Indah No. 1
 Pluit Jakarta Utara, 14450 (Trans Retail Indonesia)</t>
  </si>
  <si>
    <t>4500009743 |07316/SPP/008/PUSAT/ICON+/2017 | 4500010769 | 09032/SPP/008/PUSAT/ICON+/2018 | 4500011747 | 11385/SPP/008/PUSAT/ICON+/2019 | 4500013233 | 450001512214141/SPP/008/PUSAT/ICON+/2020</t>
  </si>
  <si>
    <t>16195/SPP/008/PUSAT/ICON+/2021</t>
  </si>
  <si>
    <t>4500016473</t>
  </si>
  <si>
    <t>Tiffany (Prima Wira Utama PT)</t>
  </si>
  <si>
    <t>021-557933253 (PT Prima Wira Utama)</t>
  </si>
  <si>
    <t>B188</t>
  </si>
  <si>
    <t>C191</t>
  </si>
  <si>
    <t>D337</t>
  </si>
  <si>
    <t>E193</t>
  </si>
  <si>
    <t>1. Sewa Shaft Rp16.675.000,-/tahun dengan PT Prima Wira Utama indoor mall
 2. Jaminan Indoor Rp10.000.000,- dengan PPRS CBD Pluit dengan rincian :
 a. &lt; 100 m2 = Rp2.500.000,-
 b. 101 - 250 m2 = Rp5.000.000,-
 c. 251 - 500 m2 = Rp7.500.000,-
 d. &gt; 501 m2 = Rp15.000/m2 maks Rp50.000.000,-
 3.Jaminan Outdoor Rp5.000.000,- dengan PT Multi Nusantara Karya Lahan outdoor mall
 4. Ijin OTC Rp2.756.000,- dengan PT Multi Nusantara Karya Lahan outdoor mall</t>
  </si>
  <si>
    <t>Princeton Digital Group Data Centre</t>
  </si>
  <si>
    <t>PT. LIMA MENARA BINTANG qq Detasemen Khusus 88</t>
  </si>
  <si>
    <t>Jl.Prof Satrio Kav 3-5 Jakarta Selatan 12940</t>
  </si>
  <si>
    <t>DC XL Cibitung, Jl. Sumbawa Blok AB No. 1, Mekarwangi,  Cikarang Barat,  Bekasi,  Jawa Barat,  Indonesia,  17530</t>
  </si>
  <si>
    <t>17629/SPP/008/PUSAT/ICON+/2022</t>
  </si>
  <si>
    <t>F25</t>
  </si>
  <si>
    <t xml:space="preserve">1.Sewa MRC Tahun 1 Rp.42.000.000		
2.Sewa MRC Tahun 2 dan  3 Rp. 81.000.000 
3. Cross Connect 2 Unit Tahun ke 1 Rp.21.000.000	</t>
  </si>
  <si>
    <t xml:space="preserve"> Akses Prima Indonesia</t>
  </si>
  <si>
    <t>PT Bank Mandiri (Persero) Tbk</t>
  </si>
  <si>
    <t>Menara MTH 11 Th Floor Jl. Letjen M.T haryono Kav 23 Jakarta 12820</t>
  </si>
  <si>
    <t>13319 Bogor Sentul City, Jl. MH Thamrin Kav. 8 Sentul City Bogor,  Kec. Babakan Madang,  Kabupaten Bogor,  Jawa Barat,  Indonesia,  16810</t>
  </si>
  <si>
    <t>PA/ACT/2206/16523</t>
  </si>
  <si>
    <t>01000283859</t>
  </si>
  <si>
    <t>937/SPP/SBU/ICON+/2023</t>
  </si>
  <si>
    <t>Fauziah</t>
  </si>
  <si>
    <t>0813-6246-8039</t>
  </si>
  <si>
    <t>Konfirmasi Harga Sewa ke Rekanan Akses Prima</t>
  </si>
  <si>
    <t>3936/SPP/SBU/PLNICONPLUS/2024</t>
  </si>
  <si>
    <t>H271</t>
  </si>
  <si>
    <t>Menara Thamrin Lt. 19 Jl. MH Thamrin Kav. 3 Jakarta Pusat</t>
  </si>
  <si>
    <t xml:space="preserve">PT Permodalan Nasional Madani, DC Lintasarta TB Simatupang Jakarta Selatan </t>
  </si>
  <si>
    <t>AR/DOW/1804/0075</t>
  </si>
  <si>
    <t>PT Indosat</t>
  </si>
  <si>
    <t>Lintasarta Building , Jl.TB Simatupang Kav 10. Jakarta Selatan 12430</t>
  </si>
  <si>
    <t xml:space="preserve">Lintasarta Tb Simatupang,- ,- ,- ,Indonesia ,- </t>
  </si>
  <si>
    <t xml:space="preserve"> Komatsu Jl Raya Cakung Cilincing Jakarta Utara ,- ,- ,- ,Indonesia </t>
  </si>
  <si>
    <t xml:space="preserve">ICON-00/SBC/1707/0137 </t>
  </si>
  <si>
    <t>0990000320511772</t>
  </si>
  <si>
    <t>4 Mbps</t>
  </si>
  <si>
    <t>PT Trakindo Utama</t>
  </si>
  <si>
    <t>[BSD Java Office] Kavling Komersial Taman Tekno, Blok B no. 1 Sektor XI, BSD City, Tangerang Selatan, Banten, Indonesia, 15317</t>
  </si>
  <si>
    <t>PA/ACT/2209/2584/TER</t>
  </si>
  <si>
    <t>04000310259</t>
  </si>
  <si>
    <t>4500019013 | 19992/SPP/008/PUSAT/ICON+/2022</t>
  </si>
  <si>
    <t>1903/SPP/SBU/ICON+/2024</t>
  </si>
  <si>
    <t>Ilham</t>
  </si>
  <si>
    <t>0823-6997-0039</t>
  </si>
  <si>
    <t>G424</t>
  </si>
  <si>
    <t>Kementrerian ESDM</t>
  </si>
  <si>
    <t>'Backhaul ESDM Pusdatin - ICON+ Gandul Jl. Damai No. 100,  -,  Kota Depok,  Jawa Barat,  Indonesia</t>
  </si>
  <si>
    <t xml:space="preserve">Lintasarta Technopark Data Center - Komplek Pergudangan Taman Tekno Blok D, BSD, Setu,    Kec. Setu Kota Tanggerang Selatan,  -,  Kota Tangerang Selatan, </t>
  </si>
  <si>
    <t>01000169892</t>
  </si>
  <si>
    <t>Metro QinQ</t>
  </si>
  <si>
    <t>4500019240|20258/SPP/008/PUSAT/ICON+/2022</t>
  </si>
  <si>
    <t>3092/SPP/SBU/PLNICONPLUS/2024</t>
  </si>
  <si>
    <t>PT Shenhua Guohua Pembangkit Jawa Bali</t>
  </si>
  <si>
    <t>Proyek PLTU Terate Bojonegara Samping Jababeka, Jl. Bojonegara-Serdang, Bojonegara, Serang, Banten 42454 (Pindah Jalur Tiang Listrik)</t>
  </si>
  <si>
    <t>APL Office Tower Central Park, Lt.39, Unit T1 Jl. Letjen S. Parman, Kav.28 Jakarta Barat</t>
  </si>
  <si>
    <t>0990000320516390</t>
  </si>
  <si>
    <t xml:space="preserve">PLAZA SINARMAS JL. FACHRUDIN 18 LT.6 JAKARTA PUSAT 10250,  -,  Jakarta Pusat,  DKI Jakarta,  Indonesia, </t>
  </si>
  <si>
    <t xml:space="preserve">DC BEPS - Lintasarta Pusat Data Stasiun Bumi Indosat Jl. Lurah Kawi Jatiluhur, Purwakarta, Jawa Barat 41152,- ,- ,- ,Indonesia ,- </t>
  </si>
  <si>
    <t>ICON-99/SBC/1811/0007</t>
  </si>
  <si>
    <t>0990000320395523</t>
  </si>
  <si>
    <t xml:space="preserve">678/SPP/SBU/ICON+/2023 | 4500020866 </t>
  </si>
  <si>
    <t>2906/SPP/SBU/ICON+/2024</t>
  </si>
  <si>
    <t xml:space="preserve">Arka Data Primatama </t>
  </si>
  <si>
    <t>Central Sentosa Finance</t>
  </si>
  <si>
    <t>Sudah proses perpanjangan dan naik iSPP</t>
  </si>
  <si>
    <t>990000320500640</t>
  </si>
  <si>
    <t>Jl. Jend.Sudirman 52-53</t>
  </si>
  <si>
    <t>Jl. Gatot Subroto Menara Global Kav.27 Lt.21 Jakarta Selatan</t>
  </si>
  <si>
    <t>PA/UPG/1902/0043</t>
  </si>
  <si>
    <t>990000320455734</t>
  </si>
  <si>
    <t>Kantor Pusat - Jalan Asia Afrika 115 Bandung, Indonesia, Sumur Bandung, BANDUNG, Jawa Barat, Indonesia</t>
  </si>
  <si>
    <t>KCP SCBD - Revenue Tower Lt. 6, Lot 13 District 8, Jl. Jend. Sudirman Kav. 52-53, Senayan, Jakarta
Selatan, DKI Jakarta, Indonesia, 12190</t>
  </si>
  <si>
    <t>PA/ACT/2209/4092</t>
  </si>
  <si>
    <t>01000312142</t>
  </si>
  <si>
    <t>Arthamas Cipta</t>
  </si>
  <si>
    <t>Jl Jend Sudirman No.1, Babakan Tangerang 15118</t>
  </si>
  <si>
    <t>Ruko Bussiness Park Tangerang City Blok A No.6 RT.005/RW.005 Babakan, Kec Tangerang Kota Tangerang Banten 15118</t>
  </si>
  <si>
    <t>PA/ACT/2301/0826</t>
  </si>
  <si>
    <t>04000334576</t>
  </si>
  <si>
    <t>1547/SPP/SBU/ICON+/2023</t>
  </si>
  <si>
    <t xml:space="preserve">BIT Teknologi Nusantara </t>
  </si>
  <si>
    <t>PT Serasi Autoraya (MMR - Cyber)</t>
  </si>
  <si>
    <t>Komp. Rukan Permata Senayan Blok C1 Jl. Tentara Pelajar Kebayoran Lama, Jakarta Selatan 12210</t>
  </si>
  <si>
    <t>Backhaul jalan Mitra Sunter Boulevard Blok C2 Kav 9 Sunter Jaya Jakarta Utara</t>
  </si>
  <si>
    <t>Menara Astra lt 12 Jl Jend Sudirman no 5-6 Karet Tengsin Jakarta Pusat</t>
  </si>
  <si>
    <t>'01000064805</t>
  </si>
  <si>
    <t>PT Serasi Autoraya (MMR - Tenant)</t>
  </si>
  <si>
    <t>Astra international Tbk</t>
  </si>
  <si>
    <t>pt. astra international Gd. Amdi A Jl. Gaya motor raya no.8 sunter II (Backhaul), Indonesia</t>
  </si>
  <si>
    <t>T152 - TSO sudirman menara astra, gedung astra tower, lt 01-02, jl. Jend. Sudirman Kav 5-6, sudirman jakarta pusat</t>
  </si>
  <si>
    <t>PA/UPG/2209/0126</t>
  </si>
  <si>
    <t>'01000045514</t>
  </si>
  <si>
    <t>4500019005|20018/SPP/008/PUSAT/ICON+/2022</t>
  </si>
  <si>
    <t>1602/SPP/SBU/ICON+/2023</t>
  </si>
  <si>
    <t>Fenny</t>
  </si>
  <si>
    <t>0838-7383-8967</t>
  </si>
  <si>
    <t xml:space="preserve">Upgrade MMR - Tenant </t>
  </si>
  <si>
    <t>PT Data Sinergitama Jaya QQ Prima Sarana Jaya</t>
  </si>
  <si>
    <t>APJII - BIT, Jl. Kuningan Barat Raya No.8, RT.1/RW.3, Kuningan Barat, Kec. Mampang Prapatan, Jakarta Selatan</t>
  </si>
  <si>
    <t>PT Prima Sarana Jaya - AD Premier Office Park, Jl. TB Simatupang No.5, RW.7, Ragunan, Kec. Pasar Minggu, Jakarta Selatan</t>
  </si>
  <si>
    <t xml:space="preserve">AL/2203/70050 </t>
  </si>
  <si>
    <t>01000104273</t>
  </si>
  <si>
    <t>25 mbps</t>
  </si>
  <si>
    <t>DEACTIVASI per 15 Februari 2024</t>
  </si>
  <si>
    <t>PT Astra International Tbk</t>
  </si>
  <si>
    <t>L002, LSO - Showcase, Menara Astra 1st Floor, Jl.  Jend. Sudirman No.Kav. 5 - 6, RT.10/RW.11, Karet  Tengsin,,Tanah Abang ,Jakarta Pusat ,DKI Jakarta ,Indonesia ,10220</t>
  </si>
  <si>
    <t>PA/ACT/2202/0907</t>
  </si>
  <si>
    <t>01000191518</t>
  </si>
  <si>
    <t xml:space="preserve">PT NTT Indonesia qq Bank Mizuho (MMR - Tenant) </t>
  </si>
  <si>
    <t>Jl. MH Thamrin No. 1 Menara BCA Lt 43</t>
  </si>
  <si>
    <t>NTT Nexcenter jl Kuningan Barat no 8 Jakarta</t>
  </si>
  <si>
    <t xml:space="preserve">Bank Mizuho Menara Astra Jl Jend Sudirman Gondangdia Menteng Sudirman </t>
  </si>
  <si>
    <t>01000190070</t>
  </si>
  <si>
    <t>150 Mbps</t>
  </si>
  <si>
    <t>Proses SPP</t>
  </si>
  <si>
    <t xml:space="preserve">PT NTT Indonesia qq Bank Mizuho (MMR - Cyber) </t>
  </si>
  <si>
    <t>PO Sudah di Perpanjang</t>
  </si>
  <si>
    <t>PT Tanjungenim Lestari Pulp and Paper (MMR - Tenant)</t>
  </si>
  <si>
    <t>MENARA ASTRA LT. 20. L. JENDERAL SUDIRMAN NO.KAVLING 5, RW.6, KARET TENGSIN, KECAMATAN TANAH ABANG, KOTA JAKARTA PUSAT, DAERAH KHUSUS</t>
  </si>
  <si>
    <t xml:space="preserve"> R211205000011 </t>
  </si>
  <si>
    <t>09000020321805</t>
  </si>
  <si>
    <t>15 Mbps</t>
  </si>
  <si>
    <t>813/SPP/SBU/ICON+/2023</t>
  </si>
  <si>
    <t>Biaya OTC Rp 3,000,000</t>
  </si>
  <si>
    <t>U211205000043</t>
  </si>
  <si>
    <t>25 Mbps</t>
  </si>
  <si>
    <t xml:space="preserve">1554/SPP/SBU/ICON+/2023	</t>
  </si>
  <si>
    <t>PT Tanjungenim Lestari Pulp and Paper (MMR - Cyber)</t>
  </si>
  <si>
    <t>931/SPP/SBU/ICON+/2023</t>
  </si>
  <si>
    <t>PO Upgrade dengan Harga yang sama</t>
  </si>
  <si>
    <t>PT. Astra International Gd. Amdi A Jl. Gaya Motor Raya No.8 Sunter II (Backhaul)</t>
  </si>
  <si>
    <t>T152 - TSO Sudirman Menara Astra, Gedung Astra Tower, Lt 01-02, Jln. Jend. Sudirman Kav 5-6, Sudirman, Jakarta Pusat, DKI Jakarta, Indonesia</t>
  </si>
  <si>
    <t>01000045514</t>
  </si>
  <si>
    <t>4500018778|19724/SPP/008/PUSAT/ICON+/2022</t>
  </si>
  <si>
    <t>1749/SPP/SBU/ICON+/2023</t>
  </si>
  <si>
    <t>PT NTT Indonesia Solutions</t>
  </si>
  <si>
    <t>Jl Simprug Garden 1 Blok W No.11 RT.07/RW.03, Grogol Selatan, Kebayoran Lama, Jakarta Selatan, DKI Jakarta, 12220</t>
  </si>
  <si>
    <t>Graha Pertamina Persero, Gambir Jakarta Pusat, DKI Jakarta, Indonesia</t>
  </si>
  <si>
    <t>Menara Standard Chartered Jl. Prof. DR. Satrio No.164, RT.3/RW.4, Karet Semanggi, Kecamatan Setiabudi, Kota Jakarta Selatan, Daerah Khusus Ibukota Jakarta</t>
  </si>
  <si>
    <t>PA/ACT/2109/0828 ; PA/ACT/2203/0725</t>
  </si>
  <si>
    <t>01000164208</t>
  </si>
  <si>
    <t>10 Gbps</t>
  </si>
  <si>
    <t>Cindy</t>
  </si>
  <si>
    <t>0857-2207-8712</t>
  </si>
  <si>
    <t>G414</t>
  </si>
  <si>
    <t>DEACTIVASI sesuai masa berakhir PO</t>
  </si>
  <si>
    <t>Menara Standard Chartered Jl. Prof. DR. Satrio No.26 Setiabudi, Jakarta Selatan, DKI Jakarta, Indonesia</t>
  </si>
  <si>
    <t>04000297324</t>
  </si>
  <si>
    <t>500 Mbps</t>
  </si>
  <si>
    <t>848/SPP/SBU/ICON+/2023</t>
  </si>
  <si>
    <t xml:space="preserve">Centrin Online Prima </t>
  </si>
  <si>
    <t>PT GH-EMM Indonesia</t>
  </si>
  <si>
    <t>Plaza Central Lt. 22 Jl. Jend Sudirman Kav. 47 - 48</t>
  </si>
  <si>
    <t>Dusun II Gunung Raja Kel. Rambang Dangku Muara Enim, Sumatera Selatan, Indonesia</t>
  </si>
  <si>
    <t>PT.GH EMM Indonesia, APL Tower 39 floor T1, Jalan Letnan Jendral S. Parman Kav. 28 Jakarta Barat, DKI Jakarta, Indonesia</t>
  </si>
  <si>
    <t>0990000320336400</t>
  </si>
  <si>
    <t>2909/SPP/SBU/ICON+/2024</t>
  </si>
  <si>
    <t>Windy</t>
  </si>
  <si>
    <t>0822-7378-3630</t>
  </si>
  <si>
    <t>Bank Neo Commerce</t>
  </si>
  <si>
    <t>Indonesia Stock Exchange Building Tower 2, Lt 28 #2804 Jl. Jend Sudirman Kav. 52-53 Jakarta 12190</t>
  </si>
  <si>
    <t>Gedung Treasury lt 60 Distric 8 SCBD Jl Jendral Sudirman Kav 52-58 Jakarta Selatan</t>
  </si>
  <si>
    <t xml:space="preserve">Internet Corporate </t>
  </si>
  <si>
    <t>Rian</t>
  </si>
  <si>
    <t>0822-6190-6240</t>
  </si>
  <si>
    <t>DEACTIVASI per 29 Februari 2024</t>
  </si>
  <si>
    <t>PT Sumber Segara Primadaya</t>
  </si>
  <si>
    <t xml:space="preserve"> Jl. Lingkar Timur karang Kandri Kecamatan Kesugihan Cilacap Jawa Tengah (Relokasi Jalur Baru)</t>
  </si>
  <si>
    <t>TREASURY TOWER, Lt. 39 Jln. Jend. Sudirman Kav 52-53 SCBD Jakarta Selatan - 12190,- ,Jakarta Selatan ,DKI Jakarta</t>
  </si>
  <si>
    <t>01000030570/ 130120200737</t>
  </si>
  <si>
    <t>F358</t>
  </si>
  <si>
    <t>Ruko Gold Cost B No 2-3, Pantai Indah Kapuk, Jakarta Utara, DKI Jakarta, Indonesia</t>
  </si>
  <si>
    <t>01000187262</t>
  </si>
  <si>
    <t>98%</t>
  </si>
  <si>
    <t xml:space="preserve">IPVPN </t>
  </si>
  <si>
    <t>3089/SPP/SBU/PLNICONPLUS/2024</t>
  </si>
  <si>
    <t>Halley</t>
  </si>
  <si>
    <t>0856-9800-999</t>
  </si>
  <si>
    <t>Kantor Pusat Bank Woori Saudara Treasury Tower - District 8 lt 26 - 27 Jl. Jenderal Sudirman Kav. 52 - 53 Kelurahan Senayan, Kebayoran Baru, Jakarta Selatan. DKI Jakarta, 12190</t>
  </si>
  <si>
    <t>04000028182</t>
  </si>
  <si>
    <t>19011/SPP/008/PUSAT/ICON+/2022 | 4500018287</t>
  </si>
  <si>
    <t>547/SPP/SBU/ICON+/2023</t>
  </si>
  <si>
    <t>547/SPP/SBU/ICON+/2023 | 4500020786</t>
  </si>
  <si>
    <t xml:space="preserve">	3565/SPP/SBU/PLNICONPLUS/2024</t>
  </si>
  <si>
    <t>PT Bank Central Asia KCP EBony</t>
  </si>
  <si>
    <t>BCA KCP Ebony, Jl Laksamana Yos Sudarso, Ruko Ebony Blok B2 No.30</t>
  </si>
  <si>
    <t>A821202000562; A82240100319</t>
  </si>
  <si>
    <t>111202018001</t>
  </si>
  <si>
    <t>6 Mbps</t>
  </si>
  <si>
    <t>+62 856-9800-999</t>
  </si>
  <si>
    <t>Biaya OTC Rp 5,000,000</t>
  </si>
  <si>
    <t>Link Backup Backhaul KCP Menara BCA, Jl. M.H. Thamrin No.1, Menteng, Jakarta Pusat, DKI Jakarta, Indonesia, 10230</t>
  </si>
  <si>
    <t>BCA KCP Golf Island; Jl. Golf Island Boulevard Blok RGIG No.20 Penjaringan Jakarta Utara, DKI Jakarta, Indonesia, 14470</t>
  </si>
  <si>
    <t>A821202000184</t>
  </si>
  <si>
    <t>111202017280</t>
  </si>
  <si>
    <t>PT Evoluzione Tyres</t>
  </si>
  <si>
    <t>Gedung Cyber 2 Tower, Lt 33 Jl. HP Rasuna Said Blok X-5 No. 13 Kuningan Timur Setiabudi Jakarta Selatan 12950</t>
  </si>
  <si>
    <t>Kalimantan Sanggar Pustaka</t>
  </si>
  <si>
    <t xml:space="preserve">IFC Tower 2 Jl Jend Sudirman No Kav 22-23 RT 10/1 Setiabudi Jakarta Selatan </t>
  </si>
  <si>
    <t xml:space="preserve">Lyman Wisma William Satya Jl Adi Sucipto Bangka Belitung Laut Pontianak Kalimantan </t>
  </si>
  <si>
    <t>01000037957</t>
  </si>
  <si>
    <t>Olam Indonesia</t>
  </si>
  <si>
    <t>South Quarter Tower lt 21 RA Kartini No 8 Cilandak Barat Jakarta Selatan</t>
  </si>
  <si>
    <t>04000128124</t>
  </si>
  <si>
    <t xml:space="preserve"> Cyberindo Aditama</t>
  </si>
  <si>
    <t>PT Pertamina EP</t>
  </si>
  <si>
    <t>Graha Pertamina (PSDC)- No. 6, RT.6/RW.1, Gambir, Central Jakarta City, Jakarta,  Gambir,  Jakarta Pusat,  DKI Jakarta,</t>
  </si>
  <si>
    <t xml:space="preserve">Menara Standard Chartered, No, Jl. Prof. DR. Satrio No.26, RT.4/RW.4, Karet Semanggi, Kecamatan Setiabudi, Kota Jakarta Selatan, Daerah Khusus Ibukota Jakarta,  Setiabudi,  Jakarta Selatan,  DKI Jakarta, </t>
  </si>
  <si>
    <t>PA/ACT/2111/3391</t>
  </si>
  <si>
    <t>01000178894</t>
  </si>
  <si>
    <t>250 Mbps</t>
  </si>
  <si>
    <t>Bank BCA Central Park</t>
  </si>
  <si>
    <t>BCA KCP Central Park, Kawasan Superblok Podomoro City (Central Park) Ruko Garden Shopping Arcade Blok B/08/CB.cc.cd Jl. S Parman</t>
  </si>
  <si>
    <t>PA/ACT/2204/4125</t>
  </si>
  <si>
    <t>01000203544</t>
  </si>
  <si>
    <t>18800/SPP/008/PUSAT/ICON+/2022</t>
  </si>
  <si>
    <t xml:space="preserve">PT Mulia Inti Pelangi </t>
  </si>
  <si>
    <t>(H2H) Plaza Bank Mandiri Jl. Gatot Subroto Kav 36-38 RT 7/RW 1 Senayan Jakarta Selatan DKI Jakarta 12190</t>
  </si>
  <si>
    <t>(H2H) Mall Taman Anggrek Jl Letjen S Parman No 28 RT 9 RW 1, Tomang, Kec. Grogol Petamburan, Kota Jakarta Barat, Daerah Khusus Ibu Kota Jakarta 11440</t>
  </si>
  <si>
    <t xml:space="preserve">	PA/ACT/2001/3225</t>
  </si>
  <si>
    <t>01000100102</t>
  </si>
  <si>
    <t>512 Kbps</t>
  </si>
  <si>
    <t>8764/SPP/008/PUSAT/ICON+/2022 | 4500018132</t>
  </si>
  <si>
    <t xml:space="preserve">	226/SPP/SBU/ICON+/2023</t>
  </si>
  <si>
    <t>4500020618</t>
  </si>
  <si>
    <t>PT Bank Bukopin Tbk</t>
  </si>
  <si>
    <t>KCP Sky Line Jl. M.H. Thamrin No.9, RT.2/RW.1, Kb. Sirih,,  Kec. Menteng,  Jakarta Pusat,  DKI Jakarta</t>
  </si>
  <si>
    <t>01000195154</t>
  </si>
  <si>
    <t>DEACTIVASI Per 31 Maret 2024</t>
  </si>
  <si>
    <t>Bidakara Jl Jend Gatot Subroto Kav 71-73 JakSel</t>
  </si>
  <si>
    <t>PA/UPG/1906/0029</t>
  </si>
  <si>
    <t>990000320452408</t>
  </si>
  <si>
    <t>Gedung Sahid Sudirman Center Lt 10 Jl Jendral Sudirman no 86 Jakarta</t>
  </si>
  <si>
    <t>ICON-00/SBC/1711/0683</t>
  </si>
  <si>
    <t>990000320517045</t>
  </si>
  <si>
    <t>Marketing Office Citra Towers Kemayoran, Jl Benyamin Suaeb, RT.13/RW.06, Kebon Kosong, Kamayoran, Kota Jakarta Pusat, Jakarta, Indonesia</t>
  </si>
  <si>
    <t>A821202000241</t>
  </si>
  <si>
    <t>111202017399</t>
  </si>
  <si>
    <t>South Quarter Tower A, LT. 21 Jl. R.A.Kartini No.Kav. 8, RT.10/RW.4, Cilandak Barat,  Kec. Cilandak,  Jakarta Selatan,  DKI Jakarta,  Indonesia,  12430</t>
  </si>
  <si>
    <t>PA/UPG/2208/0213; PA/UPG/2208/0214</t>
  </si>
  <si>
    <t>01000127809 dan '04000128124</t>
  </si>
  <si>
    <t>IPVPN dan Internet Corporate</t>
  </si>
  <si>
    <t>70 Mbps</t>
  </si>
  <si>
    <t>4500018772; 4500018504</t>
  </si>
  <si>
    <t xml:space="preserve">PO Upgrade   </t>
  </si>
  <si>
    <t>Bank Danamon Indonesia</t>
  </si>
  <si>
    <t xml:space="preserve">Mall Taman Anggrek Ground Floor G-42, Jl S Parman Kav.21 RT 12/RW 1 Tanjung Duren Selatan, Grogol Petamburan. </t>
  </si>
  <si>
    <t>A821205000170</t>
  </si>
  <si>
    <t>1286/SPP/SBU/ICON+/2023</t>
  </si>
  <si>
    <t>4500021421</t>
  </si>
  <si>
    <t>Gedung Cyber 2 lt2 HR Rasuna Said no 13, Indonesia, Kuningan, Kota Administrasi Jakarta Selatan, DKI Jakarta, Indonesia</t>
  </si>
  <si>
    <t>U121303000028</t>
  </si>
  <si>
    <t>120130300301/04000021906</t>
  </si>
  <si>
    <t>PT Trans Rekreasindo Cibubur</t>
  </si>
  <si>
    <t>Gedung Transmedia Lt 3A, Jl. Kapt Tendean Kav. 12 – 14A, Jakarta 12790</t>
  </si>
  <si>
    <t>Kid City Transpark Cibubur lt.3 Jl. Alternatif Cibubur No.230, Harjamukti, Cimanggis, Kota Depok, Jawa Barat, Indonesia, 16454</t>
  </si>
  <si>
    <t xml:space="preserve"> PA/ACT/1903/1573</t>
  </si>
  <si>
    <t>04000049510</t>
  </si>
  <si>
    <t>Internet dan IPVPN</t>
  </si>
  <si>
    <t>Nadia</t>
  </si>
  <si>
    <t>0858-8117-7234</t>
  </si>
  <si>
    <t>F41</t>
  </si>
  <si>
    <t>Transmart Cibubur Jl Alternatif Cibubur No 230 Harjamukri Cimanggis Depok Jawa Barat</t>
  </si>
  <si>
    <t>01000039747</t>
  </si>
  <si>
    <t>(Interkoneksi via Detik) Transmart Juanda, Jl. IR Juanda 180 margahayu Bekasi Timur Bekasi</t>
  </si>
  <si>
    <t>PA/RLK/2112/0100 ; PA/RLK/2112/0099</t>
  </si>
  <si>
    <t>'01000184752</t>
  </si>
  <si>
    <t>PT Trans Rekreasindo Surabaya</t>
  </si>
  <si>
    <t>Menara Bank Mega lt.8 Jl. Kapten Tendean No.12-14A, RT.2/RW.2, Mampang Prapatan,  -,  Jakarta Selatan,  DKI Jakarta,  Indonesia,  12790</t>
  </si>
  <si>
    <t>(interkoneksi dengan Detik di Cyber) Trans ICON Surabaya, Jl. Ahmad Yani No.260, Siwalankerto,  Wonocolo,  Surabaya,  Jawa Timur,  Indonesia,  60235</t>
  </si>
  <si>
    <t>01000301813</t>
  </si>
  <si>
    <t>1 Mbps</t>
  </si>
  <si>
    <t>1027/SPP/SBU/ICON+/2023</t>
  </si>
  <si>
    <t>PT Trans Rekreasindo Kidcity Bintaro</t>
  </si>
  <si>
    <t>KID City Transmart Bintaro CBD Sektor VII CBD Blok B7/A3 No. 9, Jl. Professor Doktor Satrio No.5, Pondok Aren Bintaro Jaya, PD Jaya, Pondok Aren, Kota Tangerang Selatan, Banten, Indonesia, 15224</t>
  </si>
  <si>
    <t>PA/ACT/2002/2153</t>
  </si>
  <si>
    <t>010000106070</t>
  </si>
  <si>
    <t>1298/SPP/SBU/ICON+/2023</t>
  </si>
  <si>
    <t>Gandaria 8 Office Tower, Lantai 6 - Unit H Jl. Sultan Iskandar Muda, Kebayoran Lama Utara, Jakarta Selatan 12240</t>
  </si>
  <si>
    <t>10124 Jakarta Gandaria City, UG M-U 35 Jl. Sultan Iskandar Muda. RT.10/RW.6, Kebayoran Lama Utara,Kec. Kebayoran Lama ,Jakarta Selatan ,DKI Jakarta ,Indonesia ,12240</t>
  </si>
  <si>
    <t>01000283861</t>
  </si>
  <si>
    <t>99,8%</t>
  </si>
  <si>
    <t>Metronet/Local Loop</t>
  </si>
  <si>
    <t>8 Mbps</t>
  </si>
  <si>
    <t>1328/SPP/SBU/ICON+/2023</t>
  </si>
  <si>
    <t>Merry</t>
  </si>
  <si>
    <t>0815-8445-0387</t>
  </si>
  <si>
    <t xml:space="preserve"> Fastel Sarana Indonesia</t>
  </si>
  <si>
    <t>PT Pertamina (Persero)</t>
  </si>
  <si>
    <t>Gedung TCC Batavia Tower One Lt 16 Jl. KH Mas Mansyur Kav 126 Jakarta Pusat 10220</t>
  </si>
  <si>
    <t>Kantor Pusat Pertamina Jakarta, Jl. Medan Merdeka Tim. No.1A, RT.2/RW.1, Kel. Gambir, Kec. Gambir, Jakarta Pusat</t>
  </si>
  <si>
    <t>Gedung Sopo Del, Lt. 50, Jl. Mega Kuningan Barat III, RT.4/RW.5, Kel. Kuningan Timur, Kec. Setiabudi, Jakarta Selatan</t>
  </si>
  <si>
    <t>AL/2009/41591</t>
  </si>
  <si>
    <t>01000077502</t>
  </si>
  <si>
    <t xml:space="preserve">Fastel Sarana Indonesia </t>
  </si>
  <si>
    <t>KCP Sopodel (SOO), Jl. Mega kuningan Barat III No. 23, Kuningan, Setiabudi, Jakarta Selatan, DKI Jakarta, Indonesia, 12950</t>
  </si>
  <si>
    <t>01000057869</t>
  </si>
  <si>
    <t>0878-6921-9000</t>
  </si>
  <si>
    <t>F294</t>
  </si>
  <si>
    <t>G404</t>
  </si>
  <si>
    <t>PT Djarum</t>
  </si>
  <si>
    <t>Jl. Aipda KS Tubun 2c/57 Jakarta</t>
  </si>
  <si>
    <t>Sopo Del Tower B Jl. Mega Kuningan Barat III, Lot 10. 1-6 Kawasan Mega Kuningan. Jakarta 12950</t>
  </si>
  <si>
    <t>PA/ACT/2304/0270</t>
  </si>
  <si>
    <t>01000358111</t>
  </si>
  <si>
    <t>QinQ Metro Ethernet</t>
  </si>
  <si>
    <t>4500018498 dan 4500020596</t>
  </si>
  <si>
    <t>PO Upgrade</t>
  </si>
  <si>
    <t xml:space="preserve">Global Teknologi Teraindo </t>
  </si>
  <si>
    <t>Gedung Cyber 1 Lantai 6 Jl. Kuningan Barat Raya No. 8 Jakarta Selatan 12710</t>
  </si>
  <si>
    <t>Gedung Cyber APJII , Jl. Kuningan Barat Raya No.8, RT.1/RW.3, Kuningan Bar. Mampang Prpt, Jakarta Selatan, DKI Jakarta, Indonesia, 12710</t>
  </si>
  <si>
    <t>DC Infomedia Jatinegara Jl. DI. Panjaitan No.42, Rawa Bunga, Jatinegara, DC Telkom Jatinegara, Jakarta Timur, DKI Jakarta, Indonesia</t>
  </si>
  <si>
    <t xml:space="preserve"> PA/ACT/2211/1972</t>
  </si>
  <si>
    <t>01000320539</t>
  </si>
  <si>
    <t>Akmal</t>
  </si>
  <si>
    <t>0853-1210-7138</t>
  </si>
  <si>
    <t>F459</t>
  </si>
  <si>
    <t>G415</t>
  </si>
  <si>
    <t xml:space="preserve">Graha Telekomunikasi Indonesia </t>
  </si>
  <si>
    <t>Ruko 53A, Jl. KH Abdullah Syafei No. 53 A RT 005 RW 002 Kelurahan Manggarai Selatan Kecamatan Tebet Jakarta Selatan 12860</t>
  </si>
  <si>
    <t>Jalan Yos Sudarso, Sunter Jaya, Tj. Priok, Jakarta Utara, DKI Jakarta, Indonesia</t>
  </si>
  <si>
    <t>Gedung Permata Kuningan Jl. Kuningan Mulia Kav 9C Lantai 9 Guntur, Setiabudi, Jakarta Selatan, DKI Jakarta, Indonesia,</t>
  </si>
  <si>
    <t xml:space="preserve">PA/ACT/2202/1469       </t>
  </si>
  <si>
    <t>01000192190</t>
  </si>
  <si>
    <t>1091/SPP/SBU/ICON+/2023</t>
  </si>
  <si>
    <t>Norman</t>
  </si>
  <si>
    <t>0813-2398-2041</t>
  </si>
  <si>
    <t>Morinaga Kino Indonesia</t>
  </si>
  <si>
    <t xml:space="preserve">Kino Tower building jl jalur Suter Boulevar no 1 Alam Sutera Kota Tangerang </t>
  </si>
  <si>
    <t>Radio</t>
  </si>
  <si>
    <t>Graha Hyper Jl. Makaliwe Raya No. 24 - 24A grogol Petamburan Jakarta 11450</t>
  </si>
  <si>
    <t>Jalan Raya PLN EHP Gandul Limo,  Cinere,  Depok,  Jawa Barat,  Indonesia,  16514</t>
  </si>
  <si>
    <t>Rawamangun 1 LAPAN Pusat Jl. Pemuda Persil No.1 Rawamangun 13220,  -,  Jakarta Timur,  DKI Jakarta,</t>
  </si>
  <si>
    <t>04000184286</t>
  </si>
  <si>
    <t>Fion Internet Dedicated</t>
  </si>
  <si>
    <t>80 Mbps</t>
  </si>
  <si>
    <t>PROJECT TIM SDA</t>
  </si>
  <si>
    <t xml:space="preserve">Gd. Prodia Tower, Jl. Kramat Raya No. 150, Jakarta,KANTOR PUSAT JAKARTA ,Jakarta Pusat ,DKI Jakarta ,Indonesia ,   </t>
  </si>
  <si>
    <t>PA/ACT/1911/0379/TER ; PA/ACT/1803/0181</t>
  </si>
  <si>
    <t>01000089398</t>
  </si>
  <si>
    <t>2899/SPP/SBU/ICON+/2024</t>
  </si>
  <si>
    <t>Ibu Diah</t>
  </si>
  <si>
    <t>0819-3381-8777</t>
  </si>
  <si>
    <t>G71</t>
  </si>
  <si>
    <t>H123</t>
  </si>
  <si>
    <t xml:space="preserve">PT Bank Commonwealth </t>
  </si>
  <si>
    <t>Graha Inti Fauzi Lt. 5, Jl. warung Jata Barat No.22, Pejaten Barat, Pasar Minggu, Jakarta Selatan, DKI Jakarta, Indonesia 12510</t>
  </si>
  <si>
    <t>Cabang PIK The Gallery Metro Broadway Blok 8 No. CB, CC, CD PIK Jl. Pantai Indah Utara 2 jakarta 14460, Indonesia</t>
  </si>
  <si>
    <t>U111202000999</t>
  </si>
  <si>
    <t>110120201012/0990000320517378</t>
  </si>
  <si>
    <t xml:space="preserve">Iforte Solusi Infotek </t>
  </si>
  <si>
    <t>Bank Commonwealth</t>
  </si>
  <si>
    <t>Jl. MH Thamrin No. 1</t>
  </si>
  <si>
    <t>Cabang Pondok Indah ANZ Pondok Indah (samping Houbii adventure park) jl Metro pondok indah kav III B Jakarta Selatan, DKI Jakarta, Indonesia, 12310</t>
  </si>
  <si>
    <t>01000119045</t>
  </si>
  <si>
    <t>Firdio</t>
  </si>
  <si>
    <t>0815-9489-484</t>
  </si>
  <si>
    <t>H131</t>
  </si>
  <si>
    <t>Deactivasi 28 Februari 2025</t>
  </si>
  <si>
    <t>Kramat Raya 150 jakarta</t>
  </si>
  <si>
    <t>Ruko Kebayoran Arcade 2 sektor 7, Blok B No.33-35 Bintaro Tangerang, Jawa Barat, Indonesia</t>
  </si>
  <si>
    <t>01000003493</t>
  </si>
  <si>
    <t>1954/SPP/SBU/ICON+/2023</t>
  </si>
  <si>
    <t>Firdio Iksan</t>
  </si>
  <si>
    <t>+62 815-9489-484</t>
  </si>
  <si>
    <t>F298</t>
  </si>
  <si>
    <t>G382</t>
  </si>
  <si>
    <t>PT HCMI Cibitung 2 kawasan industri MM2100 Jl. Selayar II Kav K-1 Cikarang Barat Bekasi (Interkoneksi dengan Indonet)</t>
  </si>
  <si>
    <t>990000320511766</t>
  </si>
  <si>
    <t>99.5%</t>
  </si>
  <si>
    <t>PT Lotte Data Communication</t>
  </si>
  <si>
    <t xml:space="preserve">Gedung Cyber Lantai 1 (Kuningan City Jl Prof DR Satrio Kav 18 Unit LG 18 - 01) </t>
  </si>
  <si>
    <t>01000045931</t>
  </si>
  <si>
    <t>Local Loop</t>
  </si>
  <si>
    <t>PO bersama dengan Collocation Rp 5,000,000/Bulan</t>
  </si>
  <si>
    <t>PT Ungaran Sari Garment</t>
  </si>
  <si>
    <t>PT USG UNGARAN Jl. Diponegoro No 235 Ungaran,- ,- ,- ,Indonesia</t>
  </si>
  <si>
    <t>AXA Tower Lt 43 Jl. Prof. Dr. Satrio Kec. Setiabudi Jakarta Selatan,- ,- ,- ,Indonesia ,-</t>
  </si>
  <si>
    <t>0990000320458219</t>
  </si>
  <si>
    <t>2101/SPP/SBU/ICON+/2023</t>
  </si>
  <si>
    <t xml:space="preserve">Asep </t>
  </si>
  <si>
    <t>+62 857-7177-7685</t>
  </si>
  <si>
    <t>F366</t>
  </si>
  <si>
    <t>G405</t>
  </si>
  <si>
    <t>Jl. Selayar II Blok H7, Kawasan Industri MM2100, Cikarang Barat, Bekasi, 17845, Indonesia</t>
  </si>
  <si>
    <t>0990000320655291</t>
  </si>
  <si>
    <t>2502/SPP/SBU/PLNICONPLUS/2024</t>
  </si>
  <si>
    <t>0857-7177-7685</t>
  </si>
  <si>
    <t>Dismantle per 31 Agustus 2024</t>
  </si>
  <si>
    <t xml:space="preserve">BCA Kota Baru Parahyangan </t>
  </si>
  <si>
    <t xml:space="preserve">KCP Kota Baru Parahyangan (KBP), Jl Panyawangan Kav 6 No.6, Kota Baru Parahyangan,- ,- ,- ,Indonesia ,-   </t>
  </si>
  <si>
    <t>AL/2205/80572</t>
  </si>
  <si>
    <t>0990000320472425</t>
  </si>
  <si>
    <t>H58</t>
  </si>
  <si>
    <t>Dismantle per tanggal 31 Des 2024</t>
  </si>
  <si>
    <t>PT Toyota Astra Motor TTC</t>
  </si>
  <si>
    <t xml:space="preserve"> Toyota Astra Motor new Site 2, Jl. Selayar Kav. B10 Kawasan Industri MM2100 (TTC) Interkoneksi Indonet, Indonesia</t>
  </si>
  <si>
    <t>PA/UPG/2207/0061</t>
  </si>
  <si>
    <t>'0990000320655320</t>
  </si>
  <si>
    <t>85 Mbps</t>
  </si>
  <si>
    <t>'PT. ASTRA DAIHATSU MOTOR, JL. GAYA MOTOR 3 NO.5 SUNTER II, JAKARTA UTARA</t>
  </si>
  <si>
    <t>JL. SELAYAR BLOK A-6 KAWASAN MM2100 IDUSTRIAL ESTATE CIBITUNG (Interkoneksi Indonet)</t>
  </si>
  <si>
    <t>PA/UPG/2303/1063</t>
  </si>
  <si>
    <t>'0990000320512190</t>
  </si>
  <si>
    <t>Upgrade</t>
  </si>
  <si>
    <t>Jl Selayar Blok A-6 Kawasan MM2100 Industrial Estate Cibitung (Interkoneksi Indonet)</t>
  </si>
  <si>
    <t>PA/ACT/2302/1496/TER</t>
  </si>
  <si>
    <t>111205023533</t>
  </si>
  <si>
    <t>21558/SPP/008/PUSAT/ICON+/202321558</t>
  </si>
  <si>
    <t>Bekasi Fajar Industrial Estate, Jalan jawa Kav. A1, Kawasan Industri MM2100, Mekarwangi, Cikarang Barat, Mekarwangi,  Cikarang,  Kota Bekasi,  Jawa Barat, Indonesia,17520</t>
  </si>
  <si>
    <t>01000073731</t>
  </si>
  <si>
    <t>Toyota Astra Motor new Site 2, Jl. Selayar Kav. B10 Kawasan Industri MM2100 (TTC) Interkoneksi Indonet</t>
  </si>
  <si>
    <t>Jl. Proklamasi No. 53 Menteng Jakarta Pusat</t>
  </si>
  <si>
    <t>0990000320655959</t>
  </si>
  <si>
    <t>PT Data Sinergitama Jaya</t>
  </si>
  <si>
    <t>Elitery Data Center, Jl Raya Pajajaran no 17 Bogor, Kab Bogor, Jawa Barat, Indonesia, 16143</t>
  </si>
  <si>
    <t>Toyota Astra Motor New Site 2, Jl. Selayar Kav. B10 Kawasan Industri MM 2100 (TTC) (Interkoneksi dg indonet), Indonesia</t>
  </si>
  <si>
    <t>0990000320514810</t>
  </si>
  <si>
    <t xml:space="preserve">PT Toyota Astra Motor SPLD </t>
  </si>
  <si>
    <t>Toyota Astra Motor HO (existing) Jl. Yos Sudarso Sunter II Jakarta (existing)</t>
  </si>
  <si>
    <t>Toyota Astra Motor SPLD, Kawasan Industri MM 2100 BI A1-1/A1-2 Cibitung (existing)</t>
  </si>
  <si>
    <t>0990000320322484</t>
  </si>
  <si>
    <t>2103/SPP/SBU/ICON+/2023</t>
  </si>
  <si>
    <t xml:space="preserve">Trans Retail Di Bintaro &amp; Kupang </t>
  </si>
  <si>
    <t>ICON-00/ACT/1711/1474; ICON-00/ACT/1705/1419</t>
  </si>
  <si>
    <t>'0990000320512227; 0990000320664612</t>
  </si>
  <si>
    <t>BRI Syariah</t>
  </si>
  <si>
    <t>Jl. Cikini Raya NO. 12 - 14 Cikini Menteng Jakarta Pusat 10330</t>
  </si>
  <si>
    <t>menara jamsosktek selatan lt.2, jl. Jend. Gatot subroto no. 38</t>
  </si>
  <si>
    <t>kcp cikarang, ruko roxy blok d 19, kab. Bekasi-cikarang-jawa barat</t>
  </si>
  <si>
    <t>ICON-00/SBC/1303/0431</t>
  </si>
  <si>
    <t>DEACTIVASI sesuai masa habis PO</t>
  </si>
  <si>
    <t xml:space="preserve"> Integra Kreasitama Solusindo</t>
  </si>
  <si>
    <t>Graha Tirtadi Lt. 303 Jl. Pangeran Antasari No. 18A</t>
  </si>
  <si>
    <t>7010 KCP Gd. Patrajasa, Jl.Jend.Gatot Subroto Kav.32-34 Jaksel</t>
  </si>
  <si>
    <t xml:space="preserve">0990000320542404 </t>
  </si>
  <si>
    <t xml:space="preserve"> Internetwork Komunikasi Indonesia</t>
  </si>
  <si>
    <t>PT Bank Mandiri Taspen</t>
  </si>
  <si>
    <t>Podomoro City Ruko GSA 8DH Lantai 4, Jl. S.Parman - Jakarta Barat, RT.15/RW.5, Tj. Duren Sel., Grogol petamburan, Jakarta, Indonesia</t>
  </si>
  <si>
    <t>DRC Rempoa Jl. Ir. H. Juanda, Rempoa</t>
  </si>
  <si>
    <t xml:space="preserve">PA/ACT/2106/2407 </t>
  </si>
  <si>
    <t>01000158008</t>
  </si>
  <si>
    <t>Tidak diperpanjang di SBU Jakban</t>
  </si>
  <si>
    <t>Jl. Dewi Sartika No.83, RT.6/RW.13, Cawang</t>
  </si>
  <si>
    <t xml:space="preserve">PA/ACT/2106/2404 </t>
  </si>
  <si>
    <t>01000157994</t>
  </si>
  <si>
    <t>PT Diamond Cold Storage</t>
  </si>
  <si>
    <t>Jl. Riau 23</t>
  </si>
  <si>
    <t>Jl Pasar Putih Raya Kav 1 Ancol Kec. Pademangan Jakarta Utara DKI jakarta, Indonesia</t>
  </si>
  <si>
    <t>U111302000049</t>
  </si>
  <si>
    <t>110130200131/04000301037</t>
  </si>
  <si>
    <t>Internet IIX</t>
  </si>
  <si>
    <t>60 Mbps</t>
  </si>
  <si>
    <t>2098/SPP/SBU/ICON+/2023</t>
  </si>
  <si>
    <t>Annisa</t>
  </si>
  <si>
    <t>0888-1389-976</t>
  </si>
  <si>
    <t xml:space="preserve">Kawasan Industri Bintang Puspita Dwikarya, Kampung Baregbeg, Desa Wanasari, Kec. Teluk Jambe Barat, Karawang 41361 (Backhaul),- ,- ,- ,Indonesia,KEC. TELUK JAMBE VARAT ,Kabupaten Karawang ,Jawa Barat ,Indonesia ,41361   </t>
  </si>
  <si>
    <t xml:space="preserve">: Jl. Bhumimas II No.2, Talaga, Kec. Cikupa, Tangerang, Banten 15710, Indonesia,CIKUPA ,Kabupaten Tangerang ,Banten ,Indonesia ,15710   </t>
  </si>
  <si>
    <t>PA/ACT/2103/0900</t>
  </si>
  <si>
    <t>'01000146804</t>
  </si>
  <si>
    <t xml:space="preserve">	2574/SPP/SBU/ICON+/2024</t>
  </si>
  <si>
    <t>Bayu</t>
  </si>
  <si>
    <t>0857-1160-7721</t>
  </si>
  <si>
    <t>H59</t>
  </si>
  <si>
    <t xml:space="preserve"> Link Net</t>
  </si>
  <si>
    <t>Data Center PT ICON+</t>
  </si>
  <si>
    <t>Kantor ICON_ DC Gandul JL PLN Ehave</t>
  </si>
  <si>
    <t xml:space="preserve">Data Center GTN </t>
  </si>
  <si>
    <t>PA/UPG/2104/0301</t>
  </si>
  <si>
    <t>100230/024</t>
  </si>
  <si>
    <t>Metro (local loop)</t>
  </si>
  <si>
    <t>ICON+ DC Gandul</t>
  </si>
  <si>
    <t>Data Center GTN</t>
  </si>
  <si>
    <t>I00230/024</t>
  </si>
  <si>
    <t>1 Gbps</t>
  </si>
  <si>
    <t>centennial Tower 26th Floor, Unit D Jl. Gatot Subroto Kav 24-25 Jakarta 12950</t>
  </si>
  <si>
    <t>01000182738</t>
  </si>
  <si>
    <t>Internet Dedicated</t>
  </si>
  <si>
    <t xml:space="preserve">Link Net </t>
  </si>
  <si>
    <t>PT Bumimulia Indah Lestari</t>
  </si>
  <si>
    <t>PT. Bumimulia Indah Lestari Kawasan Industri, Jl. Kawasan Marunda Center No.1, Pantai makmur,  Tarumajaya,  Bekasi,  Jawa Barat, Indonesia, 17212</t>
  </si>
  <si>
    <t>PA/ACT/2111/4084</t>
  </si>
  <si>
    <t>110120202451</t>
  </si>
  <si>
    <t>3098/SPP/SBU/PLNICONPLUS/2024</t>
  </si>
  <si>
    <t>Bunga</t>
  </si>
  <si>
    <t>0812-8990-0771</t>
  </si>
  <si>
    <t>PT Inoac Polytechno</t>
  </si>
  <si>
    <t xml:space="preserve">Kawasan Industri Bintang Puspita Dwikarya, Kampung Baregbeg, Desa Wanasari, Kec. Teluk Jambe Barat, Karawang 41361 </t>
  </si>
  <si>
    <t>Delta Silicon 3 Jalan Rotan 1 Blok F27 No.19A-B Lippo, Cicau,  Kec. Cikarang Pusat,  Bekasi,  Jawa Barat,</t>
  </si>
  <si>
    <t>'01000176754</t>
  </si>
  <si>
    <t xml:space="preserve">Gedung Bank Woori Saudara Jalan Diponegoro No 28  Bandung </t>
  </si>
  <si>
    <t>KCP Union Square Cikarang Ruko Union Square A6 Lippo Cikarang Cibatu</t>
  </si>
  <si>
    <t>PA/UPG/1909/0258; PA/UPG/1911/0048</t>
  </si>
  <si>
    <t>990000320493866/ 990000320493868</t>
  </si>
  <si>
    <t>Pertamina Bina Medika</t>
  </si>
  <si>
    <t>Pertamedika IHC, Menara Sentraya Lt.26, Jl. Iskandarsyah Raya No.1A, RT.3/RW.1, Kantor Pusat, Gedung Wisma Mulia Jl Gatot Subroto no 42, Jakarta 12710</t>
  </si>
  <si>
    <t>PA/RLK/2211/0006 - AL/2302/9801</t>
  </si>
  <si>
    <t>01000319538</t>
  </si>
  <si>
    <t>1600/SPP/SBU/ICON+/2024</t>
  </si>
  <si>
    <t>PO sudah di Upgrade</t>
  </si>
  <si>
    <t xml:space="preserve">KASN , Gedung Smesco Lantai 14,Jl. Gatot Subroto No.kav. 94,  Pancoran,  Jakarta Selatan,  DKI Jakarta,  Indonesia,  </t>
  </si>
  <si>
    <t>04000099341</t>
  </si>
  <si>
    <t>G1</t>
  </si>
  <si>
    <t xml:space="preserve">Lippo Cikarang, Jl. Mataram No.6A, Cibatu, Cikarang Sel., Bekasi, Jawa Barat 17530,- ,Bekasi ,Jawa Barat </t>
  </si>
  <si>
    <t xml:space="preserve">'DC GTN Lippo Cikarang, Jl. Mataram No.6A, Cibatu, Cikarang Sel., Bekasi, Jawa Barat 17530,- ,Bekasi ,Jawa Barat </t>
  </si>
  <si>
    <t>01000101672/ 220120500197</t>
  </si>
  <si>
    <t>2376/SPP/SBU/ICON+/2023</t>
  </si>
  <si>
    <t>G2</t>
  </si>
  <si>
    <t>H18</t>
  </si>
  <si>
    <t>PT Supreme Energi Rantau Dedap</t>
  </si>
  <si>
    <t>Centennial Tower 26th Floor, Unit D, Jl. Gatot Subroto Kav 24-25, Jakarta 12930</t>
  </si>
  <si>
    <t>PT. Supreme Energi Rantau Dedap, Menara Sentraraya 23 Jl. Iskandarsyah Raya No. 1 A
Kebayoran Baru,Kecamatan Kebayoran Baru ,Jakarta Selatan ,DKI Jakarta ,Indonesia ,</t>
  </si>
  <si>
    <t>PA/ACT/2110/0011</t>
  </si>
  <si>
    <t>08000168864/210000003377</t>
  </si>
  <si>
    <t>Internet Corporate &amp; IPVPN</t>
  </si>
  <si>
    <t>G3</t>
  </si>
  <si>
    <t>H55</t>
  </si>
  <si>
    <t>Menara Sentraya 23 Jl Iskandarsyah Raya Kebayoran Baru, Jakarta Selatan, DKI Jakarta, Indonesia</t>
  </si>
  <si>
    <t>08000090393</t>
  </si>
  <si>
    <t>Point to Point</t>
  </si>
  <si>
    <t>G38</t>
  </si>
  <si>
    <t>H124</t>
  </si>
  <si>
    <t>H128</t>
  </si>
  <si>
    <t>PT Garuda Nusantara Steel</t>
  </si>
  <si>
    <t>Kawasan Pergudangan Marunda Center Blok I 10, Sagara Makmur, Bekasi Utara Kabupaten Bekasi, Jawa Barat 17211</t>
  </si>
  <si>
    <t>PA/ACT/2303/1608</t>
  </si>
  <si>
    <t>01000354685</t>
  </si>
  <si>
    <t>H56</t>
  </si>
  <si>
    <t>PT PLN Unit Induk Distribusi Jawa Barat (PLN Rayon Cikarang)</t>
  </si>
  <si>
    <t>[UID JABAR] Bandung Kota Bandung jawa Barat</t>
  </si>
  <si>
    <t>ULP Cikarang</t>
  </si>
  <si>
    <t>0990000320501693</t>
  </si>
  <si>
    <t>G167</t>
  </si>
  <si>
    <t>H129</t>
  </si>
  <si>
    <t>PT Valeo AC Indonesia</t>
  </si>
  <si>
    <t>Centennial Tower 26th Floor, Unit D Jl. Gatot Subroto Kav 24-25 Jakarta 12950</t>
  </si>
  <si>
    <t>Penguin Bisnis Park, Jl Sungkai 1 Blok F26 No.1D-E Delta Silikon III, Kel Cicau, Cikarang Selatan, Bekasi Regency, West Java 17530</t>
  </si>
  <si>
    <t>A121303000521</t>
  </si>
  <si>
    <t>121303000931</t>
  </si>
  <si>
    <t xml:space="preserve">Internet Corporate  </t>
  </si>
  <si>
    <t>G280</t>
  </si>
  <si>
    <t>Deactive per tanggal 30 September 2024</t>
  </si>
  <si>
    <t>A121303000522</t>
  </si>
  <si>
    <t>121303000932</t>
  </si>
  <si>
    <t>1436/SPP/SBU/ICON+/2023</t>
  </si>
  <si>
    <t>G281</t>
  </si>
  <si>
    <t>Perpanjang 4 Hari</t>
  </si>
  <si>
    <t>Jl. HR. Rasuna Said x-5 Kav 2-3</t>
  </si>
  <si>
    <t xml:space="preserve"> Indomaret Tower, RT. 6/RW. 2, Kamal Muara, Kec. Penjaringan, Lt.9 (Interkoneksi Fiberstar)</t>
  </si>
  <si>
    <t>A821303000036</t>
  </si>
  <si>
    <t>111303010467</t>
  </si>
  <si>
    <t>2677/SPP/SBU/ICON+/2024</t>
  </si>
  <si>
    <t>Adi</t>
  </si>
  <si>
    <t>0812-8611-4490</t>
  </si>
  <si>
    <t>Indomaret Tower, RT. 6/RW. 2, Kamal Muara, Kec. Penjaringan (Interkoneksi Fiberstar),  -,  Jakarta Utara,  DKI Jakarta,  Indonesia,  14470</t>
  </si>
  <si>
    <t>01000135261</t>
  </si>
  <si>
    <t>19036/SPP/008/PUSAT/ICON+/2022 | 4500018323</t>
  </si>
  <si>
    <t>718/SPP/SBU/ICON+/2023</t>
  </si>
  <si>
    <t xml:space="preserve">MNC Kabel Mediacom </t>
  </si>
  <si>
    <t>PT Santos Jaya Abadi MNC land Tower MNC Center Complex Jalan Kebon Sirih No 17 19 Lt 7 Menteng Jakarta Pusat DKI Jakarta</t>
  </si>
  <si>
    <t>''01000029940</t>
  </si>
  <si>
    <t>Grha 9 Lt 6 Jl. Penataran No. 9 Proklamasi Jakarta Pusat 10320</t>
  </si>
  <si>
    <t>IDC Durentiga, Jl Durentiga Raya No.7 Warung Buncit-, Jakarta Selatan, DKI Jakarta, Indonesia, 12760</t>
  </si>
  <si>
    <t>PT. Gemilang Sarana Mandiri, Jl. Raya Jatinegara Barat No. 44, RT 001 / RW 005, Kp. Melayu, Jatinegara, Jakarta Timur, DKI Jakarta, Indonesia, 13320</t>
  </si>
  <si>
    <t>PA/ACT/2210/3361</t>
  </si>
  <si>
    <t>01000317249</t>
  </si>
  <si>
    <t xml:space="preserve">Reza </t>
  </si>
  <si>
    <t>0812-9411-8417</t>
  </si>
  <si>
    <t>F454</t>
  </si>
  <si>
    <t>G408</t>
  </si>
  <si>
    <t xml:space="preserve">PT Bank Bukopin </t>
  </si>
  <si>
    <t>KCP Menara Sentraya, Menara Sentraya Lantai UG &amp; MZ, Jl Iskandarsyah No 1A, Kebayoran Baru,    Jakarta Selatan, -, Jakarta Selatan, DKI Jakarta, Indonesia, '-</t>
  </si>
  <si>
    <t>0990000320500608</t>
  </si>
  <si>
    <t>DEACTIVASI per 4 April 2024</t>
  </si>
  <si>
    <t>PT Mitsubishi Electric Indonesia</t>
  </si>
  <si>
    <t xml:space="preserve">(Backhaul) Gedung Jaya Lantai 8, Jl.Mh. Thamrin No.12 Jakarta Pusat 10340, Indonesia  </t>
  </si>
  <si>
    <t>Lippo Cikarang, Delta Silicon 5, Jl Kenari Raya No.7A Sukamahi, Kec.Cikarang Pusat, Kabupaten Bekasi, Jawa Barat, 17530</t>
  </si>
  <si>
    <t>A821205000047</t>
  </si>
  <si>
    <t>111205023466</t>
  </si>
  <si>
    <t>40 Mbps</t>
  </si>
  <si>
    <t xml:space="preserve">	968/SPP/SBU/ICON+/2023</t>
  </si>
  <si>
    <t>Muklis</t>
  </si>
  <si>
    <t>PT EDMI Indonesia</t>
  </si>
  <si>
    <t>Tendean Square RT.16/RW.2, Petogogan,Kec. Kebayoran Baru, Jakarta Selatan, DKI Jakarta, Indonesia, 12170</t>
  </si>
  <si>
    <t xml:space="preserve">Tendean Square RT.16/RW.2, Petogogan,Kec. Kebayoran Baru, Jakarta Selatan, DKI Jakarta, Indonesia, 12170 </t>
  </si>
  <si>
    <t>PA/ACT/2207/0445/TER</t>
  </si>
  <si>
    <t>4092/SPP/SBU/PLNICONPLUS/2024</t>
  </si>
  <si>
    <t>0878-7518-3837</t>
  </si>
  <si>
    <t>H334</t>
  </si>
  <si>
    <t xml:space="preserve">Multi Kontrol Nusantara </t>
  </si>
  <si>
    <t>Pelanggan PT Hipernet Indodata</t>
  </si>
  <si>
    <t>Gedung Wisma Bakrie 1 Lt. 2, Jl. Rasuna Said kav. B-1, Jakarta Selatan</t>
  </si>
  <si>
    <t>Gedung Teknis Kuningan (Epicentrum Mall PTSP), JL. HR Rasuna Said Kav C / 21, Kuningan, Jakarta Selatan, DKI Jakarta</t>
  </si>
  <si>
    <t>AL/2209/286463</t>
  </si>
  <si>
    <t>01000139802</t>
  </si>
  <si>
    <t>Perubahan nama Vendor Menjadi Graha Multimedia Nusantara</t>
  </si>
  <si>
    <t>J111202000942</t>
  </si>
  <si>
    <t>01000192946</t>
  </si>
  <si>
    <t xml:space="preserve"> Nettocyber Indonesia</t>
  </si>
  <si>
    <t>The Manhattan Square Mid Tower 2nd Floor Jl. TB Simatupang 15 Cilandak Timur Jakarta 12560</t>
  </si>
  <si>
    <t>capital place office, jl. Gatot subroto no. kav 18, rt 6/rw 1 jakarta selatan</t>
  </si>
  <si>
    <t>PA/UPG/2110/0092</t>
  </si>
  <si>
    <t>04000130969</t>
  </si>
  <si>
    <t xml:space="preserve">DEACTIVASI sesuai masa habis PO </t>
  </si>
  <si>
    <t>CAPITAL PLACE - LANTAI 6 Jl. Gatot subroto kav 18</t>
  </si>
  <si>
    <t>PA/ACT/2203/1954</t>
  </si>
  <si>
    <t>01000197917</t>
  </si>
  <si>
    <t>01000174648</t>
  </si>
  <si>
    <t>990000320517615</t>
  </si>
  <si>
    <t>01000174649</t>
  </si>
  <si>
    <t xml:space="preserve">60 Mbps </t>
  </si>
  <si>
    <t>PT Bank Rakyat Indonesia Syariah</t>
  </si>
  <si>
    <t>Ruko Kebayoran Centre Blok A No. 5</t>
  </si>
  <si>
    <t>Klinik Putra Medika Jl. Raya Cibarusah, Perumahan Villa Mutiara Cikarang, Sukaresmi, Bekasi, Jawa Barat</t>
  </si>
  <si>
    <t>PA/ACT/2009/0322/TER</t>
  </si>
  <si>
    <t>PT Bank Syariah Indonesia Tbk</t>
  </si>
  <si>
    <t>KCP Bekasi Grand Wisata Ruko Boulevard Grand Wisata Blok AA 11 No 19 dan 20, kel. Lambang Jaya</t>
  </si>
  <si>
    <t>PA/ACT/2110/4223</t>
  </si>
  <si>
    <t>01000173466</t>
  </si>
  <si>
    <t xml:space="preserve">Cabang Kuningan, Plaza Agro Jl HR Rasuna Said No.1 RT.7/RW.4, Kuningan Tim.,Kecamatan Setiabudi, Kota Jakarta Selatam, Daerah Khusus Ibukota Jakarta, 12950, </t>
  </si>
  <si>
    <t>AL/2203/68142</t>
  </si>
  <si>
    <t>01000130161</t>
  </si>
  <si>
    <t>(Bank Sinarmas Kemenag Jaktim) Jl. Terusan I Gusti Ngurah Rai, RT.5/RW.11, Pd. Kopi, Kec. Duren Sawit, Kota Jakarta Timur, Daerah Khusus Ibukota Jakarta 17134</t>
  </si>
  <si>
    <t>01000175690</t>
  </si>
  <si>
    <t>128 Kbps</t>
  </si>
  <si>
    <t>Airlin</t>
  </si>
  <si>
    <t>0815-7224-2424</t>
  </si>
  <si>
    <t>F357</t>
  </si>
  <si>
    <t>G397</t>
  </si>
  <si>
    <t>Dismantel Konfirm dari sales tanggal 30 October 2024</t>
  </si>
  <si>
    <t>'01000195154</t>
  </si>
  <si>
    <t>Pertanggal 30 Sept'23</t>
  </si>
  <si>
    <t xml:space="preserve"> Power Telecom</t>
  </si>
  <si>
    <t>Artha Asia Finance</t>
  </si>
  <si>
    <t>Jl. Tomang Raya Raya No. 43 Jakarta 11440</t>
  </si>
  <si>
    <t>KENCANA TOWER LT.5 DAN 6 BUSINESS PARK JL RAYA MERUYA ILIR NO 88 KECAMATAN KEBON JERUK KELURAHAN KEBON JERUK JAKARTA BARAT</t>
  </si>
  <si>
    <t>'020000023242/01000023241</t>
  </si>
  <si>
    <t>Trunk</t>
  </si>
  <si>
    <t xml:space="preserve"> Prestasi Piranti Informasi</t>
  </si>
  <si>
    <t>Bank Woori- PIK &amp;Bank Woori Central Park</t>
  </si>
  <si>
    <t>Menara Kadin 11th Floor Unit E-G Jl. HR Rasuna Said Blok X-5 kav. 2-3 Jakarta 12950</t>
  </si>
  <si>
    <t>Kantor Pusat BWS Jalan Diponegoro No.28 Bandung</t>
  </si>
  <si>
    <t>KCP-B Pantai Indah Kapuk Ruko Cordoba Blok A-11 Pantai Indah Kapuk, Kamal Muara, Kec.Penjaringan, Jakarta Utara, DKI Jakarta, Indonesia, 14470 ; KCP-B Central Park Ruko Garden Shopping Arcade No. 9 Ac podomoro City Central Park Grogol Jakarta Barat</t>
  </si>
  <si>
    <t>PA/UPG/1909/0260; PA/UPG/1909/0264</t>
  </si>
  <si>
    <t>990000320653754; '990000320653753</t>
  </si>
  <si>
    <t>local Loop</t>
  </si>
  <si>
    <t xml:space="preserve">Bank Woori- Garden Shopping </t>
  </si>
  <si>
    <t>KCP-B Central Park Ruko Garden Shopping Arcade no 9 AC Podomoro City Central Park Grogol Jakarta Barat</t>
  </si>
  <si>
    <t>990000320653753</t>
  </si>
  <si>
    <t xml:space="preserve">Prestasi Piranti Informasi </t>
  </si>
  <si>
    <t>Raya Merak KM 116 Desa Rawa Arum Pulomerak Gerem Cilegon Kota Cilegon Banten</t>
  </si>
  <si>
    <t xml:space="preserve">(Interkoneksi Neuvis) Gedung Cyber Jl Kuningan Barat Raya No  8 RT1 /3 Kuningan Barat Mampang Prapatan Jakarta Selatan </t>
  </si>
  <si>
    <t>01000095652</t>
  </si>
  <si>
    <t xml:space="preserve">Metronet </t>
  </si>
  <si>
    <t xml:space="preserve">SPP Hold @Pusat, karena Prestasi Piranti Informasi  Sebagai Costumer ICON PLUS  memiliki outstading Tagihan </t>
  </si>
  <si>
    <t xml:space="preserve"> Rekajasa Akses</t>
  </si>
  <si>
    <t>Trans Retail Transmart Pasaraya</t>
  </si>
  <si>
    <t xml:space="preserve">Local loop </t>
  </si>
  <si>
    <t>Food Baverages Indonesia</t>
  </si>
  <si>
    <t>Pasaraya Blok M Jalan Iskandarsyah II Kebayoran Baru Jakarta Selatan</t>
  </si>
  <si>
    <t>04000039423</t>
  </si>
  <si>
    <t xml:space="preserve"> Smartfren Telecom TBK</t>
  </si>
  <si>
    <t>Jl. H Agus Salim No 45</t>
  </si>
  <si>
    <t>Ruko Palais De Paris Blok D No. 11 Sukamahi, Cikarang Pusat Kabupaten Bekasi Jawa barat</t>
  </si>
  <si>
    <t>'01000007911</t>
  </si>
  <si>
    <t xml:space="preserve"> Sunvone Communication</t>
  </si>
  <si>
    <t>PT Moda Integrasi Transportasi Jabodetabek</t>
  </si>
  <si>
    <t>Gd plaza Sentral Lt 20</t>
  </si>
  <si>
    <t>wisma nusantara lt.3, Jl. M.H. Thamrin No. 59, Rt 9/RW5, Gondangdia, kec. Menteng, Jakarta Pusat</t>
  </si>
  <si>
    <t xml:space="preserve">Supra Primatama Nusantara (Biznet Networks) </t>
  </si>
  <si>
    <t>MidPlaza 2 Lantai 8 Jl. Jend Sudirman Kav 10 -11</t>
  </si>
  <si>
    <t>Wisma Nusantara, Lantai 23, Jl. M.H. Thamrin</t>
  </si>
  <si>
    <t>PA/ACT/2203/1163</t>
  </si>
  <si>
    <t>'0400019731</t>
  </si>
  <si>
    <t>DEACTIVASI Per 31 Mart 2024</t>
  </si>
  <si>
    <t>Supra Primatama Nusantara (Biznet Networks)</t>
  </si>
  <si>
    <t>PT Polytama Propindo</t>
  </si>
  <si>
    <t>Head Office PT Polytama Propindo - Gedung Mid Plaza 2, Jl. Jenderal Sudrman, Jakarta Pusat</t>
  </si>
  <si>
    <t>Jl. Juntinyuat KM. 13, Desa Limbangan Kab. Indramayu, Balongan, Kab Indramayu, Jawa Barat, Indonesia, 45282</t>
  </si>
  <si>
    <t>PA/ACT/2201/2967</t>
  </si>
  <si>
    <t>01000189276</t>
  </si>
  <si>
    <t>Telkom Indonesia (Persero) Tbk</t>
  </si>
  <si>
    <t>PT Pertamina Retail</t>
  </si>
  <si>
    <t>Jl.Kebon Sirih No.12, 10110 Jakarta Pusat</t>
  </si>
  <si>
    <t>SPBU-Cikupa Citra Raya</t>
  </si>
  <si>
    <t>04000206699</t>
  </si>
  <si>
    <t>1121/SPP/SBU/ICON+/2023</t>
  </si>
  <si>
    <t>PT Prodia Widyahusada Boulevard</t>
  </si>
  <si>
    <t>Business Service Telkom lt. 3 Kav. semper Jl. Yos Sudarso, Kav. 23-24, Jakarta Utara, Indonesia</t>
  </si>
  <si>
    <t>Jl Celebration Boulevard Kav 1 Blok AA No.9</t>
  </si>
  <si>
    <t>PA/ACT/2211/5293</t>
  </si>
  <si>
    <t>01000320982</t>
  </si>
  <si>
    <t>Metro P2P</t>
  </si>
  <si>
    <t>21202/SPP/008/PUSAT/ICON+/2023 | 4500020057</t>
  </si>
  <si>
    <t>3375/SPP/SBU/PLNICONPLUS/2024</t>
  </si>
  <si>
    <t>Rosdiana</t>
  </si>
  <si>
    <t>0813-6147-5293</t>
  </si>
  <si>
    <t>Jl Kebon Sirih No.10</t>
  </si>
  <si>
    <t>Menara Standart Chartered</t>
  </si>
  <si>
    <t>Jl Prof DR Satrio No. 164, Rt.4/Rw.4, Karet Semanggi, Kecamatan Setia Budi, Kota Jakarta Selatan, DKI Jakarta</t>
  </si>
  <si>
    <t>A811205000011</t>
  </si>
  <si>
    <t>Biaya OTC Rp 2,000,000</t>
  </si>
  <si>
    <t>PT Prodia Widyahusada Sudirman</t>
  </si>
  <si>
    <t>Jl. Yos Sudarso Kav 23-24 Jakarta Utara</t>
  </si>
  <si>
    <t>Jl. Jend. Sudirman Blok A Babakan, Tangerang, Jawa Barat, Indonesia</t>
  </si>
  <si>
    <t>01000187282</t>
  </si>
  <si>
    <t>214/SPP/SBU/ICON+/2023 | 4500020735</t>
  </si>
  <si>
    <t>3395/SPP/SBU/PLNICONPLUS/2024</t>
  </si>
  <si>
    <t>Jl. Sisingamangaraja Kav 4 - 6 Kebayoran Baru Jakarta selatan</t>
  </si>
  <si>
    <t xml:space="preserve">[PLN KANTOR PUSAT] ICON+ SERVER GANDUL,Cinere gandul ,Depok ,Jawa Barat ,Indonesia ,   </t>
  </si>
  <si>
    <t xml:space="preserve">TRUNOJOYO - CYBER TELKOM (DUKCAPIL VIA NNI TELKOMSEL),Gd Cyber Telkom, Gedung Cyber 1 Lt.6, Jl. Kuningan Barat Raya No.8, RT.1/RW.3, Kuningan Bar., Kec. M ,Jakarta Selatan ,DKI Jakarta ,Indonesia ,   </t>
  </si>
  <si>
    <t>PA/ACT/2110/0120</t>
  </si>
  <si>
    <t>01000163092</t>
  </si>
  <si>
    <t>BCA KCP Pondok Gede Plaza (PGP) Ruko Pondok Gede Plaza, Blok H no 3 dan 5</t>
  </si>
  <si>
    <t>PA/ACT/2302/1399</t>
  </si>
  <si>
    <t>01000343332</t>
  </si>
  <si>
    <t>2361/SPP/SBU/ICON+/2023</t>
  </si>
  <si>
    <t>0812-2090-9395</t>
  </si>
  <si>
    <t>H21</t>
  </si>
  <si>
    <t xml:space="preserve"> Trans Indonesia Sueprkoridor</t>
  </si>
  <si>
    <t>PT Jasa Jejaring Wasantara</t>
  </si>
  <si>
    <t>Artha Gading Niaga Blok E11 - 12 Jakarta</t>
  </si>
  <si>
    <t>Komplek Artha Gading Niaga Blok G Jakarta Utara DKI Jakarta</t>
  </si>
  <si>
    <t>PA/ACT/2008/2000</t>
  </si>
  <si>
    <t>01000128383</t>
  </si>
  <si>
    <t xml:space="preserve"> Trimitra Usaha Sejahtera</t>
  </si>
  <si>
    <t>Gedung Office 8 Lt. 18A Jl. Jend Sudirman Kav 52-53 Jakarta 12190</t>
  </si>
  <si>
    <t>PA/ACT/2112/2157</t>
  </si>
  <si>
    <t>01000183025</t>
  </si>
  <si>
    <t xml:space="preserve"> Wifiku Indonesia</t>
  </si>
  <si>
    <t>Pelanggan Komisi Pemberantasan Korupsi</t>
  </si>
  <si>
    <t>XL Axiata Tower, JL. HR Rasuna Said X5 Kav. 11 – 12, Kuningan Timur Setiabudi Jaksel 12950</t>
  </si>
  <si>
    <t>DC KPK BSD Graha TelkomSigma BSD,  Lantai 5, Wing A (Gedung Sisi Barat), Bumi Serpong Damai, Jalan Kapt. Subijanto Dj, Lengkong Gudang, Kec. Serpong, Kota Tangerang Selatan, Banten,  BSD Tangsel,  Jakarta Selatan,  DKI Jakarta,  Indonesia,  15321</t>
  </si>
  <si>
    <t xml:space="preserve">PT. XL Axiata. Tbk (Inbuilding JNB 2) Building di Jl. Sumba Blok A-B MM2100 , Cibitung, Bekasi (Rak KPK),- ,- ,- ,Indonesia ,-    </t>
  </si>
  <si>
    <t xml:space="preserve">PA/ACT/2012/0459  </t>
  </si>
  <si>
    <t>01000136989</t>
  </si>
  <si>
    <t>2500/SPP/SBU/ICON+/2024</t>
  </si>
  <si>
    <t>Ibu Egie</t>
  </si>
  <si>
    <t>0877-9210-1961</t>
  </si>
  <si>
    <t>H57</t>
  </si>
  <si>
    <t xml:space="preserve">KAI Commuter Jabodetabek </t>
  </si>
  <si>
    <t>PT. Prodia Widyahusada
PT. BANK SYARIAH BRI KC Bogor 
GIS 150 KV BOGOR BARU II (TAJUR), -, -, -, Indonesia - GI 150 KV CIANJUR
Bank BJB KCP Suryakencana No.315 Bogor
Maybank Kim Eng Sekuritas Ruko Mega Mall Pluit
PT. NAP INFO LINTASNUSA PLAZA KUNINGAN - StanChart Elitery Bogor
BCA H2H Elitery Data Center
PT Maybank Kim Eng Securities Indonesia Elitery Recovery Data Center
Data Sinergi H2H Bank Mandiri
Aplikanusa Lintasarta Unilever Indonesia
FUJITSU INDONESIA 
BT Communications Indonesia Graha Unilever
DATA SINERGITAMA JAYA 
CBN Cyber 2 P2MP QinQ</t>
  </si>
  <si>
    <t>JL.Ir H.Djuanda I</t>
  </si>
  <si>
    <t>Elitery Data Center; Jl. Raya Pajajaran No.61, RT.06/RW.13, Baranangsiang</t>
  </si>
  <si>
    <t>1000008128
990000320370121
990000320520509
990000320409433
1000058903
990000320368897
1000135933
'0990000320470177 
1000076136
1000127778
990000320452699
990000320478376
990000320514810
990000320433457</t>
  </si>
  <si>
    <t>19055/SPP/008/PUSAT/ICON+/2022 | 4500018320</t>
  </si>
  <si>
    <t>F184</t>
  </si>
  <si>
    <t>G216</t>
  </si>
  <si>
    <t>1.Biaya Sewa pertahun Rp.90.000.000</t>
  </si>
  <si>
    <t>Jl. Angkasa (Eks Gedung ADPEL Kemayoran Jakarta 10611</t>
  </si>
  <si>
    <t>Febri</t>
  </si>
  <si>
    <t>021-4207689</t>
  </si>
  <si>
    <t>F54</t>
  </si>
  <si>
    <t>1.Biaya sewa tahunan Rp.105.010.000</t>
  </si>
  <si>
    <t>Pusat Pengelolaan Komplek Gelora Bung Karno</t>
  </si>
  <si>
    <t>KOMITE OLIMPIADE INDONESIA</t>
  </si>
  <si>
    <t>Jl.Pintu Satu Selatan Jakarta Pusat</t>
  </si>
  <si>
    <t>FX Officer Tower Flr. 17 Jl. Pintu Senayan 1 Jakarta 10270 INDONESIA</t>
  </si>
  <si>
    <t>PA/ACT/2204/4275</t>
  </si>
  <si>
    <t>21297/SPP/008/PUSAT/ICON+/2023</t>
  </si>
  <si>
    <t>G44</t>
  </si>
  <si>
    <t>1.Sewa Lahan Utilitas PPKGBK selama 1 tahun Rp.89.400.000</t>
  </si>
  <si>
    <t xml:space="preserve">Reksa Griya Antam </t>
  </si>
  <si>
    <t>PT ANTAM TBK - Unit Bisnis Pertambangan Emas</t>
  </si>
  <si>
    <t>Jl.Letjen TB Simatupang No. 1 Tanjung Barat</t>
  </si>
  <si>
    <t>Gedung Aneka Tambang (Antam)</t>
  </si>
  <si>
    <t>ICON-00/SBC/1801/0538</t>
  </si>
  <si>
    <t>65/AMD/RGA-COMNET+/XII/2015
 12171/AMDVIII/061/ICON+/2015
 45000082336 |08016/SPP/008/PUSAT/ICON+/2018|4500011169 | 09703/SPP/008/PUSAT/ICON+/2018 | 4500012194 | 12339/SPP/008/PUSAT/ICON+/2019 | 4500014599</t>
  </si>
  <si>
    <t>4500014599</t>
  </si>
  <si>
    <t>Jauhari</t>
  </si>
  <si>
    <t>021-7891234</t>
  </si>
  <si>
    <t>B11</t>
  </si>
  <si>
    <t>B274</t>
  </si>
  <si>
    <t>D218</t>
  </si>
  <si>
    <t>1. Sewa Shaft Kabel Rp4.247.100/tahun 
 2. Sewa Collo Rp12.741.300/tahun
 3. Jaminan Rp36.035.655,-
 4. Listrik Rp85.000,-/bulan atau Rp1.020.000,-/tahun</t>
  </si>
  <si>
    <t xml:space="preserve">Restyle Development </t>
  </si>
  <si>
    <t>[PLN KANTOR PUSAT] - DIVISI BISNIS NIAGA DAN PEMASARAN (RECAPITAL BUILDING) , Lt. 8</t>
  </si>
  <si>
    <t>Recapital Building Lt. 10 Jl. Adityawarman Kav. 9 Jakarta 12161</t>
  </si>
  <si>
    <t>[PLN KANTOR PUSAT] DIVISI BISNIS NIAGA DAN PEMASARAN / RECAPITAL BUILDING lantai 8, Jln.Adityawarman</t>
  </si>
  <si>
    <t>PA/ACT/1901/2849
 PA/ACT/1901/2848 PA/ACT/1901/2850 
 PA/ACT/1902/0213 
 PA/ACT/1902/0214
 PA/ACT/1902/0215
 PA/ACT/1902/0216
 PA/ACT/1902/0217
 PA/ACT/1902/0218
 PA/ACT/1902/0219</t>
  </si>
  <si>
    <t>10269/SPP/008/PUSAT/ICON+/2019</t>
  </si>
  <si>
    <t>Hery Sosiawan</t>
  </si>
  <si>
    <t>021-72794177 Ext.553</t>
  </si>
  <si>
    <t>C24</t>
  </si>
  <si>
    <t>1.Biaya sewa tahunan Rp.10.000.001</t>
  </si>
  <si>
    <t>PT PLN SC</t>
  </si>
  <si>
    <t>Recapital Building Lt. 10 Jl. Adityawarman Kav. 9 Jakarta 12160</t>
  </si>
  <si>
    <t>PT PJB GEDUNG RECAPITAL Lt.3, Jl. Adityawarman No.55, RT.3/RW.2, Melawai, Kby. Baru, Kota Jakarta Selatan</t>
  </si>
  <si>
    <t>ICON-00/ACT/1709/1245</t>
  </si>
  <si>
    <t>07731/SPP/008/PUSAT/ICON+/2017 4500011023 | 09375/SPP/008/PUSAT/ICON+/2018 | 4500011967 | 14408/SPP/008/PUSAT/ICON+/2020 | 4500015121</t>
  </si>
  <si>
    <t>1695/SPP/SBU/ICON+/2023</t>
  </si>
  <si>
    <t>021-72794177 Ext.552</t>
  </si>
  <si>
    <t>G323</t>
  </si>
  <si>
    <t>G375</t>
  </si>
  <si>
    <t>1.Biaya sewa tahunan Rp.10.000.000</t>
  </si>
  <si>
    <t>DANA PENSIUN PLN</t>
  </si>
  <si>
    <t>Recapital Building Lt. 10 Jl. Adityawarman Kav. 9 Jakarta 12162</t>
  </si>
  <si>
    <t xml:space="preserve">RECAPITAL BUILDING JL. ADITIYAWARMAN NO.55, RT.3/RW.2, MELAWAI, KEC. KBY. BARU, KOTA JAKARTA SELATAN, DAERAH KHUSUS IBUKOTA JAKARTA 12160 </t>
  </si>
  <si>
    <t>A111303000039</t>
  </si>
  <si>
    <t>77/SPP/SBU/ICON+/2023</t>
  </si>
  <si>
    <t>021-72794177 Ext.554</t>
  </si>
  <si>
    <t>1.Biaya sewa 6 bulan Rp.5.000.000,-</t>
  </si>
  <si>
    <t>PTPLN /Geo Dipa</t>
  </si>
  <si>
    <t>Recapital Building Jl. Adityawarman Kav. 55 Jakarta 12160</t>
  </si>
  <si>
    <t>ICON-00/ACT/1708/0050</t>
  </si>
  <si>
    <t xml:space="preserve">3720117/SPR/ICON+/2017 | 08295/SPP/008/PUSAT/ICON+/2018 | 4500011314 </t>
  </si>
  <si>
    <t>12700/SPP/008/PUSAT/ICON+/2020</t>
  </si>
  <si>
    <t>D335</t>
  </si>
  <si>
    <t>Sewa Shaft Kabel Fo menuju server PT Geo Dipa Rp10.000.000/tahun</t>
  </si>
  <si>
    <t>4000030308
 4000030172
 4000030171
 4000030170
 4000030169
 1000030613</t>
  </si>
  <si>
    <t>07407/SPP/008/PUSAT/ICON+/2017 | 4500010815 | 08965/SPP/008/PUSAT/ICON+/2018 | 4500011757 | 11113/SPP/008/PUSAT/ICON+/2019 | 4500013263 | 13936/SPP/008/PUSAT/ICON+/2020 | 4500015154| 16292/SPP/008/PUSAT/ICON+/2021| 4500016856 | 18851/SPP/008/PUSAT/ICON+/2022 | 4500018969</t>
  </si>
  <si>
    <t>748/SPP/SBU/ICON+/2023</t>
  </si>
  <si>
    <t>B261</t>
  </si>
  <si>
    <t>C192</t>
  </si>
  <si>
    <t>D331</t>
  </si>
  <si>
    <t>E305</t>
  </si>
  <si>
    <t>F339</t>
  </si>
  <si>
    <t>G242</t>
  </si>
  <si>
    <t>Biaya Instalasi Rp.5.000.000,- dan Perizinan Rp.10.000.000,-</t>
  </si>
  <si>
    <t>Recapital Building Lt. 5 Jl. Adityawarman Kav. 9 Jakarta 12160</t>
  </si>
  <si>
    <t>Kantor SPI Lantai 5, Jl. Adityawarman No.55, Jakarta Selatan, Kebayoran Baru, Jakarta Selatan, DKI Jakarta</t>
  </si>
  <si>
    <t>PA/UPG/2304/0281</t>
  </si>
  <si>
    <t>2146/SPP/SBU/ICON+/2023</t>
  </si>
  <si>
    <t>G366</t>
  </si>
  <si>
    <t>Recapital Building Lt. 1 dan Lt. GF Jl. Adityawarman Kav. 9 Jakarta 12160</t>
  </si>
  <si>
    <t>Lantai 1 dan GF, Jl. Adityawarman No.55, Jakarta Selatan, Kebayoran Baru, Jakarta Selatan, DKI Jakarta</t>
  </si>
  <si>
    <t>A831303000035</t>
  </si>
  <si>
    <t>2147/SPP/SBU/ICON+/2023 | 4500021819</t>
  </si>
  <si>
    <t>4091/SPP/SBU/PLNICONPLUS/2024</t>
  </si>
  <si>
    <t>G365</t>
  </si>
  <si>
    <t>H373</t>
  </si>
  <si>
    <t>PT. SMART, TBK</t>
  </si>
  <si>
    <t>Sinar Mas Land Plaza Menara 2 Basement 1
Jl. MH. Thamrin No. 51 Jakarta 10350</t>
  </si>
  <si>
    <t>Jl. Tarjun, Kecamatan Kalumpang Hilir, Kabupaten Kotabaru, Kalimantan Selatan, Indonesia, 72161</t>
  </si>
  <si>
    <t>13938/SPP/008/PUSAT/ICON+/2020| 4500014791</t>
  </si>
  <si>
    <t>D165</t>
  </si>
  <si>
    <t>F304</t>
  </si>
  <si>
    <t>Biaya Sewa Pertahun 96.000.000</t>
  </si>
  <si>
    <t>3869/SPP/SBU/PLNICONPLUS/2024</t>
  </si>
  <si>
    <t>H321</t>
  </si>
  <si>
    <t>Plaza BII Tower II Jl. MH Thamrin No. 51 Jakarta Pusat (Bank Mizuho Indonesia Level 24 - Pelanggan PT NTT Indonesia SO No. ICON-00/ACT/1605/0716)</t>
  </si>
  <si>
    <t>ICON-00/ACT/1605/0716</t>
  </si>
  <si>
    <t>091503/MI/004/PUSAT/ICON+/2016 | 4500009872 | 450000987 |07489/SPP/008/PUSAT/ICON+/2017 | 4500010869 | 08827/SPP/008/PUSAT/ICON+/2018 | 4500011677</t>
  </si>
  <si>
    <t>11175/SPP/008/PUSAT/ICON+/2019</t>
  </si>
  <si>
    <t>Dorotia</t>
  </si>
  <si>
    <t>021-2301441
 021-3910807</t>
  </si>
  <si>
    <t>B167</t>
  </si>
  <si>
    <t>C173</t>
  </si>
  <si>
    <t>1. Pembayaran Sewa Penempatan Kabel FO u 226 m dan lebar 0,1 m Rp.84.207.600 ,-/tahun
 2. Jaminan Rp6.000.000,-</t>
  </si>
  <si>
    <t>PT. MORA TELEMATIKA INDONESIA</t>
  </si>
  <si>
    <t>Plaza BII, Jl. MH Thamrin, Jakarta Pusat</t>
  </si>
  <si>
    <t>PA/ACT/1908/4438</t>
  </si>
  <si>
    <t>13938/SPP/008/PUSAT/ICON+/2020 | 4500013431</t>
  </si>
  <si>
    <t>14603/SPP/008/PUSAT/ICON+/2020</t>
  </si>
  <si>
    <t>C230</t>
  </si>
  <si>
    <t>D317</t>
  </si>
  <si>
    <t>PT. ASTRA GRAPHIA INFORMASI TECHNOLOGY
 PT. ASTRA INTERNATIONAL
 PT. TOYOTA ASTRA FINANCIAL SERVICES</t>
  </si>
  <si>
    <t>Jl Tb Simatupang RT 004 RW 001 KAV.15 Jakarta Selatan</t>
  </si>
  <si>
    <t>Menara FIF, lantai 1st on Jalan TB Simatupang kav.15 Cilandak Barat Jakarta 12430 (DRC)-(relokasi ruang server), Cilandak, Jakarta Selatan, DKI Jakarta, Indonesia.</t>
  </si>
  <si>
    <t>"PA/ACT/1806/0079
 "ICON-00/SBC/1509/0095
 AL/1805/2823
 ICON-00/SBC/1211/0462</t>
  </si>
  <si>
    <t>12412/SPP/008/PUSAT/ICON+/2019 | 4500013729 | 14935/SPP/008/PUSAT/ICON+/2020 | 4500015692 | 17081/SPP/008/PUSAT/ICON+/2021 | 4500017141 | 20629/SPP/008/PUSAT/ICON+/2022 | 4500019626</t>
  </si>
  <si>
    <t>2463/SPP/SBU/ICON+/2024</t>
  </si>
  <si>
    <t>C266</t>
  </si>
  <si>
    <t>E401</t>
  </si>
  <si>
    <t>F461</t>
  </si>
  <si>
    <t>H247</t>
  </si>
  <si>
    <t>1.Biaya Sewa Shaft Rp.20.000.000,- 2.Biaya Sewa Rack Rp.30.000.000,-</t>
  </si>
  <si>
    <t>PT AEK TARUM
 PT. BINASAWIT MAKMUR</t>
  </si>
  <si>
    <t>Jl Jend Sudirman Kav 45-46 Lever Mezzanine Jakarta Selatan 12930</t>
  </si>
  <si>
    <t>Sampoerna Strategic Square Tower A Lantai 19, Jalan Jenderal Sudirman Kav. 45-46, RT.3/RW.4, Karet Semanggi, Jakarta</t>
  </si>
  <si>
    <t>PA/ACT/1901/1720
 PA/ACT/1901/1721</t>
  </si>
  <si>
    <t>10744/SPP/008/PUSAT/ICON+/2019 | 4500012754 | 12491/SPP/008/PUSAT/ICON+/2020 | 4500013808| 15415/SPP/008/PUSAT/ICON+/2021| 4500015992 | 17858/SPP/008/PUSAT/ICON+/2022 | 4500017828</t>
  </si>
  <si>
    <t>4500020368</t>
  </si>
  <si>
    <t>Tri Sunarti</t>
  </si>
  <si>
    <t>021-5770001-4</t>
  </si>
  <si>
    <t>C86</t>
  </si>
  <si>
    <t>D17</t>
  </si>
  <si>
    <t>E129</t>
  </si>
  <si>
    <t>F274</t>
  </si>
  <si>
    <t>G100</t>
  </si>
  <si>
    <t>sewa jalur kabel sebesar Rp.60.500.000,-</t>
  </si>
  <si>
    <t>PT. TELEKOMUNIKASI INDONESIA INTERNATIONAL</t>
  </si>
  <si>
    <t>Gedung Cyber 1 No.8</t>
  </si>
  <si>
    <t>DC TELIN, Jalan Medan Merdeka Timur No.5 Gedung Perhubungan Lantai 1</t>
  </si>
  <si>
    <t>F369</t>
  </si>
  <si>
    <t>DCI Cibitung Gd. JK 1 Jl. Halmahera Blok. F1 No. 1, Danau Indah, Cikarang Barat, Bekasi, Kawasan Industri MM2100 Cibitung DCI Gd. JK 1, Cikarang, Jawa Barat, Indonesia,</t>
  </si>
  <si>
    <t>17759/SPP/008/PUSAT/ICON+/2022 | 4500017597 | 21652 | 4500020355</t>
  </si>
  <si>
    <t>F50</t>
  </si>
  <si>
    <t>G215</t>
  </si>
  <si>
    <t>H108</t>
  </si>
  <si>
    <t>PT China Telecom Indonesia</t>
  </si>
  <si>
    <t>DRC PT Satata Neka Tama Cyber Building 3rd Floor Jl. Kuningan Barat No.8,  Cyber,  Jakarta Selatan,  DKI Jakarta,  Indonesia,  12710</t>
  </si>
  <si>
    <t>PA/ACT/2005/0852</t>
  </si>
  <si>
    <t>17791/SPP/008/PUSAT/ICON+/20223</t>
  </si>
  <si>
    <t>2133/SPP/SBU/ICON+/2023</t>
  </si>
  <si>
    <t>F147</t>
  </si>
  <si>
    <t>PT. ABADI TAMBAH MULIA INTERNASIONAL (ATMI)
 PT. BANK PERKREDITAN RAKYAT KARYAJATNIKA SADAYA</t>
  </si>
  <si>
    <t>Gedung Cyber Lantai 3 Jl. Kuningan Barat Raya No.8, Mampang Prapatan, jakarta Selatan</t>
  </si>
  <si>
    <t>PA/ACT/1908/2157
 ICON-00/ACT/1708/0193</t>
  </si>
  <si>
    <t>13765/SPP/008/PUSAT/ICON+/2020 | 4500016253</t>
  </si>
  <si>
    <t>C249</t>
  </si>
  <si>
    <t>E197</t>
  </si>
  <si>
    <t>G374</t>
  </si>
  <si>
    <t>PT. ABADI TAMBAH MULIA INTERNASIONAL (ATMI)</t>
  </si>
  <si>
    <t>Gedung Cyber1, Lantai 3, Jalan No.8 RT.1/RW.3 (RAK 35 PT. SMS), Kuningan Barat, Mampang Prapatan, Jakarta Selatan, DKI Jakarta, Indonesia, 13450.</t>
  </si>
  <si>
    <t>PA/ACT/1908/2157
 PA/ACT/1908/2158
 PA/ACT/1908/2160</t>
  </si>
  <si>
    <t>11665/SPP/008/PUSAT/ICON+/2019 | 4500013277 | 16077/SPP/008/PUSAT/ICON+/2021 | 4500016329</t>
  </si>
  <si>
    <t>C194</t>
  </si>
  <si>
    <t>E161</t>
  </si>
  <si>
    <t xml:space="preserve">Sanggar Mustika Indah </t>
  </si>
  <si>
    <t>PT. HUTCHISON 3 INDONESIA</t>
  </si>
  <si>
    <t>Menara Mulia Jl. Jendral Gatot Subroto Kav. 9-11 Karet Semanggi, Setiabudi Jakarta 12930</t>
  </si>
  <si>
    <t>Menara Mulia Jl. Jend. Gatot Subroto Kav. 9-11 Jakarta 12930</t>
  </si>
  <si>
    <t>990000320511959
 990000320477676
 990000320477674
 990000320477671
 990000320477669
 990000320477668
 990000320477667
 990000320477649
 990000320477648
 990000320477647
 990000320477666
 990000320477664
 990000320477660
 990000320477657
 990000320477652</t>
  </si>
  <si>
    <t>4500009544 |4500010557 |07039/SPP/008/PUSAT/ICON+/2017 | 08517/SPP/008/PUSAT/ICON+/2018 | 4500011510 | 11094/SPP/008/PUSAT/ICON+/2019 | 4500012981 | 13600/SPP/008/PUSAT/ICON+/2020 | 4500014650 | 16252/SPP/008/PUSAT/ICON+/2021 | 4500016454</t>
  </si>
  <si>
    <t>17353/SPP/008/PUSAT/ICON+/2021</t>
  </si>
  <si>
    <t>4500017283</t>
  </si>
  <si>
    <t>Indiera</t>
  </si>
  <si>
    <t>021-5222579</t>
  </si>
  <si>
    <t>B94</t>
  </si>
  <si>
    <t>C140</t>
  </si>
  <si>
    <t>D207</t>
  </si>
  <si>
    <t>E245</t>
  </si>
  <si>
    <t>E406</t>
  </si>
  <si>
    <t>1. Sewa Collo 2 m2 Rp100.000.000,-
 2. Biaya Jaminan senilai 3 bulan masa sewa USD 1725
 3. Biaya Supervisi Rp50.000/jam total 7 jam
 4. Biaya reinstate Rp100.000/lot total 13 lot (dr lt.4 ke lt.19)</t>
  </si>
  <si>
    <t>SKK Migas
 Bank ICBC</t>
  </si>
  <si>
    <t>Wisma Mulia Jalan Gatot Subroto No. 42 Kuningan Barat Mampang Prapatan Jakarta 12710</t>
  </si>
  <si>
    <t>Wisma Mulia Jl. Jend. Gatot Subroto No. 42 Jakarta</t>
  </si>
  <si>
    <t>PA/ACT/1903/2071 
 PA/ACT/1903/2070
 AL/1809/9776
 ICON-00/SBC/1505/0486
 ICON-00/SBC/1302/0405
 ICON-00/SBC/1302/0406</t>
  </si>
  <si>
    <t>4500009750 | 34/ICON/NETLA-06/16/00 | 092729/MI/004/PUSAT/ICON+/2016 |5271016/SPR/ICON+/2016 | 07228/SPP/008/PUSAT/ICON+/2017 | 4500010664 | 08921/SPP/008/PUSAT/ICON+/2018 | 4500011704</t>
  </si>
  <si>
    <t>11390/SPP/008/PUSAT/ICON+/2019</t>
  </si>
  <si>
    <t>Metty</t>
  </si>
  <si>
    <t>021-30002008</t>
  </si>
  <si>
    <t>B165</t>
  </si>
  <si>
    <t>C159</t>
  </si>
  <si>
    <t>1. Sewa Shaft Cable USD 13,800/tahun update 2016 Rp23.000.000,-/bulan atau total Rp276.000.000,-
 2. Jaminan Sewa senilai 3 bulan masa sewa USD 3,450 update tahun 2016 Rp69.000.000,-
 3. Perbaikan lantai 41 lt Rp40.000,-/lt total Rp1.640.000,-
 4. Biaya Supervisi Rp70.000,-/jam total untuk 15 jam Rp1.050.000,-</t>
  </si>
  <si>
    <t xml:space="preserve">SATUAN KERJA KHUSUS PELAKSANA KEGIATAN USAHA HULU MINYAK DAN GAS BUMI </t>
  </si>
  <si>
    <t>19470/SPP/008/PUSAT/ICON+/2022 | 4500018667</t>
  </si>
  <si>
    <t>768/SPP/SBU/ICON+/2023</t>
  </si>
  <si>
    <t>F268</t>
  </si>
  <si>
    <t>G206</t>
  </si>
  <si>
    <t>1.Biaya Sewa Tahunan Rp.145.000.000</t>
  </si>
  <si>
    <t xml:space="preserve">Sarana Titan Manunggal </t>
  </si>
  <si>
    <t>Gedung Titan Center
Jl. Boulevard Bintaro Blok B7/B1 Nomor 5
Bintaro Jaya Sektor 7 Tangerang</t>
  </si>
  <si>
    <t>Gedung Sarana Titan/Titan Center
 Ruang Control Room Engineering Basement (PT Cyberindo Aditama SO No. ICON-00/ACT/1609/0615)</t>
  </si>
  <si>
    <t>ICON-00/ACT/1609/0615</t>
  </si>
  <si>
    <t>86/Titan/19/12/16
 3981216/SPR/ICON+/2016 06625/SPP/008/
 PUSAT/ICON+/2017 4500010291 08460/SPP/008/PUSAT/ICON+/2018 4500011388 | 09473/SPP/008/PUSAT/ICON+/2018 | 4500012025 | 11984/SPP/008/PUSAT/ICON+/2019 | 4500013602</t>
  </si>
  <si>
    <t>14683/SPP/008/PUSAT/ICON+/2020</t>
  </si>
  <si>
    <t>Bimo Yulianto</t>
  </si>
  <si>
    <t>021-7451777 ext 1025</t>
  </si>
  <si>
    <t>D318</t>
  </si>
  <si>
    <t>E48</t>
  </si>
  <si>
    <t>Sewa Collo</t>
  </si>
  <si>
    <t>Jl. Angkasa (Eks Gedung ADPEL Kemayoran Jakarta 10610</t>
  </si>
  <si>
    <t>PA/RLK/2206/0019</t>
  </si>
  <si>
    <t>09507/SPP/008/PUSAT/ICON+/2018 | 4500012038 | 12095/SPP/008/PUSAT/ICON+/2019 | 4500013879 | 14684/SPP/008/PUSAT/ICON+/2020 | 4500015363</t>
  </si>
  <si>
    <t>2484/SPP/SBU/PLNICONPLUS/2024</t>
  </si>
  <si>
    <t>021-4207688</t>
  </si>
  <si>
    <t>B226</t>
  </si>
  <si>
    <t>D87</t>
  </si>
  <si>
    <t>E148</t>
  </si>
  <si>
    <t>F5</t>
  </si>
  <si>
    <t>H229</t>
  </si>
  <si>
    <t>1.Jaminan Sewa Rp.4.950.000 2.Biaya Sewa 1 tahun datascript Rp.7.636.363 3.Biaya Sewa ke pengelola Lahan Rp.9.900.000 4.Biaya instalasi Data Script Rp.10.000.000 5.Biaya PKB Rp.32.469.337</t>
  </si>
  <si>
    <t>PT. HIJAU SOLUSI UTAMA</t>
  </si>
  <si>
    <t>JL TABING KOMPLEK KEMAYORAN B 16 NO 2 GUNUNG SAHARI UTARA, KEMAYORAN, Jakarta Pusat, DKI Jakarta, Indonesia, 10720</t>
  </si>
  <si>
    <t>17563/SPP/008/PUSAT/ICON+/2021 | 4500017399 I  20468/SPP/008/PUSAT/ICON+/2022 I 4500019619</t>
  </si>
  <si>
    <t>2499/SPP/SBU/ICON+/2023</t>
  </si>
  <si>
    <t>F10</t>
  </si>
  <si>
    <t>F462</t>
  </si>
  <si>
    <t>H249</t>
  </si>
  <si>
    <t>1. Penempatan Kabel Rp.14.280.000 | 2.Handhole Rp.400.000</t>
  </si>
  <si>
    <t>Jl. Angkasa (Eks Gedung ADPEL Kemayoran Jakarta 10612</t>
  </si>
  <si>
    <t>Kantor Pusat Angksa Pura 1, Jalan Kota Bandar Baru Blok B. 12 Kav 2, Lantai 3, Kemayoran, Jakarta Pusat, DKI Jakarta, Indonesia, 10610</t>
  </si>
  <si>
    <t>PA/ACT/1901/0235
 PA/ACT/1901/0236</t>
  </si>
  <si>
    <t>10964/SPP/008/PUSAT/ICON+/2019| 4500012892</t>
  </si>
  <si>
    <t>18585/SPP/008/PUSAT/ICON+/2022</t>
  </si>
  <si>
    <t>021-4207690</t>
  </si>
  <si>
    <t>C60</t>
  </si>
  <si>
    <t>F202</t>
  </si>
  <si>
    <t>1.Biaya sewa tahunan sebesar 45.876.600</t>
  </si>
  <si>
    <t>Badan Nasional Pencarian dan Pertolongan (BASARNAS)</t>
  </si>
  <si>
    <t>Kantor Pusat Basarnas - Jl. Angkasa No.2-3, RW.10, South Gunung Sahari, Kemayoran, Central Jakarta City, Jakarta 10610, Kemayoran, Jakarta Pusat, DKI Jakarta, Indonesia, 10610</t>
  </si>
  <si>
    <t>17628/SPP/008/PUSAT/ICON+/2022 | 4500017450 | 20466/SPP/008/PUSAT/ICON+2022 | 4500019635</t>
  </si>
  <si>
    <t>3298/SPP/SBU/PLNICONPLUS/2024</t>
  </si>
  <si>
    <t>F1</t>
  </si>
  <si>
    <t>F463</t>
  </si>
  <si>
    <t>1.Biaya Sewa Tahunan Rp.45.612.000</t>
  </si>
  <si>
    <t>Lahan Komplek Kemayoran (Gedung Indogrosir Jl. Terusan Angkasa B2 kav.1 , Gunung Sahari Selatan, Jakarta Pusat(seberang MGK, masih di tepi jl Benyamin Sueb- PT Indomarco Prismatama)</t>
  </si>
  <si>
    <t>PA/UOD/1905/0010</t>
  </si>
  <si>
    <t>100230/MI/004/PUSAT/ICON+/2013 | 08859/SPP/008/PUSAT/ICON+/2018
 09275/SPR/008/PUSAT/ICON+/2013
 4500009598 07689/SPP/008/PUSAT/ICON+/2017 4500011007 } 4500011683 | 11097/SPP/008/PUSAT/ICON+/2019 | 4500013586 | 13679/SPP/008/PUSAT/ICON+/2020 | 4500014776</t>
  </si>
  <si>
    <t>16297/SPP/008/PUSAT/ICON+/2021</t>
  </si>
  <si>
    <t>B185</t>
  </si>
  <si>
    <t>C287</t>
  </si>
  <si>
    <t>D322</t>
  </si>
  <si>
    <t>E357</t>
  </si>
  <si>
    <t>1. Jaminan bervariasi mulai dari Rp20.000.000,- s/d Rp50.000.000,-
 2. Biaya One Time Charged Rp7.468.000 terdiri dari :
 a. Ijin galian Rp2.500/m' total 242 m'
 b. Biaya penyempurnaan bekas galian (pemeliharaan) Rp1.500/m' total 242 m'
 c. Ijin pembuatan bak kontrol Rp2000.000/titik total 1 titik
 d. Ijin penggunaan box utilitas Rp100.000/m total 30m
 e. Ijin boring/duct selam Rp1.500.000/titik total 1 titik
 3. Biaya sewa Rp5000/m'/bulan total untuk 242 m' selama 3 (tiga) tahun Rp43.560.000</t>
  </si>
  <si>
    <t>PT PENJAMINAN JAMKRINDO SYARIAH</t>
  </si>
  <si>
    <t>Lahan Komplek Kemayoran (Jl. Angkasa Blok B-9 Kav. 6 Kota Baru Bandar Kemayoran Central Jakarta 10610 
 (Jl. Angkasa s/d Jamkrindo).</t>
  </si>
  <si>
    <t>ICON-00/ACT/1605/0659</t>
  </si>
  <si>
    <t>4500009721 | 07667/SPP/008/PUSAT/ICON+/2017 | 4500011006 | 09029/SPP/008/PUSAT/ICON+/2018 | 4500011865 | 11651/SPP/008/PUSAT/ICON+/2019 | 4500013342 | 14143/SPP/008/PUSAT/ICON+/2020 | 4500015277 | 16559/SPP/008/PUSAT/ICON+/2021 | 4500016635</t>
  </si>
  <si>
    <t>19686/SPP/008/PUSAT/ICON+/2022</t>
  </si>
  <si>
    <t>B179</t>
  </si>
  <si>
    <t>C231</t>
  </si>
  <si>
    <t>D323</t>
  </si>
  <si>
    <t>E392</t>
  </si>
  <si>
    <t>F336</t>
  </si>
  <si>
    <t>1. Jaminan bervariasi mulai dari Rp20.000.000,- s/d Rp50.000.000,-
 2. Biaya One Time Charged Rp29.500.000,- terdiri dari :
 a. Ijin galian Rp2.500/m' total 750 m'
 b. Biaya penyempurnaan bekas galian (pemeliharaan) Rp1.500/m' total 750 m'
 c. Ijin penggunaan box utilitas Rp100.000/m total 20m'
 d. Ijin boring/duct selam Rp1.500.000/titik total 11 titik
 c. Mainhole Rp2.000.000/buah total 4 buah
 Udate Tahun 2015, terdapat Peraturan Mentri Keuangan No. 138/PMK.05/2014 . Dimana terdapat biaya sewa dengan rincian sebagai berikut :
 a. Penggunaan Tanah utk penempatan kabel Rp5.000/m/bulan total untuk 360 m'
 b. Instalasi Pipa diameter sd 300 mm Rp1.000/m/bulan
 c. Instalasi Pipa diameter 301 mm sd 500 mm Rp2.500/m/bulan
 d. Instalasi Pipa diameter 501 mm sd 1000 mm Rp5000/m/bulan
 e. Instalasi Pipa diameter &gt; 1000 mm Rp10.000/m/bulan</t>
  </si>
  <si>
    <t>PPKK, Jl. Merpati B-14 No. 2, Kota Baru Bandar Kemayoran, Jakarta Pusat 10720</t>
  </si>
  <si>
    <t>09034/SPP/008/PUSAT/ICON+/2018 | 4500011751 | 11527/SPP/008/PUSAT/ICON+/2019 | 4500013585 | 16066/SPP/008/PUSAT/ICON+/2021 | 4500016699 | 19708/SPP/008/PUSAT/ICON+/2022 | 4500018841</t>
  </si>
  <si>
    <t>704/SPP/SBU/ICON+/2023</t>
  </si>
  <si>
    <t>D84</t>
  </si>
  <si>
    <t>E300</t>
  </si>
  <si>
    <t>F424</t>
  </si>
  <si>
    <t>G193</t>
  </si>
  <si>
    <t>1.Biaya OTC Rp 5.000.000,- 3.Biaya Jaminan Sewa sebesar Rp.1.020.000,- 4.Biaya PKB sebesar Rp.14.208.957,-</t>
  </si>
  <si>
    <t>PT. SEAMLESS PIPE INDONESIA JAYA
 PT. BERLIAN SISTEM INFORMASI
 PT. MAYBANK KIM ENG SEKURITAS</t>
  </si>
  <si>
    <t>Jl.Asia Afrika No.8 Jakarta 10270</t>
  </si>
  <si>
    <t>1.F11 Sentral Senayan II, JL. Asia Afrika Gelora Bung Karno, No. 8, Gelora, Tanah Abang, 10270 Jakarta Pusat, Indonesia, RT.1/RW.3, Gelora, Tanah Abang, Central Jakarta City, Jakarta 10270, Tanah Abang, Jakarta Pusat, DKI Jakarta, Indonesia, 10270 | 
 2.PT. Berlian Sistem Informasi Gedung Sentral Senayan 2 lt. 21, Jl. Asia Afrika No. 8, Jakarta, 10270,- ,- ,- ,Indonesia ,- |
 3.PT Dipo Star Finance HO Sentral Senayan, Gedung Sentral Senayan II, Lt.3 Jl. Asia Afrika No.8, -, Jakarta Selatan, DKI Jakarta, Indonesia, 10270 |
 4.Ruko Mega Mall Pluit/Lippo Village No. 48 Jalan Pluit indah no. 1, Pluit, Jakarta Utara, DKI Jakarta, Indonesia, 14450 |
 5.Spazio Office Building 3rd Floor Unit 305 Jl.mayjend Yono Soewoyo Kav 3 Surabaya 60226, surabaya, Surabaya, Jawa Timur, Indonesia |</t>
  </si>
  <si>
    <t>PA/ACT/2108/0103
 PA/UPG/2004/0026
 PA/ACT/1903/0697
 PA/ACT/1905/2963
 PA/ACT/1801/2387</t>
  </si>
  <si>
    <t>16691/SPP/008/PUSAT/ICON+/2021 | 4500016890 | 19951 | 4500019201</t>
  </si>
  <si>
    <t>Denis</t>
  </si>
  <si>
    <t>E260</t>
  </si>
  <si>
    <t>F465</t>
  </si>
  <si>
    <t>G423</t>
  </si>
  <si>
    <t>PT PLN Unit Induk Distribusi Banten GH 611</t>
  </si>
  <si>
    <t>MyRepublik plaza lt 2 Wing A</t>
  </si>
  <si>
    <t>[UID BANTEN- UP2D] DCC UP2D BANTEN</t>
  </si>
  <si>
    <t>GH 611</t>
  </si>
  <si>
    <t>PA/ACT/2210/3414</t>
  </si>
  <si>
    <t>01000318708</t>
  </si>
  <si>
    <t>2444/SPP/SBU/ICON+/2024</t>
  </si>
  <si>
    <t>H49</t>
  </si>
  <si>
    <t>Lulu Hypermarket Q-BIG MALL-Blok A Jl. BSD Raya Utama BSD City Tangerang 15345, Indonesia</t>
  </si>
  <si>
    <t xml:space="preserve">ICON-00/SBC/1711/0550 </t>
  </si>
  <si>
    <t>990000320522154</t>
  </si>
  <si>
    <t>684/SPP/SBU/ICON+/2023 | 4500020919</t>
  </si>
  <si>
    <t>3219/SPP/SBU/PLNICONPLUS/2024</t>
  </si>
  <si>
    <t>PT Asuransi Astra Buana</t>
  </si>
  <si>
    <t>AAB Astra Biz Center BSD, Bumi Serpong Damai, Lengkong Kulon, Pagedangan, Tangerang, Banten, 15331, Indonesia</t>
  </si>
  <si>
    <t>AL/1910/46824</t>
  </si>
  <si>
    <t>0990000320510452</t>
  </si>
  <si>
    <t>PT Agriculture Indonesia</t>
  </si>
  <si>
    <t>Green Office Park 6 Wing A, 3rd Floor, Zone 6 Jl. Grand Boulevard BSD Green Office Park BSD City - Tangerang 15345 INDONESIA</t>
  </si>
  <si>
    <t>ICON-00/SBC/1708/1420</t>
  </si>
  <si>
    <t>0990000320514382</t>
  </si>
  <si>
    <t>PT Federal Internanational Finance BSD Green Park</t>
  </si>
  <si>
    <t>FIF Ruko The Icon A1-A2 West BSD</t>
  </si>
  <si>
    <t>PA/ACT/1805/0412</t>
  </si>
  <si>
    <t>01000014517</t>
  </si>
  <si>
    <t>PT Toyota Astra Financial Service</t>
  </si>
  <si>
    <t>Jl. A. Yani, Wua-WUA, Kota Kendari Sulawesi Tenggara, Indonesia 93117</t>
  </si>
  <si>
    <t>AL/2204/74288</t>
  </si>
  <si>
    <t>01000187625</t>
  </si>
  <si>
    <t>ACC, BSD di ruko No. 7 dan No. 8 kawasan AFFCO Center, Asia Biz Center, BSD Indonesia</t>
  </si>
  <si>
    <t>PA/UPG/2101/0503</t>
  </si>
  <si>
    <t>0990000320514168</t>
  </si>
  <si>
    <t>PT Federal internastional Finance Astra Biz Center</t>
  </si>
  <si>
    <t>Astra Biz Center BSD, Lengkong Kulon, Pagedangan, Tangerang Banten, 15331</t>
  </si>
  <si>
    <t>AR/CHT/1809/1926</t>
  </si>
  <si>
    <t xml:space="preserve">0990000320519038 </t>
  </si>
  <si>
    <t>PT Cyberindo Aditama qq PT Grab Teknologi Indonesia</t>
  </si>
  <si>
    <t>PT. GRAB TEKNOLOGI INDONESIA (Netsentia Private Limited) Jl Perum Astek No. 11, Lengkong Gudang Timur,
Tangsel, Kota Tangerang Selatan, Banten, Indonesia</t>
  </si>
  <si>
    <t>01000199398</t>
  </si>
  <si>
    <t>35 Mbps</t>
  </si>
  <si>
    <t>757/SPP/SBU/ICON+/2023</t>
  </si>
  <si>
    <t>Ruko Perkantoran, Jl. BSD Raya Utama No.31, Pagedangan, Kec Pagedangan, Kabupaten Tangerang, Banten 15339 (Foresta Business Loft 2)</t>
  </si>
  <si>
    <t>A821202000196</t>
  </si>
  <si>
    <t>111202017283</t>
  </si>
  <si>
    <t>534/SPP/SBU/ICON+/2023</t>
  </si>
  <si>
    <t xml:space="preserve">Ruko Golden Madrid II Blok A 1-2,Bumi Serpong Damai ,Kota Tangerang Selatan ,Banten ,Indonesia ,15311   </t>
  </si>
  <si>
    <t>01000191767</t>
  </si>
  <si>
    <t>18593/SPP/008/PUSAT/ICON+/2022 | 4500018085</t>
  </si>
  <si>
    <t>868/SPP/SBU/ICON+/2023</t>
  </si>
  <si>
    <t>PLN Kantor Pusat</t>
  </si>
  <si>
    <t>Rumah Dirut PLN (BPK Darmawan P), The Green BSD, Clustur Grand Canyon Blok i-2 No.25, Kota Tangerang, Banten, Indonesia, 15310</t>
  </si>
  <si>
    <t>04000099114</t>
  </si>
  <si>
    <t>Menunggu PO Kembali</t>
  </si>
  <si>
    <t>PT AEON Indonesia</t>
  </si>
  <si>
    <t>PT. ÆON INDONESIA Jl. BSD Raya Utama Unit M-02, Mezzanine Floor Desa Pagedangan, Pagedangan, Kabupaten Tangerang, Banten, Indonesia, 15820</t>
  </si>
  <si>
    <t>PA/ACT/2207/2501</t>
  </si>
  <si>
    <t>04000300722</t>
  </si>
  <si>
    <t>PT Aplikanusa Lintasarta (Backhaul Jabodetabek)</t>
  </si>
  <si>
    <t>Backhaul Jabodetabek Gd Unilever BSD Tangerang Selatan</t>
  </si>
  <si>
    <t>PA/ACT/2007/0105</t>
  </si>
  <si>
    <t>0990000320476823</t>
  </si>
  <si>
    <t>PT Aplikanusa Lintasarta (Gd German Center)</t>
  </si>
  <si>
    <t>German Center jl Pahlawan Seribu BSD Tangerang</t>
  </si>
  <si>
    <t>PA/ACT/2007/0051</t>
  </si>
  <si>
    <t>0990000320497487</t>
  </si>
  <si>
    <t>PT Aplikanusa Lintasarta (Jl Padjajaran Bogor)</t>
  </si>
  <si>
    <t xml:space="preserve">Gedung Unilever BSD Kota Tangerang Banten </t>
  </si>
  <si>
    <t>Relokasi Ruangan di Unilever Indonesia Jakarta Head Office DRC Faasri Jl Pajajjaran Bogor Jawa Barat</t>
  </si>
  <si>
    <t>PA/RLK/2008/0034</t>
  </si>
  <si>
    <t>0990000320490000</t>
  </si>
  <si>
    <t xml:space="preserve">260 Mbps </t>
  </si>
  <si>
    <t>PT Lulu Group Retail
PT Asuransi Astra Buana
PT BD Agriculture Indonesia
PT Federal International Finance di BSD Green Office Park
PT Toyota Astra Financial Service
PT Astra Sedaya Finance
PT Federal International Finance di Astra Biz Center</t>
  </si>
  <si>
    <t>Serpong BSD</t>
  </si>
  <si>
    <t>ICON-00/SBC/1711/0550 
AL/1910/46824
ICON-00/SBC/1708/1420
PA/ACT/1805/0412
AL/ 2204/ 74288
PA/UPG/2101/0503
AR/CHT/1809/1926</t>
  </si>
  <si>
    <t>PO 4500023723</t>
  </si>
  <si>
    <t>G420</t>
  </si>
  <si>
    <t>PT. Bank Sinarmas</t>
  </si>
  <si>
    <t>BACKHAUL BANK SINARMAS (DRC PRIMARY) Jl. Pahlawan Seribu, Gd Smart Telecom, CBD BSD Lot 12.A Lengkong Wetan,Serpong ,Kota Tangerang Selatan ,Banten ,Indonesia ,15310</t>
  </si>
  <si>
    <t>AL/1911/55163</t>
  </si>
  <si>
    <t>4500010013 | 07859/SPP/008/PUSAT/ICON+/2017 | 4500011120 | 09732/SPP/008/PUSAT/ICON+/2018 | 4500012363 | 2338/SPP/008/PUSAT/ICON+/2019 | 4500013898 | 4500015429</t>
  </si>
  <si>
    <t>Aperiyeni</t>
  </si>
  <si>
    <t>021-31902888</t>
  </si>
  <si>
    <t>B21</t>
  </si>
  <si>
    <t>C33</t>
  </si>
  <si>
    <t>D40</t>
  </si>
  <si>
    <t>D386</t>
  </si>
  <si>
    <t>G145</t>
  </si>
  <si>
    <t xml:space="preserve">Sokka Tama Fiber </t>
  </si>
  <si>
    <t>PT Indosat Tbk qq PT Lord Indonesia</t>
  </si>
  <si>
    <t>Gedung Graha Persada III Bekasi</t>
  </si>
  <si>
    <t>LORD INDONESIA - MTX09741069, Graha Persada 2, Lt. 5 Jl. KH. Noer Alie 89A Kayuringin Jaya,  Kec. Bekasi Selatan,  Kota Bekasi,</t>
  </si>
  <si>
    <t>F191</t>
  </si>
  <si>
    <t>1.Biaya Instalasi OTC Rp.1.500.000 | 2.Biaya Sewa Link per tahun Rp.11.250.000 | 3.Biaya Cross Connect Per tahun Rp.3.600.000</t>
  </si>
  <si>
    <t>PT. FAHASA TRI DATA</t>
  </si>
  <si>
    <t>Gedung cyber lt.8 Jakarta Selatan</t>
  </si>
  <si>
    <t>PA/ACT/2302/7776</t>
  </si>
  <si>
    <t>21743/SPP/008/PUSAT/ICON+/2023</t>
  </si>
  <si>
    <t>G59</t>
  </si>
  <si>
    <t>Biaya Tahunan Sewa Collo 1U	Rp.12.000.000
Instalasi Collo Rp.1.000.000
Biaya Tahunan Crossconnect MMR To Rack PT Fahasa Tri Data	Rp.1.000.000
Instalasi Crossconnect	Rp.1.000.000
Biaya Tahunan Crossconnect MMR To APJII Rack S Icon Rp.2.000.000
Instalasi Crossconnect Rp.1.000.000</t>
  </si>
  <si>
    <t>PT Fahasa Tri Data</t>
  </si>
  <si>
    <t>Jl. Kuningan Barat Raya RT 6 /RW 3 Kuningan Barat Mampang Prapatan Jakarta Selatan DKI Jakarta 12710</t>
  </si>
  <si>
    <t>Gedung Cyber Lt. 1, Jl. Kuningan Barat Raya No.8, RT.1/RW.3, Kuningan Barat, Mampang Prapatan, Jakarta Selatan, DKI Jakarta</t>
  </si>
  <si>
    <t>Jl. Nggulon, RT.02/RW.02, Krajan, Gemiring Lor, Jepara, Jawa Tengah</t>
  </si>
  <si>
    <t>PA/UPG/2211/0071/ORI</t>
  </si>
  <si>
    <t>01000296894</t>
  </si>
  <si>
    <t>20661/SPP/008/PUSAT/ICON+/2022</t>
  </si>
  <si>
    <t>Septi</t>
  </si>
  <si>
    <t>0819-3405-2389</t>
  </si>
  <si>
    <t>A821204000005</t>
  </si>
  <si>
    <t>111204000010</t>
  </si>
  <si>
    <t>P2P Kapasitas Besar</t>
  </si>
  <si>
    <t>3 Gbps</t>
  </si>
  <si>
    <t>647/SPP/SBU/ICON+/2023</t>
  </si>
  <si>
    <t>Galuh Rizki</t>
  </si>
  <si>
    <t>D111204000058</t>
  </si>
  <si>
    <t>111204000058</t>
  </si>
  <si>
    <t>3566/SPP/SBU/PLNICONPLUS/2024</t>
  </si>
  <si>
    <t>Deactivasi 30 April 2025</t>
  </si>
  <si>
    <t>PT Indo Telemedia Solusi</t>
  </si>
  <si>
    <t>A111202001917</t>
  </si>
  <si>
    <t>G310</t>
  </si>
  <si>
    <t>Gedung sanggar kesatria Liema ,Jalan Raya Pajajaran No.17 Baranangsiang Bogor timur</t>
  </si>
  <si>
    <t>Gedung Elitery Lt. 5 Rack SYB Jl. Raya Padjajaran</t>
  </si>
  <si>
    <t>18233/SPP/008/PUSAT/ICON+/2022 | 4500017773 | 21626 | 4500020258</t>
  </si>
  <si>
    <t>Anggi</t>
  </si>
  <si>
    <t>0877-7040-4299</t>
  </si>
  <si>
    <t>F52</t>
  </si>
  <si>
    <t>G99</t>
  </si>
  <si>
    <t>H64</t>
  </si>
  <si>
    <t xml:space="preserve">1.Biaya instalasi Rp.2.500.000 </t>
  </si>
  <si>
    <t>Elitery Jl. Raya Pajajaran No. 17, RT.06/RW.13, Baranangsiang, Kec. Bogor Tim, Kota Bogor, Jawa Barat</t>
  </si>
  <si>
    <t>2088/SPP/SBU/ICON+/2023</t>
  </si>
  <si>
    <t>G311</t>
  </si>
  <si>
    <t>1. Biaya Sewa Rp 12.000.000, 2. Biaya Instalasi Rp 2.500.000</t>
  </si>
  <si>
    <t>Sucofindo  (Persero)</t>
  </si>
  <si>
    <t>PT TELEKOMUNIKASI INDONESIA, TBK</t>
  </si>
  <si>
    <t>Graha Sucofindo Jl. Raya Pasar Minggu Kav. 34 Jakarta</t>
  </si>
  <si>
    <t>Gedung Sucofindo Graha Sucofindo Jl. Raya Pasar Minggu Kav. 34 Jakarta Nestle - PT Wyeth Nutrition Sduaenam (dari luar menuju lt. 10) (PT Telekomunikasi Indonesia SO No. ICON-00/ACT/1609/0621)</t>
  </si>
  <si>
    <t>ICON-00/ACT/1609/0621</t>
  </si>
  <si>
    <t>2641216/SPR/ICON+/2016 | 
 2651216/SPR/ICON+/2016 07810/SPP/008/PUSAT/ICON+/2017 4500011084 | 09551/SPP/008/PUSAT/ICON+/2018 | 4500012062 | 12096/SPP/008/PUSAT/ICON+/2019 | 4500013592| 14759/SPP/008/PUSAT/ICON+/2020| 4500015424</t>
  </si>
  <si>
    <t>17177/SPP/008/PUSAT/ICON+/2021</t>
  </si>
  <si>
    <t>Amina</t>
  </si>
  <si>
    <t>021-7990633</t>
  </si>
  <si>
    <t>B249</t>
  </si>
  <si>
    <t>C302</t>
  </si>
  <si>
    <t>D299</t>
  </si>
  <si>
    <t>E394</t>
  </si>
  <si>
    <t>1.Biaya Sewa Pertahun sebesar Rp.5.400.000,-</t>
  </si>
  <si>
    <t>PT KOPI BINTANG INDONESIA</t>
  </si>
  <si>
    <t xml:space="preserve">LANTAI 1 - Graha Sucofindo, Jl. Raya Pasar Minggu, RT.4/RW.1, Pancoran, Kec. Pancoran, Kota Jakarta Selatan, Daerah Khusus Ibukota Jakarta 12780 </t>
  </si>
  <si>
    <t>A111303000043</t>
  </si>
  <si>
    <t>733/SPP/SBU/ICON+/2023</t>
  </si>
  <si>
    <t>G128</t>
  </si>
  <si>
    <t>1.Biaya Sewa Pertahun sebesar Rp.7.590.000,-</t>
  </si>
  <si>
    <t xml:space="preserve">Sukses Kelola Persada </t>
  </si>
  <si>
    <t>PT. SUMBER MENTARI ELEKTRINDO
 PT. MITRA ERA GLOBAL</t>
  </si>
  <si>
    <t>Jalan Gunung Sahari raya no 1 Jakarta</t>
  </si>
  <si>
    <t>Komplek Mangga Dua Square Blok C No. 22, Jakarta Utara</t>
  </si>
  <si>
    <t>PA/ACT/2106/2946/TER 
 PA/ACT/2106/2945/TER</t>
  </si>
  <si>
    <t>E181</t>
  </si>
  <si>
    <t>Sewa tray kabel Mangga Dua Square Rp.45.300.000</t>
  </si>
  <si>
    <t xml:space="preserve">Supermal Karawaci </t>
  </si>
  <si>
    <t>105 Bulevar Diponegoro Lippo Karawaci Bencongan Curug Tangerang</t>
  </si>
  <si>
    <t>Supermall Karawaci Jl. Bulevard Diponegoro 105 Lippo Karawaci 1200 Tangerang (PT Trans Retail Indonesia)</t>
  </si>
  <si>
    <t>ICON-00/SOP/1404/0013</t>
  </si>
  <si>
    <t>0811016/SPR/ICON+/2016 07419/SPP/008/PUSAT/ICON+/2017 |4500010813 |08996/SPP/008/PUSAT/ICON+/2018</t>
  </si>
  <si>
    <t>11725/SPP/008/PUSAT/ICON+/2019</t>
  </si>
  <si>
    <t>Mulyadi Gunawan</t>
  </si>
  <si>
    <t>021-5466666
 021-5467777</t>
  </si>
  <si>
    <t>B145</t>
  </si>
  <si>
    <t>C206</t>
  </si>
  <si>
    <t>1. Sewa penempatan OTB US83/m2/bulan atw Rp9.312.600/tahun
 2. Legal Fee Rp181.818
 3. Jaminan Rp12.000.000 dengan rincian :
 a. &lt; 50 m = Rp2.000.000
 b. 51 - 100 m = Rp4.000.000
 c. 101 - 500 m = Rp6.000.000
 d. 501- 1000 m = Rp8.000.000
 e. &gt; 1000 m = Rp12.000.000
 4. Biaya sampah fit out dengan rincian :
 a. &lt; 50 m = Rp268.000
 b. 51-100 m = Rp570.000
 c. 101 - 500 m = Rp2.900.000
 d. 501 - 1000 m =Rp5.700.000
 e. &gt; 1000 m</t>
  </si>
  <si>
    <t>PLN (PERSERO) KANTOR PUSAT</t>
  </si>
  <si>
    <t>Rukan Artha Gading Niaga Blok C No. 31-32 Lahan Sentra Bisnis Artha Gading Jakarta 14240
Jalan Rs. Fatmawati No. 50 Pondok Labu Jakarta Selatan</t>
  </si>
  <si>
    <t>Outdoor Lahan Artha Gading (Allure Alluminio) Jl Teuku Umar KM 44 Cibitung</t>
  </si>
  <si>
    <t>450000936 | 4500010225 | 08280/SPP/008/PUSAT/ICON+/2018 | 4500011316 | 10586/SPP/008/PUSAT/ICON+/2019 | 4500012623| 15467/SPP/008/PUSAT/ICON+/2021| 4500016059| 18365/SPP/008/PUSAT/ICON+/2022 | 4500017915 | 4500021236 | 1354</t>
  </si>
  <si>
    <t>Tati
 Hendra Saputra (GM Estate)
 Sartono</t>
  </si>
  <si>
    <t>021-45850888
 021-75915344</t>
  </si>
  <si>
    <t>B81</t>
  </si>
  <si>
    <t>C84</t>
  </si>
  <si>
    <t>E90</t>
  </si>
  <si>
    <t>F139</t>
  </si>
  <si>
    <t>G243</t>
  </si>
  <si>
    <t>H111</t>
  </si>
  <si>
    <t>1. Jaminan Rp20.000.000,- untuk Lahan Artha Gading (outdoor)
 2.Perijinan Supervisi Penarikan/Penggalian Kabel Fiber Optik untuk Mall Artha Gading (Indoor) One Time Charged Rp25.000.000
 3.Jaminan Rp10.000.000 untuk Mall Artha Gading (+ Jaminan Lahan)
 4.Biaya supervise Penarikan/Penggalian Kabel Fiber Optik Rp1.100.000 s/d Rp1.350.000 untuk Lahan Artha Gading (non Resmi)
 5. Jasa Man Hour Rp3.000.000
 6. Sewa Jalur penempatan kabel fiber optik Outdoor - Lahan Rp42.000.000/tahun (All In)</t>
  </si>
  <si>
    <t>PT. ARRANET INDONESIA SEJAHTERA</t>
  </si>
  <si>
    <t>Jl Pahlawan Seribu Lot 12A</t>
  </si>
  <si>
    <t>Backhaul H2H PT. Teknovatus Solusi Sejahtera, Jl. Pahlawan Seribu lot 12 A Lt. 3 BSD City, Lengkong Gudang, Tangerang, Banten</t>
  </si>
  <si>
    <t>D267</t>
  </si>
  <si>
    <t>1.Biaya Set up Teknovatus rp.1.500.000,- | 2.Biaya Sewa Teknovatus Rp.4.800.000,-</t>
  </si>
  <si>
    <t>PT. BANK SYARIAH BUKOPIN</t>
  </si>
  <si>
    <t>H2H PT. Teknovatus Solusi Sejahtera, Jl Pahlawan Seribu lot 12 A lt 3 BSD City Tangerang Selatan</t>
  </si>
  <si>
    <t>PA/ACT/2007/0099/ORI</t>
  </si>
  <si>
    <t>13880/SPP/008/PUSAT/ICON+/2020</t>
  </si>
  <si>
    <t>D174</t>
  </si>
  <si>
    <t>biaya sewa cross connect sebesar Rp.4.800.000</t>
  </si>
  <si>
    <t>PT. SMART TELECOM</t>
  </si>
  <si>
    <t>Jl. Pahlawan Seribu Lot.12A, Gedung Smartfren BSD2 Lantai 2, Ruang Vault PT. SMART, Rack Network 16, Rack Unit 47, Lengkong Gudang</t>
  </si>
  <si>
    <t xml:space="preserve">PA/ACT/2206/16564 </t>
  </si>
  <si>
    <t>F248</t>
  </si>
  <si>
    <t>1.Sewa Rack Unit 47 (1 Tahun) Rp.4.800.000 | 2.Biaya Setup Fee @ Rack Unit 47 Rp.1.500.000,-</t>
  </si>
  <si>
    <t xml:space="preserve"> 3933/SPP/SBU/PLNICONPLUS/2024</t>
  </si>
  <si>
    <t>H266</t>
  </si>
  <si>
    <t xml:space="preserve">19384/SPP/008/PUSAT/ICON+/2022 </t>
  </si>
  <si>
    <t>F249</t>
  </si>
  <si>
    <t>3934/SPP/SBU/PLNICONPLUS/2024</t>
  </si>
  <si>
    <t>H267</t>
  </si>
  <si>
    <t>NTT Nextdatacenter (CSF MMR) Kuningan Barat No 1 Jakarta</t>
  </si>
  <si>
    <t>14606/SPP/008/PUSAT/ICON+/2020 | 4500015284 | 17226/SPP/008/PUSAT/ICON+/2021 | 4500017416 | 4500019976</t>
  </si>
  <si>
    <t>3479/SPP/SBU/PLNICONPLUS/2024</t>
  </si>
  <si>
    <t>D268</t>
  </si>
  <si>
    <t>F81</t>
  </si>
  <si>
    <t>H246</t>
  </si>
  <si>
    <t>1.Biaya Sewa Crossconnect DC Teknovatus Rp.3.900.000 | 2.Biaya Instalasi Crossconnect DC Teknovatus Rp.1.500.000 | 3.Biaya Sewa Collocation 1U MMR DC Teknovatus Rp.18.000.000</t>
  </si>
  <si>
    <t>PT. BANK MESTIKA DHARMA TBK</t>
  </si>
  <si>
    <t>12509/SPP/008/PUSAT/ICON+/2020</t>
  </si>
  <si>
    <t>D52</t>
  </si>
  <si>
    <t>1.Biaya Instalasi TER (xconnect di DC Teknovatus) Rp.1.500.000,- 2.Biaya Sewa TER (xconnect di DC Teknovatus) Rp.3.600.000,- 3.Biaya PKB ORI Rp.7.396.463,-</t>
  </si>
  <si>
    <t xml:space="preserve">Telekomunikasi Indonesia </t>
  </si>
  <si>
    <t>DINAS KOMUNIKASI INFORMATIKA DAN PERSANDIAN ACEH</t>
  </si>
  <si>
    <t>Graha Merah Putih Jl.Gatot Subroto Kav.52 Jakarta Selatan 12070</t>
  </si>
  <si>
    <t>NEU CENTRIC DATA CENTER, Jl. K.H Mas Mansyur</t>
  </si>
  <si>
    <t>F188</t>
  </si>
  <si>
    <t>1.1.Biaya Collo @ IT Hall (Tier II) /1 Tahun  Rp.18.000.000 | 2.Biaya OTC Intalasi collo Rp.1.500.000 | 3. Biaya Collo @ NER  /1 Tahun  Rp.18.000.000 | 4.Biaya OTC Intalasi collo Rp.1.500.000 | 5.Biaya Sewa Jalur Cable /1tahun Rp.3.600.000 | 6.Biaya Penyedian Power 2Amp Rp.10.200.000 | 7.Biaya OTC Penyedian Power 2 Amp Rp.400.000 | 8.Biaya Sewa  Cross Connect (Fiber)  /1 tahun Rp.6.000.000 | 9.Biaya Cross Connect (Fiber)  Rp.1.500.000 | 10.Biaya Sewa  Cross Connect (UTP)  Rp.1.200.000 | 11.Biaya Cross Connect (UTP)  Rp.1.000.000</t>
  </si>
  <si>
    <t>PT. PERTAMINA RETAIL</t>
  </si>
  <si>
    <t>Jl.Kebon Sirih No.12 Jakarta Pusat 10110</t>
  </si>
  <si>
    <t>SPBU-CIKUPA CITRA RAYA</t>
  </si>
  <si>
    <t>F245</t>
  </si>
  <si>
    <t>biaya sewa tahunan sebesar 15.360.000 | OTC Rp.2.000.000. Skema Kerjasama berubah menjadi Interkoneksi</t>
  </si>
  <si>
    <t>PT. KERETA COMMUTER INDONESIA</t>
  </si>
  <si>
    <t>Gedung Graha Telkomsigma Lt.5 Tangerang selatan 15321</t>
  </si>
  <si>
    <t>Data Center Telkomsigma Sentul - Cijayanti
Menara Sentraya Lt. 20 (IP VPN)</t>
  </si>
  <si>
    <t>PA/ACT/2212/6029</t>
  </si>
  <si>
    <t>21056/SPP/008/PUSAT/ICON+/2023</t>
  </si>
  <si>
    <t>Edhi</t>
  </si>
  <si>
    <t>G7</t>
  </si>
  <si>
    <t>1.Biaya Instalasi Rp.5.000.000 ,- | 2.Biaya Sewa Tahunan Rp.14.400.000,-</t>
  </si>
  <si>
    <t>Gedung Graha Telkomsigma Lt.5 Tangerang selatan 15322</t>
  </si>
  <si>
    <t>Graha Telkomsigma d/h German Centre, 7th Floor - Jl. Kapten Soebijanto Djojohadikoesoemo, Bumi Serpong Damai
Menara Sentraya Lt. 20 (IP VPN)</t>
  </si>
  <si>
    <t xml:space="preserve">PA/ACT/2212/6028 </t>
  </si>
  <si>
    <t>21030/SPP/008/PUSAT/ICON+/2023</t>
  </si>
  <si>
    <t>G5</t>
  </si>
  <si>
    <t>1.Biaya Instalasi Rp.600.000 ,- | 2.Biaya Sewa Tahunan Rp.30.000.000,-</t>
  </si>
  <si>
    <t>(ODC BACKUP BRI SIGMA SENTUL H2H) JL. CIJAYANTI, KEC. BABAKAN MADANG, KABUPATEN BOGOR, JAWA BARAT 16810</t>
  </si>
  <si>
    <t xml:space="preserve">
A821205000077
A821205000076
A821205000074
A821205000075
</t>
  </si>
  <si>
    <t xml:space="preserve">1154/SPP/SBU/ICON+/2023	</t>
  </si>
  <si>
    <t>G187</t>
  </si>
  <si>
    <t>1.biaya Xconnect FO Core  @1 tahun  Rp.12.000.000 | 2.Biaya Intalasi FO Core Rp.6.000.000 | 3.biaya Xconnect Cable UTP  @1 tahun  Rp.12.000.000 | 4.Biaya Intalasi Cable UTP Rp.6.000.000</t>
  </si>
  <si>
    <t>Gedung Sigma German Center - BSD Tanggerang Lantai 6</t>
  </si>
  <si>
    <t>PA/ACT/2212/1831</t>
  </si>
  <si>
    <t>21331/SPP/008/PUSAT/ICON+/2023</t>
  </si>
  <si>
    <t>G45</t>
  </si>
  <si>
    <t>1.biaya Xconnect FO Core  @1 tahun  Rp.12.000.000 | 2.Biaya Intalasi FO Core Rp.3.000.000</t>
  </si>
  <si>
    <t>PT BCA Finance</t>
  </si>
  <si>
    <t>BCA WISMA ASIA 2 JL. BRIGJEN KATAMSO NO.1, RT.4/RW.9, KOTA BAMBU SEL., KEC. PALMERAH, KOTA JAKARTA BARAT, DAERAH KHUSUS IBUKOTA JAKARTA 11420</t>
  </si>
  <si>
    <t>TELKOM SIGMA DJ, BUMI SERPONG DAMAI, JALAN KAPTEN SUBIJANTO, LENGKONG GUDANG, KEC. SERPONG, KOTA TANGERANG SELATAN, BANTEN 15321</t>
  </si>
  <si>
    <t>A821205000168 - 8223081600003</t>
  </si>
  <si>
    <t>1323/SPP/SBU/ICON+/2023</t>
  </si>
  <si>
    <t>G231</t>
  </si>
  <si>
    <t>1.biaya Xconnect FO Core  @1 tahun  Rp.6.000.000 | 2.Biaya Intalasi FO Core Rp.3.000.000</t>
  </si>
  <si>
    <t>Data Center Telkomsigma, Jl. Ir. Hj Juanda Cijayanti, Sentul City,  Kec. Babakan Madang,  Kabupaten Bogor,  Jawa Barat,  Indonesia</t>
  </si>
  <si>
    <t>(Relokasi Perangkat) BNC HQ Gozco Pancoran, Jl. Raya Pasar Minggu Kav. 3, Pancoran, Jakarta Selatan, DKI Jakarta, Indonesia</t>
  </si>
  <si>
    <t>PA/RLK/2108/0043
 PA/RLK/2108/0042
 PA/RLK/2108/0041</t>
  </si>
  <si>
    <t xml:space="preserve">yudi Sukma </t>
  </si>
  <si>
    <t>+62 852-6603-5574</t>
  </si>
  <si>
    <t>E263</t>
  </si>
  <si>
    <t>1.Biaya Instalasi Cross connect DC Telkomsigma Rp.18.000.000</t>
  </si>
  <si>
    <t>BADAN PENGELOLA PENDAPATAN DAERAH PROVINSI JAWA TENGAH</t>
  </si>
  <si>
    <t>(Relokasi Pisah Port) Telkom sigma Bumi Serpong Damai, Jalan Kapt. Subijanto Dj, Lengkong Gudang</t>
  </si>
  <si>
    <t>17589/SPP/008/PUSAT/ICON+/2021 | 4500017398</t>
  </si>
  <si>
    <t>3149/SPP/SBU/PLNICONPLUS/2024</t>
  </si>
  <si>
    <t>F3</t>
  </si>
  <si>
    <t>H101</t>
  </si>
  <si>
    <t>Biaya Cross Connect Rp.6.000.000 | Biaya OTC Rp.3.000.000</t>
  </si>
  <si>
    <t>PT. SINERGI INSANI PRIMALINK</t>
  </si>
  <si>
    <t>Backhaul BTN IPVPN Sinergi Insani Primalink Sigma Sentul Lt.2 Btn Enclosure Rack No.21</t>
  </si>
  <si>
    <t>PA/RLK/2112/0076/ORI</t>
  </si>
  <si>
    <t>17611/SPP/008/PUSAT/ICON+/2022</t>
  </si>
  <si>
    <t>F29</t>
  </si>
  <si>
    <t>1. Biaya Instalasi Cross Connect Data Center Telkomsigma – (Sentul)	 Rp.3.000.000
2.Biaya Sewa Cross Connect Data Center Telkomsigma – (Sentul) 1 tahun Rp.6.000.000</t>
  </si>
  <si>
    <t>PT. TILAR NETINDO PERKASA</t>
  </si>
  <si>
    <t>Backhaul German Centre, Jalan Arteri Golf, Lantai 6 Timur, Pakulonan Barat, Serpong Utara, Tangerang, Banten</t>
  </si>
  <si>
    <t>Backhaul German Centre, Jalan Arteri Golf, Lantai 6 Timur, Pakulonan Barat, Serpong Utara,Tangerang, Banten.</t>
  </si>
  <si>
    <t>PA/ACT/1908/0062</t>
  </si>
  <si>
    <t>11465/SPP/008/PUSAT/ICON+/2019</t>
  </si>
  <si>
    <t>0811-9561-704</t>
  </si>
  <si>
    <t>C168</t>
  </si>
  <si>
    <t>1.Biaya Sewa tahunan Rp.9.000.000,-</t>
  </si>
  <si>
    <t>11465/SPP/008/PUSAT/ICON+/201</t>
  </si>
  <si>
    <t>1.Biaya Cross Connect Rp.9.000.000</t>
  </si>
  <si>
    <t>PT. BANK PEMBANGUNAN DAERAH KALIMANTAN BARAT</t>
  </si>
  <si>
    <t>Bumi Serpong Damai, Jalan Kapt. Subijanto Dj, Lengkong Gudang, Kec. Serpong, Kota Tangerang Selatan, Banten 15321</t>
  </si>
  <si>
    <t>Bank Kalbar Kubu Raya Jl.Jenderal Ahmad Yani, Tlk Kapuas, Sungai Raya, Kabupaten Kubu Raya, Kalimantan Barat 78121</t>
  </si>
  <si>
    <t>PA/TRL/1909/0277/ORI
 ICON-00/SBC/1708/0178</t>
  </si>
  <si>
    <t>11790/SPP/008/PUSAT/ICON+/2019 | 4500013426</t>
  </si>
  <si>
    <t>14163/SPP/008/PUSAT/ICON+/2020</t>
  </si>
  <si>
    <t>C215</t>
  </si>
  <si>
    <t>D307</t>
  </si>
  <si>
    <t>1.biaya sewa pertahun sebesar 9.000.000</t>
  </si>
  <si>
    <t>Biaya Sewa Cross Connect di Telkomsima (Rack Icon+ to Rack BPD Kalbar) Rp.6.000.000</t>
  </si>
  <si>
    <t>Bank Kalbar Kubu Raya Jl.Jenderal Ahmad Yani, Tlk Kapuas, Sungai Raya, Kabupaten Kubu Raya, Kalimantan Barat 78121.</t>
  </si>
  <si>
    <t>11790/SPP/008/PUSAT/ICON+/2019 | 4500013741</t>
  </si>
  <si>
    <t>14850/SPP/008/PUSAT/ICON+/2020</t>
  </si>
  <si>
    <t>C257</t>
  </si>
  <si>
    <t>D369</t>
  </si>
  <si>
    <t>1.Biaya Instalasi Cross Connect di Telkomsima (Rack Icon+ to Rack BPD Kalbar) sebesar Rp.3.000.000,- 2.Biaya Sewa Cross Connect di Telkomsima (Rack Icon+ to Rack BPD Kalbar) sebesar Rp.6.000.000,-</t>
  </si>
  <si>
    <t>PT. SARANA YUKTI BANDHANA</t>
  </si>
  <si>
    <t>Bumi Serpong Damai, Jalan Kapt. Subijanto Dj, Lengkong Gudang, Kec. Serpong, Kota Tangerang Selatan, Banten 15321, Kota Tangerang Selatan, Banten, Indonesia.</t>
  </si>
  <si>
    <t>PA/ACT/1908/4473/TER</t>
  </si>
  <si>
    <t>IP VPN</t>
  </si>
  <si>
    <t>3141/SPP/SBU/PLNICONPLUS/2024</t>
  </si>
  <si>
    <t>C180</t>
  </si>
  <si>
    <t>PA/ACT/2012/0399/ORI
 PA/ACT/2012/0459/ORI</t>
  </si>
  <si>
    <t>14988/SPP/008/PUSAT/ICON+/2020</t>
  </si>
  <si>
    <t>D344</t>
  </si>
  <si>
    <t>1.Biaya Sewa Cross Connect di Telkomsigma Rp.18.000.000</t>
  </si>
  <si>
    <t>Data Center FIF, German Center Lt. 5, Jl. Kapt. Subijanto No.1 Bumi Serpong Damai, Tangerang,  Tangerang Selatan,  Jakarta,  .Banten - salah,  Indonesia,  15321</t>
  </si>
  <si>
    <t>DRC FIF Lantai 2,Telkom Sigma JL. Bukit Bali Lakarsantri - Citraland Blok 3/2,  Citraland,  Surabaya,  Jawa Timur,  Indonesia,  60211</t>
  </si>
  <si>
    <t>10753/SPP/008/PUSAT/ICON+/2019 | 4500012748 | 12976/SPP/008/PUSAT/ICON+/2020 | 4500014235| 15605/SPP/008/PUSAT/ICON+/2021| 4500016097 | 18324 | 4500017852 | 102</t>
  </si>
  <si>
    <t>3134/SPP/SBU/PLNICONPLUS/2024</t>
  </si>
  <si>
    <t>C42</t>
  </si>
  <si>
    <t>D121</t>
  </si>
  <si>
    <t>E191</t>
  </si>
  <si>
    <t>F111</t>
  </si>
  <si>
    <t>H94</t>
  </si>
  <si>
    <t>1. Biaya Sewa Rp 500.000/bln</t>
  </si>
  <si>
    <t xml:space="preserve">Data Center Graha Telkom Sigma BSD, Jl. Kapt. Subianto DJ, BSD,  -,  Kota Tangerang Selatan,  Banten,  Indonesia, </t>
  </si>
  <si>
    <t>E100</t>
  </si>
  <si>
    <t xml:space="preserve">Pelanggan tidak lanjut berlangganan </t>
  </si>
  <si>
    <t>Data Center on Telkom Sigma (German Center), Lantai 6 Timur Ruang 6460-1-2 Jl. Kapten Subijanto Dj, BSD, Tangerang, Banten</t>
  </si>
  <si>
    <t>12489/SPP/008/PUSAT/ICON+/2020 | 4500013806| 15094/SPP/008/PUSAT/ICON+/2021| 4500015665</t>
  </si>
  <si>
    <t>17741/SPP/008/PUSAT/ICON+/2022</t>
  </si>
  <si>
    <t>D1</t>
  </si>
  <si>
    <t>E87</t>
  </si>
  <si>
    <t>F194</t>
  </si>
  <si>
    <t>1.Biaya Instalasi Interkoneksi Telkomsigma Serpong Rp.3.000.000,- 2.Biaya Sewa Interkoneksi Telkomsigma Serpong Rp.6.000.000,-</t>
  </si>
  <si>
    <t>PT. SIERAD PRODUCE, TBK
 PT. ASTRA INTERNATIONAL TBK
 PT. BANK PEMBANGUNAN DAERAH JAWA TIMUR, TBK
 PT. PRIMACOM INTERBUANA
 PT. CIMB NIAGA AUTO FINANCE
 PT. BANK DKI</t>
  </si>
  <si>
    <t>Data Center Sigma German Centre 
 German Center Building</t>
  </si>
  <si>
    <t>0990000320656939
 0990000320656941
 0990000320656942
 0990000320656943
 0990000320656944
 0990000320656945
 0990000320656964
 0990000320656946
 0990000320656965
 0990000320656966
 0990000320656967
 0990000020265541
 0990000320298920
 0990000320299095
 0990000020265672
 0990000020267907
 0990000020265669
 0990000020268127
 0990000020264876
 0990000020265679
 0990000020278183
 0990000020265543
 0990000020268125
 0990000020268124
 0990000020268123
 0990000020268122
 0990000320514381
 0990000020261191
 0990000020268090
 0990000020268087
 0990000020268031
 0990000020268030
 0990000020265671
 0990000320272773
 0990000020267996
 0990000020267923
 0990000020270029
 0990000320298524
 0990000020265677
 0990000020265675
 0990000320410752
 990000320523942
 0990000320363372
 0990000320424354
 0990000320410411
 0990000320410410
 0990000320410407
 0990000320410403
 0990000320498364
 0990000320508367
 0990000320484431
 0990000320410412
 0990000320296489
 0990000020271782</t>
  </si>
  <si>
    <t>07828/SPP/008/PUSAT/ICON+/2017 | 10141/SPP/008/PUSAT/ICON+/2019 | 4500011085 | 4500012444 | 12168/SPP/008/PUSAT/ICON+/2019 | 4500013983 | 4500015480</t>
  </si>
  <si>
    <t>14873/SPP/008/PUSAT/ICON+/2020</t>
  </si>
  <si>
    <t>B03</t>
  </si>
  <si>
    <t>C34</t>
  </si>
  <si>
    <t>D101</t>
  </si>
  <si>
    <t>D362</t>
  </si>
  <si>
    <t>PT. ASTRA SEDAYA FINANCE</t>
  </si>
  <si>
    <t>Jl. RS. Fatmawati Raya No.9 1 5, RT.1/RW.5, Gandaria Sel., Kec. Cilandak, Kota Jakarta Selatan, Daerah Khusus Ibukota Jakarta,  Cilandak,  Jakarta Selatan,  DKI Jakarta,  Indonesia,  12430</t>
  </si>
  <si>
    <t>Data Center Telkom Sigma South Tangerang, Lengkong Gudang, Serpong Sub-District, South Tangerang City, Banten, Serpong, Kota Tangerang, Banten, Indonesia, 15310</t>
  </si>
  <si>
    <t>AL/2004/13572</t>
  </si>
  <si>
    <t>12892/SPP/008/PUSAT/ICON+/2020 | 4500014044 | 15518/SPP/008/PUSAT/ICON+/2021 | 4500015890 | 4500018099</t>
  </si>
  <si>
    <t>3228/SPP/SBU/PLNICONPLUS/2024</t>
  </si>
  <si>
    <t>D49</t>
  </si>
  <si>
    <t>E274</t>
  </si>
  <si>
    <t>H98</t>
  </si>
  <si>
    <t>Biaya Instalasi Cross Connect di TelkomsigmaRp.3.000.000</t>
  </si>
  <si>
    <t>Data Center Telkomsigma, Jl. Ir. Hj Juanda Cijayanti, Sentul City, Kec. Babakan Madang, Kabupaten Bogor, Jawa Barat, Indonesia</t>
  </si>
  <si>
    <t>15864/SPP/008/PUSAT/ICON+/2021</t>
  </si>
  <si>
    <t>E95</t>
  </si>
  <si>
    <t>PA/ACT/2104/2393
 PA/ACT/2105/0644
 PA/ACT/2105/0645
 PA/ACT/2104/2395</t>
  </si>
  <si>
    <t>15980/SPP/008/PUSAT/ICON+/2021 4500016293</t>
  </si>
  <si>
    <t>E99</t>
  </si>
  <si>
    <t>1.Biaya Instalasi Cross connect DC Telkomsigma Rp.12.000.000</t>
  </si>
  <si>
    <t>DC KPK BSD Graha TelkomSigma BSD, Lantai 5, Wing A (Gedung Sisi Barat), Bumi Serpong Damai, Jalan Kapt. Subijanto Dj, Lengkong Gudang, Kec. Serpong, Kota Tangerang Selatan, Banten</t>
  </si>
  <si>
    <t>PA/ACT/1907/2014/TER
 PA/ACT/1907/2013/TER
 PA/ACT/1907/2012/TER
 PA/ACT/1907/2010/TER
 PA/ACT/1907/2009/TER
 PA/ACT/1907/2007/TER</t>
  </si>
  <si>
    <t>11474/SPP/008/PUSAT/ICON+/2019 | 4500013154 | 14160/SPP/008/PUSAT/ICON+/2020 | 4500015026</t>
  </si>
  <si>
    <t>C170</t>
  </si>
  <si>
    <t>D258</t>
  </si>
  <si>
    <t>E270</t>
  </si>
  <si>
    <t>1.Biaya sewa cross connect sebesar Rp.54.000.000/thn</t>
  </si>
  <si>
    <t xml:space="preserve">DC KPK BSD Graha TelkomSigma BSD, Lantai 5, Wing A (Gedung Sisi Barat), Bumi Serpong Damai, Jalan Kapt. Subijanto Dj, Lengkong Gudang, Kec. Serpong, Kota Tangerang Selatan, Banten
</t>
  </si>
  <si>
    <t>| 17398/SPP/008/PUSAT/ICON+/2021 | 4500017228  | 19739/SPP/008/PUSAT/ICON+/2022  | 4500018961</t>
  </si>
  <si>
    <t>3300/SPP/SBU/PLNICONPLUS/2024</t>
  </si>
  <si>
    <t>C169</t>
  </si>
  <si>
    <t>D255</t>
  </si>
  <si>
    <t>E395</t>
  </si>
  <si>
    <t>F334</t>
  </si>
  <si>
    <t>PT. BANK PEMBANGUNAN DAERAH KALIMANTAN TENGAH</t>
  </si>
  <si>
    <t>Jalan Tjilik Riwut Km 89,  Cempaga Hulu,  Kabupaten Kotawaringin Timur,  Kalimantan Tengah,  Indonesia,  74354</t>
  </si>
  <si>
    <t>DC Sentul Cijayanti, Kecamatan Babakan Madang, Kabupaten Bogor, Jawa Barat, Indonesia, 16810</t>
  </si>
  <si>
    <t>E21</t>
  </si>
  <si>
    <t>1.Biaya Instalasi Telkomsigma Rp. 4.000.000 | Biaya Sewa Telkomsigma Rp.24.000.000</t>
  </si>
  <si>
    <t>PT. BANK MANDIRI TASPEN - JAKARTA</t>
  </si>
  <si>
    <t>DC Sigma Sentul Lt. 1 Jl. Ir. H Djuanda No.F7 Sentul City, Kab. Bogor, Jawa Barat</t>
  </si>
  <si>
    <t>13267/SPP/008/PUSAT/ICON+/2020 | 4500014282  | 16023/SPP/008/PUSAT/ICON+/2021 | 4500016336</t>
  </si>
  <si>
    <t>3142/SPP/SBU/ICONPLUS/2024</t>
  </si>
  <si>
    <t>D136</t>
  </si>
  <si>
    <t>E251</t>
  </si>
  <si>
    <t>1.Biaya Port Switch Per Tahun Rp.18.000.000 | 2.Biaya Sewa UTP Per Tahun Rp.6.000.000 | 3.Biaya UTP (OTC) Rp.3.000.000 | 4.Biaya Port Switch (OTC) Rp.1.000.000</t>
  </si>
  <si>
    <t>PT. BANK PEMBANGUNAN DAERAH KALIMANTAN TENGAH
PT BANK MANDIRI TASPEN - JAKARTA
PT BANK NTB SYARIAH
PT XL AXIATA TBK</t>
  </si>
  <si>
    <t>DC Sigma Sentul Lt. 1 Jl. Ir. H Djuanda No.F7 Sentul City, Kabupaten Bogor,  Sentul,  Kabupaten Bogor,  Jawa Barat,</t>
  </si>
  <si>
    <t>PA/ACT/2103/1983/ORI
PA/ACT/2003/1096/TER
PA/ACT/2106/3300
PA/ACT/2005/0446</t>
  </si>
  <si>
    <t>F172</t>
  </si>
  <si>
    <t>1.Biaya Instalasi Collocation DC Sentul – (Sentul) Rp.25.000.000 | 2.Biaya Sewa Collocation DC Sentul– (Sentul) 1 tahun Rp.168.000.000</t>
  </si>
  <si>
    <t>PT. TOKOPEDIA</t>
  </si>
  <si>
    <t xml:space="preserve">H2H, (Backhaul) DCI data Center Jl. Halmahera Blok F1 No. 1 danau indah, Kec. Cikarang Barat, bekasi
</t>
  </si>
  <si>
    <t>DC Telkomsigma BSD - PT Sarana Yukti Bandhana, Jl.Pahlawan Seribu No.1, Lengkong Wetan,,  Kec. Serpong,  Kota Tangerang Selatan</t>
  </si>
  <si>
    <t xml:space="preserve"> PA/ACT/2203/0817 </t>
  </si>
  <si>
    <t>F85</t>
  </si>
  <si>
    <t>Bank BJB Syariah</t>
  </si>
  <si>
    <t>DC Telkomsigma Sentul Jl.Ir.H DJuanda No.F7 Sentul City, Kab Bogor, Babakan Madang 16810</t>
  </si>
  <si>
    <t>PA/RLK/1910/0015/TER</t>
  </si>
  <si>
    <t>12817/SPP/008/PUSAT/ICON+/2020 | 4500014029</t>
  </si>
  <si>
    <t>15794/SPP/008/PUSAT/ICON+/2021</t>
  </si>
  <si>
    <t>D71</t>
  </si>
  <si>
    <t>E396</t>
  </si>
  <si>
    <t>Biaya Sewa Collocation sebesar Rp.166.600.100</t>
  </si>
  <si>
    <t>DC Telkomsigma, Jl. Ir H Juanda, Kab. Bogor, Jawa Barat</t>
  </si>
  <si>
    <t>E8</t>
  </si>
  <si>
    <t>1.Biaya Sewa Cross Connect di Telkomsigma Rp.6.000.000,- | 3.Biaya Instalasi Cross Connect di Telkomsigma Rp.3.000.000</t>
  </si>
  <si>
    <t xml:space="preserve">Data Center Graha Telkom Sigma BSD, Jl. Kapt. Subianto DJ, BSD,  -,  Kota Tangerang,  Banten,  Indonesia,  </t>
  </si>
  <si>
    <t>15850/SPP/008/PUSAT/ICON+/2021 |4500016204  | 18788/SPP/008/PUSAT/ICON+/2022 | 4500019621</t>
  </si>
  <si>
    <t>3335/SPP/SBU/PLNICONPLUS/2024</t>
  </si>
  <si>
    <t>E96</t>
  </si>
  <si>
    <t>1.Biaya Sewa Cross Connect di Telkomsigma Rp.12.000.000,- | 3.Biaya Instalasi Cross Connect di Telkomsigma Rp.6.000.000</t>
  </si>
  <si>
    <t>Site Kideco KM 40, Desa Batu Kajang,  Kecamtan Batu Sopang,  Kabupaten Paser,  Kalimantan Timur,  Indonesia</t>
  </si>
  <si>
    <t>German Centre, DC Telkom Sigma, Bumi Serpong Damai, Jalan Kapt. Subijanto Dj, Lengkong Gudang,, Kecamatan Serpong, Kota Tangerang Selatan, Banten, Indonesia, 15321</t>
  </si>
  <si>
    <t>16311/SPP/008/PUSAT/ICON+/2021 | 4500016590</t>
  </si>
  <si>
    <t>3135/SPP/SBU/PLNICONPLUS/2024</t>
  </si>
  <si>
    <t>E107</t>
  </si>
  <si>
    <t>H95</t>
  </si>
  <si>
    <t>1.Biaya Sewa Cross connect DC Telkomsigma Rp. 12.000.000</t>
  </si>
  <si>
    <t>E255</t>
  </si>
  <si>
    <t>1.Biaya Instalasi Cross connect DC Telkomsigma Rp.27.000.000</t>
  </si>
  <si>
    <t>H2H SYB, DC Sigma, BSD LT 6 Timur, Jl. Kapten Subijanto Dj, Lengkong Gudang, Serpong, Tangerang Selatan, Banten</t>
  </si>
  <si>
    <t>AL/2008/35375</t>
  </si>
  <si>
    <t>12893/SPP/008/PUSAT/ICON+/2020 | 4500014045 | 15550/SPP/008/PUSAT/ICON+/2021 | 4500015891 | 4500018100</t>
  </si>
  <si>
    <t>3243/SPP/SBU/PLNICONPLUS/2024</t>
  </si>
  <si>
    <t>D48</t>
  </si>
  <si>
    <t>E89</t>
  </si>
  <si>
    <t>H100</t>
  </si>
  <si>
    <t>Internet - Graha Telkom Sigma Lt. 5; Jl. Kapt. Subijanto Dj. Bumi Serpong Damai, Lengkong Gudang, Serpong, Kota Tangerang Selatan, Banten, Indonesia, 15321</t>
  </si>
  <si>
    <t>PA/RLK/2009/0142/TER</t>
  </si>
  <si>
    <t>D225</t>
  </si>
  <si>
    <t>LEMBAGA ILMU PENGETAHUAN INDONESIA (LIPI)</t>
  </si>
  <si>
    <t>Jalan Raya PLN EHP Gandul Limo, Cinere, Kota Depok, Jawa Barat, Indonesia, 16514</t>
  </si>
  <si>
    <t>E32</t>
  </si>
  <si>
    <t>1.Biaya Instalasi Cross connect DC Telkomsigma Rp.6.000.000</t>
  </si>
  <si>
    <t>12652/SPP/008/PUSAT/ICON+/2020 | 4500014025 | 15508/SPP/008/PUSAT/ICON+/2021 | 4500015887 | 21627/SPP/008/PUSAT/ICON+/2023 | 4500022404 |</t>
  </si>
  <si>
    <t>3229/SPP/SBU/PLNICONPLUS/2024</t>
  </si>
  <si>
    <t>D53</t>
  </si>
  <si>
    <t>E88</t>
  </si>
  <si>
    <t>H333</t>
  </si>
  <si>
    <t>H97</t>
  </si>
  <si>
    <t>1.Biaya Instalasi (crossconnect Telkomsigma BSD) Rp.3.000.000,- 2.Biaya Sewa (crossconnect Telkomsigma BSD) Rp.6.000.000,-</t>
  </si>
  <si>
    <t>PT. XL AXIATA TBK</t>
  </si>
  <si>
    <t>NNI XL GD Cyber Lt 5 Jl. Kuningan Barat No. 8, Jakarta Selatan</t>
  </si>
  <si>
    <t>PT Arthatech Selaras, [007C1177L30] DC Telkomsigma Sentul Lt. 1, Cijayanti, Kab. Bogor, Jawa Barat</t>
  </si>
  <si>
    <t>13468/SPP/008/PUSAT/ICON+/2020 | 4500014447 | 16024/SPP/008/PUSAT/ICON+/2021 | 4500016337 | 4500019624</t>
  </si>
  <si>
    <t>3214/SPP/SBU/PLNICONPLUS/2024</t>
  </si>
  <si>
    <t>D114</t>
  </si>
  <si>
    <t>E250</t>
  </si>
  <si>
    <t>H365</t>
  </si>
  <si>
    <t>Biaya sewa perbulan Rp.24.000.000</t>
  </si>
  <si>
    <t>PT. CYBER NETWORK INDONESIA</t>
  </si>
  <si>
    <t>PT Kereta Commuter Indonesia, DC Telkomsigma Jl. Cijayanti, Babakan Madang, Bogor, Jawa Barat</t>
  </si>
  <si>
    <t>PA/ACT/2001/1658/TER</t>
  </si>
  <si>
    <t>D24</t>
  </si>
  <si>
    <t>1.Biaya Instalasi (crossconnect Telkomsigma Sentul) Rp.3.000.000,-</t>
  </si>
  <si>
    <t>PT. Kliring Penjaminan Efek Indonesia, Site Mvnet German Centre, Jl. Arteri Golf, Pakulonan Barat, Serpong Utara, Lengkong Gudang, Tangerang Selatan, Banten</t>
  </si>
  <si>
    <t>12572/SPP/008/PUSAT/ICON+/2020 | 4500013872 | 15240/SPP/008/PUSAT/ICON+/2021 | 4500015776 | 4500018908</t>
  </si>
  <si>
    <t>3150/SPP/SBU/PLNICONPLUS/2024</t>
  </si>
  <si>
    <t>D19</t>
  </si>
  <si>
    <t>E84</t>
  </si>
  <si>
    <t>H102</t>
  </si>
  <si>
    <t>1.Biaya Instalasi TER (cross connect Telkomsigma) Rp.6.000.000,-</t>
  </si>
  <si>
    <t>PT BANK BTPN SYARIAH &amp; Bank Bukopin</t>
  </si>
  <si>
    <t>PT. Telkom Sigma, DC Sentul, Jl. Ir. H. Juanda No. F7, Lantai Ground, Sentul City, Kabupaten Bogor, Jawa Barat, Indonesia,</t>
  </si>
  <si>
    <t>PA/RLK/1901/0064 
 PA/ACT/1902/0567
 PA/ACT/1902/0568 
 PA/ACT/1902/0569 
 PA/ACT/1902/0571
 PA/ACT/1902/0572</t>
  </si>
  <si>
    <t>SPP di Hold</t>
  </si>
  <si>
    <t>10642/SPP/008/PUSAT/ICON+/2019 | 4500012656 | 13157/SPP/008/PUSAT/ICON+/2020 | 4500014237| 15795/SPP/008/PUSAT/ICON+/2021| 4500016175 | 18320/SPP/008/PUSAT/ICON+/2022 | 4500017853</t>
  </si>
  <si>
    <t>3371/SPP/SBU/PLNICONPLUS/2024</t>
  </si>
  <si>
    <t>C64</t>
  </si>
  <si>
    <t>D120</t>
  </si>
  <si>
    <t>E227</t>
  </si>
  <si>
    <t>F112</t>
  </si>
  <si>
    <t>H151</t>
  </si>
  <si>
    <t>1.Biaya Sewa 1 tahun Sebesar 48.000.000</t>
  </si>
  <si>
    <t>ICON-00/ACT/1511/0021
 PA/ACT/1902/0567
 PA/ACT/1902/0568 
 PA/ACT/1902/0569 
 PA/ACT/1902/0571
 PA/ACT/1902/0572</t>
  </si>
  <si>
    <t>10416/SPP/008/PUSAT/ICON+/2019 | 4500012519 | 13156/SPP/008/PUSAT/ICON+/2020 | 4500014236</t>
  </si>
  <si>
    <t>15577/SPP/008/PUSAT/ICON+/2021</t>
  </si>
  <si>
    <t>C39</t>
  </si>
  <si>
    <t>D119</t>
  </si>
  <si>
    <t>E408</t>
  </si>
  <si>
    <t>1.Biaya Sewa 1 tahun Sebesar 120.000.000</t>
  </si>
  <si>
    <t>PT. XL Axiata. Tbk (Inbuilding JNB 2) Building di Jl. Sumba Blok A-B MM2100 , Cibitung, Bekasi (Rak KPK), Indonesia</t>
  </si>
  <si>
    <t>11614/SPP/008/PUSAT/ICON+/2019 | 4500013247 | 14161/SPP/008/PUSAT/ICON+/2020 | 4500015027| 16548/SPP/008/PUSAT/ICON+/2021| 4500016632 | 19740/SPP/008/PUSAT/ICON+/2022 | 4500018959</t>
  </si>
  <si>
    <t>3326/SPP/SBU/PLNICONPLUS/2024</t>
  </si>
  <si>
    <t>C188</t>
  </si>
  <si>
    <t>D257</t>
  </si>
  <si>
    <t>E268</t>
  </si>
  <si>
    <t>Biaya Revenue masuk ke SPP 3300</t>
  </si>
  <si>
    <t>11614/SPP/008/PUSAT/ICON+/2019 | 4500013247 | 14159/SPP/008/PUSAT/ICON+/2020 | 4500013249 | 4500015024| 16547/SPP/008/PUSAT/ICON+/2021| 4500016633 | 19738/SPP/008/PUSAT/ICON+/2022 | 4500018960</t>
  </si>
  <si>
    <t>3327/SPP/SBU/PLNICONPLUS/2024</t>
  </si>
  <si>
    <t>D256</t>
  </si>
  <si>
    <t>E267</t>
  </si>
  <si>
    <t>F333</t>
  </si>
  <si>
    <t>PT. BANK VICTORIA INTERNATIONAL TBK</t>
  </si>
  <si>
    <t>Ruang Server DC BSD Lt.6 Wing Timur</t>
  </si>
  <si>
    <t>17688/SPP/008/PUSAT/ICON+/2022 | 4500017502</t>
  </si>
  <si>
    <t>3244/SPP/SBU/PLNICONPLUS/2024</t>
  </si>
  <si>
    <t>F38</t>
  </si>
  <si>
    <t>H99</t>
  </si>
  <si>
    <t>Biaya OTC 3.000.000 | Biaya Sewa pertahun 6.000.000</t>
  </si>
  <si>
    <t>Bank Nagari</t>
  </si>
  <si>
    <t xml:space="preserve">DC Telkom Sigma, Cijayanti,,  Kec. Babakan Madang,  Kabupaten Bogor,  Jawa Barat,  Indonesia,  </t>
  </si>
  <si>
    <t xml:space="preserve">Server Bank Nagari DC Telkom Sigma Sentul,  Kec. Babakan Madang,  Kabupaten Bogor,  Jawa Barat,  Indonesia, </t>
  </si>
  <si>
    <t>F283</t>
  </si>
  <si>
    <t>Biaya Intslasi 3.000.000</t>
  </si>
  <si>
    <t>PT. SEMEN INDONESIA (PERSERO)TBK</t>
  </si>
  <si>
    <t>SIGMA Serpong Kapt. Subijanto Dj. Bumi Serpong Damai Tangerang (Lantai 5)</t>
  </si>
  <si>
    <t xml:space="preserve">11153/SPP/008/PUSAT/ICON+/2019 | 4500012976 | 13592/SPP/008/PUSAT/ICON+/2020 | 4500014656| 16146/SPP/008/PUSAT/ICON+/2021| 4500016600 | 18847/SPP/008/PUSAT/ICON+/2022 | 4500018223 </t>
  </si>
  <si>
    <t>107/SPP/SBU/ICON+/2023</t>
  </si>
  <si>
    <t>C137</t>
  </si>
  <si>
    <t>D200</t>
  </si>
  <si>
    <t>E412</t>
  </si>
  <si>
    <t>F195</t>
  </si>
  <si>
    <t>G171</t>
  </si>
  <si>
    <t>KEMENTERIAN ENERGI DAN SUMBER DAYA MINERAL</t>
  </si>
  <si>
    <t>Telkom Sigma (German Centre Jalan Arteri Golf, Pakulonan Barat, Serpong Utara, Lengkong Gudang, Serpong, Kota Tangerang Selatan)</t>
  </si>
  <si>
    <t>PA/ACT/2102/0766/TER
 PA/ACT/2102/0781/TER
 PA/ACT/2102/0767/TER</t>
  </si>
  <si>
    <t>15483/SPP/008/PUSAT/ICON+/2021</t>
  </si>
  <si>
    <t>E15</t>
  </si>
  <si>
    <t>1.Biaya Sewa Cross Connect di Telkomsigma Rp.6.000.000,- | 3.Biaya Collocation Rp.40.000.000</t>
  </si>
  <si>
    <t>Telkom sigma Bumi Serpong Damai, Jalan Kapt. Subijanto Dj, Lengkong Gudang, Kec. Serpong, Tangerang, Banten</t>
  </si>
  <si>
    <t>PA/ACT/2001/3141/TER
 PA/ACT/2001/3142</t>
  </si>
  <si>
    <t>12573/SPP/008/PUSAT/ICON+/2020 | 4500013871 | 4500015878 | 17831/SPP/008/PUSAT/ICON+/2022</t>
  </si>
  <si>
    <t>21412/SPP/008/PUSAT/ICON+/2023</t>
  </si>
  <si>
    <t>D18</t>
  </si>
  <si>
    <t>E190</t>
  </si>
  <si>
    <t>G422</t>
  </si>
  <si>
    <t>1.Biaya Sewa TER (cross connect Telkomsigma) Rp.6.000.000</t>
  </si>
  <si>
    <t>PA/ACT/1912/2339/TER</t>
  </si>
  <si>
    <t>12437/SPP/008/PUSAT/ICON+/2019 | 4500013730| 15321/SPP/008/PUSAT/ICON+/2021| 4500015664</t>
  </si>
  <si>
    <t>15321/SPP/008/PUSAT/ICON+/2021</t>
  </si>
  <si>
    <t>C268</t>
  </si>
  <si>
    <t>E86</t>
  </si>
  <si>
    <t>1.Biaya Instalasi Telkomsigma Rp.3.000.000 2.Biaya Sewa Telkomsigma Rp.6.000.000</t>
  </si>
  <si>
    <t>3332/SPP/SBU/PLNICONPLUS/2024</t>
  </si>
  <si>
    <t>H332</t>
  </si>
  <si>
    <t>Telkom Sigma Serpong, Lengkong Gudang, Kec. Serpong, Tangerang, Banten</t>
  </si>
  <si>
    <t>PA/ACT/1911/2073
 PA/ACT/1911/2700</t>
  </si>
  <si>
    <t>11975/SPP/008/PUSAT/ICON+/2019 | 4500013540</t>
  </si>
  <si>
    <t>14889/SPP/008/PUSAT/ICON+/2020</t>
  </si>
  <si>
    <t>C241</t>
  </si>
  <si>
    <t>D388</t>
  </si>
  <si>
    <t>1.Biaya Sewa Crossconnect ORI sebesar Rp.6.000.000,- 2.Biaya Instalasi Crossconnect ORI sebesar Rp.3.000.000,-</t>
  </si>
  <si>
    <t>TELKOMSIGMA BSD, German Center Sigma West Wing lantai 3 Rack number : DC/R04-0069 Perangkat : SW14 HRB sigma, Tangerang, Banten</t>
  </si>
  <si>
    <t>12170/SPP/008/PUSAT/ICON+/2019 | 4500013631</t>
  </si>
  <si>
    <t>14888/SPP/008/PUSAT/ICON+/2020</t>
  </si>
  <si>
    <t>C260</t>
  </si>
  <si>
    <t>D361</t>
  </si>
  <si>
    <t>1.Biaya Instalasi Xconnect Telkomsigma 2 tarikan Rp.6.000.000,- 2.Biaya Sewa Xconnect Telkomsigma 2 tarikan Rp.12.000.000,-</t>
  </si>
  <si>
    <t>Telkomsigma BSD, Jl. Kapt. Subijanto Dj, Lengkong Gudang, Serpong, Tangerang, Banten</t>
  </si>
  <si>
    <t>D51</t>
  </si>
  <si>
    <t>1.Biaya Instalasi Crossconnect FO Telkomsigma Serpong Rp.6.000.000,- 2.Biaya Sewa Crossconnect FO Telkomsigma Serpong Rp.12.000.000,-</t>
  </si>
  <si>
    <t>PT. BANK NTB SYARIAH</t>
  </si>
  <si>
    <t>Telkomsigma Sentul, Cijayanti, Kec. Babakan Madang, Bogor, Jawa Barat 16810</t>
  </si>
  <si>
    <t>E264</t>
  </si>
  <si>
    <t>1.Biaya Sewa Port Switch Rp.18.000.000 | Biaya Sewa UTP Rp.6.000.000 | Biaya Instalasi Port Switch Rp.1.000.000 | Biaya Instalasi UTP Rp.3.000.000</t>
  </si>
  <si>
    <t>PT. BANK HSBC INDONESIA</t>
  </si>
  <si>
    <t>Telkomsigma, Jl.Kapten Subijanto Dj Bumi Serpong Damai - Tangerang, Serpong, Tangerang, Banten</t>
  </si>
  <si>
    <t>12770/SPP/008/PUSAT/ICON+/2020 | 4500014036| 15550/SPP/008/PUSAT/ICON+/2021| 4500016256 | 18357/SPP/008/PUSAT/ICON+/2022 | 4500018102</t>
  </si>
  <si>
    <t>3133/SPP/SBU/PLNICONPLUS/2024</t>
  </si>
  <si>
    <t>D56</t>
  </si>
  <si>
    <t>E208</t>
  </si>
  <si>
    <t>F244</t>
  </si>
  <si>
    <t>H93</t>
  </si>
  <si>
    <t>1.Biaya Instalasi Crossconnect Telkomsigma Rp.3.000.000,- 2.Biaya Sewa Crossconnect Telkomsigma Rp.6.000.000</t>
  </si>
  <si>
    <t>Tempo Realty</t>
  </si>
  <si>
    <t>PT B. BRAUN MEDICAL INDONESIA</t>
  </si>
  <si>
    <t>Tempo Scan tower lantai 19</t>
  </si>
  <si>
    <t>Tempo Scan Tower Lt. 30</t>
  </si>
  <si>
    <t>ICON-00/ACT/1707/0576</t>
  </si>
  <si>
    <t>07515/SPP/008/PUSAT/ICON+/2017 |4500011015 | 08875/SPP/008/PUSAT/ICON+/2018 | 4500011680</t>
  </si>
  <si>
    <t>11131/SPP/008/PUSAT/ICON+/2019</t>
  </si>
  <si>
    <t>Sugeng</t>
  </si>
  <si>
    <t>B158</t>
  </si>
  <si>
    <t>1.Sewa tahunan sebesar 30.000.000</t>
  </si>
  <si>
    <t>Tifa Arum Realty</t>
  </si>
  <si>
    <t>PT Indonesia Comnets Plus qq Diskominfo Blitar</t>
  </si>
  <si>
    <t>GD Tifa Lt 8 Jl.Kuningan Barat No.26</t>
  </si>
  <si>
    <t>Gedung Tifa, Jl. Kuningan Barat 1 No. 26 RT.6/RW.1 Kuningan Barat Mampang Prapatan DKI Jakarta 12710</t>
  </si>
  <si>
    <t>PA/ACT/1901/0199</t>
  </si>
  <si>
    <t>10174/SPP/008/PUSAT/ICON+/2019</t>
  </si>
  <si>
    <t>Riri (GM) | Tintin</t>
  </si>
  <si>
    <t>813-1606-2654 | 818-0819-4502</t>
  </si>
  <si>
    <t>C14</t>
  </si>
  <si>
    <t>1.Biaya Sewa Tahunan sebesar 40.000.000</t>
  </si>
  <si>
    <t>Gedung Graha Kapital 2 Lt.2
Jl. Kemang Raya I No. 7
Jakarta 12730</t>
  </si>
  <si>
    <t>Wisma Bakrie CSU/Graha Kapital Lt. 1 Jl. Kemang Raya No. 4 Jakarta Selatan 12730 (Bank Mega)</t>
  </si>
  <si>
    <t>4500009511 |4500010501 | 4500011603 | 08730/SPP/008/PUSAT/ICON+/2018 | 10847/SPP/008/PUSAT/ICON+/2019 | 4500012963 | 13591/SPP/008/PUSAT/ICON+/2020 | 4500014749| 15947/SPP/008/PUSAT/ICON+/2021| 4500016468 | 4500018220 | 18909/SPP/008/PUSAT/ICON+/2022 | 4500018220 | 406/SPP/SBU/ICON+/2023 | 4500020668</t>
  </si>
  <si>
    <t>3421/SPP/SBU/PLNICONPLUS/2024</t>
  </si>
  <si>
    <t>Eri Priambodo</t>
  </si>
  <si>
    <t>021-7198602</t>
  </si>
  <si>
    <t>B122</t>
  </si>
  <si>
    <t>B120</t>
  </si>
  <si>
    <t>C135</t>
  </si>
  <si>
    <t>D215</t>
  </si>
  <si>
    <t>E246</t>
  </si>
  <si>
    <t>F238</t>
  </si>
  <si>
    <t>G132</t>
  </si>
  <si>
    <t>H181</t>
  </si>
  <si>
    <t>1. Uang Jaminan Rp3000.000,-
 2. Sewa Shaft Rp12.000.000,-</t>
  </si>
  <si>
    <t>PT. VISIONET DATA INTERNASIONAL</t>
  </si>
  <si>
    <t>Backhaul Data Center Visionet Gedung UPH Lantai 5 Gedung C, Curug, -, Kota Tangerang, Banten,</t>
  </si>
  <si>
    <t>PA/ACT/1812/1182</t>
  </si>
  <si>
    <t>11082/SPP/008/PUSAT/ICON+/2019 | 4500012943</t>
  </si>
  <si>
    <t>13597/SPP/008/PUSAT/ICON+/2020</t>
  </si>
  <si>
    <t>Irpan Arlis</t>
  </si>
  <si>
    <t>C91</t>
  </si>
  <si>
    <t>D300</t>
  </si>
  <si>
    <t>Biaya Sewa tahunan sebesar Rp.10.093.272</t>
  </si>
  <si>
    <t>Wardono Asnim</t>
  </si>
  <si>
    <t>Mangunreja,Puloampel,Mangunreja,Serang [Huawei 172.25.105.188/29]
 0990000320470800 Metro PGAS TELEKOMUNIKASI NUSANTARA Ged.Cyber - PT Chandra Asri Merak Jl. Pulau Ampel Merak Banten
 01000011533 IPVPN BRI PPD SALIRA-78 (Huawei 172.25.110.50/29)
 01000022005 Metro Telemedia Dinamika Sarana PT. Indo Raya Tenaga, Pulomerak, Cilegon (BDCOM 172.25.110.51/29 vl14)
 01000022005 Metro Telemedia Dinamika Sarana, Pulomerak, Banten (BDCOM 172.25.110.52 vl14)
 04000004161 Internet Nufarm Indonesia Jalur Merak-Serdang, Mangunreja, Puloampel, Serang [172.25.105.187/29]</t>
  </si>
  <si>
    <t>Pluit Timur Blok I Selatan 2 RT.03/RW 09 Kelurahan Pluit Kecamatan Pejaringan Jakarta Utara</t>
  </si>
  <si>
    <t>Desa Lebak Gede Kecamatan Pulo Merak Kabupaten Cilegon Propinsi Baten</t>
  </si>
  <si>
    <t>4500009843 |
 101301.PJ/001/PUSAT/ICON+/2016</t>
  </si>
  <si>
    <t>10597/SPP/008/PUSAT/ICON+/2019</t>
  </si>
  <si>
    <t>021-6910382</t>
  </si>
  <si>
    <t>C71</t>
  </si>
  <si>
    <t>Sewa Lahan 225 m2 Rp68.148.148/tahun</t>
  </si>
  <si>
    <t>Jl. Dr. Ide Anak Agung Gde Agung Blok 6.2 Kuningan Timur Setiabudi Jakarta Selatan 12950</t>
  </si>
  <si>
    <t xml:space="preserve">MENARA PRIMA LANTAI 29, JL. LINGKAR MEGA KUNINGAN,- ,- ,- ,Indonesia ,-   </t>
  </si>
  <si>
    <t>Gedung Menara Prima (rack Colocation di ruang electrical )
 Jalan Lingkar Mega Kuningan Kav. E 3.2 No. 3 &amp; 4
 Kompleks Mega Kuningan
 Jakarta Selatan</t>
  </si>
  <si>
    <t>1630117/SPR/ICON+/2017 | 011819_MI_1630117_SPR | 07538/SPP/008/PUSAT/ICON+/2017 | 4500010872 | 09759/SPP/008/PUSAT/ICON+/2018 | 4500012277 | 12341/SPP/008/PUSAT/ICON+/2019 | 4500013798 | 14777/SPP/008/PUSAT/ICON+/2020 | 4500015422 | 16994 | 4500017140</t>
  </si>
  <si>
    <t>Theo</t>
  </si>
  <si>
    <t>021-5794 8000 ext. 120</t>
  </si>
  <si>
    <t>B285</t>
  </si>
  <si>
    <t>D60</t>
  </si>
  <si>
    <t>E132</t>
  </si>
  <si>
    <t>E411</t>
  </si>
  <si>
    <t>H22</t>
  </si>
  <si>
    <t>All Pelanggan Shelter cileungsi</t>
  </si>
  <si>
    <t>Jl. Blok Pandai RT.01/17 Desa Cileungsi Kecamatan Cileungsi Kabupaten Bogor</t>
  </si>
  <si>
    <t>Desa Cileungsi Bogor</t>
  </si>
  <si>
    <t>4500007024 | 10364 | 4500012510</t>
  </si>
  <si>
    <t>H. Asep Saepudin</t>
  </si>
  <si>
    <t>C58</t>
  </si>
  <si>
    <t>H103</t>
  </si>
  <si>
    <t>Sewa lahan Rp100.000/meter/bulan dan biaya ijin Rp10.000.000,- (OTC)</t>
  </si>
  <si>
    <t>PT. Sumber Mentari Elektrindo</t>
  </si>
  <si>
    <t>Jln Dwikora II 1238</t>
  </si>
  <si>
    <t>Jl. Pangeran Jayakarta 8 Komplek Artha Center Blok I No.6 /Jl. Pangeran Jayakarta 8 Komplek Artha Center Blok I No.6, Tamansari, Pinangsia, Jakarta</t>
  </si>
  <si>
    <t>12645/SPP/008/PUSAT/ICON+/2020 | 4500013955| 15536/SPP/008/PUSAT/ICON+/2021| 4500015913 | 18281/SPP/008/PUSAT/ICON+/2022 | 4500017850</t>
  </si>
  <si>
    <t>3079/SPP/SBU/PLNICONPLUS/2024</t>
  </si>
  <si>
    <t>D42</t>
  </si>
  <si>
    <t>E131</t>
  </si>
  <si>
    <t>F129</t>
  </si>
  <si>
    <t>G208</t>
  </si>
  <si>
    <t>H224</t>
  </si>
  <si>
    <t>1.Biaya Sewa Pertahun sebesar Rp.3.000.000,-</t>
  </si>
  <si>
    <t>PT. Landmark Conccurent Solusi Indonesia</t>
  </si>
  <si>
    <t>Tebet Raya RT 09/05 45D</t>
  </si>
  <si>
    <t>Graha Pertamina No 6 RT.6/RW.1, Gambir, Jakarta Pusat, DKI Jakarta, Indonesia, 10110</t>
  </si>
  <si>
    <t>16627/SPP/008/PUSAT/ICON+/2021|4500016710 | 19562/SPP/008/PUSAT/ICON+/2022 | 4500018692</t>
  </si>
  <si>
    <t xml:space="preserve">869/SPP/SBU/ICON+/2023	</t>
  </si>
  <si>
    <t>E265</t>
  </si>
  <si>
    <t>F300</t>
  </si>
  <si>
    <t>G234</t>
  </si>
  <si>
    <t>1.Pembayaran sewa setahun Rp.96.000.000</t>
  </si>
  <si>
    <t>JL. MEDAN MERDEKA TIM., RT.6/RW.1, GAMBIR, KECAMATAN GAMBIR, KOTA JAKARTA PUSAT, DAERAH KHUSUS IBUKOTA JAKARTA 10110</t>
  </si>
  <si>
    <t>1017/SPP/SBU/ICON+/2023</t>
  </si>
  <si>
    <t>G161</t>
  </si>
  <si>
    <t>1.Pembayaran sewa setahun Rp.24.000.000</t>
  </si>
  <si>
    <t>PT NTT INDONESIA SOLUTIONS</t>
  </si>
  <si>
    <t xml:space="preserve"> 
PSDC Graha Pertamina, Tower Fastron Lt. 3, MMR-A, Jl. Medan Merdeka Tim., RT.6/RW.1, Gambir</t>
  </si>
  <si>
    <t>PA/ACT/2302/11050</t>
  </si>
  <si>
    <t>1148/SPP/SBU/ICON+/2023</t>
  </si>
  <si>
    <t>G186</t>
  </si>
  <si>
    <t>1.Pembayaran sewa shaft Rp.86.400.000</t>
  </si>
  <si>
    <t>BSI Danareksa Lt.9, Jl Medan Merdeka Sel No.14, Rt.11/Rw.2, Gambir, Kecamatan Gambir, Kota Jakarta Pusat, DKI Jakarta, 10110</t>
  </si>
  <si>
    <t>A821202000553</t>
  </si>
  <si>
    <t>111202017988</t>
  </si>
  <si>
    <t xml:space="preserve">	1681/SPP/SBU/ICON+/2023</t>
  </si>
  <si>
    <t>Candra Viktor</t>
  </si>
  <si>
    <t>0823-6712-1323</t>
  </si>
  <si>
    <t>G296</t>
  </si>
  <si>
    <t>PO Di Upgrade hingga 31 Juli 2025</t>
  </si>
  <si>
    <t>PT Sigma Cipta Utama</t>
  </si>
  <si>
    <t>Permanent Jalur- Relokasi ke PHE Tower Jl Tb Simatupang No Kav.99 Rt.1/Rw.1, Kebagusan, Ps Minggu, Kota Jakarta Selatan, DKI Jakarta, 12520</t>
  </si>
  <si>
    <t>R111205002068</t>
  </si>
  <si>
    <t>111205023272/ 01000358131</t>
  </si>
  <si>
    <t xml:space="preserve"> Nadya</t>
  </si>
  <si>
    <t>0899-6319-035</t>
  </si>
  <si>
    <t>G401</t>
  </si>
  <si>
    <t>Biaya OTC Rp 4.000.000</t>
  </si>
  <si>
    <t>Gedung Graha Mitra Lt.1, Jl Jendral Gatot Subroto Kav 21, Karet, Semanggi, Jakarta Selatan, DKI Jakarta, Indonesia</t>
  </si>
  <si>
    <t>R311303000291</t>
  </si>
  <si>
    <t>310130300670/ 04000139224</t>
  </si>
  <si>
    <t>2151/SPP/SBU/ICON+/2023</t>
  </si>
  <si>
    <t>G402</t>
  </si>
  <si>
    <t>Gedung Graha Mitra Lt.1, Jl Jendral Gatot Subroto Kav 22, Karet, Semanggi, Jakarta Selatan, DKI Jakarta, Indonesia</t>
  </si>
  <si>
    <t>R311202000311</t>
  </si>
  <si>
    <t>310120201248/ 01000139233</t>
  </si>
  <si>
    <t>PT Mastersystem Infotama</t>
  </si>
  <si>
    <t>Gedung PHE Tower, Jl Tb Simatupang No Kav 99, Kebagusan, Pasar Minggu, Jakarta Selatan</t>
  </si>
  <si>
    <t>A811303000060</t>
  </si>
  <si>
    <t>111303010621</t>
  </si>
  <si>
    <t>300 Mbps</t>
  </si>
  <si>
    <t>G403</t>
  </si>
  <si>
    <t xml:space="preserve">Gedung RDTX, Jl Prof Dr Satrio Kav E-IV No.6, Jl Kuningan Barat Raya No.2, Rt.5, Kuningan, Kuningan Timur, Kec Setiabudi, Jakarta Selatan, DKI Jakarta </t>
  </si>
  <si>
    <t>A811303000059</t>
  </si>
  <si>
    <t>111303010622</t>
  </si>
  <si>
    <t>G413</t>
  </si>
  <si>
    <t>Biaya Collocation</t>
  </si>
  <si>
    <t xml:space="preserve">PGAS Telekomunikasi Nusantara </t>
  </si>
  <si>
    <t>PT Chandra Asri Petrochemical Tbk</t>
  </si>
  <si>
    <t>Gedung B Lantai 3 Komplek PT. PGN (Persero) Tbk, Jl. KH Zainul Arifin, No 20, Jakarta Barat, 11140</t>
  </si>
  <si>
    <t>Wisma Barito Pacific</t>
  </si>
  <si>
    <t>PT Chandra Asri Petrochemical Anyer Cilegon</t>
  </si>
  <si>
    <t>A821303000583</t>
  </si>
  <si>
    <t>111202018274</t>
  </si>
  <si>
    <t>1987/SPP/SBU/ICON+/2023</t>
  </si>
  <si>
    <t>Ivan</t>
  </si>
  <si>
    <t>0812-8324-4480</t>
  </si>
  <si>
    <t>A821303000582</t>
  </si>
  <si>
    <t>111202018273</t>
  </si>
  <si>
    <t>A821303000244</t>
  </si>
  <si>
    <t>111303011048</t>
  </si>
  <si>
    <t>PT Praweda Sarana Informatika</t>
  </si>
  <si>
    <t>IDC D3 NNI Link Net</t>
  </si>
  <si>
    <t>PT Samudera Logistics Service, Jl Waru Blok F2 No.5 Lippo Cikarang, Cikarang, Indonesia</t>
  </si>
  <si>
    <t>A821303000225</t>
  </si>
  <si>
    <t>111303010977</t>
  </si>
  <si>
    <t>75 Mbps</t>
  </si>
  <si>
    <t>1608/SPP/SBU/ICON+/2023</t>
  </si>
  <si>
    <t>G399</t>
  </si>
  <si>
    <t xml:space="preserve">Telnusa Intrakom </t>
  </si>
  <si>
    <t>Ruko Puri Sentra Niaga Blok B 40/50</t>
  </si>
  <si>
    <t>Pulau Pabelokan PHE Offshore, Land Point Lontar CRS</t>
  </si>
  <si>
    <t>A811303000117</t>
  </si>
  <si>
    <t>111303010827</t>
  </si>
  <si>
    <t>1551/SPP/SBU/ICON+/2023</t>
  </si>
  <si>
    <t>0811-1805-557</t>
  </si>
  <si>
    <t>G400</t>
  </si>
  <si>
    <t>PT Pelayaran Bahtera Adhiguna</t>
  </si>
  <si>
    <t>IDC 3D, Jl Duren Tiga Raya No.7, Rt.9/Rw.5, Duren Tiga</t>
  </si>
  <si>
    <t>Gedung Prudential Center, Lt.11 Unit A B C D E, Kota Kasablanca</t>
  </si>
  <si>
    <t>A831205000546</t>
  </si>
  <si>
    <t>111205024274</t>
  </si>
  <si>
    <t>2095/SPP/SBU/ICON+/2023</t>
  </si>
  <si>
    <t>Irvan</t>
  </si>
  <si>
    <t>0822-9957-7830</t>
  </si>
  <si>
    <t>G410</t>
  </si>
  <si>
    <t xml:space="preserve">Supra Primatama Nusantara </t>
  </si>
  <si>
    <t>PT Global Infotech Solutions</t>
  </si>
  <si>
    <t>PT Autocomp System Indonesia Gd Mid Plaza 2 Lt.10. Jl Jend Sudirman Kav 10.11.Jakpus</t>
  </si>
  <si>
    <t>A821205000242</t>
  </si>
  <si>
    <t>111205024322</t>
  </si>
  <si>
    <t>2096/SPP/SBU/ICON+/2023</t>
  </si>
  <si>
    <t>Rurry</t>
  </si>
  <si>
    <t>0878-7311-3027</t>
  </si>
  <si>
    <t>[UID JAYA - UP2D] [UP3 BANDENGAN]</t>
  </si>
  <si>
    <t>GH0307</t>
  </si>
  <si>
    <t>A831205000113 / 8323070400011</t>
  </si>
  <si>
    <t>H3</t>
  </si>
  <si>
    <t xml:space="preserve">Konfirmais sales </t>
  </si>
  <si>
    <t>PT Transportasi Gas Indonesia</t>
  </si>
  <si>
    <t>NEW BACKHAUL DC TGI- NEX NEX DC NOMOR NF3-01-03:, GED.
CYBER 2 -JL. H. R. RASUNA SAID NO.13, RT.7/RW.2, KUNINGAN,
KECAMATAN SETIABUDI, KOTA JAKARTA</t>
  </si>
  <si>
    <t>R111202002315</t>
  </si>
  <si>
    <t xml:space="preserve">0856-93221320 </t>
  </si>
  <si>
    <t>G364</t>
  </si>
  <si>
    <t>PT. Genero Pharmaceuticals</t>
  </si>
  <si>
    <t>Genero HH, Jl. Industri Selatan 1B Blok HH No. 1-4, Kawasan Industri Jababeka 2,
Cikarang - Bekasi 17550, -, -, -, Indonesia</t>
  </si>
  <si>
    <t>U111303001425</t>
  </si>
  <si>
    <t>H75</t>
  </si>
  <si>
    <t xml:space="preserve">Cyber 1 Kuningan APJII </t>
  </si>
  <si>
    <t xml:space="preserve">KP. WULANGSARI RT/RW 006/003 DESA MALINGPING UTARA
KEC. MALINGPING KAB. LEBAK PROV. BANTEN </t>
  </si>
  <si>
    <t>A821204000048</t>
  </si>
  <si>
    <t>H7</t>
  </si>
  <si>
    <t>SDI DC, CYBER 1, LEVEL 3,
RACK 93, JAKARTA</t>
  </si>
  <si>
    <t>PT CHINA TELECOM INDONESIA, WISMA 46 – KOTA BNI, LT
17, SUITE 1712-1713, JL JEND. SUDIRMAN KAV. 1, JAKARTA
10220</t>
  </si>
  <si>
    <t>H6</t>
  </si>
  <si>
    <t>Lahan Berikat Nusantara</t>
  </si>
  <si>
    <t xml:space="preserve">PT Mastersystem Infotama </t>
  </si>
  <si>
    <t>Lahan Berikat Nusantara SBU Lahan Tanjung Proik Marunda</t>
  </si>
  <si>
    <t>MARUNDA JETTY, JL. MARUNDA 1 NO.5, RT.1/RW.7, CILINCING, KEC. CILINCING, JKT UTARA, DAERAH KHUSUS IBUKOTA
JAKARTA</t>
  </si>
  <si>
    <t>A811303000054</t>
  </si>
  <si>
    <t>G372</t>
  </si>
  <si>
    <t>PT Sika Indonesia Cikarang, Jl.Jababeka V Blok I/1 Cikarang
Industrial, Estate Bekasi 17530 Indonesia, Bekasi , Jawa
Barat</t>
  </si>
  <si>
    <t xml:space="preserve">A821202000604 </t>
  </si>
  <si>
    <t>G304</t>
  </si>
  <si>
    <t>PT. RUDOLF CHEMICALS INDONESIA JABABEKA 1, KAV.K2FGH,
WANGUNHARJA, CIKARANG UTARA, BEKASI REGENCY, WEST JAVA
17530</t>
  </si>
  <si>
    <t>R111303001609</t>
  </si>
  <si>
    <t>G305</t>
  </si>
  <si>
    <t>PT Kereta Api Indonesia</t>
  </si>
  <si>
    <t>CIKARANG DRY PORT - Jl. Dry Port Raya, Tanjungsari, Kec. Cikarang
Utara, Kabupaten Bekasi, Jawa Barat 17550</t>
  </si>
  <si>
    <t>A121303000219</t>
  </si>
  <si>
    <t>G367</t>
  </si>
  <si>
    <t>PT. SUMBER CIPTA MULTINIAGA - (RELOKASI ALAMAT DSO CIKARANG) JL. INDUSTRI UTAMA, KAWASAN INDUSTRI JABABEKA II</t>
  </si>
  <si>
    <t>U131202000306 / 1323082000037</t>
  </si>
  <si>
    <t>G265</t>
  </si>
  <si>
    <t>(Ruang Server) ITC Cempaka Mas, Jl. Cemp. Mas Tim No. 586, RW.8, Sumur Batu, Kemayoran, Jakpus, Indonesia</t>
  </si>
  <si>
    <t>G368</t>
  </si>
  <si>
    <t xml:space="preserve">PLN DISJAYA - [UP3 BANDENGAN] </t>
  </si>
  <si>
    <t xml:space="preserve">PLN DISJAYA - [UP3 BANDENGAN] GH0226 </t>
  </si>
  <si>
    <t>H32</t>
  </si>
  <si>
    <t>Lantai Basement 1 ke Lantai 20 Menara Selatan (Link Backup Ruang Direksi)</t>
  </si>
  <si>
    <t>H76</t>
  </si>
  <si>
    <t xml:space="preserve">Joint All Customer ICONNET </t>
  </si>
  <si>
    <t>H53</t>
  </si>
  <si>
    <t xml:space="preserve">Air Minum Surya Sembada Kota
Surabaya </t>
  </si>
  <si>
    <t>GERMAN CENTER LANTAI 3 TIMUR DATA CENTER TELKOM SIGMA
DJ, BUMI SERPONG DAMAI, JALAN KAPTEN SUBIJANTO,
LENGKONG GUDANG, KEC. SERPONG, KOTA TANGERANG
SELATAN BANTEN</t>
  </si>
  <si>
    <t>A141202000112</t>
  </si>
  <si>
    <t>G119</t>
  </si>
  <si>
    <t>ICONNET</t>
  </si>
  <si>
    <t>Gedung Cyber. Joint All Customer ICONNET (Kebutuhan Upgrade PNI META 2X100)</t>
  </si>
  <si>
    <t>H52</t>
  </si>
  <si>
    <t>PT. ANTAM TBK</t>
  </si>
  <si>
    <t>DC Sentul, Telkomsigma Sentul, Cijayanti,  Babakan Madang,  Kabupaten Bogor,  Jawa Barat,  Indonesia,  16810</t>
  </si>
  <si>
    <t>Landmark Pluit, B9, LT. 10, Jalan Pluit Selatan Raya No.2, RT. 4, RW. 10, Pluit Penjaringan</t>
  </si>
  <si>
    <t>A111303000068 / A112305030002</t>
  </si>
  <si>
    <t>H116</t>
  </si>
  <si>
    <t xml:space="preserve">Graha Multimedia Nusantara </t>
  </si>
  <si>
    <t>Rasuna Office Park 3 Lt.4 Blok UO-11, Rasuna Epicentrum</t>
  </si>
  <si>
    <t>Backhaul IDC D3</t>
  </si>
  <si>
    <t>GEDUNG TEKNIS KUNINGAN (EPICENTRUM MALL PTSP), JL. HR RASUNA SAID KAV C / 21, KUNINGAN, JAKARTA SELATAN, DKI JAKARTA</t>
  </si>
  <si>
    <t xml:space="preserve">D111202002713 </t>
  </si>
  <si>
    <t>2462/SPP/SBU/ICON+/2024</t>
  </si>
  <si>
    <t>Andi</t>
  </si>
  <si>
    <t>0878-7879-9501</t>
  </si>
  <si>
    <t>BCA Finance</t>
  </si>
  <si>
    <t>WISMA ASIA II JL. BRIGJEN KATAMSO NO.1, RT.4/RW.9, KOTA BAMBU SEL., KEC. PALMERAH, KOTA JAKARTA BARAT, DAERAH KHUSUS IBUKOTA JAKARTA 11420</t>
  </si>
  <si>
    <t>BCAF BEKASI JL. HARAPAN INDAH BOULEVARD-KOMPLEK MEGA OFFICE PARK BLOK P5 NO. 08, MEDAN SATRIA, KECAMATAN MEDAN SATRIA, KOTA BEKASI JAWA BARAT, 17132</t>
  </si>
  <si>
    <t>A821205000254</t>
  </si>
  <si>
    <t>111303011435</t>
  </si>
  <si>
    <t>2215/SPP/SBU/ICON+/2023</t>
  </si>
  <si>
    <t>H20</t>
  </si>
  <si>
    <t>Bandwith Upgrade 30 Mbps</t>
  </si>
  <si>
    <t xml:space="preserve">Jala Lintas Media </t>
  </si>
  <si>
    <t xml:space="preserve">A821303000494 </t>
  </si>
  <si>
    <t>111202018568</t>
  </si>
  <si>
    <t>2352/SPP/SBU/ICON+/2023</t>
  </si>
  <si>
    <t>H37</t>
  </si>
  <si>
    <t>Biaya OTC Rp 225.225</t>
  </si>
  <si>
    <t>PT Inti Idola Anugerah</t>
  </si>
  <si>
    <t>Radio dalam Raya RT 003 RW 001 No 48 Kebayoran Baru</t>
  </si>
  <si>
    <t>(Point Coffee Gedhe Km 42.5) Rest Area Km. 42, Tol Jakarta -
Cilegon No.5, Pabuaran, Kec. Jayanti, Kabupaten Tangerang,
Banten</t>
  </si>
  <si>
    <t xml:space="preserve">Chairul </t>
  </si>
  <si>
    <t xml:space="preserve">Solusi Rekatama Makmur
</t>
  </si>
  <si>
    <t>Kalimantan CA2 1&amp;2 Gandasari Kabupaten Bekasi 17842</t>
  </si>
  <si>
    <t>PT. Solusi Rekatama Makmur MM2100, Jl. Kw. Industri No.1, Mekarwangi, Kec. Cikarang Barat, Kab. Bekasi, Jawa Barat 17530</t>
  </si>
  <si>
    <t xml:space="preserve">baru </t>
  </si>
  <si>
    <t xml:space="preserve">Fiber Media Indonesia </t>
  </si>
  <si>
    <t>PT Pupuk Iskandar Muda</t>
  </si>
  <si>
    <t>Jl.wibawa Mukti II no.3D, Jatiasih - kota Bekasi</t>
  </si>
  <si>
    <t>JL. BANGKA RAYA, RT.11/RW.7, PELA MAMPANG, KEC. MAMPANG PRPT., KOTA JAKARTA SELATAN, DAERAH KHUSUS IBUKOTA JAKARTA 12720</t>
  </si>
  <si>
    <t xml:space="preserve">A231303000175 </t>
  </si>
  <si>
    <t>231303000918</t>
  </si>
  <si>
    <t>99,5%</t>
  </si>
  <si>
    <t>Interner Corporate</t>
  </si>
  <si>
    <t>2218/SPP/SBU/ICON+/2023</t>
  </si>
  <si>
    <t>Lutfia</t>
  </si>
  <si>
    <t>0812-8230-2775</t>
  </si>
  <si>
    <t>Biaya OTC Rp 5.000.000</t>
  </si>
  <si>
    <t xml:space="preserve">PT Ultrajaya Milk Industry 
</t>
  </si>
  <si>
    <t xml:space="preserve">Bekasi Fajar (Befa Square) Bekasi </t>
  </si>
  <si>
    <t>BRI</t>
  </si>
  <si>
    <t>H2H BRI - BPJS Kesehatan Jl.Biznet Technovillage</t>
  </si>
  <si>
    <t>R111205001840</t>
  </si>
  <si>
    <t>G359</t>
  </si>
  <si>
    <t xml:space="preserve">IFORTE SOLUSI INFOTEK, PT
IKHLAS CIPT TEKNOLOGI, PT
VICTORY NETWORK INDONESIA,PT
JALA LINTAS MEDIA, PT
PGAS TELEKOMUNIKASI NUSANTARA,PT 
MEDIA LINTAS DATA, PT
DEWATA TELEMATIKA, PT
WIFIAN SOLUTIONS, PT
WIFIAN SOLUTIONS, PT
ALFATIH INDO TERKNOLOGI, PT
WIFIAN SOLUTIONS, PT
JALA LINTAS MEDIA, PT
BERKAH SOLUSI TEKNOLOGI INFORMASI, PT
TELEKOMUNIKASI INDONESIA, Tbk (EOS)
BERKAH SOLUSI TEKNOLOGI INFORMASI, PT
ANDALAS MEDIA INFORMATIKA, PT
GARAPAN TEKHNOLOGI INDONESIA, PT
MEGA ARTHA LINTAS DATA, PT
JURAGAN ONLINE SOLUSI, PT
ARSEN KUSUMA INDONESIA, PT
INTEGRASI JARINGAN EKOSISTEM, PT (WEAVE)
PT. WIFIAN SOLUTION, 
TELEKOMUNIKASI INDONESIA, Tbk (Eos)
Wifian Solution
ALFATIH INDO TEKNOLOGI, PT
GLOBAL MEDIA DATA PRIMA, PT
LINTAS DATA PRIMA, PT
HIPERNET INDODATA, PT
ALFATIH INDO TEKNOLOGI, PT
SEWIWI INDONESIA, PT
LINTAS DATA PRIMA, PT
GLOBAL MEDIA DATA PRIMA, PT
LINTAS DATA PRIMA, PT
PUTRA LEBAK BANTEN, PT
IKHLAS CIPT TEKNOLOGI, PT
JALA LINTAS MEDIA, PT
MEDIA SARANA DATA, PT
JINOM NETWORK INDONESIA, PT
COMTRONICS SYSTEMS, PT
MEDIA LINTAS DATA, PT
LINTAS DATA PRIMA, PT
MEDIA CEPAT INDONESIA, PT
APLIKANUSA LINTASARTA, PT
WALUYA ISTANA NUSANTARA, PT
GLOBAL MEDIA INTI SEMESTA, PT
MEDIA CEPAT INDONESIA, PT
MEDIA CEPAT INDONESIA, PT
HIPERNET INDODATA, PT
ALIANSI TEKNOLOGI INDONESIA, PT
SEWIWI INDONESIA, PT
GLOBAL MEDIA DATA PRIMA, PT
MEDIA CEPAT INDONESIA, PT
LINTAS DATA PRIMA, PT
JALA LINTAS MEDIA, PT
PT. MEDIA JARINGAN INDONESIA
PARSAORAN GLOBAL DATATRANS, PT
LINTAS DATA PRIMA, PT
MAXINDO CONTENT SOLUTION, PT
MAXINDO CONTENT SOLUTION, PT
KUPANG INTERMEDIA, PT
PT COMTRONICS SYSTEMS, PT
IKHLAS CIPTA TEKNOLOGI, PT
IKHLAS CIPTA TEKNOLOGI, PT
IKHLAS CIPTA TEKNOLOGI, PT
IKHLAS CIPTA TEKNOLOGI, PT
IKHLAS CIPTA TEKNOLOGI, PT
JAVA DIGITAL NUSANTARA
JAVA DIGITAL NUSANTARA
MITRA VISIONER PRATAMA, PT
MITRA VISIONER PRATAMA, PT
MITRA VISIONER PRATAMA, PT
PT. LIMA MENARA BINTANG
PT. PC 24 TELEKOMUNIKASI INDONESIA
GLOBAL INTI CORPORATAMA, PT
GLOBAL MEDIA DATA PRIMA, PT
GLOBAL MEDIA DATA PRIMA, PT
GLOBAL MEDIA DATA PRIMA, PT
GLOBAL MEDIA DATA PRIMA, PT
GLOBAL MEDIA DATA PRIMA, PT
GLOBAL MEDIA DATA PRIMA, PT
GLOBAL MEDIA DATA PRIMA, PT
GLOBAL MEDIA DATA PRIMA, PT
GLOBAL MEDIA DATA PRIMA, PT
GLOBAL MEDIA DATA PRIMA, PT
GLOBAL MEDIA DATA PRIMA, PT
LINKNET INDONESIA, Tbk
LINKNET INDONESIA, Tbk
LINKNET INDONESIA, Tbk
LINKNET INDONESIA, Tbk
LINKNET INDONESIA, Tbk
LINKNET INDONESIA, Tbk
LINKNET INDONESIA, Tbk
PT LINTAS DATA PRIMA
PT LINTAS DATA PRIMA
PT LINTAS DATA PRIMA
PT LINTAS DATA PRIMA
PT LINTAS DATA PRIMA
PT LINTAS DATA PRIMA
PT LINTAS DATA PRIMA
PT LINTAS DATA PRIMA
MITRA AKSES GLOBALINDO, PT
PT. TELE GLOBE GLOBAL
BALI TOWERINDO SENTRA, Tbk
BALI TOWERINDO SENTRA, Tbk
ADI INTI MANDIRI SOLUSI
PT. DES TEKNOLOGI INFORMASI
PT. DES TEKNOLOGI INFORMASI
PT DWI TUNGGAL PUTRA
EKA MAS REPUBLIK, PT
EKA MAS REPUBLIK, PT
GLOBAL DIGITAL NIAGA
GLOBAL DIGITAL NIAGA
GLOBAL DIGITAL NIAGA
PT. HANASTA DAKARA
PT. HANASTA DAKARA
HIPERNET INDODATA, PT
HIPERNET INDODATA, PT
IFORTE SOLUSI INFOTEK, PT
IFORTE SOLUSI INFOTEK, PT
IFORTE SOLUSI INFOTEK, PT
IFORTE SOLUSI INFOTEK, PT
IFORTE SOLUSI INFOTEK, PT
IFORTE SOLUSI INFOTEK, PT
IFORTE SOLUSI INFOTEK, PT
IFORTE SOLUSI INFOTEK, PT
PT. INFOMEDIA GLOBAL NUSANTARA
PT JAYA KREASI PUTRA INDONESIA
MAXINDO MITRA SOLUSI, PT
MAXINDO MITRA SOLUSI, PT
PT. MEDIA JARINGAN INDONESIA
MEDIA LINTAS DATA, PT
MEGA AKSES PERSADA, PT
MEGA AKSES PERSADA, PT
PALAPA MEDIA INDONESIA, PT
PARSAORAN GLOBAL DATATRANS, PT
PT. PRIMACOM INTERBUANA
PT. PRIMACOM INTERBUANA
PT. PRIMACOM INTERBUANA
PT. PRIMACOM INTERBUANA
PT. SKYLINE SEMESTA
PT. SKYLINE SEMESTA
PT. SKYLINE SEMESTA
PT. SOLO JALA BUANA
PT. SOLO JALA BUANA
SOLUSINDO BINTANG PRATAMA, PT
PALAPA MEDIA INDONESIA, PT
PT. PARSAORAN GLOBAL DATATRANS
TELEKOMUNIKASI INDONESIA, Tbk (DWS)
PT. JINOM NETWORK INDONESIA
PT. INTERNETWORK KOMUNIKASI INDONESIA
KREASI SEJAHTERA TEKNOLOGI, PT
KREASI SEJAHTERA TEKNOLOGI, PT
PT. PERDANA CITRA KOMPUTER INDONESIA
PT. WEB DATA SOLUSINDO
PT. ARSENET GLOBAL SOLUSI
PT BUANA LINTAS MEDIA
PT. WEB DATA SOLUSINDO
PT Mandiri Telekomunikasi Indonesia
PT. INTERNETWORK KOMUNIKASI INDONESIA
PT. BANTANI MEDIA UTAMA
PT. BANTANI MEDIA UTAMA
PT. JALA LINTAS MEDIA
PT. VICTORY NETWORK INDONESIA
PT. IFORTE SOLUSI INFOTEK
PT. WIFIAN SOLUTION
PT. PADI INTERNET
YASMIN AMANAH MEDIA, PT
YASMIN AMANAH MEDIA, PT
YASMIN AMANAH MEDIA, PT
YASMIN AMANAH MEDIA, PT
YASMIN AMANAH MEDIA, PT
YASMIN AMANAH MEDIA, PT
FASTEL SARANA INDONESIA, PT
ANGKASA KOMUNIKASI GLOBAL UTAMA, PT
ANGKASA KOMUNIKASI GLOBAL UTAMA, PT
INDONESIAN CLOUD, PT
KINGS NETWORK INDONESIA, PT
INTI BANGUN SEJAHTERA, Tbk
TIME EXCELINDO, PT
GRAHA ANUGRAH SEJAHTERA, PT
OIXP/ All pelanggan
OIXP/ All pelanggan
OIXP/ All pelanggan
OIXP/ All pelanggan
PT. DIGITAL INTEGRASI INDONESIA
PT. MILENIAL INTI TELEKOMUNIKASI
PT. ASIA CENTRAL TELEMATIKA
GLOBAL MEDIA INTI SEMESTA, PT
GLOBAL MEDIA INTI SEMESTA, PT
GLOBAL MEDIA INTI SEMESTA, PT
HIPERNET INDODATA, PT
HIPERNET INDODATA, PT
ERUDEYE INDONESIA, PT
JINOM NETWORK INDONESIA, PT
YASMIN AMANAH MEDIA, PT
PT. KREASI SEJAHTERA TEKNOLOGI
INTERLINK TECHNOLOGY, PT
WIFIAN SOLUTIONS, PT
PT. ALIANSI TEKNOLOGI INDONESIA (DANA)
</t>
  </si>
  <si>
    <t>IDC D3</t>
  </si>
  <si>
    <t xml:space="preserve">PA/UPG/2111/0134/TER
PA/ACT/2112/0746
PA/ACT/2112/0640
PA/UPG/2202/0307
PA/ACT/2201/1525/ORI
PA/ACT/2112/4142
PA/ACT/2201/1469
PA/UPG/2111/0152
PA/ACT/2201/0640
PA/ACT/2201/0890
PA/ACT/2201/2229
PA/UPG/2202/0307
PA/ACT/2203/4651/ORI
PA/ACT/2110/3149/TER
PA/ACT/2203/3908/ORI
PA/ACT/2110/0734
PA/ACT/2203/2930/ORI
PA/ACT/2204/1743/ORI
PA/RLK/2203/0083
PA/ACT/2205/0838
PA/ACT/2204/3819/ORI
PA/ACT/2204/4009
PA/RLK/2205/0002
PA/ACT/2206/16999/ORI
PA/ACT/2206/16670
PA/ACT/2206/18096
PA/ACT/2207/2162
PA ACT/2207/1984
PA/ACT/2206/16670 
PA/ACT/2207/2391
PA/RLK/2207/0047
PA/ACT/2207/4700
PA/ACT/2208/1665
PA/UPG/2208/0126
PA/ACT/2208/2979
PA/ACT/2207/4402/ORI
PA/ACT/2208/1685/ORI
PA/ACT/2208/4216
PA/ACT/2208/4132/ORI 
PA/ACT/2208/3948
PA/ACT/2208/4207
PA/ACT/2208/3222
PA/ACT/2209/0277/ORI
PA/ACT/2209/0994
PA/UPG/2210/0127/ORI
PA/ACT/2209/1733
 PA/ACT/2210/1957/ORI 
 PA/RLK/2210/0008
PA/ACT/2209/5345
PA/UPG/2210/0060
PA/UPG/2210/0127
PA/ACT/2209/1733/ORI
PA/ACT/2208/4207 
PA/UPG/2211/0003/ORI
PA/ACT/1803/1584
PA/ACT/2212/0499 
PA/ACT/2212/0124/ORI 
PA/ACT/2211/4794/TER
 PA/ACT/2211/4400/TER
PA/ACT/2211/5147/TER
PA/UPG/2007/0026
PA/ACT/2111/3294
PA/ACT/2112/0746
PA/ACT/2202/0869
PA/UPG/2202/0450
PA/ACT/2204/0939
PA/UPG/2203/0478
PA/ACT/2111/1600
PA/ACT/2203/1435
PA/ACT/2202/2688
PA/ACT/2203/3593
PA/ACT/2111/1334
PA/ACT/2210/1906
PA/ACT/1810/0517
PA/ACT/2102/2071
PA/ACT/2108/1898
PA/ACT/2108/2081
PA/ACT/2109/1648
PA/ACT/2108/2099
PA/ACT/2110/1654
PA/UPG/2201/0037
PA/ACT/2204/2348
PA/ACT/2206/15879
PA/ACT/2006/0341
PA/UPG/2209/0069
PA/ACT/2112/0044
PA/ACT/1806/0962
PA/ACT/1805/1409
PA/UPG/2104/0237
PA/ACT/2010/0776
PA/ACT/2012/2479
PA/ACT/2012/0376
PA/ACT/1903/1674
PA/ACT/2001/1220
PA/DOW/2008/0027
PA/ACT/2103/0330
PA/ACT/2007/0830
PA/UPG/2106/0182
PA/UPG/2205/0140
PA/UPG/2112/0134
ICON-00/SBC/1712/0689
PA/UPG/2011/0077
PA/ACT/2103/0201
PA/ACT/2208/1270
PA/ACT/1803/0619
PA/ACT/1808/0772
PA/ACT/1904/2171
PA/ACT/2212/0507
AL/2206/179404
PA/ACT/2106/0001
PA/UPG/2109/0091
PA/ACT/1910/0423
PA/ACT/1807/1320
PA/ACT/2103/2357
PA/RLK/2102/0057
PA/ACT/2108/1902
PA/UPG/1807/0060
AL/2009/47475
AL/2010/49834
AL/2010/49835
AL/2010/49837
AL/2010/54579
AL/2010/58867
AL/2011/66602
AL/2011/70711
PA/ACT/2008/2282
AL/1912/56465
PA/RLK/2102/0038
PA/ACT/2101/0735
PA/UPG/2002/0519
PA/RLK/1802/0059
PA/ACT/1906/2109
PA/ACT/1908/2194
PA/ACT/1910/0629
PA/RLK/2102/0024
PA/UPG/2108/0062
PA/ACT/2203/1917
AL/2109/86661
PA/UPG/2206/0022
0990000320425878
PA/UPG/2002/0525
0990000320272669
PA/DOW/2111/0033
PA/RLK/2104/0061
PA/RLK/2205/0012
PA/UPG/2008/0015
AR/RLK/2102/0153
PA/ACT/2011/1355
PA/ACT/2112/0239
AL/2207/196625
PA/ACT/2210/1740
PA/UPG/2212/0014
PA/ACT/2005/0993
PA/ACT/1803/0102
AL/2207/189657
PA/ACT/2008/1899
PA/ACT/1803/0102
PA/ACT/2004/1225
PA/ACT/2204/2769
PA/ACT/2206/16670
PA/UPG/2208/0126
PA/ACT/2112/2778
PA/ACT/2112/0640
PA/ACT/2110/2242
PA/ACT/2103/0778
PA/ACT/1903/2408
PA/UPG/2204/0443
PA/ACT/2101/0954
PA/ACT/2105/1575
PA/ACT/2105/1576
PA/ACT/2009/1452
PA/UPG/2208/0226
PA/ACT/1903/2565
PA/ACT/2003/0136
PA/ACT/2003/0135
PA/UPG/2204/0104
PA/ACT/1907/3900
PA/UPG/2212/0229
990000320653785/ICON-00/ACT/1710/0691
990000320495628
PA/ACT/2105/1816/ORI
PA/ACT/2106/0502/ORI
 PA/ACT/2209/5059/ORI
PA/UPG/2103/0257
PA/ACT/2108/0236
PA/ACT/2108/0237
PA/ACT/2109/0016
PA/ACT/2101/0113
PA/ACT/1808/0165
PA/RLK/2211/0006
PA/ACT/2301/6457
PA/ACT/2207/0007
 ICON-00/ACT/1308/0201
PA/ACT/2108/2163 
PA/ACT/2209/5345
</t>
  </si>
  <si>
    <t>G68</t>
  </si>
  <si>
    <t>Gedung Cyber. Joint All Customer</t>
  </si>
  <si>
    <t>cross Connect</t>
  </si>
  <si>
    <t>H87</t>
  </si>
  <si>
    <t>Indonet Rempoa Jl Rempoa Raya no 11 Rempoa Ciputat Tangerang Selatan Banten Indonesia 15412</t>
  </si>
  <si>
    <t>PSN Mega Kuningan 5th Floor Ged. Kantor Taman A9 Unit C3 &amp; C4 Jl Mega Kuningan Raya Lot 8/9 no 9 Jakarta 12950</t>
  </si>
  <si>
    <t xml:space="preserve">Bapak Asep </t>
  </si>
  <si>
    <t>0857-71777685</t>
  </si>
  <si>
    <t>H115</t>
  </si>
  <si>
    <t>Biaya sewa shaft Rp. 12.000.000</t>
  </si>
  <si>
    <t>NTT Indonesia PT</t>
  </si>
  <si>
    <t>Bank Mizuho Indonesia DCI (DRC) lt 1 Kawasan MM2100 Bekasi Cikarang Jawa Barat</t>
  </si>
  <si>
    <t>3139/SPP/SBU/PLNICONPLUS/2024</t>
  </si>
  <si>
    <t>Ibu Asima</t>
  </si>
  <si>
    <t>0821-10851125</t>
  </si>
  <si>
    <t>H161</t>
  </si>
  <si>
    <t>Biaya sewa cross connect Rp 18.000.000</t>
  </si>
  <si>
    <t>Data Center Graha Telkom Sigma BSD Jl Kapt Subianto DJ BSD Kota Tangerang Banten Indonesia</t>
  </si>
  <si>
    <t>DCI Cibitung Akulaku Alicloud Jl Irian GG 5-1 Kawasan Industri MM2100 Cikarang Barat Bekasi Jawa Barat 17530</t>
  </si>
  <si>
    <t>100 mbps</t>
  </si>
  <si>
    <t>Sampoerna Strategic Square Tower A Lantai 19 Jalan Jenderal Sudirman Kav 45-46 RT 3 RW 4 Karet Semanggi Jakarta</t>
  </si>
  <si>
    <t xml:space="preserve">Sampoerna Strategic Square  Tower A Lantai 19 Jalan Jenderal Sudirman Kav 45-46 RT 3 RW 4 Karet Semanggi Jakarta </t>
  </si>
  <si>
    <t>Kantor Grup Belida Desa Sumber Baru C1 Mesuji Raya Kab Ogan Komering Ilir Sulawesi 30681</t>
  </si>
  <si>
    <t>0878-82030053</t>
  </si>
  <si>
    <t>Biaya sewa jalur kabel 3th Rp. 203.280.000</t>
  </si>
  <si>
    <t>3153/SPP/SBU/PLNICONPLUS/2024</t>
  </si>
  <si>
    <t>H310</t>
  </si>
  <si>
    <t>Jl. Kapt Subijanto Dj Bumi Serpong Damai Tangerang 15321</t>
  </si>
  <si>
    <t>PLN SYB, SYB Data Center on Telkom Sigma (German Center) Lantai 6 Timur Ruang 6460 1-12 Jalan Kapten Subijanto DJ Bumi Serpong Damai Tangerang 15321</t>
  </si>
  <si>
    <t>IPVPN 64 Kbps</t>
  </si>
  <si>
    <t>H164</t>
  </si>
  <si>
    <t>Biaya cross connect  Rp 12.000.000</t>
  </si>
  <si>
    <t>PT KIS, Nex Datacenter Cyber 2 Tower 2nd Floor, Jl. HR Rasuna SAID X5 No. 13, Setiabudi, Jakarta Selatan</t>
  </si>
  <si>
    <t>PA/ACT/2108/2056</t>
  </si>
  <si>
    <t>cm_icon-indomarco03 | baru | 10570/SPP/008/PUSAT/ICON+/2019 | 4500012620 | 15119/SPP/008/PUSAT/ICON+/2021 | 4500015717 | 17656/SPP/008/PUSAT/ICON+/2022 | 4500019966</t>
  </si>
  <si>
    <t>4394/SPP/SBU/PLNICONPLUS/2024</t>
  </si>
  <si>
    <t>H339</t>
  </si>
  <si>
    <t>Gedung Cyber 2, Lt. 2 Jl. HR Rasuna Said No. 13, Kuningan</t>
  </si>
  <si>
    <t>08412/SPP/008/PUSAT/ICON+/2018 | 4500011354 | 10206/SPP/008/PUSAT/ICON+/2019 | 4500012451 | 15419/SPP/008/PUSAT/ICON+/2021 | 4500015888| 18350/SPP/008/PUSAT/ICON+/2022 |  4500020008</t>
  </si>
  <si>
    <t>4399/SPP/SBU/PLNICONPLUS/2024</t>
  </si>
  <si>
    <t>H337</t>
  </si>
  <si>
    <t>PT BCA Multi Finance</t>
  </si>
  <si>
    <t xml:space="preserve">BCA MF H2H Indomart PT Klik Indomaret Sukses (KIS) Data Center Indomaret Cyber 2 Tower </t>
  </si>
  <si>
    <t xml:space="preserve">3204/SPP/SBU/PLNICONPLUS/2024	</t>
  </si>
  <si>
    <t xml:space="preserve">Erni Monalena </t>
  </si>
  <si>
    <t>H165</t>
  </si>
  <si>
    <t>1. Biaya cross connect  Rp 8.000.000, 2. Biaya Instalasi Rp 2.000.000, 3. Biaya Material Rp 2.000.000</t>
  </si>
  <si>
    <t xml:space="preserve">Bumi Daya Plaza </t>
  </si>
  <si>
    <t>Graha Mandiri lantai 30 Jl Imam Bonjol no 61 Jakarta 10310</t>
  </si>
  <si>
    <t>Backhaul Metronet Komplek Bank Mandiri Griya Rempoa Jl H Juanda np 27 Rempoa Ciputat Timur Tangerang Selatan Banten 15412</t>
  </si>
  <si>
    <t>Graha Mandiri (BBD) Gedung Graha Mandiri Jl Imam Bonjol no 61 Menteng Jakarta Pusat 10310</t>
  </si>
  <si>
    <t>U111202002264</t>
  </si>
  <si>
    <t>3356/SPP/SBU/PLNICONPLUS/2024</t>
  </si>
  <si>
    <t>Ibu Dinda</t>
  </si>
  <si>
    <t>0812-85137756</t>
  </si>
  <si>
    <t>H166</t>
  </si>
  <si>
    <t>Biaya penempatan perangkat Rp 264.500.000</t>
  </si>
  <si>
    <t>Data center  indonet rempoa</t>
  </si>
  <si>
    <t>IPVPN 50 mbps</t>
  </si>
  <si>
    <t>Biaya Shaft Cable Rp. 2.500.000</t>
  </si>
  <si>
    <t>Invonesia Solusi Data</t>
  </si>
  <si>
    <t>Graha Pratama Building Jl MT Haryono Kav 15 Jakarta</t>
  </si>
  <si>
    <t xml:space="preserve">Graha Pratama Building Jl MT Haryono Kav 15 Jakarta </t>
  </si>
  <si>
    <t>Internet Corporate 75 Mbps</t>
  </si>
  <si>
    <t>3137/SPP/SBU/PLNICONPLUS/2024</t>
  </si>
  <si>
    <t>H90</t>
  </si>
  <si>
    <t>Biaya sewa shaft Rp 7.000.000</t>
  </si>
  <si>
    <t xml:space="preserve">Arthamas Solusindo </t>
  </si>
  <si>
    <t>Backhaul sinarmas DRC Primary jl. Pahlawan Seribu, gd smart telecom CBD CBD BSD lot 12 A Lengkong wetan serpong kota tangerang selatan Banten Indonesia</t>
  </si>
  <si>
    <t>PA/UPG/2204/0532</t>
  </si>
  <si>
    <t>3002/SPP/SBU/PLNICONPLUS/2024</t>
  </si>
  <si>
    <t>H145</t>
  </si>
  <si>
    <t>Biaya sewa collo Rp 48.000.000</t>
  </si>
  <si>
    <t xml:space="preserve">Ibu Dahlia </t>
  </si>
  <si>
    <t>0858-92806821</t>
  </si>
  <si>
    <t>H169</t>
  </si>
  <si>
    <t>Biaya sewa OTB Rp 12.000.000</t>
  </si>
  <si>
    <t>Backhaul</t>
  </si>
  <si>
    <t>+6281932430596</t>
  </si>
  <si>
    <t>Private suite Rp 780.000.000 , OTB 2Y Rp 66.000.000, Mainhole CDCI Rp 35.000.000, Add electric Rp 510.000.000</t>
  </si>
  <si>
    <t>PT Mega Telekomunikasi Indonesia</t>
  </si>
  <si>
    <t>BUKALAPAK.COM</t>
  </si>
  <si>
    <t>Mega Telekomunikasi</t>
  </si>
  <si>
    <t>Jl. RA Kartini No. Kav 14, Cilandak, Jakarta Selatan, DKI Jakarta, Indonesia, 12430</t>
  </si>
  <si>
    <t>Jl. Ampera Raya No. 22, Pasar Minggu, Jakarta Selatan, DKI Jakarta, Indonesia 12560</t>
  </si>
  <si>
    <t>BAGI HASIL</t>
  </si>
  <si>
    <t xml:space="preserve">PA/ACT/2112/2471 </t>
  </si>
  <si>
    <t>Sena Adimuhaimin</t>
  </si>
  <si>
    <t>+6285210389232</t>
  </si>
  <si>
    <t>Toyota Motor Manufacturing Indonesia, Jl. Laksda Yos Sudarso Sunter 1, Rt.2/Rw.9, Sunter Jaya, Kec. Tj. Priok, Jkt Utara, Daerah Khusus Ibukota Jakarta 14350</t>
  </si>
  <si>
    <t>Gedung Elitery Data Center And Managed Services Lantai 3, Jl. Raya Pajajaran No.17, Rt.06/Rw.13, Baranangsiang, Kec. Bogor Tim., Kota Bogor, Jawa Barat 16143</t>
  </si>
  <si>
    <t>A111202004945</t>
  </si>
  <si>
    <t>4046/SPP/SBU/PLNICONPLUS/2024</t>
  </si>
  <si>
    <t>H336</t>
  </si>
  <si>
    <t>Data Center Elitery Bogor-SOJATEK</t>
  </si>
  <si>
    <t>Elitery (PT RHB OSK Securities Indonesia) Jl. Pajajaran no. 17 Bogor Indonesia</t>
  </si>
  <si>
    <t>990000320429056</t>
  </si>
  <si>
    <t>Anggi, Danar</t>
  </si>
  <si>
    <t>+62 877-7040-4299, +62 856-9456-6663</t>
  </si>
  <si>
    <t>PT Fujitsu Indonesia</t>
  </si>
  <si>
    <t>PT. Fujitsu Indonesia Jl. Raya Pajajaran no 17 Bogor, Indonesia</t>
  </si>
  <si>
    <t>990000320452699</t>
  </si>
  <si>
    <t xml:space="preserve">IP Transit
</t>
  </si>
  <si>
    <t>PT MAYBANK KIM ENG SECURITIES INDONESIA</t>
  </si>
  <si>
    <t>Elitery Recovery Data Center,Jalan Padjajaran No.17 Sanggar Ksatria 5 Lantai 5 Bogor Jawa Barat</t>
  </si>
  <si>
    <t>Sentral Senayan III, Lantai 22, Jl. Asia Afrika No. 8  Gelora Bung Karno, Senayan Jakarta 10270</t>
  </si>
  <si>
    <t>990000320470177</t>
  </si>
  <si>
    <t>PT EKA MAS REPUBLIK</t>
  </si>
  <si>
    <t>POP IDC Duren Tiga</t>
  </si>
  <si>
    <t>PT. Sinarmas Sekuritas, Elitery Data Center, Jl. Pajajaran No. 17, Bogor</t>
  </si>
  <si>
    <t>PT SARANA YUKTI BANDHANA</t>
  </si>
  <si>
    <t>Gedung Elitery LT 4 Rack SYB Jl. Raya Padjajaran, Bogor, Kota Bogor, Jawa Barat, Indonesia, 16143</t>
  </si>
  <si>
    <t>Kota Bogor, Jawa Barat, Indonesia</t>
  </si>
  <si>
    <t>1000193597</t>
  </si>
  <si>
    <t xml:space="preserve">IPVPN
</t>
  </si>
  <si>
    <t>PT Prospero Realty</t>
  </si>
  <si>
    <t>Gedung Sequis Center-PT Prospero</t>
  </si>
  <si>
    <t>PT. PLN Distribusi Jakarta Raya dan Tangerang Gedung F Jl. M.I Ridwan Rais No.1 Jakarta 10110 Telp 021-3512444</t>
  </si>
  <si>
    <t>62 895-3758-31182</t>
  </si>
  <si>
    <t>PT Netciti Persada</t>
  </si>
  <si>
    <t>Kawasan Alam Sutera- Netciti Persada</t>
  </si>
  <si>
    <t>Primacom, Gedung Primacom Alam Sutera</t>
  </si>
  <si>
    <t>Carolline, Bayu</t>
  </si>
  <si>
    <t>PT MEGADEPO INDONESIA</t>
  </si>
  <si>
    <t>Jl. Raya Serpong Km.2 Pakulonan Serpong Tangerang 15325</t>
  </si>
  <si>
    <t>AL/2204/74975</t>
  </si>
  <si>
    <t>PT CATURKARDA DEPO BANGUNAN</t>
  </si>
  <si>
    <t>110120202474 / 0990000320358255</t>
  </si>
  <si>
    <t>PT INDROBUANA BULK TRANSPORT, The Prominence Office Tower 19 th Jln Sutra Barat Kav 15 Alam Sutra Tanggerang</t>
  </si>
  <si>
    <t>0990000320501489</t>
  </si>
  <si>
    <t>KCP Tangerang - Alam Sutera Komp. Perumahan Alam Sutera, Jl. Jalur Sutera Kav. 29 D No. 25, Kel. Pakualam, Kec. Serpong, Tangerang</t>
  </si>
  <si>
    <t>AL/2005/15042</t>
  </si>
  <si>
    <t>BANK PANIN</t>
  </si>
  <si>
    <t>KCP ALAM SUTRA, RUKO JALUR ALAM SUTERA 29A NO.1 SERPONG, TANGERANG (INTERKONEKSI NETCITY)</t>
  </si>
  <si>
    <t>0990000320510486</t>
  </si>
  <si>
    <t>PT SUMBER ALFARIA TRIJAYA TBK</t>
  </si>
  <si>
    <t>AC80 ALAM SUTERA 4 JL. JALUR SUTERA 10A NO. B 7 &amp; 8 KEL. KUNCIRAN, KEC. PINANG TANGERANG (Serpong)</t>
  </si>
  <si>
    <t>01000168013</t>
  </si>
  <si>
    <t>Full Manage Service Router + IP VPN Link</t>
  </si>
  <si>
    <t>PT Primacom Interbuana Gedung Prima Sejahtera Jl. Jalus Sutera Kav 5A, Kunciran Pinang, Kota Tangerang, Banten 15144</t>
  </si>
  <si>
    <t>AL/1806/4799</t>
  </si>
  <si>
    <t>PT BANK SYARIAH (KCP JAKARTA SERPONG)</t>
  </si>
  <si>
    <t>KCP Jakarta Serpong, Komplek Pertokoan Alam Sutra, jl. Jalur sutra Kav. 29A No. 3, pakualam, Serpong Utara, Kota tangerang Selatan, Banten Indonesia 15320</t>
  </si>
  <si>
    <t>AL/2208/235843</t>
  </si>
  <si>
    <t xml:space="preserve">AL/2203/60802 </t>
  </si>
  <si>
    <t xml:space="preserve">01000168013 </t>
  </si>
  <si>
    <t>PT MEGADEPO BANGUNAN</t>
  </si>
  <si>
    <t>(Node Serpong) Jl. Raya Serpong No.KM. 2, Pakulonan,  Kecamatan Serpong Utara,  Kota Tangerang Selatan,  Banten,  Indonesia,  15325</t>
  </si>
  <si>
    <t>PT DEKORUMA NIAGA SEJAHTERA</t>
  </si>
  <si>
    <t>Ruko De Mansion Blok A. 10-12 Jl. Jalur Sutera, Kunciran, Pakualam, Kecamatan Pinang, Tangerang, Kabupaten Tangerang, Banten, Indonesia, 15320</t>
  </si>
  <si>
    <t>AL/2206/164499</t>
  </si>
  <si>
    <t>PT BANK MANDIRI (PERSERO)</t>
  </si>
  <si>
    <t>Bank Mandiri Tangerang Kunciran</t>
  </si>
  <si>
    <t>PT Jasa Prima Anugrah Abadi</t>
  </si>
  <si>
    <t xml:space="preserve">PT NAP INFO LINTASNUSA </t>
  </si>
  <si>
    <t>Gedung Plaza Oleos</t>
  </si>
  <si>
    <t>ASTELLAS PHARMA INC. 5th floor, Plaza Oleos Jl. TB Simatupang Kav. 53A, Jakarta Indonesia</t>
  </si>
  <si>
    <t>Cattleya Ayu P</t>
  </si>
  <si>
    <t>Deaktivasi</t>
  </si>
  <si>
    <t>PT Puriampera Intipratama</t>
  </si>
  <si>
    <t>Gedung AD Premier-Puriampera</t>
  </si>
  <si>
    <t>Gedung AD Premier Tb.Simatupang Jl.Tb.Simatupang No.5 Lantai 6 Jakarta Selatan</t>
  </si>
  <si>
    <t>Dian</t>
  </si>
  <si>
    <t>PT Jejaring Ultra Prima</t>
  </si>
  <si>
    <t>PT TOYOTA ASTRA FINANCIAL SERVICES</t>
  </si>
  <si>
    <t>Kawasan Summarecon Bekasi- JJUP</t>
  </si>
  <si>
    <t>Toyota Astra Finance Bekasi, Ruko Emerald Blok UA No. 12 Summarecon Bekasi,</t>
  </si>
  <si>
    <t>AL/1809/9320</t>
  </si>
  <si>
    <t>Cynthia</t>
  </si>
  <si>
    <t xml:space="preserve">PT BANK MANDIRI BEKASI </t>
  </si>
  <si>
    <t>Menara Mandiri Bekasi, Jl. Boulevard ahmad yani RT06/02 Marga mulya(lokasi persis Kantor Pemasaran Summarecon Bekasi). Kec. Bekasi Utara Kota Bekasi.</t>
  </si>
  <si>
    <t>AL/2012/78362</t>
  </si>
  <si>
    <t>PT Krakatau Information Technology</t>
  </si>
  <si>
    <t>PT SENTRAL GRAIN TERMINAL</t>
  </si>
  <si>
    <t>Kawasan Krakatau Steel- KIT</t>
  </si>
  <si>
    <t>PT sentral grain terminal site Cilegon, tegalratu, ciwandan, kota cilegon, banten</t>
  </si>
  <si>
    <t>AL/2009/45795</t>
  </si>
  <si>
    <t>Diki, Desy</t>
  </si>
  <si>
    <t>PT KRAKATAU DAYA LISTRIK</t>
  </si>
  <si>
    <t>JL. Amerika 1 kaw. Industri krakatau citangkil, kota cilegon, banten</t>
  </si>
  <si>
    <t>AL/2008/39603</t>
  </si>
  <si>
    <t>PT. KNAUF PLASTERBOARD INDONESIA</t>
  </si>
  <si>
    <t>Jl. Asia 1 Kav G3. Kawasan Industri Krakatau. Kel. Kotasari, Ramanuju, Kec. Purwakarta, Cilegon, Banten, Indonesia 42436</t>
  </si>
  <si>
    <t>AL/2101/1531</t>
  </si>
  <si>
    <t>PT TOKKI ENGINEERING AND FABRICATION</t>
  </si>
  <si>
    <t>PT. Tokki EF (Ex PT GSU) Kawasan IEC, Jl. Australia I, Warnasari, Kec. Citangkil, Kota Cilegon, Banten, Indonesia 42443</t>
  </si>
  <si>
    <t xml:space="preserve">50 mbps </t>
  </si>
  <si>
    <t>PT SGC BARITO LOGISTICS</t>
  </si>
  <si>
    <t>PT SCG Barito Logistics (Pergudangan Australia) Cilegon, Ramanuju, Kec. Purwakarta, Kota Cilegon Banten, Indonesia 42432</t>
  </si>
  <si>
    <t>AL/2109/80801</t>
  </si>
  <si>
    <t>PT IX TELECOM qq</t>
  </si>
  <si>
    <t>PT Rohm and Haas Indonesia  Jl. Eropa III Kav M2 Krakatau Industrial Estate Cilegon Warnasari,  Citangkil,  Kota Cilegon,  Banten</t>
  </si>
  <si>
    <t>AL/2203/53992</t>
  </si>
  <si>
    <t>PT DAEKYUNG INDAH INDUSTRY</t>
  </si>
  <si>
    <t>PT Daekyung Heavy Industry Kawasan KIEC Jalan Australia II Kavling 1, Kec. Citangkil, Kota Cilegon, Banten, Indonesia. 42443</t>
  </si>
  <si>
    <t>AL/2112/144587</t>
  </si>
  <si>
    <t>PT. COMMUNICATION CABLE SYSTEMS INDONESIA TBK (JL. Eropa II)</t>
  </si>
  <si>
    <t>Jl. Eropa II, Kav E3 KIEC. Cilegon - Banten, Cilegon, Banten, Indonesia, 42435</t>
  </si>
  <si>
    <t>AL/2209/286295</t>
  </si>
  <si>
    <t>50 Mbps dan Bronze Units</t>
  </si>
  <si>
    <t>PT. LINK NET</t>
  </si>
  <si>
    <t>PT Timah Industri Jl. Eropa 1 Kav A3 Kawasan Industrial Estate, Kotasari, Kec. Cilegon, Cilegon, Banten, Indonesia 42435</t>
  </si>
  <si>
    <t>AL/2208/242322</t>
  </si>
  <si>
    <t>PT Thermax International Indonesia</t>
  </si>
  <si>
    <t>Jl. Eropa 1 Kav P2 KOTASARI CILEGON Kawasan Industrial Estate, Kotasari, Kec. Cilegon, Cilegon, Banten, Indonesia 42435</t>
  </si>
  <si>
    <t>AL/2208/244252</t>
  </si>
  <si>
    <t>internet corporate</t>
  </si>
  <si>
    <t>PT Centra Sarana Data</t>
  </si>
  <si>
    <t>PT NIKOMAS GEMILANG</t>
  </si>
  <si>
    <t>CENTRA SARANA DATA</t>
  </si>
  <si>
    <t>Jakarta office UOB plaza, Lt.37, unit 2- jl. M.H. thamrin no. kav. 8-10, rt.14/rw.20, kb. Melati, kec. Tanah abang, jakarta pusat</t>
  </si>
  <si>
    <t>1000118630</t>
  </si>
  <si>
    <t>Reza, ella</t>
  </si>
  <si>
    <t>Permintaan pic gedung sementara di hold dulu karena internal sedang ada proses perubahan akta,  setelah perubahan sudah selesai akan kami infokan kembali, addendum di backdate</t>
  </si>
  <si>
    <t>PT Patra Jasa</t>
  </si>
  <si>
    <t>PT. BANK RAKYAT INDONESIA TBK</t>
  </si>
  <si>
    <t>Gedung Graha Pertamina- Patra Jasa</t>
  </si>
  <si>
    <t>H2H BRI Pertamina, PT. Patra Jasa Graha Pertamina Building Management, Ground Floor, JL. Medan Merdeka Timur Kav. 11-13, Gambir Jakarta Pusat, DKI Jakarta</t>
  </si>
  <si>
    <t>AL/2109/82752</t>
  </si>
  <si>
    <t>Abel, Rudi</t>
  </si>
  <si>
    <t>PT. LANDMARK CONCURENT SOLUSI INDONESIA</t>
  </si>
  <si>
    <t>Graha pertamina, II, Jl. Medan Merdeka Timur No. 6, RT6/RW1, Gambir, Kec. Gambir, Jakarta Pusat.</t>
  </si>
  <si>
    <t>AL/2111/129144</t>
  </si>
  <si>
    <t>AL/2111/129154</t>
  </si>
  <si>
    <t>PT. PERTAMINA (PERSERO)</t>
  </si>
  <si>
    <t>Graha Pertamina, II, JL. Medan Merdeka Timur No. 6, Rt6/RW1, Gambir, Kec. Gambar, Jakarta Pusat</t>
  </si>
  <si>
    <t>AL/2109/80255</t>
  </si>
  <si>
    <t>AL/2104/23059</t>
  </si>
  <si>
    <t xml:space="preserve">PT. PERTAMINA BINA MEDIKA </t>
  </si>
  <si>
    <t>AL/2110/97886</t>
  </si>
  <si>
    <t xml:space="preserve">IP Transit IX
</t>
  </si>
  <si>
    <t xml:space="preserve">PT. PERTAMINA GAS </t>
  </si>
  <si>
    <t>AL/2211/326578</t>
  </si>
  <si>
    <t>PT CBN Nusantara</t>
  </si>
  <si>
    <t>PT. BIMASAKTI MULTI SINERGI</t>
  </si>
  <si>
    <t>Nex Data Center- CBN</t>
  </si>
  <si>
    <t xml:space="preserve">NEX Data Center  (gedung Menara Tendean). Jl. Kapt Tendean no. 20C,,Kuningan Barat ,Jakarta Selatan ,DKI Jakarta ,Indonesia ,12710   </t>
  </si>
  <si>
    <t>AL/2209/293807</t>
  </si>
  <si>
    <t>Haryanto</t>
  </si>
  <si>
    <t xml:space="preserve"> PT MITRA VISIONER PRATAMA</t>
  </si>
  <si>
    <t xml:space="preserve">Perumahan puri krakatau hijau blok b3 no 12,  Gerogol,  Kota Cilegon,  Banten,  Indonesia,  </t>
  </si>
  <si>
    <t>AL/2210/311086</t>
  </si>
  <si>
    <t>PT. ADHI PRADANA MAKAYASA</t>
  </si>
  <si>
    <t>Desa Pasurenan RT 03/02 Pasurenan Batur, Banjarnegara 53456,  Batur,  Kabupaten Banjarnegara,  Jawa Tengah,  Indonesia,  53456</t>
  </si>
  <si>
    <t>AL/2210/318170</t>
  </si>
  <si>
    <t>PT MARSILIAN AKUSARA LESTARI</t>
  </si>
  <si>
    <t>NEX Data Center Menara Tendean Lt. 6, Jl. Kapten Tendean No.20C,  Mampang Prapatan,  Jakarta Selatan,  DKI Jakarta,  Indonesia,  12710</t>
  </si>
  <si>
    <t>AL/2211/331356</t>
  </si>
  <si>
    <t>PT Binapratama Sakatojaya</t>
  </si>
  <si>
    <t>Gedung The Vida</t>
  </si>
  <si>
    <t xml:space="preserve">PT Ingenico International Indonesia. Gedung The Vida Jl. Perjuangan No. 8 RT1/RW7. kb.Jeruk, Kebun Jeruk Jakarta Barat </t>
  </si>
  <si>
    <t>01000309354</t>
  </si>
  <si>
    <t>Bili Haksari, Nuni</t>
  </si>
  <si>
    <t>PT SELAGO MAKMUR PLANTATION</t>
  </si>
  <si>
    <t>PT Selago Makmur Plantation Jl. Raya Perjuangan No. 8 Kebon Jeruk, Jakarta Barat 11530</t>
  </si>
  <si>
    <t>04000006625</t>
  </si>
  <si>
    <t>Akses internet</t>
  </si>
  <si>
    <t>PT AMSL INDONESIA</t>
  </si>
  <si>
    <t>AEON MALL</t>
  </si>
  <si>
    <t>PT AEON INDONESIA Jl. BSD Raya Utama Unit M-02 Mezzanine Floor desa pagedangan, pagedangan, kabupaten tangerang, banten.15820</t>
  </si>
  <si>
    <t>Riki</t>
  </si>
  <si>
    <t>tahap reminder pengelola</t>
  </si>
  <si>
    <t xml:space="preserve">PT Kurnadi Abadi </t>
  </si>
  <si>
    <t>Kemenkominfo Ditjen Aplikasi Informatika (Aptika)</t>
  </si>
  <si>
    <t>Gd. Midpoint</t>
  </si>
  <si>
    <t>Jl. H. Fachrudin No.26, RT.9/RW.5, Kp. Bali, Kecamatan Tanah Abang, Kota Jakarta Pusat, Daerah Khusus Ibukota Jakarta,- ,Jakarta Pusat ,DKI Jakarta ,Indonesia ,10250</t>
  </si>
  <si>
    <t>111303010635</t>
  </si>
  <si>
    <t>Hendro</t>
  </si>
  <si>
    <t>111302003779</t>
  </si>
  <si>
    <t xml:space="preserve">IIX </t>
  </si>
  <si>
    <t>111601011652</t>
  </si>
  <si>
    <t>Router Gold    (gold unit)</t>
  </si>
  <si>
    <t>Jl. H. Fachrudin No.26, RT.9/RW.5, Kp. Bali, Kecamatan Tanah Abang, Kota Jakarta Pusat, Daerah Khusus Ibukota Jakarta,- ,Jakarta Pusat ,DKI Jakarta ,Indonesia ,10251</t>
  </si>
  <si>
    <t>111610001541</t>
  </si>
  <si>
    <t>Internet corporate (access point)</t>
  </si>
  <si>
    <t>Jl. H. Fachrudin No.26, RT.9/RW.5, Kp. Bali, Kecamatan Tanah Abang, Kota Jakarta Pusat, Daerah Khusus Ibukota Jakarta,- ,Jakarta Pusat ,DKI Jakarta ,Indonesia ,10252</t>
  </si>
  <si>
    <t>111610001542</t>
  </si>
  <si>
    <t>Internet corporate  (access point)</t>
  </si>
  <si>
    <t>Jl. H. Fachrudin No.26, RT.9/RW.5, Kp. Bali, Kecamatan Tanah Abang, Kota Jakarta Pusat, Daerah Khusus Ibukota Jakarta,- ,Jakarta Pusat ,DKI Jakarta ,Indonesia ,10253</t>
  </si>
  <si>
    <t>111610001543</t>
  </si>
  <si>
    <t>Jl. H. Fachrudin No.26, RT.9/RW.5, Kp. Bali, Kecamatan Tanah Abang, Kota Jakarta Pusat, Daerah Khusus Ibukota Jakarta,- ,Jakarta Pusat ,DKI Jakarta ,Indonesia ,10254</t>
  </si>
  <si>
    <t>110130308948 / 04000354168</t>
  </si>
  <si>
    <t xml:space="preserve">Access internet </t>
  </si>
  <si>
    <t>Jl. H. Fachrudin No.26, RT.9/RW.5, Kp. Bali, Kecamatan Tanah Abang, Kota Jakarta Pusat, Daerah Khusus Ibukota Jakarta,- ,Jakarta Pusat ,DKI Jakarta ,Indonesia ,10255</t>
  </si>
  <si>
    <t>110130203277 / 04000355368</t>
  </si>
  <si>
    <t>Jl. H. Fachrudin No.26, RT.9/RW.5, Kp. Bali, Kecamatan Tanah Abang, Kota Jakarta Pusat, Daerah Khusus Ibukota Jakarta,- ,Jakarta Pusat ,DKI Jakarta ,Indonesia ,10256</t>
  </si>
  <si>
    <t>110160109313 / 02000355372</t>
  </si>
  <si>
    <t>GOLD</t>
  </si>
  <si>
    <t>PT Higo Fitur Indonesia</t>
  </si>
  <si>
    <t>PT HIGO FITUR INDONESIA</t>
  </si>
  <si>
    <t>Kawasan Blessindo</t>
  </si>
  <si>
    <t>Jl. Raya H. Tabrani No.228 Cirarab, Legok, Kabupaten Tangerang. Banten.</t>
  </si>
  <si>
    <t>AL/2302/9200</t>
  </si>
  <si>
    <t>04000334582</t>
  </si>
  <si>
    <t xml:space="preserve">Internet BB    </t>
  </si>
  <si>
    <t>Rivando</t>
  </si>
  <si>
    <t>proses addendum perpanjangan</t>
  </si>
  <si>
    <t>PT NS BLUESCOPE INDONESIA</t>
  </si>
  <si>
    <t>Jl. Amerika kawasan industri krakatau</t>
  </si>
  <si>
    <t>111303010377</t>
  </si>
  <si>
    <t>internet corp</t>
  </si>
  <si>
    <t xml:space="preserve">Diki </t>
  </si>
  <si>
    <t>BPH MIGAS 30 Mbps</t>
  </si>
  <si>
    <t>Gd. Mten Jl. Kap. Tendean Jakarta selatan</t>
  </si>
  <si>
    <t>111202017456</t>
  </si>
  <si>
    <t xml:space="preserve"> 30 Mbps</t>
  </si>
  <si>
    <t>BPH MIGAS MSR PLATINUM</t>
  </si>
  <si>
    <t>111601011685</t>
  </si>
  <si>
    <t>BADAN PENGAWAS PEMILIHAN UMUM SEKRETARIAT BADAN (BAWASLU)</t>
  </si>
  <si>
    <t>Jl. MH. Thamrin Kav.3 Menara Thamrin Lt. 3 Kampung Bali Tanah Abang</t>
  </si>
  <si>
    <t>Thamrin Menara Tower, Jl. M.H. Thamrin No.3, RT.10/RW.10, Kebon Sirih,, Kecamatan Menteng, Jakarta Pusat, DKI Jakarta, Indonesia, 10340, Lantai 25</t>
  </si>
  <si>
    <t>01000323064</t>
  </si>
  <si>
    <t>7,5%</t>
  </si>
  <si>
    <t>Tika</t>
  </si>
  <si>
    <t>U111202003388</t>
  </si>
  <si>
    <t>2462/SPP/SBU/ICON+/2024 | 4500022210</t>
  </si>
  <si>
    <t>3412/SPP/SBU/PLNICONPLUS/2024</t>
  </si>
  <si>
    <t>Upgrade untuk PO 4500022210</t>
  </si>
  <si>
    <t>PSN Mega Kuningan, 5th Floor Ged. Kantor Taman A9 Unit C3 &amp; C4Jl. Mega Kuningan Ray</t>
  </si>
  <si>
    <t>DC Graha Telkomsigma/German Center BSD, Jalan Arteri Golf, Pakulonan Barat, Serpong Utara, Lengkong, Gudang, Kec. Serpong, Kota Tangerang Selatan, Banten</t>
  </si>
  <si>
    <t>PA/ACT/2110/2788</t>
  </si>
  <si>
    <t>17118/SPP/008/PUSAT/ICON+/2021 | 4500017256</t>
  </si>
  <si>
    <t xml:space="preserve">3136/SPP/SBU/PLNICONPLUS/2024 </t>
  </si>
  <si>
    <t>H96</t>
  </si>
  <si>
    <t>1. Biaya cross connect Rp 12.000.000/thn From : ICON+ Lt. 3 Wing Barat dan To : PSN Lt. 2 Tengah</t>
  </si>
  <si>
    <t>PT Bank Syariah Indonesia</t>
  </si>
  <si>
    <t>DCI CIBITUNG | JL. HALMAHERA NO.1 BLOK F1, DANAU INDAH, KEC. CIKARANG BAR., KABUPATEN BEKASI, JAWA BARAT 17530</t>
  </si>
  <si>
    <t>3468/SPP/SBU/PLNICONPLUS/2024</t>
  </si>
  <si>
    <t>H156</t>
  </si>
  <si>
    <t>1. Biaya Sewa Cross Connect Rp 12.000.000/thn 2. Biaya OTC Rp 16.000.000</t>
  </si>
  <si>
    <t>PT Pertamina Hulu Energi</t>
  </si>
  <si>
    <t>GEDUNG PHE TOWER, JL. LETJEN. TB SIMATUPANG KAV. 99, JAKARTA SELATAN</t>
  </si>
  <si>
    <t>Metro Qinq</t>
  </si>
  <si>
    <t>3075/SPP/SBU/PLNICONPLUS/2024</t>
  </si>
  <si>
    <t>Cindy Pratiwi</t>
  </si>
  <si>
    <t>Bank Danamon</t>
  </si>
  <si>
    <t>Backhaul DC BDDC Atria - Jl. Daan Mogot Km. 18 No. 18, Kalideres, Jakarta Barat - 11840</t>
  </si>
  <si>
    <t>2.000.000</t>
  </si>
  <si>
    <t>3372/SPP/SBU/PLNICONPLUS/2024</t>
  </si>
  <si>
    <t>H152</t>
  </si>
  <si>
    <t>1. Biaya Sewa 12.000.000 2. Biaya OTC Rp 2.000.000</t>
  </si>
  <si>
    <t>PT Jaringanku Sarana Nusantara</t>
  </si>
  <si>
    <t>Gedung Cyber LT 1, DC PT. Multitech Infomedia Rack B-14, Jakarta Selatan, DKI Jakarta, Indonesia.</t>
  </si>
  <si>
    <t>PA/ACT/2103/1762/ORI</t>
  </si>
  <si>
    <t>2670/SPP/SBU/ICON+/2024</t>
  </si>
  <si>
    <t>H10</t>
  </si>
  <si>
    <t>1. Biaya sewa shaft Rp 17.000.000 (dari APJII ke Multitech di Lantai 1) untuk Perjanjian Kontrak 330/KN/Cable Shaft/III/2021</t>
  </si>
  <si>
    <t>3938/SPP/SBU/ICON+/2024</t>
  </si>
  <si>
    <t>H269</t>
  </si>
  <si>
    <t>PT Lintas Jaringan Nusantara
PT Telemedia Dinamika Sarana</t>
  </si>
  <si>
    <t>Cyber 1</t>
  </si>
  <si>
    <t>Kapasitas Besar</t>
  </si>
  <si>
    <t>5000 Mbps</t>
  </si>
  <si>
    <t>3571/SPP/SBU/PLNICONPLUS/2024</t>
  </si>
  <si>
    <t>H171</t>
  </si>
  <si>
    <t>1. Biaya Sewa 1.500.000/bln 2. Biaya OTC Rp 1.500.000</t>
  </si>
  <si>
    <t xml:space="preserve">Jl. Gatot Subroto No.Kav.38, Rt.6/Rw.1, Kuningan Bar., Kec. Mampang Prpt., Kota Jakarta Selatan, Daerah Khusus Ibukota Jakarta 12710. </t>
  </si>
  <si>
    <t>3526/SPP/SBU/PLNICONPLUS/2024</t>
  </si>
  <si>
    <t>H157</t>
  </si>
  <si>
    <t>3369/SPP/SBU/PLNICONPLUS/2024</t>
  </si>
  <si>
    <t>H218</t>
  </si>
  <si>
    <t>Roxy Square Lt. Basement Jl. Kyai Tapa No. 1 Jakarta Indonesia</t>
  </si>
  <si>
    <t>ROXY SQUARE (Jl Kyai Tapa No 1 RT 010 RW010 Unit D3 Lower Ground) dan  ROXY SQUARE PRIMARY (Jl Kyai Tapa No 1 RT 010 RW010 Unit Lantai 3)</t>
  </si>
  <si>
    <t>3467/SPP/SBU/PLNICONPLUS/2024</t>
  </si>
  <si>
    <t>Rini</t>
  </si>
  <si>
    <t>H154</t>
  </si>
  <si>
    <t>1. Biaya Sewa Penempatan Perangkat Rp 52.500.000 untuk Lantai LG dan Lantai 3</t>
  </si>
  <si>
    <t>PT Milenial Inti Telekomunikasi</t>
  </si>
  <si>
    <t>BTN DC Sentul, Jl. IR. Juanda F07, Sentul City Babakan Madang, Bogor</t>
  </si>
  <si>
    <t xml:space="preserve">3531/SPP/SBU/PLNICONPLUS/2024 </t>
  </si>
  <si>
    <t>H150</t>
  </si>
  <si>
    <t>1. Biaya Sewa cross connect Rp 500.000/bln 2. Biaya OTC Rp 3.000.000 From : Rack ICON+ L2 MMR B To : Rack BTN L2 Rack 19</t>
  </si>
  <si>
    <t>PT Bangun Andalan Perkasa</t>
  </si>
  <si>
    <t>DC Telkomsigma Sentul Cijayanti</t>
  </si>
  <si>
    <t xml:space="preserve">3223/SPP/SBU/PLNICONPLUS/2024 </t>
  </si>
  <si>
    <t>H149</t>
  </si>
  <si>
    <t>1. Biaya Sewa cross connect Rp 500.000/bln 2. Biaya OTC Rp 3.000.000 From : Rack ICON+ L2 MMR B Rack STL01 To : Cage Jalin Rack 2 (End Customer - PT Bangun Andalan Perkasa)</t>
  </si>
  <si>
    <t>PT Trouw Nutrition Indonesia</t>
  </si>
  <si>
    <t>3558/SPP/SBU/PLNICONPLUS/2024</t>
  </si>
  <si>
    <t>H170</t>
  </si>
  <si>
    <t>1. Biaya OTC Rp 5.000.000</t>
  </si>
  <si>
    <t>ALL Pelanggan di IDC</t>
  </si>
  <si>
    <t>Gedung IDC 3D Jl.Duren Tiga raya 7 Jakarta selatan (UTP dan FO)</t>
  </si>
  <si>
    <t>3354/SPP/SBU/PLNICONPLUS/2024</t>
  </si>
  <si>
    <t>H5</t>
  </si>
  <si>
    <t>1.pembayaran sewa collocation Rp.235.200.000</t>
  </si>
  <si>
    <t>PT EHK (Energasindo Heksa Karya)</t>
  </si>
  <si>
    <t>3076/SPP/SBU/PLNICONPLUS/2024</t>
  </si>
  <si>
    <t>H46</t>
  </si>
  <si>
    <t>PT Aica Indria</t>
  </si>
  <si>
    <t xml:space="preserve">Lahan Industri Pulogadung, Jl. Pulogadung No. 22, RW. 9, Jatinegara, Kec. Pulogadung, Kota Jakarta Timur, DKI Jakarta 13920. </t>
  </si>
  <si>
    <t>2757/SPP/SBU/ICON+/2024</t>
  </si>
  <si>
    <t>Dana</t>
  </si>
  <si>
    <t>H77</t>
  </si>
  <si>
    <t>PT Cipta Telekomunikasi Mandiri
PT Dharma Bakti Insani</t>
  </si>
  <si>
    <t>Lahan Ruko Inkopal Kokan Plaza Kelapa Gading Jl.Boulevard Bar. Raya No. 16</t>
  </si>
  <si>
    <t>Kokan Plaza Kelapa Gading, Lahan Inkopal Jl. Boulevard Barat Raya No. 16 Blok C RT. 2/RW.9, Klp. Gading Barat, Kec. Klp Gading Jkt Utara</t>
  </si>
  <si>
    <t>Internet Broadband Corporate</t>
  </si>
  <si>
    <t>3261/SPP/SBU/PLNICONPLUS/2024</t>
  </si>
  <si>
    <t>Dimas Yudhistira</t>
  </si>
  <si>
    <t>H92</t>
  </si>
  <si>
    <t>1. Biaya Sewa Lahan Rp 50.000.000/thn per titik. Untuk Kebutuhan di Lahan Inkopal Blok C</t>
  </si>
  <si>
    <t>Bank Jambi</t>
  </si>
  <si>
    <t>DCI Cibitung</t>
  </si>
  <si>
    <t>3567/SPP/SBU/PLNICONPLUS/2024</t>
  </si>
  <si>
    <t>H183</t>
  </si>
  <si>
    <t>1. Biaya Sewa Cross Connect Rp 1.500.000/bln kalau setahun jadi Rp 18.000.000/thn  2. Biaya OTC Rp 1.500.000</t>
  </si>
  <si>
    <t>PSDC-Gedung Graha Pertamina, Tower Fastron (Graha), Jalan Medan Merdeka Timur No.11-12, Jakarta Pusat.</t>
  </si>
  <si>
    <t>PHE - Gedung PHE Tower, Jl. Letjen. Tb Simatupang Kav. 99, Jakarta Selatan – 12520</t>
  </si>
  <si>
    <t>111202018857</t>
  </si>
  <si>
    <t>3008/SPP/SBU/PLNICONPLUS/2024</t>
  </si>
  <si>
    <t>H159</t>
  </si>
  <si>
    <t>IDC Durentiga</t>
  </si>
  <si>
    <t>U111202003214</t>
  </si>
  <si>
    <t>110120204249</t>
  </si>
  <si>
    <t>Gedung Graha Irama Lt.9 Blok B dan C. Jl HR Rasuna Said Kav.10</t>
  </si>
  <si>
    <t>A211303000495</t>
  </si>
  <si>
    <t>111303011676</t>
  </si>
  <si>
    <t>2637/SPP/SBU/ICON+/2024</t>
  </si>
  <si>
    <t>+62 812-9804-5188</t>
  </si>
  <si>
    <t>PT Telekomunikasi Indonesia International</t>
  </si>
  <si>
    <t>PRODUCTION - PLTU JAWA 7, JL. RAYA BOJONEGARA, DESA TERATE, KEC. KRAMATWATU, KAB.SERANG, BANTEN (-5.993661687479815, 106.08849158465594)</t>
  </si>
  <si>
    <t>APL TOWER LT. 39 UNIT T9 PODOMORO CITY JL. LETJEN S. PARMAN KAV. 28 KEL. TANJUNG DUREN SELATAN, KEC. GROGOL PETAMBURAN JAKARTA BARAT -</t>
  </si>
  <si>
    <t>A821202000679</t>
  </si>
  <si>
    <t>111202018338</t>
  </si>
  <si>
    <t>2497/SPP/SBU/ICON+/2024</t>
  </si>
  <si>
    <t>PT China Telecom Indonesia Teknologi</t>
  </si>
  <si>
    <t>SDI DC, Cyber 1, Level 3, Rack 93, Jakarta</t>
  </si>
  <si>
    <t>Wisma 46- Kota BNI, Lt.17, Suite 1712-1713, Jl Jend Sudirman Kav 1, Jakarta 10220</t>
  </si>
  <si>
    <t>A821202000812</t>
  </si>
  <si>
    <t>2511/SPP/SBU/ICON+/2024</t>
  </si>
  <si>
    <t xml:space="preserve">Iffa </t>
  </si>
  <si>
    <t>Victory Network Indonesia</t>
  </si>
  <si>
    <t>PT Solusi Pembayaran Elektronik</t>
  </si>
  <si>
    <t>Graha Matapel, Jl Arjuna Utara No.46, Jakarta Barat 11510</t>
  </si>
  <si>
    <t>Ruko Great Wall, Jl Green Lake City Boulevard No.17-20, Rt.5/Rw.8, Petir, Cipondoh, Kota Tangerang, Banten, 15147</t>
  </si>
  <si>
    <t>A821401001951</t>
  </si>
  <si>
    <t>111401007217</t>
  </si>
  <si>
    <t>Internet BB Corporate</t>
  </si>
  <si>
    <t>3553/SPP/SBU/PLNICONPLUS/2024</t>
  </si>
  <si>
    <t>Herwiko</t>
  </si>
  <si>
    <t>Hardcopy PO Belum Kembali</t>
  </si>
  <si>
    <t xml:space="preserve">PT Krakatau Information Technology </t>
  </si>
  <si>
    <t>Pertamina Gas</t>
  </si>
  <si>
    <t>PT Krakatau Information Technology Jl. Anyer KM. 3 Cilegon 42441 Banten</t>
  </si>
  <si>
    <t>Jl. Amerika I, Kawasan Industri Krakatau, Citangkil, Kota Cilegon, Banten, Indonesia, 42443</t>
  </si>
  <si>
    <t>01000362396</t>
  </si>
  <si>
    <t>Diki</t>
  </si>
  <si>
    <t>PT Gpay Digital Asia</t>
  </si>
  <si>
    <t>IDC Duren Tiga Rak AU 217, AU 218</t>
  </si>
  <si>
    <t>BDX Taman Tekno (Lintasarta) Hall 2B Rack AK 23</t>
  </si>
  <si>
    <t>3536/SPP/SBU/PLNICONPLUS/2024</t>
  </si>
  <si>
    <t>H155</t>
  </si>
  <si>
    <t>PT PLN (PERSERO) KANTOR PUSAT (GH 0017)</t>
  </si>
  <si>
    <t>Kawasan Industri Pulogadung GH 0017</t>
  </si>
  <si>
    <t>2767/SPP/SBU/ICON+/2024</t>
  </si>
  <si>
    <t>H68</t>
  </si>
  <si>
    <t>PT Telemedia Dinamika Sarana</t>
  </si>
  <si>
    <t xml:space="preserve">Cyber 1 Jl. Kuningan Barat Raya No.9b 3, Rt.3/Rw.2, Kuningan Bar., Kec. Mampang Prpt., Kota Jakarta Selatan, Daerah Khusus Ibukota Jakarta 12710 </t>
  </si>
  <si>
    <t>DSP Plumpang VV6X+PV3, Unnamed Road, Rt.1/Rw.4, Rawabadak Sel., Kec. Koja, Jkt Utara, Daerah Khusus Ibukota Jakarta 14230</t>
  </si>
  <si>
    <t>3724/SPP/SBU/PLNICONPLUS/2024</t>
  </si>
  <si>
    <t>H214</t>
  </si>
  <si>
    <t>PT Yetoya Solusi Indonesia (CDC to APJII)</t>
  </si>
  <si>
    <t>Cyber 1 CDC</t>
  </si>
  <si>
    <t>70 Gbps</t>
  </si>
  <si>
    <t>3725/SPP/SBU/PLNICONPLUS/2024</t>
  </si>
  <si>
    <t>H213</t>
  </si>
  <si>
    <t>TOYOTA ASTRA MOTOR NEW SITE 2, JL. SELAYAR KAV. B10 KAWASAN INDUSTRI MM2100 (TTC)</t>
  </si>
  <si>
    <t>990000320655320</t>
  </si>
  <si>
    <t xml:space="preserve">INTERNET CORPORATE     </t>
  </si>
  <si>
    <t xml:space="preserve">  200 Mbps </t>
  </si>
  <si>
    <t>3822/SPP/SBU/PLNICONPLUS/2024</t>
  </si>
  <si>
    <t>Marisa</t>
  </si>
  <si>
    <t>H198</t>
  </si>
  <si>
    <t>0990000320330180</t>
  </si>
  <si>
    <t>4 MBPS</t>
  </si>
  <si>
    <t xml:space="preserve"> 3825/SPP/SBU/PLNICONPLUS/2024</t>
  </si>
  <si>
    <t>H199</t>
  </si>
  <si>
    <t>50 MBPS</t>
  </si>
  <si>
    <t>3826/SPP/SBU/PLNICONPLUS/2024</t>
  </si>
  <si>
    <t>H200</t>
  </si>
  <si>
    <t>KAWASAN INDUSTRI MM2100 JALAN SELAYAR II BLOK. H7-H8, JATIWANGI, CIKARANG BARAT, BEKASI REGENCY, WEST JAVA 17530</t>
  </si>
  <si>
    <t>111303012682</t>
  </si>
  <si>
    <t>METRONET</t>
  </si>
  <si>
    <t>3821/SPP/SBU/PLNICONPLUS/2024</t>
  </si>
  <si>
    <t>H197</t>
  </si>
  <si>
    <t>Komplek Ruko Golden Road Blok C26 No 100 - 108 Kota Taerang Selatan, Banten 15310</t>
  </si>
  <si>
    <t>PT PLN Kantor Pusat Rumah Dirut PLN (Bapak Darmawan P), The Green BSD, Clustur Grand Canyon Blok i-2 No 25, Kota Tangerang 15310</t>
  </si>
  <si>
    <t xml:space="preserve"> 	PA/UPG/2009/0134</t>
  </si>
  <si>
    <t>1598/SPP/SBU/ICON+/2023 | 4500021441</t>
  </si>
  <si>
    <t>3848/SPP/SBU/PLNICONPLUS/2024</t>
  </si>
  <si>
    <t>4500023083</t>
  </si>
  <si>
    <t>Renata Simanjuntak</t>
  </si>
  <si>
    <t>PT AEON Indonesia JL. BSD Raya Utama Unit M-02 Mezzanine Floor Desa Pegedangan, Pagedagan, Kabupaten Tangerang Banten, Indonesia 15820</t>
  </si>
  <si>
    <t>110130308313/4000300722</t>
  </si>
  <si>
    <t>1164/SPP/SBU/ICON+/2023 | 4500021243</t>
  </si>
  <si>
    <t>3846/SPP/SBU/PLNICONPLUS/2024</t>
  </si>
  <si>
    <t>H230</t>
  </si>
  <si>
    <t>Asia Talenta Mandiri</t>
  </si>
  <si>
    <t>Jl. Jababeka VI Blok B J7B, Harja Mekar, Kec. Cikarang Utara, Kabupaten Bekasi, Jawa Barat 17530</t>
  </si>
  <si>
    <t>A111303002172</t>
  </si>
  <si>
    <t>2483/SPP/SBU/PLNICONPLUS/2024</t>
  </si>
  <si>
    <t>H9</t>
  </si>
  <si>
    <t>PT Jaya Refrigeration Equipment (Upgrade)</t>
  </si>
  <si>
    <t>Kawasan Industri Jababeka Jl. Jababeka IX B Blok Q2. Wangunharja, Cikarang Utara, Kabupaten Bekasi, Jawa Barat, Indonesia 17530</t>
  </si>
  <si>
    <t>A111302000052</t>
  </si>
  <si>
    <t>3114/SPP/SBU/PLNICONPLUS/2024</t>
  </si>
  <si>
    <t>H91</t>
  </si>
  <si>
    <t>PT Badan Nusantara Compnet Integrator</t>
  </si>
  <si>
    <t>Jl. Daan Mogot 1 34</t>
  </si>
  <si>
    <t>3902/SPP/SBU/PLNICONPLUS/2024</t>
  </si>
  <si>
    <t>Richard/Liyana</t>
  </si>
  <si>
    <t>H210</t>
  </si>
  <si>
    <t>PT Media Cloud Indonesia</t>
  </si>
  <si>
    <t>Apartemen Bassura City Jalan Basuki Rahmat No. 1A Cipinang Besar Selatan, Jakarta Timur</t>
  </si>
  <si>
    <t>MALL BASSURA - JL. JEND. BASUKI RACHMAT NO.1A, CIPINANG BESAR SEL., KECAMATAN JATINEGARA, KOTA JAKARTA TIMUR, DAERAH KHUSUS IBUKOTA JAKARTA 13410</t>
  </si>
  <si>
    <t>3832/SPP/SBU/PLNICONPLUS/2024</t>
  </si>
  <si>
    <t>Ridwan</t>
  </si>
  <si>
    <t>H260</t>
  </si>
  <si>
    <t>3939/SPP/SBU/PLNICONPLUS/2024</t>
  </si>
  <si>
    <t>Kun Suta</t>
  </si>
  <si>
    <t>H258</t>
  </si>
  <si>
    <t>LINTASARTA TECHNOPARK DC) Perangkat PT Solusi Pembayaran Elektronik DC Lintas Arta Taman Tekno lantai 2 RACK DC-2B-AV23
KOMPLEK PERGUDANGAN TAMAN TEKNO BLOK D NO.8, BSD, SETU, KEC. SETU, KOTA TANGERANG SELATAN, BANTEN 15314</t>
  </si>
  <si>
    <t>3237/SPP/SBU/PLNICONPLUS/2024</t>
  </si>
  <si>
    <t>H158</t>
  </si>
  <si>
    <t>PT Sandya Sistem Indonesia
PT Jaringanku Sarana Nusantara
PT Java Digital Nusantara
PT Jaringanku Sarana Nusantara
PT Jaringanku Sarana Nusantara
PT Giga Digital Nusantara
PT. Tele Globe Global Cyeber</t>
  </si>
  <si>
    <t>3737/SPP/SBU/PLNICONPLUS/2024</t>
  </si>
  <si>
    <t>H259</t>
  </si>
  <si>
    <t>1. Biaya Sewa 1.500.000/bln 2. Biaya OTC Rp 3.000.000</t>
  </si>
  <si>
    <t>PT Mastersystem Infotama PHE Tower</t>
  </si>
  <si>
    <t>Gedung PHE  Tower, Jl. Tb Simatupang No. Kav. 99, RT.1/Rw.1, Kebagusan, Pasar Minggu, Kota Jakarta Selatan, Daerah Khusus Ibukota Jakarta 12520</t>
  </si>
  <si>
    <t>U111303003019</t>
  </si>
  <si>
    <t>600 Mbps</t>
  </si>
  <si>
    <t>1437/SPP/SBU/ICON+/2023 | 4500021342</t>
  </si>
  <si>
    <t>3533/SPP/SBU/PLNICONPLUS/2024</t>
  </si>
  <si>
    <t>4500022850</t>
  </si>
  <si>
    <t xml:space="preserve">PT Mastersystem Infotama Gedung RDTX </t>
  </si>
  <si>
    <t>Gedung RDTX, Jl. Prof. Dr. Satrio Kav. E-IV No.6, Jalan Kuningan Barat Raya No.2, Rt.5/Rw.Rw, Kuningan Tim, Kecamatan Setiabudi, Kota Jakarta Selatan, Daerah Khusus IbuKota Jakarta 12950</t>
  </si>
  <si>
    <t>U111303003022</t>
  </si>
  <si>
    <t>1753/SPP/SBU/ICON+/2023 | 4500021579</t>
  </si>
  <si>
    <t>3535/SPP/SBU/PLNICONPLUS/2024</t>
  </si>
  <si>
    <t>4500022849</t>
  </si>
  <si>
    <t>BIT Teknologi Nusantara</t>
  </si>
  <si>
    <t>PT Astra International TBK #Cyber</t>
  </si>
  <si>
    <t>PT Astra International Gd. Amdi A JL. Gaya Motor Raya No.8 Sunter II (Backhaul), Indonesia</t>
  </si>
  <si>
    <t>T152 -TSO Sudirman Menara Astra, Gedung Astra Tower, Lt 01-02, Jln. Jend. Sudirman Kav 5-6, Sudirman, Jakarta Pusat, DKI Jakarta, Indonesia</t>
  </si>
  <si>
    <t>3839/SPP/SBU/PLNICONPLUS/2024</t>
  </si>
  <si>
    <t>4500023084</t>
  </si>
  <si>
    <t>PT Astra International TBK #Tenant</t>
  </si>
  <si>
    <t>PT. Astra International Gd. Amdi A JL. Gaya Motor Raya No.8 Sunter II (Backhaul), Indonesia</t>
  </si>
  <si>
    <t>t152 - TSO Sudirman Menara Astra, Gedung Astra Tower, Lt 01-02, Jln. Jend. Sudirman Kav 5-6, Sudirman, Jakarta Pusat, DKI Jakarta, Indonesia</t>
  </si>
  <si>
    <t>3837/SPP/SBU/PLNICONPLUS/2024</t>
  </si>
  <si>
    <t>4500023085</t>
  </si>
  <si>
    <t>WTP Building Jl. Jababeka IV Blok B No. 12</t>
  </si>
  <si>
    <t>Kawasan Jababeka Jl. Jababeka IX B Blok Q2</t>
  </si>
  <si>
    <t>A821303000563</t>
  </si>
  <si>
    <t>111303011739</t>
  </si>
  <si>
    <t>3466/SPP/SBU/PLNICONPLUS/2024</t>
  </si>
  <si>
    <t>4500022821</t>
  </si>
  <si>
    <t>Aksho, Riski</t>
  </si>
  <si>
    <t>H4</t>
  </si>
  <si>
    <t>PT Hitachi Astemo Bekasi Manufacturing</t>
  </si>
  <si>
    <t xml:space="preserve">Jababeka industrial park Jl. jbbk IV Kav. 28-36, </t>
  </si>
  <si>
    <t>U111303003066</t>
  </si>
  <si>
    <t>1124041800095</t>
  </si>
  <si>
    <t>3559/SPP/SBU/PLNICONPLUS/2024</t>
  </si>
  <si>
    <t>4500022862</t>
  </si>
  <si>
    <t>H153</t>
  </si>
  <si>
    <t>Multitech Data Center / PT.Multitech Infomedia lokasi di Gedung Cyber, LT. 1, JL. Kuningan Barat, No. 8, Kuningan Barat, Mampang Prapatan untuk Rack utama JSN berada di Rack B14 MDC ,KECAMATAN MAMPANG ,Jakarta Selatan ,DKI Jakarta</t>
  </si>
  <si>
    <t>CV. HAANSIRO, RT.4 RW.1 Ds. Jontro, Jl Wijayakusuma No 6 RT 05 RW III, Perum Griya Sekar Asri, Sekarkurung, Desa, Sekarkurung, Muktiharjo, 59163,Kecamatan Wedarijaksa ,Kabupaten Pati ,Jawa Tengah</t>
  </si>
  <si>
    <t>1322/SPP/SBU/ICON+/2023</t>
  </si>
  <si>
    <t>G232</t>
  </si>
  <si>
    <t>4119/SPP/SBU/PLNICONPLUS/2024</t>
  </si>
  <si>
    <t>H308</t>
  </si>
  <si>
    <t>United Nations Development Programme (UNDP)</t>
  </si>
  <si>
    <t>AWS Data Center Jakarta Jl. Jend. Sudirman, SCBD Lot 9, 52-53 Equity Tower 49th Floor</t>
  </si>
  <si>
    <t>4047/SPP/SBU/PLNICONPLUS/2024</t>
  </si>
  <si>
    <t>H284</t>
  </si>
  <si>
    <t>1. Biaya Sewa Cross Connect Rp 6.000.000/bln kalau setahun jadi Rp 72.000.000/thn  2. Biaya OTC Rp 8.000.000</t>
  </si>
  <si>
    <t>PT Bank Panin Tbk</t>
  </si>
  <si>
    <t>DC Infinitium Gedung Lintasarta Lantai 3 Jl. Tahi Bonar Simatupang Raya No. 16</t>
  </si>
  <si>
    <t>3664/SPP/SBU/PLNICONPLUS/2024</t>
  </si>
  <si>
    <t>H211</t>
  </si>
  <si>
    <t>PT Mulia Industrindo Tbk</t>
  </si>
  <si>
    <t>NEX Cyber 2 - Kawasan Mulia Industri Jl. Raya Pasirsari Cikarang</t>
  </si>
  <si>
    <t xml:space="preserve">4002/SPP/SBU/PLNICONPLUS/2024	</t>
  </si>
  <si>
    <t>H283</t>
  </si>
  <si>
    <t>3979/SPP/SBU/PLNICONPLUS/2024</t>
  </si>
  <si>
    <t>H282</t>
  </si>
  <si>
    <t>ODC Backup BRI Sigma H2H Sentul Jl. Cijayanti Kec. Babakan Madang</t>
  </si>
  <si>
    <t>H89</t>
  </si>
  <si>
    <t>1. Biaya Sewa cross connect Rp 24.000.000/thn 2. Biaya OTC Rp 12.000.000 From : ICON (Half Rack) Lt. GF MMR A To : Cage BRI L1 Rack 19</t>
  </si>
  <si>
    <t>4050/SPP/SBU/PLNICONPLUS/2024</t>
  </si>
  <si>
    <t>H309</t>
  </si>
  <si>
    <t>Menara Sentraya, Jl. Iskandarsyah Raya No.1A, Rt.3/Rw.1, Kelurahan Melawai</t>
  </si>
  <si>
    <t>3121/SPP/SBU/PLNICONPLUS/2024 | 4500022891</t>
  </si>
  <si>
    <t>3857/SPP/SBU/PLNICONPLUS/2024</t>
  </si>
  <si>
    <t xml:space="preserve">Bunga </t>
  </si>
  <si>
    <t>Perpanjangan 3 Bulan 26 Hari</t>
  </si>
  <si>
    <t>3036/SPP/SBU/PLNICONPLUS/2024</t>
  </si>
  <si>
    <t>H320</t>
  </si>
  <si>
    <t>DBS Marketing Office Citra Towers Kemayoran, Jl Benyamin Suaeb, RT.13/RW.06, Kebon Kosong, Kamayoran, Kota Jakarta Pusat, Jakarta, Indonesia</t>
  </si>
  <si>
    <t xml:space="preserve">	906/SPP/SBU/ICON+/2023 | 4500020994</t>
  </si>
  <si>
    <t>3833/SPP/SBU/PLNICONPLUS/2024</t>
  </si>
  <si>
    <t>4500023087</t>
  </si>
  <si>
    <t>Bidakara Jl Jend Gatot Subroto Kav 71-73 Jakarta Selatan, Indonesia</t>
  </si>
  <si>
    <t>AL/1907/26700</t>
  </si>
  <si>
    <t>0990000320452408</t>
  </si>
  <si>
    <t>539/SPP/SBU/ICON+/2023 | 4500021003</t>
  </si>
  <si>
    <t>3982/SPP/SBU/PLNICONPLUS/2024</t>
  </si>
  <si>
    <t>Gedung Sahid Sudirman Center Lt 10 Jl Jendral Sudirman no 86 Jakarta, 10220, Indonesia</t>
  </si>
  <si>
    <t>110120202002/0990000320517045</t>
  </si>
  <si>
    <t xml:space="preserve">	3983/SPP/SBU/PLNICONPLUS/2024</t>
  </si>
  <si>
    <t>4500023126</t>
  </si>
  <si>
    <t>PA/ACT/2001/3225/TER</t>
  </si>
  <si>
    <t>226/SPP/SBU/ICON+/2023 | 4500020618</t>
  </si>
  <si>
    <t xml:space="preserve">	3287/SPP/SBU/PLNICONPLUS/2024</t>
  </si>
  <si>
    <t>4500022722</t>
  </si>
  <si>
    <t>Backhaul BSD- Jl Pahlawan Seribu Kav 201 Sektor 5 Th Floor, Lengkong Gudang, Serpong, Tangerang Selatan, Banten, Indonesia, 15310</t>
  </si>
  <si>
    <t>Mall Taman Anggrek Ground Floor G-42, Jl S Parman Kav.21 RT 12/RW 1 Tanjung Duren Selatan, Grogol Petamburan, Jakarta Barat, DKI Jakarta</t>
  </si>
  <si>
    <t>1286/SPP/SBU/ICON+/2023 | 4500021421</t>
  </si>
  <si>
    <t>3840/SPP/SBU/PLNICONPLUS/2024</t>
  </si>
  <si>
    <t>4500023086</t>
  </si>
  <si>
    <t>110120521933 / 01000301813</t>
  </si>
  <si>
    <t>1027/SPP/SBU/ICON+/2023 | 4500021377</t>
  </si>
  <si>
    <t>4148/SPP/SBU/PLNICONPLUS/2024</t>
  </si>
  <si>
    <t>4500023325</t>
  </si>
  <si>
    <t>RDTX Square Jl. Prof. DR. Satrio No.26 Setiabudi, Jakarta Selatan, DKI Jakarta, Indonesia</t>
  </si>
  <si>
    <t>PA/ACT/2207/0177</t>
  </si>
  <si>
    <t>110130306065 / 04000297324</t>
  </si>
  <si>
    <t>848/SPP/SBU/ICON+/2023 | 4500021171</t>
  </si>
  <si>
    <t>4079/SPP/SBU/PLNICONPLUS/2024</t>
  </si>
  <si>
    <t>4500023261</t>
  </si>
  <si>
    <t>Graha Telekomunikasi Indonesia</t>
  </si>
  <si>
    <t>110120209018 / 01000192190</t>
  </si>
  <si>
    <t>1091/SPP/SBU/ICON+/2023 | 4500021200</t>
  </si>
  <si>
    <t>4150/SPP/SBU/PLNICONPLUS/2024</t>
  </si>
  <si>
    <t>Cristian</t>
  </si>
  <si>
    <t>HSBC WTC1 Lantai 5. Jl Jend Sudirman Kab 29-31, Jakarta 12920</t>
  </si>
  <si>
    <t>534/SPP/SBU/ICON+/2023 | 4500020783</t>
  </si>
  <si>
    <t>4078/SPP/SBU/PLNICONPLUS/2024</t>
  </si>
  <si>
    <t>757/SPP/SBU/ICON+/2023 | 4500021118</t>
  </si>
  <si>
    <t>3731/SPP/SBU/PLNICONPLUS/2024</t>
  </si>
  <si>
    <t>EXCELSO Living Plaza Jababeka Jl Niaga, Raya Cikarang Unit : G-26,G-26A, Cikarang, Bekasi, Jawa Barat, Indonesia, 17530</t>
  </si>
  <si>
    <t>1003/SPP/SBU/ICON+/2023 | 4500021051</t>
  </si>
  <si>
    <t>3693/SPP/SBU/PLNICONPLUS/2024</t>
  </si>
  <si>
    <t>Siti Hapsah</t>
  </si>
  <si>
    <t>718/SPP/SBU/ICON+/2023 | 4500020920</t>
  </si>
  <si>
    <t>3695/SPP/SBU/PLNICONPLUS/2024</t>
  </si>
  <si>
    <t>Bank Sinarmas (Kemenag Bekasi)</t>
  </si>
  <si>
    <t>(Kemenag-Bekasi) Kemenag Kabupaten Bekasi Komplek Perkantoran Pemda Blok E-3 Kel Sukamahi Kec.Cikarang Pusat, Kab Bekasi Jawa Barat</t>
  </si>
  <si>
    <t>A821205000532</t>
  </si>
  <si>
    <t>111205024701</t>
  </si>
  <si>
    <t>2892/SPP/SBU/ICON+/2024</t>
  </si>
  <si>
    <t>4500022586</t>
  </si>
  <si>
    <t>Bank Sinarmas (Deltamas Bekasi)</t>
  </si>
  <si>
    <t>Deltamas-Bekasi Ruko Spanish Square Blok A No.2 Kota Delta Mas Kel Hegarmukti Kec. Cikarang Pusat Kab. Bekasi Jawa Barat</t>
  </si>
  <si>
    <t>A821205000521</t>
  </si>
  <si>
    <t>111205024690</t>
  </si>
  <si>
    <t>2891/SPP/SBU/ICON+/2024</t>
  </si>
  <si>
    <t>4500022584</t>
  </si>
  <si>
    <t>Bank Sinarmas (Pancoran Mas Depok)</t>
  </si>
  <si>
    <t>(Pancoran Mas-Depok) Ruko ITC Depok No.18 Jl. Margonda Raya RT.002 RW.011 Kel Pancoran Mas Kec Pancoran Mas Depok Jawa Barat</t>
  </si>
  <si>
    <t>A821205000540</t>
  </si>
  <si>
    <t>111205024709</t>
  </si>
  <si>
    <t>2894/SPP/SBU/ICON+/2024</t>
  </si>
  <si>
    <t>4500022587</t>
  </si>
  <si>
    <t>NTT Nexcenter (CSF) jl Kuningan Barat no 8 Jakarta 12710</t>
  </si>
  <si>
    <t xml:space="preserve">Bank Mizuho Menara Astra Jl Jend Sudirman Kav 5-6, Rt.0/Rw.4, Gondangdia, Menteng, Sudirman, Jakarta Pusat, DKI Jakarta </t>
  </si>
  <si>
    <t>110120211171 / 01000190070</t>
  </si>
  <si>
    <t>805/SPP/SBU/ICON+/2023 | 4500021129</t>
  </si>
  <si>
    <t>4073/SPP/SBU/PLNICONPLUS/2024</t>
  </si>
  <si>
    <t>803/SPP/SBU/ICON+/2023 | 4500021107</t>
  </si>
  <si>
    <t>4074/SPP/SBU/PLNICONPLUS/2024</t>
  </si>
  <si>
    <t>SPBU-Cikupa Citra Raya, Jl Citraraya Utama Timur Cikupa, Kota Tangerang, Banten, Indonesia</t>
  </si>
  <si>
    <t>110140100471 / 04000206699</t>
  </si>
  <si>
    <t>1121/SPP/SBU/ICON+/2023 | 4500021340</t>
  </si>
  <si>
    <t>3841/SPP/SBU/PLNICONPLUS/2024</t>
  </si>
  <si>
    <t>Ikhsan</t>
  </si>
  <si>
    <t>0822-3382-4661</t>
  </si>
  <si>
    <t>PT Monsadata Nuansa Teknologi</t>
  </si>
  <si>
    <t>Jl. Jababeka IV No.12 jbbk</t>
  </si>
  <si>
    <t>ruko green market B08, simpangan cikarang</t>
  </si>
  <si>
    <t>Jl. Kuningan Barat Raya No.8</t>
  </si>
  <si>
    <t>A111202004658</t>
  </si>
  <si>
    <t>111202019315</t>
  </si>
  <si>
    <t>3845/SPP/SBU/PLNICONPLUS/2024</t>
  </si>
  <si>
    <t>4500023155</t>
  </si>
  <si>
    <t>Aksho</t>
  </si>
  <si>
    <t>(Prodia Gunung Putri) Kota Wisata, Ruko Boston Square RK 1 Nomor 15-16, Kelurahan Ciangsana, Kec Gunung Putri, Bogor, Jawa Barat</t>
  </si>
  <si>
    <t>A111205004521</t>
  </si>
  <si>
    <t xml:space="preserve">3834/SPP/SBU/PLNICONPLUS/2024 </t>
  </si>
  <si>
    <t>H314</t>
  </si>
  <si>
    <t>1. Biaya Sewa cross connect Rp 6.000.000/thn 2. Biaya OTC Rp 3.000.000 From : ICON (Half Rack) Lt. GF MMR A To : SW Telkom Lt. GF MMR A</t>
  </si>
  <si>
    <t>PA/RLK/2302/0086</t>
  </si>
  <si>
    <t>2460/SPP/SBU/ICON+/2023</t>
  </si>
  <si>
    <t>4120/SPP/SBU/PLNICONPLUS/2024</t>
  </si>
  <si>
    <t>H313</t>
  </si>
  <si>
    <t>(BACKHAUL METRONET) KOMPLEKS BANK MANDIRI GRIYA REMPOA JL. IR H. JUANDA NO.27, REMPOA, KEC. CIPUTAT TIMUR, KOTA TANGERANG SELATAN, BANTEN 15412</t>
  </si>
  <si>
    <t>KCP JAKARTA MENARA BIDAKARA | ID0018127 | GEDUNG BIDAKARA I, JL. JENDRAL GATOT SUBROTO KAV 71-73, MENTENG DALAM, TEBET, KOTA JAKARTA SELATAN, DKI JAKARTA</t>
  </si>
  <si>
    <t>110120215244 / 01000335029</t>
  </si>
  <si>
    <t>4121/SPP/SBU/PLNCIONPLUS/2024</t>
  </si>
  <si>
    <t>4500023288</t>
  </si>
  <si>
    <t>H311</t>
  </si>
  <si>
    <t>PT Multidata Rancana Prima</t>
  </si>
  <si>
    <t>U111204000197</t>
  </si>
  <si>
    <t>4125/SPP/SBU/PLNICONPLUS/2024</t>
  </si>
  <si>
    <t>H312</t>
  </si>
  <si>
    <t>PT Bank Mandiri 
PT Airpay International Indonesia</t>
  </si>
  <si>
    <t>Gedung Mten Lantai 22 unti D&amp;E, Jl. Kapten Tendean, Kuningan Barat, 12710</t>
  </si>
  <si>
    <t>PA/ACT/2212/0254, PA/ACT/2211/2168</t>
  </si>
  <si>
    <t>1983/SPP/SBU/ICON+/2023</t>
  </si>
  <si>
    <t>G363</t>
  </si>
  <si>
    <t>Ruko Green Market B08, Simpangan Cikarang Utara Kb. Bekasi</t>
  </si>
  <si>
    <t>Jl. Kuningan Raya No.8 RT1/Rw 3 Kuningan Bar. Kec. Mampang PRPT.</t>
  </si>
  <si>
    <t>aksho, anjar</t>
  </si>
  <si>
    <t>Kementerian BUMN</t>
  </si>
  <si>
    <t>Jl. Medan Merdeka selatan no.13</t>
  </si>
  <si>
    <t>Cyber 1, Jl. Kuningan Barat Raya</t>
  </si>
  <si>
    <t>A811202000167</t>
  </si>
  <si>
    <t>4417/SPP/SBU/PLNICONPLUS/2024</t>
  </si>
  <si>
    <t>4500023524</t>
  </si>
  <si>
    <t>H351</t>
  </si>
  <si>
    <t>ALL Pelanggan</t>
  </si>
  <si>
    <t>Jl. Kalimantan Gandasari MM2100 Kaw. Befa</t>
  </si>
  <si>
    <t>Kaw. Industri MM2100 - Jl. selayar II Blok H7-H8, Jatiwangi, cikarang barat, bekasi regency,.</t>
  </si>
  <si>
    <t>COLOCATION</t>
  </si>
  <si>
    <t>A821303001179, A821303000969,A821303000970,A811205000166,A111202004487.</t>
  </si>
  <si>
    <t>4413/SPP/SBU/PLNICONPLUS/2024|4500023448</t>
  </si>
  <si>
    <t>4642/SPP/SBU/PLNICONPLUS/2024</t>
  </si>
  <si>
    <t>4500023796</t>
  </si>
  <si>
    <t>H368</t>
  </si>
  <si>
    <t>JL. JABABEKA RAYA, BLOK R, WANGUNHARJA,, CIKARANG UTARA, KOTA BEKASI, JAWA BARAT, INDONESIA, 17550BEKASI</t>
  </si>
  <si>
    <t>D111303003731</t>
  </si>
  <si>
    <t>130 Mbps</t>
  </si>
  <si>
    <t>4415/SPP/SBU/PLNICONPLUS/2024</t>
  </si>
  <si>
    <t>4500023489</t>
  </si>
  <si>
    <t>4532/SPP/SBU/PLNICONPLUS/2024</t>
  </si>
  <si>
    <t>H379</t>
  </si>
  <si>
    <t>Menara Wisman Asia Jl. Letjen S. Parman No. Kav 79, RT.4/RW.9, Kota Bambu Sel., Kec. Palmerah, Jakarta Barat</t>
  </si>
  <si>
    <t>BCA KCP Gading Square (GSQ), Ruko MOI, Jl. Boulevard Barat Raya Blok B No. 21-23, Jakarta</t>
  </si>
  <si>
    <t>09141/SPP/008/PUSAT/ICON+/2018 | 4500011814 | 11833/SPP/008/PUSAT/ICON+/2019 | 4500013417 | 14310/SPP/008/PUSAT/ICON+/2020 | 4500015176| 4500016880 | 20174/SPP/008/PUSAT/ICON+/2022 | 4500021989</t>
  </si>
  <si>
    <t>4615/SPP/SBU/PLNICONPLUS/2024</t>
  </si>
  <si>
    <t>H377</t>
  </si>
  <si>
    <t>DC Serpong Sigma BSD Lt. 5 to Lt. 3</t>
  </si>
  <si>
    <t>01000010268
04000154240
0990000320403514
0990000320460067
0990000320484431
01000331666
01000173209
0990000320450560</t>
  </si>
  <si>
    <t xml:space="preserve">4406/SPP/SBU/PLNICONPLUS/2024 </t>
  </si>
  <si>
    <t>H376</t>
  </si>
  <si>
    <t>PT Bank Sinarmas (CID 5008)</t>
  </si>
  <si>
    <t>Plaza Sinarmas Jl. Fachrudin 18 Lt.6, Jakarta Pusat</t>
  </si>
  <si>
    <t>DC BEPS - Biznet Technovillage Jl. Biznet Technovillage No. 1 Cimanggis, Jawa Barat</t>
  </si>
  <si>
    <t>AL/2005/15474</t>
  </si>
  <si>
    <t>Collocation Cross Connect - UTP (Rack ICONPLUS &lt;&gt; RACK BEPS|4500010296| CID 1988 berubah menjadi CID 5008 | 08395/SPP/008/PUSAT/ICON+/2018 | 4500011372 | 10556/SPP/008/PUSAT/ICON+/2019 | 4500012664 | 12587/SPP/008/PUSAT/ICON+/2020 | 4500014038 | 15084/SPP/008/PUSAT/ICON+/2021 | 4500015683 | 4500019958</t>
  </si>
  <si>
    <t>4298/SPP/SBU/PLNICONPLUS/2024</t>
  </si>
  <si>
    <t>Jl. Jend Sudirman Kav. 52-53, Kebayoran Baru, Jakarta Selatan 12190</t>
  </si>
  <si>
    <t>BCA Wisma Asia Slipi</t>
  </si>
  <si>
    <t>KCP Ebony, Jl. Laksamana Yos Sudarso, Ruko Ebony Blok B2 No.30</t>
  </si>
  <si>
    <t>A821202000562</t>
  </si>
  <si>
    <t>1605/SPP/SBU/ICON+/2023</t>
  </si>
  <si>
    <t xml:space="preserve">	4408/SPP/SBU/PLNICONPLUS/2024</t>
  </si>
  <si>
    <t>Data Center Biznet Technovillage Jl. Biznet Technovillage No1 Cimanggis, Jawa Barat</t>
  </si>
  <si>
    <t>PA/ACT/2011/1154</t>
  </si>
  <si>
    <t>4404/SPP/SBU/PLNICONPLUS/2024</t>
  </si>
  <si>
    <t>H372</t>
  </si>
  <si>
    <t xml:space="preserve">PT Olam Indonesia </t>
  </si>
  <si>
    <t>(Backhaul) South Quarter Tower A, LT. 21 Jl. R.A.Kartini No.Kav. 8, RT.10/RW.4, Cilandak Barat,  Kec. Cilandak,  Jakarta Selatan,  DKI Jakarta,  Indonesia,  12430</t>
  </si>
  <si>
    <t>1124032800306, 1124040400177</t>
  </si>
  <si>
    <t>110120503188/ 01000127809 dan 110130304105/04000128124</t>
  </si>
  <si>
    <t>1092/SPP/SBU/ICON+/2023</t>
  </si>
  <si>
    <t>3397/SPP/SBU/PLNICONPLUS/2024</t>
  </si>
  <si>
    <t>4500022846</t>
  </si>
  <si>
    <t>Gedung Cyber 2 Lt.2 - Jl H R Rasuna Said No.13, Rw.2, Kuningan, Kuningan Timur, Jakarta Selatan, DKI Jakarta</t>
  </si>
  <si>
    <t>120130300301/ 04000021906</t>
  </si>
  <si>
    <t>756/SPP/SBU/ICON+/2023</t>
  </si>
  <si>
    <t>4072/SPP/SBU/PLNICONPLUS/2024</t>
  </si>
  <si>
    <t>4500023503</t>
  </si>
  <si>
    <t>U111202004363</t>
  </si>
  <si>
    <t>111202017451/01000358111</t>
  </si>
  <si>
    <t>1253/SPP/SBU/ICON+/2023</t>
  </si>
  <si>
    <t>3704/SPP/SBU/PLNICONPLUS/2024</t>
  </si>
  <si>
    <t>4500023060</t>
  </si>
  <si>
    <t>KCU Jababeka jl. raya jababeka raya ruko permata junction blok A</t>
  </si>
  <si>
    <t>A821303000904</t>
  </si>
  <si>
    <t>111303013036</t>
  </si>
  <si>
    <t>4416/SPP/SBU/PLNICONPLUS/2024</t>
  </si>
  <si>
    <t>4500023490</t>
  </si>
  <si>
    <t>Menara BCA Lantai 41
Jl. MH Thamrin No. 1
Jakarta 13010</t>
  </si>
  <si>
    <t>Ruko Kebayoran Arcade 2 Sektor 7, Blok B No.33-35, Bintaro, Tangerang, Jawa Barat, Indonesia</t>
  </si>
  <si>
    <t>4136/SPP/SBU/PLNICONPLUS/2024</t>
  </si>
  <si>
    <t>4500023387</t>
  </si>
  <si>
    <t>PT Bank Central Asia KCP Ebony</t>
  </si>
  <si>
    <t>Roof Top Slot B – Fresh Market Building, Jl. Pantai Indah Kapuk No. 30, Jakarta Utara 14470</t>
  </si>
  <si>
    <t>1607/SPP/SBU/ICON+/2023 | 4500021519</t>
  </si>
  <si>
    <t>4428/SPP/SBU/PLNICONPLUS/2024</t>
  </si>
  <si>
    <t>4500023702</t>
  </si>
  <si>
    <t>Gedung TCC batavia
Tower One Lantai 16
Jl. KH Mas Mansyur Kav 126
Jakarta Pusat 10220</t>
  </si>
  <si>
    <t>Wisma Asia Slipi</t>
  </si>
  <si>
    <t>KCP Sopodel (SOO) (SDWAN) Jl. Mega Kuningan Barat III No. 23, Kuningan, Setiabudi, Jakarta Selatan, DKI Jakarta, Indonesia,12950</t>
  </si>
  <si>
    <t>A821205000184</t>
  </si>
  <si>
    <t>1750/SPP/SBU/ICON+/2023 | 4500022016</t>
  </si>
  <si>
    <t>4396/SPP/SBU/PLNICONPLUS/2024</t>
  </si>
  <si>
    <t>4500023700</t>
  </si>
  <si>
    <t>Safitri</t>
  </si>
  <si>
    <t>PT Unilever</t>
  </si>
  <si>
    <t>Backhaul Jabodetabek Gd Unilever BSD Tangerang Selatan (Eksisting),-,-, Banten, Indonesia</t>
  </si>
  <si>
    <t>01000120403</t>
  </si>
  <si>
    <t>2900/SPP/SBU/PLNICONPLUS/2024</t>
  </si>
  <si>
    <t>4500022506</t>
  </si>
  <si>
    <t>PO Selesai Di Perpanjangn</t>
  </si>
  <si>
    <t>1180/SPP/SBU/ICON+/2023| 4500021246</t>
  </si>
  <si>
    <t>4586/SPP/SBU/PLNICONPLUS/2024</t>
  </si>
  <si>
    <t>Rahayu</t>
  </si>
  <si>
    <t>0813-8527-2407</t>
  </si>
  <si>
    <t>PT Prodia Widyahusada Gunung Putri</t>
  </si>
  <si>
    <t>(Prodia Gunung Putri) Kota Wisata, Ruko Boston Square Rk 1 Nomor 15-16, Kelurahan Ciangsana, Kec Gunung Putri, Kab Bogor Jawa Barat</t>
  </si>
  <si>
    <t>111205026285</t>
  </si>
  <si>
    <t>3853/SPP/SBU/PLNICONPLUS/2024</t>
  </si>
  <si>
    <t>4500023118</t>
  </si>
  <si>
    <t>U111202004932</t>
  </si>
  <si>
    <t xml:space="preserve">	1681/SPP/SBU/ICON+/2023 | 4500021535</t>
  </si>
  <si>
    <t>3956/SPP/SBU/PLNICONPLUS/2024</t>
  </si>
  <si>
    <t>4500023238</t>
  </si>
  <si>
    <t>BCA KCP Central Park, Kawasan Superblok Podomoro City (Central Park) Ruko Garden Shopping Arcade Blok B/08/CB.CC.CD Jl. S Parman, Grogol, Jakarta Barat</t>
  </si>
  <si>
    <t>110120207627/01000320390</t>
  </si>
  <si>
    <t>18800/SPP/008/PUSAT/ICON+/2022 | 4500018182</t>
  </si>
  <si>
    <t>4385/SPP/SBU/PLNICONPLUS/2024</t>
  </si>
  <si>
    <t>4500023586</t>
  </si>
  <si>
    <t>868/SPP/SBU/ICON+/2023 | 4500021029</t>
  </si>
  <si>
    <t>4386/SPP/SBU/PLNICONPLUS/2024</t>
  </si>
  <si>
    <t>4500023587</t>
  </si>
  <si>
    <t>Telnusa Intrakom</t>
  </si>
  <si>
    <t>U111303003016</t>
  </si>
  <si>
    <t>1551/SPP/SBU/ICON+/2023 | 4500021777</t>
  </si>
  <si>
    <t>4075/SPP/SBU/PLNICONPLUS/2024</t>
  </si>
  <si>
    <t>4500023368</t>
  </si>
  <si>
    <t>21558/SPP/008/PUSAT/ICON+/2023 | 4500020213</t>
  </si>
  <si>
    <t>4523/SPP/SBU/PLNICONPLUS/2024</t>
  </si>
  <si>
    <t>4500023621</t>
  </si>
  <si>
    <t>BPJS Kesehatan</t>
  </si>
  <si>
    <t>Tangcity Superblok - Skandinavia Office Building Unit H17 Lt.5 Jl. Jend Sudirman No.1 Babakan, Tangerang 15118
Unit H17 Lt.5.
Jl. Jend Sudirman No.1 Babakan, Tangerang 15118</t>
  </si>
  <si>
    <t>BPJS Kesehatan (Cabang Tangerang (Gedung Vedika)</t>
  </si>
  <si>
    <t>A811303000710</t>
  </si>
  <si>
    <t>111303012596</t>
  </si>
  <si>
    <t>3823/SPP/SBU/PLNICONPLUS/2024</t>
  </si>
  <si>
    <t>4500023052</t>
  </si>
  <si>
    <t>+62 812-8757-7999</t>
  </si>
  <si>
    <t>Jala Lintas Media</t>
  </si>
  <si>
    <t>U111303003241</t>
  </si>
  <si>
    <t xml:space="preserve">4500022080 | 2215/SPP/SBU/ICON+/2023 </t>
  </si>
  <si>
    <t xml:space="preserve">	3994/SPP/SBU/PLNICONPLUS/2024</t>
  </si>
  <si>
    <t>4500023237</t>
  </si>
  <si>
    <t>Plaza Mandiri Jl Gatot Subroto No Kav 36-38, Rt.7/Rw.3, Senayan, Kebayoran Baru, Jakarta Selatan, DKI Jakarta, 12190</t>
  </si>
  <si>
    <t>937/SPP/SBU/ICON+/2023 | 4500021052</t>
  </si>
  <si>
    <t>4522/SPP/SBU/PLNICONPLUS/2024</t>
  </si>
  <si>
    <t>4500023663</t>
  </si>
  <si>
    <t>110120521940 / 010000106070</t>
  </si>
  <si>
    <t>1298/SPP/SBU/ICON+/2023 | 4500021334</t>
  </si>
  <si>
    <t>4524/SPP/SBU/PLNICONPLUS/2024</t>
  </si>
  <si>
    <t>4500023638</t>
  </si>
  <si>
    <t>Fathya</t>
  </si>
  <si>
    <t>1300/SPP/SBU/ICON+/2023 | 4500021326</t>
  </si>
  <si>
    <t>4587/SPP/SBU/PLNICONPLUS/2024</t>
  </si>
  <si>
    <t>4500023640</t>
  </si>
  <si>
    <t>Jl. Arteri Mangga Dua Raya Gedung Mall Mangga D 5 Jakarta 10730</t>
  </si>
  <si>
    <t>KCP ITC Mangga Dua (ITM), Jl. Mangga Dua Raya Komp. ITC Mangga Dua Lt. IV Blok B42/ 49, Jakarta Utara 14430</t>
  </si>
  <si>
    <t>4609/SPP/SBU/PLNICONPLUS/2024</t>
  </si>
  <si>
    <t>H422</t>
  </si>
  <si>
    <t>1. PT. CYBERINDO ADITAMA
2. PT. CYBERINDO ADITAMA
3.  PT. CYBERINDO ADITAMA
4. PT. LINTAS JARINGAN NUSANTARA
5. PT. CYBER NETWORK Indonesia
6. PT. CYBERINDO ADITAMA
7. PT. DWI TUNGGAL PUTRA
8. PT. YETOYA SOLUSI Indonesia</t>
  </si>
  <si>
    <t xml:space="preserve">Jl. Kuningan Barat Raya No.. 8 </t>
  </si>
  <si>
    <t>1. Omadata DC Intiland Tower, Jl. Panglima RT Sudirman No.101-103, Embong Kaliasin, Kec. Genteng, Surabaya, Jawa Timur.
2. CBN Ruko Paskal Hyper Square Blok no mingan Barat Raya No.8, RT 25 D 12, JI. HOS Tjokroaminoto No.25-27, Kh jeruk Kec. Andir Kota Bandung.
3.CBN Bali Istana Kuta Galeria Blok PM 3 No. 7  Jl. Patih Jelantik, Kuta, Kabupaten Badung, Bali, Indonesia, 80361.
4. LIN (Ari Setiawan) Dusun Mojogitik, Gedangan, Kec. Karangrejo, Tulungagung, Jawa Timur, Indonesia.
5. Pemkab Tangerang Tigaraksa, Jl. Taman Adiyasa, Kadu Agung, Tigaraksa, Kabupaten Tangerang, Banten.
6. CBN Bali Istana Kuta Galeria Blok PM 3 Tower, Kuningan, East Ku No. 7 JI. Patih Jelantik, Kuta, Kabupaten Badune. Bali Indonesia 80361.
7. (Relokasi Perangkat) PT Dwi Tunggal Putra, Kebonratu,, Kec. Ciruas, Kabupaten Serang, Banten, Indonesia.
8. PT. Yetoya Solusi Indonesia JI. Patih Jelantik Vallet, Kuta, Kec. Kuta, Kabupaten Badung, Bali, Indonesia.</t>
  </si>
  <si>
    <t>1. PA/ACT/2302/11309
2. PA/ACT/2302/11310
3. PA/UPG/2301/0207
4. PA/ACT/2301/4194
5. PA/UPG/2303/1034
6. PA/ACT/2301/0482
7. PA/RLK/2304/0001
8. PA/UPG/2210/0176</t>
  </si>
  <si>
    <t>100 Gbps</t>
  </si>
  <si>
    <t>3995/SPP/SBU/PLNICONPLUS/2024</t>
  </si>
  <si>
    <t>H423</t>
  </si>
  <si>
    <t>1. PT Mitracomm Eksarana
2. PT. INDO BHARAT RAYON</t>
  </si>
  <si>
    <t>Jl. K.H Mansyur Kav. 126</t>
  </si>
  <si>
    <t>1. PT. Mitracomm Ekasarana, Menara Batavia Lt. 3, JI. K.H. Mas Mansyur No.Kav. 126, Karet Tengsin, Kecamatan Tanah Abang, Jakarta Pusat, DKI Jakarta, Indonesia, 1025
2. JL. K.H. MAS MANSYUR NO.KAV. 126, KARET TENGSIN, KECAMATAN TANAH ABANG, KOTA JAKARTA PUSAT, DAERAH KHUSUS IBUKOTA JAKARTA 10250</t>
  </si>
  <si>
    <t>A121202000426</t>
  </si>
  <si>
    <t>1. Internet Corpo
2. Metronet</t>
  </si>
  <si>
    <t>2669/SPP/SBU/ICON+/2024</t>
  </si>
  <si>
    <t>PT Greencorp Konsultan Indonesia</t>
  </si>
  <si>
    <t>Jl. Adityawarman Kav. 55</t>
  </si>
  <si>
    <t>Recapital Building, Jl. Aditiyawarman No.55, RT.3/RW.2, Melawai, Kec. Kby. Baru, Kota Jakarta Selatan, Daerah Khusus Ibukota Jakarta 12160</t>
  </si>
  <si>
    <t>A821303001289</t>
  </si>
  <si>
    <t>Internet Corpo</t>
  </si>
  <si>
    <t>026.02/RESTYLE-BM/ENG-ICON/X/24</t>
  </si>
  <si>
    <t>H424</t>
  </si>
  <si>
    <t>1. PT. PLN [UID JAYA) Lenteng Agung
2. Hypermedia Teknologi Nusantara Centralindo
3. PT Eka Mas Republik Jakarta Selatan
4. PT Hipernet Indodata</t>
  </si>
  <si>
    <t>1. Lenteng Agung
2. Centralindo Duren Tiga/ Jl. Dukuh Ngandong Ds. Pakem Pati 
3. Jakarta Selatam
4. Backhaul Diskominfotik Prov DKI</t>
  </si>
  <si>
    <t>1. 4000160068
2. 1000308326
3. 1000038556
4. 1000139776</t>
  </si>
  <si>
    <t>1.  Internet Corpo
2. Metro Qing
3. Metro Qing
4. Metro P2MP</t>
  </si>
  <si>
    <t>4820/SPP/SBU/PLNICONPLUS/2024</t>
  </si>
  <si>
    <t>4500023874</t>
  </si>
  <si>
    <t>H425</t>
  </si>
  <si>
    <t>PT Mizuho Leasing Indonesia</t>
  </si>
  <si>
    <t>NTT Data Center, Cyber Building Lt.1 Jl. Kuningan Barat Raya No.8, RT.6/RW.3,Mampang Prptn, Jakarta Selatan, DKI Jakarta, Indonesia, 12710</t>
  </si>
  <si>
    <t>4337/SPP/SBU/PLNICONPLUS/2024</t>
  </si>
  <si>
    <t>4500023722</t>
  </si>
  <si>
    <t>H426</t>
  </si>
  <si>
    <t>Jl. Abdul Muis No.. 8 Petojo Selatan, Gambir, Kota Jakarta Pusat, DKI Jakarta, Indonesia</t>
  </si>
  <si>
    <t>4419/SPP/SBU/PLNICONPLUS/2024</t>
  </si>
  <si>
    <t>4500023616</t>
  </si>
  <si>
    <t>H427</t>
  </si>
  <si>
    <t>GRAHA INTI FAUZI, JL. WARUNG JATI BARAT NO.22. RT.2/RW.7, PEJATEN BARAT, PS. MINGGU, JAKARTA SELATAN, DKI JAKARTA, INDONESIA, 12510</t>
  </si>
  <si>
    <t>PEJATEN BARAT, PASAR MINGGU, KOTA JAKARTA SELATAN, DKI JAKARTA</t>
  </si>
  <si>
    <t>110120500483/ 01000022558</t>
  </si>
  <si>
    <t>IpVPN</t>
  </si>
  <si>
    <t>4500023666</t>
  </si>
  <si>
    <t>H428</t>
  </si>
  <si>
    <t>1. Integrasi Jaringan Ekosistem (WEAVE)
2. Hipernet Indodata
3. PT. Mitra Visioner Pratama 
4. PT. Mitra Visioner Pratama 
5. Global Media Data Prima
6.Global Media Data Prima
7. Global Media Data Prima
8. Global Media Data Prima
9. Global Media Data Prima
10. Global Media Data Prima</t>
  </si>
  <si>
    <t>Jl. KH Abdul Rochim No. 1 Kuningan Barat, Mampang, Jakarta Selatan 12170</t>
  </si>
  <si>
    <t>1. PERANGKAT IJE VIBERLINK PURWOREJO, JL. SOEKARNO-HATTA, DEMANGAN, CONDONGSARI, KEC. BANYUURIP, KABUPATEN PURWOREJO, JAWA TENGAH
2. IDC D3 Backhaul Diskominfo
3. IDC Duren Tiga - NDC Bali Jl. Padanggalak Sanur No. 287
4. Perum Puri Krakatau Hijau Blok B3 No 12
5. Kwageyan Gentungan Mojogedang Kab. Karanganyar
6. JI Randublatung - Menden Bapangan
7.Sumurlapan, Sumberagung, Kec. Dander
8. Duren Tiga - Jl. Guntur Gobleg Pedudutan Buniayu
9. JI.Dlangu Lor - Jl. Durentiga Raya No.7
10.JI.Dlangu Lor - Jl. Durentiga Raya No.7</t>
  </si>
  <si>
    <t>1. 131202001536/ 01000358851
2. 110120212112/ 01000139776
3. 111204000115
4. 111204000127
5.111204000094
6.111204000084
7.111204000149
8.111204000138
9.111204000083
10.111204000141</t>
  </si>
  <si>
    <t>1. Metronet QnQ
2.Metro 3 Mbps
3. MRC
4.Mrc
5. P2P ETH Kapasitas Besar
6. P2P ETH Kapasitas Besar
7. P2P ETH Kapasitas Besar
8. P2P ETH Kapasitas Besar
9. P2P ETH Kapasitas Besar
10. P2P ETH Kapasitas Besar</t>
  </si>
  <si>
    <t>4607/SPP/SBU/PLNICONPLUS/2024</t>
  </si>
  <si>
    <t>4500023667</t>
  </si>
  <si>
    <t>H429</t>
  </si>
  <si>
    <t>4470/SPP/SBU/PLNICONPLUS/2024</t>
  </si>
  <si>
    <t>4500023668</t>
  </si>
  <si>
    <t>H430</t>
  </si>
  <si>
    <t>1. Sumber Alfaria Trijaya
2. Indomarco Prismantama</t>
  </si>
  <si>
    <t>Office dan Gudang Cabang Pontianak, JI. Mayor Alianyang, Kawasan Borneo Busines Icon, Ruko Blok B No.6, -, Kabupaten Kubu Raya, Kalimantan Barat, Indonesia,</t>
  </si>
  <si>
    <t>1. 011000130077
2. 04000357386</t>
  </si>
  <si>
    <t>4389/SPP/SBU/PLNICONPLUS/2024</t>
  </si>
  <si>
    <t>4500023617</t>
  </si>
  <si>
    <t>H431</t>
  </si>
  <si>
    <t>Wisma Argo Manunggal</t>
  </si>
  <si>
    <t>AL/2112/149582</t>
  </si>
  <si>
    <t>IWIN
Metronet
Internet</t>
  </si>
  <si>
    <t>4500023038</t>
  </si>
  <si>
    <t>H521</t>
  </si>
  <si>
    <t>1. Monsadata Nuansa Teknologi 
2. PT Pinus Merah Abadiqq Bitniaga Cipta Gemilang</t>
  </si>
  <si>
    <t>ODC Cyber 1</t>
  </si>
  <si>
    <t>Colocation dan Cross Connect</t>
  </si>
  <si>
    <t>2. PA/ACT/2006/0717</t>
  </si>
  <si>
    <t>1. A111202000964</t>
  </si>
  <si>
    <t>4500023239</t>
  </si>
  <si>
    <t>1. PT. CYBERINDO ADITAMA CYBER 1-CBN Yogyakarta
2. PT TELEMEDIA DINAMIKA SARANA
3. PT. SUPRA PRIMATAMA NUSANTARA</t>
  </si>
  <si>
    <t>1. APJIl Cyber 1 Jakarta
2. CYBER 1 JL. KUNINGAN BARAT RAYA NO.98 3, RT 3/RW.2, KUNINGAN BAR., KEC. MAMPANG PRPT, KOTA JAKARTA SELATAN, DAERAH KHUSUS IBUKOTA JAKARTA 12710
3. GEDUNG CYBER 1, JALAN KUNINGAN BARAT RAYA, RT.3/RW.2, WEST KUNINGAN, SOUTH JAKARTA CITY, JAKARTA</t>
  </si>
  <si>
    <t>1. JIX Jogyakarta
2. DSP PLUMPANG VV6X+PV3, UNNAMED ROAD, RT.1/RW.4, RAWABADAK SEL, KEC. KOJA, JKT UTARA, DAERAH KHUSUS IBUKOTA JAKARTA 142
3. BIZNET TECHNOCENTER SURABAYA JL. SUMATERA NO.120, GUBENG, KEC. GUBENG, SURABAYA, JAWA TIMUR 60281</t>
  </si>
  <si>
    <t>1. A821204000091 111204000080
2. A821202001175 242064206161
3. A821204000046 111204000051
232086048629</t>
  </si>
  <si>
    <t>4334/SPP/SBU/PLNICONPLUS/2024</t>
  </si>
  <si>
    <t>4500023619</t>
  </si>
  <si>
    <t>1. Bukit Asam
2. Bukit Asam
3. Bank Mega</t>
  </si>
  <si>
    <t>Jl. H.R. Rasuna Said Kav.2-3 Jakarta 00000</t>
  </si>
  <si>
    <t>PARIGI NO.01, KECAMATAN TANJUNG ENIM, KABUPATEN MUARA ENIM, SUMATERA SELATAN, INDONESIA</t>
  </si>
  <si>
    <t>1. 111202017258/ 01000354171
2. 303010457/ 04000354</t>
  </si>
  <si>
    <t>3368/SPP/SBU/PLNICONPLUS/2024</t>
  </si>
  <si>
    <t>4500023017</t>
  </si>
  <si>
    <t xml:space="preserve">Jaringanku Sarana Nusantara                                                                                                                                                                            PT Cyberindo Aditama </t>
  </si>
  <si>
    <t>1. Jln Desa, Rt.01/Rw.01 somoteleng, podorejo,,  Kec.Sumbergempol,  Kabupaten Tulungagung,  Jawa Timur,  Indonesia
2. Omadata DC Intiland Tower, Jl. Panglima Sudirman No.101-103, Embong Kaliasin,  Kec. Genteng,  Surabaya,  Jawa Timur,  Indonesia,  60271
3. CBN Ruko Paskal Hyper Square Blok no 25 D 12, Jl. HOS Tjokroaminoto No.25-27, Kb. Jeruk,  Kec. Andir,  Kota Bandung,  Jawa Barat,  Indonesia,  40181</t>
  </si>
  <si>
    <t>1. 1000142915
2. 1000352589</t>
  </si>
  <si>
    <t>1. Metronet 
2.Metronet
3. MRC
4.Mrc
5. P2P ETH Kapasitas Besar
6. P2P ETH Kapasitas Besar
7. P2P ETH Kapasitas Besar
8. P2P ETH Kapasitas Besar
9. P2P ETH Kapasitas Besar
10. P2P ETH Kapasitas Besar</t>
  </si>
  <si>
    <t>4329/SPP/SBU/PLNICONPLUS/2024</t>
  </si>
  <si>
    <t>4500023618</t>
  </si>
  <si>
    <t>H460</t>
  </si>
  <si>
    <t>AL/2112/338737</t>
  </si>
  <si>
    <t>U2212040000020</t>
  </si>
  <si>
    <t>metronet</t>
  </si>
  <si>
    <t>4418/SPP/SBU/PLNICONPLUS/2024</t>
  </si>
  <si>
    <t>4500023620</t>
  </si>
  <si>
    <t>H459</t>
  </si>
  <si>
    <t>PT Bahana Pembinaan Usaha Indonesia</t>
  </si>
  <si>
    <t>(DCI) Jl. Halmahera No.1, Danau Indah, Kec. Cikarang Bar., Kabupaten Bekasi, Jawa Barat 17530</t>
  </si>
  <si>
    <t>(Elitery) Jl. Raya Pajajaran No.17, Rt.06/Rw.13, Baranangsiang, Kec. Bogor Tim., Kota Bogor, Jawa Barat 16143</t>
  </si>
  <si>
    <t>4777/SPP/SBU/PLNICONPLUS/2024</t>
  </si>
  <si>
    <t>4500023758</t>
  </si>
  <si>
    <t>Irma Yanti / Asima</t>
  </si>
  <si>
    <t>H471</t>
  </si>
  <si>
    <t>4799/SPP/SBU/PLNICONPLUS/2024</t>
  </si>
  <si>
    <t>4500023804</t>
  </si>
  <si>
    <t>H470</t>
  </si>
  <si>
    <t xml:space="preserve">PT DCI Indonesia. Rack Jatelindo. MM2100 Industrial Town. Jl. Irian 1 Blok Gg5-1 Cikarang Barat, 17520, Indonesia     </t>
  </si>
  <si>
    <t>PLN Trunojoyo Blok M</t>
  </si>
  <si>
    <t xml:space="preserve">110120203483 / 0990000320367705      </t>
  </si>
  <si>
    <t>4798/SPP/SBU/PLNICONPLUS/2024</t>
  </si>
  <si>
    <t>4500023803</t>
  </si>
  <si>
    <t>H469</t>
  </si>
  <si>
    <t>Jl. Duren Tiga Raya No.7, RT.9/RT.5, Duren Tiga, Kec. Pancoran, Kota Jakarta Selatan, Daerah Khusus Ibukota Jakarta 12760, Jakarta Selatan, Jakarta, Indonesia.</t>
  </si>
  <si>
    <t>Jl. Halmahera No.1, Danau Indah, Kec. Cikarang Bar, Kabupaten Bekasi, Jawa Barat, Indonesia, 17530.</t>
  </si>
  <si>
    <t>01000308098</t>
  </si>
  <si>
    <t>4526/SPP/SBU/PLNICONPLUS/2024</t>
  </si>
  <si>
    <t>4500023650</t>
  </si>
  <si>
    <t>H468</t>
  </si>
  <si>
    <t xml:space="preserve">DATA CENTER INDONESIA (DCI) JK1, CIBITUNG, JL. HALMAHERA NO.1, DANAU INDAH, KEC. CIKARANG BAR., KABUPATEN BEKASI, JAWA BARAT 17530 </t>
  </si>
  <si>
    <t>120130300659 / 04000167031</t>
  </si>
  <si>
    <t>4528/SPP/SBU/PLNICONPLUS/2024</t>
  </si>
  <si>
    <t>4500023728</t>
  </si>
  <si>
    <t>H480</t>
  </si>
  <si>
    <t>PT Digital Karyaloka</t>
  </si>
  <si>
    <t>4616/SPP/SBU/PLNICONPLUS/2024</t>
  </si>
  <si>
    <t>4500023970</t>
  </si>
  <si>
    <t>H446</t>
  </si>
  <si>
    <t>DCI Indonesia. Rack Magna. MM2100 Industrial Town. Jl. Irian 1 Blok GG5-1 Cikarang Barat, 17520</t>
  </si>
  <si>
    <t>DC PLN Gandul, Jl Raya PLN Ehave, Gandul-Limo, Cinere Depok dan DC PLN Trunojoyo, Jl. Trunojoyo Blok M-I No. 135. Kebayoran Baru, Jakarta 12160</t>
  </si>
  <si>
    <t>0990000320478064 dan '00990000320478063</t>
  </si>
  <si>
    <t>4886/SPP/SBU/PLNICONPLUS/2024</t>
  </si>
  <si>
    <t>4500023993</t>
  </si>
  <si>
    <t>H438</t>
  </si>
  <si>
    <t>PLN Icon Plus Gandul (SO 581)</t>
  </si>
  <si>
    <t>DC GANDUL RACK SERVER PLN MOBILE</t>
  </si>
  <si>
    <t>DCI MM2100 JL. HALMAHERA NO.1 BLOK F1, DANAU INDAH, KEC. CIKARANG BAR., KABUPATEN BEKASI, JAWA BARAT 17530</t>
  </si>
  <si>
    <t>A911202000063 - 111202019745 dan A911202000064 - 111202019746</t>
  </si>
  <si>
    <t>Qinq Metro Ethernet</t>
  </si>
  <si>
    <t>4942/SPP/SBU/PLNICONPLUS/2024</t>
  </si>
  <si>
    <t>4500023991</t>
  </si>
  <si>
    <t>H433</t>
  </si>
  <si>
    <t>PLN Icon Plus Gandul (SO 582)</t>
  </si>
  <si>
    <t>4943/SPP/SBU/PLNICONPLUS/2024</t>
  </si>
  <si>
    <t>4500023992</t>
  </si>
  <si>
    <t>H434</t>
  </si>
  <si>
    <t>Cyber APJII, Jalan Kuningan Barat, Mampang, Jakarta Selatan</t>
  </si>
  <si>
    <t>A111301000002
H111301000064
D111303002406
R111302000108</t>
  </si>
  <si>
    <t>IP Transit IX</t>
  </si>
  <si>
    <t>6 GB</t>
  </si>
  <si>
    <t>5043/SPP/SBU/PLNICONPLUS/2024</t>
  </si>
  <si>
    <t>4500023995</t>
  </si>
  <si>
    <t>H472</t>
  </si>
  <si>
    <t>PT Fiber Networks Indonesia
PT Mora Telematika Indonesia
PT Cyberindo Aditama
PT Centrin Online Prima
PT Tujuh Delapan Sembilan Net
PT Faasri Utama Sakti</t>
  </si>
  <si>
    <t xml:space="preserve">Cyber Building APJII Lt.1 Jl.Kuningan Barat No.8 Jakarta,- ,- ,- ,Indonesia ,-   </t>
  </si>
  <si>
    <t xml:space="preserve">AL/2106/40048 - 0990000320504846
AL/2112/151305 - 01000077695
AL/2102/3854 - 0990000320497141
AL/2011/66992 - 0990000320333483
AL/2201/11305 - 01000011354
AL/2102/3853 - 0990000320655389
PA/RLK/2204/0075 - 01000205149
AL/2102/4525 - 01000001100
PA/ACT/2209/1811 - 01000310307
</t>
  </si>
  <si>
    <t>4640/SPP/SBU/PLNICONPLUS/2024</t>
  </si>
  <si>
    <t>4500023729</t>
  </si>
  <si>
    <t>4641/SPP/SBU/PLNICONPLUS/2024</t>
  </si>
  <si>
    <t>4500023730</t>
  </si>
  <si>
    <t>H467</t>
  </si>
  <si>
    <t>PT Transportasi Jakarta</t>
  </si>
  <si>
    <t>A111202006581</t>
  </si>
  <si>
    <t xml:space="preserve">4894/SPP/SBU/PLNICONPLUS/2024 </t>
  </si>
  <si>
    <t>4500023818</t>
  </si>
  <si>
    <t>H478</t>
  </si>
  <si>
    <t>BUMN/BUMD Jasa Tirta</t>
  </si>
  <si>
    <t>JL. H. R. RASUNA SAID BLOK X-5 NO. 13 RT.7/RW.2, KUNINGAN TIMUR, KEC. SETIABUDI, KOTA JAKARTA SELATAN, DKI JAKARTA 12950</t>
  </si>
  <si>
    <t>A121202001067</t>
  </si>
  <si>
    <t xml:space="preserve">4710/SPP/SBU/PLNICONPLUS/2024 </t>
  </si>
  <si>
    <t>4500023665</t>
  </si>
  <si>
    <t>Erni Monalena</t>
  </si>
  <si>
    <t>H474</t>
  </si>
  <si>
    <t>PT Bank BTPN dan PT Primacom Interbuana</t>
  </si>
  <si>
    <t>MENARA PRIMA LANTAI 29, JL. LINGKAR MEGA KUNINGAN,- ,- ,- ,Indonesia ,-</t>
  </si>
  <si>
    <t xml:space="preserve">KCP BLORA KODE CABANG 251, JL. SUDIRMAN NO.101 KEL. KEDUNGJENAR BLORA, KEC. BLORA, KABUPATEN BLORA, JAWA TENGAH, INDONESIA,
199 KCP PACITAN JL. YOS SUDARSO NO.13 RT.01 RW.02 DESA BANGUNGSARI,KEC. PACITAN ,KABUPATEN PACITAN ,JAWA TIMUR ,INDONESIA
0368 KCP SUMENEP JL. TRUNOJOYO NO.132, SUMENEP,- ,- ,- ,INDONESIA ,-
BANK BTPN (HQ) BAHANA OFFICE TOWER LT. 10, MEGA KUNINGAN (LETAKNYA DI SEBERANG MENARA PRIMA),- ,- ,- ,INDONESIA ,-    </t>
  </si>
  <si>
    <t>110120207458 / 01000291559
'141202002592 / 01000205643
'110120207106 / 0990000320385420
'110120512281 / 0990000320470028</t>
  </si>
  <si>
    <t xml:space="preserve">4887/SPP/SBU/PLNICONPLUS/2024 </t>
  </si>
  <si>
    <t>4500023880</t>
  </si>
  <si>
    <t>H462</t>
  </si>
  <si>
    <t>Wisma Calindra</t>
  </si>
  <si>
    <t xml:space="preserve">PT Indonesia Libolon Fiber System </t>
  </si>
  <si>
    <t>Wisma 76, Jl. Letjen S. Parman, Kav. 76, Slipi, Palmerah, Jakarta Barat</t>
  </si>
  <si>
    <t>Wisma 76 Lantai 19 Jl. Letjen S. Parman No.76, Rt.4/Rw.3, Slipi, Kec. Palmerah, Kota Jakarta Barat, Daerah Khusus Ibukota Jakarta 11410.</t>
  </si>
  <si>
    <t>R121202001069</t>
  </si>
  <si>
    <t xml:space="preserve">4906/SPP/SBU/PLNICONPLUS/2024 </t>
  </si>
  <si>
    <t>4500023879</t>
  </si>
  <si>
    <t>H465</t>
  </si>
  <si>
    <t>Solusi Jasa Teknologi</t>
  </si>
  <si>
    <t>Gedung Sanggar Kesatria Liema, Jalan Raya Pajajaran No.17 Baranangsiang Bogor timur</t>
  </si>
  <si>
    <t xml:space="preserve">4963/SPP/SBU/PLNICONPLUS/2024 </t>
  </si>
  <si>
    <t>4500023940</t>
  </si>
  <si>
    <t>Anggi Fauzia</t>
  </si>
  <si>
    <t>H444</t>
  </si>
  <si>
    <t>Krakatau Sarana Properti</t>
  </si>
  <si>
    <t>PT Cipta Telekomunikasi Mandiri</t>
  </si>
  <si>
    <t xml:space="preserve">4613/SPP/SBU/PLNICONPLUS/2024 </t>
  </si>
  <si>
    <t>4500023876</t>
  </si>
  <si>
    <t>Rosanti</t>
  </si>
  <si>
    <t>H466</t>
  </si>
  <si>
    <t>PT Supra Primatama Nusantara</t>
  </si>
  <si>
    <t>Gedung Cyber 1, Jalan Kuningan Barat Raya, Rt.3/Rw.2, West Kuningan, South Jakarta City, Jakarta</t>
  </si>
  <si>
    <t>Biznet Technocenter Surabaya Jl. Sumatera No.120, Gubeng, Kec. Gubeng, Surabaya, Jawa Timur 60281</t>
  </si>
  <si>
    <t>A821204000046 - 8223091100011</t>
  </si>
  <si>
    <t>20 Gbps</t>
  </si>
  <si>
    <t xml:space="preserve">4800/SPP/SBU/PLNICONPLUS/2024 </t>
  </si>
  <si>
    <t>4500023802</t>
  </si>
  <si>
    <t>H475</t>
  </si>
  <si>
    <t>Menara Jamsostek, Jalan Gatot Subroto, Kav 38. RT.6/RW.1, Kuningan Barat, Mampang Prapatan, Jakarta Selatan, Indonesia 12710</t>
  </si>
  <si>
    <t xml:space="preserve">4801/SPP/SBU/PLNICONPLUS/2024 </t>
  </si>
  <si>
    <t>4500023798</t>
  </si>
  <si>
    <t>H473</t>
  </si>
  <si>
    <t xml:space="preserve">4778/SPP/SBU/PLNICONPLUS/2024 </t>
  </si>
  <si>
    <t>4500023801</t>
  </si>
  <si>
    <t>H476</t>
  </si>
  <si>
    <t>Perhimpunan Pemilik dan Penghuni Satuan Rumah Susun Komersial Hunian Campuran Residence 8 @ Senopati</t>
  </si>
  <si>
    <t xml:space="preserve">PT Hasnur Informasi Teknologi </t>
  </si>
  <si>
    <t>Jl. Senopati 8B Jakarta 12190</t>
  </si>
  <si>
    <t>Office 8, Lantai 7, Ruang Server Rak 3 Jakarta Selatan RT.8/RW.3, Senayan Kec. Kebayoran Baru, Jakarta Selatan</t>
  </si>
  <si>
    <t>A311202001848</t>
  </si>
  <si>
    <t xml:space="preserve">4780/SPP/SBU/PLNICONPLUS/2024 </t>
  </si>
  <si>
    <t>H477</t>
  </si>
  <si>
    <t>Acarya Multindo Perkasa</t>
  </si>
  <si>
    <t>PT Mitra Pajakku</t>
  </si>
  <si>
    <t>Jl. Jend. Gatot Subroto Kav. 32-34 Jakarta Selatan 12950</t>
  </si>
  <si>
    <t>JL. MEDAN MERDEKA TIM., RT.6/RW.1, GAMBIR, KECAMATAN GAMBIR, KOTA JAKARTA PUSAT, DAERAH KHUSUS IBUKOTA JAKARTA 10110
 JL. KEMANGGISAN UTAMA RAYA NO.J4, RT.10/RW.6, KEMANGGISAN, KEC. PALMERAH, KOTA JAKARTA BARAT, DAERAH KHUSUS IBUKOTA JAKARTA 11480, INDONESIA</t>
  </si>
  <si>
    <t>A111202000736
A111303002516</t>
  </si>
  <si>
    <t xml:space="preserve">4638/SPP/SBU/PLNICONPLUS/2024 </t>
  </si>
  <si>
    <t>H479</t>
  </si>
  <si>
    <t>PT Bank Rakyat Indonesia dan PT Aplikanusa Lintasarta</t>
  </si>
  <si>
    <t>H2H OVO NTT Indonesia Nexcenter Jl. Kuningan Barat Raya No. 8</t>
  </si>
  <si>
    <t>01000203653
'01000312946
'01000029851</t>
  </si>
  <si>
    <t xml:space="preserve">4621/SPP/SBU/PLNICONPLUS/2024 </t>
  </si>
  <si>
    <t>4500023704</t>
  </si>
  <si>
    <t>H463</t>
  </si>
  <si>
    <t>PT Pasifiktel Indotama qq PT Hexindo Adi Perkasa</t>
  </si>
  <si>
    <t>CYBER 1, JL. KUNINGAN BARAT RAYA NO.8, RT.1/RW.3, KUNINGAN BARAT, KEC. MAMPANG PRAPATAN, JAKARTA SELATAN, DKI JAKARTA, INDONESIA, 12710</t>
  </si>
  <si>
    <t>HEXINDO ADI PERKASA, KAWASAN INDUSTRI PULO GADUNG JL. PULO KAMBING 2/33 KAV 1-2, -, JAKARTA TIMUR, DKI JAKARTA, INDONESIA, 13930</t>
  </si>
  <si>
    <t>110120204037 / 01000113384</t>
  </si>
  <si>
    <t xml:space="preserve">5086/SPP/SBU/PLNICONPLUS/2024 </t>
  </si>
  <si>
    <t>4500024028</t>
  </si>
  <si>
    <t>H449</t>
  </si>
  <si>
    <t>PLN (PERSERO) UNIT INDUK DISTRIBUSI JAKARTA RAYA (Enseval)</t>
  </si>
  <si>
    <t>PG189 PULOGADUNG PT. ENSEVAL PUTRA</t>
  </si>
  <si>
    <t>IPVPN SCADA</t>
  </si>
  <si>
    <t xml:space="preserve">5061/SPP/SBU/PLNICONPLUS/2024 </t>
  </si>
  <si>
    <t>4500024026</t>
  </si>
  <si>
    <t>H454</t>
  </si>
  <si>
    <t>///</t>
  </si>
  <si>
    <t xml:space="preserve">PG257 PULOGADUNG PT. SARANA STEEL CORP </t>
  </si>
  <si>
    <t xml:space="preserve">5062/SPP/SBU/PLNICONPLUS/2024 </t>
  </si>
  <si>
    <t>4500024027</t>
  </si>
  <si>
    <t>H453</t>
  </si>
  <si>
    <t>PLH GH 72</t>
  </si>
  <si>
    <t xml:space="preserve">5071/SPP/SBU/PLNICONPLUS/2024 </t>
  </si>
  <si>
    <t>4500024029</t>
  </si>
  <si>
    <t>H455</t>
  </si>
  <si>
    <t>PT Nettocyber Indonesia qq PT Swakarsa Sinar Sentosa</t>
  </si>
  <si>
    <t>Metro Rajawali</t>
  </si>
  <si>
    <t>PT. SWAKARSA SINAR SENTOSA : JL. RAWA GELAM 5. GEDUNG GRAHA SAPTA MULIA LT. 3</t>
  </si>
  <si>
    <t>0990000320298146</t>
  </si>
  <si>
    <t xml:space="preserve">4328/SPP/SBU/PLNICONPLUS/2024 </t>
  </si>
  <si>
    <t>4500024030</t>
  </si>
  <si>
    <t>H481</t>
  </si>
  <si>
    <t>PT Aplikanusa Lintasarta qq Bank CIMB Niaga</t>
  </si>
  <si>
    <t>4003/SPP/SBU/PLNICONPLUS/2024</t>
  </si>
  <si>
    <t>4500024086</t>
  </si>
  <si>
    <t>H482</t>
  </si>
  <si>
    <t>PT Fukoku Tokai Rubber Indonesia</t>
  </si>
  <si>
    <t>FACTORY III JL. JABABEKA IX BLOK E 18 C,H KAWASAN INDUSTRI JABABEKA I CIKARANG, DESA WANGUNHARJA, CIKARANG UTARA, BEKASI- 17534</t>
  </si>
  <si>
    <t>111303013966</t>
  </si>
  <si>
    <t>4588/SPP/SBU/PLNICONPLUS/2024</t>
  </si>
  <si>
    <t>4500023662</t>
  </si>
  <si>
    <t>Syifa fauziyah</t>
  </si>
  <si>
    <t>H367</t>
  </si>
  <si>
    <t xml:space="preserve">PT Hipernet Indodata </t>
  </si>
  <si>
    <t>PT. STILMETINDO PRIMA CIKARANG BEKASI, KAWASAN JABABEKA</t>
  </si>
  <si>
    <t xml:space="preserve">U111202005832 </t>
  </si>
  <si>
    <t>110120211676</t>
  </si>
  <si>
    <t>4590/SPP/SBU/PLNICONPLUS/2024</t>
  </si>
  <si>
    <t>4500023661</t>
  </si>
  <si>
    <t>H366</t>
  </si>
  <si>
    <t>PLANT 1, JL. INDUSTRI SELATAN 2 BLOK MM NO. 18-19, KAWASAN INDUSTRI JABABEKA_x0002_CIKARANG PASIR SARI, CIKARANG SELATAN, BEKAS</t>
  </si>
  <si>
    <t xml:space="preserve">A111303004333 </t>
  </si>
  <si>
    <t>111303014084</t>
  </si>
  <si>
    <t>5019/SPP/SBU/PLNICONPLUS/2024</t>
  </si>
  <si>
    <t>4500024012</t>
  </si>
  <si>
    <t>H416</t>
  </si>
  <si>
    <t>PLANT 2, JL. INDUSTRI SELATAN 6A, BLOK GG GA-F, KAWASAN INDUSTRI JABABEKA, CIKARANG, PASIR SARI, CIKARANG SELATAN,BEKASI, INDONESIA ,-</t>
  </si>
  <si>
    <t xml:space="preserve">U121303001240 </t>
  </si>
  <si>
    <t>110130303564</t>
  </si>
  <si>
    <t>5020/SPP/SBU/PLNICONPLUS/2024</t>
  </si>
  <si>
    <t>4500024015</t>
  </si>
  <si>
    <t>H417</t>
  </si>
  <si>
    <t xml:space="preserve">PT Toyota Astra Motor </t>
  </si>
  <si>
    <t>Toyota Astra Motor SPLD</t>
  </si>
  <si>
    <t>ICON-OO/SBC/1309/0467</t>
  </si>
  <si>
    <t>099000320322484</t>
  </si>
  <si>
    <t>4994/SPP/SBU/PLNICONPLUS/2024</t>
  </si>
  <si>
    <t>4500024011</t>
  </si>
  <si>
    <t>H394</t>
  </si>
  <si>
    <t>all pelanggan (30 FO dan 6 UTP)</t>
  </si>
  <si>
    <t>JL. DUREN TIGA RAYA NO.7 9, RT.9/RW.5, DUREN TIGA, KEC. PANCORAN, KOTA JAKARTA SELATAN</t>
  </si>
  <si>
    <t>U131202001151</t>
  </si>
  <si>
    <t>5084/SPP/SBU/PLNICONPLUS/2024</t>
  </si>
  <si>
    <t>4500024033</t>
  </si>
  <si>
    <t>H420</t>
  </si>
  <si>
    <t>PT Shenhua Guohua Pembangkitan Jawa Bali</t>
  </si>
  <si>
    <t>PROYEK PLTU TERATE BOJONEGARA, JL BOJONEGARA-SERDANG, BOJONEGARA, SERANG, BANTEN 42454 (PINDAH JALUR TIANG LISTRIK),- ,- ,- ,INDONESIA ,-</t>
  </si>
  <si>
    <t>APL OFFICE TOWER CENTRAL PARK, LT.39, UNIT T1 JL. LETJEN S.PARMAN, KAV.28 JAKARTA BARAT ,- ,- ,- ,INDONESIA ,-</t>
  </si>
  <si>
    <t>A821202000593</t>
  </si>
  <si>
    <t>111202018065</t>
  </si>
  <si>
    <t>4500019208|20284/SPP/008/PUSAT/ICON+/2022</t>
  </si>
  <si>
    <t>1904/SPP/SBU/ICON+/2023</t>
  </si>
  <si>
    <t>4500021605</t>
  </si>
  <si>
    <t>PT Sinarmas Teknologi</t>
  </si>
  <si>
    <t>(TANGERANG-BSD GOP 6) GREEN OFFICE PARK 6-BSD CITY WING A-GROUND FLOOR JL GRAND BOULEVARD BSD GREEN OFFICE PARK BSD CITY</t>
  </si>
  <si>
    <t>A821205000292</t>
  </si>
  <si>
    <t>111205024521</t>
  </si>
  <si>
    <t xml:space="preserve">	2512/SPP/SBU/ICON+/2024</t>
  </si>
  <si>
    <t>4500022755</t>
  </si>
  <si>
    <t>Dimas / Masrukhan</t>
  </si>
  <si>
    <t>BP Tapera</t>
  </si>
  <si>
    <t>GEDUNG MENARA MANDIRI II JL. JEND. SUDIRMAN, 8 FLOOR, KAV. 54-55 JAKARTA – 12190</t>
  </si>
  <si>
    <t xml:space="preserve">SEWA BULANAN </t>
  </si>
  <si>
    <t xml:space="preserve">A111303003660 </t>
  </si>
  <si>
    <t>111303013296</t>
  </si>
  <si>
    <t>4412/SPP/SBU/PLNICONPLUS/2024</t>
  </si>
  <si>
    <t>4500023815</t>
  </si>
  <si>
    <t xml:space="preserve">Lippo Cikarang, Delta Silicon 5, Jl. Kenari Raya No.7a, Sukamahi, Kec. Cikarang Pusat, Kabupaten Bekasi, Jawa Barat 17530              </t>
  </si>
  <si>
    <t>4500021050|968/SPP/SBU/ICON+/2023</t>
  </si>
  <si>
    <t xml:space="preserve">	4535/SPP/SBU/PLNICONPLUS/2024</t>
  </si>
  <si>
    <t>4500023643</t>
  </si>
  <si>
    <t>PLAZA MANDIRI JL. GATOT SUBROTO NO.KAV 36-38, RT.7/RW.3, SENAYAN, KEC. KBY. BARU, KOTA
JAKARTA SELATAN, DAERAH KHUSUS IBUKOTA JAKARTA 12190</t>
  </si>
  <si>
    <t>10124 JAKARTA GANDARIA CITY, UG M-U 35 JL. SULTAN ISKANDAR MUDA. RT.10/RW.6, KEBAYORAN
LAMA UTARA,KEC. KEBAYORAN LAMA ,JAKARTA SELATAN ,DKI JAKARTA</t>
  </si>
  <si>
    <t>111090123271</t>
  </si>
  <si>
    <t>110120501606/01000283861</t>
  </si>
  <si>
    <t>4500021249|1328/SPP/SBU/ICON+/2023</t>
  </si>
  <si>
    <t>4589/SPP/SBU/PLNICONPLUS/2024</t>
  </si>
  <si>
    <t>4500023713</t>
  </si>
  <si>
    <t>PGAS Telekomunikasi Nusantara</t>
  </si>
  <si>
    <t xml:space="preserve">PT Chandra Asri Petrochemical </t>
  </si>
  <si>
    <t>1987/SPP/SBU/ICON+/2023|4500021795</t>
  </si>
  <si>
    <t>4802/SPP/SBU/PLNICONPLUS/2024</t>
  </si>
  <si>
    <t>4500023812</t>
  </si>
  <si>
    <t>2151/SPP/SBU/ICON+/2023|4500021840</t>
  </si>
  <si>
    <t>4737/SPP/SBU/PLNICONPLUS/2024</t>
  </si>
  <si>
    <t>4500023791</t>
  </si>
  <si>
    <t>1608/SPP/SBU/ICON+/2023|4500021655</t>
  </si>
  <si>
    <t>4902/SPP/SBU/PLNICONPLUS/2024</t>
  </si>
  <si>
    <t>4500023858</t>
  </si>
  <si>
    <t>1436/SPP/SBU/ICON+/2023|4500021344</t>
  </si>
  <si>
    <t>4534/SPP/SBU/PLNICONPLUS/2024</t>
  </si>
  <si>
    <t>4500023792</t>
  </si>
  <si>
    <t>Graha Pertamina-PSDC Gambir</t>
  </si>
  <si>
    <t>Menara Sentraya Lt 24, Jl. Iskandarsyah Raya No.1A, Rt.3/Rw.1, Kelurahan Melawai</t>
  </si>
  <si>
    <t>3857/SPP/SBU/PLNICONPLUS/2024|4500023117</t>
  </si>
  <si>
    <t>4527/SPP/SBU/PLNICONPLUS/2024</t>
  </si>
  <si>
    <t>4500023639</t>
  </si>
  <si>
    <t>PT Bank Riau Kepri Syariah</t>
  </si>
  <si>
    <t>DC GTN Cikarang</t>
  </si>
  <si>
    <t>A221202000952  &amp; A221202000953</t>
  </si>
  <si>
    <t>221202002571 &amp; 221202002575</t>
  </si>
  <si>
    <t>2 X 20 Mbps</t>
  </si>
  <si>
    <t>3771/SPP/SBU/PLNICONPLUS/2024</t>
  </si>
  <si>
    <t>4500023019</t>
  </si>
  <si>
    <t>2900/SPP/SBU/PLNICONPLUS/2024|4500022506</t>
  </si>
  <si>
    <t>4904/SPP/SBU/PLNICONPLUS/2024</t>
  </si>
  <si>
    <t>4500023853</t>
  </si>
  <si>
    <t>Gedung Gandaria 8 Office Tower Lantai 6 Unit H Jl. Sultan Iskandar Muda Kebayoran Lama Jakarta Selatan</t>
  </si>
  <si>
    <t>Jl. Duren Tiga RayaNo.7, RT.9/RW.5, Duren Tiga, Kec. Pancoran. Kota Jakarta Selatan, Daerah Khusus Ibukota Jakarta 12760</t>
  </si>
  <si>
    <t>Gedung Prudential Center, Lantai 11 Unit A B C D E, Kota Kasablanca Jalan Casablanca Raya Kav. 88, RT.14/RW.5, Menteng Dalam, Tebet, RT.4/RW.14, Menteng Dalam, Kec. Tebet, Kota Jakarta Selatan</t>
  </si>
  <si>
    <t>2095/SPP/SBU/ICON+/2023 | 4500022070</t>
  </si>
  <si>
    <t>4956/SPP/SBU/PLNICONPLUS/2024</t>
  </si>
  <si>
    <t>4500023960</t>
  </si>
  <si>
    <t>(Backhaul) South Quarter Tower A, Lt.21 Jl. R. A Kartini No. Kav. 8, Rt.10/Rw.4, Cilandak Barat, Kec. Cilandak, Jakarta Selatan</t>
  </si>
  <si>
    <t>South Quarter Tower A, lt.21 Jl. R. A Kartini No.Kav.8, Rt.10/Rw.4, Cilandak Barat, Kec. Cilandak, Jakarta Selatan</t>
  </si>
  <si>
    <t>U111303004162 / U111205009803</t>
  </si>
  <si>
    <t>110130304105 / 110120503188</t>
  </si>
  <si>
    <t>Internet Corporate / IPVPN</t>
  </si>
  <si>
    <t>150 /200 Mbps</t>
  </si>
  <si>
    <t>4612/SPP/SBU/PLNICONPLUS/2024</t>
  </si>
  <si>
    <t>4500023746</t>
  </si>
  <si>
    <t>PT Nipsea Paint and Chemicals</t>
  </si>
  <si>
    <t>PT. NIPPON PAINT CIKARANG, JL. ASRAMA BRIGIF NO.9E, HARJA MEKAR, KEC. CIKARANG UTARA, KABUPATEN BEKASI, JAWA BARAT 17530</t>
  </si>
  <si>
    <t>A821303001330</t>
  </si>
  <si>
    <t>111303014208</t>
  </si>
  <si>
    <t>5092/SPP/SBU/PLNICONPLUS/2024</t>
  </si>
  <si>
    <t>4500024105</t>
  </si>
  <si>
    <t>H421</t>
  </si>
  <si>
    <t>Cyber 1 APJII</t>
  </si>
  <si>
    <t>5083/SPP/SBU/PLNICONPLUS/2024</t>
  </si>
  <si>
    <t>4500024805</t>
  </si>
  <si>
    <t>H448</t>
  </si>
  <si>
    <t>5085/SPP/SBU/PLNICONPLUS/2024</t>
  </si>
  <si>
    <t>4500024803</t>
  </si>
  <si>
    <t>H447</t>
  </si>
  <si>
    <t>Matrix Data Center Cyber Building</t>
  </si>
  <si>
    <t>Tuban, Jawa Timur</t>
  </si>
  <si>
    <t>A221204000007 dan A221204000024</t>
  </si>
  <si>
    <t>5003/SPP/SBU/PLNICONPLUS/2024</t>
  </si>
  <si>
    <t>4500024003</t>
  </si>
  <si>
    <t>H436</t>
  </si>
  <si>
    <t>Menara BCA Grand Indonesia, Jl. M.H. Thamrin No.1, Menteng, Kec. Menteng, Kota Jakarta Pusat, Daerah Khusus Ibukota Jakarta 10310</t>
  </si>
  <si>
    <t xml:space="preserve">H2H PT. Transjakarta – Aino ; Gedung Cyber 1 Lt.1 No. Rak 1a0212, Jl. Kuningan Barat Raya No. 8,Kuningan Barat, Jakarta Selatan, Dki Jakarta, Indonesia, 12710 </t>
  </si>
  <si>
    <t>0.256 Mbps</t>
  </si>
  <si>
    <t>5080/SPP/SBU/PLNICONPLUS/2024</t>
  </si>
  <si>
    <t>4500024050</t>
  </si>
  <si>
    <t>H489</t>
  </si>
  <si>
    <t>PT Aliansi Teknologi Indonesia (DANA)</t>
  </si>
  <si>
    <t>DWDM, GD. NTTI DATA CENTER, JL. KUNINGAN BARAT RAYA NO.8, RT.6/RW.3, KUNINGAN BARAT, KEC. MAMPANG PRAPATAN, JAKARTA SELATAN, DKI JAKARTA, INDONESIA</t>
  </si>
  <si>
    <t>IDC DUREN TIGA OPEN IXP, JL. DUREN TIGA RAYA NO.7, RT.9/RW.5, DUREN TIGA,KEC. PANCORAN, JAKARTA SELATAN, DKI JAKARTA, INDONESIA, 12760</t>
  </si>
  <si>
    <t>Clear Channel</t>
  </si>
  <si>
    <t>5001/SPP/SBU/PLNICONPLUS/2024</t>
  </si>
  <si>
    <t>4500023998</t>
  </si>
  <si>
    <t>H440</t>
  </si>
  <si>
    <t>APJII Cyber 1 Jakarta</t>
  </si>
  <si>
    <t>JIX Jogyakarta</t>
  </si>
  <si>
    <t>A821204000091</t>
  </si>
  <si>
    <t>5002/SPP/SBU/PLNICONPLUS/2024</t>
  </si>
  <si>
    <t>4500023999</t>
  </si>
  <si>
    <t>H437</t>
  </si>
  <si>
    <t>Gedung RDTX, Jl. Prof. Dr. Satrio Kav. E-IV No.6, Jalan Kuningan Barat Raya No.2, Rt.5/Rw.Rw, Kuningan, Kuningan Tim., Kecamatan Setiabudi, Kota Jakarta Selatan, Daerah Khusus Ibukota Jakarta 12950</t>
  </si>
  <si>
    <t>1000 Mbps</t>
  </si>
  <si>
    <t>5022/SPP/SBU/PLNICONPLUS/2024</t>
  </si>
  <si>
    <t>4500023996</t>
  </si>
  <si>
    <t>Jl. Raden Saleh No. 13-17 Kel. Kenari Kec. Senen, Jakarta Pusat 10430</t>
  </si>
  <si>
    <t>PA/UPG/2204/0188</t>
  </si>
  <si>
    <t>4797/SPP/SBU/PLNICONPLUS/2024</t>
  </si>
  <si>
    <t>4500023800</t>
  </si>
  <si>
    <t>H443</t>
  </si>
  <si>
    <t>Jl. Padjajaran Lippo Cikarang</t>
  </si>
  <si>
    <t>Cyber Lt.7, Mampang Jakarta Selatan</t>
  </si>
  <si>
    <t>Apartement Crown Court Lippo Cikarang (Jl. Padjajaran Lippo Cikarang)</t>
  </si>
  <si>
    <t>01000029813</t>
  </si>
  <si>
    <t>4622/SPP/SBU/PLNICONPLUS/2024</t>
  </si>
  <si>
    <t>4500023687</t>
  </si>
  <si>
    <t>H490</t>
  </si>
  <si>
    <t>DATA CENTER INDONESIA (DCI) JK1, CIBITUNG, JL. HALMAHERA NO.1, DANAU INDAH, KEC. CIKARANG BAR., KABUPATEN BEKASI, JAWA BARAT 17530</t>
  </si>
  <si>
    <t>NTT DATA CENTER, CYBER 3. JL. KUNINGAN BARAT RAYA NO.8, RT.6/RW.3, KUNINGAN BAR., KEC. MAMPANG PRPT., KOTA JAKARTA SELATAN, DAERAH KHUSUS IBUKOTA JAKARTA 12710</t>
  </si>
  <si>
    <t>A111202006706</t>
  </si>
  <si>
    <t>5044/SPP/SBU/PLNICONPLUS/2024</t>
  </si>
  <si>
    <t>4500024084</t>
  </si>
  <si>
    <t>H452</t>
  </si>
  <si>
    <t>Menara Antam Sejahtera</t>
  </si>
  <si>
    <t>Gedung Antam Office Park Tower B Lantai MZ Jl. TB Simatupang No. 1</t>
  </si>
  <si>
    <t>KCP Jakarta Antam, Antam Building Tower B, Lantai GF, Jl. TB Simatupang No. Kel. Tanjung Barat, Kec. Jagakarsa, Jakarta Selatan, DKI Jakarta, Indonesia, 12530</t>
  </si>
  <si>
    <t xml:space="preserve">110140101446 / 04000326226
110000007728 / 04000326227
110000007729 / 04000326229
110120215367 / 01000334645 </t>
  </si>
  <si>
    <t>4999/SPP/SBU/PLNICONPLUS/2024</t>
  </si>
  <si>
    <t>4500024000</t>
  </si>
  <si>
    <t>H486</t>
  </si>
  <si>
    <t>PT Smart Multi Finance</t>
  </si>
  <si>
    <t>PERTOKOAN ITC DEPOK NO. 48JL. MARGONDA RAYA NO. 56 DESA DEPOK KEC. PANCORAN MAS KAB. DEPOK JAWA BARAT.</t>
  </si>
  <si>
    <t>R111401000262</t>
  </si>
  <si>
    <t>Internet Broadband dan Bronze</t>
  </si>
  <si>
    <t>4998/SPP/SBU/PLNICONPLUS/2024</t>
  </si>
  <si>
    <t>4500024004</t>
  </si>
  <si>
    <t>H439</t>
  </si>
  <si>
    <t>PT Bank BTPN</t>
  </si>
  <si>
    <t>Menara BTPN Jl. DR. Ide Anak Agung Gde Agung Kav. 5.5-5.6 Kawasan Mega Kuningan, Jakarta Selatan, 12950</t>
  </si>
  <si>
    <t>Backup Backhaul BTPN, Data Center IBM (Telkom Sigma) Sentul JL. IR Haji Juanda No. F3, Sentul City, Citeureup-Bogor, Indonesia</t>
  </si>
  <si>
    <t>ICON-00/SBC/1602/0097
ICON-00/SBC/1703/0191</t>
  </si>
  <si>
    <t>0990000320383444
'0990000320488913</t>
  </si>
  <si>
    <t>5081/SPP/SBU/PLNICONPLUS/2024</t>
  </si>
  <si>
    <t>4500024055</t>
  </si>
  <si>
    <t>H495</t>
  </si>
  <si>
    <t>No rak EDGE-3-R029-005 Menara Tendean 22 fl, Jl. Kapten Tendean, Mampang prapatan, Jakarta Selatan, DKI Jakarta, Indonesia, 12710</t>
  </si>
  <si>
    <t>H2H Gedung Menara BCA Grand Indonesia, Jl. MH Thamrin No.1, Menteng, RT.1/RW.5, Menteng, Menteng, Jakarta Pusat, DKI Jakarta, Indonesia, 10310</t>
  </si>
  <si>
    <t>5082/SPP/SBU/PLNICONPLUS/2024</t>
  </si>
  <si>
    <t>4500024051</t>
  </si>
  <si>
    <t>H485</t>
  </si>
  <si>
    <t>H2H SHOPEE, GEDUNG EDGE LANTAI 3, JL. KUNINGAN BARAT RAYA NO.59, RT.1/RW.3, KUNINGAN BAR,KEC. MAMPANG PRAPATAN ,JAKARTA SELATAN ,DKI JAKARTA ,INDONESIA ,12710</t>
  </si>
  <si>
    <t>110120501119 / 01000320667</t>
  </si>
  <si>
    <t>5094/SPP/SBU/PLNICONPLUS/2024</t>
  </si>
  <si>
    <t>4500024056</t>
  </si>
  <si>
    <t>H488</t>
  </si>
  <si>
    <t>JL. RUKO CEMP. MAS NO.27, RT.1671039, .27/RW.8, SUMUR BATU, KEC. KEMAYORAN, KOTA JAKARTA PUSAT, DAERAH KHUSUS IBUKOTA JAKARTA 10640</t>
  </si>
  <si>
    <t xml:space="preserve">110120510581 / 140000008240414 </t>
  </si>
  <si>
    <t>5000/SPP/SBU/PLNICONPLUS/2024</t>
  </si>
  <si>
    <t>4500024134</t>
  </si>
  <si>
    <t>H451</t>
  </si>
  <si>
    <t>PT Oto Multiartha</t>
  </si>
  <si>
    <t>(Sub HO Cempaka Mas) Ruko Cempaka Mas Blok Q No. 12-14, Jl. Letjen Soeprapto, Jakarta Pusat, Indonesia.</t>
  </si>
  <si>
    <t>11 Mbps</t>
  </si>
  <si>
    <t>5159/SPP/SBU/PLNICONPLUS/2024</t>
  </si>
  <si>
    <t>4500024133</t>
  </si>
  <si>
    <t>H2H PT. Transjakarta – Aino ; Gedung Cyber 1 Lt.1 No. Rak 1a0212, Jl. Kuningan Barat Raya No. 8, Kuningan Barat, Jakarta Selatan, 12710</t>
  </si>
  <si>
    <t>5023/SPP/SBU/PLNICONPLUS/2024</t>
  </si>
  <si>
    <t>4500023997</t>
  </si>
  <si>
    <t>H441</t>
  </si>
  <si>
    <t>CYBER 1, JL. KUNINGAN BARAT RAYA NO.8, RT.1/RW.3, KUNINGAN BAR., KEC. MAMPANG PRPT., KOTA JAKARTA SELATAN, DAERAH KHUSUS IBUKOTA JAKARTA 12710</t>
  </si>
  <si>
    <t>Jakarta Selatan, DKI Jakarta, Indonesia</t>
  </si>
  <si>
    <t>01000075385</t>
  </si>
  <si>
    <t>4888/SPP/SBU/PLNICONPLUS/2024</t>
  </si>
  <si>
    <t>4500023939</t>
  </si>
  <si>
    <t>H442</t>
  </si>
  <si>
    <t>Megalopolis Manunggal Industrial Development</t>
  </si>
  <si>
    <t>PT Bank Syariah Indonesia
PT Prodia Widyahusada</t>
  </si>
  <si>
    <t>Kawasan Industri MM2100</t>
  </si>
  <si>
    <t xml:space="preserve">MM2100 CIBITUNG, CIBITUNG, KOTA BEKASI, JAWA BARAT, INDONESIA </t>
  </si>
  <si>
    <t xml:space="preserve"> A111204000152
A111205004849
R111205004390
R111205004414
A111205004389
A111202004236 / 111202019094
A111205003981 / 111205026080
A111303002994 / 111303012308
A111204000125 / 111204000144
A111204000152 / 111204000154</t>
  </si>
  <si>
    <t>4997/SPP/SBU/PLNICONPLUS/2024</t>
  </si>
  <si>
    <t>4500024136</t>
  </si>
  <si>
    <t>H494</t>
  </si>
  <si>
    <t>Solusi Data Cepat</t>
  </si>
  <si>
    <t>Jl. Raya Klp. Dua Wetan, RT.4/RW.8, Klp. Dua Wetan, Kec. Ciracas, Kota Jakarta Timur, Daerah Khusus Ibukota Jakarta 13730</t>
  </si>
  <si>
    <t>JL. BUKIT ALADIN, BOJONG KONENG, KEC. BABAKAN MADANG, KABUPATEN BOGOR, JAWA BARAT 16810</t>
  </si>
  <si>
    <t xml:space="preserve">JL. KUNINGAN BARAT RAYA NO.8, RT.1/RW.3, KUNINGAN BAR., KEC. MAMPANG PRPT., KOTA JAKARTA SELATAN, DAERAH KHUSUS IBUKOTA JAKARTA 12710 </t>
  </si>
  <si>
    <t xml:space="preserve">A111202001917 / 1123103000035 </t>
  </si>
  <si>
    <t>4996/SPP/SBU/PLNICONPLUS/2024</t>
  </si>
  <si>
    <t>4500024001</t>
  </si>
  <si>
    <t>DATA CENTER NEX CBN Ruang ND-2 Cage N2C1-01-01 Gedung Cyber 2 Jl. H.R. Rasuna Said No. 13 Blok. X-5 Kuningan Timur South Jakarta 12950, Indonesia.</t>
  </si>
  <si>
    <t>4299/SPP/SBU/PLNICONPLUS/2024</t>
  </si>
  <si>
    <t>4500023799</t>
  </si>
  <si>
    <t>H347</t>
  </si>
  <si>
    <t>Gedung Cyber Jl. Kuningan Barat Raya No. 8, RT.1/RW.3, Kuningan Barat, Mampang, Jakarta Selatan</t>
  </si>
  <si>
    <t>RUMAH INDONET,JL. REMPOA RAYA NO.11, RT.6/RW.3, REMPOA, KEC. CIPUTAT TIM., KOTA TANGERANG SELATAN, BANTEN 15412</t>
  </si>
  <si>
    <t>010000154905</t>
  </si>
  <si>
    <t>5176/SPP/SBU/PLNICONPLUS/2024</t>
  </si>
  <si>
    <t>4500024148</t>
  </si>
  <si>
    <t>H505</t>
  </si>
  <si>
    <t>PT Bank BCA Syariah</t>
  </si>
  <si>
    <t>A111202005586</t>
  </si>
  <si>
    <t>4719/SPP/SBU/PLNICONPLUS/2024</t>
  </si>
  <si>
    <t>4500023734</t>
  </si>
  <si>
    <t>H445</t>
  </si>
  <si>
    <t>Kota Tangerang Selatan, Banten, Indonesia</t>
  </si>
  <si>
    <t>5174/SPP/SBU/PLNICONPLUS/2024</t>
  </si>
  <si>
    <t>4500024145</t>
  </si>
  <si>
    <t>H506</t>
  </si>
  <si>
    <t>Gedung JK 3, Jl. IRIAN I Blok GG 5-1, Kawasan MM 2100, Cibitung</t>
  </si>
  <si>
    <t>Jl. Halmahera Blk. EE No.2, Danau Indah</t>
  </si>
  <si>
    <t>5088/SPP/SBU/PLNICONPLUS/2024</t>
  </si>
  <si>
    <t>4500024291</t>
  </si>
  <si>
    <t>H500</t>
  </si>
  <si>
    <t>SUNLIFE DATA CENTER E1 ARIOBIMO. HR RASUNA SAID KAV X-2</t>
  </si>
  <si>
    <t>A111202006131</t>
  </si>
  <si>
    <t>4964/SPP/SBU/PLNICONPLUS/2024</t>
  </si>
  <si>
    <t>4500024144</t>
  </si>
  <si>
    <t>H499</t>
  </si>
  <si>
    <t>PT Bank Pembangunan Daerah Bali</t>
  </si>
  <si>
    <t>KCP Baturiti, Jl. Gunung Agung No.23, Baturiti, Kec. Baturiti, Kabupaten Tabanan, Bali 82191 (-8.328644978535914, 115.18610477301344)</t>
  </si>
  <si>
    <t>PT DCI INDONESIA CIBITUNG, JL. HALMAHERA NO.1, DANAU INDAH, KEC. CIKARANG BAR., KABUPATEN BEKASI, JAWA BARAT 17530</t>
  </si>
  <si>
    <t>A151202000026</t>
  </si>
  <si>
    <t>5186/SPP/SBU/PLNICONPLUS/2024</t>
  </si>
  <si>
    <t>4500024135</t>
  </si>
  <si>
    <t>H497</t>
  </si>
  <si>
    <t>A111202006706 - 111202020340</t>
  </si>
  <si>
    <t>5089/SPP/SBU/PLNICONPLUS/2024</t>
  </si>
  <si>
    <t>4500024087</t>
  </si>
  <si>
    <t>H493</t>
  </si>
  <si>
    <t>DRC Mandiri, Cikarang, Indonesia</t>
  </si>
  <si>
    <t>ICON-00/SBC/1203/0110</t>
  </si>
  <si>
    <t>5192/SPP/SBU/PLNICONPLUS/2024</t>
  </si>
  <si>
    <t>4500024140</t>
  </si>
  <si>
    <t>H507</t>
  </si>
  <si>
    <t>PT Hanasta Dakara
PT Hanasta Dakara
PT Solusindo Bintang Pratama qq Evonik Indonesia
PT Iforte Solusi Infotek qq DHL
PT Jetcoms Netindo qq PT Nano Coating dan Prima Tolling
PT Palapa Media Indonesia qq PT KAO Indonesia
PT Hipernet Indodata
PT Hipernet Indodata
PT Aplikanusa Lintasarta
PT Hipernet Indodata qq PT Citra Plastik Makmur
PT PC24 Telekomunikasi qq Watsons Store
PT Hipernet Indodata qq PT Sebastian Jaya Metal
PT Hipernet Indodata qq PT Fanuc Indonesia
PT Milenial Inti Telekomunikasi qq RS Harapan Keluarga
PT Hipernet Indodata qq PT Nippon Indosari Corpindo Tbk
PT Hipernet Indodata qq PT Nippon Indosari Corpindo Tbk
PT Hipernet Indodata qq Lestari Teknik Plastiktama
PT Media Lintas Data qq BOF Liquid New Warehouse Cikarang</t>
  </si>
  <si>
    <t>Fablab PUCC (Fablab Jababeka), Convention Center, President University Jl. H. Usmar Ismail No. 7 Blok D, Mekarmukti, Cikarang Utara, Bekasi, Jawa Barat</t>
  </si>
  <si>
    <t>PT. Dongsan Indonesia JI. Jababeka III G Blok C-17 AS Cikarang Industrial Estate
PT. TAE WON INDONESIA, Kawasan Industri Jababeka II Jl. Raya Industri Selatan I Blok LL-6 Pasirsari Cikarang Selatan Bekasi Jawa Barat
PT Evonik Indonesia , JL. Jababeka V Blok H2 No. 5 Kawasan Industri Cikarang, Pasirgombong, Cikarang Utara, Kabupaten Bekasi, Jawa Barat
DHL Jababeka I JL. JABABEKA II BLOK C 9-10 CIKARANG BARAT JAWA BARAT
Jl. Industri Selatan 7 Blok FF 1 C Kawasan Industry Jababeka 2 (Interkoneksi PT Nano Coating Indonesia) Cikarang Utara, Kota Bekasi, Jawa Barat, Indonesia
PT KAO Indonesia Jl. Science Boulevard, Cikarang Pusat, Kabupaten Bekasi, Jawa Barat, Indonesia, 17530
PT CHEMCO HARAPAN NUSANTARA Jababeka Industrial Estate Jl. Jababeka Raya Block F No. 19-28, Cikarang Utara, Kota Bekasi, Jawa Barat, Indonesia
PT Mitsuyoshi Manufacturing Indonesia, Jl. Jababeka SFB Blok V No. 86 A-B Cikarang Industrial Estate, Cikarang, Kabupaten Bekasi, Jawa Barat, indonesia
CIKARANG - HPC LIQUID &amp; POWDER, Kawasan Industri Jababeka Jl. Jababeka Raya Blok O - KIJ Cikarang, Bekasi 17530
PT. Citra Plastik Makmur, Jl. Jababeka XIV A Blok J4F, Kawasan Industri Jababeka I, Harjamekar,  Kec. Cikarang Utara, Kabupaten Bekasi, Jawa Barat, Indonesia, 17530
Watsons Store - Living Plaza Jababeka, Mega Jababeka, Makarmukti,  Unit: G-01B,  Cikarang Utara,  Bekasi,  Jawa Barat,  Indonesia,  17530
SEBASTIAN JAYA METAL - Kawasan Industri Jababeka I JL. Jababeka X, Blok F No.5,  Cikarang,  Bekasi,  Jawa Barat,  Indonesia,  
FANUC INDONESIA -Jl. Science Boulevard A1 C1,Kawasan Jababeka,  Cikarang,  Bekasi,  Jawa Barat,  Indonesia
RS Harapan Keluarga Jababeka Jl. Kasuari Raya  Kav.1A&amp;1B, Mekarmukti,  Cikarang Utara,  Bekasi,  Jawa Barat,  Indonesia,
PT. Nippon Indosari Corpindo Kawasan Industri Jababeka, Jl. Jababeka XVII B Blok U, No. 33,  Cikarang,  Bekasi,  Jawa Barat,  Indonesia,  
PT. Nippon Indosari Corpindo Jababeka 5; Jl. Science Timur 2, Blok B1H-A, Kel. Jayamukti
PT. Lestari Teknik Plastikatama - Kawasan Industri Jababeka, Jl. Jababeka XI Blok K No.8C, Harja Mekar,
BOF Liquid New WareHouse Cikarang, P45G+W46,</t>
  </si>
  <si>
    <t>PA/ACT/2206/0079
PA/ACT/2103/2357
PA/ACT/1811/1775
PA/UPG/2009/0120
PA/RLK/2103/0080 
PA/ACT/1810/2531
PA/ACT/1808/0279
PA/UPG/2102/0694
PA/UPG/2010/0006
PA/ACT/2105/0443/TER
PA/ACT/2302/10683
PA/ACT/2304/1192
PA/ACT/2304/1193
PA/ACT/2207/2494/TER
PA/ACT/2203/2604/TER
PA/ACT/2203/2605/TER
PA/ACT/2210/0062/TER
PA/ACT/2203/3379/TER</t>
  </si>
  <si>
    <t>5015/SPP/SBU/PLNICONPLUS/2024</t>
  </si>
  <si>
    <t>4599924138</t>
  </si>
  <si>
    <t>H508</t>
  </si>
  <si>
    <t>PT Bumimulia Indah Lestari
PT Koei Tool Indonesia
PT Tokki Engineering and Fibrication
PT Bina Niaga Multiusaha
PT Genero Pharmaceuticals
PT Rudolf Chemicals Indonesia
PT Midi Utama Indonesia
PT Hitachi Astemo Bekasi Manufacturing
PT Ingress Malindo Ventures
PT Axalta Powder Coating System Indonesia
PT Geoservices
PT Mattel Indonesia
PT Menara Terus Makmur
PT Fukoku Tokai Rubber</t>
  </si>
  <si>
    <t>Jl. Jababeka XVI Blok V/65AKawasan Industri Cikarang, Cigombong - Bekasi, Cikarang, Kabupaten Bekasi, Jawa Barat, Indonesia
Jl. Jababeka XII B Blok W. 26, Cikarang Industrial Estate, Cikarang - Bekasi 17530
 Jl Jababeka VIIB Blok K. No 2F-G-H, Kawasan Industri Jababeka, Cikarang Utara, Bekasi, Jawa Barat 17833
(DC Midi Bekasi) Jl. Jababeka XI Blok L Kav 3-5 Kawasan Industri Jababeka, Cikarang, Kota Bekasi, Jawa Barat, Indonesia
Jababeka Industrial Park, Jl. Jababeka VI Kav 28-36, Harja Mekar, Cikarang. Kabupaten Bekasi, Jawa Barat Indonesia 17530
Jl. Jababeka III Kav. C- 33, Cikarang Industrial Estate, Bekasi, Cikarang, Jawa Barat Indonesia 17530
JALAN INDUSTRI UTAMA BLOK SS 1-3 KAWASAN INDUSTRI JABABEKA, DESA MEKAR MUKTI, KEC. CIKARANG UTARA, KABUPATEN BEKASI INDONESIA
Collocation Server Astra Otoparts, Gedung AAB, Jl.TB Simatupang, Jakarta</t>
  </si>
  <si>
    <t>Jl. Tekno V Blok D3A, Kawasan Industri Jababeka Desa Pasir Gombong, Cikarang Utara, Bekasi 17530
Kawasan Industri Jababeka 2 Jl. Industri Selatan 4 Blok PP-4 Lemahabang Bekasi 17530
Genero KK, Jl. Industri Selatan 1B Blok KK No. 1-2, Kawasan Industri Jababeka 2,  Cikarang,  Kabupaten Bekasi,  Jawa Barat,  Indonesia,  17550
Blok P No.1, Jl. Jababeka VI, Harja Mekar, Cikarang Utara, Bekasi, Jawa Barat 17530
Jl. Industri Selatan Blok MM1 Jababeka Tahap II Cikarang
JL. JABABEKA V BLOK G 4-6 KAWASAN INDUSTRI JABABEKA, DESA HARJA MEKAR, KECAMATAN CIKARANG UTARA KABUPATEN BEKASI INDONESIA
MTM,Jl.Jababeka XI Blok H-3 No.12 Kawasan Industri Jababeka,Bekasi
Plant 1, Jl. Industri Selatan 2 Blok MM No. 18-19, Kawasan Industri Jababeka-Cikarang Pasir sari, Cikarang Selatan, Bekasi.</t>
  </si>
  <si>
    <t>PA/UPG/2111/0133
PA/UPG/1910/0178
PA/ACT/1911/0927
PA/ACT/2011/0178
PA/UPG/2206/0110
PA/UPG/2008/0089
PA/RLK/1810/0038
PA/ACT/2106/3311
PA/UPG/1801/0016
PA/UPG/2103/0259
PA/UPG/1905/0122
PA/UPG/2203/0053
PA/UPG/2209/0023
ICON-00/SBC/1708/0374</t>
  </si>
  <si>
    <t xml:space="preserve">01000027926
'0990000320400234
'04000089265
'04000089265
'0990000320395877
'04000036070
'0990000320493529
'01000030507
'01000159227
'0990000020265381
'04000057296
'04000053196
'04000135190
'0990000020280784
'0990000320487466
</t>
  </si>
  <si>
    <t>5008/SPP/SBU/PLNICONPLUS/2024</t>
  </si>
  <si>
    <t>4500024139</t>
  </si>
  <si>
    <t>H509</t>
  </si>
  <si>
    <t>PT Upfield Manufacturing Indonesia
PT Astrazeneca Pharmaceutical
PT Techno Orbit Particle Filtration
PT Mitra Visioner Pratama
PT Commonwealth Bank
PT Eonchemicals Putra
PT Eonchemicals Putra</t>
  </si>
  <si>
    <t>Jl. Jababeka IX Blok D1 - 29 -Jababeka Industrial Estate , Cikarang, Kabupaten Bekasi, Jawa Barat,17530
PT Astrazeneca Pharmaceutical, , Jababeka Phase III,Technopark Blok B1A-B1B, Lemah Abang,  Cikarang,  Kabupaten Bekasi,  Jawa Barat,  Indonesia,  17530
JABABEKA IV E BLOK V NOMOR 78 Q
Nippont Paint Cikarang, Jl.Kawasan Industri Jababeka Blok U No.8B Cikarang,  Cikarang,  Cikarang,  Jawa Barat,  Indonesia,
Cabang Pondok Indah, ANZ Pondok Indah (Samping Houbii adventure park), Jl. Metro Pondok Indah Kav. III B, Pondok Indah, Jakarta Selatan, DKI Jakarta, Indonesia, 12310
Kawasan industri jababeka, jalan jababeka XVII B blok U no 21F, desa harja mekar
KAWASAN INDUSTRI JABABEKA, JALAN JABABEKA XVII B BLOK U NO 21F, DESA HARJA MEKAR, CIKARANG, KABUPATEN BEKASI, JAWA BARAT, INDONESIA, 17530</t>
  </si>
  <si>
    <t>PA/DOW/2006/0004
PA/ACT/2207/2392/TER
A111303000136
PA/ACT/2202/2688/TER
PA/ACT/2006/1647
PA/ACT/2210/2259
U111303001896</t>
  </si>
  <si>
    <t>04000064251
'01000301060
111303010546
'01000192939
'01000119045
'04000316452
110130306762</t>
  </si>
  <si>
    <t>5021/SPP/SBU/PLNICONPLUS/2024</t>
  </si>
  <si>
    <t>4500024137</t>
  </si>
  <si>
    <t>H510</t>
  </si>
  <si>
    <t>PT Fukoku Tokai Rubber
PT Softex Indonesia
PT Cikarang Listrindo Tbk
PT Media Telekomunikasi Mandiri
PT Mane Indonesia Jababeka
PT Media Telekomunikasi Mandiri
PT Rudolf Chemicals Indonesia
PT Genero Pharmaceuticals
Rapigra Flexible Packaging</t>
  </si>
  <si>
    <t>Plant 2, Jl. Industri Selatan 6A, Blok GG GA-F, Kawasan Industri  Jababeka, Cikarang, Pasir Sari, Cikarang Selatan, Bekasi
Kawasan Industri Jababeka Jl. Jababeka IX B Blok Q2, Wangunharja, Cikarang Utara, Kabupaten Bekasi, Jawa Barat, Indonesia, 17530
Jl. Jababeka Raya, Blok R, Wangunharja,,  Cikarang Utara,  Kota Bekasi,  Jawa Barat,  Indonesia,  17550
Jl. Niaga Raya, Pasirsari, Cikarang Selatan, Kabupaten Bekasi, Jawa Barat, Indonesia, 17530
JL.JABABEKA XVI, KAV.66 CIKARANG BEKASI 17530,  -,  -,  -,  Indonesia,  -
Jl. Niaga Raya, Pasirsari
PT. RUDOLF CHEMICALS INDONESIA JABABEKA 1, KAV.K2FGH, WANGUNHARJA, CIKARANG UTARA, BEKASI REGENCY, WEST JAVA 17530
Genero KK, Jl. Industri Selatan 1B Blok KK No. 1-2, Kawasan Industri Jababeka 2
Kws. Industri Jababeka II, Jl. Industri Selatan 6 PP 5, Cikarang, Bekasi 17550</t>
  </si>
  <si>
    <t>PA/UPG/2203/0173
PA/ACT/2109/1806
PA/UPG/2301/0510/TER
PA/UPG/2304/0299
PA/UPG/2211/0174/TER
PA/ACT/2211/1776/TER
A821303000076
PA/UPG/2206/0110/TER
PA/ACT/2104/2993</t>
  </si>
  <si>
    <t>5010/SPP/SBU/PLNICONPLUS/2024</t>
  </si>
  <si>
    <t>4500024222</t>
  </si>
  <si>
    <t>H515</t>
  </si>
  <si>
    <t>PT Bank Riau Kepri</t>
  </si>
  <si>
    <t>Datacenter TB Simatupang (Jl. T.B. Simatupang Kav. 10), Jakarta Selatan,  DKI Jakarta, Indonesia</t>
  </si>
  <si>
    <t>4500023413</t>
  </si>
  <si>
    <t>H274</t>
  </si>
  <si>
    <t>Karunia Megah Perkasa</t>
  </si>
  <si>
    <t>PT Bank Syariah Indonesia
Bank Panin</t>
  </si>
  <si>
    <t xml:space="preserve">KCP JAKARTA CENGKARENG | ID0010363 | RUKO MUTIARA TAMAN PALEM BLOK A2 NO. 9-10, JL. KAMAL RAYA OUTERING RING ROAD, KEL. CENGKARENG TIMUR, KEC. CENGKAR
KCP MUTIARA PALEM RING ROAD, JL. LINGKAR LUAR KAMAL RAYA, PERUMNAS BLOK A/2 NO.20, CENGKARENG, JAKARTA BARAT, INDONESIA-   </t>
  </si>
  <si>
    <t>AL/2304/21127
ICON-00/SBC/1506/0286</t>
  </si>
  <si>
    <t>4402/SPP/SBU/PLNICONPLUS/2024</t>
  </si>
  <si>
    <t>4500023942</t>
  </si>
  <si>
    <t>H450</t>
  </si>
  <si>
    <t>5160/SPP/SBU/PLNICONPLUS/2024</t>
  </si>
  <si>
    <t>4500024132</t>
  </si>
  <si>
    <t>H277</t>
  </si>
  <si>
    <t xml:space="preserve">RUMAH INDONET (DRC): JL. REMPOA RAYA NO. 11 CIPUTAT, TANGERANG SELATAN, BANTEN 15412, INDONESIA ,- </t>
  </si>
  <si>
    <t>AL/2301/1043</t>
  </si>
  <si>
    <t>5181/SPP/SBU/PLNICONPLUS/2024</t>
  </si>
  <si>
    <t>4500024147</t>
  </si>
  <si>
    <t>H512</t>
  </si>
  <si>
    <t>Gedung Cyber Lantai 1 Jl. Kuningan Barat No.8, Rt.1/Rw.3, Kuningan Bar, Mampang Prapatan, Kota Administrasi Jakarta Selatan, Banten, Indonesia, 12710.</t>
  </si>
  <si>
    <t>LJN Techno Village Jl. Riverside Golf Club No.1, Bojong Nangka, Kec. Gn. Putri, Kabupaten Bogor, Jawa Barat 16965.</t>
  </si>
  <si>
    <t>5157/SPP/SBU/PLNICONPLUS/2024</t>
  </si>
  <si>
    <t>4500024129</t>
  </si>
  <si>
    <t>H513</t>
  </si>
  <si>
    <t>German Center Lantai 3 Timur Data Center Telkom Sigma Dj, Bumi Serpong Damai, Jalan Kapten Subijanto, Lengkong Gudang,  Kec. Serpong, Kota Tangerang Selatan Banten 15321.</t>
  </si>
  <si>
    <t>A111202006032</t>
  </si>
  <si>
    <t>4832/SPP/SBU/PLNICONPLUS/2024</t>
  </si>
  <si>
    <t>4500023857</t>
  </si>
  <si>
    <t>H514</t>
  </si>
  <si>
    <t>Senayan Tirtakarya Sempana</t>
  </si>
  <si>
    <t>PT Seamless Pipe Indonesia Jaya
PT Dipo Star Finance</t>
  </si>
  <si>
    <t>Sentral Senayan II, Jl. Asia Afrika Gelora Bung Karno No. 8, Gelora, Tanah Abang, Jakarta Pusat, 10270</t>
  </si>
  <si>
    <t>110130307765
10130307766
111303011768</t>
  </si>
  <si>
    <t>5099/SPP/SBU/PLNICONPLUS/2024</t>
  </si>
  <si>
    <t>4500024091</t>
  </si>
  <si>
    <t>H516</t>
  </si>
  <si>
    <t>PT Bukalapak.com Tbk</t>
  </si>
  <si>
    <t>Primary Link H2H DC Tokopedia (DCI Cibitung) Jl. Halmahera Blok F1 No. 1 Danau indah</t>
  </si>
  <si>
    <t>Jl. DR. Wahidin Raya No. 1</t>
  </si>
  <si>
    <t>PA/RLK/2303/0017
PA/RLK/2303/0016
PA/RLK/2112/3139</t>
  </si>
  <si>
    <t>4500022685</t>
  </si>
  <si>
    <t>H523</t>
  </si>
  <si>
    <t>Gobel Dharma Nusantara</t>
  </si>
  <si>
    <t>256 Kbps</t>
  </si>
  <si>
    <t>4001/SPP/SBU/PLNICONPLUS/2024</t>
  </si>
  <si>
    <t>4500024041</t>
  </si>
  <si>
    <t>H520</t>
  </si>
  <si>
    <t>PT Jariganku Sarana Nusantara</t>
  </si>
  <si>
    <t>Jakarta Industrial Estate Pulogadung (Persero) (JIEP)</t>
  </si>
  <si>
    <t>PT Astra Agro Lestari, Kawasan Industri Pulogadung, Jakarta Timur</t>
  </si>
  <si>
    <t>4155/SPP/SBU/PLNICONPLUS/2024</t>
  </si>
  <si>
    <t>4500023839</t>
  </si>
  <si>
    <t>H484</t>
  </si>
  <si>
    <t>Jl. Kuningan Barat Raya No. 8, RT.1/RW.3, Kuningan Barat, Mampang Prapatan, Jakarta Selatan</t>
  </si>
  <si>
    <t>01000142915
'01000352589
'01000351822</t>
  </si>
  <si>
    <t>PT Sari Dumai Oleo</t>
  </si>
  <si>
    <t>Jl. Fak-Fak No. 6, RW. 2, Cilincing, Kec. Cilincing, Jakarta Utara, 14120</t>
  </si>
  <si>
    <t>111202017279 / 01000362968</t>
  </si>
  <si>
    <t>4518/SPP/SBU/PLNICONPLUS/2024</t>
  </si>
  <si>
    <t>4500023615</t>
  </si>
  <si>
    <t>H518</t>
  </si>
  <si>
    <t>Jl. Semarang BI A-6 No. 1 Marunda Cilincing Jakarta Utara, 14120</t>
  </si>
  <si>
    <t>4519/SPP/SBU/PLNICONPLUS/2024</t>
  </si>
  <si>
    <t>4500023737</t>
  </si>
  <si>
    <t>H517</t>
  </si>
  <si>
    <t>(Store LH Q-BIG BSD) LULU Hypermarket Q-BIG Mall Blok A Jl. BSD Raya Utama BSD City, Tangerang</t>
  </si>
  <si>
    <t>0990000320522154</t>
  </si>
  <si>
    <t>3996/SPP/SBU/PLNICONPLUS/2024</t>
  </si>
  <si>
    <t>4500023723</t>
  </si>
  <si>
    <t>PT Berlian Sistem Informasi qq PT Dipo Star Finance</t>
  </si>
  <si>
    <t>PT Dipo Star Finance, Gedung Dipo Tower Lantai 8, Jl. Jendral Gatot Subroto Kav. 52-53, Tanah Abang, Jakarta Pusat, 10260</t>
  </si>
  <si>
    <t>04000323214</t>
  </si>
  <si>
    <t>5171/SPP/SBU/PLNICONPLUS/2024</t>
  </si>
  <si>
    <t>4500024155</t>
  </si>
  <si>
    <t>H511</t>
  </si>
  <si>
    <t>0990000320366192</t>
  </si>
  <si>
    <t>1907/SPP/SBU/ICON+/2024</t>
  </si>
  <si>
    <t>4500022454</t>
  </si>
  <si>
    <t>H525</t>
  </si>
  <si>
    <t>PT Anugerah Inti Karya</t>
  </si>
  <si>
    <t>Nusantara Data Center (Moratelindo) Mayapada Hospital Jl. Jatinegara Barat No. 44 RT.1/RW.5, Bidara Cina, Jatinegara</t>
  </si>
  <si>
    <t>01000029442</t>
  </si>
  <si>
    <t>4425/SPP/SBU/PLNICONPLUS/2024</t>
  </si>
  <si>
    <t>4500024038</t>
  </si>
  <si>
    <t>H496</t>
  </si>
  <si>
    <t>1000037030
1000037012
1000037008</t>
  </si>
  <si>
    <t>4500024071</t>
  </si>
  <si>
    <t>H491</t>
  </si>
  <si>
    <t>PT Summit Oto Finance</t>
  </si>
  <si>
    <t>(Sub HO Ard Cemas) Ruko Mega Grosir Cempaka Mas Blok I No. 48 &amp; 50, Jl Letjend Soeprato. Jakarta Pusat, Indonesia</t>
  </si>
  <si>
    <t>5190/SPP/SBU/PLNICONPLUS/2024</t>
  </si>
  <si>
    <t>4500024292</t>
  </si>
  <si>
    <t xml:space="preserve">(SOF CEMPAKA MAS + OTO PEC) RUKO MEGA GROSIR CEMPAKA MAS BLOK E 11-12, KEMAYORAN, JAKARTA PUSAT, DKI JAKARTA, INDONESIA, 10640 </t>
  </si>
  <si>
    <t>5191/SPP/SBU/PLNICONPLUS/2024</t>
  </si>
  <si>
    <t>4500024293</t>
  </si>
  <si>
    <t>Indosat KPPTI, Indonesia
PT XL Axiata, Tbk (Inbuilding JNB 2) Building Di Jl. Sumba Blok A-B MM2100, Cibitung, Bekasi (Rak KPK), Indonesia
Ruang Server KPK - Telkom TTC Buaran, Indonesia
Gedung Merah-Putih (Gedung KPK Baru), Jl Kuningan Persada Kav.4, Indonesia
Ruang Server KPK- Telkom TTC Buaran, Indonesia</t>
  </si>
  <si>
    <t>110120201414/01000136988
110120201415/01000136989
110120201416/01000137198
110120201417/01000065421
110120201412/01000173583</t>
  </si>
  <si>
    <t>3326/SPP/SBU/PLNICONPLUS/2024 | 4500022984</t>
  </si>
  <si>
    <t>4619/SPP/SBU/PLNICONPLUS/2024</t>
  </si>
  <si>
    <t>4500023672</t>
  </si>
  <si>
    <t>3327/SPP/SBU/PLNICONPLUS/2024 | 4500022986</t>
  </si>
  <si>
    <t>4618/SPP/SBU/PLNICONPLUS/2024</t>
  </si>
  <si>
    <t>4500023671</t>
  </si>
  <si>
    <t>3300/SPP/SBU/PLNICONPLUS/2024 | 4500022985</t>
  </si>
  <si>
    <t>4617/SPP/SBU/PLNICONPLUS/2024</t>
  </si>
  <si>
    <t>4500023670</t>
  </si>
  <si>
    <t>Bank Bukopin
Bank Bukopin
Bank Bukopin
Bank Bukopin
PT Bank Mandiri Taspen-Jakarta
PT XL Axiata Tbk</t>
  </si>
  <si>
    <t>Backhaul Cabang Bukopin (Backhaul Dynamic) DC Bukopin, PT Telkom Sigma, DC Sentul, Jl Ir H Djuanda No.F7 Lantai Ground, Sentul City, Kabupaten Bogor, Jawa Barat, Indonesia
Data Center Bukopin, PT Telkom Sigma, DC Sentul, Jl. Ir. H, Juanda No.F7, Lantai Ground
Data Center Bukopin, PT Telkom Sigma, DC Sentul, Jl. Ir. H, Juanda No.F7, Lantai Ground
Backhaul H2H DC Bukopin, PT Telkom Sigma, DC Sentul, Jl. Ir H Juanda No.F7
DRC Rempoa, Jl Ir H Djuanda No.38, Rempoa Ciputat, Kota Tangerang Selatan, Banten
NNI XL GD Cyber Lt.5 Jl Kuningan Barat No.8, Jakarta Selatan, DKI Jakarta, Indonesia</t>
  </si>
  <si>
    <t>-
Data Center Jl. Sukasenang No.26, Cikutra, Kota Bandung, Jawa Barat
DC Gandul, Jl Raya PLN Ehave, Gandul-Limo, Cinere (Gandul)
-
DC Sigma Sentul Lt.1 Jl Ir H Djuanda No.F7 Sentul City, Kabupaten Bogor
PT Arthatech Selaras, [007C1177L30] DC Telkomsigma Sentul Lt.1, Cijayanti</t>
  </si>
  <si>
    <t>110120509096/01000044251/AL/2009/47287
110120207474/01000044258/AL/1907/28659
110120207475/01000044259/AL/1908/30061
110120509095/01000044264/AL/1907/28660
PA/ACT/2003/1096/TER
PA/ACT/2005/0446</t>
  </si>
  <si>
    <t>IPVPN 
Metronet
Metronet
IPVPN
Metronet
Metronet</t>
  </si>
  <si>
    <t>80 Mbps
2 Mbps
10 Mbps
384 Kbps
4 Mbps
1 Mbps</t>
  </si>
  <si>
    <t>4614/SPP/SBU/PLNICONPLUS/2024</t>
  </si>
  <si>
    <t>4500023677</t>
  </si>
  <si>
    <t>H177</t>
  </si>
  <si>
    <t>PT Mastersystem Infotama
PT Mastersystem Infotama</t>
  </si>
  <si>
    <t>Marunda Jetty, Jl Marunda 1 No.5, Rt.1/Rw.7, Cilincing, Kec Cilincing, Jakata Utara, DKI Jakarta
PHE OSES SBU Area (Kepulauan Seribu)</t>
  </si>
  <si>
    <t>A811303000054
Project MSI</t>
  </si>
  <si>
    <t>4395/SPP/SBU/PLNICONPLUS/2024</t>
  </si>
  <si>
    <t>4500023596</t>
  </si>
  <si>
    <t>H276</t>
  </si>
  <si>
    <t>Recapital Building, Jakarta Selatan</t>
  </si>
  <si>
    <t>Kantor SPI RECAPITAL Lt.5/ Jl Adityawarman No.55 Kebayoran Baru Jakarta Selatan</t>
  </si>
  <si>
    <t>PA/ACT/1810/1481
PA/ACT/1810/1190
PA/ACT/1810/1189
PA/ACT/1810/1188
PA/ACT/1810/1187</t>
  </si>
  <si>
    <t>Bronze
i-WIN Indoor
i-WIN Indoor
i-WIN Indoor
i-WIN Indoor</t>
  </si>
  <si>
    <t>4500024280</t>
  </si>
  <si>
    <t>Joint All Customer</t>
  </si>
  <si>
    <t>Building Jl Jababeka IV Blok B No.12 JBBK Industria Esta Cikarang</t>
  </si>
  <si>
    <t>Jababeka Kawasan Industri Cikarang, Pasirgombong, Cikarang Utara, Kabupaten Bekasi, Jawa Barat.</t>
  </si>
  <si>
    <t>4421/SPP/SBU/PLNICONPLUS/2024</t>
  </si>
  <si>
    <t>4500023467</t>
  </si>
  <si>
    <t>G370</t>
  </si>
  <si>
    <t>Pasaraya Blok M Gedung B Lt.6. Jl Iskandarsyah II No.7, RT.3/RW.1, Melawai, Kec Kebayoran Baru, Kota Jakarta Selatan, DKI Jakarta, 12160, Indonesia</t>
  </si>
  <si>
    <t>111303012918</t>
  </si>
  <si>
    <t>99,5 %</t>
  </si>
  <si>
    <t>3762/SPP/PUSAT/PLNICONPLUS/2024</t>
  </si>
  <si>
    <t>4500023067</t>
  </si>
  <si>
    <t>H234</t>
  </si>
  <si>
    <t>PT Pertamina Rosneft Pengolahan dan Petrokimia</t>
  </si>
  <si>
    <t>Sopo Del Office Tower &amp; Lifestyle Lt.39 Jl Mega Kuningan Barat III No.9 Lot 10.1-6, Kawasan Mega Kuningan Setiabudi Jakarta Selatan</t>
  </si>
  <si>
    <t>A811401000498/111401007945</t>
  </si>
  <si>
    <t>111401007945</t>
  </si>
  <si>
    <t>3991/SPP/SBU/PLNICONPLUS/2024</t>
  </si>
  <si>
    <t>4500024034</t>
  </si>
  <si>
    <t>5039/SPP/SBU/PLNICONPLUS/2024</t>
  </si>
  <si>
    <t>4500024017</t>
  </si>
  <si>
    <t>Global Teknologi Teraindo</t>
  </si>
  <si>
    <t>Gedung Cyber APJII, Jl. Kuningan Barat Raya No.8, RT.1/RW.3,Kuningan Bar., Kec. Mampang PRPT., Jakarta Selatan, DKI Jakarta, Indonesia, 12710</t>
  </si>
  <si>
    <t>DC Infomedia Jatinegara Jl. DI.Panjaitan No.42 Rawa Bunga, Jatinegara, DC Telkom Jatinegara, Jakarta Timur, DKI Jakarta, Indonesia</t>
  </si>
  <si>
    <t>A821202001377</t>
  </si>
  <si>
    <t>01000320539/030000240</t>
  </si>
  <si>
    <t>4929/SPP/SBU/PLNICONPLUS/2024</t>
  </si>
  <si>
    <t>4500024088</t>
  </si>
  <si>
    <t>Trakindo Utama</t>
  </si>
  <si>
    <t>[BSD Java Office] Kavling Komersial Taman Tekno, Blok B no. 1 Sektor XI, BSD City,-, Kota Tangerang Selatan, Banten, Indonesia, 15317</t>
  </si>
  <si>
    <t>PA/ACT/2209/2584</t>
  </si>
  <si>
    <t>04000310259 / 2022331278</t>
  </si>
  <si>
    <t>4388/SPP/SBU/PLNICONPLUS/2024</t>
  </si>
  <si>
    <t>4500024052</t>
  </si>
  <si>
    <t>Jakarta-Taman Anggrek-Mall Taman Anggrek Ground Floor G-42, Jl S Parman Kav.21, Rt.12/Rw.1, Tanjung Duren Selatan, Grogol</t>
  </si>
  <si>
    <t>A821303001228</t>
  </si>
  <si>
    <t>111303014004</t>
  </si>
  <si>
    <t>4804/SPP/SBU/PLNICONPLUS/2024</t>
  </si>
  <si>
    <t>4500023793</t>
  </si>
  <si>
    <t>4500022111 | 2376/SPP/SBU/ICON+/2023</t>
  </si>
  <si>
    <t>5036/SPP/SBU/PLNICONPLUS/2024</t>
  </si>
  <si>
    <t>4500024035</t>
  </si>
  <si>
    <t>Kementerian ESDM</t>
  </si>
  <si>
    <t>DC Gandul</t>
  </si>
  <si>
    <t>PDNS (Taman Tekno) - Komplek Pergudangan Taman Tekno Blok D No.8, BSD, Setu, Kec. Setu, Kota Tangerang Selatan</t>
  </si>
  <si>
    <t>U111202003000</t>
  </si>
  <si>
    <t xml:space="preserve">TerPending kerenaProses SPP Amandemen di ICRM </t>
  </si>
  <si>
    <t>4500022570 &amp; 4500023320</t>
  </si>
  <si>
    <t>5468/SPP/SBU/PLNICONPLUS/2025</t>
  </si>
  <si>
    <t>4500023963</t>
  </si>
  <si>
    <t>Backhaul ESDM Pusdatin-ICON+ Gandul Jl Damai No.100,-, Kota Depok, Jawa Barat, Indonesia</t>
  </si>
  <si>
    <t>110120201063 / 01000169892</t>
  </si>
  <si>
    <t>3992/SPP/SBU/PLNICONPLUS/2024</t>
  </si>
  <si>
    <t>4500023320</t>
  </si>
  <si>
    <t>Bekasi Fajar Industrial Estate, Jalan Jawa Kav. A1, Kawasan Industri MM2100, Mekarwangi, Cikarang Barat, Mekarwangi, Cikarang, Kota Bekasi, Jawa Barat</t>
  </si>
  <si>
    <t>01000073731 / 0054987171</t>
  </si>
  <si>
    <t>5033/SPP/SBU/PLNICONPLUS/2024</t>
  </si>
  <si>
    <t>4500024185</t>
  </si>
  <si>
    <t>Kid City Transpark Cibubur Lt. 3 Jl. Alternatif Cibubur No.230, Harjamukti, Cimanggis, Kota Depok, Jawa Barat, CImanggis, Kota Depok, Jawa Barat, Indonesia, 16454</t>
  </si>
  <si>
    <t>PA/ACT/1903/1573</t>
  </si>
  <si>
    <t>5205/SPP/SBU/PLNICONPLUS/2024</t>
  </si>
  <si>
    <t>4500024246</t>
  </si>
  <si>
    <t>Graha Pertamina - PSDC Gambir</t>
  </si>
  <si>
    <t>Menara Sentraya Lt.24</t>
  </si>
  <si>
    <t>4500023639|4527/SPP/SBU/PLNICONPLUS/2024</t>
  </si>
  <si>
    <t>5034/SPP/SBU/PLNICONPLUS/2024</t>
  </si>
  <si>
    <t>4500024244</t>
  </si>
  <si>
    <t>BCAF Bekasi Jl Harapan Indah Boulevard-Komplek Mega Office Park P5 No.08, Medan Satria, Kecamatan Medan Satria, Kota Bekasi Jawa Barat, 17132</t>
  </si>
  <si>
    <t>Jl MH Thamrin No.1, Menteng, Kec Menteng, Kota Jakarta Pusat, DKI Jakarta, 10310</t>
  </si>
  <si>
    <t>A111202005585</t>
  </si>
  <si>
    <t>111202019661</t>
  </si>
  <si>
    <t>4500022080 | 2215/SPP/SBU/ICON+/2023</t>
  </si>
  <si>
    <t>4946/SPP/SBU/PLNICONPLUS/2024</t>
  </si>
  <si>
    <t>4500023921</t>
  </si>
  <si>
    <t>Jalan Pasir Putih Raya Kav.1, Ancol, Kec. Pademangan, Jakarta Utara, DKI Jakarta, Indonesia</t>
  </si>
  <si>
    <t>04000301037</t>
  </si>
  <si>
    <t>IIX</t>
  </si>
  <si>
    <t>4500021797| 2098/SPP/SBU/ICON+/2023</t>
  </si>
  <si>
    <t>5201/SPP/SBU/PLNICONPLUS/2024</t>
  </si>
  <si>
    <t>4500024351</t>
  </si>
  <si>
    <t>Deactivasi 14 Desember 2025</t>
  </si>
  <si>
    <t>KCP Tangerang City, Ruko Business Park Tanngerang City Blok A No.6, RT.005/RW.005,Babakan, Kec, Tangerang, Kota Tangerang, Banten,Indonesia, 15118</t>
  </si>
  <si>
    <t>4429/SPP/SBU/PLNICONPLUS/2024</t>
  </si>
  <si>
    <t>4500023740</t>
  </si>
  <si>
    <t>Elitery Data Center, Jl Raya Pajajaran no 17 Bogor, Indonesia,-,-,-,Indonesia,-</t>
  </si>
  <si>
    <t>Toyota Astra Motor New Site 2, Jl. Selayar Kav. B10 Kawasan Industri MM 2100 (TTC) (Interkoneksi dg Indonet),-,-,-,Indonesia,</t>
  </si>
  <si>
    <t>5374/SPP/SBU/PLNICONPLUS/2024</t>
  </si>
  <si>
    <t>PT Autocamp System Indonesia Jakarta, Gd Mid Plaza 2 Lt 10 Jl. Jend.Sudirman Kav 10-11, Tanah Abang, Jakarta Pusat, DKI Jakarta, Indonesia, 10220</t>
  </si>
  <si>
    <t>8223110200015</t>
  </si>
  <si>
    <t>4500021796 | 2096/SPP/SBU/ICON+/2023</t>
  </si>
  <si>
    <t>5406/SPP/SBU/PLNICONPLUS/2025</t>
  </si>
  <si>
    <t>4500024593</t>
  </si>
  <si>
    <t>Deactivasi 23 November 2025</t>
  </si>
  <si>
    <t>H2H, (Backhaul) DCI Data Center Jl. Halmahera Blok F1</t>
  </si>
  <si>
    <t>H2H, Gd. Plaza Mandiri Jl Jend Gatot Subroto Kab 36-38 Jakarta,  Kec. Kebayoran Baru,  Jakarta Selatan,  DKI Jakarta,H2H, Menara BCA, Jl. M.H. Thamrin No.1, RT.1/RW.5, Menteng,  Kec Menteng,  Jakarta Pusat,  DKI Jakarta,  H2H, Gedung Teknologi Informasi Lt 4 Jl RM Harsono No.2 RT 6/7 Ragunan,  KEC. Pasar Minggu,  Jakarta Selatan,  DKI Jakarta,</t>
  </si>
  <si>
    <t>1000067620; 1000067728; 1000067736</t>
  </si>
  <si>
    <t>5330/SPP/SBU/PLNICONPLUS/2024</t>
  </si>
  <si>
    <t>4500024460</t>
  </si>
  <si>
    <t>Fajar paramita</t>
  </si>
  <si>
    <t>H2H - Data Center KAI Bandung, Jl. Perintis Kemerdekaan</t>
  </si>
  <si>
    <t>4500021962 |</t>
  </si>
  <si>
    <t>5332/SPP/SBU/PLNICONPLUS/2024</t>
  </si>
  <si>
    <t>4500024461</t>
  </si>
  <si>
    <t>Jl Matraman Raya No.52. Lt.3, Kebon Manggis, Matraman, Jakarta Timur, 13150</t>
  </si>
  <si>
    <t>A821303001192</t>
  </si>
  <si>
    <t>111303013194 &amp; 111205029138</t>
  </si>
  <si>
    <t>200 Mbps &amp; 10 Mbps</t>
  </si>
  <si>
    <t>4903/SPP/SBU/PLNICONPLUS/2024</t>
  </si>
  <si>
    <t>4500023867</t>
  </si>
  <si>
    <t>Deactivasi 27 November 2025</t>
  </si>
  <si>
    <t xml:space="preserve">Primary Link - H2H - DC VTAX Jl Sukasenang No. 26 </t>
  </si>
  <si>
    <t>4500021960 |</t>
  </si>
  <si>
    <t>5333/SPP/SBU/PLNICONPLUS/2024</t>
  </si>
  <si>
    <t>4500024465</t>
  </si>
  <si>
    <t>PT Xapiens Teknologi Indonesia</t>
  </si>
  <si>
    <t>GD Graha Mitra Lantai 3 Jl. Gatot Subroto No.Kav 21, RT.3/RW.2, Karet Semanggi, Kecamatan Setiabudi, Kota Jakarta Selatan, Daerah Khusus Ibukota Jakarta 12930</t>
  </si>
  <si>
    <t>A311303000965</t>
  </si>
  <si>
    <t>311303001497</t>
  </si>
  <si>
    <t>4714/SPP/SBU/PLNICONPLUS/2024</t>
  </si>
  <si>
    <t>4500024318</t>
  </si>
  <si>
    <t>Cyber 1 Lantai 7 IDC Indonesia (summer 263)</t>
  </si>
  <si>
    <t>4608/SPP/SBU/PLNICONPLUS/2024</t>
  </si>
  <si>
    <t>PT TARUNA
  BINA SARANA dan AKR</t>
  </si>
  <si>
    <t>Pelabuhan Banten Jl. Raya Pelabuhan No. 1 Lahan Pelindo II Cabang Banten Desa Kepuh Kec. Ciwandan Cilegon Banten 42166 (PT Taruna Bina Sarana dan AKR)</t>
  </si>
  <si>
    <t>110120205864 /
060000105260001 |A111401003056</t>
  </si>
  <si>
    <t>5313/SPP/SBU/PLNICONPLUS/2024</t>
  </si>
  <si>
    <t>4500024278</t>
  </si>
  <si>
    <t xml:space="preserve"> Jl. Lingkar Timur karang Kandri Kecamatan Kesugihan Cilacap Jawa Tengah (Relokasi Jalur Baru),-,-,-,Indonesia,-Jawa</t>
  </si>
  <si>
    <t>TREASURY TOWER, Lt. 39 Jln. Jend. Sudirman Kav 52-53 SCBD Jakarta Selatan - 12190,- ,Jakarta Selatan ,DKI Jakarta, Indonesia</t>
  </si>
  <si>
    <t>130120200737 / 01000030570</t>
  </si>
  <si>
    <t>5371/SPP/SBU/PLNICONPLUS/2024</t>
  </si>
  <si>
    <t>4500024316</t>
  </si>
  <si>
    <t>MCO JAYA</t>
  </si>
  <si>
    <t>Jl. Kuningan Barat 1 no.26 rt6/rw1 kuningan bar. Mampang PRPT. Tifa Building</t>
  </si>
  <si>
    <t>Jl. Halim Perdana Kusuma, Kec. Makasar Kota Jakarta Timur</t>
  </si>
  <si>
    <t>A111202004643</t>
  </si>
  <si>
    <t>111202019311</t>
  </si>
  <si>
    <t>5435/SPP/SBU/PLNICONPLUS/2024</t>
  </si>
  <si>
    <t>4500024322</t>
  </si>
  <si>
    <t>Internetwork Komunikasi Indonesia</t>
  </si>
  <si>
    <t>Soho Capital Lt. 35 Unit No. 9 Podomoro City, Jalan Jendral . S. Parman 11470</t>
  </si>
  <si>
    <t>PSDC (Node PHE) - Gedung Grha Pertamina, Tower Fastron (Grha), Jalan Medan Merdeka Timur No. 11-12, Jakarta Pusat</t>
  </si>
  <si>
    <t>A811303000349</t>
  </si>
  <si>
    <t>111303012033</t>
  </si>
  <si>
    <t>4533/SPP/SBU/PLNICONPLUS/2024</t>
  </si>
  <si>
    <t>4500023633</t>
  </si>
  <si>
    <t>Starbucks, Living Plaza Jababeka, Jl. Niaga Raya BB/2-4, Kel. Pasarsari, Cikarang Barat, Kota Bekasi, Jawa Barat, Indonesia, 17532</t>
  </si>
  <si>
    <t xml:space="preserve">110130306885 / 04000085566 </t>
  </si>
  <si>
    <t>5441/SPP/SBU/PLNICONPLUS/2024</t>
  </si>
  <si>
    <t>4500024435</t>
  </si>
  <si>
    <t>PT Supra Boga Lestari Tbk</t>
  </si>
  <si>
    <t>Living Plaza Jababeka (Farmers Market) , Jl. Niaga Raya BB/2-4, Kel. Pasarsari, Cikarang, Bekasi, Jawa Barat</t>
  </si>
  <si>
    <t>5439/SPP/SBU/PLNICONPLUS/2024</t>
  </si>
  <si>
    <t>4500024436</t>
  </si>
  <si>
    <t>BANK BJB TOWER, JL. NARIPAN NO.12 - 14, BRAGA, SUMURBANDUNG, KOTA BANDUNG, JAWA BARAT 40111</t>
  </si>
  <si>
    <t>BACKHAUL WAN DCI - BACKHAUL WAN DCI INDONESIA, -KAWASAN INDUSTRI MM2100, JL. JAWA BLOK GGS NO. 1, GD. JK 3 LT. 4, CIKARANG BARAT, KABUPATEN BEKASI</t>
  </si>
  <si>
    <t>PA/ACT/2204/3497</t>
  </si>
  <si>
    <t>5547/SPP/SBU/PLNICONPLUS/2025</t>
  </si>
  <si>
    <t>4500024466</t>
  </si>
  <si>
    <t>H2H E-MOBILE BMRI, (DATA CENTER TIFA BUILDING), JALAN KUNINGAN BARAT 1 NO.26,KEC. MAMPANG PRAPATAN, JAKARTA SELATAN, DKI JAKARTA, INDONESIA, 12710</t>
  </si>
  <si>
    <t>110120501636 / 01000316630</t>
  </si>
  <si>
    <t>5588/SPP/SBU/PLNICONPLUS/2025</t>
  </si>
  <si>
    <t>4500024443</t>
  </si>
  <si>
    <t>PT Airpay International Indonesia
PT Bank Mandiri</t>
  </si>
  <si>
    <t>110120501119 / 01000320667
PA/ACT/2212/0254</t>
  </si>
  <si>
    <t>2 Mbps dan 3 Mbps</t>
  </si>
  <si>
    <t>5553/SPP/SBU/PLNICONPLUS/2025</t>
  </si>
  <si>
    <t>4500024519</t>
  </si>
  <si>
    <t>Cahaya Jakarta</t>
  </si>
  <si>
    <t>JL. INDUSTRI SELATAN BLOK QQ NO. 8D, KAWASAN INDUSTRI JABABEKA 2, PASIRSARI, CIKARANG SELATAN, JAWA BARAT, INDONESIA, 11460</t>
  </si>
  <si>
    <t xml:space="preserve"> U111303004908</t>
  </si>
  <si>
    <t>04000005991</t>
  </si>
  <si>
    <t>5448/SPP/SBU/PLNICONPLUS/2025</t>
  </si>
  <si>
    <t>4500024447</t>
  </si>
  <si>
    <t>PEMINDAHAN JALUR DIRECT ICON) JL. INDUSTRI UTAMA BLOK SS KAV 1- 3, KAWASAN INDUSTRI JABABEKA II, CIKARANG UTARA, KABUPATEN BEKASI, JAWA BARAT, INDONESIA, 17530</t>
  </si>
  <si>
    <t xml:space="preserve">A111303004046 </t>
  </si>
  <si>
    <t xml:space="preserve">111303013881 </t>
  </si>
  <si>
    <t>5884/SPP/SBU/PLNICONPLUS/2025</t>
  </si>
  <si>
    <t>4500024657</t>
  </si>
  <si>
    <t>PT Pelayaran Bahtera Adhiguna 2 Link (VLAN 81 dan 1132)</t>
  </si>
  <si>
    <t>PLN ICON PLUS Jalan Raya PLN EHP, Gandul, Kec. Cinere, Kota Depok, Jawa Barat 16514, Indonesia</t>
  </si>
  <si>
    <t>PT Pelayaran Bahtera Adhiguna, Gedung Prudential, Gedung Prudential Centre, Lantai 11 unit A B C D E, Kota Kasablanka, Jl Casablanca Raya Kav.88. Jakarta Selatan 12870</t>
  </si>
  <si>
    <t>A112401000673 &amp;  A112401000674</t>
  </si>
  <si>
    <t>111601012800 &amp; 111205024273</t>
  </si>
  <si>
    <t>99,8 %</t>
  </si>
  <si>
    <t>10 Mbps &amp; 10 Mbps</t>
  </si>
  <si>
    <t>4525/SPP/SBU/PLNICONPLUS/2025</t>
  </si>
  <si>
    <t>4500023712</t>
  </si>
  <si>
    <t>Head Office PT Polytama Propindo - Gedung Mid Plaza 2, Jl. Jenderal Sudrman No. 10-11 RT.10/RW.11, Karet Tengsin, Tanah Abang, Jakarta Pusat, DKI Jakarta, Indonesia, 10220.</t>
  </si>
  <si>
    <t>1000189276</t>
  </si>
  <si>
    <t>4500021036 | 	469/SPP/SBU/ICON+/2023</t>
  </si>
  <si>
    <t>4949/SPP/SBU/PLNICONPLUS/2024</t>
  </si>
  <si>
    <t>4500024474</t>
  </si>
  <si>
    <t>BD Agriculture Indonesia</t>
  </si>
  <si>
    <t>U111303004782</t>
  </si>
  <si>
    <t>110130303338/ 0990000320514382</t>
  </si>
  <si>
    <t>5457/SPP/SBU/PLNICONPLUS/2024</t>
  </si>
  <si>
    <t>4500024453</t>
  </si>
  <si>
    <t>Menara BCA Grand Indonesia, Jl MH Thamrin No.1 Menteng, Kec Menteng, Jakarta Pusat, DKI Jakarta 10310</t>
  </si>
  <si>
    <t>BCA KCP Pondok Gede Plaza (PGP) Ruko Pondok Gede Plaza, Blok H no 3 dan 5. Jl Raya Pondok Gede, Pondok Gede, Bekasi, Jawa Barat, Indonesia</t>
  </si>
  <si>
    <t>111202018016</t>
  </si>
  <si>
    <t>4500022183 | 2361/SPP/SBU/ICON+/2023</t>
  </si>
  <si>
    <t>5373/SPP/SBU/PLNICONPLUS/2024</t>
  </si>
  <si>
    <t>PSDC Graha Pertamina - Jl Medan Merdeka Timur, Gambir, Jakarta Pusat</t>
  </si>
  <si>
    <t>Menara Sentraya Lt.26, Jl Iskandarsyah Raya No.1A, Rt.3/Rw.1, Blok M, Kebayoran Baru, Jakarta Selatan</t>
  </si>
  <si>
    <t>4500024244 | 5034/SPP/SBU/PLNICONPLUS/2024</t>
  </si>
  <si>
    <t>5619/SPP/SBU/PLNICONPLUS/2025</t>
  </si>
  <si>
    <t>4500024537</t>
  </si>
  <si>
    <t>Fiber Media Indonesia</t>
  </si>
  <si>
    <t>APJII CYBER 1</t>
  </si>
  <si>
    <t>4500021946 | 2218/SPP/SBU/ICON+/2023</t>
  </si>
  <si>
    <t>5372/SPP/SBU/PLNICONPLUS/2024</t>
  </si>
  <si>
    <t>Toyota Astra Motor HO (existing) Jl. Yos Sudarso Sunter II Jakarta (existing), Indonesia</t>
  </si>
  <si>
    <t>4500021837 | 2103/SPP/SBU/ICON+/2023</t>
  </si>
  <si>
    <t>5641/SPP/SBU/PLNICONPLUS/2025</t>
  </si>
  <si>
    <t>Gedung Graha Irama Lt.9 Blok B dan C. Jl HR Rasuna Said Kav.10, Jakarta, 12950</t>
  </si>
  <si>
    <t>4500022503 | 2637/SPP/SBU/ICON+/2024</t>
  </si>
  <si>
    <t xml:space="preserve">5801/SPP/SBU/PLNICONPLUS/2025	</t>
  </si>
  <si>
    <t>4500024667</t>
  </si>
  <si>
    <t>4500022181 | 2444/SPP/SBU/ICON+/2024</t>
  </si>
  <si>
    <t>5405/SPP/SBU/PLNICONPLUS/2024</t>
  </si>
  <si>
    <t>Rumah Sakit Columbia Asia</t>
  </si>
  <si>
    <t>Rumah Sakit Columbia Asia BSD Serpong, Jl Letnan Sutopo No.7 Kavling Komplek 3A, Lengkong Wetan, Kec Serpong, Kota Tangerang Selatan, Banten, 15310</t>
  </si>
  <si>
    <t>A131303001058</t>
  </si>
  <si>
    <t>131303002118</t>
  </si>
  <si>
    <t>4962/SPP/SBU/PLNICONPLUS/2024</t>
  </si>
  <si>
    <t>4500024257</t>
  </si>
  <si>
    <t>Subduct Existing - PLTU Jawa 7, Jl. Raya Bojonegara, Desa Terate, Kec. Kramatwatu, Kab. Serang, Banten</t>
  </si>
  <si>
    <t>APL Tower Lt. 39 Unit T9 Podomoro City Jl. Letjen S. Parman Kav. 28 Kel. Tanjung Duren Selatan, Kec. Grogol Petamburan Jakarta</t>
  </si>
  <si>
    <t>5237/SPP/SBU/PLNICONPLUS/2024</t>
  </si>
  <si>
    <t>4500024272</t>
  </si>
  <si>
    <t>+62 823-6997-0039</t>
  </si>
  <si>
    <t>PT Pelayaran Nasional Indonesia</t>
  </si>
  <si>
    <t>Gedung SOHO Capital 35 a540, Jakarta Selatan 12940</t>
  </si>
  <si>
    <t>Kantor Pelni Pusat Jl. Gajah Mada No. 14, RT.6/RW.2, Petojo Utara, Kecamatan Gambir, Kota Jakarta Pusat, Daerah Khusus Ibukota Jakarta 10130</t>
  </si>
  <si>
    <t>A111303004118</t>
  </si>
  <si>
    <t>4650/SPP/SBU/PLNICONPLUS/2024</t>
  </si>
  <si>
    <t>4500023953</t>
  </si>
  <si>
    <t>0811-1920-870</t>
  </si>
  <si>
    <t>PT Nippon Konpo Indonesia</t>
  </si>
  <si>
    <t>(Delta Mas Branch) H5WH+GFH, Sukamukti, Kec. Bojongmangu, Kabupaten Bekasi, Jawa Barat</t>
  </si>
  <si>
    <t>A821303001338</t>
  </si>
  <si>
    <t>111303014333</t>
  </si>
  <si>
    <t>5456/SPP/SBU/PLNICONPLUS/2024</t>
  </si>
  <si>
    <t>4500024543</t>
  </si>
  <si>
    <t>PT Astra International Tbk L002 LSO Showcase #Tenant</t>
  </si>
  <si>
    <t>PT ASTRA INTERNATIONAL TBK GD AMDI A JL. GAYA MOTOR NO. 8 SUNTER II 14330 (BACKHAUL)</t>
  </si>
  <si>
    <t>L002, LSO - SHOWCASE, MENARA ASTRA 1ST FLOOR, JL. JEND. SUDIRMAN NO. KAV5-6, RT.10/RW.11, KARET TENGSIN, TANAH ABANG, JAKARTA PUSAT, DKI JAKARTA</t>
  </si>
  <si>
    <t>5938/SPP/SBU/PLNICONPLUS/2025</t>
  </si>
  <si>
    <t>4500024793</t>
  </si>
  <si>
    <t>PT Astra International Tbk L002 LSO Showcase #Cyber</t>
  </si>
  <si>
    <t>INDOMARET TOWER, RT.6/RW.2, KAMAL MUARA LT. 9, KEC. PENJARINGAN (INTERKONEKSI FIBERSTAR)</t>
  </si>
  <si>
    <t>5946/SPP/SBU/PLNICONPLUS/2025</t>
  </si>
  <si>
    <t>4500024727</t>
  </si>
  <si>
    <t>PT Aneka Petroindo Raya</t>
  </si>
  <si>
    <t>Jl. MH Thamrin PIK 2</t>
  </si>
  <si>
    <t>A111303004250</t>
  </si>
  <si>
    <t>111303014054</t>
  </si>
  <si>
    <t>5465/SPP/SBU/PLNICONPLUS/2025</t>
  </si>
  <si>
    <t>4500024488</t>
  </si>
  <si>
    <t>MM2001 Cibitung, Cibitung, Kota Bekasi, Jawa Barat, Indonesia</t>
  </si>
  <si>
    <t>6160/SPP/SBU/PLNICONPLUS/2025</t>
  </si>
  <si>
    <t>4500024811</t>
  </si>
  <si>
    <t>4500022618 | 3008/SPP/SBU/PLNICONPLUS/2024</t>
  </si>
  <si>
    <t>6019/SPP/SBU/PLNICONPLUS/2025</t>
  </si>
  <si>
    <t>4500022850 | 3533/SPP/SBU/PLNICONPLUS/2024</t>
  </si>
  <si>
    <t>5936/SPP/SBU/PLNICONPLUS/2025</t>
  </si>
  <si>
    <t>Jl TB Simatupang No Kav 99, Rt.1/Rw.1, Kebagusan, Ps Minggu, Kota Jakarta Selatan, DKI Jakarta, 12520</t>
  </si>
  <si>
    <t>R111205009268</t>
  </si>
  <si>
    <t>110120510487/140000008240632</t>
  </si>
  <si>
    <t>5382/SPP/SBU/PLNICONPLUS/2024</t>
  </si>
  <si>
    <t>4500024668</t>
  </si>
  <si>
    <t>Jl Kuningan Barat Raya No. 8</t>
  </si>
  <si>
    <t>111204000080
110120400006
01000351822</t>
  </si>
  <si>
    <t>5738/SPP/SBU/PLNICONPLUS/2024</t>
  </si>
  <si>
    <t>4500024576</t>
  </si>
  <si>
    <t>U111204000146
A821202001175
A111204000055
A111202004731</t>
  </si>
  <si>
    <t>5917/SPP/SBU/PLNICONPLUS/2024</t>
  </si>
  <si>
    <t>4500024663</t>
  </si>
  <si>
    <t>Graha Multimedia Nusantara</t>
  </si>
  <si>
    <t>GEDUNG TEKNIS KUNINGAN (EPICENTRUM MALL PTSP), JL. HR RASUNA SAID KAV C / 21, KUNINGAN, JAKARTA SELATAN, DKI JAKARTA, INDONESIA</t>
  </si>
  <si>
    <t>U111202009203</t>
  </si>
  <si>
    <t>3412/SPP/SBU/PLNICONPLUS/2024 | 4500022819</t>
  </si>
  <si>
    <t>6005/SPP/SBU/PLNICONPLUS/2025</t>
  </si>
  <si>
    <t>Upgrade PO 4500022819</t>
  </si>
  <si>
    <t>Jl. Raya Kby. Lama No.12, Grogol Utara, Kec. Kebayoran Lama, Kota Jakarta Selatan, Daerah Khusus Ibukota Jakarta 12210</t>
  </si>
  <si>
    <t>JL. RAYA SUMENGKO KM.30-31,WRINGINANOM, KABUPATEN GRESIK, JAWA TIMUR, INDONESIA</t>
  </si>
  <si>
    <t>JL. KEBAYORAN LAMA NO.12,KEBAYORAN, JAKARTA SELATAN, DKI JAKARTA, INDONESIA</t>
  </si>
  <si>
    <t>01000044269
01000044266</t>
  </si>
  <si>
    <t>2459/SPP/SBU/ICON+/2024 | 4500022171</t>
  </si>
  <si>
    <t>4500024566</t>
  </si>
  <si>
    <t>PT Galang Suar Teknologi</t>
  </si>
  <si>
    <t xml:space="preserve">DCI Cibitung, Jl. Halmahera No.1, danau Indah, Kecamatan Cikarang Barat, Bekasi, Jawa Barat, Indonesia, 17530 </t>
  </si>
  <si>
    <t>Jl. Gatot Subroto No.Kav 36 Kecamatan Kebayoran baru, Jakarta Selatan, DKI Jakarta, Indonesia</t>
  </si>
  <si>
    <t>PA/ACT/2212/2304</t>
  </si>
  <si>
    <t>2452/SPP/SBU/ICON+/2024 | 4500022159</t>
  </si>
  <si>
    <t>5535/SPP/SBU/PLNICONPLUS/2025</t>
  </si>
  <si>
    <t>4500024438</t>
  </si>
  <si>
    <t>PT. PRODIA WIDYAHUSADA (REDUDANSI DCI) MM2001 CIBITUNG, CIBITUNG, KOTA BEKASI, JAWA BARAT, INDONESIA (Link Backup)</t>
  </si>
  <si>
    <t>A111205004849</t>
  </si>
  <si>
    <t>5967/SPP/SBU/PLNICONPLUS/2025</t>
  </si>
  <si>
    <t>4500024719</t>
  </si>
  <si>
    <t xml:space="preserve">H2H DC Mandiri, Jl. Jend Gatot Subroto Kav 36 - 38, Jakarta Selatan (Lantai 4, JK2 RCK-3- 089-003) </t>
  </si>
  <si>
    <t>PA/ACT/1912/2626
PA/ACT/1912/2625</t>
  </si>
  <si>
    <t>5534/SPP/SBU/PLNICONPLUS/2025</t>
  </si>
  <si>
    <t>4500024437</t>
  </si>
  <si>
    <t>110120213838 / 01000202052
'110130307988 / 04000187683</t>
  </si>
  <si>
    <t>2661/SPP/SBU/ICON+/2024 | 4500022260</t>
  </si>
  <si>
    <t>5965/SPP/SBU/PLNICONPLUS/2025</t>
  </si>
  <si>
    <t>4500024720</t>
  </si>
  <si>
    <t>PT ABADI TAMBAH MULIA INTERNASIONAL, DCI CIBITUNG JL. HALMAHERA NO.1, DANAU INDAH, KEC. CIKARANG BARAT, KABUPATEN BEKASI, JAWA BARAT, INDONESIA, 17530</t>
  </si>
  <si>
    <t xml:space="preserve">APJII RACK A CAGE B JL. KUNINGAN BARAT RAYA NO. 8, KECAMATAN MAMPANG PRAPATAN, JAKARTA SELATAN, DKI JAKARTA, INDONESIA, 12710  </t>
  </si>
  <si>
    <t>110120214045 / 01000205991</t>
  </si>
  <si>
    <t>2736/SPP/SBU/ICON+/2024 | 4500022291</t>
  </si>
  <si>
    <t>5733/SPP/SBU/PLNICONPLUS/2025</t>
  </si>
  <si>
    <t>4500024666</t>
  </si>
  <si>
    <t>PT Bank Mayapada</t>
  </si>
  <si>
    <t>MAYAPADA TOWER LT.2 JL. JEND SUDIRMAN KAV.28 JAKARTA, INDONESIA ,-</t>
  </si>
  <si>
    <t>DCI EQUINIX (CIBITUNG), JL HALMAHERA BLOK F1 NO 1, DANAU INDAH, CIKARANG, KOTA BEKASI, JAWA BARAT, INDONESIA, 17530</t>
  </si>
  <si>
    <t xml:space="preserve">PA/RLK/1803/0020 </t>
  </si>
  <si>
    <t>2447/SPP/SBU/ICON+/2024 | 4500022158</t>
  </si>
  <si>
    <t>5997/SPP/SBU/PLNICONPLUS/2025</t>
  </si>
  <si>
    <t>4500024718</t>
  </si>
  <si>
    <t>Kantor Pusat Bawaslu RI JL. MH Thamrin No 14</t>
  </si>
  <si>
    <t>Menara Thamrin lantai 19 dan 24</t>
  </si>
  <si>
    <t>AL/2301/1053</t>
  </si>
  <si>
    <t xml:space="preserve">01000323064 </t>
  </si>
  <si>
    <t>Metronet QnQ dan Internet Dedicated</t>
  </si>
  <si>
    <t>5850/SPP/SBU/PLNICONPLUS/2025</t>
  </si>
  <si>
    <t>4500024660</t>
  </si>
  <si>
    <t xml:space="preserve">MENARA THAMRIN LANTAI 5, JL. MH THAMRIN KAV. 3, MENTENG, JAKARTA PUSAT, DKI JAKARTA, 10340             </t>
  </si>
  <si>
    <t>110130308104 / 04000202062
'110130308105 / 04000300766</t>
  </si>
  <si>
    <t>5871/SPP/SBU/PLNICONPLUS/2025</t>
  </si>
  <si>
    <t>4500024721</t>
  </si>
  <si>
    <t>KANTOR PUSAT BWS (BACKHAUL U/ PT. SARANA PACTINDO) - JL. DIPONEGORO NO.28, CITARUM, KEC. BANDUNG WETAN, KOTA BANDUNG, JAWA BARAT, INDONESIA, 40115</t>
  </si>
  <si>
    <t>PT. SARANA PACTINDO - JL. REMPOA RAYA NO.11, REMPOA, KEC. CIPUTAT TIMUR, KOTA TANGERANG SELATAN, BANTEN, INDONESIA, 15412</t>
  </si>
  <si>
    <t>5779/SPP/SBU/PLNICONPLUS/2025</t>
  </si>
  <si>
    <t>4500024662</t>
  </si>
  <si>
    <t>CYBER 1 LT. 3, NNI / TRUNK</t>
  </si>
  <si>
    <t>Jl. Jatitujuh, Jatitengah, Kec. Jatitujuh, Kabupaten Majalengka, Jawa Barat 45458, Majalengka, Indonesia</t>
  </si>
  <si>
    <t>A111202007568</t>
  </si>
  <si>
    <t>5539/SPP/SBU/PLNICONPLUS/2025</t>
  </si>
  <si>
    <t>4500024439</t>
  </si>
  <si>
    <t>CYBER 1 LT.3 DC SDI, RACK ATMI JL. KUNINGAN BARAT RAYA NO.9B RW.2, MAMPANG PRAPATAN, JAKARTA SELATAN, DKI JAKARTA, INDONESIA</t>
  </si>
  <si>
    <t>6205/SPP/SBU/PLNICONPLUS/2025</t>
  </si>
  <si>
    <t>4500024848</t>
  </si>
  <si>
    <t>PT. FIBER NETWORKS INDONESIA
PT. FIBER NETWORKS INDONESIA
PT. CYBERINDO ADITAMA
PT. CENTRIN ONLINE PRIMA
PT. TUJUH DELAPAN SEMBILAN NET</t>
  </si>
  <si>
    <t>Cyber Building APJII Lt.1 Jl.Kuningan Barat No.8 Jakarta,- ,- ,- ,Indonesia ,-  </t>
  </si>
  <si>
    <t>AL/2106/40048
AL/2106/40048
AL/2011/66992
AL/2201/11305
PA/RLK/2204/0075</t>
  </si>
  <si>
    <t>0990000320504846
'01000077695
'0990000320333483
'01000011354
'01000205149</t>
  </si>
  <si>
    <t>5646/SPP/SBU/PLNICONPLUS/2025</t>
  </si>
  <si>
    <t>4500024518</t>
  </si>
  <si>
    <t>PT Cyberindo Aditama
PT Cyberindo Aditama
PT Bangun Andalan Perkasa
PT Inti Dunia Sukses
PT Kaldu Sari Nabati
PT Klik Indomaret Sukses
PT Klik Indomaret Sukses
PT Adaro Indonesia</t>
  </si>
  <si>
    <t>Cyber2 Tower, Kuningan, East Kuningan, Setiabudi, South Jakarta City, Jakarta,  Kuningan,  Jakarta Selatan,  DKI Jakarta,  Indonesia</t>
  </si>
  <si>
    <t>PA/ACT/2211/3272/TER
'ICON-00/ACT/1710/0264
'AL/2112/157131
'AL/1910/50209
'PA/ACT/1806/1081
'AL/2002/6689
'PA/ACT/2108/2056
'A311202000008</t>
  </si>
  <si>
    <t>2589/SPP/SBU/ICON+/2024 | 4500022248</t>
  </si>
  <si>
    <t>5543/SPP/SBU/PLNICONPLUS/2025</t>
  </si>
  <si>
    <t>4500024467</t>
  </si>
  <si>
    <t>Jl. Margonda No.56, Depok, Kec. Pancoran Mas, Kota Depok, Jawa Barat 16431</t>
  </si>
  <si>
    <t>KCP Depok, Jl. Margonda Raya No.56 - 16431</t>
  </si>
  <si>
    <t>5872/SPP/SBU/PLNICONPLUS/2025</t>
  </si>
  <si>
    <t>4500024664</t>
  </si>
  <si>
    <t>ITC Fatmawati Jl. RS. Fatmawati Raya No.39, RT.1/RW.5, Cipete Utara, Kec. Kby. Baru, Kota Jakarta Selatan, Daerah Khusus Ibukota Jakarta 12150</t>
  </si>
  <si>
    <t>Menara Bank Mega, Tendean, Jakarta</t>
  </si>
  <si>
    <t>069 KCP Duta Mas, Komp. Pertokoan Duta Mas Fatmawati Blok B1 No. 6, Jl. RS. Fatmawati No. 39, Cilandak, Jakarta Selatan, DKI Jakarta, Indonesia, 12430</t>
  </si>
  <si>
    <t>5873/SPP/SBU/PLNICONPLUS/2025</t>
  </si>
  <si>
    <t>4500024659</t>
  </si>
  <si>
    <t>JL. ABDUL MUIS NO. 50 GAMBIR, -, JAKARTA PUSAT, DKI JAKARTA, INDONESIA,</t>
  </si>
  <si>
    <t>130130300990 / 04000137233</t>
  </si>
  <si>
    <t>2449/SPP/SBU/ICON+/2024 | 4500022205</t>
  </si>
  <si>
    <t>5550/SPP/SBU/PLNICONPLUS/2025</t>
  </si>
  <si>
    <t>4500024442</t>
  </si>
  <si>
    <t>PT Nugraha Indah Citarasa Indonesia</t>
  </si>
  <si>
    <t>Ariobimo Sentral, L9, Setia Budi, Indonesia, Jl. H. R. Rasuna Said No.5, RT.9/RW.4, Kuningan Tim., Kecamatan Setiabudi, Kota Jakarta Selatan, Daerah Khusus Ibukota Jakarta 12950</t>
  </si>
  <si>
    <t>Sudirman Plaza, Indofood Tower Lt.27 Jl.Jend Sudirman Kav.76-78 Jakarta 12910, -, Jakarta Selatan, DKI Jakarta, Indonesia</t>
  </si>
  <si>
    <t>PT Nugraha Indah Citarasa Indonesia, Gedung Ariobimo Sentral Lt.5 Jl. HR Rasuna Said Blok X2 Kav 5, -, Jakarta Selatan, DKI Jakarta, Indonesia, 12950</t>
  </si>
  <si>
    <t>2455/SPP/SBU/ICON+/2024 | 4500022264</t>
  </si>
  <si>
    <t>5736/SPP/SBU/PLNICONPLUS/2025</t>
  </si>
  <si>
    <t>4500024574</t>
  </si>
  <si>
    <t>Maspion</t>
  </si>
  <si>
    <t>Jl. Perusahaan No.99, Komplek Industri Randuagung Singosari, Malang 65153, -, -, -, Indonesia</t>
  </si>
  <si>
    <t>MASPION PLAZA 6TH FLOOR,UNIT A. JL.GUNUNG SAHARI KAV.18 JAKARTA UTARA 14420, -, -, -, INDONESIA, -</t>
  </si>
  <si>
    <t>140120500574 / 0990000320387456</t>
  </si>
  <si>
    <t>1.5 Mbps</t>
  </si>
  <si>
    <t>5644/SPP/SBU/PLNICONPLUS/2025</t>
  </si>
  <si>
    <t>4500024533</t>
  </si>
  <si>
    <t>PT Japfaa Comfeed Indonesia</t>
  </si>
  <si>
    <t xml:space="preserve">(Backup Backhaul) Wisma Millenia Lt.4, Jl. MT Haryono Kav. 16, Pancoran, Jakarta Selatan, DKI </t>
  </si>
  <si>
    <t xml:space="preserve">PA/ACT/1912/3172 </t>
  </si>
  <si>
    <t>110120520965 / 01000094123</t>
  </si>
  <si>
    <t>2586/SPP/SBU/ICON+/2024 | 4500022250</t>
  </si>
  <si>
    <t>5734/SPP/SBU/PLNICONPLUS/2025</t>
  </si>
  <si>
    <t>4500024573</t>
  </si>
  <si>
    <t>Jaya Land</t>
  </si>
  <si>
    <t>048 KCP Gedung Jaya Thamrin, Gedung Jaya Jl. MH. Thamrin No. 12, RT.2/RW.1, Kb. Sirih, Menteng, Jakarta Pusat, DKI Jakarta, Indonesia, 10340</t>
  </si>
  <si>
    <t>110120200683</t>
  </si>
  <si>
    <t>6247/SPP/SBU/PLNICONPLUS/2025</t>
  </si>
  <si>
    <t>4500024844</t>
  </si>
  <si>
    <t>3940/SPP/SBU/PLNICONPLUS/2024 | 4500023125</t>
  </si>
  <si>
    <t>5888/SPP/SBU/PLNICONPLUS/2025</t>
  </si>
  <si>
    <t>4500024647</t>
  </si>
  <si>
    <t>6017/SPP/SBU/PLNICONPLUS/2025</t>
  </si>
  <si>
    <t>4500024744</t>
  </si>
  <si>
    <t>Building WTC 3 Floor 18, Jl. Jend. Sudirman kav 29-31 RT.4/RW.2, Kuningan, Karet,Setiabudi ,Jakarta Selatan ,DKI Jakarta ,Indonesia ,12920</t>
  </si>
  <si>
    <t>5438/SPP/SBU/PLNICONPLUS/2024</t>
  </si>
  <si>
    <t>4500024409</t>
  </si>
  <si>
    <t>Karya Nastari Prapta</t>
  </si>
  <si>
    <t>(AMBASADOR-JAKARTA) ITC KUNINGAN AMBASADOR BLOK 9-C LT 5 JL PROF DR SATRIO MALL AMBASADOR LT 5 BLOK 9 C RT 011 RW 004 CASABLANCA</t>
  </si>
  <si>
    <t>A821303000669</t>
  </si>
  <si>
    <t>5998/SPP/SBU/PLNICONPLUS/2025</t>
  </si>
  <si>
    <t>4500024765</t>
  </si>
  <si>
    <t>PT Tele Net
PT Future Pipe Industries
PT Iforte Solusi Infotek
PT Iforte Solusi Infotek
PT Aplikanusa Lintasarta
PT Aplikanusa Lintasarta</t>
  </si>
  <si>
    <t>Talavera Office Park, Jl. Let. Jen Jl. TB Simatupang No.Kav. 22 - 26, Cilandak Bar., Kec. Cilandak, Kota Jakarta Selatan, Daerah Khusus Ibukota Jakarta 12430</t>
  </si>
  <si>
    <t xml:space="preserve">TALAVERA OFFICE PARK LANTAI 8, JL. TB SIMATUPANG NO.23, RT.3/RW.1, CILANDAK BAR., KEC. CILANDAK, KOTA JAKARTA SELATAN, DAERAH KHUSUS IBUKOTA JAKARTA 12430   </t>
  </si>
  <si>
    <t>111303011309
A821303000510
'111202020476
'111202020477
110130307931
'110130307930</t>
  </si>
  <si>
    <t>21103/SPP/008/PUSAT/ICON+/2023 | 4500020015</t>
  </si>
  <si>
    <t>5968/SPP/SBU/PLNICONPLUS/2025</t>
  </si>
  <si>
    <t>4500024722</t>
  </si>
  <si>
    <t>(Drc - Secondary) Gedung Smart Lt.3, Jl. Pahlawan Seribu Cbd-Bsd Lot 12a, Bsd City Tangerang, Indonesia</t>
  </si>
  <si>
    <t>111303012164</t>
  </si>
  <si>
    <t>3002/SPP/SBU/PLNICONPLUS/2024 | 4500022522</t>
  </si>
  <si>
    <t>5589/SPP/SBU/PLNICONPLUS/2025</t>
  </si>
  <si>
    <t>4500024767</t>
  </si>
  <si>
    <t>MARUNDA JETTY, JL. MARUNDA 1 NO.5, RT.1/RW.7, CILINCING, KEC. CILINCING, JKT UTARA, DAERAH KHUSUS IBUKOTA JAKARTA</t>
  </si>
  <si>
    <t>4395/SPP/SBU/PLNICONPLUS/2024 | 4500023596</t>
  </si>
  <si>
    <t>5541/SPP/SBU/PLNICONPLUS/2025</t>
  </si>
  <si>
    <t>4500024440</t>
  </si>
  <si>
    <t>all pelanggan</t>
  </si>
  <si>
    <t>kapasitas besar</t>
  </si>
  <si>
    <t>5436/SPP/SBU/PLNICONPLUS/2025</t>
  </si>
  <si>
    <t>4500024829</t>
  </si>
  <si>
    <t>PT Cyberindo Aditama qq Universitas Pelita Bangsa</t>
  </si>
  <si>
    <t>1438/SPP/SBU/ICON+/2023 | 4500024116</t>
  </si>
  <si>
    <t>5545/SPP/SBU/PLNICONPLUS/2025</t>
  </si>
  <si>
    <t>4500024441</t>
  </si>
  <si>
    <t>JL. HARSONO RM NO.26, RT.6/RW.7, RAGUNAN, PS. MINGGU, KOTA JAKARTA SELATAN, DAERAH KHUSUS IBUKOTA JAKARTA 12550</t>
  </si>
  <si>
    <t>H2H BRI - BPJS KESEHATAN JL.BIZNET TECHNOVILLAGE NO.1 BOJONGNANGKA KEC. GN. PUTRI KAB. BOGOR JAWA BARAT</t>
  </si>
  <si>
    <t>5780/SPP/SBU/PLNICONPLUS/2025</t>
  </si>
  <si>
    <t>4500024742</t>
  </si>
  <si>
    <t>BTN Data Center Sentul</t>
  </si>
  <si>
    <t>01000101781 
'01000181192</t>
  </si>
  <si>
    <t>579/SPP/SBU/ICON+/2023 | 4500020824</t>
  </si>
  <si>
    <t>5814/SPP/SBU/PLNICONPLUS/2025</t>
  </si>
  <si>
    <t>4500024577</t>
  </si>
  <si>
    <t>1915/SPP/SBU/ICON+/2023 | 4500021661</t>
  </si>
  <si>
    <t>Moimstone Dasan Indonesia</t>
  </si>
  <si>
    <t>Tifa Arum Realty, 2nd Floor, Suite 20812710, RT.6/RW.1, West Kuningan, Mampang Prapatan, South Jakarta City, Jakarta 12710</t>
  </si>
  <si>
    <t xml:space="preserve">JL. MEDAN MERDEKA SEL. NO.14, RT.11/RW.2, GAMBIR, KECAMATAN GAMBIR, KOTA JAKARTA PUSAT, DAERAH KHUSUS IBUKOTA JAKARTA 10110              </t>
  </si>
  <si>
    <t>A111202009871</t>
  </si>
  <si>
    <t>6173/SPP/SBU/PLNICONPLUS/2025</t>
  </si>
  <si>
    <t>4500024826</t>
  </si>
  <si>
    <t>syifa fauziyah</t>
  </si>
  <si>
    <t>MM2001 CIBITUNG, CIBITUNG, KOTA BEKASI, JAWA BARAT, INDONESIA</t>
  </si>
  <si>
    <t>PA/UPG/2112/0123</t>
  </si>
  <si>
    <t xml:space="preserve">6118/SPP/SBU/PLNICONPLUS/2025
</t>
  </si>
  <si>
    <t>4500024898</t>
  </si>
  <si>
    <t>DATA CENTER LINTASARTA - JL. CIUNGWANARA NO.6, LB. SILIWANGI, KECAMATAN COBLONG, KOTA BANDUNG, JAWA BARAT, INDONESIA, 40132</t>
  </si>
  <si>
    <t>PT DCI INDONESIA CIBITUNG - JL. HALMAHERA NO.1, DANAU INDAH, KEC. CIKARANG BARAT, KABUPATEN BEKASI, JAWA BARAT, INDONESIA, 17530</t>
  </si>
  <si>
    <t>PA/RLK/2302/0092</t>
  </si>
  <si>
    <t>6119/SPP/SBU/PLNICONPLUS/2025</t>
  </si>
  <si>
    <t>4500024900</t>
  </si>
  <si>
    <t>PSN MEGA KUNINGAN 5TH FLOOR GED. KANTOR TAMAN A9 UNIT C3 &amp; C4 JL. MEGA KUNINGAN RAYA</t>
  </si>
  <si>
    <t>DCI CIBITUNG GEDUNG JK 1, JL. HALMAHERA BLOK F1 NO.1, DANAU INDAH, KEC. CIKARANG BAR., BEKASI, JAWA BARAT</t>
  </si>
  <si>
    <t>6192/SPP/SBU/PLNICONPLUS/2025</t>
  </si>
  <si>
    <t>4500024899</t>
  </si>
  <si>
    <t>SUNLIFE DATA CENTER E1 ARIOBIMO. HR RASUNA SAID KAV X-2)</t>
  </si>
  <si>
    <t>6393/SPP/SBU/PLNICONPLUS/2025</t>
  </si>
  <si>
    <t>4500024954</t>
  </si>
  <si>
    <t>PT Royal Sutan Agung</t>
  </si>
  <si>
    <t>JL. RAWA GELAM IV KIP JATINEGARA, CAKUNG, JAKARTA TIMUR,- ,- ,- ,INDONESIA ,-</t>
  </si>
  <si>
    <t>110130306503 / 0990000320523939</t>
  </si>
  <si>
    <t>2469/SPP/SBU/ICON+/2024 | 450002251</t>
  </si>
  <si>
    <t>6338/SPP/SBU/PLNICONPLUS/2025</t>
  </si>
  <si>
    <t>4500024906</t>
  </si>
  <si>
    <t>Jl. Rawagirang no 2 kawasan industri pulogadung zip 13930, CAKUNG, Jakarta Timur, DKI Jakarta, Indonesia, 13930</t>
  </si>
  <si>
    <t>3862/SPP/SBU/PLNICONPLUS/2024 | 4500023103</t>
  </si>
  <si>
    <t>6339/SPP/SBU/PLNICONPLUS/2025</t>
  </si>
  <si>
    <t>4500024907</t>
  </si>
  <si>
    <t xml:space="preserve">Kawasan Industri Pulogadung, Jl. Pulogadung No. 22, RW. 9, Jatinegara, Kec. Pulogadung, Kota Jakarta Timur, DKI Jakarta 13920 </t>
  </si>
  <si>
    <t xml:space="preserve">A111303002393 </t>
  </si>
  <si>
    <t>2757/SPP/SBU/ICON+/2024 | 4500022376</t>
  </si>
  <si>
    <t>6340/SPP/SBU/PLNICONPLUS/2025</t>
  </si>
  <si>
    <t>4500024908</t>
  </si>
  <si>
    <t xml:space="preserve">DRC REMPOA KOMPLEKS BANK MANDIRI GRIYA REMPOA, JL. CIPUTAT RAYA REMPOA TANGERANG SELATAN 15412,- ,- ,- ,INDONESIA ,- </t>
  </si>
  <si>
    <t xml:space="preserve">KWS INDUSTRI PULOGADUNG, JL. PULO BUARAN NO. 2 PULOGADUNG JAKARTA TIMUR, INDONESIA ,- </t>
  </si>
  <si>
    <t>6427/SPP/SBU/PLNICONPLUS/2025</t>
  </si>
  <si>
    <t>4500024978</t>
  </si>
  <si>
    <t>H2H BUS SUROBOYO GEDUNG DATA CENTER INDONET, JL. REMPOA RAYA NO.11, REMPOA,CIPUTAT TIMUR, KOTA TANGERANG SELATAN, BANTEN, INDONESIA</t>
  </si>
  <si>
    <t xml:space="preserve">110120522524 / 01000349193 </t>
  </si>
  <si>
    <t>2465/SPP/SBU/ICON+/2024 | 4500022252</t>
  </si>
  <si>
    <t>6231/SPP/SBU/PLNICONPLUS/2025</t>
  </si>
  <si>
    <t>4500024903</t>
  </si>
  <si>
    <t>PT Akses Cipta Solusi</t>
  </si>
  <si>
    <t>PA/ACT/2302/8913/TER</t>
  </si>
  <si>
    <t>2461/SPP/SBU/ICON+/2024 | 4500022253</t>
  </si>
  <si>
    <t xml:space="preserve">6121/SPP/SBU/PLNICONPLUS/2025
</t>
  </si>
  <si>
    <t>4500024901</t>
  </si>
  <si>
    <t>Plaza Bank Sinarmas Lt.6</t>
  </si>
  <si>
    <t>RUKO CEMPAKA MAS BLOK E NO. 5-6, JALAN LETJEN SUPRAPTO, SUMUR BATU, KEMAYORAN, JAKARTA PUSAT, DKI JAKARTA, INDONESIA, 10640</t>
  </si>
  <si>
    <t>5999/SPP/SBU/PLNICONPLUS/2025</t>
  </si>
  <si>
    <t>4500024892</t>
  </si>
  <si>
    <t>PCDC Propco One</t>
  </si>
  <si>
    <t>3372/SPP/SBU/PLNICONPLUS/2024 | 4500022736</t>
  </si>
  <si>
    <t>5587/SPP/SBU/PLNICONPLUS/2025</t>
  </si>
  <si>
    <t>4500024923</t>
  </si>
  <si>
    <t>PA/ACT/2302/11309 
PA/ACT/2302/11310
PA/ACT/2301/4194    
PA/UPG/2303/1034</t>
  </si>
  <si>
    <t xml:space="preserve">01000352589
01000351822
01000336881 
- 01000342081     </t>
  </si>
  <si>
    <t>6337/SPP/SBU/PLNICONPLUS/2025</t>
  </si>
  <si>
    <t>4500024955</t>
  </si>
  <si>
    <t>BACKHAUL - GEDUNG DC BALI TOWER JI. BATU CEPER NO- 53 RT.15/RW.1 KB. KLP, KECAMATAN GAMBIR, JAKARTA PUSAT, DKI JAKARTA, INDONESIA, 10120</t>
  </si>
  <si>
    <t>JAKARTA PUSAT, DKI JAKARTA, INDONESIA</t>
  </si>
  <si>
    <t>AL/2104/27068</t>
  </si>
  <si>
    <t>2456/SPP/SBU/ICON+/2024 | 4500022200</t>
  </si>
  <si>
    <t>6355/SPP/SBU/PLNICONPLUS/2025</t>
  </si>
  <si>
    <t>4500024926</t>
  </si>
  <si>
    <t>0812-1215-3015</t>
  </si>
  <si>
    <t>PSDC - GEDUNG GRHA PERTAMINA, TOWER FASTRON (GRHA), JALAN MEDAN MERDEKA TIMUR NO. 11-12, JAKARTA PUSAT</t>
  </si>
  <si>
    <t>PHE - GEDUNG PHE TOWER, JL. LETJEN. TB SIMATUPANG KAV. 99, JAKARTA SELATAN – 12520</t>
  </si>
  <si>
    <t>Metro QnQ</t>
  </si>
  <si>
    <t>3075/SPP/SBU/PLNICONPLUS/2024 | 4500022613</t>
  </si>
  <si>
    <t>6480/SPP/SBU/PLNICONPLUS/2025</t>
  </si>
  <si>
    <t>4500024981</t>
  </si>
  <si>
    <t>GEDUNG ELITERY LT 4 RACK SYB JL. RAYA PADJAJARAN, BOGOR, KOTA BOGOR, JAWA BARAT, INDONESIA, 16143</t>
  </si>
  <si>
    <t>110120508326 / 01000193597</t>
  </si>
  <si>
    <t>2563/SPP/SBU/ICON+/2024 | 4500022243</t>
  </si>
  <si>
    <t>6428/SPP/SBU/PLNICONPLUS/2025</t>
  </si>
  <si>
    <t>4500024979</t>
  </si>
  <si>
    <t xml:space="preserve">WISMA BAJA JL. JEND GATOT SUBROTO KAV 54 KUNINGAN TIMUR SETIABUDI JAKARTA SELATAN DKI JAKARTA, RT.1/RW.4, KUNINGAN TIM., KECAMATAN SETIABUDI, KOTA JAKARTA </t>
  </si>
  <si>
    <t>U111303002938</t>
  </si>
  <si>
    <t>110161000161 / 04000336456
'110161000160 / 04000336455
'110161000186 / 04000336459
'110161000185 / 04000336457</t>
  </si>
  <si>
    <t>4613/SPP/SBU/PLNICONPLUS/2024 | 4500023876</t>
  </si>
  <si>
    <t>6478/SPP/SBU/PLNICONPLUS/2025</t>
  </si>
  <si>
    <t>4500024980</t>
  </si>
  <si>
    <t>PT Geosys Infradata</t>
  </si>
  <si>
    <t>JL. ADITYAWARMAN NO. 55 LT. 6, RT. 003 RW. 002 KEBAYORAN BARU JAKARTA SELATAN 12160</t>
  </si>
  <si>
    <t xml:space="preserve">A111303005409 </t>
  </si>
  <si>
    <t>5870/SPP/SBU/PLNICONPLUS/2025</t>
  </si>
  <si>
    <t>4500024922</t>
  </si>
  <si>
    <t>Pelabuhan Indonesia (Pelindo) II</t>
  </si>
  <si>
    <t>PT Taruna Bina Sarana
PT Aneka Kimia</t>
  </si>
  <si>
    <t>PT AKR CORPORINDO TBK XXJ3+239KEPUH, CIWANDAN, CILEGON, BANTEN 42446</t>
  </si>
  <si>
    <t>A111401003056</t>
  </si>
  <si>
    <t>110120205864 / 060000105260001</t>
  </si>
  <si>
    <t>Nusantara Data Center (Moratelindo) Mayapada Hospital Jl. Jatinegara Barat No. 44, RT. 1 / RW. 5, Bidara Cina, Jatinegara, Jakarta Timur, DKI Jakarta, Indonesia, 13320</t>
  </si>
  <si>
    <t xml:space="preserve">110120519250  /   01000029442 </t>
  </si>
  <si>
    <t>5197/SPP/SBU/PLNICONPLUS/2024</t>
  </si>
  <si>
    <t>4500024374</t>
  </si>
  <si>
    <t>CYBER 2. JL. H. R. RASUNA SAID N0.13, RT.7/RW.2, KUNINGAN, KUNINGAN TIMUR, KECAMATAN SETIABUDl, JAKARTA SELATAN, DKI JAKARTA. INDONESIA</t>
  </si>
  <si>
    <t xml:space="preserve">130130301612 / 04000298541 </t>
  </si>
  <si>
    <t>5221/SPP/SBU/PLNICONPLUS/2025</t>
  </si>
  <si>
    <t>4500024548</t>
  </si>
  <si>
    <t>PT Transportasi Gas</t>
  </si>
  <si>
    <t>Tanah Abang, Jakarta Pusat, DKI Jakarta</t>
  </si>
  <si>
    <t>5220/SPP/SBU/PLNICONPLUS/2025</t>
  </si>
  <si>
    <t>4500024521</t>
  </si>
  <si>
    <t>PT Indomarco Data Center
PT Sarana Prima Telematika</t>
  </si>
  <si>
    <t>Gedung Tifa Arum Kuningan Barat</t>
  </si>
  <si>
    <t>Kantor Pusat Direktorat Jendral Pajak Gedung B Lantai 2 Jalan Gatot Subroto No. 40-42</t>
  </si>
  <si>
    <t>PA/ACT/2002/2154</t>
  </si>
  <si>
    <t>110120211331 / 01000175662</t>
  </si>
  <si>
    <t>5523/SPP/SBU/PLNICONPLUS/2025</t>
  </si>
  <si>
    <t>4500024445</t>
  </si>
  <si>
    <t>PT Nippo Konpo</t>
  </si>
  <si>
    <t>DELTA MAS BRANCH. H5WH+OFH, SUKAMUKTI. KEC.BOJONGMANGU, KABUPATEN BEKASI, JAWA BARAT</t>
  </si>
  <si>
    <t>5464/SPP/SBU/PLNICONPLUS/2024</t>
  </si>
  <si>
    <t>4500024559</t>
  </si>
  <si>
    <t>PT Indomarco Adi Prima</t>
  </si>
  <si>
    <t>lndomaret Tower. RT 6/RW. 2. Kamal Muara, Penjaringan (lnterkoneksl Flberstar),  Jakarta Utara, DKI Jakarta, lndonesia, 14470</t>
  </si>
  <si>
    <t>5196/SPP/SBU/PLNICONPLUS/2024</t>
  </si>
  <si>
    <t>4500024452</t>
  </si>
  <si>
    <t>KSO Halim</t>
  </si>
  <si>
    <t>Bandara Halim Perdanakusuma, Jakarta Timur</t>
  </si>
  <si>
    <t>A111303003202</t>
  </si>
  <si>
    <t>4914/SPP/SBU/PLNICONPLUS/2025</t>
  </si>
  <si>
    <t>4500024726</t>
  </si>
  <si>
    <t>PT Aplikanusa Lintasarta qq Artajasa</t>
  </si>
  <si>
    <t xml:space="preserve">LA TB Simatupang - Artajasa DCI MM2100 </t>
  </si>
  <si>
    <t>Metronet P2P</t>
  </si>
  <si>
    <t>5477/SPP/SBU/PLNICONPLUS/2025</t>
  </si>
  <si>
    <t>Cyber 1 lt 1</t>
  </si>
  <si>
    <t>Telkomsel TCC Buaran</t>
  </si>
  <si>
    <t>A821202001436</t>
  </si>
  <si>
    <t>90 Mbps</t>
  </si>
  <si>
    <t>5876/SPP/SBU/PLNICONPLUS/2025</t>
  </si>
  <si>
    <t>4500024820</t>
  </si>
  <si>
    <t>Jl. Selayar Blok A-6 Kawasan MM2100</t>
  </si>
  <si>
    <t>mm2100</t>
  </si>
  <si>
    <t>A111205012033</t>
  </si>
  <si>
    <t>111205031599</t>
  </si>
  <si>
    <t>BARU</t>
  </si>
  <si>
    <t>5877/SPP/SBU/PLNICONPLUS/2025</t>
  </si>
  <si>
    <t>4500024639</t>
  </si>
  <si>
    <t>PT Musi Ame Mahakam</t>
  </si>
  <si>
    <t>Kawasan industri jababeka II</t>
  </si>
  <si>
    <t>A111303006677</t>
  </si>
  <si>
    <t>111303015049</t>
  </si>
  <si>
    <t>6622/SPP/SBU/PLNICONPLUS/2025</t>
  </si>
  <si>
    <t>4500025166</t>
  </si>
  <si>
    <t>6568/SPP/SBU/PLNICONPLUS/2025</t>
  </si>
  <si>
    <t>4500025164</t>
  </si>
  <si>
    <t>0821-1337-6810</t>
  </si>
  <si>
    <t>Gd. Bank Panin Center senayan</t>
  </si>
  <si>
    <t>H2H DC Lintas Arta DC komplek pergudangan taman techno serpong</t>
  </si>
  <si>
    <t>A111205011818</t>
  </si>
  <si>
    <t>5637/SPP/SBU/PLNICONPLUS/2025</t>
  </si>
  <si>
    <t>4500024516</t>
  </si>
  <si>
    <t>Jl. M.H. Thamrin</t>
  </si>
  <si>
    <t>Perhimpunan Penghuni Perkantoran Kantor Taman A9</t>
  </si>
  <si>
    <t>Mega Kuningan</t>
  </si>
  <si>
    <t>syifa Fauziyah</t>
  </si>
  <si>
    <t>Kawasan Mega Kuningan</t>
  </si>
  <si>
    <t>PT Cashlez Worldwide Indonesia tbk</t>
  </si>
  <si>
    <t>LINTAS ARTA TAMAN TEKNO BSD KOMPLEK PERGUDANGAN TAMAN TEKNO BLOK D NO. 8, BSD, SETU, KEC. SETU. KOTA TANGERANG SELATAN, BANTEN 15314 DATA HALL 2B, RACK AS 23.</t>
  </si>
  <si>
    <t>PT BNI GEDUNG BNI, JL. S. PARMAN KAV F1-8 SLIPI JAKARTA BARAT (LOKASI SETELAH SLIPI JAYA DEKAT KIMIA FARMA DAN BRI), -, JAKARTA BARAT, DKI JAKARTA (DRC BNI SLIPI)</t>
  </si>
  <si>
    <t xml:space="preserve"> A821202001602</t>
  </si>
  <si>
    <t xml:space="preserve">METRONET </t>
  </si>
  <si>
    <t>6782/SPP/SBU/PLNICONPLUS/2025</t>
  </si>
  <si>
    <t>4500025319</t>
  </si>
  <si>
    <t>PT Inti Karya Persada qq PT Cikarang Listrindo</t>
  </si>
  <si>
    <t>PT CIKARANG LISTRINDO' MM2100 PLANT (PROJECT CILIS) DANAU INDAH, CIKARANG BARAT, BEKASI REGENCY, WEST JAVA 17530  </t>
  </si>
  <si>
    <t xml:space="preserve">A111303004406 </t>
  </si>
  <si>
    <t>INTERNET CORPORATE</t>
  </si>
  <si>
    <t>5434/SPP/SBU/PLNICONPLUS/2024</t>
  </si>
  <si>
    <t>4500024400</t>
  </si>
  <si>
    <t>PSN MEGA KUNINGAN ,5TH FLOOR GED. KANTOR TAMAN A9 UNIT C3 &amp; C4JL. MEGA KUNINGAN RAYA</t>
  </si>
  <si>
    <t>INDONET REMPOA JL. REMPOA RAYA NO.11, REMPOA, KEC. CIPUTAT TIM., KOTA TANGERANG SELATAN</t>
  </si>
  <si>
    <t>6191/SPP/SBU/PLNICONPLUS/2025</t>
  </si>
  <si>
    <t>4500024902</t>
  </si>
  <si>
    <t>(DCI) MM2100 CIBITUNG, CIBITUNG, KOTA BEKASI, JAWA BARAT, INDONESIA</t>
  </si>
  <si>
    <t>RUMAH INDONET JL. REMPOA RAYA NO. 11 CIPUTAT – TANGERANG SELATAN BANTEN,  KANTOR PUSAT JAKARTA (DRC),  KOTA TANGERANG,  BANTEN,  INDONESIA,  15412</t>
  </si>
  <si>
    <t>3094/SPP/SBU/PLNICONPLUS/2024 | 4500022686</t>
  </si>
  <si>
    <t>6475/SPP/SBU/PLNICONPLUS/2025</t>
  </si>
  <si>
    <t>4500024993</t>
  </si>
  <si>
    <t>PT Agincourt Resources Indonesia</t>
  </si>
  <si>
    <t>12TH FLOOR SUITE 1201, JL.SUTAN ISKANDAR MUDA KAV.V-TA, PONDOK INDAH, WISMA PONDOK INDAH II, JAKARTA SELATAN, DKI JAKARTA, INDONESIA</t>
  </si>
  <si>
    <t>PT.DATA CENTER INFRASTRUKTUR INDONESIA (DCI) KAWASAN INDUSTRI MM2100 CIBITUNG, JL.IRIAN, CIKARANG, JAWA BARAT, INDIONESIA</t>
  </si>
  <si>
    <t>6530/SPP/SBU/PLNICONPLUS/2025</t>
  </si>
  <si>
    <t>4500025087</t>
  </si>
  <si>
    <t>PT DCI Indonesia, Gedung JK2, Jl. Irian I Blok GG 5-1, Kawasan MM 2100, Cibitung (Jatelindo di DCI Cibitung ID Rack: jk1- rck-1b-009- 002), Cikarang, Kabupaten Bekasi, Jawa Barat, Indonesia</t>
  </si>
  <si>
    <t>3206/SPP/SBU/PLNICONPLUS/2024 | 4500022998</t>
  </si>
  <si>
    <t>6563/SPP/SBU/PLNICONPLUS/2025</t>
  </si>
  <si>
    <t>4500025088</t>
  </si>
  <si>
    <t>BWS DCI BDG - JL. DIPONEGORO NO.28, CITARUM, KEC. BANDUNG WETAN, KOTA BANDUNG, JAWA BARAT 40115</t>
  </si>
  <si>
    <t>A111202009970
'A111303005629</t>
  </si>
  <si>
    <t>Metronet
Internet Corporate</t>
  </si>
  <si>
    <t>500 Mbps
300 Mbps</t>
  </si>
  <si>
    <t>6354/SPP/SBU/PLNICONPLUS/2025</t>
  </si>
  <si>
    <t>PT Bank Jambi</t>
  </si>
  <si>
    <t>DCI Jl. Halmahera No. 1 Blok F1, Danau Indah Kec. Cikarang Barat, Kabupaten Bekasi, Jawa Barat 17530</t>
  </si>
  <si>
    <t>Bank Jambi Kantor Pusat Jl. Jend Ahmad Yani No. 18, Telanaipura, Kec. Telanaipura, Kota Jambi, Jambi 36122</t>
  </si>
  <si>
    <t>A211205000271
'A211601001831</t>
  </si>
  <si>
    <t>3567/SPP/SBU/PLNICONPLUS/2024 | 4500022874</t>
  </si>
  <si>
    <t>6507/SPP/SBU/PLNICONPLUS/2025</t>
  </si>
  <si>
    <t>4500024991</t>
  </si>
  <si>
    <t>PT Softex Indonesia</t>
  </si>
  <si>
    <t>TREMBERSI TOWER. JL PAHLAWAN SERIBU LOT VIIA, CBD-BSD, SERPONG SUB-DISTRICT, SOUTH TANGERANG CITY, BANTEN 15311</t>
  </si>
  <si>
    <t>A111303005863</t>
  </si>
  <si>
    <t>111303014995</t>
  </si>
  <si>
    <t>6529/SPP/SBU/PLNICONPLUS/2025</t>
  </si>
  <si>
    <t>4500025086</t>
  </si>
  <si>
    <t xml:space="preserve">Bank Sinarmas </t>
  </si>
  <si>
    <t>110120207705</t>
  </si>
  <si>
    <t>2906/SPP/SBU/ICON+/2024 | 4500022414</t>
  </si>
  <si>
    <t>6639/SPP/SBU/PLNICONPLUS/2025</t>
  </si>
  <si>
    <t>TELKOMSEL TBS, JALAN TB SIMATUPANG, RT.3/RW.2, TANJUNG BARAT, JAGAKARSA, RT.3/RW.2, TJ. BARAT, JAGAKARSA, JAKARTA SELATAN, DKI JAKARTA, INDONESIA, 125</t>
  </si>
  <si>
    <t>CYBER 2 TOWER, JL. H. R. RASUNA SAID NO.13, RT.7/RW.2, KUNINGAN, KUNINGAN TIMUR, SETIABUDI, JAKARTA SELATAN, DKI JAKARTA, INDONESIA, 12950</t>
  </si>
  <si>
    <t>110120211701 / 01000169911</t>
  </si>
  <si>
    <t>6341/SPP/SBU/PLNICONPLUS/2025</t>
  </si>
  <si>
    <t>4500024909</t>
  </si>
  <si>
    <t>DATA CENTER NEX CBN Ruang ND-2 Cage N2C1- 01-01 Gedung Cyber 2 Jl. H.R. Rasuna Said No. 13 Blok. X-5 Kuningan Timur South Jakarta 12950, Indonesia</t>
  </si>
  <si>
    <t>4299/SPP/SBU/PLNICONPLUS/2024 | 4500023799</t>
  </si>
  <si>
    <t>6561/SPP/SBU/PLNICONPLUS/2025</t>
  </si>
  <si>
    <t>4500025089</t>
  </si>
  <si>
    <t xml:space="preserve">PT KIS, Nex Datacenter Cyber 2 Tower 2nd Floor, Jl. HR Rasuna Said X5 No.13, Cage (ND2-N2C1-05-01) rak pertama, Setiabudi, Jakarta Selatan, DKI Jakarta, Indonesia, </t>
  </si>
  <si>
    <t>4394/SPP/SBU/PLNICONPLUS/2024 | 4500023493</t>
  </si>
  <si>
    <t>6562/SPP/SBU/PLNICONPLUS/2025</t>
  </si>
  <si>
    <t>4500025090</t>
  </si>
  <si>
    <t>PT Nusa Satu Inti Artha</t>
  </si>
  <si>
    <t>NTT CYBER JL. KUNINGAN BARAT RAYA NO.8, RT.6/RW.3, KUNINGAN BAR., KEC. MAMPANG PRPT, JAKARTA SELATAN, DKI JAKARTA, INDONESIA, 12710</t>
  </si>
  <si>
    <t>DC ALFA CILEUNGSI KTR. CAB CILEUNGSI, DAYEUH, KEC. CILEUNGSI, KABUPATEN BOGOR, JAWA BARAT, INDONESIA, 16820</t>
  </si>
  <si>
    <t>PA/ACT/2208/2714</t>
  </si>
  <si>
    <t>19884/SPP/008/PUSAT/ICON+/2022 | 4500022360</t>
  </si>
  <si>
    <t>6693/SPP/SBU/PLNICONPLUS/2025</t>
  </si>
  <si>
    <t>4500025182</t>
  </si>
  <si>
    <t xml:space="preserve"> IDC DUREN TIGA OPEN IXP, JL. DUREN TIGA RAYA NO.7, RT.9/RW.5, DUREN TIGA, KEC. PANCORAN, JAKARTA SELATAN, DKI JAKARTA, INDONESIA, 12760</t>
  </si>
  <si>
    <t>20251/SPP/008/PUSAT/ICON+/2022 | 4500022356</t>
  </si>
  <si>
    <t>5920/SPP/SBU/PLNICONPLUS/2025</t>
  </si>
  <si>
    <t>4500024992</t>
  </si>
  <si>
    <t>Gedung Jaya Lt. 8 Jl. MH Thamrin No. 12 Jakarta Pusat 10340, Indonesia</t>
  </si>
  <si>
    <t>A821303000043</t>
  </si>
  <si>
    <t>6694/SPP/SBU/PLNICONPLUS/2025</t>
  </si>
  <si>
    <t>4500025187</t>
  </si>
  <si>
    <t>PT Ultrajaya Milk Industry and Trading Company</t>
  </si>
  <si>
    <t>PT ULTRA MM2100 GANDASARI, KEC. CIKARANG BAR., KABUPATEN BEKASI, JAWA BARAT 17530</t>
  </si>
  <si>
    <t>6697/SPP/SBU/PLNICONPLUS/2025</t>
  </si>
  <si>
    <t>4500025183</t>
  </si>
  <si>
    <t xml:space="preserve">STANDARD CHARTERED BANK,SEMARANG. JL. AHMAD YANI 155 A. SEMARANG,- ,- ,- ,INDONESIA ,-   </t>
  </si>
  <si>
    <t>ICON-00/SBC/1609/0551</t>
  </si>
  <si>
    <t>2332/SPP/SBU/PLNICONPLUS/2024 | 4500022478</t>
  </si>
  <si>
    <t>6248/SPP/SBU/PLNICONPLUS/2025</t>
  </si>
  <si>
    <t>4500025098</t>
  </si>
  <si>
    <t>CYBER 1 LANTAI 3A, -, JAKARTA SELATAN, DKI JAKARTA, INDONESIA,</t>
  </si>
  <si>
    <t>BTN, DATA CENTER SENTUL,JL IR JUANDA NO 07 BABAKAN MADANG- BOGOR, JAWA BARAT, INDONESIA, -</t>
  </si>
  <si>
    <t>110120203410 / 01000181192</t>
  </si>
  <si>
    <t>4057/SPP/SBU/PLNICONPLUS/2024 | 4500023281</t>
  </si>
  <si>
    <t>6648/SPP/SBU/PLNICONPLUS/2025</t>
  </si>
  <si>
    <t>4500025181</t>
  </si>
  <si>
    <t>PT Artha Telekomindo</t>
  </si>
  <si>
    <t xml:space="preserve">GEDUNG CYBER LT.1 , JL. KUNINGAN BARAT JAKARTA,- ,- ,- ,Indonesia ,-   </t>
  </si>
  <si>
    <t xml:space="preserve">JL.WATES KM 14 DESA ARGOSARI KECAMATAN SEDAYU KABUPATEN BANTUL YOGYAKARTA,- ,- ,- ,Indonesia ,-   </t>
  </si>
  <si>
    <t>ICON-00/SBC/1209/0518</t>
  </si>
  <si>
    <t>110120206770 / 0990000320290661</t>
  </si>
  <si>
    <t>2496/SPP/SBU/ICON+/2024 | 4500022803</t>
  </si>
  <si>
    <t>5193/SPP/SBU/PLNICONPLUS/2024</t>
  </si>
  <si>
    <t>4500025099</t>
  </si>
  <si>
    <t>DC TELKOMSIGMA SENTUL CIJAYANTI</t>
  </si>
  <si>
    <t>6059/SPP/SBU/PLNICONPLUS/2025</t>
  </si>
  <si>
    <t>4500024897</t>
  </si>
  <si>
    <t>JL. RIVERSIDE GOLF CLUB NO.1, BOJONG NANGKA, KEC. GN. PUTRI, KABUPATEN BOGOR, JAWA BARAT, INDONESIA, 16965</t>
  </si>
  <si>
    <t xml:space="preserve">Lengkong Gudang, Kec. Serpong, Kota Tangerang Selatan, Banten, Indonesia, 15321 </t>
  </si>
  <si>
    <t>AL/2009/44903 - PA/ACT/2001/3966</t>
  </si>
  <si>
    <t>3229/SPP/SBU/PLNICONPLUS/2024 | 4500022727</t>
  </si>
  <si>
    <t>6056/SPP/SBU/PLNICONPLUS/2025</t>
  </si>
  <si>
    <t>4500024894</t>
  </si>
  <si>
    <t>H2H SYB, DC Sigma, BSD LT 6 Timur, Jl. Kapten Subijanto Dj, Lengkong Gudang, Serpong, Tangerang Selatan, Banten 15321, Kota Tangerang Selatan, Banten, Indonesia</t>
  </si>
  <si>
    <t>3243/SPP/SBU/PLNICONPLUS/2024 | 4500022725</t>
  </si>
  <si>
    <t>6058/SPP/SBU/PLNICONPLUS/2025</t>
  </si>
  <si>
    <t>4500024895</t>
  </si>
  <si>
    <t>PT Bank Pembangunan Derah Kalimantan Timur</t>
  </si>
  <si>
    <t>Gedung Sigma Lt. 6 Wing Timur Rack TDE4A2200355 - DC SERPONG 6EAS0002-039. PT. Kaltimra</t>
  </si>
  <si>
    <t>A311302000013</t>
  </si>
  <si>
    <t>INTERNET IIX (Domestic Only IIX)</t>
  </si>
  <si>
    <t>5851/SPP/SBU/PLNICONPLUS/2025</t>
  </si>
  <si>
    <t>4500024661</t>
  </si>
  <si>
    <t>AL/2202/42517</t>
  </si>
  <si>
    <t>3244/SPP/SBU/PLNICONPLUS/2024 | 4500023002</t>
  </si>
  <si>
    <t>6040/SPP/SBU/PLNICONPLUS/2025</t>
  </si>
  <si>
    <t>4500024893</t>
  </si>
  <si>
    <t xml:space="preserve">WTC,HSBC LANTAI 5 JL. JENDERAL SUDIRMAN KAV. 29-31 JAKARTA,- ,- ,- ,INDONESIA </t>
  </si>
  <si>
    <t>GRAHA TELKOM SIGMA D/H GERMAN CENTRE, LANTAI 5 SISI TIMUR, JL. KAPT. SUBIJANTO DJ. BUMI SERPONG DAMAI TANGERANG 15321, INDONESIA,- ,- ,- ,INDONESIA ,-</t>
  </si>
  <si>
    <t>3133/SPP/SBU/PLNICONPLUS/2024 | 4500022575</t>
  </si>
  <si>
    <t>6644/SPP/SBU/PLNICONPLUS/2025</t>
  </si>
  <si>
    <t>4500025176</t>
  </si>
  <si>
    <t>IDC DUREN TIGA, JL. DUREN TIGA RAYA NO.7 9, RT.9/RW.5, DUREN TIGA, KEC. PANCORAN, KOTA JAKARTA SELATAN</t>
  </si>
  <si>
    <t>BTN DC SENTUL, JL. IR. JUANDA F07, SENTUL CITY BABAKAN MADANG, BOGOR</t>
  </si>
  <si>
    <t>6737/SPP/SBU/PLNICONPLUS/2025</t>
  </si>
  <si>
    <t>4500025177</t>
  </si>
  <si>
    <t>PSN MEGA KUNINGAN ,5TH FLOOR GED. KANTOR TAMAN A9 UNIT C3 &amp; C4JL. MEGA KUNINGAN RAYA LOT. 8/9 NO.9 JAKARTA</t>
  </si>
  <si>
    <t>DC GRAHA TELKOMSIGMA/GERMAN CENTER BSD, JALAN ARTERI GOLF, PAKULONAN BARAT, SERPONG UTARA,</t>
  </si>
  <si>
    <t>3136/SPP/SBU/PLNICONPLUS/2024 | 4500022576</t>
  </si>
  <si>
    <t>6738/SPP/SBU/PLNICONPLUS/2025</t>
  </si>
  <si>
    <t>4500025178</t>
  </si>
  <si>
    <t>110120521055 / 01000096788</t>
  </si>
  <si>
    <t>3150/SPP/SBU/PLNICONPLUS/2024 | 4500022659</t>
  </si>
  <si>
    <t>6194/SPP/SBU/PLNICONPLUS/2025</t>
  </si>
  <si>
    <t>4500024904</t>
  </si>
  <si>
    <t>DC MAIN BRI SIGMA SENTUL UKER JL. CIJAYANTI, KEC. BABAKAN MADANG, KABUPATEN BOGOR, JAWA BARAT 16810</t>
  </si>
  <si>
    <t>A821205000074</t>
  </si>
  <si>
    <t>6063/SPP/SBU/PLNICONPLUS/2025</t>
  </si>
  <si>
    <t>4500024896</t>
  </si>
  <si>
    <t>PT Kao Indonesia</t>
  </si>
  <si>
    <t xml:space="preserve">Kawasan industri jababeka </t>
  </si>
  <si>
    <t>U111303005594</t>
  </si>
  <si>
    <t>120130300680</t>
  </si>
  <si>
    <t>6033/SPP/SBU/PLNICONPLUS/2025</t>
  </si>
  <si>
    <t>4500024730</t>
  </si>
  <si>
    <t>Jababeka</t>
  </si>
  <si>
    <t>Kawasan industri jababeka tahap 7 kav A 3A</t>
  </si>
  <si>
    <t>A111303005380</t>
  </si>
  <si>
    <t>111303014647</t>
  </si>
  <si>
    <t>5996/SPP/SBU/PLNICONPLUS/2025</t>
  </si>
  <si>
    <t>4500024717</t>
  </si>
  <si>
    <t>Jl. Jababeka X-B No. 2 Wangunharja</t>
  </si>
  <si>
    <t>A111202021926</t>
  </si>
  <si>
    <t>111202021926</t>
  </si>
  <si>
    <t>5995/SPP/SBU/PLNICONPLUS/2025</t>
  </si>
  <si>
    <t>4500024716</t>
  </si>
  <si>
    <t>PT. TOYOTA ASTRA FINANCIAL SERVICES</t>
  </si>
  <si>
    <t>110120205980 / 0990000320285765</t>
  </si>
  <si>
    <t>2463/SPP/SBU/ICON+/2024 | 4500023005</t>
  </si>
  <si>
    <t>6117/SPP/SBU/PLNICONPLUS/2025</t>
  </si>
  <si>
    <t>4500025021</t>
  </si>
  <si>
    <t>PT Bukit Asam</t>
  </si>
  <si>
    <t>MENARA KADIN LANTAI 9, JL. HR. RASUNA SAID BLOK X-5 KAV. 2-3 JAKARTA,KECAMATAN SETIABUDI</t>
  </si>
  <si>
    <t>1. 111202017258 / 01000354171
2. 111303010457 / 04000354167</t>
  </si>
  <si>
    <t>3368/SPP/SBU/PLNICONPLUS/2024 | 4500023017</t>
  </si>
  <si>
    <t>6489/SPP/SBU/PLNICONPLUS/2025</t>
  </si>
  <si>
    <t>4500025028</t>
  </si>
  <si>
    <t>PT Indo Bharat Rayon</t>
  </si>
  <si>
    <t>JL. K.H. MAS MANSYUR NO.KAV. 126, KARET TENGSIN, KECAMATAN TANAH ABANG, KOTA JAKARTA PUSAT, DAERAH KHUSUS IBUKOTA JAKARTA 10250</t>
  </si>
  <si>
    <t>2669/SPP/SBU/ICON+/2024 | 4500022312</t>
  </si>
  <si>
    <t>6306/SPP/SBU/PLNICONPLUS/2025</t>
  </si>
  <si>
    <t>4500024952</t>
  </si>
  <si>
    <t>6496/SPP/SBU/PLNICONPLUS/2025</t>
  </si>
  <si>
    <t>4500024990</t>
  </si>
  <si>
    <t>Cakrawala Tirta Buana</t>
  </si>
  <si>
    <t>PT Pegadaian (persero)</t>
  </si>
  <si>
    <t xml:space="preserve">Tanah abang Blok A lantai SLG Los F No. 93-95 Kec.Tanah Abang </t>
  </si>
  <si>
    <t>A811401000667</t>
  </si>
  <si>
    <t>6863/SPP/SBU/PLNICONPLUS/2025</t>
  </si>
  <si>
    <t>4500025301</t>
  </si>
  <si>
    <t xml:space="preserve">Garuda Nusantara Steel </t>
  </si>
  <si>
    <t>2506/SPP/SBU/ICON+/2024 | 4500022211</t>
  </si>
  <si>
    <t>6332/SPP/SBU/PLNICONPLUS/2025</t>
  </si>
  <si>
    <t>4500025014</t>
  </si>
  <si>
    <t>PT Bank Negara Indonesia</t>
  </si>
  <si>
    <t>Menara Standard Chartered Jl. Prof. DR. Satrio No.164, RT.3/RW.4, Karet Semanggi, Kecamatan Setiabudi, Kota Jakarta Selatan, Daerah Khusus Ibukota Jakarta, 12930</t>
  </si>
  <si>
    <t>A821202000999</t>
  </si>
  <si>
    <t>111202018803</t>
  </si>
  <si>
    <t>2913/SPP/SBU/ICON+/2024 | 4500022415</t>
  </si>
  <si>
    <t>6014/SPP/SBU/PLNICONPLUS/2025</t>
  </si>
  <si>
    <t>4500024845</t>
  </si>
  <si>
    <t>PT Mastersystem Infotama Gedung RDTX</t>
  </si>
  <si>
    <t>Gedung RDTX Place Lt.17, Jl. Prof. Dr. Satrio Kav. E-lv No.6, Jalan Kuningan Tim, Kecamatan Setiabudi, Kota Jakarta Selatan, Kota Jakarta Selatan, Daerah Khusus Ibukota Jakarta 12950</t>
  </si>
  <si>
    <t xml:space="preserve">Interkoneksi </t>
  </si>
  <si>
    <t>6621/SPP/SBU/PLNICONPLUS/2025</t>
  </si>
  <si>
    <t>4500025159</t>
  </si>
  <si>
    <t>Gd. Prodia Tower, Jl. Kramat Raya No. 150, Jakarta,KANTOR PUSAT JAKARTA ,Jakarta Pusat ,DKI Jakarta ,Indonesia ,   (Link Backup)</t>
  </si>
  <si>
    <t>PA/ACT/1911/0379</t>
  </si>
  <si>
    <t>2899/SPP/SBU/ICON+/2024 | 4500022401</t>
  </si>
  <si>
    <t>6036/SPP/SBU/PLNICONPLUS/2025</t>
  </si>
  <si>
    <t>Artha Telekomindo</t>
  </si>
  <si>
    <t>Lembaga Penjamin Simpanan</t>
  </si>
  <si>
    <t>Cyber 1 Via Arthatel</t>
  </si>
  <si>
    <t>LPS Lt.30, Gedung Pacific Centuty Place. Jl Jend Sudirman N0.52-53, Rt.5/Rw.3, Senayan, Kec Kby Baru, Jakarta Selatan, DKI Jakarta, 12190</t>
  </si>
  <si>
    <t>A811303001385</t>
  </si>
  <si>
    <t>111303014911</t>
  </si>
  <si>
    <t>6252/SPP/SBU/PLNICONPLUS/2025</t>
  </si>
  <si>
    <t>4500024846</t>
  </si>
  <si>
    <t>0822-2133-1727</t>
  </si>
  <si>
    <t>(HO SPE) Ruko Great Wall, Jl Green Lake City Boulevard No.17-20, Rt.5/Rw.8, Petir, Cipondoh, Kota Tangerang, Banten, 15147</t>
  </si>
  <si>
    <t>A821401001949</t>
  </si>
  <si>
    <t>111401007961</t>
  </si>
  <si>
    <t>3553/SPP/SBU/PLNICONPLUS/2024 | 4500022847</t>
  </si>
  <si>
    <t>6861/SPP/SBU/PLNICONPLUS/2025</t>
  </si>
  <si>
    <t>4500025345</t>
  </si>
  <si>
    <t>2909/SPP/SBU/ICON+/2024 |4500022442</t>
  </si>
  <si>
    <t>6638/SPP/SBU/PLNICONPLUS/2025</t>
  </si>
  <si>
    <t>4500025155</t>
  </si>
  <si>
    <t>4533/SPP/SBU/PLNICONPLUS/2024 | 4500023633</t>
  </si>
  <si>
    <t>6474/SPP/SBU/PLNICONPLUS/2025</t>
  </si>
  <si>
    <t>4500025005</t>
  </si>
  <si>
    <t>Jl. Jend. Sudirman Blok A  No.11 Babakan, Tangerang, Jawa Barat, Indonesia</t>
  </si>
  <si>
    <t>3395/SPP/SBU/PLNICONPLUS/2024 | 4500022845</t>
  </si>
  <si>
    <t>6784/SPP/SBU/PLNICONPLUS/2025</t>
  </si>
  <si>
    <t>Grha 9, 6th Floor, Jalan Panataran No.9 Proklamasi, Jakarta Pusat 10320, Indonesia</t>
  </si>
  <si>
    <t>Jl AIPDA KS.TUBUN 2C/57 Jakarta,-Indonesia.</t>
  </si>
  <si>
    <t>3704/SPP/SBU/PLNICONPLUS/2024 | 4500023060</t>
  </si>
  <si>
    <t xml:space="preserve">	6702/SPP/SBU/PLNICONPLUS/2025</t>
  </si>
  <si>
    <t>4500025156</t>
  </si>
  <si>
    <t>0852-8083-2323</t>
  </si>
  <si>
    <t>2892/SPP/SBU/ICON+/2024 | 4500022586</t>
  </si>
  <si>
    <t>7155/SPP/SBU/PLNICONPLUS/2025</t>
  </si>
  <si>
    <t>4500025535</t>
  </si>
  <si>
    <t>Plaza Sinarmas Jl Fachrudin 18 Lt.6 Jakarta Pusat, 10250, DKI Jakarta, Indonesia</t>
  </si>
  <si>
    <t>2891/SPP/SBU/ICON+/2024 | 4500022584</t>
  </si>
  <si>
    <t>7153/SPP/SBU/PLNICONPLUS/2025</t>
  </si>
  <si>
    <t>4500025534</t>
  </si>
  <si>
    <t>2894/SPP/SBU/ICON+/2024 | 4500022587</t>
  </si>
  <si>
    <t>7157/SPP/SBU/PLNICONPLUS/2025</t>
  </si>
  <si>
    <t>4500025536</t>
  </si>
  <si>
    <t>111202018505</t>
  </si>
  <si>
    <t xml:space="preserve">Ethernet </t>
  </si>
  <si>
    <t>Toyota Astra Motor New Site 2, Jl. Selayar</t>
  </si>
  <si>
    <t>990000320514810</t>
  </si>
  <si>
    <t>Ruko Mega Mall Pluit/Lippo Village No. 48, Jalan Pluit Indah no. 1 Pluit, Pluit, Jakarta Utara, DKI Jakarta, Indonesia, 14450</t>
  </si>
  <si>
    <t>01000058903</t>
  </si>
  <si>
    <t>PT. FAASRI UTAMA SAKTI</t>
  </si>
  <si>
    <t>PT. Faasri Utama Sakti - Jl. Raya Padjajaran No.17 RT.006 RW.013 Baranangsiang,  Bogor Timur,  Kota Bogor,  Jawa Barat,  Indonesia,  16143</t>
  </si>
  <si>
    <t>01000310307</t>
  </si>
  <si>
    <t>H2H BCA Elitery Data Center; Jl. Raya Pajajaran No.61, RT.06/RW.13, Baranangsiang,  Bogor Timur,  Kota Bogor,  Jawa Barat,  Indonesia,  16143</t>
  </si>
  <si>
    <t>01000135933</t>
  </si>
  <si>
    <t>110120203385/01000146804</t>
  </si>
  <si>
    <t>2574/SPP/SBU/ICON+/2024 | 4500022241</t>
  </si>
  <si>
    <t>6532/SPP/SBU/PLNICONPLUS/2025</t>
  </si>
  <si>
    <t>0821-1212-8868</t>
  </si>
  <si>
    <t>PT Olam Indonesia 30 Mbps</t>
  </si>
  <si>
    <t>A111205013479</t>
  </si>
  <si>
    <t>111205031916</t>
  </si>
  <si>
    <t xml:space="preserve">IPVPN  </t>
  </si>
  <si>
    <t>6550/SPP/SBU/PLNICONPLUS/2025</t>
  </si>
  <si>
    <t>4500025202</t>
  </si>
  <si>
    <t>PT. TOYOTA MOTOR MANUFACTURING INDONESIA</t>
  </si>
  <si>
    <t>PT. TOYOTA MOTOR MANUFACTURING INDONESIA GEDUNG ELITERY DATA CENTER AND MANAGED SERVICES LANTAI 3, JL. RAYA PAJAJARAN NO.17, RT.06/RW.13, BARANANGSIANG, KEC. BOGOR TIM., KOTA BOGOR, JAWA BARAT 16143</t>
  </si>
  <si>
    <t>111202019445</t>
  </si>
  <si>
    <t>PT Caturkarda Depo Bangunan Tbk</t>
  </si>
  <si>
    <t>01000145773</t>
  </si>
  <si>
    <t xml:space="preserve">6928/SPP/SBU/PLNICONPLUS/2025	</t>
  </si>
  <si>
    <t>4500025365</t>
  </si>
  <si>
    <t>Jl.Sunses Road Lingkabianbase 5</t>
  </si>
  <si>
    <t>Softex Indonesia</t>
  </si>
  <si>
    <t>6516/SPP/SBU/PLNICONPLUS/2025</t>
  </si>
  <si>
    <t>4500025208</t>
  </si>
  <si>
    <t>PT Centra Global Investama</t>
  </si>
  <si>
    <t>Gedung Menara Thamrin Lt. 19</t>
  </si>
  <si>
    <t>2500/SPP/SBU/ICON+/2024 |4500022179</t>
  </si>
  <si>
    <t>5643/SPP/SBU/PLNICONPLUS/2025</t>
  </si>
  <si>
    <t>0878-8277-1596</t>
  </si>
  <si>
    <t>6259/SPP/SBU/PLNICONPLUS/2025</t>
  </si>
  <si>
    <t>4500024960</t>
  </si>
  <si>
    <t>+62 813-8335-7550 (Rizal)</t>
  </si>
  <si>
    <t>6827/SPP/SBU/PLNICONPLUS/2025</t>
  </si>
  <si>
    <t>4500025291</t>
  </si>
  <si>
    <t>BACKUP BACKHAUL DCI CIBITUNG | JL. HALMAHERA NO.1 BLOK F1, DANAU INDAH, KEC. CIKARANG BAR., KABUPATEN BEKASI, JAWA BARAT 17530</t>
  </si>
  <si>
    <t>A111303002994
'A111205003981
'PA/ACT/2302/10715</t>
  </si>
  <si>
    <t>111303012308
'111205026080</t>
  </si>
  <si>
    <t>3468/SPP/SBU/PLNICONPLUS/2024 | 4500022817</t>
  </si>
  <si>
    <t>6750/SPP/SBU/PLNICONPLUS/2025</t>
  </si>
  <si>
    <t>4500025282</t>
  </si>
  <si>
    <t>Equity Tower 17th floor suite F SCBD lot Jl Jend Sudirman Kav 52-53 Jakarta 12197</t>
  </si>
  <si>
    <t>Bank Mizuho Indonesia, DCI (DRC) lt. 1, Kawasan MM2100 Bekasi, Cikarang Jawa Barat</t>
  </si>
  <si>
    <t>3139/SPP/SBU/PLNICONPLUS/2024 | 4500022661</t>
  </si>
  <si>
    <t>6902/SPP/SBU/PLNICONPLUS/2025</t>
  </si>
  <si>
    <t>4500025323</t>
  </si>
  <si>
    <t>Equity Tower 17th floor suite F SCBD lot Jl Jend Sudirman Kav 52-53 Jakarta 12198</t>
  </si>
  <si>
    <t>3829/SPP/SBU/PLNICONPLUS/2024 | 4500023034</t>
  </si>
  <si>
    <t>6903/SPP/SBU/PLNICONPLUS/2025</t>
  </si>
  <si>
    <t>4500025324</t>
  </si>
  <si>
    <t>Equity Tower 17th floor suite F SCBD lot Jl Jend Sudirman Kav 52-53 Jakarta 12199</t>
  </si>
  <si>
    <t>LA TBS</t>
  </si>
  <si>
    <t>ARTAJASA PEMBAYARAN ELEKTRONIS, DCI KAWASAN MM2100 JL. HALMAHERA BLOK F1 NO. 1 DANAU INDAH, CIKARANG BARAT, KABUPATEN BEKASI, JAWA BARAT, INDONESIA, 17530</t>
  </si>
  <si>
    <t>01000029852</t>
  </si>
  <si>
    <t>3138/SPP/SBU/PLNICONPLUS/2024 | 4500022660</t>
  </si>
  <si>
    <t>7083/SPP/SBU/PLNICONPLUS/2025</t>
  </si>
  <si>
    <t>4500025480</t>
  </si>
  <si>
    <t>Equity Tower 17th floor suite F SCBD lot Jl Jend Sudirman Kav 52-53 Jakarta 12200</t>
  </si>
  <si>
    <t>(DCI CIBITUNG EURONET-JKI1 VRF H2H), KAWASAN MM2100, JL. HALMAHERA NO. 1 BLOK F1, DANAU INDAH, CIKARANG BARAT, KABUPATEN BEKASI, JAWA BARAT 17530, RAK 2ND FLOOR, JK1-RCK-2-B-048-005</t>
  </si>
  <si>
    <t>A111205013787</t>
  </si>
  <si>
    <t>6934/SPP/SBU/PLNICONPLUS/2025</t>
  </si>
  <si>
    <t>4500025412</t>
  </si>
  <si>
    <t>Bank Pembangunan Daerah Kalimantan Selatan</t>
  </si>
  <si>
    <t>Equity Tower 17th floor suite F SCBD lot Jl Jend Sudirman Kav 52-53 Jakarta 12201</t>
  </si>
  <si>
    <t>JL. HALMAHERA KAWASAN INDUSTRI MM2100, DANAU INDAH, CIKARANG, JAWA BARAT, INDONESIA</t>
  </si>
  <si>
    <t>JL. LAMBUNG MANGKURAT NO. 7, BANJARMASIN, KOTA BANJARMASIN, KALIMANTAN SELATAN, INDONESIA, 70111</t>
  </si>
  <si>
    <t>PA/ACT/2206/15612</t>
  </si>
  <si>
    <t>3205/SPP/SBU/PLNICONPLUS/2024 | 4500022698</t>
  </si>
  <si>
    <t>6995/SPP/SBU/PLNICONPLUS/2025</t>
  </si>
  <si>
    <t>4500025479</t>
  </si>
  <si>
    <t>Equity Tower 17th floor suite F SCBD lot Jl Jend Sudirman Kav 52-53 Jakarta 12202</t>
  </si>
  <si>
    <t>AWS DATA CENTER JAKARTA - JL. JEND. SUDIRMAN, SCBD LOT 9, 52-53 (EQUITY TOWER, 49TH FLOOR)</t>
  </si>
  <si>
    <t>BGSI OFFICE – EIJKMAN BUILDING - JL. PANGERAN DIPONEGORO NO.69, RW.5, KENARI, KEC. SENEN, KOTA JAKARTA PUSAT, DAERAH KHUSUS IBUKOTA JAKARTA 10430</t>
  </si>
  <si>
    <t>4047/SPP/SBU/PLNICONPLUS/2024 | 4500023227</t>
  </si>
  <si>
    <t>7201/SPP/SBU/PLNICONPLUS/2025</t>
  </si>
  <si>
    <t>4500025622</t>
  </si>
  <si>
    <t>3237/SPP/SBU/PLNICONPLUS/2024 | 4500022969</t>
  </si>
  <si>
    <t>6810/SPP/SBU/PLNICONPLUS/2025</t>
  </si>
  <si>
    <t>4500025289</t>
  </si>
  <si>
    <t>(Backhaul) DC Lintas Artha Taman Tekno. Kav C/09A, Jl. Tekno Widya No.9 A,, Setu, Kota Tangerang Selatan, Banten, Indonesia, 15314</t>
  </si>
  <si>
    <t>3935/SPP/SBU/PLNICONPLUS/2024 | 4500023187</t>
  </si>
  <si>
    <t>6790/SPP/SBU/PLNICONPLUS/2025</t>
  </si>
  <si>
    <t>4500025288</t>
  </si>
  <si>
    <t>Lintasarta Building , Jl.TB Simatupang Kav 10. Jakarta Selatan 12431</t>
  </si>
  <si>
    <t>DATA CENTER GTN, JL. MATARAM NO.6A, CIBATU, CIKARANG SEL., KABUPATEN BEKASI, JAWA BARAT 17530 (CAGE BANK RIAU KEPRI RAK 02 (NETWORK)</t>
  </si>
  <si>
    <t>DRC LINTASARTA TB SIMATUPANG JAKARTA : GEDUNG LINTASARTA, JL. TAHI BONAR SIMATUPANG RAYA NO.16, RT.16/RW.6, WEST CILANDAK, CILANDAK, SOUTH JAKARTA CITY, JAKARTA 12430</t>
  </si>
  <si>
    <t>A221202000952</t>
  </si>
  <si>
    <t>4118/SPP/SBU/PLNICONPLUS/2024 | 4500023413</t>
  </si>
  <si>
    <t>6806/SPP/SBU/PLNICONPLUS/2025</t>
  </si>
  <si>
    <t>4500025320</t>
  </si>
  <si>
    <t>PT Telkom Satelit Indonesia</t>
  </si>
  <si>
    <t>Lintasarta Building , Jl.TB Simatupang Kav 10. Jakarta Selatan 12432</t>
  </si>
  <si>
    <t>GEDUNG MNC VISION LANTAI 3, Z/III, JL. PANJANG JL. KOMP. GREEN GARDEN, RT.3/RW.9, KEDOYA UTARA, KEC. KB. JERUK, KOTA JAKARTA BARAT</t>
  </si>
  <si>
    <t>GEDUNG LINTASARTA, JL. TAHI BONAR SIMATUPANG RAYA NO.16, RT.16/RW.6, WEST CILANDAK, CILANDAK, SOUTH JAKARTA CITY, JAKARTA 12430</t>
  </si>
  <si>
    <t>110120214832 / 01000121091</t>
  </si>
  <si>
    <t>Metronet Qinq</t>
  </si>
  <si>
    <t>13940/SPP/008/PUSAT/ICON+/2020 | 4500014792</t>
  </si>
  <si>
    <t>7078/SPP/SBU/PLNICONPLUS/2025</t>
  </si>
  <si>
    <t>4500025620</t>
  </si>
  <si>
    <t>Bank BTPN</t>
  </si>
  <si>
    <t>Lintasarta Building , Jl.TB Simatupang Kav 10. Jakarta Selatan 12433</t>
  </si>
  <si>
    <t>DATA CENTER IBM (TELKOM SIGMA) SENTUL JL. IR HAJI JUANDA NO. F3, SENTUL CITY, CITEUREUP-BOGOR INDONESIA,- ,- ,- ,INDONESIA ,</t>
  </si>
  <si>
    <t>LINTAS ARTA TAMAN TEKNO BSD KOMPLEK PERGUDANGAN TAMAN TEKNO BLOK D NO. 8, BSD, SETU, KEC. SETU. KOTA TANGERANG SELATAN, BANTEN 15314 DATA HALL 2B, RACK AS 23</t>
  </si>
  <si>
    <t>110120207019 / 0990000320488913</t>
  </si>
  <si>
    <t>1552/SPP/SBU/ICON+/2023 | 4500021739</t>
  </si>
  <si>
    <t>6847/SPP/SBU/PLNICONPLUS/2025</t>
  </si>
  <si>
    <t>4500025619</t>
  </si>
  <si>
    <t xml:space="preserve">Gedung Cyber. JL. KUNINGAN BARAT RAYA NO.8, RT.1/RW.3, KUNINGAN BAR., KEC. MAMPANG PRPT., KOTA JAKARTA SELATAN, DAERAH KHUSUS IBUKOTA JAKARTA 12710 </t>
  </si>
  <si>
    <t>2479/SPP/SBU/ICON+/2024 | 4500022305</t>
  </si>
  <si>
    <t>6755/SPP/SBU/PLNICONPLUS/2025</t>
  </si>
  <si>
    <t>4500025285</t>
  </si>
  <si>
    <t>3526/SPP/SBU/PLNICONPLUS/2024 | 4500022826</t>
  </si>
  <si>
    <t>6906/SPP/SBU/PLNICONPLUS/2025</t>
  </si>
  <si>
    <t>4500025327</t>
  </si>
  <si>
    <t>Jl. Kuningan Barat No. 8 Cyber Building 1st &amp; 2nd Jakarta Selatan 12711</t>
  </si>
  <si>
    <t>2627/SPP/SBU/ICON+/2024 | 4500022329</t>
  </si>
  <si>
    <t>6896/SPP/SBU/PLNICONPLUS/2025</t>
  </si>
  <si>
    <t>4500025318</t>
  </si>
  <si>
    <t>111204000104</t>
  </si>
  <si>
    <t>45000019940 / 4500024448</t>
  </si>
  <si>
    <t>7282/SPP/PUSAT/PLNICONPLUS/2025</t>
  </si>
  <si>
    <t>Jl. Rawagelam I No.9, RT.1/RW.9, Jatinegara, Kec. Cakung, Kota Jakarta Timur, Daerah Khusus Ibukota Jakarta 13930</t>
  </si>
  <si>
    <t>Jl. Rawagelam I No.9, RT.1/RW.9, Jatinegara, Kec. Cakung, Kota Jakarta Timur, Daerah Khusus Ibukota Jakarta</t>
  </si>
  <si>
    <t>3895/SPP/SBU/PLNICONPLUS/2024 | 4500023102</t>
  </si>
  <si>
    <t>6748/SPP/SBU/PLNICONPLUS/2025</t>
  </si>
  <si>
    <t>4500025492</t>
  </si>
  <si>
    <t xml:space="preserve">PT Kimia Farma </t>
  </si>
  <si>
    <t>Kawasan Industri Pulo Gadung Blok N6-11, Jalan Rawa Gelam 5 No. 1, RW.9, Jatinegara, Cakung, Kota Jakarta Timur, Daerah Khusus Ibukota Jakarta,  Pulo Gadung,  Kota Administrasi Jakarta Timur,  .Banten - salah,  Indonesia,  13920</t>
  </si>
  <si>
    <t>PA/RLK/2109/0017</t>
  </si>
  <si>
    <t>3752/SPP/SBU/PLNICONPLUS/2024 | 4500022994</t>
  </si>
  <si>
    <t>6811/SPP/SBU/PLNICONPLUS/2025</t>
  </si>
  <si>
    <t>4500025493</t>
  </si>
  <si>
    <t>MENARA RAJAWALI, JL. DR. IDE ANAK AGUNG GDE AGUNG, RT.5/RW.2, KUNINGAN, KUNINGAN TIM., KECAMATAN SETIABUDI, KOTA JAKARTA SELATAN, DKI JAKARTA</t>
  </si>
  <si>
    <t>PT DHARMA SATYA NUSANTARA TBK JL. RAWA GELAM V KAV. OR/3B, RW.9, KAWASAN INDUSTRI, JATINEGARA, KEC. PULO GADUNG, KOTA JAKARTA TIMUR</t>
  </si>
  <si>
    <t>4328/SPP/SBU/PLNICONPLUS/2024 | 4500024030</t>
  </si>
  <si>
    <t>7080/SPP/SBU/PLNICONPLUS/2025</t>
  </si>
  <si>
    <t>4500025491</t>
  </si>
  <si>
    <t>PT PLN Persero Kantor Pusat</t>
  </si>
  <si>
    <t>Jl. Pulokambing No. 1 Lahan Industri Pulogadung Jakarta Timur 13292</t>
  </si>
  <si>
    <t xml:space="preserve">[UID JAYA - UP2D] [UP3 CEMPAKA PUTIH] </t>
  </si>
  <si>
    <t>PG 72</t>
  </si>
  <si>
    <t>01000117434</t>
  </si>
  <si>
    <t>5071/SPP/SBU/PLNICONPLUS/2024 | 4500024029</t>
  </si>
  <si>
    <t>7207/SPP/SBU/PLNICONPLUS/2025</t>
  </si>
  <si>
    <t>4500025624</t>
  </si>
  <si>
    <t>Jl. Pulokambing No. 1 Lahan Industri Pulogadung Jakarta Timur 13293</t>
  </si>
  <si>
    <t>GH 0017</t>
  </si>
  <si>
    <t>7254/SPP/SBU/PLNICONPLUS/2025</t>
  </si>
  <si>
    <t>4500025623</t>
  </si>
  <si>
    <t>Jl. RS. Fatmawati Raya No.9 1 5, RT.1/RW.5, Gandaria Sel., Kec. Cilandak, Kota Jakarta Selatan, Daerah Khusus Ibukota Jakarta, Cilandak, Jakarta Selatan, DKI Jakarta, Indonesia, 12430</t>
  </si>
  <si>
    <t>01000106596</t>
  </si>
  <si>
    <t>3228/SPP/SBU/PLNICONPLUS/2024 | 4500022662</t>
  </si>
  <si>
    <t>6788/SPP/SBU/PLNICONPLUS/2025</t>
  </si>
  <si>
    <t>4500025286</t>
  </si>
  <si>
    <t>Data Center FIF, German Center Lt. 5, Jl. Kapt. Subijanto No.1 Bumi Serpong Damai, Tangerang, Tangerang Selatan, Jakarta, Banten, Indonesia, 15321</t>
  </si>
  <si>
    <t>DRC FIF Lantai 2,Telkom Sigma JL. Bukit Bali Lakarsantri - Citraland Blok 3/2, Citraland, Surabaya, Jawa Timur, Indonesia, 60211</t>
  </si>
  <si>
    <t>01000035937</t>
  </si>
  <si>
    <t>3134/SPP/SBU/PLNICONPLUS/2024 | 4500022574</t>
  </si>
  <si>
    <t>6789/SPP/SBU/PLNICONPLUS/2025</t>
  </si>
  <si>
    <t>4500025287</t>
  </si>
  <si>
    <t>PT Arthatech Selaras, [007C1177L30] DC Telkomsigma Sentul Lt. 1, Cijayanti, Babakan Madang, Kabupaten Bogor,  Jawa Barat, Indonesia, 16810</t>
  </si>
  <si>
    <t>3214/SPP/SBU/PLNICONPLUS/2024 | 4500023468</t>
  </si>
  <si>
    <t>6900/SPP/SBU/PLNICONPLUS/2025</t>
  </si>
  <si>
    <t>4500025322</t>
  </si>
  <si>
    <t>(PRODIA GUNUNG PUTRI) KOTA WISATA, RUKO BOSTON SQUARE RK 1 NOMOR 15-16, KELURAHAN CIANGSANA, KEC GUNUNG PUTRI, KAB BOGOR JAWA BARAT</t>
  </si>
  <si>
    <t>111205026285 dan 111601012406</t>
  </si>
  <si>
    <t>3834/SPP/SBU/PLNICONPLUS/2024 | 4500023107</t>
  </si>
  <si>
    <t>7202/SPP/SBU/PLNICONPLUS/2025</t>
  </si>
  <si>
    <t>4500025625</t>
  </si>
  <si>
    <t>3831/SPP/SBU/PLNICONPLUS/2024 | 4500023033</t>
  </si>
  <si>
    <t>6905/SPP/SBU/PLNICONPLUS/2025</t>
  </si>
  <si>
    <t>4500025326</t>
  </si>
  <si>
    <t>3830/SPP/SBU/PLNICONPLUS/2024 | 4500023032</t>
  </si>
  <si>
    <t>6904/SPP/SBU/PLNICONPLUS/2025</t>
  </si>
  <si>
    <t>4500025325</t>
  </si>
  <si>
    <t>6751/SPP/SBU/PLNICONPLUS/2025</t>
  </si>
  <si>
    <t>4500025283</t>
  </si>
  <si>
    <t>PT Graha Informatika Nusantara</t>
  </si>
  <si>
    <t>TELKOMSEL TTC BUARAN JL. RADEN INTEN II NO.5, DUREN SAWIT, JAKARTA TIMUR, DKI JAKARTA, INDONESIA, 13440</t>
  </si>
  <si>
    <t xml:space="preserve">PT. GRAHA INFORMATIKA NUSANTARA, BIZNET TECHNOVILLAGE JL. RIVERSIDE GOLF CLUB NO.1, BOJONG NANGKA, GUNUNG PUTRI, KABUPATEN BOGOR, JAWA BARAT, INDONESIA, 16965 </t>
  </si>
  <si>
    <t>110120202911 / 01000186797</t>
  </si>
  <si>
    <t>3666/SPP/SBU/PLNICONPLUS/2024 | 4500022793</t>
  </si>
  <si>
    <t>7203/SPP/SBU/PLNICONPLUS/2025</t>
  </si>
  <si>
    <t>4500025627</t>
  </si>
  <si>
    <t>BIZNET TECHNOVILLAGE JL. RIVERSIDE GOLF CLUB NO.1, BOJONG NANGKA, KEC. GN. PUTRI, KABUPATEN BOGOR, JAWA BARAT 16965</t>
  </si>
  <si>
    <t>A821204000166</t>
  </si>
  <si>
    <t>P2P ETH Kapasitas Besar</t>
  </si>
  <si>
    <t>6932/SPP/SBU/PLNICONPLUS/2025</t>
  </si>
  <si>
    <t>4500025704</t>
  </si>
  <si>
    <t>Turun Temurun Makmur Sejahtera</t>
  </si>
  <si>
    <t xml:space="preserve">050 KCP Kemang (Linknet), Wisma Bakrie CSU Lt.1, Jalan Kemang Raya No.4, Setiabudi, RT.11/RW.1, Bangka, Mampang Prapatan, Jakarta Selatan, DKI Jakarta, Indonesia, 12920 </t>
  </si>
  <si>
    <t xml:space="preserve">AL/2203/53132 </t>
  </si>
  <si>
    <t>3421/SPP/SBU/PLNICONPLUS/2024 | 4500022773</t>
  </si>
  <si>
    <t>7132/SPP/SBU/PLNICONPLUS/2025</t>
  </si>
  <si>
    <t>4500025490</t>
  </si>
  <si>
    <t>12710 JAKARTA ITC FATMAWATI, PERTOKOAN DUTA MAS BLOK A JL. FATMAWATI NO.17-18, RT.3/RW.5,CIPETE UTARA, JAKARTA SELATAN, DKI JAKARTA, INDONESIA, 12150</t>
  </si>
  <si>
    <t>110120501607 / 01000291337</t>
  </si>
  <si>
    <t>3669/SPP/SBU/PLNICONPLUS/2024 | 4500022947</t>
  </si>
  <si>
    <t>7073/SPP/SBU/PLNICONPLUS/2025</t>
  </si>
  <si>
    <t>4500025495</t>
  </si>
  <si>
    <t>Gedung Cyber 2, Lt. 2 Jl. H. R. Rasuna Said No.13, Indonesia, Kuningan, Kota Administrasi Jakarta Selatan, DKI Jakarta, Indonesia</t>
  </si>
  <si>
    <t xml:space="preserve">U121303001043 </t>
  </si>
  <si>
    <t>4399/SPP/SBU/PLNICONPLUS/2024 | 4500023494</t>
  </si>
  <si>
    <t>6753/SPP/SBU/PLNICONPLUS/2025</t>
  </si>
  <si>
    <t>4500025284</t>
  </si>
  <si>
    <t>BACKHAUL IPVPN, GEDUNG CYBER CSF LT 1, JL. KUNINGAN BARAT NO. 8, MAMPANG PRAPATAN, JAKARTA SELATAN, DKI JAKARTA, INDONESIA</t>
  </si>
  <si>
    <t>R111205003083</t>
  </si>
  <si>
    <t>6791/SPP/SBU/PLNICONPLUS/2025</t>
  </si>
  <si>
    <t>4500025290</t>
  </si>
  <si>
    <t>ROXY SQUARE (Jl Kyai Tapa No 1 RT 010 RW010 Unit D3 Lower Ground dan Lantai 3)</t>
  </si>
  <si>
    <t>A821303000668
'A821303000671</t>
  </si>
  <si>
    <t>3467/SPP/SBU/PLNICONPLUS/2024 | 4500022816</t>
  </si>
  <si>
    <t>6848/SPP/SBU/PLNICONPLUS/2025</t>
  </si>
  <si>
    <t>4500025494</t>
  </si>
  <si>
    <t xml:space="preserve">GEDUNG CYBER, JL. KUNINGAN BARAT RAYA NO.8, RT.1/RW.3, KUNINGAN BAR, MAMPANG PRPT, JAKARTA SELATAN, DKI JAKARTA, INDONESIA, 12910      </t>
  </si>
  <si>
    <t xml:space="preserve">RUMAH INDONET REMPOA JL. REMPOA RAYA NO. 11, CIPUTAT TIMUR, KOTA TANGERANG SELATAN, BANTEN, INDONESIA, 15412      </t>
  </si>
  <si>
    <t>110120208839 / 01000159405</t>
  </si>
  <si>
    <t>5176/SPP/SBU/PLNICONPLUS/2024 | 4500024148</t>
  </si>
  <si>
    <t>7204/SPP/SBU/PLNICONPLUS/2025</t>
  </si>
  <si>
    <t>4500025626</t>
  </si>
  <si>
    <t>PT Core Mediatech</t>
  </si>
  <si>
    <t>7052/SPP/SBU/PLNICONPLUS/2025</t>
  </si>
  <si>
    <t>4500025621</t>
  </si>
  <si>
    <t>Multitech Data Center / PT.Multitech Infomedia lokasi di Gedung Cyber, LT. 1, JL. Kuningan Barat, No. 8, Kuningan Barat, Mampang Prapatan untuk Rack utama JSN berada di Rack B14 MDC, KECAMATAN MAMPANG, Jakarta Selatan, DKI Jakarta</t>
  </si>
  <si>
    <t>CV. HAANSIRO, RT.4 RW.1 Ds. Jontro, Jl Wijayakusuma No 6 RT 05 RW III, Perum Griya Sekar Asri, Sekarkurung, Desa, Sekarkurung, Muktiharjo, 59163, Kecamatan Wedarijaksa, Kabupaten Pati, Jawa Tengah</t>
  </si>
  <si>
    <t>50000 Mbps</t>
  </si>
  <si>
    <t>4119/SPP/SBU/PLNICONPLUS/2024 | 4500023249</t>
  </si>
  <si>
    <t>7072/SPP/SBU/PLNICONPLUS/2025</t>
  </si>
  <si>
    <t>4500025481</t>
  </si>
  <si>
    <t>Menara Astra 1stFloor, Jl. Jend. Sudirman No.Kav. 5 - 6,RT.10/RW.ll,Karet Tengsin, Tanah Abang, Jakarta Pusat ,Dki Jakarta, Indonesia ,10220</t>
  </si>
  <si>
    <t>1000191518</t>
  </si>
  <si>
    <t>5524/SPP/SBU/PLNICONPLUS/2025</t>
  </si>
  <si>
    <t>4500024560</t>
  </si>
  <si>
    <t>Elnusa</t>
  </si>
  <si>
    <t>Graha Elnusa Lantai 16, Jl. TB Simatupang Kav. 1 B, RT.10/RW.3, Cilandak Tim., Ps. Minggu, Kota Jakarta Selatan, Daerah Khusus Ibukota Jakarta 12560</t>
  </si>
  <si>
    <t>111103002447</t>
  </si>
  <si>
    <t>Dark Fiber</t>
  </si>
  <si>
    <t>4882/SPP/SBU/PLNICONPLUS/2024</t>
  </si>
  <si>
    <t>4500024372</t>
  </si>
  <si>
    <t>Pelabuhan Indonesia</t>
  </si>
  <si>
    <t>CYBER 3 NTT JL. KUNINGAN BARAT RAYA NO.8, RT.6/RW.3</t>
  </si>
  <si>
    <t xml:space="preserve">JL. SELAYAR BLOK A-6 KAWASAN MM2100 IDUSTRIAL ESTATE CIBITUNG (Interkoneksi Indonet), Indonesia </t>
  </si>
  <si>
    <t>1097/SPP/SBU/ICON+/2023 | 4500024487</t>
  </si>
  <si>
    <t>3863/SPP/SBU/PLNICONPLUS/2024</t>
  </si>
  <si>
    <t>4500024431</t>
  </si>
  <si>
    <t>PT. NTT INDONESIA NEXCENTER CYBER CSF BUILDING, FLOOR 2 ROOM 2-2, JL. KUNINGAN BARAT NO. 8, JAKARTA, JAKARTA SELATAN, DKI JAKARTA, INDONESIA, 12710</t>
  </si>
  <si>
    <t>KOTA JAKARTA SELATAN, KUNINGAN BARAT, MAMPANG PRAPATAN, DKI JAKARTA</t>
  </si>
  <si>
    <t>14534/SPP/008/PUSAT/ICON+/2020 | 4500024489</t>
  </si>
  <si>
    <t>4403/SPP/SBU/PLNICONPLUS/2024</t>
  </si>
  <si>
    <t>4500024433</t>
  </si>
  <si>
    <t>A811202000017</t>
  </si>
  <si>
    <t>111202017342</t>
  </si>
  <si>
    <t>1021/SPP/SBU/ICON+/2023 | 4500024486</t>
  </si>
  <si>
    <t>3864/SPP/SBU/PLNICONPLUS/2024</t>
  </si>
  <si>
    <t>4500024432</t>
  </si>
  <si>
    <t>2626/SPP/SBU/ICON+/2024</t>
  </si>
  <si>
    <t>4500022238</t>
  </si>
  <si>
    <t>BLITZMEGAPLEX GREEN PRAMUKA SQUARE LANTAI 1 JL. JEND. A YANI KAV. 49 RAWASARI, -,
JAKARTA PUSAT, DKI JAKARTA, INDONESIA,</t>
  </si>
  <si>
    <t>110120213776 / 01000183243</t>
  </si>
  <si>
    <t>3389/SPP/SBU/PLNICONPLUS/2024 | 4500022956</t>
  </si>
  <si>
    <t>6698/SPP/SBU/PLNICONPLUS/2025</t>
  </si>
  <si>
    <t>4500025261</t>
  </si>
  <si>
    <t>Griya Idola</t>
  </si>
  <si>
    <t>PT Chandra Asri Pacific</t>
  </si>
  <si>
    <t>Green Pramuka Apartment Basement Floor Jl. Rawasari Sel. No.12 Kota Administrasi Jakarta Pusat</t>
  </si>
  <si>
    <t>PT. CHANDRA ASRI PACIFIC (ASTER) SLIPI, KOTA JAKARTA BARAT, DAERAH KHUSUS IBUKOTA JAKARTA</t>
  </si>
  <si>
    <t>A821303001412</t>
  </si>
  <si>
    <t>7206/SPP/SBU/PLNICONPLUS/2025</t>
  </si>
  <si>
    <t>4500025628</t>
  </si>
  <si>
    <t xml:space="preserve"> ccc     c </t>
  </si>
  <si>
    <t>R111303003485</t>
  </si>
  <si>
    <t>0990000320655320</t>
  </si>
  <si>
    <t>3822/SPP/SBU/PLNICONPLUS/2024 | 4500023022</t>
  </si>
  <si>
    <t>7310/SPP/SBU/PLNICONPLUS/2025</t>
  </si>
  <si>
    <t>4500025636</t>
  </si>
  <si>
    <t>3826/SPP/SBU/PLNICONPLUS/2024 | 4500023024</t>
  </si>
  <si>
    <t>7311/SPP/SBU/PLNICONPLUS/2025</t>
  </si>
  <si>
    <t>4500025637</t>
  </si>
  <si>
    <t>3825/SPP/SBU/PLNICONPLUS/2024 | 4500023023</t>
  </si>
  <si>
    <t>7309/SPP/SBU/PLNICONPLUS/2025</t>
  </si>
  <si>
    <t>4500025635</t>
  </si>
  <si>
    <t>PKU - JL. H. R. RASUNA SAID, RT.2/RW.5, KARET KUNINGAN, KECAMATAN SETIABUDI, KOTA JAKARTA SELATAN, DAERAH KHUSUS IBUKOTA JAKARTA 12920</t>
  </si>
  <si>
    <t>PT Trouw Nutrition Indonesia. MM2100 INDUSTRIAL TOWN (MAIN OFFICE BUILDING) 1ST FLOOR, SERVER ROOM, RACK 1 , JL. SELAYAR BLOK A3-2, MEKARWANGI, CIKARANG BARAT, KAB. BEKASI, JAWA BARAT, 17530</t>
  </si>
  <si>
    <t>3558/SPP/SBU/PLNICONPLUS/2024 | 4500022786</t>
  </si>
  <si>
    <t>6821/SPP/SBU/PLNICONPLUS/2025</t>
  </si>
  <si>
    <t>4500025321</t>
  </si>
  <si>
    <t>PT Pertamina Gas</t>
  </si>
  <si>
    <t>PT EHK (ENERGASINDO HEKSA KARYA) (JL. SUMBAWA, MEKARWANGI, KEC. CIKARANG BAR., KABUPATEN BEKASI, JAWA BARAT 17530</t>
  </si>
  <si>
    <t xml:space="preserve">A811205000166 </t>
  </si>
  <si>
    <t>3076/SPP/SBU/PLNICONPLUS/2024 | 4500022603</t>
  </si>
  <si>
    <t>6867/SPP/SBU/PLNICONPLUS/2025</t>
  </si>
  <si>
    <t>4500025351</t>
  </si>
  <si>
    <t>DC CBN, CYBER 2 TOWER, LANTAI 2 JL HR RASUNA SAID BLOK X5 NO 13 (RACK N2C1-05-02), KUNIGAN, JAKARTA SELATAN, DKI JAKARTA, INDONESIA, 12950</t>
  </si>
  <si>
    <t>DC DAWUAN, KAWASAN KBI BLOK N-2 NO.2. JL BUKIT NAGASARI 2 (RACK 3 MEETME ROOM), BUNGURSARI, KABUPATEN PURWAKARTA, JAWA BARAT, INDONESIA, 41182</t>
  </si>
  <si>
    <t>3827/SPP/SBU/PLNICONPLUS/2024 | 4500023035</t>
  </si>
  <si>
    <t>7312/SPP/SBU/PLNICONPLUS/2025</t>
  </si>
  <si>
    <t>4500025638</t>
  </si>
  <si>
    <t>PT Mulia Industrindo</t>
  </si>
  <si>
    <t>Nex Cyber 2</t>
  </si>
  <si>
    <t>Kawasan Mulia Industri Jl. Raya Pasirsari Cikarang</t>
  </si>
  <si>
    <t>4002/SPP/SBU/PLNICONPLUS/2024 | 4500023226</t>
  </si>
  <si>
    <t>7366/SPP/SBU/PLNICONPLUS/2025</t>
  </si>
  <si>
    <t>4500025640</t>
  </si>
  <si>
    <t xml:space="preserve">A111202004945      </t>
  </si>
  <si>
    <t>4046/SPP/SBU/PLNICONPLUS/2024 | 4500023380</t>
  </si>
  <si>
    <t>7292/SPP/SBU/PLNICONPLUS/2025</t>
  </si>
  <si>
    <t>4500025634</t>
  </si>
  <si>
    <t>Five Pillars Indonesia Office Park</t>
  </si>
  <si>
    <t>PT Asuransi Perisai Listrik Nasional</t>
  </si>
  <si>
    <t>18786/SPP/008/PUSAT/ICON+/2022 | 4500018200</t>
  </si>
  <si>
    <t>6849/SPP/SBU/PLNICONPLUS/2025</t>
  </si>
  <si>
    <t>4500025489</t>
  </si>
  <si>
    <t>Bank BJB</t>
  </si>
  <si>
    <t>DCI JABABEKA JL. HALMAHERA NO.1, DANAU INDAH, KEC. CIKARANG BAR., KABUPATEN BEKASI, JAWA BARAT 17530</t>
  </si>
  <si>
    <t>BACKHAUL METRO-E DCI- DCI JABABEKA JL. HALMAHERA NO.1, DANAU INDAH, KEC. CIKARANG BAR., KABUPATEN BEKASI, JAWA BARAT 17530</t>
  </si>
  <si>
    <t>4048/SPP/SBU/PLNICONPLUS/2024 | 4500023228</t>
  </si>
  <si>
    <t>7693/SPP/SBU/PLNICONPLUS/2025</t>
  </si>
  <si>
    <t>PT Arthatech Selaras</t>
  </si>
  <si>
    <t>Equity Tower 17th floor suite F SCBD lot Jl Jend Sudirman Kav 52-53 Jakarta 12203</t>
  </si>
  <si>
    <t>DCI CIBITUNG JK 1 RACK ICON XCONN JK5 RACK ARTHATECH JL. HALMAHERA NO.1 BLOK F1, DANAU INDAH, KEC. CIKARANG BAR., KABUPATEN BEKASI, JAWA BARAT 17530</t>
  </si>
  <si>
    <t>A111202012114</t>
  </si>
  <si>
    <t>7205/SPP/SBU/PLNICONPLUS/2025</t>
  </si>
  <si>
    <t>4500025658</t>
  </si>
  <si>
    <t>Dirjen Pajak
H2H - Data Center KAI Bandung, Jl. Perintis Kemerdekaan No. 1 Babakan Ciamis, Kec. Sumur Bandung, Kota Bandung, Jawa Barat,
H2H, Gd. Plaza Mandiri Jl Jend Gatot Subroto Kab 36-38 Jakarta, Kec. Kebayoran Baru, Jakarta Selatan, DKI Jakarta, 
H2H, Menara BCA, Jl. M.H. Thamrin No.1, RT.1/RW.5, Menteng, Kec Menteng, Jakarta Pusat, DKI Jakarta,
H2H, Gedung Teknologi Informasi Lt 4 Jl RM Harsono No.2 RT 6/7 Ragunan, KEC. Pasar Minggu, Jakarta Selatan, DKI Jakarta,
DC Telkomsigma BSD</t>
  </si>
  <si>
    <t>01000325646
'01000194976
'01000067620
'1000067728
'1000067736
'10006194976</t>
  </si>
  <si>
    <t>5330/SPP/SBU/PLNICONPLUS/2024 | 4500024460</t>
  </si>
  <si>
    <t>7433/SPP/SBU/PLNICONPLUS/2025</t>
  </si>
  <si>
    <t>4500025938</t>
  </si>
  <si>
    <t>5332/SPP/SBU/PLNICONPLUS/2024 | 4500024461</t>
  </si>
  <si>
    <t>7434/SPP/SBU/PLNICONPLUS/2025</t>
  </si>
  <si>
    <t>4500025939</t>
  </si>
  <si>
    <t>5333/SPP/SBU/PLNICONPLUS/2024 | 4500024465</t>
  </si>
  <si>
    <t>7436/SPP/SBU/PLNICONPLUS/2025</t>
  </si>
  <si>
    <t>4500025940</t>
  </si>
  <si>
    <t>7488/SPP/SBU/PLNICONPLUS/2025</t>
  </si>
  <si>
    <t>4500025758</t>
  </si>
  <si>
    <t>Badan Nusantara Compnet Integrator</t>
  </si>
  <si>
    <t>JL. KUNINGAN BARAT RAYA NO.8 10TH FLOOR, RT.1/RW.3, KUNINGAN BARU, KEC. MAMPANG PRAPATAN, KOTA JAKARTA SELATAN, DAERAH KHUSUS IBUKOTA JAKARTA 12710</t>
  </si>
  <si>
    <t>3902/SPP/SBU/PLNICONPLUS/2024 | 4500023129</t>
  </si>
  <si>
    <t>7337/SPP/SBU/PLNICONPLUS/2025</t>
  </si>
  <si>
    <t>4500025647</t>
  </si>
  <si>
    <t>PT Cyberindo Aditama qq Biznet Gio</t>
  </si>
  <si>
    <t>PA/ACT/1904/0253</t>
  </si>
  <si>
    <t>110120208179 / 01000051525</t>
  </si>
  <si>
    <t>Metronet Qinq Metro Ethernet</t>
  </si>
  <si>
    <t>4051/SPP/SBU/PLNICONPLUS/2024 | 4500023414</t>
  </si>
  <si>
    <t>7313/SPP/SBU/PLNICONPLUS/2025</t>
  </si>
  <si>
    <t>4500025639</t>
  </si>
  <si>
    <t>Maria</t>
  </si>
  <si>
    <t>0.0640 Mbps</t>
  </si>
  <si>
    <t>7378/SPP/SBU/PLNICONPLUS/2025</t>
  </si>
  <si>
    <t>4500025713</t>
  </si>
  <si>
    <t>PT Aplikanusa Lintasarta qq Bank Woori Saudara</t>
  </si>
  <si>
    <t>BANK WOORI INDONESIA, KCP MANGGA DUA , KOMPLEK RUKO HARCO MANGGA DUA ( BWS KCP MANGGA DUA JKT ) KOMPLEK RUKO HARKO MANGGA DUA BLOK L NO. 5, -, JAKARTA PUSAT, DKI JAKARTA, INDONESIA</t>
  </si>
  <si>
    <t>01000171880</t>
  </si>
  <si>
    <t>2939/SPP/SBU/ICON+/2024 | 4500022458</t>
  </si>
  <si>
    <t>7455/SPP/SBU/PLNICONPLUS/2025</t>
  </si>
  <si>
    <t>4500025760</t>
  </si>
  <si>
    <t>(RELOKASI RUANG) BANK CIMB NIAGA TBK, PULOGADUNG POLIKLINIK PT. GIEP KAWASAN INDUSTRI PULOGADUNG, JL. RAWA TERATE II, JAKARTA TIMUR 13930 (2010001692), JAKARTA TIMUR, DKI JAKARTA
,INDONESIA</t>
  </si>
  <si>
    <t>01000146985</t>
  </si>
  <si>
    <t>4003/SPP/SBU/PLNICONPLUS/2024 | 4500024086</t>
  </si>
  <si>
    <t>7458/SPP/SBU/PLNICONPLUS/2025</t>
  </si>
  <si>
    <t>4500025759</t>
  </si>
  <si>
    <t>PT Iforte Solusi Infotek qq Herlina Indah</t>
  </si>
  <si>
    <t>Jl. Pulokambing No. 1 Lahan Industri Pulogadung Jakarta Timur 13294</t>
  </si>
  <si>
    <t>IDC DUREN 3, -, JAKARTA SELATAN, DKI JAKARTA, INDONESIA, -</t>
  </si>
  <si>
    <t>PT Herlina Indah, Kawasan Industri Pulogadung Blok DD 14,16 Jl. Rawa Sumur Jakarta Timur, Jakarta Timur, DKI Jakarta, Indonesia.</t>
  </si>
  <si>
    <t>3758/SPP/SBU/PLNICONPLUS/2024 | 4500022991</t>
  </si>
  <si>
    <t>7657/SPP/SBU/PLNICONPLUS/2025</t>
  </si>
  <si>
    <t>4500025941</t>
  </si>
  <si>
    <t>PT Iforte Solusi Infotek qq Wahana Citra Nabati</t>
  </si>
  <si>
    <t>PT WAHANA CITRA NABATI, Jl. Rawa Sumur 1 Blok EE NO.5 Kawasan Industri Pulogadung Jaktim,- ,- ,- ,Indonesia</t>
  </si>
  <si>
    <t>72 Mbps</t>
  </si>
  <si>
    <t>3761/SPP/SBU/PLNICONPLUS/2024 | 4500022993</t>
  </si>
  <si>
    <t>7658/SPP/SBU/PLNICONPLUS/2025</t>
  </si>
  <si>
    <t>4500025942</t>
  </si>
  <si>
    <t>Grahaniaga Tatautama</t>
  </si>
  <si>
    <t>Bank Woori Saudara
BUT Sarulla Operations Ltd</t>
  </si>
  <si>
    <t>3939/SPP/SBU/PLNICONPLUS/2024 | 4500023191</t>
  </si>
  <si>
    <t>7613/SPP/SBU/PLNICONPLUS/2025</t>
  </si>
  <si>
    <t>4500025907</t>
  </si>
  <si>
    <t>PT Nap Info</t>
  </si>
  <si>
    <t>PT NAP INFO LINTASNUSA Plaza Kuningan DC, -, Jakarta Selatan, DKI Jakarta, Indonesia</t>
  </si>
  <si>
    <t>PT. Jakarta Futures Exchange, Jl. Biznet Technovillage No 1, Bojong Nangka, Gunung Putri, Depok, Jawa Barat, Indonesia, 1696</t>
  </si>
  <si>
    <t>AL/1905/14081</t>
  </si>
  <si>
    <t>3944/SPP/SBU/PLNICONPLUS/2024 | 4500023248</t>
  </si>
  <si>
    <t>7659/SPP/SBU/PLNICONPLUS/2025</t>
  </si>
  <si>
    <t>PT Solusi Net Internusa</t>
  </si>
  <si>
    <t>LINTASARTA TECHNOPARK DATA CENTER, SETU, KEC. SETU, KOTA TANGERANG</t>
  </si>
  <si>
    <t>A821303001435</t>
  </si>
  <si>
    <t>111303015510</t>
  </si>
  <si>
    <t>7651/SPP/SBU/PLNICONPLUS/2025</t>
  </si>
  <si>
    <t>4500026097</t>
  </si>
  <si>
    <t>PT Narindo Solusi Telekomunikasi</t>
  </si>
  <si>
    <t>Cyber 2 Tower</t>
  </si>
  <si>
    <t>A111205014152</t>
  </si>
  <si>
    <t>7575/SPP/SBU/PLNICONPLUS/2025</t>
  </si>
  <si>
    <t>4500025866</t>
  </si>
  <si>
    <t>DC KPK BSD GRAHA TELKOM SIGMA BSD JL BUMI SERPONG DAMAI, JALAN KAPTEN SUBIJANTO, LENGKONG GUDANG, KEC. SERPONG, KOTA TANGERANG SELATAN, BANTEN 15321</t>
  </si>
  <si>
    <t>Backhaul Bank DKI,Data Center German Center Lt.5 , Jl. Kapt. Subijanto No. 1 BSD, Serpong, Tanggerang,- ,- ,- ,Indonesia ,-
PRIMACOM SIGMA BSD , -, KABUPATEN TANGERANG, BANTEN, INDONESIA, -  
PRIMACOM SIGMA BSD , -, KABUPATEN TANGERANG, BANTEN, INDONESIA, - PRIMACOM SIGMA GERMAN GENTER BSD BACKHAUL IPVN (NNI), -, KOTA TANGERANG, BANTEN, INDONESIA
PRIMACOM SIGMA GERMAN GENTER BSD ,- ,- ,- ,INDONESIA ,-</t>
  </si>
  <si>
    <t>A111202008331
'A111202008329
'A111202008319
'A111202008314
'A111202008312</t>
  </si>
  <si>
    <t>111202021504
'111202021502
'111202021492
'111202021487
'111202021485</t>
  </si>
  <si>
    <t>4619/SPP/SBU/PLNICONPLUS/2024 | 4500023672</t>
  </si>
  <si>
    <t>7680/SPP/SBU/PLNICONPLUS/2025</t>
  </si>
  <si>
    <t>4500025949</t>
  </si>
  <si>
    <t>TELKOMSEL TCC BUARAN 2 JL. RADIN INTEN II NO.5 9, RT.9/RW.15, DUREN SAWIT, KEC. DUREN SAWIT, KOTA JAKARTA TIMUR, DAERAH KHUSUS IBUKOTA JAKARTA 13440
INDOSAT OREDEOO KPPTI , JL. MEDAN MERDEKA BARAT NO.21, RT.2/RW.3, GAMBIR, KECAMATAN GAMBIR, KOTA JAKARTA PUSAT, DAERAH KHUSUS IBUKOTA JAKARTA 10110
PT. XL AXIATA. TBK KAWASAN INDUSTRI MM2100 (INBUILDING JNB 2) BUILDING DI JL. SUMBA BLOK A-B MM2100 , CIBITUNG, BEKASI (RAK KPK)
GEDUNG KPK MERAH PUTIH , JL. KUNINGAN PERSADA NO.KAV 4, RT.1/RW.6, GUNTUR, KECAMATAN SETIABUDI, KOTA JAKARTA SELATAN, DAERAH KHUSUS IBUKOTA JAKARTA 12950</t>
  </si>
  <si>
    <t>4618/SPP/SBU/PLNICONPLUS/2024 | 4500023671</t>
  </si>
  <si>
    <t>7682/SPP/SBU/PLNICONPLUS/2025</t>
  </si>
  <si>
    <t>4500025950</t>
  </si>
  <si>
    <t>4617/SPP/SBU/PLNICONPLUS/2024 | 4500023670</t>
  </si>
  <si>
    <t>7683/SPP/SBU/PLNICONPLUS/2025</t>
  </si>
  <si>
    <t>4500025951</t>
  </si>
  <si>
    <t>PT Sigma Cipta Caraka
Bank DKI
PT Primacom Interbuana</t>
  </si>
  <si>
    <t xml:space="preserve">BANK DKI (BACKHAUL) GRAHA TELKOMSIGMA LT.5 TIMUR JL. KAPT. SUBIJANTO DJ. BSD TANGERANG 15321, INDONESIA 
LENGKONG GUDANG, SERPONG, KOTA TANGERANG SELATAN, BANTEN
PT PRIMACOM INTERBUANA GEDUNG PRIMA SEJAHTERA JL. JALUR SUTERA KAV 5A, KUNCIRAN PINANG, KOTA TANGERANG.BANTEN 15144 - INDONESIA TITIK KORDINATE : 6°13'26.4"S 106°39'52.8"E, TANGERANG, KABUPATEN TANGERANG, BANTEN, INDONESIA
PRIMACOM SIGMA GERMAN GENTER BSD BACKHAUL IPVN (NNI), -, KOTA TANGERANG, BANTEN, INDONESIA, - 
PRIMACOM MENARA BCA LT 15 ,- ,- ,- ,INDONESIA ,- </t>
  </si>
  <si>
    <t>110120512341 / 0990000320460067
'0990000320484431
'01000010268
'0990000320403514
'0990000320450560</t>
  </si>
  <si>
    <t>4406/SPP/SBU/PLNICONPLUS/2024 | 4500023598</t>
  </si>
  <si>
    <t>7335/SPP/SBU/PLNICONPLUS/2025</t>
  </si>
  <si>
    <t>4500025952</t>
  </si>
  <si>
    <t>7334/SPP/SBU/PLNICONPLUS/2025</t>
  </si>
  <si>
    <t>4500025970</t>
  </si>
  <si>
    <t>Bank Danamon
Astra Sedaya Finance
PT Kirana Megantara
PT Tirta Sari Surya 
PT Mora Telematika Indonesia</t>
  </si>
  <si>
    <t>THE EAST BUILDING LANTAI 15, JL DR IDE ANAK AGUNG GEDE AGUNG KAV E3 NO.1 KAWASAN MEGA 
KUNINGAN , JAKARTA 12950, KUNINGAN, JAKARTA SELATAN, DKI JAKARTA, INDONESIA</t>
  </si>
  <si>
    <t>A821202001424
'110120206814 / 01000028326 
'AR/UPG/1905/1913 
'AR/UPG/1905/1914 / 110120508430 / 0990000320361019 
'111090129049</t>
  </si>
  <si>
    <t>442/SPP/SBU/ICON+/2023 | 4500020733</t>
  </si>
  <si>
    <t>7339/SPP/SBU/PLNICONPLUS/2025</t>
  </si>
  <si>
    <t>4500025641</t>
  </si>
  <si>
    <t>r</t>
  </si>
  <si>
    <t>Jakarta Infrastruktur Propertindo</t>
  </si>
  <si>
    <t>PT Cyber Network Indonesia
PT Hipernet Indodata
Bank Mega
Bank Syariah Indonesia Tbk
PT Astra Sedaya Finance
PT PLN (Persero) [Pusmanpro]
PT PLN Kantor Pusat Rumah Dirut PLN
PT Marunda Distribusindo Raya</t>
  </si>
  <si>
    <t>01000135134
'01000135134
'1000166223
'4000145400
'110120502844
'01000139820
'01000139895
'1000004008
'01000023416
'01000349260
'0990000320654173
'1000127404</t>
  </si>
  <si>
    <t>98/SPP/SBU/ICON+/2023 | 4500020797</t>
  </si>
  <si>
    <t>7332/SPP/SBU/PLNICONPLUS/2025</t>
  </si>
  <si>
    <t>4500025666</t>
  </si>
  <si>
    <t>3213/SPP/SBU/PLNICONPLUS/2024 | 4500022866</t>
  </si>
  <si>
    <t>7333/SPP/SBU/PLNICONPLUS/2025</t>
  </si>
  <si>
    <t>4500025665</t>
  </si>
  <si>
    <t>PT Matahari Department Store Tbk</t>
  </si>
  <si>
    <t xml:space="preserve">UPH DATA CENTER LT5 KARAWACI TANGERANG, JALAN M.H. THAMRIN BOULEVARD NO.1100, KLP. DUA, KEC. KLP. DUA, KABUPATEN TANGERANG, BANTEN 15811 </t>
  </si>
  <si>
    <t>A821302000695</t>
  </si>
  <si>
    <t>Internet Corporate IIX</t>
  </si>
  <si>
    <t>7576/SPP/SBU/PLNICONPLUS/2025</t>
  </si>
  <si>
    <t>111202017511</t>
  </si>
  <si>
    <t>24 Mbps</t>
  </si>
  <si>
    <t>4287/SPP/SBU/PLNICONPLUS/2024 | 4500023505</t>
  </si>
  <si>
    <t>7695/SPP/SBU/PLNICONPLUS/2025</t>
  </si>
  <si>
    <t>4500025943</t>
  </si>
  <si>
    <t>Biru Hijau</t>
  </si>
  <si>
    <t>4050/SPP/SBU/PLNICONPLUS/2024 | 4500023314</t>
  </si>
  <si>
    <t>7721/SPP/SBU/PLNICONPLUS/2025</t>
  </si>
  <si>
    <t>4500026004</t>
  </si>
  <si>
    <t>PT Fukoku Tokai Rubber
PT Jaya Refrigeration sebelumnya PT Softex Indonesia
PT Cikarang Listrindo Tbk
PT Mane Indonesia Jababeka
PT Rudolf Chemicals Indonesia
PT Rudolf Chemicals Indonesia
PT Nipsea Paint and Chemicals
PT Fukoku Tokai Rubber</t>
  </si>
  <si>
    <t>U121303001240 - 110130303564
PA/ACT/2109/1806
PA/UPG/2301/0510/TER - 04000041840
 PA/UPG/2211/0174/TER (SID : 0990000020265406)
A821303000076 - (SID : 111303010667) 
A821303001330 - 111303014208
A821303000904 - 111303013966</t>
  </si>
  <si>
    <t>110130303564
'04000041840
'0990000020265406
'111303010667 
'111303014208
'111303013966</t>
  </si>
  <si>
    <t>5010/SPP/SBU/PLNICONPLUS/2024 | 4500024222</t>
  </si>
  <si>
    <t>7615/SPP/SBU/PLNICONPLUS/2025</t>
  </si>
  <si>
    <t>4500025945</t>
  </si>
  <si>
    <t>PT Bumimulia Indah Lestari
PT Tokki Engineering and Fibrication
PT Bina Niaga Multiusaha
PT Genero Pharmaceuticals
PT Rudolf Chemicals Indonesia
PT Midi Utama Indonesia
PT Hitachi Astemo Bekasi Manufacturing
PT Ingress Malindo Ventures
PT Axalta Powder Coating System Indonesia
PT Menara Terus Makmur
PT Menara Terus Makmur
PT Menara Terus Makmur
PT Nipsea Paint and Chemicals</t>
  </si>
  <si>
    <t>PT Infrastruktur Cakrawala Telekomunikasi, Jalan Kihajar Dewantara, Ruko Elite Blok 3B No. 66 Cikarang Utara, Kabupaten Bekasi, Jawa Barat</t>
  </si>
  <si>
    <t>PA/ACT/1911/0927
PA/UPG/2011/0178
PA/UPG/2206/0110
PA/UPG/2008/0089
PA/RLK/1810/0038
PA/ACT/2106/3311
PA/UPG/2103/0259 
A821303001330</t>
  </si>
  <si>
    <t>110120202454 / 01000027926
'0990000320395877
'04000036070
'110130304609 / 0990000320493529
110130305990 / 0990000020265381
 '04000057296
110120203752 / 0990000020280784 
110130304059 / 0990000320418617
'111303014208</t>
  </si>
  <si>
    <t>5008/SPP/SBU/PLNICONPLUS/2024 | 4500024139</t>
  </si>
  <si>
    <t>7618/SPP/SBU/PLNICONPLUS/2025</t>
  </si>
  <si>
    <t>4500025946</t>
  </si>
  <si>
    <t>4092/SPP/SBU/PLNICONPLUS/2024 | 4500021050</t>
  </si>
  <si>
    <t>7720/SPP/SBU/PLNICONPLUS/2025</t>
  </si>
  <si>
    <t>4500026006</t>
  </si>
  <si>
    <t>NER CDCI</t>
  </si>
  <si>
    <t>7217/SPP/SBU/PLNICONPLUS/2025</t>
  </si>
  <si>
    <t>4500025555</t>
  </si>
  <si>
    <t>7490/SPP/SBU/PLNICONPLUS/2025</t>
  </si>
  <si>
    <t>4500025767</t>
  </si>
  <si>
    <t>Jl. Jababeka Raya Q no.1</t>
  </si>
  <si>
    <t>A111202011417</t>
  </si>
  <si>
    <t>6962/SPP/SBU/PLNICONPLUS/2025</t>
  </si>
  <si>
    <t>4500025354</t>
  </si>
  <si>
    <t>WTP Building Jl. Jababeka IV</t>
  </si>
  <si>
    <t xml:space="preserve">Kawasan jababeka VI/N2 Cikarang </t>
  </si>
  <si>
    <t>U11130307115</t>
  </si>
  <si>
    <t>04000162862</t>
  </si>
  <si>
    <t>7375/SPP/SBU/PLNICONPLUS/2025</t>
  </si>
  <si>
    <t>4500025766</t>
  </si>
  <si>
    <t>PT HIPERNET INDODATA</t>
  </si>
  <si>
    <t>NX LEMO indonesia logistik jl. dry port raya no.3</t>
  </si>
  <si>
    <t>A111202012432</t>
  </si>
  <si>
    <t>111202022907</t>
  </si>
  <si>
    <t>7457/SPP/SBU/PLNICONPLUS/2025</t>
  </si>
  <si>
    <t>4500025764</t>
  </si>
  <si>
    <t>(pemindahan jalur direct icon) jl. industri utama blok SS kav 1-3, kawasan industri jababeka</t>
  </si>
  <si>
    <t>U111303006737</t>
  </si>
  <si>
    <t>111303013881</t>
  </si>
  <si>
    <t>6884/SPP/SBU/PLNICONPLUS/2026</t>
  </si>
  <si>
    <t>4500025314</t>
  </si>
  <si>
    <t>PT Mulia Inti Pelangi</t>
  </si>
  <si>
    <t>3287/SPP/SBU/PLNICONPLUS/2024</t>
  </si>
  <si>
    <t>7487/SPP/SBU/PLNICONPLUS/2025</t>
  </si>
  <si>
    <t>4500025894</t>
  </si>
  <si>
    <t> </t>
  </si>
  <si>
    <t>PT Megalopolis Manunggal</t>
  </si>
  <si>
    <t>PT ASTRA OTOPARTS</t>
  </si>
  <si>
    <t>Depo Cibitung,Kawasan MM2100,Jl.Jawa Blok M-31 Cibitung,Bekasi</t>
  </si>
  <si>
    <t>Collocation Server Astra Otoparts,Gedung AAB,Jl.TB Simatupang,Jakarta</t>
  </si>
  <si>
    <t>PA/UPG/2208/0127</t>
  </si>
  <si>
    <t>PA/UPG/2208/0127 - AL/2210/312450 - 0110120201945 / 0990000020278468</t>
  </si>
  <si>
    <t>PT. FABER-CASTELL INTERNATIONAL INDONESIA</t>
  </si>
  <si>
    <t>PT Sanken MM2100 Industrial Town,Block GG-8,Cikarang Barat,Bekasi 17520,West Java,Indonesia (ID JAR 2013004247)</t>
  </si>
  <si>
    <t>Sentra Latumenten Blok AA-10 Jln Prof Dr Latumenten no 50 JAKARTA 11460 (BACKHAUL )</t>
  </si>
  <si>
    <t>110130305323 / 04000167262</t>
  </si>
  <si>
    <t>KANSAI PAINT INDONESIA</t>
  </si>
  <si>
    <t xml:space="preserve">Kawasan Industri MM2100, Jln Irian bl 003 DS Jatiwangi,cibitung Bekasi, Jawa Barat 17520 (BACKUP BACKHAUL)   </t>
  </si>
  <si>
    <t xml:space="preserve">PT. Kansai Paint Indonesia, Kawasan Industri MM2100 Blok DD-7 dan DD-6 Desa Danau Indah, Cikarang Barat 17520 </t>
  </si>
  <si>
    <t>AL/2201/17342</t>
  </si>
  <si>
    <t>AL/2108/69293 - 110130306001 / 0990000320518831</t>
  </si>
  <si>
    <t>PT MITSUBA INDONESIA PIPE PARTS</t>
  </si>
  <si>
    <t>PT. Mitsuba Indonesia Pipe Parts, Kawasan Industri MM2100 Blok NN-12, Cikarang Barat, Bekasi 17520 Indonesia</t>
  </si>
  <si>
    <t>PA/UPG/2106/0236</t>
  </si>
  <si>
    <t>AL/1907/24929 - 110130306172 / 060000094260001</t>
  </si>
  <si>
    <t>PT Tirta Alam Segar</t>
  </si>
  <si>
    <t>PT Tirta alam segar,Kawasan industri mm2100,Jln kalangan kav b1-2,Cikarang barat-bekasi</t>
  </si>
  <si>
    <t>PA/UPG/1905/0161</t>
  </si>
  <si>
    <t>AL/2101/0067 - 110130304776 / 0990000320471999</t>
  </si>
  <si>
    <t>PT HANKYU HANSHIN LOGISTICS INDONESIA</t>
  </si>
  <si>
    <t>Kawasan Industri MM2100 Jl. Bali Block O 1-2 Cikarang Barat Bekasi – Jawa Barat 17520</t>
  </si>
  <si>
    <t xml:space="preserve">PA/UPG/2012/0044 </t>
  </si>
  <si>
    <t>AL/2105/32686 - 0990000320455374</t>
  </si>
  <si>
    <t>Internet corporate</t>
  </si>
  <si>
    <t>TOYOTA TSUSHO LOGISTIC CENTER</t>
  </si>
  <si>
    <t>Kawasan Industri MM2100 Jl. Irian V Blok. KK-8 Cibitung Bekasi 17520</t>
  </si>
  <si>
    <t>PA/UPG/2211/0140</t>
  </si>
  <si>
    <t>AL/2204/76781 - 110130306132 / 170000073260003</t>
  </si>
  <si>
    <t>PT. COMTRONICS SYSTEMS</t>
  </si>
  <si>
    <t>Rayovac Battery Indonesia, PT site Hanggar Bea Cukai Jl. Irian Blok MM 1 MM2100, Jatiwangi,  Kec. Cikarang Bar.,,  Kabupaten Bekasi,  Jawa Barat,  Indonesia,  17520</t>
  </si>
  <si>
    <t>PA/UPG/2104/0211</t>
  </si>
  <si>
    <t>AL/2212/340046 - 110120210182 / 01000313204</t>
  </si>
  <si>
    <t>PT. ICHIKOH INDONESIA</t>
  </si>
  <si>
    <t>MM 2100 Industrial Town - Jl. Irian Blok LL1, Jatiwangi,  Kec. Cikarang Barat,  Kabupaten Bekasi,  Jawa Barat,  Indonesia,  17530</t>
  </si>
  <si>
    <t>PA/DOW/2203/0051</t>
  </si>
  <si>
    <t xml:space="preserve">AL/2212/336962 - 04000314835 </t>
  </si>
  <si>
    <t>IDC Duren 3 Lantai 3, Rack 26. Jl. Duren Tiga Raya No.7, RT.9/RW.5, Duren Tiga,  Kec. Pancoran,  Jakarta Selatan,  DKI Jakarta,  Indonesia,  12760</t>
  </si>
  <si>
    <t>PA/ACT/2210/0669</t>
  </si>
  <si>
    <t xml:space="preserve">AL/2212/336961 -  04000314834 </t>
  </si>
  <si>
    <t>PT. Hitachi Astemo Powertrain Systems Kawasan Industri MM 2100 Blok JJ No. 1, Jatiwangi,  Kec. Cikarang Bar.,  Kabupaten Bekasi,  Jawa Barat,  Indonesia,  17520</t>
  </si>
  <si>
    <t>PA/ACT/2210/1250</t>
  </si>
  <si>
    <t xml:space="preserve">AL/2208/244018 -  01000208269 </t>
  </si>
  <si>
    <t>PT Ichikoh Indonesia, MM 2100 Industrial Town, Jl. Irian Blok LL1, Jatiwangi,  Kec. Cikarang Barat,  Kabupaten Bekasi,  Jawa Barat,  Indonesia,  17530</t>
  </si>
  <si>
    <t>PA/ACT/2210/1173</t>
  </si>
  <si>
    <t xml:space="preserve"> AL/2208/247493 -  01000218286</t>
  </si>
  <si>
    <t>PT. HIPERNET INDODATA</t>
  </si>
  <si>
    <t>PT Toyota Auto Body Tokai Extrusion, Kawasan Industri MM2100, Jalan Irian Blok LL-3, Jatiwangi,  Kec. Cikarang Bar.,  Kabupaten Bekasi,  Jawa Barat,  Indonesia,  17530</t>
  </si>
  <si>
    <t>PA/ACT/2209/3711</t>
  </si>
  <si>
    <t>AL/2204/76947 - 01000195662</t>
  </si>
  <si>
    <t>PT. SHINSEI DENSHI INDONESIA</t>
  </si>
  <si>
    <t>Kawasan MM 2100 Jl. Jawa Blok HH No. 4 , Jatiwangi,  Kec. Cikarang Barat,  Kabupaten Bekasi,  Jawa Barat,  Indonesia,  17520</t>
  </si>
  <si>
    <t>PA/ACT/2206/16445</t>
  </si>
  <si>
    <t xml:space="preserve">AL/2203/53988 - 04000187994 </t>
  </si>
  <si>
    <t xml:space="preserve">PT. Shinto Kogyo Indonesia-Kawasan Industri MM2100, Jl. Bali Blok J No.17-2, Gandamekar,Kec. Cikarang Barat ,Kabupaten Bekasi ,Jawa Barat ,Indonesia ,17530   </t>
  </si>
  <si>
    <t xml:space="preserve"> PA/ACT/2206/16168</t>
  </si>
  <si>
    <t>AL/2206/142556 - 01000187621</t>
  </si>
  <si>
    <t>PT SHIBAURA SHEARING INDONESIA</t>
  </si>
  <si>
    <t>KAWASAN INDUSTRI MM2100, JALAN JAWA BLOK II, JATIWANGI, CIKARANG BARAT, BEKASI, JAWA BARAT 17530</t>
  </si>
  <si>
    <t xml:space="preserve">PA/ACT/2203/1822 </t>
  </si>
  <si>
    <t>A221303000063 - 1303000009</t>
  </si>
  <si>
    <t>52 Mbps</t>
  </si>
  <si>
    <t>PT VENDAMART RETAIL INDONESIA</t>
  </si>
  <si>
    <t>KAWASAN INDUSTRI MM2100 CIBITUNG MM2100 INDUSTRIAL TOWN, JL. IRIAN V BLOK KK-8, JATIWANGI, KEC. CIKARANG BAR., KABUPATEN BEKASI, JAWA BARAT</t>
  </si>
  <si>
    <t xml:space="preserve">PA/ACT/2203/0942 </t>
  </si>
  <si>
    <t>A821303000466 - 111303011349</t>
  </si>
  <si>
    <t xml:space="preserve">internet corporate </t>
  </si>
  <si>
    <t xml:space="preserve">PT. IFORTE SOLUSI INFOTEK </t>
  </si>
  <si>
    <t>JL. IRIAN V BLOK KK-8, JATIWANGI, KEC. CIKARANG</t>
  </si>
  <si>
    <t>PA/ACT/2201/2528</t>
  </si>
  <si>
    <t>A821202001002 - 111202018838</t>
  </si>
  <si>
    <t xml:space="preserve">PT CIPTA TELEKOMUNIKASI MANDIRI </t>
  </si>
  <si>
    <t>JL. KW. INDUSTRI, GANDAMEKAR, KEC. CIKARANG BAR., KABUPATEN BEKASI, JAWA BARAT 17620</t>
  </si>
  <si>
    <t xml:space="preserve">PA/ACT/2201/1715 </t>
  </si>
  <si>
    <t>A111303003368 - 111303012943</t>
  </si>
  <si>
    <t>ASTRA HONDA MOTOR</t>
  </si>
  <si>
    <t>CIKARANG (PLANT 3) JL. RAYA KALIMANTAN BLOK AA-1 KAWASAN INDUSTRI MM2100 CIKARANG BARAT, BEKASI, CIKARANG, KABUPATEN BEKASI, JAWA BARAT, INDONESIA, 17</t>
  </si>
  <si>
    <t>110120201929 - 01000002848</t>
  </si>
  <si>
    <t>PT. SOLUSINDO BINTANG PRATAMA</t>
  </si>
  <si>
    <t xml:space="preserve">PT. Kojin Indonesia, Block Ll-8-1 Mm2100 Industrial Town Cikarang Barat Bekasi, Jatiwangi, West Cikarang, Bekasi, West Java 17530 </t>
  </si>
  <si>
    <t>110120205774 - 01000143987</t>
  </si>
  <si>
    <t>PT. NETTOCYBER INDONESIA</t>
  </si>
  <si>
    <t>KOTA JAKARTA SELATAN, KUNINGAN TIMUR, SETIA BUDI, DKI JAKARTA</t>
  </si>
  <si>
    <t>PT. LG Electronics Indonesia, Block - G, MM2100 Industrial Town</t>
  </si>
  <si>
    <t>110120213519 - '01000172108</t>
  </si>
  <si>
    <t xml:space="preserve">PT. WAHANA DIRGANTARA KAWASAN INDUSTRI MM-2100 BLOK H-7-1 BEKASI (2011007138) </t>
  </si>
  <si>
    <t>0990000020273074</t>
  </si>
  <si>
    <t>PT. Mandom Indonesia, Kawasan Industri MM2100 Blok PP, Jalan Irian, Jatiwangi</t>
  </si>
  <si>
    <t>01000070275</t>
  </si>
  <si>
    <t xml:space="preserve">Metro </t>
  </si>
  <si>
    <t xml:space="preserve">PT. HIPERNET INDODATA  </t>
  </si>
  <si>
    <t>PT. Jotun Indonesia, Kawasan Industri MM2100 Blok KK-1</t>
  </si>
  <si>
    <t>01000076040</t>
  </si>
  <si>
    <t>PT Netmarks Indonesia</t>
  </si>
  <si>
    <t xml:space="preserve"> PT. Yamaha Motor Mold Indonesia Jalan Irian XIII Blok QQ</t>
  </si>
  <si>
    <t>04000354882</t>
  </si>
  <si>
    <t xml:space="preserve">internet corp </t>
  </si>
  <si>
    <t>PT. PERTAMINA GAS</t>
  </si>
  <si>
    <t>Kawasan Industri MM2100 Jl. Jawa, Gandamekar, Kec. Cikarang Barat, Bekasi, Jawa Barat 17530</t>
  </si>
  <si>
    <t>01000146610</t>
  </si>
  <si>
    <t>PT. PARSAORAN GLOBAL DATATRANS</t>
  </si>
  <si>
    <t>PT SUGITY CIKARANG JL. BALI BLOK J NO. 17-20 KAWASAN INDUSTRI MM2100, CIKARANG BARAT</t>
  </si>
  <si>
    <t>110120204034 - 01000144258</t>
  </si>
  <si>
    <t xml:space="preserve">PT. COMTRONICS SYSTEMS </t>
  </si>
  <si>
    <t>IDC DUREN TIGA, PANCORAN, KOTA JAKARTA SELATAN, DKI JAKARTA</t>
  </si>
  <si>
    <t>PT. NSK Bearing Manufacturing Indonesia, Kawasan Berikat MM2100 Blok M4, Gandamekar</t>
  </si>
  <si>
    <t>01000049639</t>
  </si>
  <si>
    <t xml:space="preserve">METRO P2MP </t>
  </si>
  <si>
    <t>PT Api Metra Graha</t>
  </si>
  <si>
    <t>Jl. Gedung The Energy  (Medco Tower) Lot 11A SCB Jalan Sudirman Kav.52-53 Jakarta 12190</t>
  </si>
  <si>
    <t>0990000320309838</t>
  </si>
  <si>
    <t>BUT. SARULLA OPERATIONS LTD</t>
  </si>
  <si>
    <t>Data Center The Energy-PT Api Metra Graha</t>
  </si>
  <si>
    <t>06000197361</t>
  </si>
  <si>
    <t>PT Wisma keiai Indonesia</t>
  </si>
  <si>
    <t>PT Mitsui Chemical Polyurethanes Indonesia</t>
  </si>
  <si>
    <t>Kawasan Industri Indotaisei, Sektor IA Blok F-1A Kalihurip, Cikampek 41373, Jawa Barat</t>
  </si>
  <si>
    <t>Gedung Wisma Keia/wisma kyoe prince</t>
  </si>
  <si>
    <t>PT. RAJAWALI NUSANTARA INDONESIA (RNI)</t>
  </si>
  <si>
    <t>Gd. Waskita Rajawali tower Jl. MT Haryono Jl. Letjen M.T. Haryono No.Kav. 12-13, RT.4/RW.11, Bidara Cina, Kecamatan Jatinegara, Kota Jakarta Timur, Daerah Khusus Ibukota Jakarta 13330,Jati Negara ,Jakarta Timur</t>
  </si>
  <si>
    <t>08000192117</t>
  </si>
  <si>
    <t>kawasan alam sutera- Netciti Persada</t>
  </si>
  <si>
    <t>On proses perpanjangan kerjsama</t>
  </si>
  <si>
    <t>p</t>
  </si>
  <si>
    <t>PT FKS MULTI AGRO</t>
  </si>
  <si>
    <t>0111303011280</t>
  </si>
  <si>
    <t>PT PANCA PURI PERKASA</t>
  </si>
  <si>
    <t>04000148243</t>
  </si>
  <si>
    <t>04000193847</t>
  </si>
  <si>
    <t>AL/2109/80801 - 04000164401</t>
  </si>
  <si>
    <t>PT IX Telecom qq</t>
  </si>
  <si>
    <t>AL/2112/144587 - 04000164335</t>
  </si>
  <si>
    <t>PT DAEKYUNG  INDAH INDUSTRY</t>
  </si>
  <si>
    <t>AL/2209/286295 - 04000299154</t>
  </si>
  <si>
    <t>AL/2208/242322 - 04000300253</t>
  </si>
  <si>
    <t>AL/2208/244252 - 01000209466</t>
  </si>
  <si>
    <t>PT THERMAX INTERNATIONAL INDONESIA</t>
  </si>
  <si>
    <t>AL/2302/5805 - 04000315179</t>
  </si>
  <si>
    <t>0111303010377</t>
  </si>
  <si>
    <t>PT PERTAMINA GAS</t>
  </si>
  <si>
    <t>51 Mbps</t>
  </si>
  <si>
    <t>Jl. MH Thamrin kav. 3 Jakarta Pusat</t>
  </si>
  <si>
    <t>0111303012934</t>
  </si>
  <si>
    <t xml:space="preserve"> Internet Corporate Basic</t>
  </si>
  <si>
    <t>0111601012412</t>
  </si>
  <si>
    <t>Manage Service Router</t>
  </si>
  <si>
    <t>0111610004173</t>
  </si>
  <si>
    <t>I-WIN / Manage Service Router</t>
  </si>
  <si>
    <t>0111610004174</t>
  </si>
  <si>
    <t xml:space="preserve">PT. BUKAN SEKADAR AIR </t>
  </si>
  <si>
    <t>0141401002218</t>
  </si>
  <si>
    <t>INTERNET CORPORATE 200 Mbps</t>
  </si>
  <si>
    <t xml:space="preserve"> PT INDOMARCO PRISMATAMA</t>
  </si>
  <si>
    <t>0111401007826</t>
  </si>
  <si>
    <t xml:space="preserve">IBBC </t>
  </si>
  <si>
    <t>H2H Gedung Menara BCA Grand Indonesia, Jl. MH. Thamrin No. 1, Menteng, RT.1/RW.5, Menteng, Jakarta Pusat, DKI Jakarta. 10310</t>
  </si>
  <si>
    <t>3892/SPP/SBU/PLNICONPLUS/2024 | 4500023416</t>
  </si>
  <si>
    <t>7432/SPP/SBU/PLNICONPLUS/2025</t>
  </si>
  <si>
    <t>4500026038</t>
  </si>
  <si>
    <t>3821/SPP/SBU/PLNICONPLUS/2024 | 4500023020</t>
  </si>
  <si>
    <t>7574/SPP/SBU/PLNICONPLUS/2025</t>
  </si>
  <si>
    <t>4500025944</t>
  </si>
  <si>
    <t>4155/SPP/SBU/PLNICONPLUS/2024 | 4500023839</t>
  </si>
  <si>
    <t>7723/SPP/SBU/PLNICONPLUS/2025</t>
  </si>
  <si>
    <t>4500026005</t>
  </si>
  <si>
    <t>Sanggarcipta Kreasitama</t>
  </si>
  <si>
    <t>Satuan Kerja Khusus Pelaksana Kegiatan Usaha Hulu Minyak dan Gas</t>
  </si>
  <si>
    <t>3979/SPP/SBU/PLNICONPLUS/2024 | 4500023159</t>
  </si>
  <si>
    <t>7716/SPP/SBU/PLNICONPLUS/2025</t>
  </si>
  <si>
    <t>4500025954</t>
  </si>
  <si>
    <t>The Tower Lantai 5 Jl. Gatot Subroto No. 27, RT.2/RW.4, Karet Semanggi, Kec. Setiabudi, Jakarta Selatan, DKI Jakarta, 12930</t>
  </si>
  <si>
    <t>3750/SPP/SBU/PLNICONPLUS/2024 | 4500023039</t>
  </si>
  <si>
    <t>7431/SPP/SBU/PLNICONPLUS/2024</t>
  </si>
  <si>
    <t>4500025768</t>
  </si>
  <si>
    <t>The Tower Jl. Gatot Subroto Karet Semanggi, Kec. Setiabudi, Jakarta Selatan, DKI Jakarta, Indonesia, 12930</t>
  </si>
  <si>
    <t>3947/SPP/SBU/PLNICONPLUS/2024 | 4500023158</t>
  </si>
  <si>
    <t>7089/SPP/SBU/PLNICONPLUS/2025</t>
  </si>
  <si>
    <t>4500025901</t>
  </si>
  <si>
    <t>Join All Customer (Rack Summer 263)</t>
  </si>
  <si>
    <t>8039/SPP/SBU/PLNICONPLUS/2025</t>
  </si>
  <si>
    <t>4500026275</t>
  </si>
  <si>
    <t>DC LINTAS ARTA TAMAN TEKNO BSD KOMPLEK PERGUDANGAN TAMAN TEKNO BLOK D NO. 8, BSD, SETU, KEC. SETU. KOTA TANGERANG SELATAN, BANTEN 15314</t>
  </si>
  <si>
    <t xml:space="preserve"> A111202013483</t>
  </si>
  <si>
    <t>7954/SPP/SBU/PLNICONPLUS/2025</t>
  </si>
  <si>
    <t>4500026238</t>
  </si>
  <si>
    <t>Jl. M.H Thamrin Kav 3</t>
  </si>
  <si>
    <t>Menara Bank Mega Lt.8 Jl. Kapten Tendean No.12-14A, RT.2/RW.2, Mampang Prapatan, -,Jakarta Selatan, DKI Jakarta, Indonesia, 12790</t>
  </si>
  <si>
    <t>(Interkoneksi dengan Detik di Cyber) Trans Rekreasindo Surabaya, Jl. Ahmad Yani No.260, Siwalankerto, Wonocolo, Surabaya, Jawa Timur, Indonesia, 60235</t>
  </si>
  <si>
    <t>7870/SPP/SBU/PLNICONPLUS/2025</t>
  </si>
  <si>
    <t>4500026126</t>
  </si>
  <si>
    <t>7718/SPP/SBU/PLNICONPLUS/2025</t>
  </si>
  <si>
    <t>4500026054</t>
  </si>
  <si>
    <t>PT Goldtree Energi Berjaya</t>
  </si>
  <si>
    <t>BP The Icon BSD, Jl. BSD Raya Utama</t>
  </si>
  <si>
    <t>A111303006814</t>
  </si>
  <si>
    <t>111303015134 / 0200027192</t>
  </si>
  <si>
    <t>12 Mbps</t>
  </si>
  <si>
    <t>7047/SPP/SBU/PLNICONPLUS/2025</t>
  </si>
  <si>
    <t>4500026026</t>
  </si>
  <si>
    <t xml:space="preserve">PT Mega Akses Persada </t>
  </si>
  <si>
    <t>MyRepublic Plaza lt 2 Wing A Jakarta 15345</t>
  </si>
  <si>
    <t>Indomaret Tower, Rt.6/Rw.2 Kamal Muara, Kec. Penjaringan (Interkoneksi Fiberstar), -, Jakarta Utara, DKI Jakarta, Indonesia, 14470</t>
  </si>
  <si>
    <t>7749/SPP/SBU/PLNICONPLUS/2025</t>
  </si>
  <si>
    <t>4500026162</t>
  </si>
  <si>
    <t xml:space="preserve">PT PLN Indonesia Power </t>
  </si>
  <si>
    <t>Jl. HR. Rasuna Said x-5 Kav 2-3, Jakarta Selatan</t>
  </si>
  <si>
    <t>[Internet Corporate Backup PLN IP (Telkom)], Backup DC Gandul PLN Icon Plus]</t>
  </si>
  <si>
    <t>A111303006871</t>
  </si>
  <si>
    <t>111303015160 / 831190009497</t>
  </si>
  <si>
    <t>99,00%</t>
  </si>
  <si>
    <t>7002/SPP/SBU/PLNICONPLUS/2025</t>
  </si>
  <si>
    <t>4500025398</t>
  </si>
  <si>
    <t>PT Telkom Indonesia Graha Merah Putih Jakarta Selatan 12017</t>
  </si>
  <si>
    <t>MM2001 Cibitung, Kota Bekasi, Jawa Barat, Indonesia</t>
  </si>
  <si>
    <t>Jl Celebration Boulevard Kav 1 Blok AA 5 No.9, Grand Wisata Tambun, Kabupaten Bekasi, Jawa Barat.</t>
  </si>
  <si>
    <t>3375/SPP/SBU/PLNICONPLUS/2024 | 4500022820</t>
  </si>
  <si>
    <t>7627/SPP/SBU/PLNICONPLUS/2025</t>
  </si>
  <si>
    <t>4500025967</t>
  </si>
  <si>
    <t>PT Pegadaian Persero ITC Fatmawati</t>
  </si>
  <si>
    <t>UPC ITC Fatmawati - Jl. RS Fatmawati Lt.1 No.41 RT.1 Kel.Cipete Selatan, Kec. Cilandak, Kab/Kota Jakarta Selatan Prov. DKI Jakarta</t>
  </si>
  <si>
    <t>A811401000656</t>
  </si>
  <si>
    <t>111401009361 / 111090082568</t>
  </si>
  <si>
    <t>6767/SPP/SBU/PLNICONPLUS/2025</t>
  </si>
  <si>
    <t>4500025467</t>
  </si>
  <si>
    <t>Ruko Perkantoran Jl. BSD Raya Utama No.31, Pagedangan, Kec. Pagedangan, Kabupaten Tangerang, Banten 15339. (Foresta Business Loft 2)</t>
  </si>
  <si>
    <t>7747/SPP/SBU/PLNICONPLUS/2025</t>
  </si>
  <si>
    <t>4500025957</t>
  </si>
  <si>
    <t>3853/SPP/SBU/PLNICONPLUS/2024 | 4500023118</t>
  </si>
  <si>
    <t>7460/SPP/SBU/PLNICONPLUS/2025</t>
  </si>
  <si>
    <t>4500025772</t>
  </si>
  <si>
    <t>3841/SPP/SBU/PLNICONPLUS/2024 | 4500023260</t>
  </si>
  <si>
    <t>7717/SPP/SBU/PLNICONPLUS/2025</t>
  </si>
  <si>
    <t>4500025968</t>
  </si>
  <si>
    <t>PT Pegadaian Persero ITC Kuningan</t>
  </si>
  <si>
    <t>UPC ITC Kuningan - Jl. Prof. Dr. Satrio Kav 10 Setia Budi RT. Kel. Karet, Kec. Setia Budi</t>
  </si>
  <si>
    <t>A811401000655</t>
  </si>
  <si>
    <t>111401009367 / 111090082568</t>
  </si>
  <si>
    <t>6783/SPP/SBU/PLNICONPLUS/2025</t>
  </si>
  <si>
    <t>4500025465</t>
  </si>
  <si>
    <t>4386/SPP/SBU/PLNICONPLUS/2024 | 4500023587</t>
  </si>
  <si>
    <t>7731/SPP/SBU/PLNICONPLUS/2025</t>
  </si>
  <si>
    <t>4500026069</t>
  </si>
  <si>
    <t xml:space="preserve">Plaza Sinarmas Jl. Fachrudin 18 Lt.6, Jakarta Pusat, DKI Jakarta, Indonesia, 10250 </t>
  </si>
  <si>
    <t>2512/SPP/SBU/ICON+/2024 | 4500022755</t>
  </si>
  <si>
    <t>7628/SPP/SBU/PLNICONPLUS/2025</t>
  </si>
  <si>
    <t>4500025969</t>
  </si>
  <si>
    <t>110120204249 / 01000319538</t>
  </si>
  <si>
    <t>5619/SPP/SBU/PLNICONPLUS/2025 | 4500024537</t>
  </si>
  <si>
    <t>7959/SPP/SBU/PLNICONPLUS/2025</t>
  </si>
  <si>
    <t>4500026241</t>
  </si>
  <si>
    <t>PT Pegadaian Persero ITC Permata Hijau</t>
  </si>
  <si>
    <t>Jl. ITC Permata Hijau Lt. D/C. 10/2-3 Letjen Soepono RT.0 RW.0 Kebayoran Lama, Kab/Kota Jakarta Selatan, Prov. DKI Jakarta</t>
  </si>
  <si>
    <t>A81140100655</t>
  </si>
  <si>
    <t>111401009363</t>
  </si>
  <si>
    <t>7232/SPP/SBU/PLNICONPLUS/2025</t>
  </si>
  <si>
    <t>4500025774</t>
  </si>
  <si>
    <t>+62 816-999-222</t>
  </si>
  <si>
    <t>0990000320510452 / 110120206956</t>
  </si>
  <si>
    <t>3219/SPP/SBU/PLNICONPLUS/2024 | 4500022619</t>
  </si>
  <si>
    <t>7221/SPP/SBU/PLNICONPLUS/2025</t>
  </si>
  <si>
    <t>4500025589</t>
  </si>
  <si>
    <t>0990000320514382 / 110130303338</t>
  </si>
  <si>
    <t>01000014517 / 110120502219</t>
  </si>
  <si>
    <t>01000187625 / 110120206009</t>
  </si>
  <si>
    <t>110120206851</t>
  </si>
  <si>
    <t>110120502245</t>
  </si>
  <si>
    <t>Kantor Pusat Bank Woori Saudara Treasury Tower - District 8 Lt.26-27 Jl. Jend. Sudirman Kav. 52-53 Kel. Senayan, Kec. Kebayoran Baru, Jakarta Selatan, DKI Jakarta, Indonesia, 12190</t>
  </si>
  <si>
    <t>3565/SPP/SBU/PLNICONPLUS/2024</t>
  </si>
  <si>
    <t>7223/SPP/SBU/PLNICONPLUS/2024</t>
  </si>
  <si>
    <t>4500025606</t>
  </si>
  <si>
    <t xml:space="preserve">Renata Simanjuntak </t>
  </si>
  <si>
    <t>Jl. Jendral Sudirman Kav523</t>
  </si>
  <si>
    <t>6252/SPP/SBU/PLNICONPLUS/2025 | 4500024846</t>
  </si>
  <si>
    <t>8065/SPP/SBU/PLNICONPLUS/2025</t>
  </si>
  <si>
    <t>4500026259</t>
  </si>
  <si>
    <t>U111303002817</t>
  </si>
  <si>
    <t>3994/SPP/SBU/PLNICONPLUS/2024 | 4500023237</t>
  </si>
  <si>
    <t>7611/SPP/SBU/PLNICONPLUS/2025</t>
  </si>
  <si>
    <t>4500025964</t>
  </si>
  <si>
    <t>Layanan Upgrade to 50Mbps, Perpanjangan di Oktober 2026</t>
  </si>
  <si>
    <t>Gedung Graha Dirgantara, Jl Raya Protokol Halim Perdana Kusuma No.8</t>
  </si>
  <si>
    <t>4150/SPP/SBU/PLNICONPLUS/2024 | 4500023263</t>
  </si>
  <si>
    <t>7963/SPP/SBU/PLNICONPLUS/2025</t>
  </si>
  <si>
    <t>4500026243</t>
  </si>
  <si>
    <t>CYBER 2 TOWER JL. H. R. RASUNA SAID NO.13, RT.7/RW.2, KUNINGAN, KECAMATAN SETIABUDI, KOTA JAKARTA SELATAN, DKI JAKARTA 12950 ND2 ROOM CAGE N2C1-02-01 RACK NO 1 SERVER</t>
  </si>
  <si>
    <t>DC INFOMEDIA JATINEGARA, GD TELKOM OPMC LT. 3, JL. DI PANJAITAN KAV 24 JAKARTA TIMUR</t>
  </si>
  <si>
    <t>A821202001611</t>
  </si>
  <si>
    <t>7261/SPP/SBU/PLNICONPLUS/2025</t>
  </si>
  <si>
    <t>4500025604</t>
  </si>
  <si>
    <t>JL. LURAH KAWI NO. 1 JATILUHUR, KAB. PURWAKARTA, JAWA BARAT</t>
  </si>
  <si>
    <t>CBN NEX DC | CYBER2 TOWER 2ND FLOOR - JL. H. R. RASUNA SAID BLOK X-5 NO. 13 RT.7/RW.2, KUNINGAN TIMUR, KEC. SETIABUDI, KOTA JAKARTA SELATAN, DKI JAKARTA 12950</t>
  </si>
  <si>
    <t>121202001577</t>
  </si>
  <si>
    <t>4710/SPP/SBU/PLNICONPLUS/2024 | 4500023665</t>
  </si>
  <si>
    <t>8048/SPP/SBU/PLNICONPLUS/2025</t>
  </si>
  <si>
    <t>4500026235</t>
  </si>
  <si>
    <t>LINTASARTA TECHNOPARK DATA CENTER, KOMPLEK PERGUDANGAN TAMAN TEKNO BLOK D NO.8, BSD, SETU, KEC. SETU, KOTA TANGERANG SELATAN, BANTEN 15314</t>
  </si>
  <si>
    <t>DC PLN GEDUNG 2 LT.2 JL.TRUNOJOYO BLOK M I-135 JAKARTA 12160, INDONESIA
DRC PLN, DATA CENTER ICON JL.PLN EHAVE NO 1 GANDUL CINERE DEPOK, INDONESIA</t>
  </si>
  <si>
    <t>110120203481
'110120203482</t>
  </si>
  <si>
    <t>Metronet
Metronet</t>
  </si>
  <si>
    <t>1 Mbps
50 Mbps</t>
  </si>
  <si>
    <t>3936/SPP/SBU/PLNICONPLUS/2024 | 4500023190</t>
  </si>
  <si>
    <t>7816/SPP/SBU/PLNICONPLUS/2025</t>
  </si>
  <si>
    <t>4500026172</t>
  </si>
  <si>
    <t>Lintasarta Building , Jl.TB Simatupang Kav 10. Jakarta Selatan 12434</t>
  </si>
  <si>
    <t>4622/SPP/SBU/PLNICONPLUS/2024 | 4500023687</t>
  </si>
  <si>
    <t>8045/SPP/SBU/PLNICONPLUS/2025</t>
  </si>
  <si>
    <t>4500026232</t>
  </si>
  <si>
    <t>4531/SPP/SBU/PLNICONPLUS/2024 | 4500023542</t>
  </si>
  <si>
    <t>8085/SPP/SBU/PLNICONPLUS/2025</t>
  </si>
  <si>
    <t>4500026237</t>
  </si>
  <si>
    <t>4801/SPP/SBU/PLNICONPLUS/2024 | 4500023798</t>
  </si>
  <si>
    <t>8083/SPP/SBU/PLNICONPLUS/2025</t>
  </si>
  <si>
    <t>4500026236</t>
  </si>
  <si>
    <t>PT Mora Telematika Indonesia
PT Mora Telematika Indonesia
PT Cyberindo Aditama
PT Faasri Utama Sakti
PT Fiber Networks Indonesia
PT Centrin Online Prima</t>
  </si>
  <si>
    <t>AL/2102/3854 - 110120203886 / 0990000320497141
'AL/2102/3853 - 0990000320655389
'AL/2011/66992
'PA/ACT/2209/1811
'AL/2112/151305 - 110120202881 / 01000077695
'AL/2112/151305 - 110120202881 / 01000077695</t>
  </si>
  <si>
    <t>4640/SPP/SBU/PLNICONPLUS/2024 | 4500023729</t>
  </si>
  <si>
    <t>8047/SPP/SBU/PLNICONPLUS/2025</t>
  </si>
  <si>
    <t>4500026234</t>
  </si>
  <si>
    <t>4641/SPP/SBU/PLNICONPLUS/2024 | 4500023730</t>
  </si>
  <si>
    <t>8046/SPP/SBU/PLNICONPLUS/2025</t>
  </si>
  <si>
    <t>4500026233</t>
  </si>
  <si>
    <t>4293/SPP/SBU/PLNICONPLUS/2024 | 4500023588</t>
  </si>
  <si>
    <t>7992/SPP/SBU/PLNICONPLUS/2025</t>
  </si>
  <si>
    <t>4500026231</t>
  </si>
  <si>
    <t>GEDUNG WORLD TRADE CENTRE (WTC) 3 LANTAI 18 JALAN JEND. SUDIRMAN KAV. 29-31 SUDIRMAN, JAKARTA SELATAN, DKI JAKARTA 12920</t>
  </si>
  <si>
    <t xml:space="preserve">GEDUNG WORLD TRADE CENTRE (WTC) 2 LANTAI 6 JALAN JEND. SUDIRMAN KAV. 29-31 SUDIRMAN, JAKARTA SELATAN, DKI JAKARTA 12920     </t>
  </si>
  <si>
    <t>A111202013332</t>
  </si>
  <si>
    <t>7874/SPP/SBU/PLNICONPLUS/2025</t>
  </si>
  <si>
    <t>4500026186</t>
  </si>
  <si>
    <t>Raisha</t>
  </si>
  <si>
    <t>4403/SPP/SBU/PLNICONPLUS/2024 | 4500024433</t>
  </si>
  <si>
    <t>7694/SPP/SBU/PLNICONPLUS/2025</t>
  </si>
  <si>
    <t>4500026198</t>
  </si>
  <si>
    <t>6693/SPP/SBU/PLNICONPLUS/2025 | 4500025182</t>
  </si>
  <si>
    <t>7814/SPP/SBU/PLNICONPLUS/2025</t>
  </si>
  <si>
    <t>4500026200</t>
  </si>
  <si>
    <t>PT Maybank Sekuritas Indonesia</t>
  </si>
  <si>
    <t>NTT INDONESIA NEXCENTER JL. KUNINGAN BARAT RAYA NO.8, RT.6/RW.3, KUNINGAN BAR., KEC. MAMPANG PRPT., KUNINGAN, JAKARTA SELATAN, DKI JAKARTA, INDONESIA,</t>
  </si>
  <si>
    <t>RUKO MEGA MALL PLUIT/LIPPO VILLAGE NO. 48 JALAN PLUIT INDAH NO. 1, PLUIT,,PLUIT ,JAKARTA UTARA ,DKI JAKARTA ,INDONESIA ,</t>
  </si>
  <si>
    <t>PA/ACT/2112/1610/TER</t>
  </si>
  <si>
    <t>7812/SPP/SBU/PLNICONPLUS/2025</t>
  </si>
  <si>
    <t>PT Bank CIMB Niaga</t>
  </si>
  <si>
    <t>BACKHAUL BANK CIMB NIAGA, GEDUNG CYBER LT. 4, JL. KUNINGAN BARAT RAYA NO.8, RT.1/RW.3, KUNINGAN BARAT, KEC. MAMPANG PRAPATAN, JAKARTA SELATAN, DKI JAKARTA, INDONESIA, 12910</t>
  </si>
  <si>
    <t xml:space="preserve">JAKARTA SELATAN ,DKI JAKARTA ,INDONESIA </t>
  </si>
  <si>
    <t>21186/SPP/008/PUSAT/ICON+/2023 | 4500025873</t>
  </si>
  <si>
    <t>7838/SPP/SBU/PLNICONPLUS/2025</t>
  </si>
  <si>
    <t>3863/SPP/SBU/PLNICONPLUS/2024 | 4500024431</t>
  </si>
  <si>
    <t>7815/SPP/SBU/PLNICONPLUS/2025</t>
  </si>
  <si>
    <t>4500026201</t>
  </si>
  <si>
    <t>7289/SPP/SBU/PLNICONPLUS/2025</t>
  </si>
  <si>
    <t>4500025653</t>
  </si>
  <si>
    <t>111303012536</t>
  </si>
  <si>
    <t>7810/SPP/SBU/PLNICONPLUS/2025</t>
  </si>
  <si>
    <t>4500026279</t>
  </si>
  <si>
    <t>PT Pasifiktel Indotama qq Hexindo Adi Perkasa</t>
  </si>
  <si>
    <t>JL. DUREN TIGA RAYA NO.7, RT.9/RW.5, DUREN TIGA, KEC. PANCORAN, KOTA JAKARTA SELATAN, DAERAH KHUSUS IBUKOTA JAKARTA 12760</t>
  </si>
  <si>
    <t>5086/SPP/SBU/PLNICONPLUS/2024 | 4500024028</t>
  </si>
  <si>
    <t>7808/SPP/SBU/PLNICONPLUS/2025</t>
  </si>
  <si>
    <t>4500026277</t>
  </si>
  <si>
    <t>PT Soho Industri Pharmasi</t>
  </si>
  <si>
    <t>111303012433</t>
  </si>
  <si>
    <t>20160/SPP/008/PUSAT/ICON+/2022 | 4500019272</t>
  </si>
  <si>
    <t>7809/SPP/SBU/PLNICONPLUS/2025</t>
  </si>
  <si>
    <t>4500026278</t>
  </si>
  <si>
    <t>Gedung Indosat KPPTI, Jl Medan Merdeka Barat No.21, RT.2/RW.3, Kecamatan Gambir, Kota Jakarta Pusat, DKI Jakarta, 10110</t>
  </si>
  <si>
    <t>3833/SPP/SBU/PLNICONPLUS/2024 | 4500023087</t>
  </si>
  <si>
    <t>8103/SPP/SBU/PLNICONPLUS/2025</t>
  </si>
  <si>
    <t>4500026255</t>
  </si>
  <si>
    <t>+62 878-1104-9256</t>
  </si>
  <si>
    <t>3098/SPP/SBU/PLNICONPLUS/2024 | 4500022572</t>
  </si>
  <si>
    <t>7493/SPP/SBU/PLNICONPLUS/2025</t>
  </si>
  <si>
    <t>WSA2, Jl. Brigjen Katamso No.14, RT 4/RW.9, Kota Bambu Sel, Kec Palmerah, Kota Jakarta Barat, DKI Jakarta, 11420</t>
  </si>
  <si>
    <t>4385/SPP/SBU/PLNICONPLUS/2024 | 4500023586</t>
  </si>
  <si>
    <t>7977/SPP/SBU/PLNICONPLUS/2025</t>
  </si>
  <si>
    <t>4500026215</t>
  </si>
  <si>
    <t>INTERKONEKSI APJII LANTAI 1 RACKP - ASR920- UPE</t>
  </si>
  <si>
    <t>6461/SPP/SBU/PLNICONPLUS/2025</t>
  </si>
  <si>
    <t>4500025018</t>
  </si>
  <si>
    <t>PT. ITM SEMICONDUCTOR INDONESIA KAWASAN INDUSTRI JABABEKA TAHAP 3 JL. TEKNO RAYA, PASIRGOMBONG, KEC. CIKARANG UTARA, KABUPATEN BEKASI, JAWA BARAT 17530</t>
  </si>
  <si>
    <t>A111202013622</t>
  </si>
  <si>
    <t>111202023187</t>
  </si>
  <si>
    <t>7957/SPP/SBU/PLNICONPLUS/2025</t>
  </si>
  <si>
    <t>4500026239</t>
  </si>
  <si>
    <t>4714/SPP/SBU/PLNICONPLUS/2024 | 4500024318</t>
  </si>
  <si>
    <t>8225/SPP/SBU/PLNICONPLUS/2025</t>
  </si>
  <si>
    <t>4500026386</t>
  </si>
  <si>
    <t>4075/SPP/SBU/PLNICONPLUS/2024 | 4500023368</t>
  </si>
  <si>
    <t>7608/SPP/SBU/PLNICONPLUS/2025</t>
  </si>
  <si>
    <t>4500026240</t>
  </si>
  <si>
    <t>Bayu Aji</t>
  </si>
  <si>
    <t>PLAZA MANDIRI JL. GATOT SUBROTO NO.KAV 36-38, RT.7/RW.3, SENAYAN, KEC. KBY. BARU, KOTA  JAKARTA SELATAN, DAERAH KHUSUS IBUKOTA JAKARTA 12190</t>
  </si>
  <si>
    <t>10124 JAKARTA GANDARIA CITY, UG M-U 35 JL. SULTAN ISKANDAR MUDA. RT.10/RW.6, KEBAYORAN LAMA UTARA,KEC. KEBAYORAN LAMA ,JAKARTA SELATAN ,DKI JAKARTA</t>
  </si>
  <si>
    <t>110120501606</t>
  </si>
  <si>
    <t>4589/SPP/SBU/PLNICONPLUS/2024 | 4500023713</t>
  </si>
  <si>
    <t>8222/SPP/SBU/PLNICONPLUS/2025</t>
  </si>
  <si>
    <t>Iman Tarmidzi</t>
  </si>
  <si>
    <t>PT Bank Danamon</t>
  </si>
  <si>
    <t>Mitracomm The East Tower Lt.5, Mega Kuningan Kav E3.2 No.1, Mega Kuningan, Jakarta Selatan, DKI Jakarta, Indonesia</t>
  </si>
  <si>
    <t>A111202012944</t>
  </si>
  <si>
    <t>111202023014</t>
  </si>
  <si>
    <t>7813/SPP/SBU/PLNICONPLUS/2025</t>
  </si>
  <si>
    <t>4500026109</t>
  </si>
  <si>
    <t>Dewi Yuliana</t>
  </si>
  <si>
    <t>4072/SPP/SBU/PLNICONPLUS/2024 | 4500023503</t>
  </si>
  <si>
    <t>7873/SPP/SBU/PLNICONPLUS/2025</t>
  </si>
  <si>
    <t>4500026214</t>
  </si>
  <si>
    <t>Kharisma</t>
  </si>
  <si>
    <t>4412/SPP/SBU/PLNICONPLUS/2024 | 4500023815</t>
  </si>
  <si>
    <t>8221/SPP/SBU/PLNICONPLUS/2025</t>
  </si>
  <si>
    <t>4500026333</t>
  </si>
  <si>
    <t>U111303004162</t>
  </si>
  <si>
    <t>110130304105 / 04000128124 dan  110120503188 / 01000127809</t>
  </si>
  <si>
    <t>Internet Corporate dan IPVPN</t>
  </si>
  <si>
    <t>150 dan 200 Mbps</t>
  </si>
  <si>
    <t>4612/SPP/SBU/PLNICONPLUS/2024 | 4500023746</t>
  </si>
  <si>
    <t>7990/SPP/SBU/PLNICONPLUS/2025</t>
  </si>
  <si>
    <t>4500026181</t>
  </si>
  <si>
    <t>PT Pegadaian (Persero) Tbk</t>
  </si>
  <si>
    <t>Jl Mal Kalibata City Lantai 1, Blok B, RT.1 RW.1, Kel. Rawa Jati, Kec. Pancoran, Kota Jakarta Selatan Prov.DKI Jakarta.</t>
  </si>
  <si>
    <t>A811401000663</t>
  </si>
  <si>
    <t>111303015879</t>
  </si>
  <si>
    <t>6785/SPP/SBU/PLNICONPLUS/2025</t>
  </si>
  <si>
    <t>4500025201</t>
  </si>
  <si>
    <t xml:space="preserve">Bank Mizuho Menara Astra Jl Jend Sudirman Kav 5-6, Rt.9/Rw.4, Gondangdia, Menteng, Sudirman, Jakarta Pusat, DKI Jakarta </t>
  </si>
  <si>
    <t>4073/SPP/SBU/PLNICONPLUS/2024 | 4500023319</t>
  </si>
  <si>
    <t>7962/SPP/SBU/PLNICONPLUS/2025</t>
  </si>
  <si>
    <t>4074/SPP/SBU/PLNICONPLUS/2024 | 4500023318</t>
  </si>
  <si>
    <t>7656/SPP/SBU/PLNICONPLUS/2025</t>
  </si>
  <si>
    <t>Desa Niru Tebat Agung, Kec.Rambang Dangku, Kab, Muara Enim, Sumatera Selatan, 31172, Indonesia</t>
  </si>
  <si>
    <t>MENARA ASTRA LT. 20. L. JENDERAL SUDIRMAN NO.KAVLING 5, RW.6, KARET TENGSIN, KECAMATAN TANAH ABANG, KOTA JAKARTA PUSAT, DAERAH KHUSUS IBUKOTA JAKARTA 10220</t>
  </si>
  <si>
    <t>090000320321805</t>
  </si>
  <si>
    <t>813/SPP/SBU/ICON+/2023 | 4500020944 &amp; 4500021520</t>
  </si>
  <si>
    <t>7655/SPP/SBU/PLNICONPLUS/2025</t>
  </si>
  <si>
    <t>931/SPP/SBU/ICON+/2023 | 4500021130</t>
  </si>
  <si>
    <t>7650/SPP/SBU/PLNICONPLUS/2025</t>
  </si>
  <si>
    <t>PT Astra International TBK Lokasi T152 #Cyber</t>
  </si>
  <si>
    <t>01000045514 / 110120200462</t>
  </si>
  <si>
    <t>3839/SPP/SBU/PLNICONPLUS/2024 | 4500023084</t>
  </si>
  <si>
    <t>8042/SPP/SBU/PLNICONPLUS/2025</t>
  </si>
  <si>
    <t>PT Astra International TBK Lokasi T152 #Tenant</t>
  </si>
  <si>
    <t>3837/SPP/SBU/PLNICONPLUS/2024 | 4500023085</t>
  </si>
  <si>
    <t>PT Bank Nagari</t>
  </si>
  <si>
    <t>DRC TELKOM SIGMA BUMI SERPONG DAMAI, JALAN KAPTEN SUBIJANT</t>
  </si>
  <si>
    <t>A111205014260</t>
  </si>
  <si>
    <t>8084/SPP/SBU/PLNICONPLUS/2025</t>
  </si>
  <si>
    <t xml:space="preserve">KAWASAN INDUSTRI JABABEKA JL. JABABEKA IX B BLOK Q2, WANGUNHARJA, CIKARANG UTARA, KABUPATEN BEKASI, JAWA BARAT, INDONESIA, 17530       </t>
  </si>
  <si>
    <t>8129/SPP/SBU/PLNICONPLUS/2025</t>
  </si>
  <si>
    <t>PT Adira Dinamika Multifinance</t>
  </si>
  <si>
    <t xml:space="preserve">Kota Bekasi,  Jawa Barat,  Indonesia,  </t>
  </si>
  <si>
    <t>110120508838 / 01000022279</t>
  </si>
  <si>
    <t>3861/SPP/SBU/PLNICONPLUS/2024 | 4500023104</t>
  </si>
  <si>
    <t>7818/SPP/SBU/PLNICONPLUS/2025</t>
  </si>
  <si>
    <t>4500026286</t>
  </si>
  <si>
    <t>Asima</t>
  </si>
  <si>
    <t>PT Digital Karyaloka Nusantara</t>
  </si>
  <si>
    <t xml:space="preserve">A821205000211 </t>
  </si>
  <si>
    <t>4616/SPP/SBU/PLNICONPLUS/2024 | 4500023970</t>
  </si>
  <si>
    <t>7968/SPP/SBU/PLNICONPLUS/2025</t>
  </si>
  <si>
    <t>4500026287</t>
  </si>
  <si>
    <t>DC PLN Gandul, Jl Raya PLN Ehave, Gandul-Limo, Cinere Depok</t>
  </si>
  <si>
    <t>0990000320478064
'0990000320478063</t>
  </si>
  <si>
    <t>4886/SPP/SBU/PLNICONPLUS/2024 | 4500023993</t>
  </si>
  <si>
    <t>8044/SPP/SBU/PLNICONPLUS/2025</t>
  </si>
  <si>
    <t>4500026288</t>
  </si>
  <si>
    <t xml:space="preserve">PLN TRUNOJOYO BLOK M   </t>
  </si>
  <si>
    <t xml:space="preserve">PT DCI INDONESIA. RACK JATELINDO. MM2100 INDUSTRIAL TOWN. JL. IRIAN 1 BLOK GG5-1 CIKARANG BARAT, 17520,- ,- ,- ,INDONESIA ,-            </t>
  </si>
  <si>
    <t>110120203483</t>
  </si>
  <si>
    <t>4798/SPP/SBU/PLNICONPLUS/2024 | 4500023803</t>
  </si>
  <si>
    <t>8206/SPP/SBU/PLNICONPLUS/2025</t>
  </si>
  <si>
    <t>PA/ACT/1808/0070
'PA/ACT/1808/0071
'PA/ACT/2002/2527
'PA/UPG/1804/0439</t>
  </si>
  <si>
    <t>110120503078
'110120503075
'110120203498 / 01000076040
'01000029852
'110120203483
'04000171469
'01000006696
'0990000320467445</t>
  </si>
  <si>
    <t>4529/SPP/SBU/PLNICONPLUS/2024 | 4500023551</t>
  </si>
  <si>
    <t>8203/SPP/SBU/PLNICONPLUS/2025</t>
  </si>
  <si>
    <t>(OPEN PORT) DRC IPVPN JL. REMPOA RAYA NO. 11, CIPUTAT TIMUR, KOTA TANGERANG SELATAN, BANTEN, INDONESIA, 15412</t>
  </si>
  <si>
    <t>110120500876</t>
  </si>
  <si>
    <t>5174/SPP/SBU/PLNICONPLUS/2024 | 4500024145</t>
  </si>
  <si>
    <t>8200/SPP/SBU/PLNICONPLUS/2025</t>
  </si>
  <si>
    <t>(BACKHAUL REDUNDANT) RUMAH INDONET,JL. REMPOA RAYA NO.11, RT.6/RW.3, REMPOA, KEC. CIPUTAT TIM., KOTA TANGERANG SELATAN, BANTEN 15412</t>
  </si>
  <si>
    <t>4719/SPP/SBU/PLNICONPLUS/2024 | 4500023734</t>
  </si>
  <si>
    <t>8201/SPP/SBU/PLNICONPLUS/2025</t>
  </si>
  <si>
    <t>JL. DIPONEGORO NO.28, CITARUM, KEC. BANDUNG WETAN, KOTA BANDUNG, JAWA BARAT, INDONESIA, 40115</t>
  </si>
  <si>
    <t>GEDUNG SIGMA GERMAN CENTER - BSD TANGGERANG LANTAI 6, PAGEDANGAN, KABUPATEN TANGERANG, BANTEN, INDONESIA, 15339</t>
  </si>
  <si>
    <t>21331/SPP/008/PUSAT/ICON+/2023 | 4500020164</t>
  </si>
  <si>
    <t>7807/SPP/SBU/PLNICONPLUS/2025</t>
  </si>
  <si>
    <t>PT Telekomunikasi Seluler</t>
  </si>
  <si>
    <t>DC Sentul</t>
  </si>
  <si>
    <t>A111204000238</t>
  </si>
  <si>
    <t>4720/SPP/SBU/PLNICONPLUS/2024 | 4500025084</t>
  </si>
  <si>
    <t>7952/SPP/SBU/PLNICONPLUS/2025</t>
  </si>
  <si>
    <t xml:space="preserve">GERMAN CENTER LANTAI 3 TIMUR DATA CENTER TELKOM SIGMA DJ, BUMI SERPONG DAMAI, JALAN KAPTEN SUBIJANTO, LENGKONG GUDANG,  KEC. SERPONG, KOTA TANGERANG SELATAN BANTEN 15321 </t>
  </si>
  <si>
    <t xml:space="preserve"> 2 Mbps</t>
  </si>
  <si>
    <t>4832/SPP/SBU/PLNICONPLUS/2024 | 4500023857</t>
  </si>
  <si>
    <t>7924/SPP/SBU/PLNICONPLUS/2025</t>
  </si>
  <si>
    <t>4638/SPP/SBU/PLNICONPLUS/2024 | 4500023703</t>
  </si>
  <si>
    <t>7722/SPP/SBU/PLNICONPLUS/2025</t>
  </si>
  <si>
    <t>4337/SPP/SBU/PLNICONPLUS/2024 | 4500023722</t>
  </si>
  <si>
    <t>7991/SPP/SBU/PLNICONPLUS/2025</t>
  </si>
  <si>
    <t>45000</t>
  </si>
  <si>
    <t>PT Asuransi Umum BCA</t>
  </si>
  <si>
    <t>JL. LETJEN S. PARMAN, RT.4/RW.9, KOTA BAMBU SEL., KEC. PALMERAH, PALMERAH, JAKARTA BARAT, DKI JAKARTA, INDONESIA,</t>
  </si>
  <si>
    <t>JL. KUNINGAN BARAT RAYA NO.8, RT.1/RW.3, KEC. MAMPANG PRAPATAN, KUNINGAN BARAT, JAKARTA SELATAN, DKI JAKARTA, INDONESIA,</t>
  </si>
  <si>
    <t>16593/SPP/008/PUSAT/ICON+/2021 | 4500025853</t>
  </si>
  <si>
    <t>8023/SPP/SBU/PLNICONPLUS/2025</t>
  </si>
  <si>
    <t>4500026307</t>
  </si>
  <si>
    <t>Duta Parahyangan Lestari</t>
  </si>
  <si>
    <t xml:space="preserve">110120202383 / 01000114483 </t>
  </si>
  <si>
    <t>4530/SPP/SBU/PLNICONPLUS/2024 | 4500023594</t>
  </si>
  <si>
    <t>8063/SPP/SBU/PLNICONPLUS/2025</t>
  </si>
  <si>
    <t xml:space="preserve">A111205010476 </t>
  </si>
  <si>
    <t>4797/SPP/SBU/PLNICONPLUS/2024 | 4500023800</t>
  </si>
  <si>
    <t>8202/SPP/SBU/PLNICONPLUS/2025</t>
  </si>
  <si>
    <t>4500026361</t>
  </si>
  <si>
    <t>4615/SPP/SBU/PLNICONPLUS/2024 | 4500023601</t>
  </si>
  <si>
    <t>8199/SPP/SBU/PLNICONPLUS/2025</t>
  </si>
  <si>
    <t>5541/SPP/SBU/PLNICONPLUS/2025 | 4500024440</t>
  </si>
  <si>
    <t>7840/SPP/SBU/PLNICONPLUS/2025</t>
  </si>
  <si>
    <t>4500027018</t>
  </si>
  <si>
    <t xml:space="preserve">Sequis Center Building 9th Floor, Jl. Jend Sudirman Kav. 71 Jakarta, Jakarta Pusat,  DKI Jakarta,  Indonesia,  </t>
  </si>
  <si>
    <t>PT Tokki Engineering and Fabrication</t>
  </si>
  <si>
    <t xml:space="preserve">KAWASAN INDUSTRI JABABEKA II, JL. INDUSTRI SEL. VII NO.1C BLOK FF, PASIRSARI, CIKARANG SEL., KABUPATEN BEKASI, JAWA BARAT 17530        </t>
  </si>
  <si>
    <t>U111303008153</t>
  </si>
  <si>
    <t>04000089265</t>
  </si>
  <si>
    <t>8556/SPP/PLNICONPLUS/2025</t>
  </si>
  <si>
    <t>Eka Mas Republik</t>
  </si>
  <si>
    <t xml:space="preserve">PT Aneka Petroindo </t>
  </si>
  <si>
    <t>Jl. Tambun Rengas / Jl. Jakarta Garden City Boulevard RT. 000 RW. 014 Kel. Cakung Timur, Kec. Cakung, Jakarta Timur.</t>
  </si>
  <si>
    <t>A111303005803</t>
  </si>
  <si>
    <t>111303014950</t>
  </si>
  <si>
    <t>6893/SPP/SBU/PLNICONPLUS/2025</t>
  </si>
  <si>
    <t>Shelly</t>
  </si>
  <si>
    <t>Supra Primatama</t>
  </si>
  <si>
    <t>PA/ACT/2201/2697</t>
  </si>
  <si>
    <t>4500024474 | 4949/SPP/SBU/PLNICONPLUS/2024</t>
  </si>
  <si>
    <t>8215/SPP/SBU/PLNICONPLUS/2025</t>
  </si>
  <si>
    <t>Adhan</t>
  </si>
  <si>
    <t>4522/SPP/SBU/PLNICONPLUS/2024 | 4500023663</t>
  </si>
  <si>
    <t>8483/SPP/SBU/PLNICONPLUS/2025</t>
  </si>
  <si>
    <t>PT Hasnur Informasi Teknologi</t>
  </si>
  <si>
    <t>4780/SPP/SBU/PLNICONPLUS/2024 | 4500023756</t>
  </si>
  <si>
    <t>8450/SPP/SBU/PLNICONPLUS/2025</t>
  </si>
  <si>
    <t>H381</t>
  </si>
  <si>
    <t>(Backhaul) Bahana Tower, Jl. Lingkar Mega Kuningan Lot 5.5 – 5.6 Jakarta</t>
  </si>
  <si>
    <t>(BACKHAUL P2MP) MENARA SMBC, JL. DR. IDE ANAK AGUNG GDE AGUNG KAV. 5.5 - 5.6, KUNINGAN TIMUR, SETIABUDI, RT.5/RW.2, KUNINGAN, KUNINGAN TIMUR, SETIA BU</t>
  </si>
  <si>
    <t>'990000320433224
'990000320514319
'990000320423786
'990000320489734</t>
  </si>
  <si>
    <t>5081/SPP/SBU/PLNICONPLUS/2024 | 4500024055</t>
  </si>
  <si>
    <t>8494/SPP/SBU/PLNICONPLUS/2025</t>
  </si>
  <si>
    <t>4500026704</t>
  </si>
  <si>
    <t>Risma</t>
  </si>
  <si>
    <t>5441/SPP/SBU/PLNICONPLUS/2024 | 4500024435</t>
  </si>
  <si>
    <t>8360/SPP/SBU/PLNICONPLUS/2025</t>
  </si>
  <si>
    <t>4500026634</t>
  </si>
  <si>
    <t>9 Mbps</t>
  </si>
  <si>
    <t>5082/SPP/SBU/PLNICONPLUS/2024 | 4500024051</t>
  </si>
  <si>
    <t>8446/SPP/SBU/PLNICONPLUS/2025</t>
  </si>
  <si>
    <t>DC PLAZA MANDIRI &amp; DRC MANDIRI CIKARANG, -, JAKARTA SELATAN, DKI JAKARTA, INDONESIA</t>
  </si>
  <si>
    <t xml:space="preserve">GATOT SUBROTO, GEDUNG MENARA JAMSOSTEK, JL. JEND. GATOT SUBROTO KAV. 38,- ,- ,- ,INDONESIA </t>
  </si>
  <si>
    <t>110120501443 / 0990000020269731</t>
  </si>
  <si>
    <t>5160/SPP/SBU/PLNICONPLUS/2024 | 4500024132</t>
  </si>
  <si>
    <t>8445/SPP/SBU/PLNICONPLUS/2025</t>
  </si>
  <si>
    <t>5192/SPP/SBU/PLNICONPLUS/2024 | 4500024140</t>
  </si>
  <si>
    <t>8444/SPP/SBU/PLNICONPLUS/2025</t>
  </si>
  <si>
    <t>5588/SPP/SBU/PLNICONPLUS/2025 | 4500024443</t>
  </si>
  <si>
    <t>8140/SPP/SBU/PLNICONPLUS/2025</t>
  </si>
  <si>
    <t>Zulharman</t>
  </si>
  <si>
    <t>PT Indomarco Prismatama Tbk
PT Sarana Prima Telematika
PT Bank Mandiri</t>
  </si>
  <si>
    <t>Tifa Arum Realty, Jl.
Kuningan Bar. 1 No.26, RT.6/RW.1,
Kuningan Bar., Kec. Mampang Prpt.,
Kota Jakarta Selatan, Daerah Khusus
Ibukota Jakarta 12710, Kuningan Barat,
Jakarta Selatan, DKI Jakarta, Indonesia,
12710 -</t>
  </si>
  <si>
    <t>01000105958
'110120211331 / 01000175662
'110120501636 / 01000316630</t>
  </si>
  <si>
    <t>5523/SPP/SBU/PLNICONPLUS/2025 | 4500024445</t>
  </si>
  <si>
    <t>8139/SPP/SBU/PLNICONPLUS/2025</t>
  </si>
  <si>
    <t>4906/SPP/SBU/PLNICONPLUS/2024 | 4500023879</t>
  </si>
  <si>
    <t>8507/SPP/SBU/PLNICONPLUS/2025</t>
  </si>
  <si>
    <t>4500026650</t>
  </si>
  <si>
    <t>Widya</t>
  </si>
  <si>
    <t>4964/SPP/SBU/PLNICONPLUS/2024 | 4500024144</t>
  </si>
  <si>
    <t>8495/SPP/SBU/PLNICONPLUS/2025</t>
  </si>
  <si>
    <t>4500026687</t>
  </si>
  <si>
    <t>Amanda</t>
  </si>
  <si>
    <t>6393/SPP/SBU/PLNICONPLUS/2025 | 4500024954</t>
  </si>
  <si>
    <t>8496/SPP/SBU/PLNICONPLUS/2025</t>
  </si>
  <si>
    <t>4500026688</t>
  </si>
  <si>
    <t>4532/SPP/SBU/PLNICONPLUS/2024 | 4500023591</t>
  </si>
  <si>
    <t>8204/SPP/SBU/PLNICONPLUS/2025</t>
  </si>
  <si>
    <t>4799/SPP/SBU/PLNICONPLUS/2024 | 4500023804</t>
  </si>
  <si>
    <t>8205/SPP/SBU/PLNICONPLUS/2025</t>
  </si>
  <si>
    <t>PT PLN (Persero) Unit Induk Distribusi Jakarta Raya PG 257 Sarana Steel</t>
  </si>
  <si>
    <t>1000002027</t>
  </si>
  <si>
    <t>5062/SPP/SBU/PLNICONPLUS/2024 | 4500024027</t>
  </si>
  <si>
    <t>8410/SPP/SBU/PLNICONPLUS/2025</t>
  </si>
  <si>
    <t>PT PLN (Persero) Unit Induk Distribusi Jakarta Raya PG 189 Enseval</t>
  </si>
  <si>
    <t>1000001407</t>
  </si>
  <si>
    <t>5061/SPP/SBU/PLNICONPLUS/2024 | 4500024026</t>
  </si>
  <si>
    <t>8411/SPP/SBU/PLNICONPLUS/2025</t>
  </si>
  <si>
    <t>5022/SPP/SBU/PLNICONPLUS/2024 | 4500023996</t>
  </si>
  <si>
    <t>8361/SPP/SBU/PLNICONPLUS/2025</t>
  </si>
  <si>
    <t>PT Netciti Persada
PT Supra Primatama Nusantara
PT XL Axiata Tbk qq Bank BNI</t>
  </si>
  <si>
    <t xml:space="preserve">Cyber Building, Jl. Kuningan Barat Raya, RT.6/RW.3, Kuningan Bar., Kec. Mampang Prpt., Kota Jakarta Selatan, Daerah Khusus Ibukota Jakarta 12710,  MAMPANG PRAPATAN,  Jakarta Selatan,  DKI Jakarta,  Indonesia,  </t>
  </si>
  <si>
    <t>PT Netciti Persada - Ashoka Park Jl. Jampang Raya, Gn. Sindur,  Kec. Gn. Sindur,  Kabupaten Bogor,  Jawa Barat,  Indonesia,  16340</t>
  </si>
  <si>
    <t>01000334771
'110120205827 / 100000002820000
'01000315365</t>
  </si>
  <si>
    <t>4307/SPP/SBU/PLNICONPLUS/2024 | 4500023482</t>
  </si>
  <si>
    <t>8365/SPP/SBU/PLNICONPLUS/2025</t>
  </si>
  <si>
    <t>4301/SPP/SBU/PLNICONPLUS/2024 | 4500023486</t>
  </si>
  <si>
    <t>8403/SPP/SBU/PLNICONPLUS/2025</t>
  </si>
  <si>
    <t>4303/SPP/SBU/PLNICONPLUS/2024 | 4500023480</t>
  </si>
  <si>
    <t>8404/SPP/SBU/PLNICONPLUS/2025</t>
  </si>
  <si>
    <t>4309/SPP/SBU/PLNICONPLUS/2024 | 4500023483</t>
  </si>
  <si>
    <t>8364/SPP/SBU/PLNICONPLUS/2025</t>
  </si>
  <si>
    <t>4306/SPP/SBU/PLNICONPLUS/2024 | 4500023481</t>
  </si>
  <si>
    <t>8363/SPP/SBU/PLNICONPLUS/2025</t>
  </si>
  <si>
    <t>4304/SPP/SBU/PLNICONPLUS/2024 | 4500023484</t>
  </si>
  <si>
    <t>8362/SPP/SBU/PLNICONPLUS/2025</t>
  </si>
  <si>
    <t>5801/SPP/SBU/PLNICONPLUS/2025 | 4500024667</t>
  </si>
  <si>
    <t xml:space="preserve">8223/SPP/SBU/PLNICONPLUS/2025	</t>
  </si>
  <si>
    <t>4500026397</t>
  </si>
  <si>
    <t>4428/SPP/SBU/PLNICONPLUS/2024 | 4500023702</t>
  </si>
  <si>
    <t>8376/SPP/SBU/PLNICONPLUS/2025</t>
  </si>
  <si>
    <t>4500026444</t>
  </si>
  <si>
    <t>Backhaul KCP Menara BCA, Jl. M.H. Thamrin No.1, Menteng, Jakarta Pusat, DKI Jakarta, Indonesia, 10230</t>
  </si>
  <si>
    <t>4408/SPP/SBU/PLNICONPLUS/2024 | 4500023624</t>
  </si>
  <si>
    <t>8374/SPP/SBU/PLNICONPLUS/2025</t>
  </si>
  <si>
    <t>Trinity Tower, 43Rd Floor- Suites 09-16 &amp; 01 Jl. H.R. Rasuna Said Kav. C-22. Blok II-B RT.2/RW.5, Karet Kuningan, Setia Budi, Jakarta Selatan, DKI Jakarta</t>
  </si>
  <si>
    <t>4535/SPP/SBU/PLNICONPLUS/2024 | 4500023643</t>
  </si>
  <si>
    <t>8375/SPP/SBU/PLNICONPLUS/2025</t>
  </si>
  <si>
    <t>4500026569</t>
  </si>
  <si>
    <t>Riza Perdana</t>
  </si>
  <si>
    <t>Menara Wisma Asia, Jl. Letjen S, Parman No Kav.79/RT.4/RW.9, Kota Bambu Selatan, Kec. Palmerah</t>
  </si>
  <si>
    <t>01000057869 / 111205023968</t>
  </si>
  <si>
    <t>4396/SPP/SBU/PLNICONPLUS/2024 | 4500023700</t>
  </si>
  <si>
    <t>8372/SPP/SBU/PLNICONPLUS/2025</t>
  </si>
  <si>
    <t>4500026443</t>
  </si>
  <si>
    <t>Vensca</t>
  </si>
  <si>
    <t xml:space="preserve">110130304788 / 04000310259 </t>
  </si>
  <si>
    <t>4388/SPP/SBU/PLNICONPLUS/2024 | 4500024052</t>
  </si>
  <si>
    <t>8560/SPP/SBU/PLNICONPLUS/2025</t>
  </si>
  <si>
    <t>4500026647</t>
  </si>
  <si>
    <t>Jl. H.R Rasuna Said Kav C22, Block IIB, Jakarta 12940</t>
  </si>
  <si>
    <t>A111303006819</t>
  </si>
  <si>
    <t>111303015139</t>
  </si>
  <si>
    <t>6907/SPP/SBU/PLNICONPLUS/2025</t>
  </si>
  <si>
    <t>(Backhaul) Jl. H.R Rasuna Said Kav C22, Block IIB, Jakarta 12940</t>
  </si>
  <si>
    <t>A111205013785</t>
  </si>
  <si>
    <t>111205031972</t>
  </si>
  <si>
    <t>7986/SPP/SBU/PLNICONPLUS/2025</t>
  </si>
  <si>
    <t>PT Pertamina (Persero) Tbk</t>
  </si>
  <si>
    <t>MOR 3 DPPU Soekarno Hatta - PT Pertamina (Persero) - DPPU Soekarno Hatta (SHAFTI), Bandar Udara International Soekarno Hatta, Kec Tangerang, RT.01/RW. 10, Pajang, Kec.Tangerang, Kota Tangerang, 15126</t>
  </si>
  <si>
    <t>A811303001181</t>
  </si>
  <si>
    <t>111303013354</t>
  </si>
  <si>
    <t>6636/SPP/SBU/PLNICONPLUS/2025</t>
  </si>
  <si>
    <t>MOR III - SHIPS 3 - Kantor Pertamina Patra Niaga Bandara International Soekarno Hatta Remote 87 Terminal 3, Pajang, Kec.Tangerang, Kota Tangerang, 15126</t>
  </si>
  <si>
    <t>A811205000386</t>
  </si>
  <si>
    <t>111205028904</t>
  </si>
  <si>
    <t>7987/SPP/SBU/PLNICONPLUS/2025</t>
  </si>
  <si>
    <t>A811401000616</t>
  </si>
  <si>
    <t>221303000909</t>
  </si>
  <si>
    <t>7988/SPP/SBU/PLNICONPLUS/2025</t>
  </si>
  <si>
    <t>PT Multitech Infomedia</t>
  </si>
  <si>
    <t>GEDUNG CYBER JL. KUNINGAN BARAT RAYA NO.8, RT.1/RW.3, KUNINGAN BAR., KEC. MAMPANG PRPT., KOTA JAKARTA SELATAN, DAERAH KHUSUS IBUKOTA JAKARTA 12710</t>
  </si>
  <si>
    <t>A221204000042</t>
  </si>
  <si>
    <t>8891/SPP/SBU/PLNICONPLUS/2025</t>
  </si>
  <si>
    <t>Liyana</t>
  </si>
  <si>
    <t>Join All Customer (Rack Winter 275)</t>
  </si>
  <si>
    <t>8106/SPP/SBU/PLNICONPLUS/2025</t>
  </si>
  <si>
    <t>Nopi</t>
  </si>
  <si>
    <t>Cyber Network Indonesia</t>
  </si>
  <si>
    <t>Gedung Cyber 1 Lantai 9</t>
  </si>
  <si>
    <t>A811202000777</t>
  </si>
  <si>
    <t>8231/SPP/SBU/PLNICONPLUS/2025</t>
  </si>
  <si>
    <t>Join All Customer (Rack Summer 201)</t>
  </si>
  <si>
    <t>8105/SPP/SBU/PLNICONPLUS/2025</t>
  </si>
  <si>
    <t>110130306740 / 04000323214</t>
  </si>
  <si>
    <t>5171/SPP/SBU/PLNICONPLUS/2024 | 4500024155</t>
  </si>
  <si>
    <t>8022/SPP/SBU/PLNICONPLUS/2025</t>
  </si>
  <si>
    <t>PT Kawasan Berikat Nusantara</t>
  </si>
  <si>
    <t>Lahan Berikat Nusantara SBU Lahan Tanjung Priok Cakung</t>
  </si>
  <si>
    <t>Jl. Raya Cakung Cilincing, Jakarta Utara</t>
  </si>
  <si>
    <t>7944/SPP/SBU/PLNICONPLUS/2025</t>
  </si>
  <si>
    <t>PT Perusahaan Perdagangan</t>
  </si>
  <si>
    <t>Gedung Cyber 1 Basement Jl. Kuningan Barat No. 8</t>
  </si>
  <si>
    <t>7092/SPP/SBU/PLNICONPLUS/2025</t>
  </si>
  <si>
    <t>Gedung Cyber 1 CDC</t>
  </si>
  <si>
    <t>1301202000450 / 01000106664</t>
  </si>
  <si>
    <t>10 G</t>
  </si>
  <si>
    <t>7041/SPP/SBU/PLNICONPLUS/2025</t>
  </si>
  <si>
    <t xml:space="preserve"> 	8619/SPP/SBU/PLNICONPLUS/2025</t>
  </si>
  <si>
    <t>Selvyra</t>
  </si>
  <si>
    <t>SEWA  BULANAN</t>
  </si>
  <si>
    <t>5039/SPP/SBU/PLNICONPLUS/2024 | 4500024017</t>
  </si>
  <si>
    <t>8489/SPP/SBU/PLNICONPLUS/2025</t>
  </si>
  <si>
    <t>4136/SPP/SBU/PLNICONPLUS/2024 | 4500023387</t>
  </si>
  <si>
    <t>8368/SPP/SBU/PLNICONPLUS/2025</t>
  </si>
  <si>
    <t>CCBI KC Sahid Sudirman Center Gedung Sahid Sudirman Center Lt. 15 Jl. Jendral Sudirman Kav.86 Jakarta Pusat 10220</t>
  </si>
  <si>
    <t>A111303007095</t>
  </si>
  <si>
    <t>111090116089 / 111303015280</t>
  </si>
  <si>
    <t>7835/SPP/SBU/PLNICONPLUS/2025</t>
  </si>
  <si>
    <t>9060/SPP/SBU/PLNICONPLUS/2025</t>
  </si>
  <si>
    <t>3848/SPP/SBU/PLNICONPLUS/2024 | 4500023083</t>
  </si>
  <si>
    <t>8563/SPP/SBU/PLNICONPLUS/2025</t>
  </si>
  <si>
    <t>5456/SPP/SBU/PLNICONPLUS/2024 | 4500024543</t>
  </si>
  <si>
    <t>8755/SPP/SBU/PLNICONPLUS/2025</t>
  </si>
  <si>
    <t>PT Oktri Syarief Group (OMDC)</t>
  </si>
  <si>
    <t>PT Oktri Syarief Group (OMDC), Jl. Agung Utama Raya Blok A 36, A No.9, Sunter Agung</t>
  </si>
  <si>
    <t>A821303001440</t>
  </si>
  <si>
    <t>8192/SPP/SBU/PLNICONPLUS/2025</t>
  </si>
  <si>
    <t>Lukas</t>
  </si>
  <si>
    <t>Ina</t>
  </si>
  <si>
    <t>01000159201</t>
  </si>
  <si>
    <t>On proses perpanjangan kerjasama</t>
  </si>
  <si>
    <t>01000160472</t>
  </si>
  <si>
    <t>01000160471</t>
  </si>
  <si>
    <t>111202019553</t>
  </si>
  <si>
    <t>IPVPN secondary</t>
  </si>
  <si>
    <t>111202019554</t>
  </si>
  <si>
    <t>IPVPN Primary</t>
  </si>
  <si>
    <t>111205028603</t>
  </si>
  <si>
    <t>Metronet Secondary</t>
  </si>
  <si>
    <t>111205028604</t>
  </si>
  <si>
    <t>Metronet Primary</t>
  </si>
  <si>
    <t xml:space="preserve">04000154017 </t>
  </si>
  <si>
    <t>01000162676</t>
  </si>
  <si>
    <t>Trembersi Tower. Jl. Pahlawan Seribu Lot VIIA, CBD-BSD, Serpong Sub-District, South Tangerang City, Banten 15311</t>
  </si>
  <si>
    <t>U111303006856</t>
  </si>
  <si>
    <t>111303014995 / 200001126</t>
  </si>
  <si>
    <t>550 Mbps</t>
  </si>
  <si>
    <t>7257/SPP/SBU/PLNICONPLUS/2025</t>
  </si>
  <si>
    <t>4518/SPP/SBU/PLNICONPLUS/2024 | 4500023615</t>
  </si>
  <si>
    <t>9069/SPP/SBU/PLNICONPLUS/2025</t>
  </si>
  <si>
    <t>4519/SPP/SBU/PLNICONPLUS/2024 | 4500023737</t>
  </si>
  <si>
    <t>9068/SPP/SBU/PLNICONPLUS/2025</t>
  </si>
  <si>
    <t>4882/SPP/SBU/PLNICONPLUS/2024 | 4500024372</t>
  </si>
  <si>
    <t>8384/SPP/SBU/PLNICONPLUS/2025</t>
  </si>
  <si>
    <t>PT PLN Persero</t>
  </si>
  <si>
    <t>GH0043 Wisma Atlet Barat</t>
  </si>
  <si>
    <t>111205023561
'110000005173 / 01000013145
'110130303181 / 04000052190</t>
  </si>
  <si>
    <t>8973/SPP/SBU/PLNICONPLUS/2025</t>
  </si>
  <si>
    <t>8974/SPP/SBU/PLNICONPLUS/2025</t>
  </si>
  <si>
    <t>PT PLN Nusantara Power</t>
  </si>
  <si>
    <t>1000177876</t>
  </si>
  <si>
    <t>6508/SPP/SBU/PLNICONPLUS/2025</t>
  </si>
  <si>
    <t>6231/SPP/SBU/PLNICONPLUS/2025 | 4500024903</t>
  </si>
  <si>
    <t>AMD/2026/CEJ/000022</t>
  </si>
  <si>
    <t>4500027500</t>
  </si>
  <si>
    <t>DC Infomedia Kebalen - STO Kebalen Lt. 3</t>
  </si>
  <si>
    <t>Gedung Graha Inti Fauzi Lt. 8 Jl. Buncit Raya No. 22, Pejaten Baru, Pasar Minggu, Jakarta Selatan</t>
  </si>
  <si>
    <t>A821202001607</t>
  </si>
  <si>
    <t>8946/SPP/SBU/PLNICONPLUS/2025</t>
  </si>
  <si>
    <t>8612/SPP/SBU/PLNICONPLUS/2025</t>
  </si>
  <si>
    <t>Join All Customer (FO UTP D3)</t>
  </si>
  <si>
    <t>8564/SPP/SBU/PLNICONPLUS/2025</t>
  </si>
  <si>
    <t>JL. RUKO CEMP. MAS NO.27, RT.1671039, .27/RW.8, SUMUR BATU, KEC. KEMAYORAN, KOTA JAKARTA 
PUSAT, DAERAH KHUSUS IBUKOTA JAKARTA 10640</t>
  </si>
  <si>
    <t>110120510581 / 140000008240414</t>
  </si>
  <si>
    <t>5000/SPP/SBU/PLNICONPLUS/2024 | 4500024134</t>
  </si>
  <si>
    <t xml:space="preserve">9061/SPP/SBU/PLNICONPLUS/2025 </t>
  </si>
  <si>
    <t>(SUB HO CEMPAKA MAS) RUKO CEMPAKA MAS BLOK Q NO.12 &amp; 14, JL. LETJEN SOEPRAPTO, -, JAKARTA PUSAT, DKI JAKARTA, INDONESIA</t>
  </si>
  <si>
    <t>A821303000463</t>
  </si>
  <si>
    <t>5159/SPP/SBU/PLNICONPLUS/2024 | 4500024133</t>
  </si>
  <si>
    <t xml:space="preserve">9063/SPP/SBU/PLNICONPLUS/2025 </t>
  </si>
  <si>
    <t>(SOF CEMPAKA MAS + OTO PEC) RUKO MEGA GROSIR CEMPAKA MAS BLOK E 11-12, KEMAYORAN, JAKARTA PUSAT, DKI JAKARTA, INDONESIA, 10640</t>
  </si>
  <si>
    <t>A821303000341</t>
  </si>
  <si>
    <t>5191/SPP/SBU/PLNICONPLUS/2024 | 4500024293</t>
  </si>
  <si>
    <t xml:space="preserve">9066/SPP/SBU/PLNICONPLUS/2025 </t>
  </si>
  <si>
    <t>4998/SPP/SBU/PLNICONPLUS/2024 | 4500024004</t>
  </si>
  <si>
    <t>SPP/2025/CEJ/000002</t>
  </si>
  <si>
    <t>Cyber2 Tower, Kuningan, East Kuningan, Setiabudi, South Jakarta City, Jakarta, Kuningan, Jakarta Selatan, DKI Jakarta, Indonesia</t>
  </si>
  <si>
    <t>5545/SPP/SBU/PLNICONPLUS/2025 | 4500024441</t>
  </si>
  <si>
    <t>8997/SPP/SBU/PLNICONPLUS/2025</t>
  </si>
  <si>
    <t>NEW BACKHAUL DC TGI- NEX NEX DC NOMOR NF3-01-03:, GED. CYBER 2, RASUNA SAID JAKSEL</t>
  </si>
  <si>
    <t>'110120211126 / 01000064074</t>
  </si>
  <si>
    <t>5220/SPP/SBU/PLNICONPLUS/2025 | 4500024521</t>
  </si>
  <si>
    <t>9065/SPP/SBU/PLNICONPLUS/2025</t>
  </si>
  <si>
    <t>PT Systex Asia Indonesia</t>
  </si>
  <si>
    <t>CYBER 2, JL. H. R. RASUNA SAID NO.13, RT.7/RW.2, KUNINGAN, KUNINGAN TIM., KECAMATAN SETIABUDI, -, JAKARTA SELATAN, DKI JAKARTA, INDONESIA,</t>
  </si>
  <si>
    <t>130130301611 / 04000298551</t>
  </si>
  <si>
    <t>5221/SPP/SBU/PLNICONPLUS/2025 | 4500024548</t>
  </si>
  <si>
    <t xml:space="preserve">SPP/2025/CEJ/000003 </t>
  </si>
  <si>
    <t>130130301612 / 04000298541</t>
  </si>
  <si>
    <t>5477/SPP/SBU/PLNICONPLUS/2025 | 4500024663</t>
  </si>
  <si>
    <t>8760/SPP/SBU/PLNICONPLUS/2025</t>
  </si>
  <si>
    <t>4942/SPP/SBU/PLNICONPLUS/2024 | 4500023991</t>
  </si>
  <si>
    <t>8932/SPP/SBU/PLNICONPLUS/2025</t>
  </si>
  <si>
    <t>4943/SPP/SBU/PLNICONPLUS/2024 | 4500023992</t>
  </si>
  <si>
    <t>8933/SPP/SBU/PLNICONPLUS/2025</t>
  </si>
  <si>
    <t>Metronet QnQ</t>
  </si>
  <si>
    <t>4313/SPP/SBU/PLNICONPLUS/2024 | 4500023491</t>
  </si>
  <si>
    <t>8617/SPP/SBU/PLNICONPLUS/2025</t>
  </si>
  <si>
    <t>PT Internet Madju Abadi Milenindo</t>
  </si>
  <si>
    <t>PT. DCI INDONESIA : JL. HALMAHERA NO.1 BLOK F1, DANAU INDAH, KEC. CIKARANG BAR., KABUPATEN BEKASI, JAWA BARAT 17530</t>
  </si>
  <si>
    <t>PT. INTERNET MADJU ABAD MILENINDO) JL. GATOT SUBROTO BARAT NO.333, PADANGSAMBIAN KAJA, KEC. DENPASAR BAR., KOTA DENPASAR, BALI 80117</t>
  </si>
  <si>
    <t>A151204000010</t>
  </si>
  <si>
    <t xml:space="preserve">P2P ETH Kapasitas Besar </t>
  </si>
  <si>
    <t>40 G</t>
  </si>
  <si>
    <t>8615/SPP/SBU/PLNICONPLUS/2025</t>
  </si>
  <si>
    <t>KCP Baturiti, Jl. Gunung Agung No.23, Baturiti, Kec. Baturiti, Kabupaten Tabanan, Bali 82191 (- 8.328644978535914, 115.18610477301344)</t>
  </si>
  <si>
    <t>PT. DCI Indonesia Cibitung, Jl. Halmahera No.1, Danau Indah, Kec. Cikarang Bar., Kabupaten Bekasi, Jawa Barat 17530 (-6.304343935233593, 107.09755011534227)</t>
  </si>
  <si>
    <t xml:space="preserve">1523112300001 / 151202000385 </t>
  </si>
  <si>
    <t>5186/SPP/SBU/PLNICONPLUS/2024 | 4500024135</t>
  </si>
  <si>
    <t>8616/SPP/SBU/PLNICONPLUS/2025</t>
  </si>
  <si>
    <t>PT BRI Asuransi Indonesia</t>
  </si>
  <si>
    <t>GEDUNG KIRANA THREE Lantai 3A Jl. Boulevard Raya Kav.1. Jakarta Utara 14240.</t>
  </si>
  <si>
    <t>KELAPA GADING - KOMPLEK RUKAN KIRANA BOUTIQUE OFFICE, JL. KIRANA AVENUE 3 BLOK A2 NO. 5 KELAPA GADING, JAKARTA UTARA</t>
  </si>
  <si>
    <t>R111303008011</t>
  </si>
  <si>
    <t>8740/SPP/SBU/PLNICONPLUS/2025</t>
  </si>
  <si>
    <t>Darojah</t>
  </si>
  <si>
    <t>5094/SPP/SBU/PLNICONPLUS/2024 | 4500024056</t>
  </si>
  <si>
    <t>8448/SPP/SBU/PLNICONPLUS/2025</t>
  </si>
  <si>
    <t>Tiffany</t>
  </si>
  <si>
    <t>EKagrata Data Gemilang</t>
  </si>
  <si>
    <t>PT Bank Mandiri (Persero) Tbk
PT Airpay International Indonesia</t>
  </si>
  <si>
    <t>5553/SPP/SBU/PLNICONPLUS/2025 | 4500024519</t>
  </si>
  <si>
    <t>8493/SPP/SBU/PLNICONPLUS/2025</t>
  </si>
  <si>
    <t>KC MANGGA DUA : RUKO AGUNG SEDAYU (HARCO MG. DUA) BLOK E NO. 26, JL. MANGGA DUA RAYA – JAKARTA 10730,- ,- ,- ,INDONESIA</t>
  </si>
  <si>
    <t>111303012251</t>
  </si>
  <si>
    <t>5450/SPP/SBU/PLNICONPLUS/2024 | 4500024451</t>
  </si>
  <si>
    <t>8874/SPP/SBU/PLNICONPLUS/2025</t>
  </si>
  <si>
    <t>3864/SPP/SBU/PLNICONPLUS/2024 | 4500024432</t>
  </si>
  <si>
    <t>8618/SPP/SBU/PLNICONPLUS/2025</t>
  </si>
  <si>
    <t>H2H BRI - OVO NTT INDONESIA NEXCENTER JL. KUNINGAN BARAT RAYA NO.8, RT.6/RW.3, MAMPANG PRAPATAN, JAKARTA SELATAN, DKI JAKARTA, INDONESIA, 12710</t>
  </si>
  <si>
    <t>110120509892 / 01000312946</t>
  </si>
  <si>
    <t>8879/SPP/SBU/PLNICONPLUS/2025</t>
  </si>
  <si>
    <t>(BSCF TABANAN-DC DOKU) Jl. Patimura No.10, Dajan Peken</t>
  </si>
  <si>
    <t>JL. KUNINGAN BARAT RAYA NO.8, RT.6/RW.3,  MAMPANG PRAPATAN,  JAKARTA SELATAN,  DKI JAKARTA,  INDONESIA,  12710</t>
  </si>
  <si>
    <t>151205001186</t>
  </si>
  <si>
    <t>8878/SPP/SBU/PLNICONPLUS/2025</t>
  </si>
  <si>
    <t>4887/SPP/SBU/PLNICONPLUS/2024 | 4500023880</t>
  </si>
  <si>
    <t>8567/SPP/SBU/PLNICONPLUS/2025</t>
  </si>
  <si>
    <t>DC KPK BSD GRAHA TELKOM SIGMA BSD JL BUMI SERPONG DAMAI, JALAN KAPTEN SUBIJANTO, LENGKONG GUDANG, KEC. SERPONG, KOTA TANGERANG SELATAN, BANTEN 15322</t>
  </si>
  <si>
    <t>INDOSAT OREDEOO KPPTI , JL. MEDAN MERDEKA BARAT NO.21, RT.2/RW.3, GAMBIR, KECAMATAN GAMBIR, KOTA JAKARTA PUSAT, DAERAH KHUSUS IBUKOTA JAKARTA 10110</t>
  </si>
  <si>
    <t>A111202008329</t>
  </si>
  <si>
    <t>111202021502</t>
  </si>
  <si>
    <t>3103/SPP/SBU/PLNICONPLUS/2024 | 4500025882</t>
  </si>
  <si>
    <t>7806/SPP/SBU/PLNICONPLUS/2025</t>
  </si>
  <si>
    <t>U111301000194</t>
  </si>
  <si>
    <t>5043/SPP/SBU/PLNICONPLUS/2024 | 4500023995</t>
  </si>
  <si>
    <t>8931/SPP/SBU/PLNICONPLUS/2025</t>
  </si>
  <si>
    <t>4737/SPP/SBU/PLNICONPLUS/2024 | 4500023791</t>
  </si>
  <si>
    <t>8745/SPP/SBU/PLNICONPLUS/2025</t>
  </si>
  <si>
    <t>4500026714</t>
  </si>
  <si>
    <t>5371/SPP/SBU/PLNICONPLUS/2024 | 4500024316</t>
  </si>
  <si>
    <t>SPP/2026/CEJ/000001</t>
  </si>
  <si>
    <t>4500026954</t>
  </si>
  <si>
    <t xml:space="preserve">Halley </t>
  </si>
  <si>
    <t>4946/SPP/SBU/PLNICONPLUS/2024 | 4500023921</t>
  </si>
  <si>
    <t>9059/SPP/SBU/PLNICONPLUS/2025</t>
  </si>
  <si>
    <t>4500026948</t>
  </si>
  <si>
    <t>Dianita Putri</t>
  </si>
  <si>
    <t>PT Chandra Asri Petrochemical SMI Merak Plant, Mangunreja, Serang, Kabupaten Serang, Banten 42455</t>
  </si>
  <si>
    <t>4802/SPP/SBU/PLNICONPLUS/2024 | 4500023812</t>
  </si>
  <si>
    <t>8644/SPP/SBU/PLNICONPLUS/2025</t>
  </si>
  <si>
    <t>4500026713</t>
  </si>
  <si>
    <t>PT Chandra Asri Petrochemical SO Jl.Brigadir Jendral Katamso No.40, Gunungsugih, Kec Ciwandan, Kota Cilegon, Banten 42447</t>
  </si>
  <si>
    <t>(BNI Sekuritas) Jl. DI Panjaitan No.42, RT.12/RW.5, Rawa Bunga, Kec Jatinegara, Jakarta Timur, DKI Jakarta, 13350</t>
  </si>
  <si>
    <t>111202019548</t>
  </si>
  <si>
    <t>4929/SPP/SBU/PLNICONPLUS/2024 | 4500024088</t>
  </si>
  <si>
    <t>8643/SPP/SBU/PLNICONPLUS/2025</t>
  </si>
  <si>
    <t>4500026722</t>
  </si>
  <si>
    <t>01000169901</t>
  </si>
  <si>
    <t>4586/SPP/SBU/PLNICONPLUS/2024 | 4500023790</t>
  </si>
  <si>
    <t>8216/SPP/SBU/PLNICONPLUS/2025</t>
  </si>
  <si>
    <t>A111205014694</t>
  </si>
  <si>
    <t>01000120403 / 111205032264</t>
  </si>
  <si>
    <t>4904/SPP/SBU/PLNICONPLUS/2024 | 4500023853</t>
  </si>
  <si>
    <t>8757/SPP/SBU/PLNICONPLUS/2025</t>
  </si>
  <si>
    <t>4500026834</t>
  </si>
  <si>
    <t>4804/SPP/SBU/PLNICONPLUS/2024 | 4500023793</t>
  </si>
  <si>
    <t>8641/SPP/SBU/PLNICONPLUS/2025</t>
  </si>
  <si>
    <t>4500026711</t>
  </si>
  <si>
    <t>International Finance Center II, 19th Floor, Jl Jend Sudirman Kav 22-23 Jakarta 12920</t>
  </si>
  <si>
    <t>Ruangan Data Center PT. Primacom Interbuana. Gedung Prima Sejahtera, Jl. Jalur Sutera No. Kav 5A, RT.02/PW.03, Kunciran</t>
  </si>
  <si>
    <t>A111303008334; A111205017187</t>
  </si>
  <si>
    <t>111303016145</t>
  </si>
  <si>
    <t>99,97%</t>
  </si>
  <si>
    <t>Metro Ethernet</t>
  </si>
  <si>
    <t>10,240 Kbps</t>
  </si>
  <si>
    <t>8473/SPP/SBU/PLNICONPLUS/2025</t>
  </si>
  <si>
    <t>PT Pelayaran Bahtera Adhiguna Vlan 83</t>
  </si>
  <si>
    <t>4956/SPP/SBU/PLNICONPLUS/2024 | 4500023960</t>
  </si>
  <si>
    <t>8995/SPP/SBU/PLNICONPLUS/2025</t>
  </si>
  <si>
    <t>4500026864</t>
  </si>
  <si>
    <t>PT Pelayaran Bahtera Adhiguna 2 Link Vlan 82</t>
  </si>
  <si>
    <t>A112401000673</t>
  </si>
  <si>
    <t>111601012800</t>
  </si>
  <si>
    <t>4525/SPP/SBU/PLNICONPLUS/2025 | 4500023712</t>
  </si>
  <si>
    <t>9001/SPP/SBU/PLNICONPLUS/2025</t>
  </si>
  <si>
    <t>4500026914</t>
  </si>
  <si>
    <t>PT Pelayaran Bahtera Adhiguna 2 Link Vlan 1132</t>
  </si>
  <si>
    <t xml:space="preserve"> A112401000674</t>
  </si>
  <si>
    <t>111205024273</t>
  </si>
  <si>
    <t>9002/SPP/SBU/PLNICONPLUS/2025</t>
  </si>
  <si>
    <t>4500026913</t>
  </si>
  <si>
    <t>4902/SPP/SBU/PLNICONPLUS/2024|4500023858</t>
  </si>
  <si>
    <t>8609/SPP/SBU/PLNICONPLUS/2025</t>
  </si>
  <si>
    <t>4500026723</t>
  </si>
  <si>
    <t>Data Center GTN, Jl Mataram No.6A, Cibatu, Cikarang Selatan, Bekasi, Jawa Barat 17530 (Cage Bank Riau Kepri Rak 02 (Network))</t>
  </si>
  <si>
    <t>DRC Lintasarta TB Simatupang Jakarta: Gedung Lintasarta, Jl Tahi Bonar Simatupang Raya No.16, RT.16/RW.06, West Cilandak, Cilandak, Jakarta Selatan, 12430.
DC PDG Pekanbaru, Jl SM Amin Kelurahan Tobekgodang Kec Tampan Kota Pekanbaru (Cage Bank Riau Kepri Lantai 2 Rak 1.</t>
  </si>
  <si>
    <t>3771/SPP/SBU/PLNICONPLUS/2024 | 4500023019</t>
  </si>
  <si>
    <t>8227/SPP/SBU/PLNICONPLUS/2025</t>
  </si>
  <si>
    <t>4500026385</t>
  </si>
  <si>
    <t>7959/SPP/SBU/PLNICONPLUS/2025 | 4500026241</t>
  </si>
  <si>
    <t>9055/SPP/SBU/PLNICONPLUS/2025</t>
  </si>
  <si>
    <t>4500026946</t>
  </si>
  <si>
    <t>Downgrade menjadi 10 Mbps dengan nomor PO 4500028412</t>
  </si>
  <si>
    <t>5036/SPP/SBU/PLNICONPLUS/2024 | 4500024035</t>
  </si>
  <si>
    <t>9018/SPP/SBU/PLNICONPLUS/2025</t>
  </si>
  <si>
    <t>4500026947</t>
  </si>
  <si>
    <t>PT NAP Info Lintasnusa</t>
  </si>
  <si>
    <t xml:space="preserve">(NEW) PT. JAKARTA FUTURES EXCHANGE, JL. BIZNET TECHNOVILLAGE NO 1, BOJONG NANGKA, GUNUNG PUTRI, DEPOK, JAWA BARAT, INDONESIA, 16965
</t>
  </si>
  <si>
    <t xml:space="preserve">A111204000606
</t>
  </si>
  <si>
    <t xml:space="preserve">P2P ETH KAPASITAS BESAR - QINQ P2P
</t>
  </si>
  <si>
    <t>1G</t>
  </si>
  <si>
    <t>8993/SPP/SBU/PLNICONPLUS/2025</t>
  </si>
  <si>
    <t>Maria Gatra</t>
  </si>
  <si>
    <t>PT Pertamina Gas Starlink</t>
  </si>
  <si>
    <t>Jakarta</t>
  </si>
  <si>
    <t>Booster Manggala: IDC 3D Booster Manggala - JW4G+CVX, Banjar XII, Kec. Tanah Putih, Kabupaten Rokan Hilir, Riau 28992</t>
  </si>
  <si>
    <t>A811303002556</t>
  </si>
  <si>
    <t>111303016286</t>
  </si>
  <si>
    <t>SPP/2025/CEJ/000014</t>
  </si>
  <si>
    <t>Thomas</t>
  </si>
  <si>
    <t>Booster Kota Batak: IDC 3D Booster Kota Batak KP21 - Q6MP+72V, Kota Baru, Kec. Tapung Hilir, Kabupaten Kampar Riau</t>
  </si>
  <si>
    <t>A811303002557</t>
  </si>
  <si>
    <t>111303016287</t>
  </si>
  <si>
    <t>SPP/2025/CEJ/000011</t>
  </si>
  <si>
    <t>Booster Batang: IDC 3D Booster Batang Station - G5XH+V94, Rantau Bais, Kec.Tanah Putih, Kab. Rokan Hilir, Riau</t>
  </si>
  <si>
    <t>A811303002558</t>
  </si>
  <si>
    <t>111303016288</t>
  </si>
  <si>
    <t>SPP/2025/CEJ/000013</t>
  </si>
  <si>
    <t>Booster Batak Junction: IDC 3D Booster Kota Batak Junction - V78V+5FW Belutu, Kabupaten Siak, Riau</t>
  </si>
  <si>
    <t>A811303002559</t>
  </si>
  <si>
    <t>111303016289</t>
  </si>
  <si>
    <t>SPP/2025/CEJ/000012</t>
  </si>
  <si>
    <t xml:space="preserve"> PT ANUGRAH ARGON MEDICA</t>
  </si>
  <si>
    <t xml:space="preserve">(Titan Center) Jl. Boulevard Bintaro Blok B/B1 sektor 7 5
</t>
  </si>
  <si>
    <t xml:space="preserve">GEDUNG TITAN BINTARO LT. MEZANIN JL. BOULEVARD BINTARO JAYA BLOK B7/B1.5 NO.7 3RD FLOOR, PD. JAYA, KEC. PD. AREN, KOTA TANGERANG SELATAN, BANTEN 15220
</t>
  </si>
  <si>
    <t xml:space="preserve"> A821303001489
</t>
  </si>
  <si>
    <t>SPP/2025/CEJ/000004</t>
  </si>
  <si>
    <t>Bimo</t>
  </si>
  <si>
    <t>DWDM, Gd. NTTI data Center, Jl. Kuningan Barat Raya No.8, RT.6/RW.3, Kuningan Barat, Kec. Mampang Prapatan, Jakarta Selatan, DKI Jakarta, Indonesia</t>
  </si>
  <si>
    <t>IDC Dure Tiga Open IXP, Jl. Duren Tiga Raya No.7, RT.9/RW.5, Duren Tiga, Kec. Pancoran, Jakarta Selatan, DKI Jakarta, Indonesia, 12760</t>
  </si>
  <si>
    <t xml:space="preserve">2 Mbps </t>
  </si>
  <si>
    <t>AMD/2026/CEJ/000012</t>
  </si>
  <si>
    <t>Jl. Abdul Muis No. 50 Gambir, Jakarta Pusat</t>
  </si>
  <si>
    <t>5550/SPP/SBU/PLNICONPLUS/2025 | 4500024442</t>
  </si>
  <si>
    <t xml:space="preserve">AMD/2026/CEJ/000004 </t>
  </si>
  <si>
    <t>Data Center Indonesia (DCI) JK1, Cibitung, Jl. Halmahera No.1, Danau Indah, Kec. Cikarang Bar., Kabupaten Bekasi, Jawa Barat 17350</t>
  </si>
  <si>
    <t>111202020340</t>
  </si>
  <si>
    <t>Metronet - Qinq Metro Ethernet</t>
  </si>
  <si>
    <t>AMD/2026/CEJ/000035</t>
  </si>
  <si>
    <t>6017/SPP/SBU/PLNICONPLUS/2025 | 4500024744</t>
  </si>
  <si>
    <t>AMD/2026/CEJ/000011</t>
  </si>
  <si>
    <t>4500027470</t>
  </si>
  <si>
    <t>5888/SPP/SBU/PLNICONPLUS/2025 | 4500024647</t>
  </si>
  <si>
    <t>4500027469</t>
  </si>
  <si>
    <t>PT Bank BJB</t>
  </si>
  <si>
    <t>Menara Bank BJB, Jl. Naripan No.12-14, Braga, Kec. Sumur Bandung, Kota Bandung, Jawa Barat 40111</t>
  </si>
  <si>
    <t>Backhaul WAN DCI Indonesia, Kawasan Industri MM2100, Jl. Jawa Blok GGS No.1, Gd. JK 3 Lt.4, Cikarang Barat, Kabupaten Bekasi, Jawa Barat, Indonesia</t>
  </si>
  <si>
    <t>IPVPN MPLS</t>
  </si>
  <si>
    <t>AMD/2026/CEJ/000021</t>
  </si>
  <si>
    <t>5733/SPP/SBU/PLNICONPLUS/2025 | 450004666</t>
  </si>
  <si>
    <t>AMD/2026/CEJ/000018</t>
  </si>
  <si>
    <t>4500027465</t>
  </si>
  <si>
    <t>110120210384</t>
  </si>
  <si>
    <t>5156/SPP/SBU/PLNICONPLUS/2024 | 4500024130</t>
  </si>
  <si>
    <t>AMD/2026/CEJ/000016</t>
  </si>
  <si>
    <t>4500027468</t>
  </si>
  <si>
    <t>6119/SPP/SBU/PLNICONPLUS/2025 | 4500024900</t>
  </si>
  <si>
    <t>AMD/2026/CEJ/000020</t>
  </si>
  <si>
    <t>4500027466</t>
  </si>
  <si>
    <t>PT Wahana Citra Nabati</t>
  </si>
  <si>
    <t>Jalan Semarang Blok C. 01 -A.51</t>
  </si>
  <si>
    <t>A821303001524</t>
  </si>
  <si>
    <t>SPP/2026/CEJ/000022</t>
  </si>
  <si>
    <t>Jl. Adityawarman No. 55, Kebayoran Baru, Jakarta Selatan</t>
  </si>
  <si>
    <t>Recapital Building, JL. ADITYAWARMAN NO. 55 LT. 6, RT. 003 RW. 002 KEBAYORAN BARU JAKARTA SELATAN 12160</t>
  </si>
  <si>
    <t>5870/SPP/SBU/PLNICONPLUS/2025 | 4500024922</t>
  </si>
  <si>
    <t>AMD/2026/CEJ/000006</t>
  </si>
  <si>
    <t>4500027560</t>
  </si>
  <si>
    <t>Hery</t>
  </si>
  <si>
    <t>5438/SPP/SBU/PLNICONPLUS/2024 | 4500024409</t>
  </si>
  <si>
    <t>8761/SPP/SBU/PLNICONPLUS/2025</t>
  </si>
  <si>
    <t>4500026856</t>
  </si>
  <si>
    <t>Jenny</t>
  </si>
  <si>
    <t>6194/SPP/SBU/PLNICONPLUS/2025 | 4500024904</t>
  </si>
  <si>
    <t>AMD/2026/CEJ/000008</t>
  </si>
  <si>
    <t>4500027473</t>
  </si>
  <si>
    <t>DC DMG BDDC - JL. DAAN MOGOT BLVD KM. 18 NO. 18, RT.11/RW.6, KALIDERES, JAKARTA BARAT - 11840</t>
  </si>
  <si>
    <t>111303013198</t>
  </si>
  <si>
    <t>400 Mbps</t>
  </si>
  <si>
    <t>5586/SPP/SBU/PLNICONPLUS/2025 | 4500024520</t>
  </si>
  <si>
    <t>AMD/2026/CEJ/000013</t>
  </si>
  <si>
    <t>4500027471</t>
  </si>
  <si>
    <t>Rumah Data Kita</t>
  </si>
  <si>
    <t>Jl. Otista Raya No.61, RT.11/RW.12, Bidara Cina, Kecamatan Jatinegara, Kota Jakarta Timur, Daerah Khusus Ibukota Jakarta 13330</t>
  </si>
  <si>
    <t>[(CGK11) DIGITAL REALTY BERSAMA CAWANG / PT RUMAH DATA KITA] JL OTISTA RAYA NO 61 BIDARA CINA, JATINEGARA, JAKARTA TIMUR</t>
  </si>
  <si>
    <t>R111202015104</t>
  </si>
  <si>
    <t xml:space="preserve">SPP/2026/CEJ/000013 </t>
  </si>
  <si>
    <t>SPP/2026/CEJ/000011</t>
  </si>
  <si>
    <t>Lt. 3 Cyber Building 1, Jl. Kuningan Barat Raya No.8, Kec. Mampang Prpt., Daerah Khusus Ibukota Jakarta 12710</t>
  </si>
  <si>
    <t>Cyber 1 Lt. 3 DC SDI</t>
  </si>
  <si>
    <t>DCI CIBITUNG GD. JK 1 JL. HALMAHERA BLOK. F1 NO. 1, DANAU INDAH, CIKARANG BARAT, BEKASI, KAWASAN INDUSTRI MM2100 CIBITUNG DCI GD. JK 1, CIKARANG, JAWA BARAT, INDONESIA,</t>
  </si>
  <si>
    <t>110130307988 / 04000187683</t>
  </si>
  <si>
    <t>6205/SPP/SBU/PLNICONPLUS/2025 | 4500024848</t>
  </si>
  <si>
    <t xml:space="preserve">AMD/2026/CEJ/000028 </t>
  </si>
  <si>
    <t>5539/SPP/SBU/PLNICONPLUS/2025 | 4500024439</t>
  </si>
  <si>
    <t>AMD/2026/CEJ/000025</t>
  </si>
  <si>
    <t>5645/SPP/SBU/PLNICONPLUS/2025 | 4500024532</t>
  </si>
  <si>
    <t xml:space="preserve">AMD/2026/CEJ/000026 </t>
  </si>
  <si>
    <t>5779/SPP/SBU/PLNICONPLUS/2025 | 4500024662</t>
  </si>
  <si>
    <t>AMD/2026/CEJ/000034</t>
  </si>
  <si>
    <t>Inti Pusat Data Nusantara</t>
  </si>
  <si>
    <t xml:space="preserve">PT. NTTI NEXTCENTER (CSF), JL. KUNINGAN BARAT NO. 8 JAKARTA 12710,,INDONESIA ,-   
</t>
  </si>
  <si>
    <t>SPP/2026/CEJ/000004</t>
  </si>
  <si>
    <t>Hara</t>
  </si>
  <si>
    <t>Bumi Daya Plaza</t>
  </si>
  <si>
    <t>Gedung Graha Mandiri Jl. Imam Bonjol Jakarta Pusat</t>
  </si>
  <si>
    <t>GRAHA MANDIRI (BBD), GEDUNG, GRAHA MANDIRI, JL. IMAM BONJOL NO.61, MENTENG, KEC. MENTENG, KOTA JAKARTA PUSAT, DAERAH KHUSUS IBUKOTA JAKARTA 10310</t>
  </si>
  <si>
    <t>110120216093 /
01000345394</t>
  </si>
  <si>
    <t>Dinda/ Arde</t>
  </si>
  <si>
    <t>(BACKHAUL METRONET) KOMPLEKS BANK MANDIRI GRIYA REMPOA JL. IR H. JUANDA NO.27, REMPOA, KEC. CIPUTAT TIMUR, KOTA TANGERANG SELATAN, BANTEN 15413</t>
  </si>
  <si>
    <t>GRAHA MANDIRI (BBD), GEDUNG, GRAHA MANDIRI, JL. IMAM BONJOL NO.61, MENTENG, KEC. MENTENG, KOTA JAKARTA PUSAT, DAERAH KHUSUS IBUKOTA JAKARTA 10311</t>
  </si>
  <si>
    <t>(BACKHAUL METRONET) KOMPLEKS BANK MANDIRI GRIYA REMPOA JL. IR H. JUANDA NO.27, REMPOA, KEC. CIPUTAT TIMUR, KOTA TANGERANG SELATAN, BANTEN 15414</t>
  </si>
  <si>
    <t>GRAHA MANDIRI (BBD), GEDUNG, GRAHA MANDIRI, JL. IMAM BONJOL NO.61, MENTENG, KEC. MENTENG, KOTA JAKARTA PUSAT, DAERAH KHUSUS IBUKOTA JAKARTA 10312</t>
  </si>
  <si>
    <t>4997/SPP/SBU/PLNICONPLUS/2024 | 4500024136</t>
  </si>
  <si>
    <t xml:space="preserve">SPP/2026/CEJ/000015 </t>
  </si>
  <si>
    <t>Venny</t>
  </si>
  <si>
    <t>6247/SPP/SBU/PLNICONPLUS/2025 | 4500024844</t>
  </si>
  <si>
    <t xml:space="preserve">AMD/2026/CEJ/000027 </t>
  </si>
  <si>
    <t>Rany</t>
  </si>
  <si>
    <t>PT Nugraha Indah Citarasa Indonesia
PT PP London Sumatra Indonesia Tbk</t>
  </si>
  <si>
    <t>5736/SPP/SBU/PLNICONPLUS/2025 | 4500024574</t>
  </si>
  <si>
    <t>AMD/2026/CEJ/000031</t>
  </si>
  <si>
    <t>4500027514</t>
  </si>
  <si>
    <t>PT Bank Panin</t>
  </si>
  <si>
    <t>GD. BANK PANIN CENTER LT.10 SENAYAN . JL. JENDERAL SUDIRMAN NO.KAV.1, RT.1/RW.3, GELORA, KECAMATAN TANAH ABANG, KOTA JAKARTA PUSAT, DAERAH KHUSUS IBUKOTA JAKARTA 10270</t>
  </si>
  <si>
    <t>H2H DC LINTAS ARTA DC (CGK 2) KOMPLEK PERGUDANGAN TAMAN TEKNO BLOK D NO.08 SETU, BUMI SERPONG DAMAI, TANGERANG, BANTEN</t>
  </si>
  <si>
    <t xml:space="preserve">AMD/2026/CEJ/000017 </t>
  </si>
  <si>
    <t>5440/SPP/SBU/PLNICONPLUS/2024 | 4500024434</t>
  </si>
  <si>
    <t>SPP/2025/CEJ/000018</t>
  </si>
  <si>
    <t>5646/SPP/SBU/PLNICONPLUS/2025 | 4500024518</t>
  </si>
  <si>
    <t>SPP/2025/CEJ/000019</t>
  </si>
  <si>
    <t>6496/SPP/SBU/PLNICONPLUS/2025 | 4500024990</t>
  </si>
  <si>
    <t>SPP/2025/CEJ/000033</t>
  </si>
  <si>
    <t xml:space="preserve">6121/SPP/SBU/PLNICONPLUS/2025 | 4500024901
</t>
  </si>
  <si>
    <t>AMD/2026/CEJ/000047</t>
  </si>
  <si>
    <t>111202020340 / 0
'111303014400 / 0
'111303014106 / 0
'110130307989 / 04000201757
'110130307988 / 04000187683
'111202017342 / 0</t>
  </si>
  <si>
    <t>5089/SPP/SBU/PLNICONPLUS/2024 | 4500024087</t>
  </si>
  <si>
    <t>AMD/2026/CEJ/000014</t>
  </si>
  <si>
    <t>(PRODIA GUNUNG PUTRI)  KOTA WISATA, RUKO BOSTON SQUARE RK 1  NOMOR 15-16, KELURAHAN CIANGSANA,  KEC GUNUNG PUTRI, KAB BOGOR JAWA BARAT</t>
  </si>
  <si>
    <t xml:space="preserve">SPP/2026/CEJ/000005 </t>
  </si>
  <si>
    <t>PT Teknologi Abyakta Utama</t>
  </si>
  <si>
    <t>Gedung Menara Jamsostek Lantai 16</t>
  </si>
  <si>
    <t>A821303001491</t>
  </si>
  <si>
    <t xml:space="preserve">SPP/2025/CEJ/000008 </t>
  </si>
  <si>
    <t>110120203638 / 01000181886</t>
  </si>
  <si>
    <t>7812/SPP/SBU/PLNICONPLUS/2025 | 4500026199</t>
  </si>
  <si>
    <t>AMD/2026/CEJ/000009</t>
  </si>
  <si>
    <t>DWDM GD. NTT DATA CENTER, JL. KUNINGAN BARAT RAYA NO.8 RT.6/RW.3, KUNINGAN BARAT KEC. MAMPANG PRAPATAN, JAKARTA SELATAN, DKI JAKARTA</t>
  </si>
  <si>
    <t>IDC DUREN TIGA OPEN IXP, JL. DUREN TIGA RAYA NO.7, RT.9/RW.5, DUREN TIGA,KEC. PANCORAN 
,JAKARTA SELATAN ,DKI JAKARTA ,INDONESIA ,12760</t>
  </si>
  <si>
    <t>5920/SPP/SBU/PLNICONPLUS/2025 | 4500024992</t>
  </si>
  <si>
    <t>4621/SPP/SBU/PLNICONPLUS/2024 | 4500023704</t>
  </si>
  <si>
    <t xml:space="preserve">SPP/2026/CEJ/000028 </t>
  </si>
  <si>
    <t>7837/SPP/SBU/PLNICONPLUS/2025 | 4500026202</t>
  </si>
  <si>
    <t xml:space="preserve">AMD/2026/CEJ/000032 </t>
  </si>
  <si>
    <t>6897/SPP/SBU/PLNICONPLUS/2025 | 4500025334</t>
  </si>
  <si>
    <t>SPP/2026/CEJ/000026</t>
  </si>
  <si>
    <t>111303016116</t>
  </si>
  <si>
    <t>5872/SPP/SBU/PLNICONPLUS/2025 | 4500024664</t>
  </si>
  <si>
    <t>AMD/2026/CEJ/000003</t>
  </si>
  <si>
    <t>A121202001825</t>
  </si>
  <si>
    <t>6120/SPP/SBU/PLNICONPLUS/2025 | 4500025083</t>
  </si>
  <si>
    <t>AMD/2026/CEJ/000007</t>
  </si>
  <si>
    <t>PT Lembaga Penjamin Simpanan</t>
  </si>
  <si>
    <t>Gedung Cyber Lt. 9, Jl. Kuningan Barat I No. 8 RT.001/003, Mampang Prapatan, Jakarta Selatan 12710</t>
  </si>
  <si>
    <t>111202023274 / 111202023273</t>
  </si>
  <si>
    <t>SPP/2026/CEJ/000008</t>
  </si>
  <si>
    <t>5644/SPP/SBU/PLNICONPLUS/2025 | 4500024533</t>
  </si>
  <si>
    <t>AMD/2026/CEJ/000029</t>
  </si>
  <si>
    <t>Anita</t>
  </si>
  <si>
    <t xml:space="preserve">PT Bank Mayapada </t>
  </si>
  <si>
    <t>5997/SPP/SBU/PLNICONPLUS/2025 | 4500024718</t>
  </si>
  <si>
    <t>AMD/2026/CEJ/000061</t>
  </si>
  <si>
    <t xml:space="preserve"> 5 Mbps</t>
  </si>
  <si>
    <t>6192/SPP/SBU/PLNICONPLUS/2025 | 4500024899</t>
  </si>
  <si>
    <t>AMD/2026/CEJ/000067</t>
  </si>
  <si>
    <t>110120202242</t>
  </si>
  <si>
    <t>6644/SPP/SBU/PLNICONPLUS/2025 | 4500025176</t>
  </si>
  <si>
    <t>AMD/2026/CEJ/000055</t>
  </si>
  <si>
    <t>Novita</t>
  </si>
  <si>
    <t>6059/SPP/SBU/PLNICONPLUS/2025 | 4500024897</t>
  </si>
  <si>
    <t>AMD/2026/CEJ/000057</t>
  </si>
  <si>
    <t>5968/SPP/SBU/PLNICONPLUS/2025 | 4500024722</t>
  </si>
  <si>
    <t>AMD/2026/CEJ/000066</t>
  </si>
  <si>
    <t>6806/SPP/SBU/PLNICONPLUS/2025 | 4500025320</t>
  </si>
  <si>
    <t>AMD/2026/CEJ/000056</t>
  </si>
  <si>
    <t>Kawasan KLBD Befa</t>
  </si>
  <si>
    <t>4642/SPP/SBU/PLNICONPLUS/2024 | 4500023796</t>
  </si>
  <si>
    <t>AMD/2026/CEJ/00006</t>
  </si>
  <si>
    <t>Pusat Grosir Cililitan</t>
  </si>
  <si>
    <t>PT Prima Graha Citra, Gedung Pusat Grosir Cililitan, Kota Jakarta Timur, 13640</t>
  </si>
  <si>
    <t>Jakarta Pusat Grosir Cililitan Jl. Mayjend Sutoyo No.76, Cililitan, Kramat Jati, Jakarta Timur</t>
  </si>
  <si>
    <t>A111205019185</t>
  </si>
  <si>
    <t>1 Maret 2026</t>
  </si>
  <si>
    <t>SPP/2026/CEJ/000023</t>
  </si>
  <si>
    <t>Jl. K. H. Mansyur Kav.126, Jakarta 10220</t>
  </si>
  <si>
    <t>HO IBR - CILANGKAP, KEC. BABAKANCIKAO, KABUPATEN PURWAKARTA, JAWA BARAT, 41151</t>
  </si>
  <si>
    <t>JL. K.H. MAS MANSYUR NO. KAMV. 126, KARET TENGSIN, KECAMATAN TANAH ABANG, KOTA JAKARTA PUSAT, DAERAH KHUSUS IBUKOTA JAKARTA, 10250</t>
  </si>
  <si>
    <t>A121202000426/121202001406</t>
  </si>
  <si>
    <t>AMD/2026/CEJ/000052</t>
  </si>
  <si>
    <t>TOYOTA ASTRA MOTOR HO (EXISTING) JL. YOS SUDARSO SUNTER II, JAKARTA (EXISTING),-,-,-,INDONESIA,-</t>
  </si>
  <si>
    <t>TOYOTA ASTRA MOTOR SPLD, KAWASAN INDUSTRI MM 2100 BL A1-1/A1-2 CIBITUNG (EXISTING),-,-,-, INDONESIA,-</t>
  </si>
  <si>
    <t>110120209010/0990000320322484</t>
  </si>
  <si>
    <t>AMD/2026/CEJ/000049</t>
  </si>
  <si>
    <t>Backhoul BNI Slipi, PT BNI Gedung BNI Jl. S. Parman</t>
  </si>
  <si>
    <t>Menara Standard Chartered Jl. Prof. Dr. Satrio No. 164, RT.4/RW.4, Karet Semanggi, Kecamatan Setiabudi, Kota Jakarta Selatan</t>
  </si>
  <si>
    <t>AMD/2026/CEJ/000041</t>
  </si>
  <si>
    <t>[UID Banten-UP2D]</t>
  </si>
  <si>
    <t>GH 611, Jl. BSD Raya Pusat, Pegedangan, Kec.Pagedangan, Kabupaten Tangerang, Banten 15339, Indonesia</t>
  </si>
  <si>
    <t>AMD/2026/CEJ/000036</t>
  </si>
  <si>
    <t>BSD Serpong, Jl. Letnan Sutopo No.7 Kavling Komplek 3A, Lengkong Wetan, Kec. Serpong, Kota Tangerang Selatan, Banten, 15310</t>
  </si>
  <si>
    <t>AMD/2026/CEJ/000024</t>
  </si>
  <si>
    <t>A111202015625</t>
  </si>
  <si>
    <t>5643/SPP/SBU/PLNICONPLUS/2025 |4500024539</t>
  </si>
  <si>
    <t>AMD/2026/CEJ/000023</t>
  </si>
  <si>
    <t>ERIK</t>
  </si>
  <si>
    <t>U211205000572</t>
  </si>
  <si>
    <t>7655/SPP/SBU/PLNICONPLUS/2025 | 4500025965</t>
  </si>
  <si>
    <t>8213/SPP/SBU/PLNICONPLUS/2025</t>
  </si>
  <si>
    <t>7650/SPP/SBU/PLNICONPLUS/2025 | 4500026070</t>
  </si>
  <si>
    <t>8212/SPP/SBU/PLNICONPLUS/2025</t>
  </si>
  <si>
    <t>U111303008283</t>
  </si>
  <si>
    <t>7611/SPP/SBU/PLNICONPLUS/2025 | 4500025964</t>
  </si>
  <si>
    <t>8371/SPP/SBU/PLNICONPLUS/2025</t>
  </si>
  <si>
    <t>4500026439</t>
  </si>
  <si>
    <t>6532/SPP/SBU/PLNICONPLUS/2025 | 4500025082</t>
  </si>
  <si>
    <t>AMD/2026/CEJ/000099</t>
  </si>
  <si>
    <t xml:space="preserve">Forisa Nusapersada </t>
  </si>
  <si>
    <t>Jl. Pegangsaan Dua No.12, RT.3/RW.19. Pegangsaan Dua, Kec/Kelapa Gading, Jakarta Utara, DKI Jakarta, 14250</t>
  </si>
  <si>
    <t>Industri Cikupa Mas, Kawasan Jl Bumi Mas Raya II No.7, RT.4/RW.3, Talaga, Kec.Cikupa, Kab.Tangerang, Banten, 15710</t>
  </si>
  <si>
    <t>R111202015296 &amp; R111303008929</t>
  </si>
  <si>
    <t>110120202886 &amp; 110130303553</t>
  </si>
  <si>
    <t>SPP/2025/CEJ/000005</t>
  </si>
  <si>
    <t>6621/SPP/SBU/PLNICONPLUS/2025 | 4500025159</t>
  </si>
  <si>
    <t>AMD/2026/CEJ/000053</t>
  </si>
  <si>
    <t>4500027941</t>
  </si>
  <si>
    <t>6019/SPP/SBU/PLNICONPLUS/2025 | 4500024746</t>
  </si>
  <si>
    <t>AMD/2026/CEJ/000059</t>
  </si>
  <si>
    <t>(Dismantle per 17 Mei 2026)</t>
  </si>
  <si>
    <t>Duren Tiga, Pancoran, Kota Jakarta Selatan</t>
  </si>
  <si>
    <t>6005/SPP/SBU/PLNICONPLUS/2025 | 4500024787</t>
  </si>
  <si>
    <t>AMD/2026/CEJ/000043</t>
  </si>
  <si>
    <t>Lembaga Kebijakan Pengadaan Barang/Jasa Pemerintah</t>
  </si>
  <si>
    <t>Jl Epicentrum Tengah Lot 11B, Kawasan Epicentrum Kuningan, Setiabudi, Jakarta Selatan, DKI Jakarta</t>
  </si>
  <si>
    <t>A811301000038</t>
  </si>
  <si>
    <t>111301000256</t>
  </si>
  <si>
    <t>IP Transit IX dan IIX</t>
  </si>
  <si>
    <t>SPP/2025/CEJ/000010</t>
  </si>
  <si>
    <t>A111202006876</t>
  </si>
  <si>
    <t>5373/SPP/SBU/PLNICONPLUS/2024 | 4500024349</t>
  </si>
  <si>
    <t>AMD/2026/CEJ/000015</t>
  </si>
  <si>
    <t>A821604002277</t>
  </si>
  <si>
    <t>5455/SPP/SBU/PLNICONPLUS/2024 | 4500024348</t>
  </si>
  <si>
    <t>AMD/2026/CEJ/000002</t>
  </si>
  <si>
    <t>PLAZA SINARMAS JL. FACHRUDIN 18 LT.6 JAKARTA PUSAT 10250, -, JAKARTA PUSAT, DKI JAKARTA, INDONESIA,</t>
  </si>
  <si>
    <t>BACKHAUL BANK SINARMAS (DRC PRIMARY) JL. PAHLAWAN SERIBU, GD SMART TELECOM, CBD BSD LOT 12.A LENGKONG WETAN,SERPONG ,KOTA TANGERANG SELATAN ,BANTEN</t>
  </si>
  <si>
    <t>110120511062 / 01000086106</t>
  </si>
  <si>
    <t>5589/SPP/SBU/PLNICONPLUS/2025 | 4500024767</t>
  </si>
  <si>
    <t>AMD/2026/CEJ/000064</t>
  </si>
  <si>
    <t>Tasya</t>
  </si>
  <si>
    <t>5734/SPP/SBU/PLNICONPLUS/2025 | 4500024573</t>
  </si>
  <si>
    <t>AMD/2026/CEJ/000050</t>
  </si>
  <si>
    <t>Netta</t>
  </si>
  <si>
    <t xml:space="preserve">(BACKHAUL METRONET) KOMPLEKS BANK MANDIRI GRIYA REMPOA JL. IR H. JUANDA NO.27, REMPOA, KEC. CIPUTAT TIMUR, KOTA TANGERANG SELATAN, BANTEN 15412 </t>
  </si>
  <si>
    <t xml:space="preserve">BSI DANAREKSA LT9 | JL. MEDAN MERDEKA SEL. NO.14, RT.11/RW.2, GAMBIR, KECAMATAN GAMBIR, KOTA JAKARTA PUSAT, DAERAH KHUSUS IBUKOTA JAKARTA 10110 </t>
  </si>
  <si>
    <t>111202017988 / 0</t>
  </si>
  <si>
    <t>6173/SPP/SBU/PLNICONPLUS/2025 | 4500024826</t>
  </si>
  <si>
    <t>AMD/2026/CEJ/000078</t>
  </si>
  <si>
    <t>Karma</t>
  </si>
  <si>
    <t xml:space="preserve">PT CIKARANG LISTRINDO - MM2100 PLANT (PROJECT CILIS) DANAU INDAH, CIKARANG BARAT, BEKASI  REGENCY, WEST JAVA 17530 </t>
  </si>
  <si>
    <t>A111303004406</t>
  </si>
  <si>
    <t>5434/SPP/SBU/PLNICONPLUS/2024 | 4500024400</t>
  </si>
  <si>
    <t>AMD/2026/CEJ/000074</t>
  </si>
  <si>
    <t>6697/SPP/SBU/PLNICONPLUS/2025 | 4500025183</t>
  </si>
  <si>
    <t>AMD/2026/CEJ/000073</t>
  </si>
  <si>
    <t xml:space="preserve">Jl. Selayar Blok A-6 Kawasan MM2100 Industrial Estate Cibitung 17530 </t>
  </si>
  <si>
    <t>5877/SPP/SBU/PLNICONPLUS/2025 | 4500024639</t>
  </si>
  <si>
    <t xml:space="preserve">AMD/2026/CEJ/000093 </t>
  </si>
  <si>
    <t>7052/SPP/SBU/PLNICONPLUS/2025 | 4500025621</t>
  </si>
  <si>
    <t>AMD/2026/CEJ/000094</t>
  </si>
  <si>
    <t>PT MCO Jaya</t>
  </si>
  <si>
    <t>JL. KUNINGAN BAR. 1 NO.26, RT.6/RW.1, KUNINGAN BAR., KEC. MAMPANG PRPT., KOTA JAKARTA SELATAN, DAERAH KHUSUS IBUKOTA JAKARTA 12710 (TIFA BUILDING)</t>
  </si>
  <si>
    <t>JL. HALIM PERDANA KUSUMA, HALIM PERDANA KUSUMAH, KEC. MAKASAR, KOTA JAKARTA TIMUR, DAERAH KHUSUS IBUKOTA JAKARTA 13610</t>
  </si>
  <si>
    <t>5435/SPP/SBU/PLNICONPLUS/2024 | 4500024322</t>
  </si>
  <si>
    <t xml:space="preserve">AMD/2026/CEJ/000079 </t>
  </si>
  <si>
    <t xml:space="preserve">TELKOMSEL TTC BUARAN LANTAI 8 JL. RADIN INTEN II NO.5 9 </t>
  </si>
  <si>
    <t>5876/SPP/SBU/PLNICONPLUS/2025 | 4500024820</t>
  </si>
  <si>
    <t>6562/SPP/SBU/PLNICONPLUS/2025 | 4500025090</t>
  </si>
  <si>
    <t>AMD/2026/CEJ/000083</t>
  </si>
  <si>
    <t>6561/SPP/SBU/PLNICONPLUS/2025 | 4500025089</t>
  </si>
  <si>
    <t>AMD/2026/CEJ/000082</t>
  </si>
  <si>
    <t>PT Kaldu Sarana Nabati</t>
  </si>
  <si>
    <t xml:space="preserve">Gedung Cyber 2, Lt. 2 Jl. H. R. Rasuna Said No.13, Kuningan, Jakarta, Kuningan, Jakarta Selatan, </t>
  </si>
  <si>
    <t>6753/SPP/SBU/PLNICONPLUS/2025 | 4500025284</t>
  </si>
  <si>
    <t>AMD/2026/CEJ/000084</t>
  </si>
  <si>
    <t>5543/SPP/SBU/PLNICONPLUS/2025 | 4500024467</t>
  </si>
  <si>
    <t>AMD/2026/CEJ/000096</t>
  </si>
  <si>
    <t>AL/2112/157131</t>
  </si>
  <si>
    <t>6341/SPP/SBU/PLNICONPLUS/2025 | 4500024909</t>
  </si>
  <si>
    <t>AMD/2026/CEJ/000095</t>
  </si>
  <si>
    <t>SPP/2025/CEJ/000003 | 4500026990</t>
  </si>
  <si>
    <t xml:space="preserve">AMD/2026/CEJ/000106 </t>
  </si>
  <si>
    <t>6789/SPP/SBU/PLNICONPLUS/2025 | 4500025287</t>
  </si>
  <si>
    <t>AMD/2026/CEJ/000077</t>
  </si>
  <si>
    <t>Novita Murdini</t>
  </si>
  <si>
    <t>6738/SPP/SBU/PLNICONPLUS/2025 | 4500025178</t>
  </si>
  <si>
    <t>AMD/2026/CEJ/000100</t>
  </si>
  <si>
    <t>6737/SPP/SBU/PLNICONPLUS/2025 | 4500025177</t>
  </si>
  <si>
    <t>AMD/2026/CEJ/000101</t>
  </si>
  <si>
    <t>5851/SPP/SBU/PLNICONPLUS/2025 | 4500024661</t>
  </si>
  <si>
    <t>AMD/2026/CEJ/000086</t>
  </si>
  <si>
    <t>6191/SPP/SBU/PLNICONPLUS/2025 | 4500024902</t>
  </si>
  <si>
    <t>AMD/2026/CEJ/000068</t>
  </si>
  <si>
    <t>5044/SPP/SBU/PLNICONPLUS/2024 | 4500024084</t>
  </si>
  <si>
    <t>AMD/2026/CEJ/000065</t>
  </si>
  <si>
    <t>5587/SPP/SBU/PLNICONPLUS/2025 | 4500024923</t>
  </si>
  <si>
    <t>AMD/2026/CEJ/000072</t>
  </si>
  <si>
    <t>7080/SPP/SBU/PLNICONPLUS/2025 | 4500025491</t>
  </si>
  <si>
    <t>AMD/2026/CEJ/000113</t>
  </si>
  <si>
    <t>6427/SPP/SBU/PLNICONPLUS/2025 | 4500024978</t>
  </si>
  <si>
    <t>AMD/2026/CEJ/000119</t>
  </si>
  <si>
    <t>6339/SPP/SBU/PLNICONPLUS/2025 | 4500024907</t>
  </si>
  <si>
    <t>AMD/2026/CEJ/000118</t>
  </si>
  <si>
    <t>6338/SPP/SBU/PLNICONPLUS/2025 | 4500024906</t>
  </si>
  <si>
    <t>AMD/2026/CEJ/000117</t>
  </si>
  <si>
    <t>6340/SPP/SBU/PLNICONPLUS/2025 | 4500024908</t>
  </si>
  <si>
    <t>AMD/2026/CEJ/000116</t>
  </si>
  <si>
    <t xml:space="preserve">A821303000835 </t>
  </si>
  <si>
    <t>7809/SPP/SBU/PLNICONPLUS/2025 | 4500026278</t>
  </si>
  <si>
    <t>SPP/2026/CEJ/000076</t>
  </si>
  <si>
    <t>6748/SPP/SBU/PLNICONPLUS/2025 | 4500025492</t>
  </si>
  <si>
    <t>AMD/2026/CEJ/000121</t>
  </si>
  <si>
    <t>7810/SPP/SBU/PLNICONPLUS/2025 | 4500026279</t>
  </si>
  <si>
    <t>SPP/2026/CEJ/000075</t>
  </si>
  <si>
    <t>BWS DCI - JL. HALMAHERA NO.1 BLOK F1, DANAU INDAH, KEC. CIKARANG BAR., KABUPATEN BEKASI, JAWA BARAT 17530</t>
  </si>
  <si>
    <t>A111303005629</t>
  </si>
  <si>
    <t>6354/SPP/SBU/PLNICONPLUS/2025 | 4500024953</t>
  </si>
  <si>
    <t>AMD/2026/CEJ/000128</t>
  </si>
  <si>
    <t>Nadya</t>
  </si>
  <si>
    <t>6507/SPP/SBU/PLNICONPLUS/2025 | 4500024991</t>
  </si>
  <si>
    <t>AMD/2026/CEJ/000105</t>
  </si>
  <si>
    <t>111202020928</t>
  </si>
  <si>
    <t>6530/SPP/SBU/PLNICONPLUS/2025 | 4500025087</t>
  </si>
  <si>
    <t>AMD/2026/CEJ/000097</t>
  </si>
  <si>
    <t>A111205003981</t>
  </si>
  <si>
    <t>111205026080</t>
  </si>
  <si>
    <t>6750/SPP/SBU/PLNICONPLUS/2025 | 4500025282</t>
  </si>
  <si>
    <t>AMD/2026/CEJ/000123</t>
  </si>
  <si>
    <t>7073/SPP/SBU/PLNICONPLUS/2025 | 4500025495</t>
  </si>
  <si>
    <t xml:space="preserve">AMD/2026/CEJ/000103 </t>
  </si>
  <si>
    <t>Evie</t>
  </si>
  <si>
    <t>111303016103</t>
  </si>
  <si>
    <t>5873/SPP/SBU/PLNICONPLUS/2025 | 4500024659</t>
  </si>
  <si>
    <t>AMD/2026/CEJ/000042</t>
  </si>
  <si>
    <t>110120511064</t>
  </si>
  <si>
    <t>5999/SPP/SBU/PLNICONPLUS/2025 | 4500024892</t>
  </si>
  <si>
    <t>6790/SPP/SBU/PLNICONPLUS/2025 | 4500025288</t>
  </si>
  <si>
    <t>AMD/2026/CEJ/000127</t>
  </si>
  <si>
    <t>7078/SPP/SBU/PLNICONPLUS/2025 | 4500025620</t>
  </si>
  <si>
    <t>AMD/2026/CEJ/000107</t>
  </si>
  <si>
    <t>Direktorat Jenderal Pengawasan Ruang Digital Kementerian Komdigi</t>
  </si>
  <si>
    <t>PDNS Taman Tekno</t>
  </si>
  <si>
    <t>111202023639</t>
  </si>
  <si>
    <t>21026/SPP/008/PUSAT/ICON+/2023 | 4500019898</t>
  </si>
  <si>
    <t>AMD/2026/CEJ/000062</t>
  </si>
  <si>
    <t>6902/SPP/SBU/PLNICONPLUS/2025 | 4500025323</t>
  </si>
  <si>
    <t xml:space="preserve">AMD/2026/CEJ/000147 </t>
  </si>
  <si>
    <t>6903/SPP/SBU/PLNICONPLUS/2025 | 4500025324</t>
  </si>
  <si>
    <t>AMD/2026/CEJ/000148</t>
  </si>
  <si>
    <t>7205/SPP/SBU/PLNICONPLUS/2025 | 4500025658</t>
  </si>
  <si>
    <t xml:space="preserve">AMD/2026/CEJ/000164 </t>
  </si>
  <si>
    <t>6740/SPP/SBU/PLNICONPLUS/2025 | 4500025179</t>
  </si>
  <si>
    <t xml:space="preserve">SPP/2026/CEJ/000070 </t>
  </si>
  <si>
    <t>6529/SPP/SBU/PLNICONPLUS/2025 | 4500025086</t>
  </si>
  <si>
    <t>AMD/2026/CEJ/000163</t>
  </si>
  <si>
    <t>6791/SPP/SBU/PLNICONPLUS/2025 | 4500025290</t>
  </si>
  <si>
    <t>7806/SPP/SBU/PLNICONPLUS/2025 | 4500026999</t>
  </si>
  <si>
    <t>AMD/2026/CEJ/000030</t>
  </si>
  <si>
    <t>PT Nap Info qq Jakarta Future Exchange</t>
  </si>
  <si>
    <t>AMD/2026/CEJ/000130</t>
  </si>
  <si>
    <t>6751/SPP/SBU/PLNICONPLUS/2025 | 4500025283</t>
  </si>
  <si>
    <t>AMD/2026/CEJ/000124</t>
  </si>
  <si>
    <t>Farrah</t>
  </si>
  <si>
    <t>6480/SPP/SBU/PLNICONPLUS/2025 | 4500024981</t>
  </si>
  <si>
    <t>AMD/2026/CEJ/000058</t>
  </si>
  <si>
    <t>7807/SPP/SBU/PLNICONPLUS/2025 | 4500026292</t>
  </si>
  <si>
    <t>PT Kyndryl Solutions Indonesia</t>
  </si>
  <si>
    <t>DC Bali Tower Jl. Batu Ceper No. 53, RW.1 Kb, Klp, Kecamatan Gambir Kota Jakarta Pusat, DKI Jakarta 10120</t>
  </si>
  <si>
    <t>Salak – Jl. Jayanegara, Kabandungan, Kec. Kabandungan, Kabupaten, Sukabumi, Jawa Barat, 43368</t>
  </si>
  <si>
    <t>A821202001589</t>
  </si>
  <si>
    <t>111202022367</t>
  </si>
  <si>
    <t>SPP/2026/CEJ/000057</t>
  </si>
  <si>
    <t>Stephanie</t>
  </si>
  <si>
    <t>6117/SPP/SBU/PLNICONPLUS/2025 | 4500025021</t>
  </si>
  <si>
    <t>7378/SPP/SBU/PLNICONPLUS/2025 | 4500025713</t>
  </si>
  <si>
    <t>PT Primacom Interbuana
PT Lintas Jaringan Nusantara</t>
  </si>
  <si>
    <t>WISMA BNI 46 LT. 36,- ,JAKARTA PUSAT ,DKI JAKARTA ,INDONESIA</t>
  </si>
  <si>
    <t>01000060842
'01000107070</t>
  </si>
  <si>
    <t>SPP/2026/CEJ/000059</t>
  </si>
  <si>
    <t>NTT DATA CENTER, CYBER BUILDING LT.1 JL. KUNINGAN BARAT RAYA NO.8, RT.6/RW.3,MAMPANG PRPTN ,JAKARTA SELATAN ,DKI JAKARTA ,INDONESIA ,12710</t>
  </si>
  <si>
    <t xml:space="preserve">110120210197 / 01000317573 </t>
  </si>
  <si>
    <t>SPP/2026/CEJ/000068</t>
  </si>
  <si>
    <t>SPP/2026/CEJ/000069</t>
  </si>
  <si>
    <t>PT Bank KEB Hana</t>
  </si>
  <si>
    <t>Jl. Wijayakarta IV No.217, RT.1/RW.3, Kuningan Bar., Kec. Mampang Prpt., Kota Jakarta Selatan, Daerah Khusus Ibukota Jakarta, Kuningan barat, Jakarta Selatan, DKI Jakarta, Indonesia, 12710</t>
  </si>
  <si>
    <t xml:space="preserve">AL/2202/29802 </t>
  </si>
  <si>
    <t>SPP/2026/CEJ/000029</t>
  </si>
  <si>
    <t>6788/SPP/SBU/PLNICONPLUS/2025 | 4500025286</t>
  </si>
  <si>
    <t>AL/2112/151305</t>
  </si>
  <si>
    <t>110120202881 / 01000077695</t>
  </si>
  <si>
    <t>SPP/2026/CEJ/000040</t>
  </si>
  <si>
    <t>PT Nayue Biotech Indonesia</t>
  </si>
  <si>
    <t>Kawasan GIIC, Deltamas, Jl. Benda Raya Blok AF No. 5&amp;5A, Cicau, Serang Baru, Bekasi Regency, West Java 17330</t>
  </si>
  <si>
    <t>A821303001500</t>
  </si>
  <si>
    <t>111303016625 / 0200029450</t>
  </si>
  <si>
    <t>SPP/2025/CEJ/000015</t>
  </si>
  <si>
    <t>6907/SPP/SBU/PLNICONPLUS/2025 | 4500025346</t>
  </si>
  <si>
    <t>AMD/2026/CEJ/000151</t>
  </si>
  <si>
    <t>7986/SPP/SBU/PLNICONPLUS/2025 | 4500026163</t>
  </si>
  <si>
    <t>AMD/2026/CEJ/000153</t>
  </si>
  <si>
    <t>110120207705 / 0990000320395523</t>
  </si>
  <si>
    <t>6639/SPP/SBU/PLNICONPLUS/2025 | 4500025157</t>
  </si>
  <si>
    <t>AMD/2026/CEJ/000129</t>
  </si>
  <si>
    <t>U311303002910</t>
  </si>
  <si>
    <t>8225/SPP/SBU/PLNICONPLUS/2025 | 4500026386</t>
  </si>
  <si>
    <t>AMD/2026/CEJ/000157</t>
  </si>
  <si>
    <t>4500028427</t>
  </si>
  <si>
    <t>12013300068 / 04000028182</t>
  </si>
  <si>
    <t>7223/SPP/SBU/PLNICONPLUS/2024 | 4500025606</t>
  </si>
  <si>
    <t>AMD/2026/CEJ/000145</t>
  </si>
  <si>
    <t>4500028394</t>
  </si>
  <si>
    <t>Pelanggan PT PLN Indonesia Power</t>
  </si>
  <si>
    <t>PT Telkom Indonesia Graha Merah Putih, Jakarta Selatan, 12017</t>
  </si>
  <si>
    <t>Internet Corporate Backup PLN IP (Telkom) PLN IP, Backup DC Gandul PLN Icon Plus</t>
  </si>
  <si>
    <r>
      <rPr>
        <sz val="11"/>
        <color rgb="FF000000"/>
        <rFont val="Calibri"/>
        <scheme val="minor"/>
      </rPr>
      <t>99,00</t>
    </r>
    <r>
      <rPr>
        <strike/>
        <sz val="11"/>
        <color rgb="FF000000"/>
        <rFont val="Calibri"/>
        <scheme val="minor"/>
      </rPr>
      <t>%</t>
    </r>
  </si>
  <si>
    <t>7002/SPP/SBU/PLNICONPLUS/2025 | 4500025398</t>
  </si>
  <si>
    <t>AMD/2026/CEJ/000080</t>
  </si>
  <si>
    <t>Ajeng</t>
  </si>
  <si>
    <t>DC Prodia DCI MM2100 Cibitung, Cibitung, Kota Bekasi, Jawa Barat, Indonesia</t>
  </si>
  <si>
    <t>7731/SPP/SBU/PLNICONPLUS/2025 | 4500026069</t>
  </si>
  <si>
    <t>AMD/2026/CEJ/000135</t>
  </si>
  <si>
    <t>4500028308</t>
  </si>
  <si>
    <t>7221/SPP/SBU/PLNICONPLUS/2025 | 4500025589</t>
  </si>
  <si>
    <t>AMD/2026/CEJ/000112</t>
  </si>
  <si>
    <t>4500028106</t>
  </si>
  <si>
    <t>South Quarter Tower A, lt.21 Jl. R. A Kartini No.Kav.8, Rt.10/Rw.4, Cilandak Barat, Kec. Cilandak, Jakarta Selatan, DKI Jakarta, 12430</t>
  </si>
  <si>
    <t>South Quarter Tower A, lt. Ground, Jl. R. A Kartini No.Kav.8, Rt.10/Rw.4, Cilandak Barat, Kec. Cilandak, Jakarta Selatan, DKI Jakarta, 12430</t>
  </si>
  <si>
    <t>6550/SPP/SBU/PLNICONPLUS/2025 | 4500025202</t>
  </si>
  <si>
    <t>AMD/2026/CEJ/000115</t>
  </si>
  <si>
    <t>4500028135</t>
  </si>
  <si>
    <t>Azel</t>
  </si>
  <si>
    <t>01000100102 / 110120521056</t>
  </si>
  <si>
    <t>7487/SPP/SBU/PLNICONPLUS/2025 | 4500025894</t>
  </si>
  <si>
    <t>AMD/2026/CEJ/000102</t>
  </si>
  <si>
    <t>4500028101</t>
  </si>
  <si>
    <t>7460/SPP/SBU/PLNICONPLUS/2025 | 4500025772</t>
  </si>
  <si>
    <t>AMD/2026/CEJ/000126</t>
  </si>
  <si>
    <t>4500028155</t>
  </si>
  <si>
    <t>PT Pertamina Bina Medika</t>
  </si>
  <si>
    <t>Centennial Tower 26Th Floor, Unit D. Jl. Gatot Subroto Kav 24-25, Jakarta 12930, Indonesia</t>
  </si>
  <si>
    <t>Gedung Menara Sentraya, Jl Iskandarsyah Raya No.1A, Melawai, Kec.Kebayoran Baru, Jakarta Selatan, 12160</t>
  </si>
  <si>
    <t>A811303002722</t>
  </si>
  <si>
    <t>111303017002</t>
  </si>
  <si>
    <t>SPP/2026/CEJ/000058</t>
  </si>
  <si>
    <t>4500028100</t>
  </si>
  <si>
    <t>BCR Ttd Sales</t>
  </si>
  <si>
    <t>8065/SPP/SBU/PLNICONPLUS/2025 | 4500026259</t>
  </si>
  <si>
    <t>AMD/2026/CEJ/000075</t>
  </si>
  <si>
    <t>4500028037</t>
  </si>
  <si>
    <t>Boggy</t>
  </si>
  <si>
    <t>6928/SPP/SBU/PLNICONPLUS/2025 | 4500025365</t>
  </si>
  <si>
    <t>AMD/2026/CEJ/000111</t>
  </si>
  <si>
    <t>6638/SPP/SBU/PLNICONPLUS/2025 | 4500025155</t>
  </si>
  <si>
    <t>AMD/2026/CEJ/000019</t>
  </si>
  <si>
    <t>4500027485</t>
  </si>
  <si>
    <t>Verrens</t>
  </si>
  <si>
    <t>NTT Nexcenter (CSF) Jl Kuningan Barat no 8 Jakarta 12710</t>
  </si>
  <si>
    <t>7962/SPP/SBU/PLNICONPLUS/2025 | 4500026242</t>
  </si>
  <si>
    <t>AMD/2026/CEJ/000154</t>
  </si>
  <si>
    <t>7656/SPP/SBU/PLNICONPLUS/2025 | 4500025966</t>
  </si>
  <si>
    <t>AMD/2026/CEJ/000155</t>
  </si>
  <si>
    <t>7608/SPP/SBU/PLNICONPLUS/2025 | 4500026240</t>
  </si>
  <si>
    <t>AMD/2026/CEJ/000179</t>
  </si>
  <si>
    <t>4500028538</t>
  </si>
  <si>
    <t>1,5 Gbps</t>
  </si>
  <si>
    <t>3762/SPP/PUSAT/PLNICONPLUS/2024 | 4500023067</t>
  </si>
  <si>
    <t>SPP/2026/CEJ/000096</t>
  </si>
  <si>
    <t>4500028643</t>
  </si>
  <si>
    <t>Redudant - Mitracomm The East Tower Lt.15, Mega Kuningan Kav E3.2 No.1, Mega Kuningan, Jakarta Selatan, DKI Jakarta, Indonesia</t>
  </si>
  <si>
    <t>BDDC Atria - DMG - Daerah Khusus Ibukota Jakarta, Jl Daan Mogot BLVD No.KM.18. No.18, RT.11/RW.06, Kalideres, West Jakarta City, Jakarta, 11840</t>
  </si>
  <si>
    <t>7813/SPP/SBU/PLNICONPLUS/2025 | 4500026109</t>
  </si>
  <si>
    <t>AMD/2026/CEJ/000161</t>
  </si>
  <si>
    <t>4500028449</t>
  </si>
  <si>
    <t>7628/SPP/SBU/PLNICONPLUS/2025 | 4500025969</t>
  </si>
  <si>
    <t>AMD/2026/CEJ/000160</t>
  </si>
  <si>
    <t>4500028510</t>
  </si>
  <si>
    <t>8227/SPP/SBU/PLNICONPLUS/2025 | 4500026385</t>
  </si>
  <si>
    <t>AMD/2026/CEJ/000180</t>
  </si>
  <si>
    <t>4500028511</t>
  </si>
  <si>
    <t>PC24 Telekomunikasi Indonesia</t>
  </si>
  <si>
    <t>PC 24 TELEKOMUNIKASI INDONESIA, PT RUKO KEBAYORAN CENTRE BLOK A NO. 5 JAKARTA SELATAN 12240</t>
  </si>
  <si>
    <t xml:space="preserve">ATM Indomaret Palem Raya Jl. Palem Raja Raya RT.001/009 Panunggangan Barat, Kec. Cibodas Kota Tangerang BEKASI, JAWA BARAT 17530
</t>
  </si>
  <si>
    <t xml:space="preserve">R111205019476 </t>
  </si>
  <si>
    <t>SPP/2026/CEJ/000039</t>
  </si>
  <si>
    <t>airlin</t>
  </si>
  <si>
    <t>+62 815-7224-2424</t>
  </si>
  <si>
    <t>Jl. Kalimantan, CA2, 1&amp;2, Gandasari</t>
  </si>
  <si>
    <t>CJ Logistics Indonesia - JL. SELAYAR II BLOK H9 KAWASAN INDUSTRI MM2100 DES. TELAJUNG, KEC. CIKARANG BARAT, JAWA BARAT 17520</t>
  </si>
  <si>
    <t>111202024642</t>
  </si>
  <si>
    <t>SPP/2026/CEJ/000046</t>
  </si>
  <si>
    <t>+62 812-8799-2496</t>
  </si>
  <si>
    <t>INTERNETINDO DATA CENTRA INDONESIA</t>
  </si>
  <si>
    <t>IX Telecom</t>
  </si>
  <si>
    <t xml:space="preserve">Jl. Kuningan Barat 8 Cyber </t>
  </si>
  <si>
    <t>Cyber Lt.7</t>
  </si>
  <si>
    <t>A111202015158</t>
  </si>
  <si>
    <t xml:space="preserve">SPP/2025/CEJ/000009 </t>
  </si>
  <si>
    <t>Nopita</t>
  </si>
  <si>
    <t>+62 821-1337-6810</t>
  </si>
  <si>
    <t>Jl. Jababeka IV</t>
  </si>
  <si>
    <t>MPM GUDANG CIKARANG JABABEKA WAREHOUSE 10 P4HW+9HG KARANGBARU, BEKASI REGENCY, WEST JAVA</t>
  </si>
  <si>
    <t xml:space="preserve">A111202015939 </t>
  </si>
  <si>
    <t>111202023820</t>
  </si>
  <si>
    <t>SPP/2026/CEJ/000053</t>
  </si>
  <si>
    <t>PERUSAHAAN UMUM DAERAH (PERUMDA) AIR MINUM JAYA</t>
  </si>
  <si>
    <t>LINTAS ARTA DATA CENTRE KOMPLEK PERGUDANGAN TAMAN TEKNO BLOK D NO.8, BSD, SETU, KEC. SETU, KOTA TANGERANG SELATAN, BANTEN 15314</t>
  </si>
  <si>
    <t>A821202001667</t>
  </si>
  <si>
    <t>SPP/2026/CEJ/000007</t>
  </si>
  <si>
    <t>ilham</t>
  </si>
  <si>
    <t>BOF LIQUID NEW WAREHOUSE CIKARANG P45G+W46, WANGUNHARJA, KEC. CIKARANG UTARA, KABUPATEN BEKASI, JAWA BARAT 17530</t>
  </si>
  <si>
    <t xml:space="preserve">U111202017601 </t>
  </si>
  <si>
    <t>SPP/2026/CEJ/000086</t>
  </si>
  <si>
    <t xml:space="preserve">PT CHEMCO HARAPAN NUSANTARA JABABEKA INDUSTRIAL ESTATE, JL. JABABEKA RAYA BLOCK F NO. 19-28, CIKARANG UTARA, KOTA BEKASI, JAWA </t>
  </si>
  <si>
    <t>U111202017729</t>
  </si>
  <si>
    <t>SPP/2026/CEJ/000085</t>
  </si>
  <si>
    <t>Propco One</t>
  </si>
  <si>
    <t>PT Indosat TBK</t>
  </si>
  <si>
    <t>PT Tiki Digital Realty Bersama (Drb Cgk10) Daan Mogot Datahall/Cage : Dh.1.1.E Spacedc Pte Ltd Jl. Daan Mogot Blvd No.Km. 18 No. 18, Rt.11/Rw.6, Kalideres, West Jakarta City, Jakarta 11840pt. Indofood Sukses</t>
  </si>
  <si>
    <t xml:space="preserve">A111202016913 - 111090020809
</t>
  </si>
  <si>
    <t>SPP/2026/CEJ/000041</t>
  </si>
  <si>
    <t>Fauzi</t>
  </si>
  <si>
    <t>PT Niaga Nusa Abadi</t>
  </si>
  <si>
    <t xml:space="preserve">PT. NIAGA NUSA ABADI BIZNET TECHNOVILLAGE JL. RIVERSIDE GOLF CLUB NO.1, BOJONG NANGKA, KEC. GN. PUTRI, KABUPATEN BOGOR, JAWA BARAT 16965
</t>
  </si>
  <si>
    <t xml:space="preserve">A821303001597/111303017987
</t>
  </si>
  <si>
    <t xml:space="preserve">INTERNET CORPORATE 
</t>
  </si>
  <si>
    <t>SPP/2026/CEJ/000099</t>
  </si>
  <si>
    <t>+62 857-7024-5114</t>
  </si>
  <si>
    <t>Menara Jamsostek Gatot Subroto Kav 38</t>
  </si>
  <si>
    <t>Menara Jamsostek Lt 12b/13 Selatan</t>
  </si>
  <si>
    <t>SPP/2026/CEJ/000116</t>
  </si>
  <si>
    <t>menara Jamsostek Lt 19 Selatan</t>
  </si>
  <si>
    <t>SPP/2026/CEJ/000119</t>
  </si>
  <si>
    <t>Gd. Equity Tower building 17th floor suite F scbd</t>
  </si>
  <si>
    <t>Drc2 Gedung Ariobimo | Tarikan 2 |Setia Budi, Indonesia, Jl. H. R. Rasuna Said No.5, Rt.9/Rw.4, Kuningan Tim., Kecamatan Setiabudi, Kota Jakarta Selatan, Daerah Khusus Ibukota Jakarta.</t>
  </si>
  <si>
    <t>SPP/2026/CEJ/000115</t>
  </si>
  <si>
    <t>Ekamas Mora Republik</t>
  </si>
  <si>
    <t>PT Aneka Petroindo</t>
  </si>
  <si>
    <t>Oxygen.id Tendean Jl. Wijaya Karta Raya, RT.2/RW.3, Kuningan Bar., Kec. Mampang Prpt., Kota Jakarta Selatan, Daerah Khusus Ibukota Jakarta 12710</t>
  </si>
  <si>
    <t>Jl. Tambun Rengas / Jl. Jakarta Garden City Boulevard RT. 000 RW. 014 Kel. Cakung Timur, Kec. Cakung, Jakarta Timur</t>
  </si>
  <si>
    <t>A111303005791</t>
  </si>
  <si>
    <t>Internent Corporate</t>
  </si>
  <si>
    <t>AMD/2026/CEJ/000149</t>
  </si>
  <si>
    <t>+62 818-153-900</t>
  </si>
  <si>
    <t>Internetwork Komunikasi indonesia</t>
  </si>
  <si>
    <t>Sekolah Rakyat</t>
  </si>
  <si>
    <t>Sekolah Rakyat (Joint all customer)</t>
  </si>
  <si>
    <t>Metronet Dedicated</t>
  </si>
  <si>
    <t>SPP/2026/CEJ/000084</t>
  </si>
  <si>
    <t>Menara Kadin Indonesia Lt. 6, Jl. H.R. Rasuna Said X-5 Kav.2-3, Kuningan Timur, Setiabudi Jakarta Selatan, 12950</t>
  </si>
  <si>
    <t>Indomaret Tower, RT.6/RW.2, Kamal Muara, Kec Penjaringan (Interkoneksi Fiberstar),- Jakarta Utara, DKI Jakarta, Indonesia, 14470</t>
  </si>
  <si>
    <t>AMD/2026/CEJ/000159</t>
  </si>
  <si>
    <t>Rustam</t>
  </si>
  <si>
    <t>+62 811-9631-1349</t>
  </si>
  <si>
    <t>PT Bank Sinarmas Deltamas Bekasi</t>
  </si>
  <si>
    <t>Delta Mas-Bekasi Ruko Spanish Square blok A No 2 Kota Delta Mas Kel. Hegarmukti Kec. Cikarang Pusat Kab. Bekasi Jawa barat</t>
  </si>
  <si>
    <t>AMD/2026/CEJ/000134</t>
  </si>
  <si>
    <t>Aini</t>
  </si>
  <si>
    <t>+62 851-5958-8812</t>
  </si>
  <si>
    <t>Bidakara, Jl. Jend. Gatot Subroto Kav.7</t>
  </si>
  <si>
    <t>AMD/2026/CEJ/000109</t>
  </si>
  <si>
    <t>+62 856-1735-925</t>
  </si>
  <si>
    <t>Indomaret Tower, RT.6/RW.2, Kamal Muara Lt.9 Kec. Penjaringan</t>
  </si>
  <si>
    <t>AMD/2026/CEJ/000081</t>
  </si>
  <si>
    <t>Perusahaan Umum Daerah (PERUMDA) Air Minum Jaya</t>
  </si>
  <si>
    <t>PAM Jaya (Backup) Jl. Darmawangsa Raya No.4 8, RT.8/RW.1, Pulo, Kec. Kby Baru, Kota Jakarta Selatan, Daerah Khusus Ibukota Jakarta 12160</t>
  </si>
  <si>
    <t>A821303001513</t>
  </si>
  <si>
    <t>111303016790</t>
  </si>
  <si>
    <t>SPP/2026/CEJ/000009</t>
  </si>
  <si>
    <t>+62 813-1673-1414</t>
  </si>
  <si>
    <t>PSDC-Gedung Grha Pertamina, Tower Fastron (Grha), Jalan Merdeka Timur No.11-12, Jakarta Pusat</t>
  </si>
  <si>
    <t>PSDC (Node PHE) - Gedung Grha Pertamina, Tower Fastron (Grha), Jalan Medan Merdeka Timur No.11-12, Jakarta Pusat</t>
  </si>
  <si>
    <t>AMD/2026/CEJ/000071</t>
  </si>
  <si>
    <t>Kawasan Pergudangan Marunda Center Blok I 10, Sagara Makmur, Bekasi Utara, Kabupaten Bekasi, Jawa Barat MM2001 Cibitung, Cibitung, Kota Bekasi, Jawa Barat, Indonesia</t>
  </si>
  <si>
    <t>AMD/2026/CEJ/000092</t>
  </si>
  <si>
    <t>+62 812-8990-0771</t>
  </si>
  <si>
    <t>PT Cyberindo Aditama qq Biznet Gio Nusantara CID 5200</t>
  </si>
  <si>
    <t>7313/SPP/SBU/PLNICONPLUS/2025 | 4500025639</t>
  </si>
  <si>
    <t>AMD/2026/CEJ/000108</t>
  </si>
  <si>
    <t>7207/SPP/SBU/PLNICONPLUS/2025 | 4500025624</t>
  </si>
  <si>
    <t>AMD/2026/CEJ/000175</t>
  </si>
  <si>
    <t>7808/SPP/SBU/PLNICONPLUS/2025 | 4500026277</t>
  </si>
  <si>
    <t>AMD/2026/CEJ/000182</t>
  </si>
  <si>
    <t>7254/SPP/SBU/PLNICONPLUS/2025 | 4500025623</t>
  </si>
  <si>
    <t>AMD/2026/CEJ/000173</t>
  </si>
  <si>
    <t>8411/SPP/SBU/PLNICONPLUS/2025 | 4500026682</t>
  </si>
  <si>
    <t>AMD/2026/CEJ/000176</t>
  </si>
  <si>
    <t>8410/SPP/SBU/PLNICONPLUS/2025 | 4500026681</t>
  </si>
  <si>
    <t>AMD/2026/CEJ/000171</t>
  </si>
  <si>
    <t>7651/SPP/SBU/PLNICONPLUS/2025 | 4500026097</t>
  </si>
  <si>
    <t>AMD/2026/CEJ/000172</t>
  </si>
  <si>
    <t>Head Office Polytama Propindo - Gedung Mid Plaza 2, Jl. Jendral Sudirman No. 10-11 RT.10/RW.11, Karet Tengsin, Tanah Abang, Jakarta Pusat, DKI Jakarta</t>
  </si>
  <si>
    <t>Jl. Juntinyuat Km.13 Desa Limbangan Kab. Indramayu, Balongan, Juntinyuat, Indramayu, Jawa Barat, 45282.</t>
  </si>
  <si>
    <t>AMD/2026/CEJ/000114</t>
  </si>
  <si>
    <t>Trembersi Tower Jl Pahlawan Seribu Lot VIIA, CBD-BSD, Serpong Sub-District, South Tangerang City, Banten, 15311</t>
  </si>
  <si>
    <t>AMD/2026/CEJ/000132</t>
  </si>
  <si>
    <t>Dayamitra Telekomunikasi Tbk</t>
  </si>
  <si>
    <t xml:space="preserve">PLN UP2D Banten Site Kujangjaya </t>
  </si>
  <si>
    <t>Gedung Landmark Tower Jakarta Selatan</t>
  </si>
  <si>
    <t>Site Kujangjaya</t>
  </si>
  <si>
    <t>Space Tower</t>
  </si>
  <si>
    <t>A832402000363</t>
  </si>
  <si>
    <t>112402003428</t>
  </si>
  <si>
    <t>SPP/2026/CEJ/000018</t>
  </si>
  <si>
    <t>Ihsan</t>
  </si>
  <si>
    <t>+62 812-8339-963</t>
  </si>
  <si>
    <t>PLN UP2D Banten Site Mandalawangi</t>
  </si>
  <si>
    <t>Site Mandalawangi</t>
  </si>
  <si>
    <t>A111205019506</t>
  </si>
  <si>
    <t>111205032582</t>
  </si>
  <si>
    <t>SPP/2026/CEJ/000019</t>
  </si>
  <si>
    <t>PLN UP2D Banten Site Sumur 7</t>
  </si>
  <si>
    <t>Site Sumur 7</t>
  </si>
  <si>
    <t>A111205014714</t>
  </si>
  <si>
    <t>111205032277</t>
  </si>
  <si>
    <t>SPP/2026/CEJ/000020</t>
  </si>
  <si>
    <t>PLN UP2D Banten Site Sumur 8</t>
  </si>
  <si>
    <t>Site Sumur 8</t>
  </si>
  <si>
    <t>A111205014712</t>
  </si>
  <si>
    <t>111205032275</t>
  </si>
  <si>
    <t>SPP/2026/CEJ/000021</t>
  </si>
  <si>
    <t>Trans Rekreasindo Surabaya</t>
  </si>
  <si>
    <t>Gedung Transmedia Lt 3A Jl. Kapt Tendean Kav.12-14A, Jakarta 12790</t>
  </si>
  <si>
    <t>Menara Bank Mega Lt.8 Jl. Kapten Tendean No.12-14A, RT.2/RW.2, Mampang Prapatan, -, Jakarta Selatan, DKI Jakarta, Indonesia, 12790</t>
  </si>
  <si>
    <t>(Interkonesi Dengan Detik Di Cyber) Trans Icon Surabaya, Jl. Ahmad Yani No.260, Siwalankerto, Wonocolo, Surabaya, Jawa Timur, Indonesia, 60235</t>
  </si>
  <si>
    <t>AL/2210/308194</t>
  </si>
  <si>
    <t>AMD/2026/CEJ/000226</t>
  </si>
  <si>
    <t>Diby</t>
  </si>
  <si>
    <t>+62 819-3111-6272</t>
  </si>
  <si>
    <t>Netciti Persada</t>
  </si>
  <si>
    <t>PT. Primacom Interbuana</t>
  </si>
  <si>
    <t>Kawasan Alam Sutera</t>
  </si>
  <si>
    <t xml:space="preserve">Primacom Sigma German Center BSD </t>
  </si>
  <si>
    <t xml:space="preserve"> Metronet </t>
  </si>
  <si>
    <t>Carolline, Cherly (CS)</t>
  </si>
  <si>
    <t>+62 878-8796-8292 &amp; +62 856-9400-1977</t>
  </si>
  <si>
    <t>PT. Megadepo Indonesia</t>
  </si>
  <si>
    <t>Jl.Muncul no.8 Gedangan Sidoarjo</t>
  </si>
  <si>
    <t>PT. Caturkarda Depo Bangunan</t>
  </si>
  <si>
    <t>DEPO BANGUNAN ALAM SUTERA JALAN RAYA SERPONG KM.2 PAKULONAN SERPONG TANGERANG 15325 TELP. (62-21)5312-0808, FAX. (62-21)5312-0008</t>
  </si>
  <si>
    <t>110120202474</t>
  </si>
  <si>
    <t>990000320358255</t>
  </si>
  <si>
    <t>PLAZA SINARMAS JL. FACHRUDIN 18 LT.6 JAKARTA PUSAT 10250</t>
  </si>
  <si>
    <t>0990000320405196</t>
  </si>
  <si>
    <t>Bank Panin</t>
  </si>
  <si>
    <t>990000320510486</t>
  </si>
  <si>
    <t xml:space="preserve"> IPVPN </t>
  </si>
  <si>
    <t xml:space="preserve">AL/1806/4799 </t>
  </si>
  <si>
    <t xml:space="preserve"> 110120208902 / 01000010268</t>
  </si>
  <si>
    <t xml:space="preserve"> Metronet 1 Gbps </t>
  </si>
  <si>
    <t>PT. Bank Syariah Indonesia (KCP Jakarta Serpong)</t>
  </si>
  <si>
    <t>PT. Megadepo Bangunan</t>
  </si>
  <si>
    <t>PT. Bank Mandiri (Persero), Tbk</t>
  </si>
  <si>
    <t>Bank Mandiri Tangerang Kunciran Alam Sutera Jl. Jalur Sutera Kav. 29D No. 58</t>
  </si>
  <si>
    <t xml:space="preserve"> IP VPN 2 Mbps </t>
  </si>
  <si>
    <t>9 pelanggan</t>
  </si>
  <si>
    <t>Count of Monitoring Perpanjangan Sewa/Kontrak</t>
  </si>
  <si>
    <t>ATTENTION</t>
  </si>
  <si>
    <t>CRITICAL</t>
  </si>
  <si>
    <t>LOSS</t>
  </si>
  <si>
    <t>ON TRACK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</si>
</sst>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2" formatCode="_-&quot;Rp&quot;* #,##0_-;\-&quot;Rp&quot;* #,##0_-;_-&quot;Rp&quot;* &quot;-&quot;_-;_-@_-"/>
    <numFmt numFmtId="41" formatCode="_-* #,##0_-;\-* #,##0_-;_-* &quot;-&quot;_-;_-@_-"/>
    <numFmt numFmtId="43" formatCode="_-* #,##0.00_-;\-* #,##0.00_-;_-* &quot;-&quot;??_-;_-@_-"/>
    <numFmt numFmtId="164" formatCode="_(* #,##0_);_(* \(#,##0\);_(* &quot;-&quot;_);_(@_)"/>
    <numFmt numFmtId="165" formatCode="_(&quot;$&quot;* #,##0.00_);_(&quot;$&quot;* \(#,##0.00\);_(&quot;$&quot;* &quot;-&quot;??_);_(@_)"/>
    <numFmt numFmtId="166" formatCode="_(* #,##0.00_);_(* \(#,##0.00\);_(* &quot;-&quot;??_);_(@_)"/>
    <numFmt numFmtId="167" formatCode="[$Rp-421]#,##0.00"/>
    <numFmt numFmtId="168" formatCode="_-[$Rp-421]* #,##0.00_-;\-[$Rp-421]* #,##0.00_-;_-[$Rp-421]* &quot;-&quot;??_-;_-@"/>
    <numFmt numFmtId="169" formatCode="_(* #,##0_);_(* \(#,##0\);_(* &quot;-&quot;??_);_(@_)"/>
    <numFmt numFmtId="170" formatCode="_-&quot;Rp&quot;* #,##0_-;\-&quot;Rp&quot;* #,##0_-;_-&quot;Rp&quot;* &quot;-&quot;??_-;_-@_-"/>
    <numFmt numFmtId="171" formatCode="_-[$Rp-421]* #,##0_-;\-[$Rp-421]* #,##0_-;_-[$Rp-421]* &quot;-&quot;??_-;_-@"/>
    <numFmt numFmtId="172" formatCode="0.0%"/>
    <numFmt numFmtId="173" formatCode="_-[$Rp-3809]* #,##0_-;\-[$Rp-3809]* #,##0_-;_-[$Rp-3809]* &quot;-&quot;_-;_-@_-"/>
    <numFmt numFmtId="174" formatCode="_-[$Rp-421]* #,##0.00_-;\-[$Rp-421]* #,##0.00_-;_-[$Rp-421]* &quot;-&quot;??_-;_-@_-"/>
    <numFmt numFmtId="175" formatCode="_-[$Rp-421]* #,##0_-;\-[$Rp-421]* #,##0_-;_-[$Rp-421]* &quot;-&quot;_-;_-@_-"/>
    <numFmt numFmtId="176" formatCode="_-[$Rp-3809]* #,##0_-;\-[$Rp-3809]* #,##0_-;_-[$Rp-3809]* &quot;-&quot;??_-;_-@_-"/>
    <numFmt numFmtId="177" formatCode="_-[$Rp-3809]* #,##0.00_-;\-[$Rp-3809]* #,##0.00_-;_-[$Rp-3809]* &quot;-&quot;??_-;_-@_-"/>
    <numFmt numFmtId="178" formatCode="&quot;Rp&quot;#,##0"/>
    <numFmt numFmtId="179" formatCode="_(* #,##0.000_);_(* \(#,##0.000\);_(* &quot;-&quot;??_);_(@_)"/>
    <numFmt numFmtId="180" formatCode="[$-13809]dd\ mmmm\ yyyy;@"/>
    <numFmt numFmtId="181" formatCode="[$-13809]dd/mm/yyyy;@"/>
    <numFmt numFmtId="182" formatCode="[$-13809]d\ mmm\ yyyy;@"/>
    <numFmt numFmtId="183" formatCode="_-* #,##0_-;\-* #,##0_-;_-* &quot;-&quot;??_-;_-@_-"/>
  </numFmts>
  <fonts count="52">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1"/>
      <name val="Calibri"/>
      <family val="2"/>
      <scheme val="minor"/>
    </font>
    <font>
      <sz val="11"/>
      <color rgb="FF000000"/>
      <name val="Calibri"/>
      <family val="2"/>
    </font>
    <font>
      <b/>
      <sz val="11"/>
      <color rgb="FF000000"/>
      <name val="Calibri"/>
      <family val="2"/>
    </font>
    <font>
      <sz val="11"/>
      <color theme="1"/>
      <name val="Calibri"/>
      <family val="2"/>
      <charset val="1"/>
      <scheme val="minor"/>
    </font>
    <font>
      <b/>
      <sz val="9"/>
      <color indexed="81"/>
      <name val="Tahoma"/>
      <family val="2"/>
    </font>
    <font>
      <sz val="9"/>
      <color indexed="81"/>
      <name val="Tahoma"/>
      <family val="2"/>
    </font>
    <font>
      <sz val="10"/>
      <name val="Arial"/>
      <family val="2"/>
    </font>
    <font>
      <sz val="10"/>
      <color theme="1"/>
      <name val="Arial"/>
      <family val="2"/>
    </font>
    <font>
      <b/>
      <sz val="10"/>
      <color theme="1"/>
      <name val="Arial"/>
      <family val="2"/>
    </font>
    <font>
      <b/>
      <sz val="11"/>
      <color theme="1"/>
      <name val="Calibri"/>
      <family val="2"/>
      <scheme val="minor"/>
    </font>
    <font>
      <b/>
      <u/>
      <sz val="11"/>
      <color rgb="FF000000"/>
      <name val="Calibri"/>
      <family val="2"/>
    </font>
    <font>
      <b/>
      <u/>
      <sz val="11"/>
      <color theme="1"/>
      <name val="Calibri"/>
      <family val="2"/>
      <scheme val="minor"/>
    </font>
    <font>
      <b/>
      <sz val="12"/>
      <color theme="1"/>
      <name val="Calibri"/>
      <family val="2"/>
    </font>
    <font>
      <b/>
      <sz val="11"/>
      <color theme="0"/>
      <name val="Calibri"/>
      <family val="2"/>
      <scheme val="minor"/>
    </font>
    <font>
      <sz val="11"/>
      <color theme="0"/>
      <name val="Calibri"/>
      <family val="2"/>
      <scheme val="minor"/>
    </font>
    <font>
      <sz val="11"/>
      <color theme="1"/>
      <name val="Calibri"/>
      <family val="2"/>
      <scheme val="minor"/>
    </font>
    <font>
      <sz val="11"/>
      <color rgb="FFFF0000"/>
      <name val="Calibri"/>
      <family val="2"/>
      <scheme val="minor"/>
    </font>
    <font>
      <sz val="11"/>
      <name val="Calibri"/>
      <family val="2"/>
      <scheme val="minor"/>
    </font>
    <font>
      <b/>
      <sz val="9"/>
      <name val="Times New Roman"/>
      <family val="1"/>
    </font>
    <font>
      <sz val="9"/>
      <name val="Times New Roman"/>
      <family val="1"/>
    </font>
    <font>
      <sz val="11"/>
      <color rgb="FF242424"/>
      <name val="Calibri"/>
      <family val="2"/>
      <scheme val="minor"/>
    </font>
    <font>
      <u/>
      <sz val="11"/>
      <name val="Calibri"/>
      <family val="2"/>
      <scheme val="minor"/>
    </font>
    <font>
      <sz val="11"/>
      <color rgb="FF000000"/>
      <name val="Calibri"/>
      <family val="2"/>
      <scheme val="minor"/>
    </font>
    <font>
      <b/>
      <sz val="11"/>
      <name val="Calibri"/>
      <family val="2"/>
      <scheme val="minor"/>
    </font>
    <font>
      <sz val="11"/>
      <color rgb="FF242424"/>
      <name val="Aptos Narrow"/>
      <family val="2"/>
    </font>
    <font>
      <sz val="11"/>
      <color rgb="FF000000"/>
      <name val="Calibri"/>
      <family val="2"/>
      <charset val="1"/>
    </font>
    <font>
      <sz val="11"/>
      <name val="Calibri"/>
      <scheme val="minor"/>
    </font>
    <font>
      <sz val="8"/>
      <name val="Calibri"/>
      <family val="2"/>
      <scheme val="minor"/>
    </font>
    <font>
      <sz val="11"/>
      <color rgb="FF242424"/>
      <name val="Aptos Narrow"/>
      <charset val="1"/>
    </font>
    <font>
      <sz val="11"/>
      <color rgb="FF000000"/>
      <name val="Calibri"/>
      <scheme val="minor"/>
    </font>
    <font>
      <b/>
      <sz val="11"/>
      <color theme="1"/>
      <name val="Calibri"/>
      <scheme val="minor"/>
    </font>
    <font>
      <sz val="11"/>
      <color rgb="FF000000"/>
      <name val="Calibri"/>
      <charset val="1"/>
    </font>
    <font>
      <sz val="10"/>
      <color rgb="FF000000"/>
      <name val="Calibri"/>
      <family val="2"/>
      <charset val="1"/>
    </font>
    <font>
      <sz val="11"/>
      <name val="Calibri"/>
      <family val="2"/>
    </font>
    <font>
      <sz val="9"/>
      <color theme="1"/>
      <name val="Arial MT"/>
      <family val="2"/>
      <charset val="1"/>
    </font>
    <font>
      <b/>
      <sz val="11"/>
      <color rgb="FFFFFFFF"/>
      <name val="Calibri"/>
      <charset val="1"/>
    </font>
    <font>
      <sz val="11"/>
      <color theme="1"/>
      <name val="Calibri"/>
      <charset val="1"/>
    </font>
    <font>
      <sz val="10"/>
      <color theme="1"/>
      <name val="Arial"/>
      <charset val="1"/>
    </font>
    <font>
      <sz val="11"/>
      <color rgb="FF000000"/>
      <name val="Calibri"/>
      <scheme val="major"/>
    </font>
    <font>
      <b/>
      <sz val="11"/>
      <color theme="0"/>
      <name val="Calibri"/>
      <scheme val="minor"/>
    </font>
    <font>
      <sz val="11"/>
      <color theme="1"/>
      <name val="Calibri"/>
      <family val="2"/>
      <charset val="1"/>
    </font>
    <font>
      <sz val="11"/>
      <name val="Arial"/>
      <family val="2"/>
    </font>
    <font>
      <strike/>
      <sz val="11"/>
      <color rgb="FF000000"/>
      <name val="Calibri"/>
      <scheme val="minor"/>
    </font>
    <font>
      <sz val="11"/>
      <color rgb="FF000000"/>
      <name val="Calibri"/>
      <charset val="134"/>
    </font>
    <font>
      <sz val="10"/>
      <color rgb="FF333333"/>
      <name val="Calibri"/>
      <scheme val="minor"/>
    </font>
    <font>
      <sz val="11"/>
      <color rgb="FF333333"/>
      <name val="Calibri"/>
      <scheme val="minor"/>
    </font>
  </fonts>
  <fills count="26">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FFFF00"/>
        <bgColor indexed="64"/>
      </patternFill>
    </fill>
    <fill>
      <patternFill patternType="solid">
        <fgColor rgb="FF00B050"/>
        <bgColor indexed="64"/>
      </patternFill>
    </fill>
    <fill>
      <patternFill patternType="solid">
        <fgColor theme="0" tint="-0.34998626667073579"/>
        <bgColor indexed="64"/>
      </patternFill>
    </fill>
    <fill>
      <patternFill patternType="solid">
        <fgColor rgb="FFFFFFFF"/>
        <bgColor rgb="FF000000"/>
      </patternFill>
    </fill>
    <fill>
      <patternFill patternType="solid">
        <fgColor rgb="FF7030A0"/>
        <bgColor indexed="64"/>
      </patternFill>
    </fill>
    <fill>
      <patternFill patternType="solid">
        <fgColor rgb="FFD9E1F2"/>
        <bgColor rgb="FFD9E1F2"/>
      </patternFill>
    </fill>
    <fill>
      <patternFill patternType="solid">
        <fgColor theme="2"/>
        <bgColor indexed="64"/>
      </patternFill>
    </fill>
    <fill>
      <patternFill patternType="solid">
        <fgColor theme="2"/>
        <bgColor theme="4" tint="0.79998168889431442"/>
      </patternFill>
    </fill>
    <fill>
      <patternFill patternType="solid">
        <fgColor theme="9" tint="0.59999389629810485"/>
        <bgColor indexed="64"/>
      </patternFill>
    </fill>
    <fill>
      <patternFill patternType="solid">
        <fgColor theme="8"/>
        <bgColor theme="8"/>
      </patternFill>
    </fill>
    <fill>
      <patternFill patternType="solid">
        <fgColor theme="0"/>
        <bgColor theme="0"/>
      </patternFill>
    </fill>
    <fill>
      <patternFill patternType="solid">
        <fgColor theme="4" tint="0.79998168889431442"/>
        <bgColor theme="4" tint="0.79998168889431442"/>
      </patternFill>
    </fill>
    <fill>
      <patternFill patternType="solid">
        <fgColor theme="8" tint="0.79998168889431442"/>
        <bgColor theme="8" tint="0.79998168889431442"/>
      </patternFill>
    </fill>
    <fill>
      <patternFill patternType="solid">
        <fgColor rgb="FFDDEBF7"/>
        <bgColor rgb="FFDDEBF7"/>
      </patternFill>
    </fill>
    <fill>
      <patternFill patternType="solid">
        <fgColor rgb="FF00B050"/>
        <bgColor rgb="FFDDEBF7"/>
      </patternFill>
    </fill>
    <fill>
      <patternFill patternType="solid">
        <fgColor rgb="FF00B050"/>
        <bgColor rgb="FF000000"/>
      </patternFill>
    </fill>
    <fill>
      <patternFill patternType="solid">
        <fgColor theme="8" tint="0.79998168889431442"/>
        <bgColor indexed="64"/>
      </patternFill>
    </fill>
    <fill>
      <patternFill patternType="solid">
        <fgColor rgb="FF5B9BD5"/>
        <bgColor indexed="64"/>
      </patternFill>
    </fill>
    <fill>
      <patternFill patternType="solid">
        <fgColor rgb="FFDDEBF7"/>
        <bgColor indexed="64"/>
      </patternFill>
    </fill>
    <fill>
      <patternFill patternType="solid">
        <fgColor rgb="FFFFFFFF"/>
        <bgColor indexed="64"/>
      </patternFill>
    </fill>
    <fill>
      <patternFill patternType="solid">
        <fgColor rgb="FFC6E0B4"/>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9BC2E6"/>
      </bottom>
      <diagonal/>
    </border>
    <border>
      <left style="thin">
        <color rgb="FF000000"/>
      </left>
      <right style="thin">
        <color rgb="FF000000"/>
      </right>
      <top style="thin">
        <color rgb="FFCCCCCC"/>
      </top>
      <bottom style="thin">
        <color rgb="FF9BC2E6"/>
      </bottom>
      <diagonal/>
    </border>
    <border>
      <left style="thin">
        <color rgb="FF000000"/>
      </left>
      <right style="thin">
        <color rgb="FF000000"/>
      </right>
      <top style="thin">
        <color rgb="FFCCCCCC"/>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CCCCCC"/>
      </top>
      <bottom/>
      <diagonal/>
    </border>
    <border>
      <left style="thin">
        <color rgb="FF000000"/>
      </left>
      <right style="thin">
        <color rgb="FF000000"/>
      </right>
      <top style="thin">
        <color rgb="FF000000"/>
      </top>
      <bottom style="thin">
        <color theme="8" tint="0.39997558519241921"/>
      </bottom>
      <diagonal/>
    </border>
    <border>
      <left style="thin">
        <color rgb="FF000000"/>
      </left>
      <right/>
      <top style="thin">
        <color rgb="FF000000"/>
      </top>
      <bottom style="thin">
        <color theme="8" tint="0.39997558519241921"/>
      </bottom>
      <diagonal/>
    </border>
    <border>
      <left/>
      <right style="thin">
        <color indexed="64"/>
      </right>
      <top/>
      <bottom style="thin">
        <color indexed="64"/>
      </bottom>
      <diagonal/>
    </border>
  </borders>
  <cellStyleXfs count="9">
    <xf numFmtId="0" fontId="0" fillId="0" borderId="0"/>
    <xf numFmtId="42" fontId="6" fillId="0" borderId="0" applyFont="0" applyFill="0" applyBorder="0" applyAlignment="0" applyProtection="0"/>
    <xf numFmtId="9" fontId="6" fillId="0" borderId="0" applyFont="0" applyFill="0" applyBorder="0" applyAlignment="0" applyProtection="0"/>
    <xf numFmtId="0" fontId="9" fillId="0" borderId="3"/>
    <xf numFmtId="41" fontId="6" fillId="0" borderId="0" applyFont="0" applyFill="0" applyBorder="0" applyAlignment="0" applyProtection="0"/>
    <xf numFmtId="0" fontId="4" fillId="0" borderId="3"/>
    <xf numFmtId="164" fontId="3" fillId="0" borderId="3" applyFont="0" applyFill="0" applyBorder="0" applyAlignment="0" applyProtection="0"/>
    <xf numFmtId="0" fontId="12" fillId="0" borderId="3"/>
    <xf numFmtId="43" fontId="21" fillId="0" borderId="0" applyFont="0" applyFill="0" applyBorder="0" applyAlignment="0" applyProtection="0"/>
  </cellStyleXfs>
  <cellXfs count="563">
    <xf numFmtId="0" fontId="0" fillId="0" borderId="0" xfId="0"/>
    <xf numFmtId="0" fontId="5" fillId="0" borderId="0" xfId="0" applyFont="1"/>
    <xf numFmtId="0" fontId="7" fillId="0" borderId="0" xfId="0" quotePrefix="1" applyFont="1"/>
    <xf numFmtId="0" fontId="8" fillId="0" borderId="0" xfId="0" applyFont="1"/>
    <xf numFmtId="0" fontId="14" fillId="0" borderId="0" xfId="0" applyFont="1" applyAlignment="1">
      <alignment horizontal="center" vertical="center"/>
    </xf>
    <xf numFmtId="0" fontId="14" fillId="0" borderId="0" xfId="0" applyFont="1" applyAlignment="1">
      <alignment vertical="center"/>
    </xf>
    <xf numFmtId="0" fontId="14" fillId="0" borderId="0" xfId="0" applyFont="1"/>
    <xf numFmtId="14" fontId="0" fillId="0" borderId="0" xfId="0" applyNumberFormat="1"/>
    <xf numFmtId="0" fontId="13" fillId="0" borderId="0" xfId="0" quotePrefix="1" applyFont="1"/>
    <xf numFmtId="0" fontId="13" fillId="0" borderId="0" xfId="0" applyFont="1"/>
    <xf numFmtId="0" fontId="0" fillId="0" borderId="0" xfId="0" quotePrefix="1"/>
    <xf numFmtId="0" fontId="0" fillId="0" borderId="0" xfId="0" applyAlignment="1">
      <alignment horizontal="center"/>
    </xf>
    <xf numFmtId="0" fontId="13" fillId="0" borderId="0" xfId="0" applyFont="1" applyAlignment="1">
      <alignment horizontal="center"/>
    </xf>
    <xf numFmtId="9" fontId="0" fillId="0" borderId="0" xfId="0" applyNumberFormat="1"/>
    <xf numFmtId="0" fontId="7" fillId="3" borderId="0" xfId="0" quotePrefix="1" applyFont="1" applyFill="1"/>
    <xf numFmtId="0" fontId="7" fillId="4" borderId="0" xfId="0" quotePrefix="1" applyFont="1" applyFill="1"/>
    <xf numFmtId="0" fontId="7" fillId="5" borderId="0" xfId="0" quotePrefix="1" applyFont="1" applyFill="1"/>
    <xf numFmtId="0" fontId="0" fillId="6" borderId="0" xfId="0" applyFill="1"/>
    <xf numFmtId="0" fontId="0" fillId="0" borderId="0" xfId="0" pivotButton="1"/>
    <xf numFmtId="0" fontId="15" fillId="0" borderId="0" xfId="0" applyFont="1"/>
    <xf numFmtId="16" fontId="0" fillId="0" borderId="0" xfId="0" applyNumberFormat="1"/>
    <xf numFmtId="0" fontId="7" fillId="7" borderId="0" xfId="0" quotePrefix="1" applyFont="1" applyFill="1"/>
    <xf numFmtId="41" fontId="0" fillId="0" borderId="0" xfId="4" applyFont="1"/>
    <xf numFmtId="0" fontId="20" fillId="0" borderId="0" xfId="0" applyFont="1" applyAlignment="1">
      <alignment horizontal="center" vertical="center"/>
    </xf>
    <xf numFmtId="169" fontId="0" fillId="0" borderId="0" xfId="0" applyNumberFormat="1"/>
    <xf numFmtId="0" fontId="0" fillId="0" borderId="0" xfId="0" applyAlignment="1">
      <alignment horizontal="center" vertical="center"/>
    </xf>
    <xf numFmtId="0" fontId="23" fillId="0" borderId="3" xfId="0" applyFont="1" applyBorder="1" applyAlignment="1">
      <alignment vertical="center"/>
    </xf>
    <xf numFmtId="0" fontId="23" fillId="0" borderId="1" xfId="0" applyFont="1" applyBorder="1" applyAlignment="1">
      <alignment horizontal="center" vertical="center"/>
    </xf>
    <xf numFmtId="0" fontId="23" fillId="0" borderId="1" xfId="0" applyFont="1" applyBorder="1" applyAlignment="1">
      <alignment horizontal="left" vertical="center"/>
    </xf>
    <xf numFmtId="0" fontId="23" fillId="0" borderId="1" xfId="0" applyFont="1" applyBorder="1" applyAlignment="1">
      <alignment vertical="center"/>
    </xf>
    <xf numFmtId="165" fontId="23" fillId="0" borderId="1" xfId="0" applyNumberFormat="1" applyFont="1" applyBorder="1" applyAlignment="1">
      <alignment horizontal="center" vertical="center"/>
    </xf>
    <xf numFmtId="170" fontId="23" fillId="0" borderId="1" xfId="0" applyNumberFormat="1" applyFont="1" applyBorder="1" applyAlignment="1">
      <alignment horizontal="right" vertical="center"/>
    </xf>
    <xf numFmtId="171" fontId="23" fillId="0" borderId="1" xfId="0" applyNumberFormat="1" applyFont="1" applyBorder="1" applyAlignment="1">
      <alignment vertical="center"/>
    </xf>
    <xf numFmtId="171" fontId="23" fillId="0" borderId="1" xfId="0" applyNumberFormat="1" applyFont="1" applyBorder="1" applyAlignment="1">
      <alignment horizontal="center" vertical="center"/>
    </xf>
    <xf numFmtId="14" fontId="23" fillId="0" borderId="1" xfId="0" applyNumberFormat="1" applyFont="1" applyBorder="1" applyAlignment="1">
      <alignment horizontal="center" vertical="center"/>
    </xf>
    <xf numFmtId="1" fontId="23" fillId="0" borderId="1" xfId="0" applyNumberFormat="1" applyFont="1" applyBorder="1" applyAlignment="1">
      <alignment horizontal="center" vertical="center"/>
    </xf>
    <xf numFmtId="0" fontId="23" fillId="0" borderId="1" xfId="0" quotePrefix="1" applyFont="1" applyBorder="1" applyAlignment="1">
      <alignment vertical="center"/>
    </xf>
    <xf numFmtId="0" fontId="23" fillId="0" borderId="0" xfId="0" applyFont="1" applyAlignment="1">
      <alignment vertical="center"/>
    </xf>
    <xf numFmtId="0" fontId="23" fillId="0" borderId="1" xfId="0" quotePrefix="1" applyFont="1" applyBorder="1" applyAlignment="1">
      <alignment horizontal="left" vertical="center"/>
    </xf>
    <xf numFmtId="174" fontId="23" fillId="0" borderId="1" xfId="0" applyNumberFormat="1" applyFont="1" applyBorder="1" applyAlignment="1">
      <alignment horizontal="center" vertical="center"/>
    </xf>
    <xf numFmtId="0" fontId="23" fillId="0" borderId="1" xfId="0" applyFont="1" applyBorder="1" applyAlignment="1">
      <alignment horizontal="left" vertical="center" wrapText="1"/>
    </xf>
    <xf numFmtId="0" fontId="23" fillId="0" borderId="1" xfId="0" applyFont="1" applyBorder="1" applyAlignment="1">
      <alignment vertical="center" wrapText="1"/>
    </xf>
    <xf numFmtId="0" fontId="23" fillId="0" borderId="1" xfId="0" quotePrefix="1" applyFont="1" applyBorder="1" applyAlignment="1">
      <alignment horizontal="left" vertical="center" wrapText="1"/>
    </xf>
    <xf numFmtId="170" fontId="23" fillId="0" borderId="1" xfId="0" quotePrefix="1" applyNumberFormat="1" applyFont="1" applyBorder="1" applyAlignment="1">
      <alignment horizontal="right" vertical="center"/>
    </xf>
    <xf numFmtId="0" fontId="27" fillId="0" borderId="1" xfId="0" applyFont="1" applyBorder="1" applyAlignment="1">
      <alignment horizontal="left" vertical="center"/>
    </xf>
    <xf numFmtId="49" fontId="23" fillId="0" borderId="1" xfId="0" applyNumberFormat="1" applyFont="1" applyBorder="1" applyAlignment="1">
      <alignment horizontal="left" vertical="center" wrapText="1"/>
    </xf>
    <xf numFmtId="49" fontId="23" fillId="0" borderId="1" xfId="0" applyNumberFormat="1" applyFont="1" applyBorder="1" applyAlignment="1">
      <alignment horizontal="left" vertical="center"/>
    </xf>
    <xf numFmtId="49" fontId="23" fillId="0" borderId="1" xfId="0" applyNumberFormat="1" applyFont="1" applyBorder="1" applyAlignment="1">
      <alignment horizontal="center" vertical="center"/>
    </xf>
    <xf numFmtId="0" fontId="23" fillId="0" borderId="1" xfId="0" quotePrefix="1" applyFont="1" applyBorder="1" applyAlignment="1">
      <alignment horizontal="center" vertical="center"/>
    </xf>
    <xf numFmtId="0" fontId="23" fillId="10" borderId="1" xfId="0" applyFont="1" applyFill="1" applyBorder="1" applyAlignment="1">
      <alignment wrapText="1"/>
    </xf>
    <xf numFmtId="0" fontId="23" fillId="10" borderId="1" xfId="0" applyFont="1" applyFill="1" applyBorder="1"/>
    <xf numFmtId="10" fontId="23" fillId="0" borderId="1" xfId="0" applyNumberFormat="1" applyFont="1" applyBorder="1" applyAlignment="1">
      <alignment horizontal="center" vertical="center"/>
    </xf>
    <xf numFmtId="170" fontId="23" fillId="0" borderId="1" xfId="0" applyNumberFormat="1" applyFont="1" applyBorder="1" applyAlignment="1">
      <alignment horizontal="center" vertical="center"/>
    </xf>
    <xf numFmtId="10" fontId="23" fillId="0" borderId="1" xfId="2" quotePrefix="1" applyNumberFormat="1" applyFont="1" applyFill="1" applyBorder="1" applyAlignment="1">
      <alignment horizontal="center" vertical="center"/>
    </xf>
    <xf numFmtId="168" fontId="23" fillId="0" borderId="1" xfId="0" applyNumberFormat="1" applyFont="1" applyBorder="1" applyAlignment="1">
      <alignment horizontal="left" vertical="center"/>
    </xf>
    <xf numFmtId="166" fontId="23" fillId="0" borderId="1" xfId="0" quotePrefix="1" applyNumberFormat="1" applyFont="1" applyBorder="1" applyAlignment="1">
      <alignment horizontal="right" vertical="center"/>
    </xf>
    <xf numFmtId="175" fontId="23" fillId="0" borderId="1" xfId="0" applyNumberFormat="1" applyFont="1" applyBorder="1" applyAlignment="1">
      <alignment horizontal="center" vertical="center"/>
    </xf>
    <xf numFmtId="1" fontId="23" fillId="0" borderId="1" xfId="0" applyNumberFormat="1" applyFont="1" applyBorder="1" applyAlignment="1">
      <alignment horizontal="left" vertical="center"/>
    </xf>
    <xf numFmtId="170" fontId="23" fillId="0" borderId="1" xfId="0" quotePrefix="1" applyNumberFormat="1" applyFont="1" applyBorder="1" applyAlignment="1">
      <alignment vertical="center"/>
    </xf>
    <xf numFmtId="171" fontId="23" fillId="0" borderId="1" xfId="1" applyNumberFormat="1" applyFont="1" applyFill="1" applyBorder="1" applyAlignment="1">
      <alignment horizontal="center" vertical="center"/>
    </xf>
    <xf numFmtId="10" fontId="23" fillId="0" borderId="1" xfId="2" applyNumberFormat="1" applyFont="1" applyFill="1" applyBorder="1" applyAlignment="1">
      <alignment horizontal="center" vertical="center"/>
    </xf>
    <xf numFmtId="170" fontId="23" fillId="0" borderId="1" xfId="0" applyNumberFormat="1" applyFont="1" applyBorder="1" applyAlignment="1">
      <alignment vertical="center"/>
    </xf>
    <xf numFmtId="10" fontId="23" fillId="0" borderId="1" xfId="0" quotePrefix="1" applyNumberFormat="1" applyFont="1" applyBorder="1" applyAlignment="1">
      <alignment horizontal="center" vertical="center"/>
    </xf>
    <xf numFmtId="1" fontId="23" fillId="0" borderId="1" xfId="0" quotePrefix="1" applyNumberFormat="1" applyFont="1" applyBorder="1" applyAlignment="1">
      <alignment horizontal="left" vertical="center"/>
    </xf>
    <xf numFmtId="170" fontId="23" fillId="0" borderId="1" xfId="0" quotePrefix="1" applyNumberFormat="1" applyFont="1" applyBorder="1" applyAlignment="1">
      <alignment horizontal="center" vertical="center"/>
    </xf>
    <xf numFmtId="14" fontId="23" fillId="0" borderId="1" xfId="0" applyNumberFormat="1" applyFont="1" applyBorder="1" applyAlignment="1">
      <alignment vertical="center"/>
    </xf>
    <xf numFmtId="1" fontId="23" fillId="0" borderId="1" xfId="0" quotePrefix="1" applyNumberFormat="1" applyFont="1" applyBorder="1" applyAlignment="1">
      <alignment horizontal="center" vertical="center"/>
    </xf>
    <xf numFmtId="1" fontId="23" fillId="0" borderId="1" xfId="3" quotePrefix="1" applyNumberFormat="1" applyFont="1" applyBorder="1" applyAlignment="1">
      <alignment horizontal="left" vertical="center"/>
    </xf>
    <xf numFmtId="0" fontId="28" fillId="0" borderId="1" xfId="0" applyFont="1" applyBorder="1" applyAlignment="1">
      <alignment horizontal="center" vertical="center"/>
    </xf>
    <xf numFmtId="0" fontId="23" fillId="0" borderId="4" xfId="0" applyFont="1" applyBorder="1" applyAlignment="1">
      <alignment vertical="center"/>
    </xf>
    <xf numFmtId="9" fontId="23" fillId="0" borderId="1" xfId="0" applyNumberFormat="1" applyFont="1" applyBorder="1" applyAlignment="1">
      <alignment horizontal="center" vertical="center"/>
    </xf>
    <xf numFmtId="0" fontId="23" fillId="0" borderId="1" xfId="0" applyFont="1" applyBorder="1" applyAlignment="1">
      <alignment horizontal="left" vertical="top" wrapText="1"/>
    </xf>
    <xf numFmtId="9" fontId="23" fillId="0" borderId="1" xfId="2" applyFont="1" applyFill="1" applyBorder="1" applyAlignment="1">
      <alignment horizontal="center" vertical="center"/>
    </xf>
    <xf numFmtId="12" fontId="23" fillId="0" borderId="1" xfId="0" quotePrefix="1" applyNumberFormat="1" applyFont="1" applyBorder="1" applyAlignment="1">
      <alignment horizontal="left" vertical="center"/>
    </xf>
    <xf numFmtId="14" fontId="23" fillId="0" borderId="1" xfId="2" applyNumberFormat="1" applyFont="1" applyFill="1" applyBorder="1" applyAlignment="1">
      <alignment horizontal="center" vertical="center"/>
    </xf>
    <xf numFmtId="0" fontId="23" fillId="2" borderId="1" xfId="0" applyFont="1" applyFill="1" applyBorder="1" applyAlignment="1">
      <alignment horizontal="left" vertical="center"/>
    </xf>
    <xf numFmtId="0" fontId="23" fillId="2" borderId="1" xfId="0" applyFont="1" applyFill="1" applyBorder="1" applyAlignment="1">
      <alignment horizontal="center" vertical="center"/>
    </xf>
    <xf numFmtId="9" fontId="23" fillId="2" borderId="1" xfId="4" applyNumberFormat="1" applyFont="1" applyFill="1" applyBorder="1" applyAlignment="1">
      <alignment horizontal="center" vertical="center"/>
    </xf>
    <xf numFmtId="0" fontId="23" fillId="2" borderId="1" xfId="5" quotePrefix="1" applyFont="1" applyFill="1" applyBorder="1" applyAlignment="1">
      <alignment horizontal="center" vertical="center"/>
    </xf>
    <xf numFmtId="9" fontId="23" fillId="2" borderId="1" xfId="0" applyNumberFormat="1" applyFont="1" applyFill="1" applyBorder="1" applyAlignment="1">
      <alignment horizontal="center" vertical="center"/>
    </xf>
    <xf numFmtId="0" fontId="23" fillId="2" borderId="1" xfId="5" applyFont="1" applyFill="1" applyBorder="1" applyAlignment="1">
      <alignment horizontal="left" vertical="center"/>
    </xf>
    <xf numFmtId="0" fontId="23" fillId="2" borderId="1" xfId="0" applyFont="1" applyFill="1" applyBorder="1" applyAlignment="1">
      <alignment vertical="center"/>
    </xf>
    <xf numFmtId="0" fontId="28" fillId="0" borderId="1" xfId="0" applyFont="1" applyBorder="1" applyAlignment="1">
      <alignment horizontal="left" wrapText="1"/>
    </xf>
    <xf numFmtId="0" fontId="28" fillId="0" borderId="1" xfId="0" quotePrefix="1" applyFont="1" applyBorder="1" applyAlignment="1">
      <alignment horizontal="left" wrapText="1"/>
    </xf>
    <xf numFmtId="0" fontId="28" fillId="8" borderId="1" xfId="0" applyFont="1" applyFill="1" applyBorder="1" applyAlignment="1">
      <alignment horizontal="left" wrapText="1"/>
    </xf>
    <xf numFmtId="172" fontId="23" fillId="2" borderId="1" xfId="0" applyNumberFormat="1" applyFont="1" applyFill="1" applyBorder="1" applyAlignment="1">
      <alignment horizontal="center" vertical="center"/>
    </xf>
    <xf numFmtId="0" fontId="28" fillId="0" borderId="1" xfId="0" applyFont="1" applyBorder="1"/>
    <xf numFmtId="0" fontId="23" fillId="0" borderId="1" xfId="0" applyFont="1" applyBorder="1" applyAlignment="1">
      <alignment wrapText="1"/>
    </xf>
    <xf numFmtId="0" fontId="23" fillId="2" borderId="1" xfId="3" applyFont="1" applyFill="1" applyBorder="1" applyAlignment="1">
      <alignment horizontal="left" vertical="center"/>
    </xf>
    <xf numFmtId="0" fontId="23" fillId="0" borderId="1" xfId="0" applyFont="1" applyBorder="1"/>
    <xf numFmtId="14" fontId="23" fillId="2" borderId="1" xfId="5" applyNumberFormat="1" applyFont="1" applyFill="1" applyBorder="1" applyAlignment="1">
      <alignment horizontal="left" vertical="center"/>
    </xf>
    <xf numFmtId="0" fontId="23"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23" fillId="2" borderId="1" xfId="7" applyFont="1" applyFill="1" applyBorder="1" applyAlignment="1">
      <alignment horizontal="left" vertical="center"/>
    </xf>
    <xf numFmtId="0" fontId="23" fillId="8" borderId="1" xfId="0" quotePrefix="1" applyFont="1" applyFill="1" applyBorder="1" applyAlignment="1">
      <alignment wrapText="1"/>
    </xf>
    <xf numFmtId="0" fontId="23" fillId="2" borderId="1" xfId="5" applyFont="1" applyFill="1" applyBorder="1" applyAlignment="1">
      <alignment horizontal="center" vertical="center"/>
    </xf>
    <xf numFmtId="0" fontId="23" fillId="8" borderId="1" xfId="0" applyFont="1" applyFill="1" applyBorder="1" applyAlignment="1">
      <alignment wrapText="1"/>
    </xf>
    <xf numFmtId="0" fontId="28" fillId="0" borderId="1" xfId="0" applyFont="1" applyBorder="1" applyAlignment="1">
      <alignment wrapText="1"/>
    </xf>
    <xf numFmtId="0" fontId="28" fillId="0" borderId="1" xfId="0" quotePrefix="1" applyFont="1" applyBorder="1" applyAlignment="1">
      <alignment wrapText="1"/>
    </xf>
    <xf numFmtId="3" fontId="26" fillId="0" borderId="1" xfId="0" applyNumberFormat="1" applyFont="1" applyBorder="1"/>
    <xf numFmtId="171" fontId="23" fillId="0" borderId="1" xfId="2" applyNumberFormat="1" applyFont="1" applyFill="1" applyBorder="1" applyAlignment="1">
      <alignment vertical="center"/>
    </xf>
    <xf numFmtId="0" fontId="23" fillId="6" borderId="1" xfId="0" applyFont="1" applyFill="1" applyBorder="1" applyAlignment="1">
      <alignment horizontal="center" vertical="center"/>
    </xf>
    <xf numFmtId="173" fontId="23" fillId="0" borderId="1" xfId="0" applyNumberFormat="1" applyFont="1" applyBorder="1" applyAlignment="1">
      <alignment horizontal="center" vertical="center"/>
    </xf>
    <xf numFmtId="171" fontId="23" fillId="0" borderId="1" xfId="2" applyNumberFormat="1" applyFont="1" applyBorder="1" applyAlignment="1">
      <alignment vertical="center"/>
    </xf>
    <xf numFmtId="0" fontId="28" fillId="0" borderId="1" xfId="0" applyFont="1" applyBorder="1" applyAlignment="1">
      <alignment horizontal="left" vertical="center"/>
    </xf>
    <xf numFmtId="0" fontId="28" fillId="0" borderId="1" xfId="0" applyFont="1" applyBorder="1" applyAlignment="1">
      <alignment vertical="center"/>
    </xf>
    <xf numFmtId="0" fontId="28" fillId="0" borderId="1" xfId="0" quotePrefix="1" applyFont="1" applyBorder="1" applyAlignment="1">
      <alignment horizontal="left" vertical="center"/>
    </xf>
    <xf numFmtId="0" fontId="28" fillId="0" borderId="1" xfId="0" quotePrefix="1" applyFont="1" applyBorder="1"/>
    <xf numFmtId="170" fontId="28" fillId="0" borderId="1" xfId="0" applyNumberFormat="1" applyFont="1" applyBorder="1" applyAlignment="1">
      <alignment horizontal="right" vertical="center"/>
    </xf>
    <xf numFmtId="171" fontId="28" fillId="0" borderId="1" xfId="0" applyNumberFormat="1" applyFont="1" applyBorder="1" applyAlignment="1">
      <alignment horizontal="center" vertical="center"/>
    </xf>
    <xf numFmtId="171" fontId="28" fillId="0" borderId="1" xfId="2" applyNumberFormat="1" applyFont="1" applyFill="1" applyBorder="1" applyAlignment="1">
      <alignment vertical="center"/>
    </xf>
    <xf numFmtId="9" fontId="28" fillId="0" borderId="1" xfId="0" applyNumberFormat="1" applyFont="1" applyBorder="1" applyAlignment="1">
      <alignment horizontal="center" vertical="center"/>
    </xf>
    <xf numFmtId="0" fontId="23" fillId="0" borderId="2" xfId="0" applyFont="1" applyBorder="1" applyAlignment="1">
      <alignment horizontal="center" vertical="center"/>
    </xf>
    <xf numFmtId="0" fontId="23" fillId="0" borderId="2" xfId="0" applyFont="1" applyBorder="1" applyAlignment="1">
      <alignment horizontal="left" vertical="center"/>
    </xf>
    <xf numFmtId="0" fontId="23" fillId="0" borderId="2" xfId="0" applyFont="1" applyBorder="1" applyAlignment="1">
      <alignment vertical="center"/>
    </xf>
    <xf numFmtId="14" fontId="23" fillId="0" borderId="2" xfId="0" applyNumberFormat="1" applyFont="1" applyBorder="1" applyAlignment="1">
      <alignment horizontal="center" vertical="center"/>
    </xf>
    <xf numFmtId="1" fontId="23" fillId="0" borderId="2" xfId="0" applyNumberFormat="1" applyFont="1" applyBorder="1" applyAlignment="1">
      <alignment horizontal="center" vertical="center"/>
    </xf>
    <xf numFmtId="0" fontId="23" fillId="0" borderId="0" xfId="0" applyFont="1" applyAlignment="1">
      <alignment horizontal="left" vertical="center"/>
    </xf>
    <xf numFmtId="0" fontId="23" fillId="0" borderId="0" xfId="0" applyFont="1" applyAlignment="1">
      <alignment horizontal="center" vertical="center"/>
    </xf>
    <xf numFmtId="175" fontId="23" fillId="0" borderId="0" xfId="0" applyNumberFormat="1" applyFont="1" applyAlignment="1">
      <alignment horizontal="center" vertical="center"/>
    </xf>
    <xf numFmtId="175" fontId="23" fillId="0" borderId="0" xfId="0" applyNumberFormat="1" applyFont="1" applyAlignment="1">
      <alignment vertical="center"/>
    </xf>
    <xf numFmtId="9" fontId="23" fillId="0" borderId="0" xfId="2" applyFont="1" applyFill="1" applyAlignment="1">
      <alignment horizontal="center" vertical="center"/>
    </xf>
    <xf numFmtId="14" fontId="23" fillId="0" borderId="0" xfId="0" applyNumberFormat="1" applyFont="1" applyAlignment="1">
      <alignment vertical="center"/>
    </xf>
    <xf numFmtId="170" fontId="23" fillId="0" borderId="0" xfId="0" applyNumberFormat="1" applyFont="1" applyAlignment="1">
      <alignment horizontal="center" vertical="center"/>
    </xf>
    <xf numFmtId="0" fontId="2" fillId="0" borderId="0" xfId="0" applyFont="1" applyAlignment="1">
      <alignment vertical="center"/>
    </xf>
    <xf numFmtId="41" fontId="0" fillId="0" borderId="0" xfId="4" applyFont="1" applyAlignment="1">
      <alignment horizontal="right" vertical="center"/>
    </xf>
    <xf numFmtId="0" fontId="0" fillId="0" borderId="0" xfId="0" pivotButton="1" applyAlignment="1">
      <alignment horizontal="right" vertical="center"/>
    </xf>
    <xf numFmtId="49" fontId="0" fillId="0" borderId="0" xfId="0" applyNumberFormat="1"/>
    <xf numFmtId="49" fontId="0" fillId="0" borderId="0" xfId="0" pivotButton="1" applyNumberFormat="1"/>
    <xf numFmtId="0" fontId="15" fillId="5" borderId="0" xfId="0" applyFont="1" applyFill="1"/>
    <xf numFmtId="176" fontId="0" fillId="0" borderId="4" xfId="4" applyNumberFormat="1" applyFont="1" applyBorder="1"/>
    <xf numFmtId="0" fontId="0" fillId="5" borderId="0" xfId="0" applyFill="1"/>
    <xf numFmtId="41" fontId="0" fillId="5" borderId="0" xfId="4" applyFont="1" applyFill="1"/>
    <xf numFmtId="0" fontId="0" fillId="5" borderId="7" xfId="0" applyFill="1" applyBorder="1"/>
    <xf numFmtId="41" fontId="0" fillId="5" borderId="8" xfId="4" applyFont="1" applyFill="1" applyBorder="1"/>
    <xf numFmtId="0" fontId="15" fillId="0" borderId="0" xfId="0" applyFont="1" applyAlignment="1">
      <alignment horizontal="center" vertical="center"/>
    </xf>
    <xf numFmtId="0" fontId="15" fillId="0" borderId="0" xfId="0" applyFont="1" applyAlignment="1">
      <alignment horizontal="center"/>
    </xf>
    <xf numFmtId="0" fontId="15" fillId="5" borderId="7" xfId="0" applyFont="1" applyFill="1" applyBorder="1"/>
    <xf numFmtId="0" fontId="29" fillId="0" borderId="0" xfId="0" applyFont="1" applyAlignment="1">
      <alignment horizontal="center" vertical="center" wrapText="1"/>
    </xf>
    <xf numFmtId="0" fontId="29" fillId="0" borderId="0" xfId="0" applyFont="1" applyAlignment="1">
      <alignment horizontal="center" vertical="center"/>
    </xf>
    <xf numFmtId="41" fontId="29" fillId="0" borderId="0" xfId="4" applyFont="1" applyAlignment="1">
      <alignment horizontal="center" vertical="center"/>
    </xf>
    <xf numFmtId="41" fontId="29" fillId="14" borderId="7" xfId="4" applyFont="1" applyFill="1" applyBorder="1" applyAlignment="1">
      <alignment horizontal="center" vertical="center"/>
    </xf>
    <xf numFmtId="41" fontId="29" fillId="14" borderId="8" xfId="4" applyFont="1" applyFill="1" applyBorder="1" applyAlignment="1">
      <alignment horizontal="center" vertical="center"/>
    </xf>
    <xf numFmtId="41" fontId="15" fillId="0" borderId="0" xfId="4" applyFont="1"/>
    <xf numFmtId="42" fontId="0" fillId="5" borderId="7" xfId="4" applyNumberFormat="1" applyFont="1" applyFill="1" applyBorder="1"/>
    <xf numFmtId="42" fontId="0" fillId="5" borderId="8" xfId="4" applyNumberFormat="1" applyFont="1" applyFill="1" applyBorder="1"/>
    <xf numFmtId="170" fontId="7" fillId="15" borderId="1" xfId="0" applyNumberFormat="1" applyFont="1" applyFill="1" applyBorder="1" applyAlignment="1">
      <alignment horizontal="right"/>
    </xf>
    <xf numFmtId="0" fontId="7" fillId="15" borderId="1" xfId="0" applyFont="1" applyFill="1" applyBorder="1"/>
    <xf numFmtId="0" fontId="7" fillId="15" borderId="1" xfId="0" applyFont="1" applyFill="1" applyBorder="1" applyAlignment="1">
      <alignment horizontal="center"/>
    </xf>
    <xf numFmtId="0" fontId="0" fillId="0" borderId="0" xfId="0" applyAlignment="1">
      <alignment vertical="center"/>
    </xf>
    <xf numFmtId="10" fontId="23" fillId="0" borderId="1" xfId="2" applyNumberFormat="1" applyFont="1" applyBorder="1" applyAlignment="1">
      <alignment horizontal="center" vertical="center"/>
    </xf>
    <xf numFmtId="175" fontId="23" fillId="0" borderId="1" xfId="0" applyNumberFormat="1" applyFont="1" applyBorder="1" applyAlignment="1">
      <alignment vertical="center"/>
    </xf>
    <xf numFmtId="169" fontId="23" fillId="0" borderId="1" xfId="0" applyNumberFormat="1" applyFont="1" applyBorder="1" applyAlignment="1">
      <alignment horizontal="left" vertical="center"/>
    </xf>
    <xf numFmtId="0" fontId="23" fillId="0" borderId="3" xfId="0" applyFont="1" applyBorder="1" applyAlignment="1">
      <alignment horizontal="left" vertical="center"/>
    </xf>
    <xf numFmtId="0" fontId="7" fillId="0" borderId="1" xfId="0" applyFont="1" applyBorder="1"/>
    <xf numFmtId="14" fontId="0" fillId="0" borderId="0" xfId="0" applyNumberFormat="1" applyAlignment="1">
      <alignment vertical="center"/>
    </xf>
    <xf numFmtId="0" fontId="13" fillId="0" borderId="0" xfId="0" quotePrefix="1" applyFont="1" applyAlignment="1">
      <alignment vertical="center"/>
    </xf>
    <xf numFmtId="0" fontId="13" fillId="0" borderId="0" xfId="0" applyFont="1" applyAlignment="1">
      <alignment vertical="center"/>
    </xf>
    <xf numFmtId="0" fontId="32" fillId="0" borderId="1" xfId="0" applyFont="1" applyBorder="1" applyAlignment="1">
      <alignment horizontal="center" vertical="center"/>
    </xf>
    <xf numFmtId="0" fontId="32" fillId="0" borderId="1" xfId="0" applyFont="1" applyBorder="1" applyAlignment="1">
      <alignment horizontal="left" vertical="center"/>
    </xf>
    <xf numFmtId="0" fontId="32" fillId="0" borderId="1" xfId="0" applyFont="1" applyBorder="1" applyAlignment="1">
      <alignment vertical="center"/>
    </xf>
    <xf numFmtId="170" fontId="32" fillId="0" borderId="1" xfId="0" applyNumberFormat="1" applyFont="1" applyBorder="1" applyAlignment="1">
      <alignment horizontal="right" vertical="center"/>
    </xf>
    <xf numFmtId="175" fontId="32" fillId="0" borderId="1" xfId="0" applyNumberFormat="1" applyFont="1" applyBorder="1" applyAlignment="1">
      <alignment horizontal="center" vertical="center"/>
    </xf>
    <xf numFmtId="171" fontId="32" fillId="0" borderId="1" xfId="2" applyNumberFormat="1" applyFont="1" applyFill="1" applyBorder="1" applyAlignment="1">
      <alignment vertical="center"/>
    </xf>
    <xf numFmtId="14" fontId="32" fillId="0" borderId="1" xfId="0" applyNumberFormat="1" applyFont="1" applyBorder="1" applyAlignment="1">
      <alignment horizontal="center" vertical="center"/>
    </xf>
    <xf numFmtId="170" fontId="23" fillId="0" borderId="1" xfId="8" applyNumberFormat="1" applyFont="1" applyBorder="1" applyAlignment="1">
      <alignment horizontal="right" vertical="center"/>
    </xf>
    <xf numFmtId="171" fontId="23" fillId="0" borderId="1" xfId="8" applyNumberFormat="1" applyFont="1" applyBorder="1" applyAlignment="1">
      <alignment vertical="center"/>
    </xf>
    <xf numFmtId="42" fontId="23" fillId="0" borderId="1" xfId="0" applyNumberFormat="1" applyFont="1" applyBorder="1" applyAlignment="1">
      <alignment horizontal="center" vertical="center"/>
    </xf>
    <xf numFmtId="9" fontId="23" fillId="0" borderId="1" xfId="4" applyNumberFormat="1" applyFont="1" applyFill="1" applyBorder="1" applyAlignment="1">
      <alignment horizontal="center" vertical="center"/>
    </xf>
    <xf numFmtId="0" fontId="23" fillId="0" borderId="1" xfId="0" quotePrefix="1" applyFont="1" applyBorder="1" applyAlignment="1">
      <alignment horizontal="left"/>
    </xf>
    <xf numFmtId="0" fontId="23" fillId="16" borderId="1" xfId="0" applyFont="1" applyFill="1" applyBorder="1" applyAlignment="1">
      <alignment vertical="center"/>
    </xf>
    <xf numFmtId="0" fontId="23" fillId="15" borderId="1" xfId="0" applyFont="1" applyFill="1" applyBorder="1" applyAlignment="1">
      <alignment horizontal="left" vertical="center"/>
    </xf>
    <xf numFmtId="0" fontId="32" fillId="0" borderId="2" xfId="0" applyFont="1" applyBorder="1" applyAlignment="1">
      <alignment horizontal="center" vertical="center"/>
    </xf>
    <xf numFmtId="0" fontId="32" fillId="0" borderId="2" xfId="0" applyFont="1" applyBorder="1" applyAlignment="1">
      <alignment horizontal="left" vertical="center"/>
    </xf>
    <xf numFmtId="0" fontId="32" fillId="0" borderId="2" xfId="0" applyFont="1" applyBorder="1" applyAlignment="1">
      <alignment vertical="center"/>
    </xf>
    <xf numFmtId="170" fontId="32" fillId="0" borderId="2" xfId="0" applyNumberFormat="1" applyFont="1" applyBorder="1" applyAlignment="1">
      <alignment horizontal="right" vertical="center"/>
    </xf>
    <xf numFmtId="175" fontId="32" fillId="0" borderId="2" xfId="0" applyNumberFormat="1" applyFont="1" applyBorder="1" applyAlignment="1">
      <alignment horizontal="center" vertical="center"/>
    </xf>
    <xf numFmtId="171" fontId="32" fillId="0" borderId="2" xfId="2" applyNumberFormat="1" applyFont="1" applyFill="1" applyBorder="1" applyAlignment="1">
      <alignment vertical="center"/>
    </xf>
    <xf numFmtId="14" fontId="32" fillId="0" borderId="2" xfId="0" applyNumberFormat="1" applyFont="1" applyBorder="1" applyAlignment="1">
      <alignment horizontal="center" vertical="center"/>
    </xf>
    <xf numFmtId="170" fontId="32" fillId="0" borderId="2" xfId="0" applyNumberFormat="1" applyFont="1" applyBorder="1" applyAlignment="1">
      <alignment horizontal="center" vertical="center"/>
    </xf>
    <xf numFmtId="0" fontId="32" fillId="0" borderId="2" xfId="0" quotePrefix="1" applyFont="1" applyBorder="1" applyAlignment="1">
      <alignment vertical="center"/>
    </xf>
    <xf numFmtId="0" fontId="32" fillId="0" borderId="1" xfId="0" quotePrefix="1" applyFont="1" applyBorder="1" applyAlignment="1">
      <alignment vertical="center"/>
    </xf>
    <xf numFmtId="0" fontId="32" fillId="0" borderId="1" xfId="0" applyFont="1" applyBorder="1" applyAlignment="1">
      <alignment horizontal="left" vertical="center" wrapText="1"/>
    </xf>
    <xf numFmtId="170" fontId="28" fillId="0" borderId="1" xfId="0" applyNumberFormat="1" applyFont="1" applyBorder="1" applyAlignment="1">
      <alignment horizontal="center" vertical="center"/>
    </xf>
    <xf numFmtId="49" fontId="32" fillId="0" borderId="1" xfId="0" applyNumberFormat="1" applyFont="1" applyBorder="1" applyAlignment="1">
      <alignment horizontal="center" vertical="center"/>
    </xf>
    <xf numFmtId="0" fontId="36" fillId="0" borderId="0" xfId="0" pivotButton="1" applyFont="1" applyAlignment="1">
      <alignment horizontal="center"/>
    </xf>
    <xf numFmtId="0" fontId="36" fillId="0" borderId="0" xfId="0" applyFont="1" applyAlignment="1">
      <alignment horizontal="center"/>
    </xf>
    <xf numFmtId="166" fontId="0" fillId="0" borderId="0" xfId="0" applyNumberFormat="1"/>
    <xf numFmtId="166" fontId="0" fillId="5" borderId="0" xfId="0" applyNumberFormat="1" applyFill="1"/>
    <xf numFmtId="169" fontId="0" fillId="5" borderId="0" xfId="0" applyNumberFormat="1" applyFill="1"/>
    <xf numFmtId="0" fontId="32" fillId="0" borderId="1" xfId="0" applyFont="1" applyBorder="1" applyAlignment="1">
      <alignment horizontal="center" vertical="center" wrapText="1"/>
    </xf>
    <xf numFmtId="10" fontId="32" fillId="0" borderId="2" xfId="0" applyNumberFormat="1" applyFont="1" applyBorder="1" applyAlignment="1">
      <alignment horizontal="center" vertical="center"/>
    </xf>
    <xf numFmtId="0" fontId="32" fillId="17" borderId="1" xfId="0" applyFont="1" applyFill="1" applyBorder="1" applyAlignment="1">
      <alignment horizontal="left" vertical="center"/>
    </xf>
    <xf numFmtId="170" fontId="32" fillId="17" borderId="1" xfId="0" applyNumberFormat="1" applyFont="1" applyFill="1" applyBorder="1" applyAlignment="1">
      <alignment horizontal="right" vertical="center"/>
    </xf>
    <xf numFmtId="0" fontId="0" fillId="0" borderId="1" xfId="0" applyBorder="1"/>
    <xf numFmtId="0" fontId="32" fillId="0" borderId="6" xfId="0" applyFont="1" applyBorder="1" applyAlignment="1">
      <alignment horizontal="center" vertical="center"/>
    </xf>
    <xf numFmtId="175" fontId="23" fillId="0" borderId="1" xfId="0" quotePrefix="1" applyNumberFormat="1" applyFont="1" applyBorder="1" applyAlignment="1">
      <alignment horizontal="center" vertical="center"/>
    </xf>
    <xf numFmtId="175" fontId="23" fillId="0" borderId="1" xfId="0" applyNumberFormat="1" applyFont="1" applyBorder="1" applyAlignment="1">
      <alignment horizontal="right" vertical="center"/>
    </xf>
    <xf numFmtId="175" fontId="28" fillId="0" borderId="1" xfId="0" applyNumberFormat="1" applyFont="1" applyBorder="1" applyAlignment="1">
      <alignment horizontal="center" vertical="center"/>
    </xf>
    <xf numFmtId="0" fontId="23" fillId="0" borderId="5" xfId="0" applyFont="1" applyBorder="1" applyAlignment="1">
      <alignment vertical="center"/>
    </xf>
    <xf numFmtId="0" fontId="23" fillId="0" borderId="12" xfId="0" applyFont="1" applyBorder="1" applyAlignment="1">
      <alignment vertical="center"/>
    </xf>
    <xf numFmtId="170" fontId="32" fillId="0" borderId="1" xfId="0" applyNumberFormat="1" applyFont="1" applyBorder="1" applyAlignment="1">
      <alignment horizontal="center" vertical="center"/>
    </xf>
    <xf numFmtId="9" fontId="23" fillId="0" borderId="1" xfId="2" applyFont="1" applyBorder="1" applyAlignment="1">
      <alignment horizontal="center" vertical="center"/>
    </xf>
    <xf numFmtId="0" fontId="32" fillId="0" borderId="1" xfId="0" applyFont="1" applyBorder="1" applyAlignment="1">
      <alignment vertical="center" wrapText="1"/>
    </xf>
    <xf numFmtId="0" fontId="23" fillId="0" borderId="1" xfId="0" applyFont="1" applyBorder="1" applyAlignment="1">
      <alignment horizontal="left" vertical="top"/>
    </xf>
    <xf numFmtId="0" fontId="32" fillId="0" borderId="1" xfId="0" quotePrefix="1" applyFont="1" applyBorder="1" applyAlignment="1">
      <alignment horizontal="left" vertical="center"/>
    </xf>
    <xf numFmtId="0" fontId="32" fillId="0" borderId="1" xfId="0" applyFont="1" applyBorder="1" applyAlignment="1">
      <alignment vertical="top"/>
    </xf>
    <xf numFmtId="1" fontId="32" fillId="0" borderId="1" xfId="0" applyNumberFormat="1" applyFont="1" applyBorder="1" applyAlignment="1">
      <alignment horizontal="center" vertical="center"/>
    </xf>
    <xf numFmtId="0" fontId="32" fillId="2" borderId="1" xfId="0" applyFont="1" applyFill="1" applyBorder="1" applyAlignment="1">
      <alignment horizontal="center" vertical="center"/>
    </xf>
    <xf numFmtId="0" fontId="32" fillId="2" borderId="1" xfId="0" applyFont="1" applyFill="1" applyBorder="1" applyAlignment="1">
      <alignment horizontal="left" vertical="center"/>
    </xf>
    <xf numFmtId="0" fontId="32" fillId="2" borderId="1" xfId="0" applyFont="1" applyFill="1" applyBorder="1" applyAlignment="1">
      <alignment vertical="center"/>
    </xf>
    <xf numFmtId="171" fontId="32" fillId="0" borderId="1" xfId="0" applyNumberFormat="1" applyFont="1" applyBorder="1" applyAlignment="1">
      <alignment vertical="center"/>
    </xf>
    <xf numFmtId="9" fontId="32" fillId="0" borderId="1" xfId="4" applyNumberFormat="1" applyFont="1" applyFill="1" applyBorder="1" applyAlignment="1">
      <alignment horizontal="center" vertical="center"/>
    </xf>
    <xf numFmtId="9" fontId="32" fillId="0" borderId="1" xfId="0" applyNumberFormat="1" applyFont="1" applyBorder="1" applyAlignment="1">
      <alignment horizontal="center" vertical="center"/>
    </xf>
    <xf numFmtId="0" fontId="32" fillId="2" borderId="1" xfId="5" quotePrefix="1" applyFont="1" applyFill="1" applyBorder="1" applyAlignment="1">
      <alignment vertical="center"/>
    </xf>
    <xf numFmtId="0" fontId="23" fillId="0" borderId="1" xfId="0" quotePrefix="1" applyFont="1" applyBorder="1" applyAlignment="1">
      <alignment horizontal="left" vertical="top" wrapText="1"/>
    </xf>
    <xf numFmtId="0" fontId="32" fillId="0" borderId="1" xfId="0" quotePrefix="1" applyFont="1" applyBorder="1" applyAlignment="1">
      <alignment horizontal="left" vertical="center" wrapText="1"/>
    </xf>
    <xf numFmtId="1" fontId="32" fillId="0" borderId="1" xfId="0" quotePrefix="1" applyNumberFormat="1" applyFont="1" applyBorder="1" applyAlignment="1">
      <alignment horizontal="left" vertical="center"/>
    </xf>
    <xf numFmtId="0" fontId="32" fillId="0" borderId="1" xfId="0" quotePrefix="1" applyFont="1" applyBorder="1" applyAlignment="1">
      <alignment vertical="center" wrapText="1"/>
    </xf>
    <xf numFmtId="1" fontId="32" fillId="0" borderId="1" xfId="0" applyNumberFormat="1" applyFont="1" applyBorder="1" applyAlignment="1">
      <alignment horizontal="left" vertical="center"/>
    </xf>
    <xf numFmtId="0" fontId="32" fillId="0" borderId="9" xfId="0" applyFont="1" applyBorder="1" applyAlignment="1">
      <alignment horizontal="center" vertical="center"/>
    </xf>
    <xf numFmtId="0" fontId="32" fillId="0" borderId="1" xfId="0" applyFont="1" applyBorder="1" applyAlignment="1">
      <alignment horizontal="left" vertical="top" wrapText="1"/>
    </xf>
    <xf numFmtId="0" fontId="32" fillId="8" borderId="1" xfId="0" applyFont="1" applyFill="1" applyBorder="1" applyAlignment="1">
      <alignment horizontal="left" vertical="center"/>
    </xf>
    <xf numFmtId="0" fontId="32" fillId="8" borderId="1" xfId="0" quotePrefix="1" applyFont="1" applyFill="1" applyBorder="1" applyAlignment="1">
      <alignment vertical="center"/>
    </xf>
    <xf numFmtId="0" fontId="32" fillId="8" borderId="1" xfId="0" applyFont="1" applyFill="1" applyBorder="1" applyAlignment="1">
      <alignment vertical="center"/>
    </xf>
    <xf numFmtId="0" fontId="32" fillId="18" borderId="1" xfId="0" applyFont="1" applyFill="1" applyBorder="1" applyAlignment="1">
      <alignment horizontal="center" vertical="center"/>
    </xf>
    <xf numFmtId="0" fontId="32" fillId="8" borderId="1" xfId="0" applyFont="1" applyFill="1" applyBorder="1" applyAlignment="1">
      <alignment horizontal="center" vertical="center"/>
    </xf>
    <xf numFmtId="1" fontId="32" fillId="19" borderId="1" xfId="0" applyNumberFormat="1" applyFont="1" applyFill="1" applyBorder="1" applyAlignment="1">
      <alignment horizontal="center" vertical="center"/>
    </xf>
    <xf numFmtId="1" fontId="32" fillId="20" borderId="1" xfId="0" applyNumberFormat="1" applyFont="1" applyFill="1" applyBorder="1" applyAlignment="1">
      <alignment horizontal="center" vertical="center"/>
    </xf>
    <xf numFmtId="0" fontId="32" fillId="21" borderId="1" xfId="0" applyFont="1" applyFill="1" applyBorder="1" applyAlignment="1">
      <alignment horizontal="left" vertical="center"/>
    </xf>
    <xf numFmtId="0" fontId="32" fillId="21" borderId="1" xfId="0" quotePrefix="1" applyFont="1" applyFill="1" applyBorder="1" applyAlignment="1">
      <alignment vertical="center"/>
    </xf>
    <xf numFmtId="0" fontId="32" fillId="21" borderId="1" xfId="0" applyFont="1" applyFill="1" applyBorder="1" applyAlignment="1">
      <alignment vertical="center"/>
    </xf>
    <xf numFmtId="0" fontId="32" fillId="21" borderId="1" xfId="0" applyFont="1" applyFill="1" applyBorder="1" applyAlignment="1">
      <alignment horizontal="center" vertical="center"/>
    </xf>
    <xf numFmtId="0" fontId="32" fillId="2" borderId="1" xfId="5" applyFont="1" applyFill="1" applyBorder="1" applyAlignment="1">
      <alignment vertical="center"/>
    </xf>
    <xf numFmtId="0" fontId="32" fillId="2" borderId="1" xfId="5" applyFont="1" applyFill="1" applyBorder="1" applyAlignment="1">
      <alignment horizontal="left" vertical="center"/>
    </xf>
    <xf numFmtId="49" fontId="23" fillId="0" borderId="1" xfId="0" applyNumberFormat="1" applyFont="1" applyBorder="1" applyAlignment="1">
      <alignment vertical="center"/>
    </xf>
    <xf numFmtId="0" fontId="23" fillId="21" borderId="0" xfId="0" applyFont="1" applyFill="1" applyAlignment="1">
      <alignment vertical="center"/>
    </xf>
    <xf numFmtId="0" fontId="32" fillId="17" borderId="1" xfId="0" applyFont="1" applyFill="1" applyBorder="1" applyAlignment="1">
      <alignment horizontal="center" vertical="center"/>
    </xf>
    <xf numFmtId="0" fontId="32" fillId="2" borderId="1" xfId="3" applyFont="1" applyFill="1" applyBorder="1" applyAlignment="1">
      <alignment horizontal="left" vertical="center"/>
    </xf>
    <xf numFmtId="0" fontId="32" fillId="21" borderId="1" xfId="3" applyFont="1" applyFill="1" applyBorder="1" applyAlignment="1">
      <alignment horizontal="left" vertical="center"/>
    </xf>
    <xf numFmtId="0" fontId="32" fillId="17" borderId="1" xfId="0" applyFont="1" applyFill="1" applyBorder="1" applyAlignment="1">
      <alignment vertical="center"/>
    </xf>
    <xf numFmtId="14" fontId="32" fillId="2" borderId="1" xfId="5" applyNumberFormat="1" applyFont="1" applyFill="1" applyBorder="1" applyAlignment="1">
      <alignment horizontal="left" vertical="center"/>
    </xf>
    <xf numFmtId="0" fontId="32" fillId="2" borderId="1" xfId="7" applyFont="1" applyFill="1" applyBorder="1" applyAlignment="1">
      <alignment horizontal="left" vertical="center"/>
    </xf>
    <xf numFmtId="0" fontId="32" fillId="21" borderId="1" xfId="5" applyFont="1" applyFill="1" applyBorder="1" applyAlignment="1">
      <alignment horizontal="left" vertical="center"/>
    </xf>
    <xf numFmtId="0" fontId="32" fillId="17" borderId="1" xfId="0" quotePrefix="1" applyFont="1" applyFill="1" applyBorder="1" applyAlignment="1">
      <alignment vertical="center"/>
    </xf>
    <xf numFmtId="175" fontId="32" fillId="17" borderId="1" xfId="0" applyNumberFormat="1" applyFont="1" applyFill="1" applyBorder="1" applyAlignment="1">
      <alignment horizontal="center" vertical="center"/>
    </xf>
    <xf numFmtId="175" fontId="32" fillId="21" borderId="1" xfId="0" applyNumberFormat="1" applyFont="1" applyFill="1" applyBorder="1" applyAlignment="1">
      <alignment horizontal="center" vertical="center"/>
    </xf>
    <xf numFmtId="170" fontId="32" fillId="21" borderId="1" xfId="0" applyNumberFormat="1" applyFont="1" applyFill="1" applyBorder="1" applyAlignment="1">
      <alignment horizontal="right" vertical="center"/>
    </xf>
    <xf numFmtId="170" fontId="32" fillId="8" borderId="1" xfId="0" applyNumberFormat="1" applyFont="1" applyFill="1" applyBorder="1" applyAlignment="1">
      <alignment horizontal="right" vertical="center"/>
    </xf>
    <xf numFmtId="171" fontId="32" fillId="17" borderId="1" xfId="0" applyNumberFormat="1" applyFont="1" applyFill="1" applyBorder="1" applyAlignment="1">
      <alignment vertical="center"/>
    </xf>
    <xf numFmtId="171" fontId="32" fillId="21" borderId="1" xfId="0" applyNumberFormat="1" applyFont="1" applyFill="1" applyBorder="1" applyAlignment="1">
      <alignment vertical="center"/>
    </xf>
    <xf numFmtId="14" fontId="32" fillId="17" borderId="1" xfId="0" applyNumberFormat="1" applyFont="1" applyFill="1" applyBorder="1" applyAlignment="1">
      <alignment horizontal="center" vertical="center"/>
    </xf>
    <xf numFmtId="14" fontId="32" fillId="21" borderId="1" xfId="0" applyNumberFormat="1" applyFont="1" applyFill="1" applyBorder="1" applyAlignment="1">
      <alignment horizontal="center" vertical="center"/>
    </xf>
    <xf numFmtId="1" fontId="32" fillId="17" borderId="1" xfId="0" applyNumberFormat="1" applyFont="1" applyFill="1" applyBorder="1" applyAlignment="1">
      <alignment horizontal="center" vertical="center"/>
    </xf>
    <xf numFmtId="1" fontId="32" fillId="21" borderId="1" xfId="0" applyNumberFormat="1" applyFont="1" applyFill="1" applyBorder="1" applyAlignment="1">
      <alignment horizontal="center" vertical="center"/>
    </xf>
    <xf numFmtId="0" fontId="32" fillId="0" borderId="1" xfId="0" applyFont="1" applyBorder="1" applyAlignment="1">
      <alignment vertical="top" wrapText="1"/>
    </xf>
    <xf numFmtId="175" fontId="32" fillId="0" borderId="1" xfId="0" applyNumberFormat="1" applyFont="1" applyBorder="1" applyAlignment="1">
      <alignment horizontal="center" vertical="top"/>
    </xf>
    <xf numFmtId="49" fontId="32" fillId="0" borderId="1" xfId="0" applyNumberFormat="1" applyFont="1" applyBorder="1" applyAlignment="1">
      <alignment horizontal="left" vertical="center"/>
    </xf>
    <xf numFmtId="10" fontId="23" fillId="0" borderId="1" xfId="2" quotePrefix="1" applyNumberFormat="1" applyFont="1" applyBorder="1" applyAlignment="1">
      <alignment horizontal="center" vertical="center"/>
    </xf>
    <xf numFmtId="175" fontId="23" fillId="0" borderId="1" xfId="8" applyNumberFormat="1" applyFont="1" applyFill="1" applyBorder="1" applyAlignment="1">
      <alignment vertical="center"/>
    </xf>
    <xf numFmtId="0" fontId="23" fillId="3" borderId="1" xfId="0" applyFont="1" applyFill="1" applyBorder="1" applyAlignment="1">
      <alignment vertical="center"/>
    </xf>
    <xf numFmtId="0" fontId="23" fillId="0" borderId="1" xfId="0" applyFont="1" applyBorder="1" applyAlignment="1">
      <alignment horizontal="right" vertical="center"/>
    </xf>
    <xf numFmtId="0" fontId="22" fillId="3" borderId="1" xfId="0" applyFont="1" applyFill="1" applyBorder="1" applyAlignment="1">
      <alignment vertical="center"/>
    </xf>
    <xf numFmtId="0" fontId="23" fillId="12" borderId="1" xfId="0" applyFont="1" applyFill="1" applyBorder="1" applyAlignment="1">
      <alignment horizontal="left" vertical="center"/>
    </xf>
    <xf numFmtId="0" fontId="0" fillId="0" borderId="1" xfId="0" applyBorder="1" applyAlignment="1">
      <alignment vertical="center"/>
    </xf>
    <xf numFmtId="0" fontId="26" fillId="0" borderId="1" xfId="0" quotePrefix="1" applyFont="1" applyBorder="1" applyAlignment="1">
      <alignment horizontal="left"/>
    </xf>
    <xf numFmtId="177" fontId="23" fillId="0" borderId="1" xfId="0" applyNumberFormat="1" applyFont="1" applyBorder="1" applyAlignment="1">
      <alignment horizontal="center" vertical="center"/>
    </xf>
    <xf numFmtId="0" fontId="26" fillId="0" borderId="1" xfId="0" applyFont="1" applyBorder="1" applyAlignment="1">
      <alignment horizontal="center"/>
    </xf>
    <xf numFmtId="49" fontId="23" fillId="0" borderId="1" xfId="0" quotePrefix="1" applyNumberFormat="1" applyFont="1" applyBorder="1" applyAlignment="1">
      <alignment horizontal="center" vertical="center"/>
    </xf>
    <xf numFmtId="0" fontId="34" fillId="0" borderId="1" xfId="0" applyFont="1" applyBorder="1"/>
    <xf numFmtId="0" fontId="30" fillId="0" borderId="1" xfId="0" applyFont="1" applyBorder="1"/>
    <xf numFmtId="166" fontId="23" fillId="0" borderId="1" xfId="0" applyNumberFormat="1" applyFont="1" applyBorder="1" applyAlignment="1">
      <alignment horizontal="left" vertical="center"/>
    </xf>
    <xf numFmtId="166" fontId="23" fillId="0" borderId="1" xfId="0" applyNumberFormat="1" applyFont="1" applyBorder="1" applyAlignment="1">
      <alignment horizontal="left" vertical="center" wrapText="1"/>
    </xf>
    <xf numFmtId="0" fontId="23" fillId="15" borderId="1" xfId="0" applyFont="1" applyFill="1" applyBorder="1" applyAlignment="1">
      <alignment horizontal="center" vertical="center"/>
    </xf>
    <xf numFmtId="9" fontId="0" fillId="0" borderId="1" xfId="0" applyNumberFormat="1" applyBorder="1" applyAlignment="1">
      <alignment horizontal="center"/>
    </xf>
    <xf numFmtId="0" fontId="7" fillId="15" borderId="1" xfId="0" applyFont="1" applyFill="1" applyBorder="1" applyAlignment="1">
      <alignment horizontal="left"/>
    </xf>
    <xf numFmtId="175" fontId="7" fillId="15" borderId="1" xfId="0" applyNumberFormat="1" applyFont="1" applyFill="1" applyBorder="1"/>
    <xf numFmtId="171" fontId="7" fillId="15" borderId="1" xfId="0" applyNumberFormat="1" applyFont="1" applyFill="1" applyBorder="1" applyAlignment="1">
      <alignment horizontal="center"/>
    </xf>
    <xf numFmtId="14" fontId="7" fillId="15" borderId="1" xfId="0" applyNumberFormat="1" applyFont="1" applyFill="1" applyBorder="1" applyAlignment="1">
      <alignment horizontal="center"/>
    </xf>
    <xf numFmtId="175" fontId="23" fillId="0" borderId="1" xfId="2" applyNumberFormat="1" applyFont="1" applyFill="1" applyBorder="1" applyAlignment="1">
      <alignment horizontal="center" vertical="center"/>
    </xf>
    <xf numFmtId="10" fontId="0" fillId="0" borderId="1" xfId="0" applyNumberFormat="1" applyBorder="1" applyAlignment="1">
      <alignment horizontal="center"/>
    </xf>
    <xf numFmtId="0" fontId="31" fillId="0" borderId="1" xfId="0" quotePrefix="1" applyFont="1" applyBorder="1"/>
    <xf numFmtId="49" fontId="23" fillId="5" borderId="1" xfId="0" applyNumberFormat="1" applyFont="1" applyFill="1" applyBorder="1" applyAlignment="1">
      <alignment horizontal="center" vertical="center"/>
    </xf>
    <xf numFmtId="175" fontId="32" fillId="0" borderId="1" xfId="0" applyNumberFormat="1" applyFont="1" applyBorder="1" applyAlignment="1">
      <alignment horizontal="right" vertical="center"/>
    </xf>
    <xf numFmtId="0" fontId="34" fillId="0" borderId="1" xfId="0" quotePrefix="1" applyFont="1" applyBorder="1"/>
    <xf numFmtId="0" fontId="35" fillId="0" borderId="1" xfId="0" applyFont="1" applyBorder="1" applyAlignment="1">
      <alignment horizontal="left" vertical="center"/>
    </xf>
    <xf numFmtId="49" fontId="32" fillId="5" borderId="1" xfId="0" applyNumberFormat="1" applyFont="1" applyFill="1" applyBorder="1" applyAlignment="1">
      <alignment horizontal="center" vertical="center"/>
    </xf>
    <xf numFmtId="10" fontId="32" fillId="0" borderId="1" xfId="0" applyNumberFormat="1" applyFont="1" applyBorder="1" applyAlignment="1">
      <alignment horizontal="center" vertical="center"/>
    </xf>
    <xf numFmtId="0" fontId="0" fillId="0" borderId="1" xfId="0" quotePrefix="1" applyBorder="1" applyAlignment="1">
      <alignment horizontal="left"/>
    </xf>
    <xf numFmtId="0" fontId="0" fillId="0" borderId="1" xfId="0" applyBorder="1" applyAlignment="1">
      <alignment horizontal="center"/>
    </xf>
    <xf numFmtId="171" fontId="32" fillId="17" borderId="1" xfId="2" applyNumberFormat="1" applyFont="1" applyFill="1" applyBorder="1" applyAlignment="1">
      <alignment vertical="center"/>
    </xf>
    <xf numFmtId="169" fontId="23" fillId="0" borderId="1" xfId="0" applyNumberFormat="1" applyFont="1" applyBorder="1" applyAlignment="1">
      <alignment horizontal="center" vertical="center"/>
    </xf>
    <xf numFmtId="0" fontId="0" fillId="0" borderId="1" xfId="0" quotePrefix="1" applyBorder="1"/>
    <xf numFmtId="171" fontId="32" fillId="0" borderId="1" xfId="2" applyNumberFormat="1" applyFont="1" applyBorder="1" applyAlignment="1">
      <alignment vertical="center"/>
    </xf>
    <xf numFmtId="0" fontId="32" fillId="0" borderId="1" xfId="0" applyFont="1" applyBorder="1" applyAlignment="1">
      <alignment horizontal="left" vertical="top"/>
    </xf>
    <xf numFmtId="1" fontId="32" fillId="0" borderId="1" xfId="0" applyNumberFormat="1" applyFont="1" applyBorder="1" applyAlignment="1">
      <alignment horizontal="left" vertical="top"/>
    </xf>
    <xf numFmtId="0" fontId="34" fillId="0" borderId="1" xfId="0" applyFont="1" applyBorder="1" applyAlignment="1">
      <alignment horizontal="center"/>
    </xf>
    <xf numFmtId="0" fontId="0" fillId="0" borderId="1" xfId="0" applyBorder="1" applyAlignment="1">
      <alignment horizontal="left" vertical="top" wrapText="1"/>
    </xf>
    <xf numFmtId="0" fontId="37" fillId="0" borderId="1" xfId="0" applyFont="1" applyBorder="1" applyAlignment="1">
      <alignment horizontal="center"/>
    </xf>
    <xf numFmtId="0" fontId="38" fillId="0" borderId="1" xfId="0" applyFont="1" applyBorder="1"/>
    <xf numFmtId="0" fontId="0" fillId="0" borderId="1" xfId="0" applyBorder="1" applyAlignment="1">
      <alignment wrapText="1"/>
    </xf>
    <xf numFmtId="0" fontId="35" fillId="0" borderId="1" xfId="0" applyFont="1" applyBorder="1" applyAlignment="1">
      <alignment wrapText="1"/>
    </xf>
    <xf numFmtId="0" fontId="35" fillId="0" borderId="1" xfId="0" applyFont="1" applyBorder="1" applyAlignment="1">
      <alignment horizontal="center"/>
    </xf>
    <xf numFmtId="0" fontId="32" fillId="8" borderId="1" xfId="0" applyFont="1" applyFill="1" applyBorder="1" applyAlignment="1">
      <alignment wrapText="1"/>
    </xf>
    <xf numFmtId="0" fontId="32" fillId="0" borderId="1" xfId="0" applyFont="1" applyBorder="1" applyAlignment="1">
      <alignment wrapText="1"/>
    </xf>
    <xf numFmtId="0" fontId="32" fillId="8" borderId="1" xfId="0" applyFont="1" applyFill="1" applyBorder="1" applyAlignment="1">
      <alignment horizontal="center" wrapText="1"/>
    </xf>
    <xf numFmtId="0" fontId="32" fillId="0" borderId="1" xfId="0" applyFont="1" applyBorder="1" applyAlignment="1">
      <alignment horizontal="center" wrapText="1"/>
    </xf>
    <xf numFmtId="0" fontId="35" fillId="0" borderId="1" xfId="0" applyFont="1" applyBorder="1"/>
    <xf numFmtId="0" fontId="35" fillId="0" borderId="1" xfId="0" applyFont="1" applyBorder="1" applyAlignment="1">
      <alignment horizontal="center" wrapText="1"/>
    </xf>
    <xf numFmtId="0" fontId="35" fillId="8" borderId="1" xfId="0" applyFont="1" applyFill="1" applyBorder="1"/>
    <xf numFmtId="0" fontId="35" fillId="8" borderId="1" xfId="0" applyFont="1" applyFill="1" applyBorder="1" applyAlignment="1">
      <alignment wrapText="1"/>
    </xf>
    <xf numFmtId="0" fontId="35" fillId="8" borderId="1" xfId="0" applyFont="1" applyFill="1" applyBorder="1" applyAlignment="1">
      <alignment horizontal="center" wrapText="1"/>
    </xf>
    <xf numFmtId="0" fontId="35" fillId="0" borderId="1" xfId="0" quotePrefix="1" applyFont="1" applyBorder="1" applyAlignment="1">
      <alignment wrapText="1"/>
    </xf>
    <xf numFmtId="0" fontId="7" fillId="0" borderId="1" xfId="0" quotePrefix="1" applyFont="1" applyBorder="1" applyAlignment="1">
      <alignment horizontal="left" wrapText="1"/>
    </xf>
    <xf numFmtId="0" fontId="7" fillId="0" borderId="1" xfId="0" applyFont="1" applyBorder="1" applyAlignment="1">
      <alignment horizontal="left" wrapText="1"/>
    </xf>
    <xf numFmtId="0" fontId="39" fillId="0" borderId="1" xfId="0" quotePrefix="1" applyFont="1" applyBorder="1" applyAlignment="1">
      <alignment horizontal="left" wrapText="1"/>
    </xf>
    <xf numFmtId="0" fontId="32" fillId="0" borderId="1" xfId="0" quotePrefix="1" applyFont="1" applyBorder="1" applyAlignment="1">
      <alignment horizontal="left" vertical="top" wrapText="1"/>
    </xf>
    <xf numFmtId="0" fontId="32" fillId="0" borderId="1" xfId="0" applyFont="1" applyBorder="1"/>
    <xf numFmtId="0" fontId="7" fillId="0" borderId="1" xfId="0" applyFont="1" applyBorder="1" applyAlignment="1">
      <alignment wrapText="1"/>
    </xf>
    <xf numFmtId="0" fontId="32" fillId="0" borderId="1" xfId="0" quotePrefix="1" applyFont="1" applyBorder="1" applyAlignment="1">
      <alignment vertical="top"/>
    </xf>
    <xf numFmtId="0" fontId="19" fillId="0" borderId="13" xfId="0" applyFont="1" applyBorder="1" applyAlignment="1">
      <alignment horizontal="center" vertical="center"/>
    </xf>
    <xf numFmtId="0" fontId="19" fillId="0" borderId="13" xfId="0" applyFont="1" applyBorder="1" applyAlignment="1">
      <alignment horizontal="left" vertical="center"/>
    </xf>
    <xf numFmtId="0" fontId="19" fillId="0" borderId="13" xfId="0" applyFont="1" applyBorder="1" applyAlignment="1">
      <alignment vertical="center"/>
    </xf>
    <xf numFmtId="175" fontId="19" fillId="6" borderId="13" xfId="0" applyNumberFormat="1" applyFont="1" applyFill="1" applyBorder="1" applyAlignment="1">
      <alignment horizontal="center" vertical="center" wrapText="1"/>
    </xf>
    <xf numFmtId="0" fontId="19" fillId="6" borderId="13" xfId="0" applyFont="1" applyFill="1" applyBorder="1" applyAlignment="1">
      <alignment horizontal="center" vertical="center" wrapText="1"/>
    </xf>
    <xf numFmtId="0" fontId="19" fillId="9" borderId="13" xfId="0" applyFont="1" applyFill="1" applyBorder="1" applyAlignment="1">
      <alignment horizontal="center" vertical="center" wrapText="1"/>
    </xf>
    <xf numFmtId="175" fontId="19" fillId="3" borderId="13" xfId="0" applyNumberFormat="1" applyFont="1" applyFill="1" applyBorder="1" applyAlignment="1">
      <alignment horizontal="center" vertical="center" wrapText="1"/>
    </xf>
    <xf numFmtId="171" fontId="19" fillId="3" borderId="13" xfId="0" applyNumberFormat="1" applyFont="1" applyFill="1" applyBorder="1" applyAlignment="1">
      <alignment horizontal="center" vertical="center" wrapText="1"/>
    </xf>
    <xf numFmtId="9" fontId="19" fillId="0" borderId="13" xfId="2" applyFont="1" applyFill="1" applyBorder="1" applyAlignment="1">
      <alignment horizontal="center" vertical="center" wrapText="1"/>
    </xf>
    <xf numFmtId="0" fontId="19" fillId="0" borderId="13" xfId="0" applyFont="1" applyBorder="1" applyAlignment="1">
      <alignment horizontal="center" vertical="center" wrapText="1"/>
    </xf>
    <xf numFmtId="167" fontId="19" fillId="0" borderId="14" xfId="0" applyNumberFormat="1" applyFont="1" applyBorder="1" applyAlignment="1">
      <alignment horizontal="center" vertical="center"/>
    </xf>
    <xf numFmtId="0" fontId="0" fillId="0" borderId="9" xfId="0" applyBorder="1" applyAlignment="1">
      <alignment horizontal="center" vertical="center"/>
    </xf>
    <xf numFmtId="0" fontId="23" fillId="0" borderId="11" xfId="0" applyFont="1" applyBorder="1" applyAlignment="1">
      <alignment horizontal="left" vertical="center"/>
    </xf>
    <xf numFmtId="0" fontId="23" fillId="0" borderId="11" xfId="0" quotePrefix="1" applyFont="1" applyBorder="1" applyAlignment="1">
      <alignment horizontal="left" vertical="center"/>
    </xf>
    <xf numFmtId="180" fontId="23" fillId="0" borderId="1" xfId="0" applyNumberFormat="1" applyFont="1" applyBorder="1" applyAlignment="1">
      <alignment horizontal="center" vertical="center"/>
    </xf>
    <xf numFmtId="180" fontId="23" fillId="5" borderId="1" xfId="0" applyNumberFormat="1" applyFont="1" applyFill="1" applyBorder="1" applyAlignment="1">
      <alignment horizontal="center" vertical="center"/>
    </xf>
    <xf numFmtId="180" fontId="23" fillId="0" borderId="1" xfId="0" quotePrefix="1" applyNumberFormat="1" applyFont="1" applyBorder="1" applyAlignment="1">
      <alignment horizontal="center" vertical="center"/>
    </xf>
    <xf numFmtId="180" fontId="23" fillId="0" borderId="1" xfId="2" applyNumberFormat="1" applyFont="1" applyFill="1" applyBorder="1" applyAlignment="1">
      <alignment horizontal="center" vertical="center"/>
    </xf>
    <xf numFmtId="180" fontId="23" fillId="0" borderId="1" xfId="4" applyNumberFormat="1" applyFont="1" applyFill="1" applyBorder="1" applyAlignment="1">
      <alignment horizontal="center" vertical="center"/>
    </xf>
    <xf numFmtId="180" fontId="23" fillId="0" borderId="1" xfId="4" applyNumberFormat="1" applyFont="1" applyBorder="1" applyAlignment="1">
      <alignment horizontal="center" vertical="center"/>
    </xf>
    <xf numFmtId="180" fontId="32" fillId="0" borderId="1" xfId="0" applyNumberFormat="1" applyFont="1" applyBorder="1" applyAlignment="1">
      <alignment horizontal="center" vertical="center"/>
    </xf>
    <xf numFmtId="180" fontId="32" fillId="0" borderId="1" xfId="4" applyNumberFormat="1" applyFont="1" applyBorder="1" applyAlignment="1">
      <alignment horizontal="center" vertical="center"/>
    </xf>
    <xf numFmtId="180" fontId="32" fillId="0" borderId="1" xfId="2" applyNumberFormat="1" applyFont="1" applyBorder="1" applyAlignment="1">
      <alignment horizontal="center" vertical="center"/>
    </xf>
    <xf numFmtId="180" fontId="32" fillId="18" borderId="1" xfId="0" applyNumberFormat="1" applyFont="1" applyFill="1" applyBorder="1" applyAlignment="1">
      <alignment horizontal="center" vertical="center"/>
    </xf>
    <xf numFmtId="180" fontId="32" fillId="0" borderId="1" xfId="4" applyNumberFormat="1" applyFont="1" applyFill="1" applyBorder="1" applyAlignment="1">
      <alignment horizontal="center" vertical="center"/>
    </xf>
    <xf numFmtId="180" fontId="32" fillId="0" borderId="1" xfId="0" quotePrefix="1" applyNumberFormat="1" applyFont="1" applyBorder="1" applyAlignment="1">
      <alignment horizontal="center" vertical="center"/>
    </xf>
    <xf numFmtId="180" fontId="32" fillId="21" borderId="1" xfId="4" applyNumberFormat="1" applyFont="1" applyFill="1" applyBorder="1" applyAlignment="1">
      <alignment horizontal="center" vertical="center"/>
    </xf>
    <xf numFmtId="180" fontId="32" fillId="0" borderId="2" xfId="0" applyNumberFormat="1" applyFont="1" applyBorder="1" applyAlignment="1">
      <alignment horizontal="center" vertical="center"/>
    </xf>
    <xf numFmtId="182" fontId="1" fillId="0" borderId="1" xfId="0" applyNumberFormat="1" applyFont="1" applyBorder="1" applyAlignment="1">
      <alignment horizontal="center" vertical="center"/>
    </xf>
    <xf numFmtId="182" fontId="23" fillId="0" borderId="1" xfId="0" applyNumberFormat="1" applyFont="1" applyBorder="1" applyAlignment="1">
      <alignment horizontal="center" vertical="center"/>
    </xf>
    <xf numFmtId="182" fontId="32" fillId="0" borderId="1" xfId="0" applyNumberFormat="1" applyFont="1" applyBorder="1" applyAlignment="1">
      <alignment horizontal="center" vertical="center"/>
    </xf>
    <xf numFmtId="182" fontId="1" fillId="0" borderId="1" xfId="0" quotePrefix="1" applyNumberFormat="1" applyFont="1" applyBorder="1" applyAlignment="1">
      <alignment horizontal="center" vertical="center"/>
    </xf>
    <xf numFmtId="182" fontId="19" fillId="0" borderId="13" xfId="0" applyNumberFormat="1" applyFont="1" applyBorder="1" applyAlignment="1">
      <alignment horizontal="center" vertical="center"/>
    </xf>
    <xf numFmtId="182" fontId="23" fillId="0" borderId="0" xfId="0" applyNumberFormat="1" applyFont="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center"/>
    </xf>
    <xf numFmtId="0" fontId="1" fillId="0" borderId="4" xfId="0" applyFont="1" applyBorder="1" applyAlignment="1">
      <alignment horizontal="center" vertical="center"/>
    </xf>
    <xf numFmtId="41" fontId="1" fillId="0" borderId="4" xfId="4" applyFont="1" applyBorder="1" applyAlignment="1">
      <alignment horizontal="center" vertical="center"/>
    </xf>
    <xf numFmtId="0" fontId="1" fillId="0" borderId="4" xfId="0" applyFont="1" applyBorder="1"/>
    <xf numFmtId="0" fontId="1" fillId="0" borderId="0" xfId="0" applyFont="1"/>
    <xf numFmtId="0" fontId="1" fillId="0" borderId="1" xfId="0" applyFont="1" applyBorder="1" applyAlignment="1">
      <alignment vertical="center"/>
    </xf>
    <xf numFmtId="175" fontId="1" fillId="0" borderId="1" xfId="8" applyNumberFormat="1" applyFont="1" applyBorder="1" applyAlignment="1">
      <alignment vertical="center"/>
    </xf>
    <xf numFmtId="0" fontId="1" fillId="0" borderId="1" xfId="0" applyFont="1" applyBorder="1" applyAlignment="1">
      <alignment horizontal="right" vertical="center"/>
    </xf>
    <xf numFmtId="0" fontId="1" fillId="0" borderId="1" xfId="0" applyFont="1" applyBorder="1" applyAlignment="1">
      <alignment horizontal="center" vertical="center"/>
    </xf>
    <xf numFmtId="0" fontId="1" fillId="0" borderId="1" xfId="0" applyFont="1" applyBorder="1" applyAlignment="1">
      <alignment horizontal="left" vertical="center"/>
    </xf>
    <xf numFmtId="175" fontId="1" fillId="0" borderId="1" xfId="8" applyNumberFormat="1" applyFont="1" applyFill="1" applyBorder="1" applyAlignment="1">
      <alignment vertical="center"/>
    </xf>
    <xf numFmtId="180" fontId="1" fillId="0" borderId="1" xfId="0" applyNumberFormat="1" applyFont="1" applyBorder="1" applyAlignment="1">
      <alignment horizontal="center" vertical="center"/>
    </xf>
    <xf numFmtId="0" fontId="1" fillId="3" borderId="1" xfId="0" applyFont="1" applyFill="1" applyBorder="1" applyAlignment="1">
      <alignment vertical="center"/>
    </xf>
    <xf numFmtId="175" fontId="1" fillId="0" borderId="1" xfId="8" quotePrefix="1" applyNumberFormat="1" applyFont="1" applyBorder="1" applyAlignment="1">
      <alignment vertical="center"/>
    </xf>
    <xf numFmtId="175" fontId="1" fillId="0" borderId="1" xfId="0" applyNumberFormat="1" applyFont="1" applyBorder="1" applyAlignment="1">
      <alignment vertical="center"/>
    </xf>
    <xf numFmtId="166" fontId="1" fillId="0" borderId="1" xfId="8" applyNumberFormat="1" applyFont="1" applyBorder="1" applyAlignment="1">
      <alignment vertical="center"/>
    </xf>
    <xf numFmtId="43" fontId="1" fillId="0" borderId="1" xfId="8" applyFont="1" applyBorder="1" applyAlignment="1">
      <alignment vertical="center"/>
    </xf>
    <xf numFmtId="180" fontId="1" fillId="0" borderId="1" xfId="0" quotePrefix="1" applyNumberFormat="1" applyFont="1" applyBorder="1" applyAlignment="1">
      <alignment horizontal="center" vertical="center"/>
    </xf>
    <xf numFmtId="175" fontId="1" fillId="0" borderId="1" xfId="0" quotePrefix="1" applyNumberFormat="1" applyFont="1" applyBorder="1" applyAlignment="1">
      <alignment vertical="center"/>
    </xf>
    <xf numFmtId="43" fontId="1" fillId="0" borderId="1" xfId="8" quotePrefix="1" applyFont="1" applyBorder="1" applyAlignment="1">
      <alignment vertical="center"/>
    </xf>
    <xf numFmtId="0" fontId="1" fillId="0" borderId="1" xfId="0" quotePrefix="1" applyFont="1" applyBorder="1" applyAlignment="1">
      <alignment vertical="center"/>
    </xf>
    <xf numFmtId="0" fontId="1" fillId="2" borderId="1" xfId="0" applyFont="1" applyFill="1" applyBorder="1" applyAlignment="1">
      <alignment vertical="center"/>
    </xf>
    <xf numFmtId="169" fontId="1" fillId="0" borderId="1" xfId="8" applyNumberFormat="1" applyFont="1" applyBorder="1" applyAlignment="1">
      <alignment vertical="center"/>
    </xf>
    <xf numFmtId="169" fontId="1" fillId="0" borderId="1" xfId="8" quotePrefix="1" applyNumberFormat="1" applyFont="1" applyBorder="1" applyAlignment="1">
      <alignment vertical="center"/>
    </xf>
    <xf numFmtId="14" fontId="1" fillId="0" borderId="1" xfId="0" applyNumberFormat="1" applyFont="1" applyBorder="1" applyAlignment="1">
      <alignment horizontal="center" vertical="center"/>
    </xf>
    <xf numFmtId="181" fontId="1" fillId="0" borderId="1" xfId="0" quotePrefix="1" applyNumberFormat="1" applyFont="1" applyBorder="1" applyAlignment="1">
      <alignment horizontal="center" vertical="center"/>
    </xf>
    <xf numFmtId="175" fontId="1" fillId="0" borderId="1" xfId="4" applyNumberFormat="1" applyFont="1" applyBorder="1" applyAlignment="1">
      <alignment vertical="center"/>
    </xf>
    <xf numFmtId="41" fontId="1" fillId="0" borderId="1" xfId="4" applyFont="1" applyBorder="1" applyAlignment="1">
      <alignment vertical="center"/>
    </xf>
    <xf numFmtId="175" fontId="1" fillId="0" borderId="1" xfId="4" quotePrefix="1" applyNumberFormat="1" applyFont="1" applyBorder="1" applyAlignment="1">
      <alignment vertical="center"/>
    </xf>
    <xf numFmtId="41" fontId="1" fillId="0" borderId="1" xfId="4" quotePrefix="1" applyFont="1" applyBorder="1" applyAlignment="1">
      <alignment vertical="center"/>
    </xf>
    <xf numFmtId="3" fontId="1" fillId="0" borderId="1" xfId="0" applyNumberFormat="1" applyFont="1" applyBorder="1" applyAlignment="1">
      <alignment vertical="center"/>
    </xf>
    <xf numFmtId="42" fontId="1" fillId="0" borderId="1" xfId="0" applyNumberFormat="1" applyFont="1" applyBorder="1" applyAlignment="1">
      <alignment vertical="center"/>
    </xf>
    <xf numFmtId="170" fontId="1" fillId="0" borderId="1" xfId="8" applyNumberFormat="1" applyFont="1" applyBorder="1" applyAlignment="1">
      <alignment vertical="center"/>
    </xf>
    <xf numFmtId="170" fontId="1" fillId="0" borderId="1" xfId="8" quotePrefix="1" applyNumberFormat="1" applyFont="1" applyBorder="1" applyAlignment="1">
      <alignment vertical="center"/>
    </xf>
    <xf numFmtId="42" fontId="1" fillId="0" borderId="1" xfId="0" quotePrefix="1" applyNumberFormat="1" applyFont="1" applyBorder="1" applyAlignment="1">
      <alignment vertical="center"/>
    </xf>
    <xf numFmtId="0" fontId="1" fillId="11" borderId="1" xfId="0" applyFont="1" applyFill="1" applyBorder="1" applyAlignment="1">
      <alignment vertical="center"/>
    </xf>
    <xf numFmtId="0" fontId="1" fillId="11" borderId="1" xfId="0" applyFont="1" applyFill="1" applyBorder="1" applyAlignment="1">
      <alignment horizontal="left" vertical="center"/>
    </xf>
    <xf numFmtId="175" fontId="1" fillId="11" borderId="1" xfId="4" applyNumberFormat="1" applyFont="1" applyFill="1" applyBorder="1" applyAlignment="1">
      <alignment vertical="center"/>
    </xf>
    <xf numFmtId="0" fontId="1" fillId="11" borderId="1" xfId="4" quotePrefix="1" applyNumberFormat="1" applyFont="1" applyFill="1" applyBorder="1" applyAlignment="1">
      <alignment vertical="center"/>
    </xf>
    <xf numFmtId="41" fontId="1" fillId="11" borderId="1" xfId="4" applyFont="1" applyFill="1" applyBorder="1" applyAlignment="1">
      <alignment vertical="center"/>
    </xf>
    <xf numFmtId="180" fontId="1" fillId="11" borderId="1" xfId="0" applyNumberFormat="1" applyFont="1" applyFill="1" applyBorder="1" applyAlignment="1">
      <alignment horizontal="center" vertical="center"/>
    </xf>
    <xf numFmtId="0" fontId="1" fillId="11" borderId="1" xfId="0" applyFont="1" applyFill="1" applyBorder="1" applyAlignment="1">
      <alignment horizontal="center" vertical="center"/>
    </xf>
    <xf numFmtId="0" fontId="1" fillId="0" borderId="1" xfId="4" quotePrefix="1" applyNumberFormat="1" applyFont="1" applyBorder="1" applyAlignment="1">
      <alignment vertical="center"/>
    </xf>
    <xf numFmtId="0" fontId="1" fillId="0" borderId="1" xfId="0" quotePrefix="1" applyFont="1" applyBorder="1" applyAlignment="1">
      <alignment horizontal="center" vertical="center"/>
    </xf>
    <xf numFmtId="0" fontId="1" fillId="3" borderId="1" xfId="0" applyFont="1" applyFill="1" applyBorder="1" applyAlignment="1">
      <alignment horizontal="left" vertical="center"/>
    </xf>
    <xf numFmtId="0" fontId="1" fillId="0" borderId="1" xfId="4" applyNumberFormat="1" applyFont="1" applyBorder="1" applyAlignment="1">
      <alignment vertical="center"/>
    </xf>
    <xf numFmtId="178" fontId="1" fillId="0" borderId="1" xfId="4" applyNumberFormat="1" applyFont="1" applyBorder="1" applyAlignment="1">
      <alignment vertical="center"/>
    </xf>
    <xf numFmtId="178" fontId="1" fillId="0" borderId="1" xfId="0" applyNumberFormat="1" applyFont="1" applyBorder="1" applyAlignment="1">
      <alignment vertical="center"/>
    </xf>
    <xf numFmtId="0" fontId="1" fillId="13" borderId="1" xfId="0" applyFont="1" applyFill="1" applyBorder="1" applyAlignment="1">
      <alignment vertical="center"/>
    </xf>
    <xf numFmtId="0" fontId="1" fillId="13" borderId="1" xfId="0" applyFont="1" applyFill="1" applyBorder="1" applyAlignment="1">
      <alignment horizontal="left" vertical="center"/>
    </xf>
    <xf numFmtId="175" fontId="1" fillId="13" borderId="1" xfId="0" applyNumberFormat="1" applyFont="1" applyFill="1" applyBorder="1" applyAlignment="1">
      <alignment vertical="center"/>
    </xf>
    <xf numFmtId="182" fontId="1" fillId="13" borderId="1" xfId="0" applyNumberFormat="1" applyFont="1" applyFill="1" applyBorder="1" applyAlignment="1">
      <alignment horizontal="center" vertical="center"/>
    </xf>
    <xf numFmtId="0" fontId="1" fillId="13" borderId="1" xfId="0" applyFont="1" applyFill="1" applyBorder="1" applyAlignment="1">
      <alignment horizontal="center" vertical="center"/>
    </xf>
    <xf numFmtId="170" fontId="1" fillId="0" borderId="1" xfId="0" applyNumberFormat="1" applyFont="1" applyBorder="1" applyAlignment="1">
      <alignment vertical="center"/>
    </xf>
    <xf numFmtId="170" fontId="1" fillId="0" borderId="1" xfId="0" quotePrefix="1" applyNumberFormat="1" applyFont="1" applyBorder="1" applyAlignment="1">
      <alignment vertical="center"/>
    </xf>
    <xf numFmtId="175" fontId="1" fillId="0" borderId="1" xfId="8" quotePrefix="1" applyNumberFormat="1" applyFont="1" applyFill="1" applyBorder="1" applyAlignment="1">
      <alignment vertical="center"/>
    </xf>
    <xf numFmtId="179" fontId="1" fillId="0" borderId="1" xfId="8" applyNumberFormat="1" applyFont="1" applyBorder="1" applyAlignment="1">
      <alignment vertical="center"/>
    </xf>
    <xf numFmtId="169" fontId="1" fillId="0" borderId="1" xfId="8" applyNumberFormat="1" applyFont="1" applyFill="1" applyBorder="1" applyAlignment="1">
      <alignment vertical="center"/>
    </xf>
    <xf numFmtId="169" fontId="1" fillId="0" borderId="1" xfId="8" applyNumberFormat="1" applyFont="1" applyFill="1" applyBorder="1" applyAlignment="1">
      <alignment horizontal="left" vertical="center"/>
    </xf>
    <xf numFmtId="169" fontId="1" fillId="0" borderId="1" xfId="0" applyNumberFormat="1" applyFont="1" applyBorder="1" applyAlignment="1">
      <alignment vertical="center"/>
    </xf>
    <xf numFmtId="182" fontId="1" fillId="0" borderId="1" xfId="8" quotePrefix="1" applyNumberFormat="1" applyFont="1" applyBorder="1" applyAlignment="1">
      <alignment horizontal="center" vertical="center"/>
    </xf>
    <xf numFmtId="4" fontId="1" fillId="0" borderId="1" xfId="0" applyNumberFormat="1" applyFont="1" applyBorder="1" applyAlignment="1">
      <alignment vertical="center"/>
    </xf>
    <xf numFmtId="0" fontId="1" fillId="0" borderId="1" xfId="0" applyFont="1" applyBorder="1"/>
    <xf numFmtId="0" fontId="1" fillId="0" borderId="1" xfId="0" applyFont="1" applyBorder="1" applyAlignment="1">
      <alignment horizontal="center"/>
    </xf>
    <xf numFmtId="0" fontId="1" fillId="0" borderId="1" xfId="0" quotePrefix="1" applyFont="1" applyBorder="1" applyAlignment="1">
      <alignment horizontal="left"/>
    </xf>
    <xf numFmtId="0" fontId="32" fillId="0" borderId="2" xfId="0" applyFont="1" applyBorder="1" applyAlignment="1">
      <alignment horizontal="left" vertical="center" wrapText="1"/>
    </xf>
    <xf numFmtId="0" fontId="32" fillId="0" borderId="13" xfId="0" applyFont="1" applyBorder="1" applyAlignment="1">
      <alignment horizontal="center" vertical="center"/>
    </xf>
    <xf numFmtId="0" fontId="32" fillId="0" borderId="16" xfId="0" applyFont="1" applyBorder="1" applyAlignment="1">
      <alignment horizontal="left" vertical="center"/>
    </xf>
    <xf numFmtId="0" fontId="32" fillId="0" borderId="16" xfId="0" applyFont="1" applyBorder="1" applyAlignment="1">
      <alignment horizontal="center" vertical="center"/>
    </xf>
    <xf numFmtId="0" fontId="32" fillId="0" borderId="2" xfId="0" applyFont="1" applyBorder="1" applyAlignment="1">
      <alignment horizontal="left" vertical="top" wrapText="1"/>
    </xf>
    <xf numFmtId="9" fontId="32" fillId="0" borderId="2" xfId="0" applyNumberFormat="1" applyFont="1" applyBorder="1" applyAlignment="1">
      <alignment horizontal="center" vertical="center"/>
    </xf>
    <xf numFmtId="0" fontId="40" fillId="0" borderId="3" xfId="0" quotePrefix="1" applyFont="1" applyBorder="1"/>
    <xf numFmtId="0" fontId="23" fillId="0" borderId="3" xfId="0" quotePrefix="1" applyFont="1" applyBorder="1" applyAlignment="1">
      <alignment horizontal="left" vertical="center"/>
    </xf>
    <xf numFmtId="0" fontId="0" fillId="0" borderId="3" xfId="0" applyBorder="1"/>
    <xf numFmtId="0" fontId="0" fillId="0" borderId="3" xfId="0" applyBorder="1" applyAlignment="1">
      <alignment horizontal="left" vertical="top"/>
    </xf>
    <xf numFmtId="0" fontId="0" fillId="0" borderId="3" xfId="0" applyBorder="1" applyAlignment="1">
      <alignment horizontal="left" vertical="top" wrapText="1"/>
    </xf>
    <xf numFmtId="0" fontId="0" fillId="0" borderId="3" xfId="0" applyBorder="1" applyAlignment="1">
      <alignment vertical="top" wrapText="1"/>
    </xf>
    <xf numFmtId="0" fontId="32" fillId="0" borderId="2" xfId="0" applyFont="1" applyBorder="1" applyAlignment="1">
      <alignment horizontal="left" vertical="top"/>
    </xf>
    <xf numFmtId="0" fontId="23" fillId="2" borderId="2" xfId="3" applyFont="1" applyFill="1" applyBorder="1" applyAlignment="1">
      <alignment horizontal="left" vertical="center"/>
    </xf>
    <xf numFmtId="0" fontId="42" fillId="23" borderId="18" xfId="0" applyFont="1" applyFill="1" applyBorder="1" applyAlignment="1">
      <alignment readingOrder="1"/>
    </xf>
    <xf numFmtId="0" fontId="42" fillId="0" borderId="18" xfId="0" applyFont="1" applyBorder="1" applyAlignment="1">
      <alignment readingOrder="1"/>
    </xf>
    <xf numFmtId="0" fontId="42" fillId="0" borderId="19" xfId="0" applyFont="1" applyBorder="1" applyAlignment="1">
      <alignment readingOrder="1"/>
    </xf>
    <xf numFmtId="0" fontId="42" fillId="23" borderId="19" xfId="0" applyFont="1" applyFill="1" applyBorder="1" applyAlignment="1">
      <alignment readingOrder="1"/>
    </xf>
    <xf numFmtId="0" fontId="42" fillId="24" borderId="18" xfId="0" applyFont="1" applyFill="1" applyBorder="1" applyAlignment="1">
      <alignment readingOrder="1"/>
    </xf>
    <xf numFmtId="0" fontId="42" fillId="25" borderId="18" xfId="0" applyFont="1" applyFill="1" applyBorder="1" applyAlignment="1">
      <alignment readingOrder="1"/>
    </xf>
    <xf numFmtId="0" fontId="43" fillId="0" borderId="18" xfId="0" applyFont="1" applyBorder="1" applyAlignment="1">
      <alignment readingOrder="1"/>
    </xf>
    <xf numFmtId="0" fontId="43" fillId="23" borderId="18" xfId="0" applyFont="1" applyFill="1" applyBorder="1" applyAlignment="1">
      <alignment readingOrder="1"/>
    </xf>
    <xf numFmtId="0" fontId="42" fillId="23" borderId="19" xfId="0" applyFont="1" applyFill="1" applyBorder="1" applyAlignment="1">
      <alignment wrapText="1" readingOrder="1"/>
    </xf>
    <xf numFmtId="0" fontId="42" fillId="0" borderId="19" xfId="0" applyFont="1" applyBorder="1" applyAlignment="1">
      <alignment wrapText="1" readingOrder="1"/>
    </xf>
    <xf numFmtId="0" fontId="43" fillId="23" borderId="19" xfId="0" applyFont="1" applyFill="1" applyBorder="1" applyAlignment="1">
      <alignment readingOrder="1"/>
    </xf>
    <xf numFmtId="0" fontId="43" fillId="0" borderId="19" xfId="0" applyFont="1" applyBorder="1" applyAlignment="1">
      <alignment readingOrder="1"/>
    </xf>
    <xf numFmtId="0" fontId="42" fillId="24" borderId="19" xfId="0" applyFont="1" applyFill="1" applyBorder="1" applyAlignment="1">
      <alignment readingOrder="1"/>
    </xf>
    <xf numFmtId="0" fontId="34" fillId="23" borderId="19" xfId="0" applyFont="1" applyFill="1" applyBorder="1" applyAlignment="1">
      <alignment readingOrder="1"/>
    </xf>
    <xf numFmtId="0" fontId="34" fillId="0" borderId="18" xfId="0" applyFont="1" applyBorder="1" applyAlignment="1">
      <alignment readingOrder="1"/>
    </xf>
    <xf numFmtId="0" fontId="34" fillId="23" borderId="18" xfId="0" applyFont="1" applyFill="1" applyBorder="1" applyAlignment="1">
      <alignment readingOrder="1"/>
    </xf>
    <xf numFmtId="0" fontId="34" fillId="0" borderId="19" xfId="0" applyFont="1" applyBorder="1" applyAlignment="1">
      <alignment readingOrder="1"/>
    </xf>
    <xf numFmtId="0" fontId="0" fillId="0" borderId="1" xfId="0" pivotButton="1" applyBorder="1" applyAlignment="1">
      <alignment horizontal="center"/>
    </xf>
    <xf numFmtId="0" fontId="23" fillId="0" borderId="20" xfId="0" applyFont="1" applyBorder="1" applyAlignment="1">
      <alignment vertical="center"/>
    </xf>
    <xf numFmtId="0" fontId="32" fillId="0" borderId="2" xfId="0" quotePrefix="1" applyFont="1" applyBorder="1" applyAlignment="1">
      <alignment horizontal="left" vertical="center"/>
    </xf>
    <xf numFmtId="0" fontId="32" fillId="0" borderId="2" xfId="0" quotePrefix="1" applyFont="1" applyBorder="1" applyAlignment="1">
      <alignment vertical="center" wrapText="1"/>
    </xf>
    <xf numFmtId="0" fontId="32" fillId="0" borderId="2" xfId="0" applyFont="1" applyBorder="1" applyAlignment="1">
      <alignment vertical="center" wrapText="1"/>
    </xf>
    <xf numFmtId="0" fontId="41" fillId="22" borderId="17" xfId="0" applyFont="1" applyFill="1" applyBorder="1" applyAlignment="1">
      <alignment horizontal="center" vertical="center" readingOrder="1"/>
    </xf>
    <xf numFmtId="0" fontId="32" fillId="0" borderId="13" xfId="0" applyFont="1" applyBorder="1" applyAlignment="1">
      <alignment vertical="center"/>
    </xf>
    <xf numFmtId="0" fontId="45" fillId="0" borderId="13" xfId="0" applyFont="1" applyBorder="1" applyAlignment="1">
      <alignment horizontal="center" vertical="center"/>
    </xf>
    <xf numFmtId="0" fontId="42" fillId="2" borderId="19" xfId="0" applyFont="1" applyFill="1" applyBorder="1" applyAlignment="1">
      <alignment readingOrder="1"/>
    </xf>
    <xf numFmtId="0" fontId="32" fillId="0" borderId="10" xfId="0" applyFont="1" applyBorder="1" applyAlignment="1">
      <alignment horizontal="left" vertical="center"/>
    </xf>
    <xf numFmtId="0" fontId="44" fillId="0" borderId="3" xfId="0" applyFont="1" applyBorder="1"/>
    <xf numFmtId="0" fontId="37" fillId="0" borderId="3" xfId="0" applyFont="1" applyBorder="1" applyAlignment="1">
      <alignment horizontal="center"/>
    </xf>
    <xf numFmtId="0" fontId="0" fillId="0" borderId="0" xfId="0" applyAlignment="1">
      <alignment wrapText="1"/>
    </xf>
    <xf numFmtId="0" fontId="36" fillId="0" borderId="0" xfId="0" applyFont="1"/>
    <xf numFmtId="1" fontId="32" fillId="0" borderId="2" xfId="0" applyNumberFormat="1" applyFont="1" applyBorder="1" applyAlignment="1">
      <alignment horizontal="left" vertical="center"/>
    </xf>
    <xf numFmtId="0" fontId="23" fillId="2" borderId="2" xfId="3" applyFont="1" applyFill="1" applyBorder="1" applyAlignment="1">
      <alignment horizontal="left" vertical="top" wrapText="1"/>
    </xf>
    <xf numFmtId="0" fontId="42" fillId="0" borderId="19" xfId="0" applyFont="1" applyBorder="1" applyAlignment="1">
      <alignment horizontal="left" vertical="top" wrapText="1" readingOrder="1"/>
    </xf>
    <xf numFmtId="49" fontId="32" fillId="2" borderId="1" xfId="0" applyNumberFormat="1" applyFont="1" applyFill="1" applyBorder="1" applyAlignment="1">
      <alignment horizontal="center" vertical="center"/>
    </xf>
    <xf numFmtId="0" fontId="47" fillId="8" borderId="4" xfId="0" applyFont="1" applyFill="1" applyBorder="1"/>
    <xf numFmtId="0" fontId="32" fillId="8" borderId="4" xfId="0" applyFont="1" applyFill="1" applyBorder="1"/>
    <xf numFmtId="0" fontId="32" fillId="8" borderId="21" xfId="0" applyFont="1" applyFill="1" applyBorder="1" applyAlignment="1">
      <alignment wrapText="1"/>
    </xf>
    <xf numFmtId="174" fontId="0" fillId="0" borderId="0" xfId="0" applyNumberFormat="1"/>
    <xf numFmtId="183" fontId="0" fillId="0" borderId="0" xfId="8" applyNumberFormat="1" applyFont="1"/>
    <xf numFmtId="0" fontId="32" fillId="0" borderId="11" xfId="0" applyFont="1" applyBorder="1" applyAlignment="1">
      <alignment horizontal="left" vertical="center"/>
    </xf>
    <xf numFmtId="0" fontId="23" fillId="0" borderId="6" xfId="0" applyFont="1" applyBorder="1" applyAlignment="1">
      <alignment horizontal="left" vertical="center"/>
    </xf>
    <xf numFmtId="0" fontId="23" fillId="0" borderId="9" xfId="0" applyFont="1" applyBorder="1" applyAlignment="1">
      <alignment horizontal="left" vertical="center"/>
    </xf>
    <xf numFmtId="0" fontId="32" fillId="0" borderId="2" xfId="0" quotePrefix="1" applyFont="1" applyBorder="1" applyAlignment="1">
      <alignment horizontal="left" vertical="top" wrapText="1"/>
    </xf>
    <xf numFmtId="0" fontId="32" fillId="0" borderId="10" xfId="0" applyFont="1" applyBorder="1" applyAlignment="1">
      <alignment horizontal="center" vertical="center"/>
    </xf>
    <xf numFmtId="0" fontId="32" fillId="0" borderId="2" xfId="0" applyFont="1" applyBorder="1" applyAlignment="1">
      <alignment vertical="top" wrapText="1"/>
    </xf>
    <xf numFmtId="0" fontId="46" fillId="0" borderId="3" xfId="0" applyFont="1" applyBorder="1" applyAlignment="1">
      <alignment horizontal="left" vertical="top" wrapText="1"/>
    </xf>
    <xf numFmtId="0" fontId="7" fillId="8" borderId="3" xfId="0" quotePrefix="1" applyFont="1" applyFill="1" applyBorder="1"/>
    <xf numFmtId="14" fontId="32" fillId="0" borderId="1" xfId="0" applyNumberFormat="1" applyFont="1" applyBorder="1" applyAlignment="1">
      <alignment horizontal="center" vertical="center" wrapText="1"/>
    </xf>
    <xf numFmtId="0" fontId="32" fillId="0" borderId="1" xfId="0" applyFont="1" applyBorder="1" applyAlignment="1">
      <alignment horizontal="center" vertical="top"/>
    </xf>
    <xf numFmtId="0" fontId="42" fillId="0" borderId="1" xfId="0" applyFont="1" applyBorder="1" applyAlignment="1">
      <alignment readingOrder="1"/>
    </xf>
    <xf numFmtId="0" fontId="42" fillId="23" borderId="22" xfId="0" applyFont="1" applyFill="1" applyBorder="1" applyAlignment="1">
      <alignment readingOrder="1"/>
    </xf>
    <xf numFmtId="0" fontId="42" fillId="23" borderId="13" xfId="0" applyFont="1" applyFill="1" applyBorder="1" applyAlignment="1">
      <alignment readingOrder="1"/>
    </xf>
    <xf numFmtId="0" fontId="19" fillId="0" borderId="15" xfId="0" applyFont="1" applyBorder="1" applyAlignment="1">
      <alignment horizontal="left" vertical="center"/>
    </xf>
    <xf numFmtId="0" fontId="1" fillId="0" borderId="11" xfId="0" applyFont="1" applyBorder="1" applyAlignment="1">
      <alignment horizontal="left" vertical="center"/>
    </xf>
    <xf numFmtId="0" fontId="1" fillId="0" borderId="11" xfId="0" quotePrefix="1" applyFont="1" applyBorder="1" applyAlignment="1">
      <alignment horizontal="left" vertical="center"/>
    </xf>
    <xf numFmtId="0" fontId="23" fillId="0" borderId="11" xfId="0" applyFont="1" applyBorder="1" applyAlignment="1">
      <alignment horizontal="left" vertical="center" wrapText="1"/>
    </xf>
    <xf numFmtId="0" fontId="32" fillId="17" borderId="11" xfId="0" applyFont="1" applyFill="1" applyBorder="1" applyAlignment="1">
      <alignment horizontal="left" vertical="center"/>
    </xf>
    <xf numFmtId="0" fontId="32" fillId="21" borderId="11" xfId="0" applyFont="1" applyFill="1" applyBorder="1" applyAlignment="1">
      <alignment horizontal="left" vertical="center"/>
    </xf>
    <xf numFmtId="0" fontId="42" fillId="23" borderId="1" xfId="0" applyFont="1" applyFill="1" applyBorder="1" applyAlignment="1">
      <alignment readingOrder="1"/>
    </xf>
    <xf numFmtId="0" fontId="42" fillId="0" borderId="22" xfId="0" applyFont="1" applyBorder="1" applyAlignment="1">
      <alignment wrapText="1" readingOrder="1"/>
    </xf>
    <xf numFmtId="0" fontId="42" fillId="0" borderId="22" xfId="0" applyFont="1" applyBorder="1" applyAlignment="1">
      <alignment readingOrder="1"/>
    </xf>
    <xf numFmtId="0" fontId="42" fillId="0" borderId="13" xfId="0" applyFont="1" applyBorder="1" applyAlignment="1">
      <alignment wrapText="1" readingOrder="1"/>
    </xf>
    <xf numFmtId="0" fontId="42" fillId="23" borderId="16" xfId="0" applyFont="1" applyFill="1" applyBorder="1" applyAlignment="1">
      <alignment readingOrder="1"/>
    </xf>
    <xf numFmtId="0" fontId="35" fillId="0" borderId="2" xfId="0" applyFont="1" applyBorder="1" applyAlignment="1">
      <alignment horizontal="center" vertical="center"/>
    </xf>
    <xf numFmtId="0" fontId="23" fillId="0" borderId="1" xfId="0" applyFont="1" applyBorder="1" applyAlignment="1">
      <alignment horizontal="left"/>
    </xf>
    <xf numFmtId="0" fontId="23" fillId="2" borderId="16" xfId="3" applyFont="1" applyFill="1" applyBorder="1" applyAlignment="1">
      <alignment horizontal="left" vertical="center"/>
    </xf>
    <xf numFmtId="0" fontId="19" fillId="0" borderId="15" xfId="0" applyFont="1" applyBorder="1" applyAlignment="1">
      <alignment horizontal="center" vertical="center" wrapText="1"/>
    </xf>
    <xf numFmtId="0" fontId="1" fillId="0" borderId="11" xfId="0" applyFont="1" applyBorder="1" applyAlignment="1">
      <alignment vertical="center"/>
    </xf>
    <xf numFmtId="0" fontId="23" fillId="0" borderId="11" xfId="0" applyFont="1" applyBorder="1" applyAlignment="1">
      <alignment horizontal="center" vertical="center"/>
    </xf>
    <xf numFmtId="0" fontId="28" fillId="0" borderId="11" xfId="0" applyFont="1" applyBorder="1" applyAlignment="1">
      <alignment horizontal="center" vertical="center"/>
    </xf>
    <xf numFmtId="0" fontId="23" fillId="0" borderId="11" xfId="0" applyFont="1" applyBorder="1" applyAlignment="1">
      <alignment vertical="center"/>
    </xf>
    <xf numFmtId="0" fontId="32" fillId="0" borderId="11" xfId="0" applyFont="1" applyBorder="1" applyAlignment="1">
      <alignment horizontal="center" vertical="center"/>
    </xf>
    <xf numFmtId="0" fontId="32" fillId="17" borderId="11" xfId="0" applyFont="1" applyFill="1" applyBorder="1" applyAlignment="1">
      <alignment horizontal="center" vertical="center"/>
    </xf>
    <xf numFmtId="0" fontId="32" fillId="21" borderId="11" xfId="0" applyFont="1" applyFill="1" applyBorder="1" applyAlignment="1">
      <alignment horizontal="center" vertical="center"/>
    </xf>
    <xf numFmtId="0" fontId="32" fillId="0" borderId="23" xfId="0" applyFont="1" applyBorder="1" applyAlignment="1">
      <alignment horizontal="left" vertical="center"/>
    </xf>
    <xf numFmtId="0" fontId="0" fillId="0" borderId="7" xfId="0" applyBorder="1"/>
    <xf numFmtId="0" fontId="32" fillId="0" borderId="23" xfId="0" applyFont="1" applyBorder="1" applyAlignment="1">
      <alignment vertical="center"/>
    </xf>
    <xf numFmtId="0" fontId="32" fillId="0" borderId="23" xfId="0" applyFont="1" applyBorder="1" applyAlignment="1">
      <alignment horizontal="center" vertical="center"/>
    </xf>
    <xf numFmtId="175" fontId="32" fillId="0" borderId="23" xfId="0" applyNumberFormat="1" applyFont="1" applyBorder="1" applyAlignment="1">
      <alignment horizontal="center" vertical="center"/>
    </xf>
    <xf numFmtId="170" fontId="32" fillId="0" borderId="23" xfId="0" applyNumberFormat="1" applyFont="1" applyBorder="1" applyAlignment="1">
      <alignment horizontal="right" vertical="center"/>
    </xf>
    <xf numFmtId="171" fontId="32" fillId="0" borderId="23" xfId="2" applyNumberFormat="1" applyFont="1" applyBorder="1" applyAlignment="1">
      <alignment vertical="center"/>
    </xf>
    <xf numFmtId="14" fontId="32" fillId="0" borderId="23" xfId="0" applyNumberFormat="1" applyFont="1" applyBorder="1" applyAlignment="1">
      <alignment horizontal="center" vertical="center"/>
    </xf>
    <xf numFmtId="180" fontId="32" fillId="0" borderId="23" xfId="0" applyNumberFormat="1" applyFont="1" applyBorder="1" applyAlignment="1">
      <alignment horizontal="center" vertical="center"/>
    </xf>
    <xf numFmtId="0" fontId="23" fillId="2" borderId="23" xfId="3" applyFont="1" applyFill="1" applyBorder="1" applyAlignment="1">
      <alignment horizontal="left" vertical="center"/>
    </xf>
    <xf numFmtId="0" fontId="49" fillId="17" borderId="7" xfId="0" applyFont="1" applyFill="1" applyBorder="1"/>
    <xf numFmtId="180" fontId="32" fillId="17" borderId="1" xfId="0" applyNumberFormat="1" applyFont="1" applyFill="1" applyBorder="1" applyAlignment="1">
      <alignment horizontal="center" vertical="center"/>
    </xf>
    <xf numFmtId="1" fontId="23" fillId="17" borderId="1" xfId="0" applyNumberFormat="1" applyFont="1" applyFill="1" applyBorder="1" applyAlignment="1">
      <alignment horizontal="center" vertical="center"/>
    </xf>
    <xf numFmtId="0" fontId="23" fillId="17" borderId="1" xfId="0" applyFont="1" applyFill="1" applyBorder="1" applyAlignment="1">
      <alignment horizontal="center" vertical="center"/>
    </xf>
    <xf numFmtId="0" fontId="32" fillId="17" borderId="23" xfId="0" applyFont="1" applyFill="1" applyBorder="1" applyAlignment="1">
      <alignment horizontal="left" vertical="center"/>
    </xf>
    <xf numFmtId="0" fontId="0" fillId="17" borderId="7" xfId="0" applyFill="1" applyBorder="1"/>
    <xf numFmtId="0" fontId="32" fillId="17" borderId="23" xfId="0" applyFont="1" applyFill="1" applyBorder="1" applyAlignment="1">
      <alignment vertical="center"/>
    </xf>
    <xf numFmtId="0" fontId="32" fillId="17" borderId="23" xfId="0" applyFont="1" applyFill="1" applyBorder="1" applyAlignment="1">
      <alignment horizontal="center" vertical="center"/>
    </xf>
    <xf numFmtId="175" fontId="32" fillId="17" borderId="23" xfId="0" applyNumberFormat="1" applyFont="1" applyFill="1" applyBorder="1" applyAlignment="1">
      <alignment horizontal="center" vertical="center"/>
    </xf>
    <xf numFmtId="170" fontId="32" fillId="17" borderId="23" xfId="0" applyNumberFormat="1" applyFont="1" applyFill="1" applyBorder="1" applyAlignment="1">
      <alignment horizontal="right" vertical="center"/>
    </xf>
    <xf numFmtId="171" fontId="32" fillId="17" borderId="23" xfId="2" applyNumberFormat="1" applyFont="1" applyFill="1" applyBorder="1" applyAlignment="1">
      <alignment vertical="center"/>
    </xf>
    <xf numFmtId="14" fontId="32" fillId="17" borderId="23" xfId="0" applyNumberFormat="1" applyFont="1" applyFill="1" applyBorder="1" applyAlignment="1">
      <alignment horizontal="center" vertical="center"/>
    </xf>
    <xf numFmtId="180" fontId="32" fillId="17" borderId="23" xfId="0" applyNumberFormat="1" applyFont="1" applyFill="1" applyBorder="1" applyAlignment="1">
      <alignment horizontal="center" vertical="center"/>
    </xf>
    <xf numFmtId="0" fontId="31" fillId="0" borderId="7" xfId="0" applyFont="1" applyBorder="1"/>
    <xf numFmtId="0" fontId="32" fillId="17" borderId="23" xfId="0" quotePrefix="1" applyFont="1" applyFill="1" applyBorder="1" applyAlignment="1">
      <alignment vertical="center"/>
    </xf>
    <xf numFmtId="0" fontId="32" fillId="17" borderId="1" xfId="0" applyFont="1" applyFill="1" applyBorder="1" applyAlignment="1">
      <alignment horizontal="left" vertical="top" wrapText="1"/>
    </xf>
    <xf numFmtId="0" fontId="7" fillId="0" borderId="20" xfId="0" applyFont="1" applyBorder="1" applyAlignment="1">
      <alignment horizontal="center"/>
    </xf>
    <xf numFmtId="0" fontId="32" fillId="0" borderId="2" xfId="0" applyFont="1" applyBorder="1" applyAlignment="1">
      <alignment horizontal="center" vertical="top" wrapText="1"/>
    </xf>
    <xf numFmtId="0" fontId="34" fillId="0" borderId="0" xfId="0" applyFont="1" applyAlignment="1">
      <alignment horizontal="center"/>
    </xf>
    <xf numFmtId="0" fontId="50" fillId="0" borderId="0" xfId="0" applyFont="1"/>
    <xf numFmtId="0" fontId="51" fillId="0" borderId="0" xfId="0" applyFont="1"/>
    <xf numFmtId="0" fontId="23" fillId="2" borderId="2" xfId="3" applyFont="1" applyFill="1" applyBorder="1" applyAlignment="1">
      <alignment horizontal="left" vertical="center" wrapText="1"/>
    </xf>
    <xf numFmtId="0" fontId="32" fillId="0" borderId="11" xfId="0" applyFont="1" applyBorder="1" applyAlignment="1">
      <alignment horizontal="center" vertical="top"/>
    </xf>
    <xf numFmtId="0" fontId="32" fillId="0" borderId="24" xfId="0" applyFont="1" applyBorder="1" applyAlignment="1">
      <alignment horizontal="center" vertical="center"/>
    </xf>
    <xf numFmtId="0" fontId="32" fillId="17" borderId="24" xfId="0" applyFont="1" applyFill="1" applyBorder="1" applyAlignment="1">
      <alignment horizontal="center" vertical="center"/>
    </xf>
    <xf numFmtId="1" fontId="32" fillId="0" borderId="2" xfId="0" applyNumberFormat="1" applyFont="1" applyBorder="1" applyAlignment="1">
      <alignment horizontal="center" vertical="center"/>
    </xf>
    <xf numFmtId="171" fontId="32" fillId="0" borderId="2" xfId="2" applyNumberFormat="1" applyFont="1" applyBorder="1" applyAlignment="1">
      <alignment vertical="center"/>
    </xf>
    <xf numFmtId="1" fontId="32" fillId="17" borderId="2" xfId="0" applyNumberFormat="1" applyFont="1" applyFill="1" applyBorder="1" applyAlignment="1">
      <alignment horizontal="center" vertical="center"/>
    </xf>
    <xf numFmtId="0" fontId="32" fillId="17" borderId="2" xfId="0" applyFont="1" applyFill="1" applyBorder="1" applyAlignment="1">
      <alignment horizontal="center" vertical="center"/>
    </xf>
    <xf numFmtId="0" fontId="0" fillId="0" borderId="1" xfId="0" applyBorder="1" applyAlignment="1">
      <alignment horizontal="center" vertical="center"/>
    </xf>
    <xf numFmtId="0" fontId="34" fillId="0" borderId="0" xfId="0" applyFont="1"/>
    <xf numFmtId="9" fontId="32" fillId="0" borderId="1" xfId="2" applyFont="1" applyFill="1" applyBorder="1" applyAlignment="1">
      <alignment horizontal="center" vertical="center"/>
    </xf>
    <xf numFmtId="0" fontId="32" fillId="0" borderId="6" xfId="0" applyFont="1" applyBorder="1" applyAlignment="1">
      <alignment horizontal="left" vertical="center"/>
    </xf>
    <xf numFmtId="0" fontId="35" fillId="0" borderId="4" xfId="0" applyFont="1" applyBorder="1" applyAlignment="1">
      <alignment horizontal="left" wrapText="1"/>
    </xf>
    <xf numFmtId="0" fontId="35" fillId="0" borderId="12" xfId="0" applyFont="1" applyBorder="1" applyAlignment="1">
      <alignment horizontal="left" wrapText="1"/>
    </xf>
    <xf numFmtId="0" fontId="35" fillId="0" borderId="25" xfId="0" applyFont="1" applyBorder="1" applyAlignment="1">
      <alignment horizontal="left" wrapText="1"/>
    </xf>
    <xf numFmtId="0" fontId="35" fillId="0" borderId="12" xfId="0" quotePrefix="1" applyFont="1" applyBorder="1" applyAlignment="1">
      <alignment horizontal="left" wrapText="1"/>
    </xf>
    <xf numFmtId="0" fontId="34" fillId="0" borderId="0" xfId="0" applyFont="1" applyAlignment="1">
      <alignment horizontal="left"/>
    </xf>
    <xf numFmtId="0" fontId="34" fillId="0" borderId="0" xfId="0" quotePrefix="1" applyFont="1"/>
    <xf numFmtId="0" fontId="35" fillId="0" borderId="4" xfId="0" applyFont="1" applyBorder="1" applyAlignment="1">
      <alignment horizontal="center" wrapText="1"/>
    </xf>
    <xf numFmtId="0" fontId="35" fillId="0" borderId="12" xfId="0" applyFont="1" applyBorder="1" applyAlignment="1">
      <alignment horizontal="center" wrapText="1"/>
    </xf>
    <xf numFmtId="0" fontId="18" fillId="0" borderId="0" xfId="0" applyFont="1" applyAlignment="1">
      <alignment horizontal="center"/>
    </xf>
    <xf numFmtId="0" fontId="15" fillId="0" borderId="0" xfId="0" applyFont="1" applyAlignment="1">
      <alignment horizontal="left" vertical="top" wrapText="1"/>
    </xf>
  </cellXfs>
  <cellStyles count="9">
    <cellStyle name="Comma" xfId="8" builtinId="3"/>
    <cellStyle name="Comma [0]" xfId="4" builtinId="6"/>
    <cellStyle name="Comma [0] 2" xfId="6" xr:uid="{00000000-0005-0000-0000-000002000000}"/>
    <cellStyle name="Currency [0]" xfId="1" builtinId="7"/>
    <cellStyle name="Normal" xfId="0" builtinId="0"/>
    <cellStyle name="Normal 2" xfId="3" xr:uid="{00000000-0005-0000-0000-000005000000}"/>
    <cellStyle name="Normal 2 2" xfId="7" xr:uid="{00000000-0005-0000-0000-000006000000}"/>
    <cellStyle name="Normal 3" xfId="5" xr:uid="{00000000-0005-0000-0000-000007000000}"/>
    <cellStyle name="Percent" xfId="2" builtinId="5"/>
  </cellStyles>
  <dxfs count="159">
    <dxf>
      <font>
        <b/>
        <i val="0"/>
        <strike val="0"/>
      </font>
      <fill>
        <patternFill>
          <bgColor rgb="FFFF0000"/>
        </patternFill>
      </fill>
    </dxf>
    <dxf>
      <font>
        <b/>
        <i val="0"/>
      </font>
      <fill>
        <patternFill>
          <bgColor rgb="FFFFC000"/>
        </patternFill>
      </fill>
    </dxf>
    <dxf>
      <font>
        <b/>
        <i val="0"/>
      </font>
      <fill>
        <patternFill>
          <bgColor rgb="FFFFFF00"/>
        </patternFill>
      </fill>
    </dxf>
    <dxf>
      <font>
        <b/>
        <i val="0"/>
      </font>
      <fill>
        <patternFill>
          <bgColor rgb="FF00B050"/>
        </patternFill>
      </fill>
    </dxf>
    <dxf>
      <font>
        <b/>
        <i val="0"/>
      </font>
      <fill>
        <patternFill>
          <bgColor theme="0" tint="-0.34998626667073579"/>
        </patternFill>
      </fill>
    </dxf>
    <dxf>
      <font>
        <b/>
        <i val="0"/>
        <strike val="0"/>
      </font>
      <fill>
        <patternFill>
          <bgColor rgb="FFFF0000"/>
        </patternFill>
      </fill>
    </dxf>
    <dxf>
      <font>
        <b/>
        <i val="0"/>
      </font>
      <fill>
        <patternFill>
          <bgColor rgb="FFFFC000"/>
        </patternFill>
      </fill>
    </dxf>
    <dxf>
      <font>
        <b/>
        <i val="0"/>
      </font>
      <fill>
        <patternFill>
          <bgColor rgb="FFFFFF00"/>
        </patternFill>
      </fill>
    </dxf>
    <dxf>
      <font>
        <b/>
        <i val="0"/>
      </font>
      <fill>
        <patternFill>
          <bgColor rgb="FF00B050"/>
        </patternFill>
      </fill>
    </dxf>
    <dxf>
      <font>
        <b/>
        <i val="0"/>
      </font>
      <fill>
        <patternFill>
          <bgColor theme="0" tint="-0.34998626667073579"/>
        </patternFill>
      </fill>
    </dxf>
    <dxf>
      <font>
        <b/>
        <i val="0"/>
        <strike val="0"/>
      </font>
      <fill>
        <patternFill>
          <bgColor rgb="FFFF0000"/>
        </patternFill>
      </fill>
    </dxf>
    <dxf>
      <font>
        <b/>
        <i val="0"/>
      </font>
      <fill>
        <patternFill>
          <bgColor rgb="FFFFC000"/>
        </patternFill>
      </fill>
    </dxf>
    <dxf>
      <font>
        <b/>
        <i val="0"/>
      </font>
      <fill>
        <patternFill>
          <bgColor rgb="FFFFFF00"/>
        </patternFill>
      </fill>
    </dxf>
    <dxf>
      <font>
        <b/>
        <i val="0"/>
      </font>
      <fill>
        <patternFill>
          <bgColor rgb="FF00B050"/>
        </patternFill>
      </fill>
    </dxf>
    <dxf>
      <font>
        <b/>
        <i val="0"/>
      </font>
      <fill>
        <patternFill>
          <bgColor theme="0" tint="-0.34998626667073579"/>
        </patternFill>
      </fill>
    </dxf>
    <dxf>
      <font>
        <b/>
        <i val="0"/>
        <strike val="0"/>
      </font>
      <fill>
        <patternFill>
          <bgColor rgb="FFFF0000"/>
        </patternFill>
      </fill>
    </dxf>
    <dxf>
      <font>
        <b/>
        <i val="0"/>
      </font>
      <fill>
        <patternFill>
          <bgColor rgb="FFFFC000"/>
        </patternFill>
      </fill>
    </dxf>
    <dxf>
      <font>
        <b/>
        <i val="0"/>
      </font>
      <fill>
        <patternFill>
          <bgColor rgb="FFFFFF00"/>
        </patternFill>
      </fill>
    </dxf>
    <dxf>
      <font>
        <b/>
        <i val="0"/>
      </font>
      <fill>
        <patternFill>
          <bgColor rgb="FF00B050"/>
        </patternFill>
      </fill>
    </dxf>
    <dxf>
      <font>
        <b/>
        <i val="0"/>
      </font>
      <fill>
        <patternFill>
          <bgColor theme="0" tint="-0.34998626667073579"/>
        </patternFill>
      </fill>
    </dxf>
    <dxf>
      <fill>
        <patternFill>
          <bgColor rgb="FF00B050"/>
        </patternFill>
      </fill>
    </dxf>
    <dxf>
      <fill>
        <patternFill>
          <bgColor rgb="FFFFC000"/>
        </patternFill>
      </fill>
    </dxf>
    <dxf>
      <fill>
        <patternFill>
          <bgColor rgb="FFFFFF00"/>
        </patternFill>
      </fill>
    </dxf>
    <dxf>
      <fill>
        <patternFill>
          <bgColor rgb="FFFF0000"/>
        </patternFill>
      </fill>
    </dxf>
    <dxf>
      <fill>
        <patternFill patternType="solid">
          <bgColor theme="0" tint="-0.249977111117893"/>
        </patternFill>
      </fill>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horizontal="center"/>
    </dxf>
    <dxf>
      <alignment horizontal="center"/>
    </dxf>
    <dxf>
      <alignment horizontal="cent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70" formatCode="_-&quot;Rp&quot;* #,##0_-;\-&quot;Rp&quot;* #,##0_-;_-&quot;Rp&quot;* &quot;-&quot;??_-;_-@_-"/>
      <alignment horizontal="righ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 formatCode="0"/>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numFmt numFmtId="1" formatCode="0"/>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84" formatCode="m/d/yyyy"/>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numFmt numFmtId="184" formatCode="m/d/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80" formatCode="[$-13809]dd\ mmmm\ yyyy;@"/>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numFmt numFmtId="180" formatCode="[$-13809]dd\ mmmm\ 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80" formatCode="[$-13809]dd\ mmmm\ yyyy;@"/>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numFmt numFmtId="180" formatCode="[$-13809]dd\ mmmm\ yyyy;@"/>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84" formatCode="m/d/yyyy"/>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fill>
        <patternFill patternType="none">
          <fgColor indexed="64"/>
          <bgColor indexed="65"/>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71" formatCode="_-[$Rp-421]* #,##0_-;\-[$Rp-421]* #,##0_-;_-[$Rp-421]* &quot;-&quot;??_-;_-@"/>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numFmt numFmtId="171" formatCode="_-[$Rp-421]* #,##0_-;\-[$Rp-421]* #,##0_-;_-[$Rp-421]* &quot;-&quot;??_-;_-@"/>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75" formatCode="_-[$Rp-421]* #,##0_-;\-[$Rp-421]* #,##0_-;_-[$Rp-421]* &quot;-&quot;_-;_-@_-"/>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numFmt numFmtId="175" formatCode="_-[$Rp-421]* #,##0_-;\-[$Rp-421]* #,##0_-;_-[$Rp-421]* &quot;-&quot;_-;_-@_-"/>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70" formatCode="_-&quot;Rp&quot;* #,##0_-;\-&quot;Rp&quot;* #,##0_-;_-&quot;Rp&quot;* &quot;-&quot;??_-;_-@_-"/>
      <alignment horizontal="righ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numFmt numFmtId="170" formatCode="_-&quot;Rp&quot;* #,##0_-;\-&quot;Rp&quot;* #,##0_-;_-&quot;Rp&quot;* &quot;-&quot;??_-;_-@_-"/>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70" formatCode="_-&quot;Rp&quot;* #,##0_-;\-&quot;Rp&quot;* #,##0_-;_-&quot;Rp&quot;* &quot;-&quot;??_-;_-@_-"/>
      <alignment horizontal="righ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numFmt numFmtId="170" formatCode="_-&quot;Rp&quot;* #,##0_-;\-&quot;Rp&quot;* #,##0_-;_-&quot;Rp&quot;* &quot;-&quot;??_-;_-@_-"/>
      <alignment horizontal="righ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numFmt numFmtId="175" formatCode="_-[$Rp-421]* #,##0_-;\-[$Rp-421]* #,##0_-;_-[$Rp-421]* &quot;-&quot;_-;_-@_-"/>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numFmt numFmtId="175" formatCode="_-[$Rp-421]* #,##0_-;\-[$Rp-421]* #,##0_-;_-[$Rp-421]* &quot;-&quot;_-;_-@_-"/>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general" vertical="center" textRotation="0" wrapText="0" relativeIndent="-1"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border>
    </dxf>
    <dxf>
      <font>
        <strike val="0"/>
        <outline val="0"/>
        <shadow val="0"/>
        <sz val="11"/>
        <color auto="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family val="2"/>
        <scheme val="minor"/>
      </font>
      <numFmt numFmtId="0" formatCode="Genera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center" textRotation="0" wrapText="0"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major"/>
      </font>
      <alignment horizontal="center" vertical="center" textRotation="0" wrapText="0" indent="0" justifyLastLine="0" shrinkToFit="0" readingOrder="0"/>
      <border diagonalUp="0" diagonalDown="0">
        <left/>
        <right style="thin">
          <color rgb="FF000000"/>
        </right>
        <top style="thin">
          <color rgb="FF000000"/>
        </top>
        <bottom/>
      </border>
    </dxf>
    <dxf>
      <font>
        <b val="0"/>
        <i val="0"/>
        <strike val="0"/>
        <condense val="0"/>
        <extend val="0"/>
        <outline val="0"/>
        <shadow val="0"/>
        <u val="none"/>
        <vertAlign val="baseline"/>
        <sz val="11"/>
        <color auto="1"/>
        <name val="Calibri"/>
        <scheme val="minor"/>
      </font>
      <alignment horizontal="center" vertical="center" textRotation="0" wrapText="0"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font>
        <b val="0"/>
      </font>
    </dxf>
    <dxf>
      <border>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auto="1"/>
        <name val="Calibri"/>
        <scheme val="minor"/>
      </font>
      <alignment horizontal="general" vertical="center" textRotation="0" wrapText="0" indent="0" justifyLastLine="0" shrinkToFit="0" readingOrder="0"/>
    </dxf>
    <dxf>
      <border>
        <bottom style="thin">
          <color rgb="FF000000"/>
        </bottom>
      </border>
    </dxf>
    <dxf>
      <font>
        <b/>
        <i val="0"/>
        <strike val="0"/>
        <condense val="0"/>
        <extend val="0"/>
        <outline val="0"/>
        <shadow val="0"/>
        <u val="none"/>
        <vertAlign val="baseline"/>
        <sz val="11"/>
        <color theme="0"/>
        <name val="Calibri"/>
        <scheme val="minor"/>
      </font>
      <alignment horizontal="center" vertical="center" textRotation="0" wrapText="0"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numFmt numFmtId="174" formatCode="_-[$Rp-421]* #,##0.00_-;\-[$Rp-421]* #,##0.00_-;_-[$Rp-421]* &quot;-&quot;??_-;_-@_-"/>
    </dxf>
    <dxf>
      <numFmt numFmtId="184" formatCode="m/d/yyyy"/>
    </dxf>
    <dxf>
      <numFmt numFmtId="184" formatCode="m/d/yyyy"/>
    </dxf>
    <dxf>
      <numFmt numFmtId="184" formatCode="m/d/yyyy"/>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font>
      <alignment horizontal="center" textRotation="0" indent="0" justifyLastLine="0" shrinkToFit="0" readingOrder="0"/>
    </dxf>
    <dxf>
      <font>
        <b/>
        <strike val="0"/>
        <outline val="0"/>
        <shadow val="0"/>
        <u val="none"/>
        <vertAlign val="baseline"/>
        <sz val="11"/>
        <color auto="1"/>
        <name val="Calibri"/>
        <scheme val="minor"/>
      </font>
      <alignment horizontal="center" vertical="center" textRotation="0" wrapText="0" indent="0" justifyLastLine="0" shrinkToFit="0" readingOrder="0"/>
    </dxf>
    <dxf>
      <numFmt numFmtId="166" formatCode="_(* #,##0.00_);_(* \(#,##0.00\);_(* &quot;-&quot;??_);_(@_)"/>
    </dxf>
    <dxf>
      <numFmt numFmtId="169" formatCode="_(* #,##0_);_(* \(#,##0\);_(* &quot;-&quot;??_);_(@_)"/>
    </dxf>
    <dxf>
      <font>
        <b/>
      </font>
    </dxf>
    <dxf>
      <font>
        <b/>
      </font>
    </dxf>
    <dxf>
      <font>
        <b/>
      </font>
    </dxf>
    <dxf>
      <alignment horizontal="center" readingOrder="0"/>
    </dxf>
    <dxf>
      <alignment horizontal="center" readingOrder="0"/>
    </dxf>
    <dxf>
      <alignment horizontal="center" readingOrder="0"/>
    </dxf>
    <dxf>
      <fill>
        <patternFill>
          <bgColor rgb="FFFFFF00"/>
        </patternFill>
      </fill>
    </dxf>
    <dxf>
      <fill>
        <patternFill patternType="solid">
          <bgColor rgb="FFFFFF00"/>
        </patternFill>
      </fill>
    </dxf>
    <dxf>
      <fill>
        <patternFill patternType="solid">
          <bgColor rgb="FFFFFF00"/>
        </patternFill>
      </fill>
    </dxf>
    <dxf>
      <alignment horizontal="right" readingOrder="0"/>
    </dxf>
    <dxf>
      <alignment horizontal="right" readingOrder="0"/>
    </dxf>
    <dxf>
      <alignment vertical="center" readingOrder="0"/>
    </dxf>
    <dxf>
      <numFmt numFmtId="30" formatCode="@"/>
    </dxf>
    <dxf>
      <numFmt numFmtId="30" formatCode="@"/>
    </dxf>
    <dxf>
      <alignment horizontal="right" readingOrder="0"/>
    </dxf>
    <dxf>
      <alignment vertic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Revenue</a:t>
            </a:r>
            <a:r>
              <a:rPr lang="en-US" baseline="0"/>
              <a:t>  VS  Biaya Izin Sewa </a:t>
            </a:r>
            <a:endParaRPr lang="en-US"/>
          </a:p>
        </c:rich>
      </c:tx>
      <c:layout>
        <c:manualLayout>
          <c:xMode val="edge"/>
          <c:yMode val="edge"/>
          <c:x val="0.20465535714083194"/>
          <c:y val="4.275994803916407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'Rev VS Sewa'!$S$7</c:f>
              <c:strCache>
                <c:ptCount val="1"/>
                <c:pt idx="0">
                  <c:v> Nilai (Rp)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611A-49F8-B9DB-03022FDB29F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611A-49F8-B9DB-03022FDB29F9}"/>
              </c:ext>
            </c:extLst>
          </c:dPt>
          <c:dLbls>
            <c:dLbl>
              <c:idx val="0"/>
              <c:layout>
                <c:manualLayout>
                  <c:x val="-0.13692635738855555"/>
                  <c:y val="-0.25238010992092014"/>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11A-49F8-B9DB-03022FDB29F9}"/>
                </c:ext>
              </c:extLst>
            </c:dLbl>
            <c:dLbl>
              <c:idx val="1"/>
              <c:layout>
                <c:manualLayout>
                  <c:x val="9.2788212827158378E-2"/>
                  <c:y val="0.1324107550604883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11A-49F8-B9DB-03022FDB29F9}"/>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'Rev VS Sewa'!$R$8:$R$9</c:f>
              <c:strCache>
                <c:ptCount val="2"/>
                <c:pt idx="0">
                  <c:v>Revenue </c:v>
                </c:pt>
                <c:pt idx="1">
                  <c:v>Biaya Sewa </c:v>
                </c:pt>
              </c:strCache>
            </c:strRef>
          </c:cat>
          <c:val>
            <c:numRef>
              <c:f>'Rev VS Sewa'!$S$8:$S$9</c:f>
              <c:numCache>
                <c:formatCode>_-[$Rp-3809]* #,##0_-;\-[$Rp-3809]* #,##0_-;_-[$Rp-3809]* "-"??_-;_-@_-</c:formatCode>
                <c:ptCount val="2"/>
                <c:pt idx="0">
                  <c:v>200844416764.4516</c:v>
                </c:pt>
                <c:pt idx="1">
                  <c:v>16281816292</c:v>
                </c:pt>
              </c:numCache>
            </c:numRef>
          </c:val>
          <c:extLst>
            <c:ext xmlns:c16="http://schemas.microsoft.com/office/drawing/2014/chart" uri="{C3380CC4-5D6E-409C-BE32-E72D297353CC}">
              <c16:uniqueId val="{00000000-611A-49F8-B9DB-03022FDB29F9}"/>
            </c:ext>
          </c:extLst>
        </c:ser>
        <c:dLbls>
          <c:dLblPos val="bestFit"/>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6466710983650723"/>
          <c:y val="0.38187510789464341"/>
          <c:w val="0.12134115528642052"/>
          <c:h val="0.13119621337244683"/>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baseline="0">
                <a:solidFill>
                  <a:schemeClr val="tx2"/>
                </a:solidFill>
                <a:latin typeface="+mn-lt"/>
                <a:ea typeface="+mn-ea"/>
                <a:cs typeface="+mn-cs"/>
              </a:defRPr>
            </a:pPr>
            <a:r>
              <a:rPr lang="en-US" sz="1100"/>
              <a:t>Total Proses Kontrak  Aktif</a:t>
            </a:r>
            <a:r>
              <a:rPr lang="en-US" sz="1100" baseline="0"/>
              <a:t>  </a:t>
            </a:r>
            <a:r>
              <a:rPr lang="en-US" sz="1100"/>
              <a:t>Tahun 2024</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mn-lt"/>
              <a:ea typeface="+mn-ea"/>
              <a:cs typeface="+mn-cs"/>
            </a:defRPr>
          </a:pPr>
          <a:endParaRPr lang="en-US"/>
        </a:p>
      </c:txPr>
    </c:title>
    <c:autoTitleDeleted val="0"/>
    <c:plotArea>
      <c:layout/>
      <c:pieChart>
        <c:varyColors val="1"/>
        <c:ser>
          <c:idx val="0"/>
          <c:order val="0"/>
          <c:tx>
            <c:strRef>
              <c:f>'Pivot Report'!$D$40</c:f>
              <c:strCache>
                <c:ptCount val="1"/>
                <c:pt idx="0">
                  <c:v>Jumlah Pelanggan</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5-F317-4BAB-9DF1-FFB922406B7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4-F317-4BAB-9DF1-FFB922406B7B}"/>
              </c:ext>
            </c:extLst>
          </c:dPt>
          <c:dLbls>
            <c:dLbl>
              <c:idx val="0"/>
              <c:layout>
                <c:manualLayout>
                  <c:x val="4.8216972878390205E-2"/>
                  <c:y val="4.5274496937882762E-2"/>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317-4BAB-9DF1-FFB922406B7B}"/>
                </c:ext>
              </c:extLst>
            </c:dLbl>
            <c:dLbl>
              <c:idx val="1"/>
              <c:layout>
                <c:manualLayout>
                  <c:x val="-0.11289895013123362"/>
                  <c:y val="-0.17093540390784484"/>
                </c:manualLayout>
              </c:layout>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317-4BAB-9DF1-FFB922406B7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multiLvlStrRef>
              <c:f>'Pivot Report'!$B$41:$C$43</c:f>
              <c:multiLvlStrCache>
                <c:ptCount val="2"/>
                <c:lvl>
                  <c:pt idx="0">
                    <c:v>Collocation</c:v>
                  </c:pt>
                  <c:pt idx="1">
                    <c:v>Cross Connect</c:v>
                  </c:pt>
                </c:lvl>
                <c:lvl>
                  <c:pt idx="0">
                    <c:v>ACTIVE</c:v>
                  </c:pt>
                </c:lvl>
              </c:multiLvlStrCache>
            </c:multiLvlStrRef>
          </c:cat>
          <c:val>
            <c:numRef>
              <c:f>'Pivot Report'!$D$41:$D$43</c:f>
              <c:numCache>
                <c:formatCode>General</c:formatCode>
                <c:ptCount val="2"/>
                <c:pt idx="0">
                  <c:v>124</c:v>
                </c:pt>
                <c:pt idx="1">
                  <c:v>97</c:v>
                </c:pt>
              </c:numCache>
            </c:numRef>
          </c:val>
          <c:extLst>
            <c:ext xmlns:c16="http://schemas.microsoft.com/office/drawing/2014/chart" uri="{C3380CC4-5D6E-409C-BE32-E72D297353CC}">
              <c16:uniqueId val="{00000000-F317-4BAB-9DF1-FFB922406B7B}"/>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VS Biaya Sewa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93F4-4342-8C23-9C4DC43BC19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2-93F4-4342-8C23-9C4DC43BC190}"/>
              </c:ext>
            </c:extLst>
          </c:dPt>
          <c:dLbls>
            <c:dLbl>
              <c:idx val="0"/>
              <c:layout>
                <c:manualLayout>
                  <c:x val="-8.3333333333333329E-2"/>
                  <c:y val="-0.33101851851851855"/>
                </c:manualLayout>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9097222222222224"/>
                      <c:h val="0.21759259259259259"/>
                    </c:manualLayout>
                  </c15:layout>
                </c:ext>
                <c:ext xmlns:c16="http://schemas.microsoft.com/office/drawing/2014/chart" uri="{C3380CC4-5D6E-409C-BE32-E72D297353CC}">
                  <c16:uniqueId val="{00000001-93F4-4342-8C23-9C4DC43BC190}"/>
                </c:ext>
              </c:extLst>
            </c:dLbl>
            <c:dLbl>
              <c:idx val="1"/>
              <c:layout>
                <c:manualLayout>
                  <c:x val="-9.7222222222222238E-2"/>
                  <c:y val="-2.5328083989501312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30833333333333335"/>
                      <c:h val="7.2916666666666671E-2"/>
                    </c:manualLayout>
                  </c15:layout>
                </c:ext>
                <c:ext xmlns:c16="http://schemas.microsoft.com/office/drawing/2014/chart" uri="{C3380CC4-5D6E-409C-BE32-E72D297353CC}">
                  <c16:uniqueId val="{00000002-93F4-4342-8C23-9C4DC43BC19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Report'!$I$45:$I$46</c:f>
              <c:strCache>
                <c:ptCount val="2"/>
                <c:pt idx="0">
                  <c:v> Revenue Pelanggan </c:v>
                </c:pt>
                <c:pt idx="1">
                  <c:v> Biaya Sewa Pihak 3 </c:v>
                </c:pt>
              </c:strCache>
            </c:strRef>
          </c:cat>
          <c:val>
            <c:numRef>
              <c:f>'Pivot Report'!$J$45:$J$46</c:f>
              <c:numCache>
                <c:formatCode>_("Rp"* #,##0_);_("Rp"* \(#,##0\);_("Rp"* "-"_);_(@_)</c:formatCode>
                <c:ptCount val="2"/>
                <c:pt idx="0">
                  <c:v>317507838985.4516</c:v>
                </c:pt>
                <c:pt idx="1">
                  <c:v>15234597444</c:v>
                </c:pt>
              </c:numCache>
            </c:numRef>
          </c:val>
          <c:extLst>
            <c:ext xmlns:c16="http://schemas.microsoft.com/office/drawing/2014/chart" uri="{C3380CC4-5D6E-409C-BE32-E72D297353CC}">
              <c16:uniqueId val="{00000000-93F4-4342-8C23-9C4DC43BC190}"/>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 Report'!$J$62</c:f>
              <c:strCache>
                <c:ptCount val="1"/>
                <c:pt idx="0">
                  <c:v>ACTIVE Total</c:v>
                </c:pt>
              </c:strCache>
            </c:strRef>
          </c:tx>
          <c:spPr>
            <a:solidFill>
              <a:schemeClr val="accent1"/>
            </a:solidFill>
            <a:ln>
              <a:noFill/>
            </a:ln>
            <a:effectLst/>
          </c:spPr>
          <c:invertIfNegative val="0"/>
          <c:val>
            <c:numRef>
              <c:f>'Pivot Report'!$K$62</c:f>
              <c:numCache>
                <c:formatCode>General</c:formatCode>
                <c:ptCount val="1"/>
                <c:pt idx="0">
                  <c:v>275</c:v>
                </c:pt>
              </c:numCache>
            </c:numRef>
          </c:val>
          <c:extLst>
            <c:ext xmlns:c16="http://schemas.microsoft.com/office/drawing/2014/chart" uri="{C3380CC4-5D6E-409C-BE32-E72D297353CC}">
              <c16:uniqueId val="{00000000-C11A-4CAE-8314-94E7036199C2}"/>
            </c:ext>
          </c:extLst>
        </c:ser>
        <c:ser>
          <c:idx val="1"/>
          <c:order val="1"/>
          <c:tx>
            <c:strRef>
              <c:f>'Pivot Report'!$J$63</c:f>
              <c:strCache>
                <c:ptCount val="1"/>
                <c:pt idx="0">
                  <c:v>DEACTIVASI Total</c:v>
                </c:pt>
              </c:strCache>
            </c:strRef>
          </c:tx>
          <c:spPr>
            <a:solidFill>
              <a:schemeClr val="accent2"/>
            </a:solidFill>
            <a:ln>
              <a:noFill/>
            </a:ln>
            <a:effectLst/>
          </c:spPr>
          <c:invertIfNegative val="0"/>
          <c:val>
            <c:numRef>
              <c:f>'Pivot Report'!$K$63</c:f>
              <c:numCache>
                <c:formatCode>General</c:formatCode>
                <c:ptCount val="1"/>
                <c:pt idx="0">
                  <c:v>31</c:v>
                </c:pt>
              </c:numCache>
            </c:numRef>
          </c:val>
          <c:extLst>
            <c:ext xmlns:c16="http://schemas.microsoft.com/office/drawing/2014/chart" uri="{C3380CC4-5D6E-409C-BE32-E72D297353CC}">
              <c16:uniqueId val="{00000001-C11A-4CAE-8314-94E7036199C2}"/>
            </c:ext>
          </c:extLst>
        </c:ser>
        <c:ser>
          <c:idx val="2"/>
          <c:order val="2"/>
          <c:tx>
            <c:strRef>
              <c:f>'Pivot Report'!$J$64</c:f>
              <c:strCache>
                <c:ptCount val="1"/>
                <c:pt idx="0">
                  <c:v>NON ACTIVE Total</c:v>
                </c:pt>
              </c:strCache>
            </c:strRef>
          </c:tx>
          <c:spPr>
            <a:solidFill>
              <a:schemeClr val="accent3"/>
            </a:solidFill>
            <a:ln>
              <a:noFill/>
            </a:ln>
            <a:effectLst/>
          </c:spPr>
          <c:invertIfNegative val="0"/>
          <c:val>
            <c:numRef>
              <c:f>'Pivot Report'!$K$64</c:f>
              <c:numCache>
                <c:formatCode>General</c:formatCode>
                <c:ptCount val="1"/>
                <c:pt idx="0">
                  <c:v>51</c:v>
                </c:pt>
              </c:numCache>
            </c:numRef>
          </c:val>
          <c:extLst>
            <c:ext xmlns:c16="http://schemas.microsoft.com/office/drawing/2014/chart" uri="{C3380CC4-5D6E-409C-BE32-E72D297353CC}">
              <c16:uniqueId val="{00000002-C11A-4CAE-8314-94E7036199C2}"/>
            </c:ext>
          </c:extLst>
        </c:ser>
        <c:dLbls>
          <c:showLegendKey val="0"/>
          <c:showVal val="0"/>
          <c:showCatName val="0"/>
          <c:showSerName val="0"/>
          <c:showPercent val="0"/>
          <c:showBubbleSize val="0"/>
        </c:dLbls>
        <c:gapWidth val="219"/>
        <c:overlap val="-27"/>
        <c:axId val="1609285504"/>
        <c:axId val="1609288416"/>
      </c:barChart>
      <c:catAx>
        <c:axId val="160928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288416"/>
        <c:crosses val="autoZero"/>
        <c:auto val="1"/>
        <c:lblAlgn val="ctr"/>
        <c:lblOffset val="100"/>
        <c:noMultiLvlLbl val="0"/>
      </c:catAx>
      <c:valAx>
        <c:axId val="160928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285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[Rekap Collo x Interkoneksi 2024 V2 ROM 22 Nov(1).xlsx]Pivot Monitoring Perpanjangan!PivotTable7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Monitoring Perpanjangan'!$B$3:$B$4</c:f>
              <c:strCache>
                <c:ptCount val="1"/>
                <c:pt idx="0">
                  <c:v>ACTIVE</c:v>
                </c:pt>
              </c:strCache>
            </c:strRef>
          </c:tx>
          <c:spPr>
            <a:solidFill>
              <a:schemeClr val="accent1"/>
            </a:solidFill>
            <a:ln>
              <a:noFill/>
            </a:ln>
            <a:effectLst/>
          </c:spPr>
          <c:invertIfNegative val="0"/>
          <c:cat>
            <c:strRef>
              <c:f>'Pivot Monitoring Perpanjangan'!$A$5:$A$11</c:f>
              <c:strCache>
                <c:ptCount val="6"/>
                <c:pt idx="0">
                  <c:v>ATTENTION</c:v>
                </c:pt>
                <c:pt idx="1">
                  <c:v>CRITICAL</c:v>
                </c:pt>
                <c:pt idx="2">
                  <c:v>LOSS</c:v>
                </c:pt>
                <c:pt idx="3">
                  <c:v>ON TRACK</c:v>
                </c:pt>
                <c:pt idx="4">
                  <c:v>WARNING</c:v>
                </c:pt>
                <c:pt idx="5">
                  <c:v>(blank)</c:v>
                </c:pt>
              </c:strCache>
            </c:strRef>
          </c:cat>
          <c:val>
            <c:numRef>
              <c:f>'Pivot Monitoring Perpanjangan'!$B$5:$B$11</c:f>
              <c:numCache>
                <c:formatCode>General</c:formatCode>
                <c:ptCount val="6"/>
                <c:pt idx="0">
                  <c:v>36</c:v>
                </c:pt>
                <c:pt idx="1">
                  <c:v>53</c:v>
                </c:pt>
                <c:pt idx="2">
                  <c:v>177</c:v>
                </c:pt>
                <c:pt idx="3">
                  <c:v>567</c:v>
                </c:pt>
                <c:pt idx="4">
                  <c:v>24</c:v>
                </c:pt>
              </c:numCache>
            </c:numRef>
          </c:val>
          <c:extLst>
            <c:ext xmlns:c16="http://schemas.microsoft.com/office/drawing/2014/chart" uri="{C3380CC4-5D6E-409C-BE32-E72D297353CC}">
              <c16:uniqueId val="{00000005-C50E-4689-8E48-BAA244059CD1}"/>
            </c:ext>
          </c:extLst>
        </c:ser>
        <c:ser>
          <c:idx val="1"/>
          <c:order val="1"/>
          <c:tx>
            <c:strRef>
              <c:f>'Pivot Monitoring Perpanjangan'!$C$3:$C$4</c:f>
              <c:strCache>
                <c:ptCount val="1"/>
                <c:pt idx="0">
                  <c:v>DEACTIVASI</c:v>
                </c:pt>
              </c:strCache>
            </c:strRef>
          </c:tx>
          <c:spPr>
            <a:solidFill>
              <a:schemeClr val="accent2"/>
            </a:solidFill>
            <a:ln>
              <a:noFill/>
            </a:ln>
            <a:effectLst/>
          </c:spPr>
          <c:invertIfNegative val="0"/>
          <c:cat>
            <c:strRef>
              <c:f>'Pivot Monitoring Perpanjangan'!$A$5:$A$11</c:f>
              <c:strCache>
                <c:ptCount val="6"/>
                <c:pt idx="0">
                  <c:v>ATTENTION</c:v>
                </c:pt>
                <c:pt idx="1">
                  <c:v>CRITICAL</c:v>
                </c:pt>
                <c:pt idx="2">
                  <c:v>LOSS</c:v>
                </c:pt>
                <c:pt idx="3">
                  <c:v>ON TRACK</c:v>
                </c:pt>
                <c:pt idx="4">
                  <c:v>WARNING</c:v>
                </c:pt>
                <c:pt idx="5">
                  <c:v>(blank)</c:v>
                </c:pt>
              </c:strCache>
            </c:strRef>
          </c:cat>
          <c:val>
            <c:numRef>
              <c:f>'Pivot Monitoring Perpanjangan'!$C$5:$C$11</c:f>
              <c:numCache>
                <c:formatCode>General</c:formatCode>
                <c:ptCount val="6"/>
                <c:pt idx="2">
                  <c:v>263</c:v>
                </c:pt>
                <c:pt idx="3">
                  <c:v>1</c:v>
                </c:pt>
              </c:numCache>
            </c:numRef>
          </c:val>
          <c:extLst>
            <c:ext xmlns:c16="http://schemas.microsoft.com/office/drawing/2014/chart" uri="{C3380CC4-5D6E-409C-BE32-E72D297353CC}">
              <c16:uniqueId val="{00000007-C50E-4689-8E48-BAA244059CD1}"/>
            </c:ext>
          </c:extLst>
        </c:ser>
        <c:ser>
          <c:idx val="2"/>
          <c:order val="2"/>
          <c:tx>
            <c:strRef>
              <c:f>'Pivot Monitoring Perpanjangan'!$D$3:$D$4</c:f>
              <c:strCache>
                <c:ptCount val="1"/>
                <c:pt idx="0">
                  <c:v>NON ACTIVE</c:v>
                </c:pt>
              </c:strCache>
            </c:strRef>
          </c:tx>
          <c:spPr>
            <a:solidFill>
              <a:schemeClr val="accent3"/>
            </a:solidFill>
            <a:ln>
              <a:noFill/>
            </a:ln>
            <a:effectLst/>
          </c:spPr>
          <c:invertIfNegative val="0"/>
          <c:cat>
            <c:strRef>
              <c:f>'Pivot Monitoring Perpanjangan'!$A$5:$A$11</c:f>
              <c:strCache>
                <c:ptCount val="6"/>
                <c:pt idx="0">
                  <c:v>ATTENTION</c:v>
                </c:pt>
                <c:pt idx="1">
                  <c:v>CRITICAL</c:v>
                </c:pt>
                <c:pt idx="2">
                  <c:v>LOSS</c:v>
                </c:pt>
                <c:pt idx="3">
                  <c:v>ON TRACK</c:v>
                </c:pt>
                <c:pt idx="4">
                  <c:v>WARNING</c:v>
                </c:pt>
                <c:pt idx="5">
                  <c:v>(blank)</c:v>
                </c:pt>
              </c:strCache>
            </c:strRef>
          </c:cat>
          <c:val>
            <c:numRef>
              <c:f>'Pivot Monitoring Perpanjangan'!$D$5:$D$11</c:f>
              <c:numCache>
                <c:formatCode>General</c:formatCode>
                <c:ptCount val="6"/>
                <c:pt idx="1">
                  <c:v>8</c:v>
                </c:pt>
                <c:pt idx="2">
                  <c:v>1751</c:v>
                </c:pt>
              </c:numCache>
            </c:numRef>
          </c:val>
          <c:extLst>
            <c:ext xmlns:c16="http://schemas.microsoft.com/office/drawing/2014/chart" uri="{C3380CC4-5D6E-409C-BE32-E72D297353CC}">
              <c16:uniqueId val="{00000009-C50E-4689-8E48-BAA244059CD1}"/>
            </c:ext>
          </c:extLst>
        </c:ser>
        <c:ser>
          <c:idx val="3"/>
          <c:order val="3"/>
          <c:tx>
            <c:strRef>
              <c:f>'Pivot Monitoring Perpanjangan'!$E$3:$E$4</c:f>
              <c:strCache>
                <c:ptCount val="1"/>
                <c:pt idx="0">
                  <c:v>(blank)</c:v>
                </c:pt>
              </c:strCache>
            </c:strRef>
          </c:tx>
          <c:spPr>
            <a:solidFill>
              <a:schemeClr val="accent4"/>
            </a:solidFill>
            <a:ln>
              <a:noFill/>
            </a:ln>
            <a:effectLst/>
          </c:spPr>
          <c:invertIfNegative val="0"/>
          <c:cat>
            <c:strRef>
              <c:f>'Pivot Monitoring Perpanjangan'!$A$5:$A$11</c:f>
              <c:strCache>
                <c:ptCount val="6"/>
                <c:pt idx="0">
                  <c:v>ATTENTION</c:v>
                </c:pt>
                <c:pt idx="1">
                  <c:v>CRITICAL</c:v>
                </c:pt>
                <c:pt idx="2">
                  <c:v>LOSS</c:v>
                </c:pt>
                <c:pt idx="3">
                  <c:v>ON TRACK</c:v>
                </c:pt>
                <c:pt idx="4">
                  <c:v>WARNING</c:v>
                </c:pt>
                <c:pt idx="5">
                  <c:v>(blank)</c:v>
                </c:pt>
              </c:strCache>
            </c:strRef>
          </c:cat>
          <c:val>
            <c:numRef>
              <c:f>'Pivot Monitoring Perpanjangan'!$E$5:$E$11</c:f>
              <c:numCache>
                <c:formatCode>General</c:formatCode>
                <c:ptCount val="6"/>
                <c:pt idx="1">
                  <c:v>6</c:v>
                </c:pt>
                <c:pt idx="2">
                  <c:v>1</c:v>
                </c:pt>
              </c:numCache>
            </c:numRef>
          </c:val>
          <c:extLst>
            <c:ext xmlns:c16="http://schemas.microsoft.com/office/drawing/2014/chart" uri="{C3380CC4-5D6E-409C-BE32-E72D297353CC}">
              <c16:uniqueId val="{0000000B-C50E-4689-8E48-BAA244059CD1}"/>
            </c:ext>
          </c:extLst>
        </c:ser>
        <c:dLbls>
          <c:showLegendKey val="0"/>
          <c:showVal val="0"/>
          <c:showCatName val="0"/>
          <c:showSerName val="0"/>
          <c:showPercent val="0"/>
          <c:showBubbleSize val="0"/>
        </c:dLbls>
        <c:gapWidth val="180"/>
        <c:overlap val="-30"/>
        <c:axId val="1016008711"/>
        <c:axId val="1016551943"/>
      </c:barChart>
      <c:catAx>
        <c:axId val="10160087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Monitoring Perpanjangan Sewa/Kontrak</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551943"/>
        <c:crosses val="autoZero"/>
        <c:auto val="1"/>
        <c:lblAlgn val="ctr"/>
        <c:lblOffset val="100"/>
        <c:noMultiLvlLbl val="0"/>
      </c:catAx>
      <c:valAx>
        <c:axId val="1016551943"/>
        <c:scaling>
          <c:orientation val="minMax"/>
          <c:max val="1800"/>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Monitoring Perpanjangan Sewa/Kontrak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6008711"/>
        <c:crosses val="autoZero"/>
        <c:crossBetween val="between"/>
        <c:majorUnit val="15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1638299</xdr:colOff>
      <xdr:row>5</xdr:row>
      <xdr:rowOff>28574</xdr:rowOff>
    </xdr:from>
    <xdr:to>
      <xdr:col>12</xdr:col>
      <xdr:colOff>85725</xdr:colOff>
      <xdr:row>22</xdr:row>
      <xdr:rowOff>57150</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385202</xdr:colOff>
      <xdr:row>12</xdr:row>
      <xdr:rowOff>44075</xdr:rowOff>
    </xdr:from>
    <xdr:to>
      <xdr:col>16</xdr:col>
      <xdr:colOff>73772</xdr:colOff>
      <xdr:row>26</xdr:row>
      <xdr:rowOff>120741</xdr:rowOff>
    </xdr:to>
    <xdr:graphicFrame macro="">
      <xdr:nvGraphicFramePr>
        <xdr:cNvPr id="5" name="Chart 4">
          <a:extLst>
            <a:ext uri="{FF2B5EF4-FFF2-40B4-BE49-F238E27FC236}">
              <a16:creationId xmlns:a16="http://schemas.microsoft.com/office/drawing/2014/main" i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464297</xdr:colOff>
      <xdr:row>87</xdr:row>
      <xdr:rowOff>70503</xdr:rowOff>
    </xdr:from>
    <xdr:to>
      <xdr:col>31</xdr:col>
      <xdr:colOff>350371</xdr:colOff>
      <xdr:row>101</xdr:row>
      <xdr:rowOff>146703</xdr:rowOff>
    </xdr:to>
    <xdr:graphicFrame macro="">
      <xdr:nvGraphicFramePr>
        <xdr:cNvPr id="6" name="Chart 5">
          <a:extLst>
            <a:ext uri="{FF2B5EF4-FFF2-40B4-BE49-F238E27FC236}">
              <a16:creationId xmlns:a16="http://schemas.microsoft.com/office/drawing/2014/main" id="{00000000-0008-0000-0600-000006000000}"/>
            </a:ext>
            <a:ext uri="{147F2762-F138-4A5C-976F-8EAC2B608ADB}">
              <a16:predDERef xmlns:a16="http://schemas.microsoft.com/office/drawing/2014/main" pred="{00000000-0008-0000-06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143435</xdr:colOff>
      <xdr:row>90</xdr:row>
      <xdr:rowOff>21852</xdr:rowOff>
    </xdr:from>
    <xdr:to>
      <xdr:col>19</xdr:col>
      <xdr:colOff>474008</xdr:colOff>
      <xdr:row>104</xdr:row>
      <xdr:rowOff>98052</xdr:rowOff>
    </xdr:to>
    <xdr:graphicFrame macro="">
      <xdr:nvGraphicFramePr>
        <xdr:cNvPr id="10" name="Chart 9">
          <a:extLst>
            <a:ext uri="{FF2B5EF4-FFF2-40B4-BE49-F238E27FC236}">
              <a16:creationId xmlns:a16="http://schemas.microsoft.com/office/drawing/2014/main" id="{00000000-0008-0000-0600-00000A000000}"/>
            </a:ext>
            <a:ext uri="{147F2762-F138-4A5C-976F-8EAC2B608ADB}">
              <a16:predDERef xmlns:a16="http://schemas.microsoft.com/office/drawing/2014/main" pre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438150</xdr:colOff>
      <xdr:row>16</xdr:row>
      <xdr:rowOff>57150</xdr:rowOff>
    </xdr:from>
    <xdr:to>
      <xdr:col>5</xdr:col>
      <xdr:colOff>123825</xdr:colOff>
      <xdr:row>30</xdr:row>
      <xdr:rowOff>133350</xdr:rowOff>
    </xdr:to>
    <xdr:graphicFrame macro="">
      <xdr:nvGraphicFramePr>
        <xdr:cNvPr id="5" name="Chart 4" descr="Chart type: Clustered Bar. 'Monitoring Perpanjangan Sewa/Kontrak' by 'Monitoring Perpanjangan Sewa/Kontrak' and 'Status'&#10;&#10;Description automatically generated">
          <a:extLst>
            <a:ext uri="{FF2B5EF4-FFF2-40B4-BE49-F238E27FC236}">
              <a16:creationId xmlns:a16="http://schemas.microsoft.com/office/drawing/2014/main" id="{A695F587-748D-3A29-43D1-9F7ADFE608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iconpln-my.sharepoint.com/personal/satriyo_io_iconpln_co_id/Documents/0.%20DATA%20KANTOR/JAKBAN/1.%20PERIJINAN/00%20Draft%20dan%20Template/TO-up%20Anggaran/Format%20perhitungan%20kebutuhan%20Anggaran.xlsx" TargetMode="External"/><Relationship Id="rId1" Type="http://schemas.openxmlformats.org/officeDocument/2006/relationships/externalLinkPath" Target="https://iconpln-my.sharepoint.com/personal/satriyo_io_iconpln_co_id/Documents/0.%20DATA%20KANTOR/JAKBAN/1.%20PERIJINAN/00%20Draft%20dan%20Template/TO-up%20Anggaran/Format%20perhitungan%20kebutuhan%20Anggara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RX6_V-bXeEGcl1ICshH2Md_5egQtkTBGtrkDaTPwqQnhrzFG12e_Q5UDWl5gVMBO" itemId="01NERNSTCXQU5FF7NOTRBJUMQQITBKX5LK">
      <xxl21:absoluteUrl r:id="rId2"/>
    </xxl21:alternateUrls>
    <sheetNames>
      <sheetName val="Resume Kebutuhan"/>
      <sheetName val="Colocation - Cross Connect"/>
      <sheetName val="Interkoneksi"/>
      <sheetName val="Interkoneksi 2026"/>
    </sheetNames>
    <sheetDataSet>
      <sheetData sheetId="0"/>
      <sheetData sheetId="1"/>
      <sheetData sheetId="2"/>
      <sheetData sheetId="3">
        <row r="27">
          <cell r="E27" t="str">
            <v>Eksisting</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Tampilan1" id="{FB943640-C626-4D1B-9A0E-08601A46575F}">
    <nsvFilter filterId="{00000000-0009-0000-0100-000001000000}" ref="A1:AT3124" tableId="1">
      <sortRules>
        <sortRule colId="0" id="{00000000-0010-0000-0300-000001000000}">
          <sortCondition ref="A1:A3124"/>
        </sortRule>
      </sortRules>
    </nsvFilter>
  </namedSheetView>
</namedSheetView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i Muchtamar" refreshedDate="45541.661814004627" createdVersion="6" refreshedVersion="6" minRefreshableVersion="3" recordCount="1904" xr:uid="{00000000-000A-0000-FFFF-FFFF0C000000}">
  <cacheSource type="worksheet">
    <worksheetSource name="Table1"/>
  </cacheSource>
  <cacheFields count="42">
    <cacheField name="No" numFmtId="0">
      <sharedItems containsSemiMixedTypes="0" containsString="0" containsNumber="1" containsInteger="1" minValue="1" maxValue="1904"/>
    </cacheField>
    <cacheField name="Pengelola" numFmtId="0">
      <sharedItems count="553">
        <s v="Bit Teknologi Nusantara"/>
        <s v="Duta Pertiwi"/>
        <s v="Graha Inti Fauzi"/>
        <s v="Graha Pena Jawa Pos"/>
        <s v="Karyagraha Nusantara"/>
        <s v="CBN Nusantara"/>
        <s v="Metropolitan Kencana"/>
        <s v="Centrin Online Prima "/>
        <s v="Media Nusantara Data Global"/>
        <s v="DCI Indonesia"/>
        <s v="Perhimpunan Penghuni Menara Kadin"/>
        <s v="Jakarta Sinarn Intertrade"/>
        <s v="Aston Inti Makmur"/>
        <s v="Penghuni Crown Court Executive Cond"/>
        <s v="PT Indointernet"/>
        <s v="Karunia Mega Perkasa"/>
        <s v="Sigma Cipta Cakara"/>
        <s v="Circlecom Nusantara Indonesia"/>
        <s v="Biznet Data Center"/>
        <s v="Serpong Mas Telematika"/>
        <s v="PT NTT Indonesia Nexcenter"/>
        <s v="PT Sampoerna Land "/>
        <s v="Phinisindo Zamrud Nusantara"/>
        <s v="PT Media Nusantara Data Global"/>
        <s v="PT Sanggar Mustika Indah"/>
        <s v="PT PC24 Telekomunikasi Indonesia"/>
        <s v="Pelabuhan Indonnesia II (PERSERO), P"/>
        <s v="Pelabuhan Indonnesia II (PERSERO"/>
        <s v="MORA TELEMATIKA INDONESIA "/>
        <s v="DCI Indonesia "/>
        <s v="Indointernet,PT"/>
        <s v="P3SRS THE CITY TOWER,PT"/>
        <s v="Agung Sedayu Propertindo, PT"/>
        <s v="Graha Pratama Joint Operation"/>
        <s v="CBN Nusantara, PT"/>
        <s v="DUTA PERTIWI, PT"/>
        <s v="Sigma Cipta Caraka, PT"/>
        <s v="Karyagraha Nusantara, PT"/>
        <s v="WIRATARA PRIMA, PT "/>
        <s v="Serpong Mas Telematika, PT"/>
        <s v="PRESTASI PIRANTI INFORMASI, PT"/>
        <s v="LOKA AMAPANG INDAH REALTY, PT"/>
        <s v="Indointernet, PT"/>
        <s v="PC 24 TELEKOMUNIKASI INDONESIA, PT"/>
        <s v="Internetindo Data"/>
        <s v="Karyagraha Nusantara ,PT"/>
        <s v="Teknovatus Solusi Sejahtera,PT "/>
        <s v="NTT INDONESIA SOLUTIONS,PT"/>
        <s v="Biznet Data Center,PT"/>
        <s v="Praja Puri indah Real Estate,PT "/>
        <s v="Bit Teknologi Nusantara,PT "/>
        <s v="Perwira Margasakti,PT "/>
        <s v="Loka Mampang indah Realty,PT"/>
        <s v="CBN Nusantara,PT"/>
        <s v="Bizne Data Center,PT"/>
        <s v="BPJS KETENAGAKERJAAN "/>
        <s v="PT.NTT INDONESIA NEXCENTER"/>
        <s v="Sigma cipta caraka,PT"/>
        <s v="PT NTT INDONESIA NEXCENTER "/>
        <s v="Teknovatus Solusi Sejahtera, PT"/>
        <s v="Perhimpunan Menara Karya"/>
        <s v="Biznet Data Center, PT"/>
        <s v="Media Nusantara Data Global, PT"/>
        <s v="Praja Puri Indah Real Estate, PT"/>
        <s v="Data sinergitama Jaya, PT"/>
        <s v="PT. NTT INDONESIA NEXCENTER "/>
        <s v="Sarana Titan Manunggal"/>
        <s v="PT Samudra Data Indonesia"/>
        <s v="SMARTFREN TELECOM, PT"/>
        <s v="DCI  Indonesia "/>
        <s v="PC24 Telekomunikasi Indonesia"/>
        <s v="Media Nusantara Data Global "/>
        <s v="Visionet Data International"/>
        <s v="Sigma Cipta Caraka "/>
        <s v="Biznet"/>
        <s v="Indointernet"/>
        <s v="Envision"/>
        <s v="PT Hadisurjo Propertama"/>
        <s v="Global Pahala Jasatama"/>
        <s v="Aplikanusa Lintasarta"/>
        <s v="Penghimpun Penghuni Menara Karya"/>
        <s v="Circlecom Nusantara"/>
        <s v="Biznet DataCenter"/>
        <s v="Zainal Johamsa "/>
        <s v="NTT Indonesia Solutions"/>
        <s v="Arthamas Solusindo"/>
        <s v="Lekom Maras"/>
        <s v="Karyagraha Nusantara "/>
        <s v="Pusat Pengelola Komplek Kemayoran"/>
        <s v="Persatuan Penghuni Perkantoran Plaz"/>
        <s v="Infrastruktur Cakrawala Telekomunikasi"/>
        <s v="PT Sigma Cipta Caraka "/>
        <s v="Mora Telematika Indonesia"/>
        <s v="PT Reksa Griya Antam"/>
        <s v="PT Turun Temurun Makmur Sejahtera"/>
        <s v="Asosiasi Penyelenggara Jasa Interne"/>
        <s v="The East Building "/>
        <s v="PT Anpa International  "/>
        <s v="Graha Niaga Tata Utama "/>
        <s v="PT Global Pahala Jasatama"/>
        <s v="PT Phinisindo Zanrud Nusantara"/>
        <s v="PT Teknovatus Solusi Sejahtera"/>
        <s v="PT Teknologi Nusantara "/>
        <s v="PT Omega Propertindo"/>
        <s v="PT Karyagraha Nusantara"/>
        <s v="PT Caltumas Kelola Sukses"/>
        <s v="PT Jaya Land"/>
        <s v="PT Biznet Data Center"/>
        <s v="PT Aplikanusa Lintasarta "/>
        <s v="PT Royal Oriental"/>
        <s v="PT Cakra Nusa Utama"/>
        <s v="PT Patra Jasa Office Tower"/>
        <s v="PT NTT Indonesia Solutions"/>
        <s v="Infrastruktur Bina Sejahtera"/>
        <s v="PT Indosat Tbk "/>
        <s v="PT XL Axiata Tbk"/>
        <s v="Infrastruktur Cakrawala Telekomunika"/>
        <s v="PT CBN Nusantara"/>
        <s v="PT Bit Teknologi Nusantara"/>
        <s v="PT Karyagraha Nusantara "/>
        <s v="PT Cyberindo Aditama"/>
        <s v="PT Circlecom Nusantara Indonesia"/>
        <s v="PT Agung Sedayu Propertinndo"/>
        <s v="PT Duta Pertiwi "/>
        <s v="The East Building"/>
        <s v="Pusat Pengelolaan Komplek Kemayoran"/>
        <s v="PT Artha Telekomindo"/>
        <s v="Infrastruktur Bisnis Sejahtera"/>
        <s v="Asosiasi Penyelenggara Jasa Internet"/>
        <s v="PT Integra Kreasitama Solusindo "/>
        <s v="PT Aplikanusa Lintasarta"/>
        <s v="Dinamika Raya Prima"/>
        <s v="PT Link Net"/>
        <s v="PT Bali Towerindo Sentra Tbk"/>
        <s v="PT Marmitria Land"/>
        <s v="PT Internetindo Data"/>
        <s v="PT Hipernet Indodata"/>
        <s v="Crisis Menara Permai"/>
        <s v="PT Anpa International "/>
        <s v="PT Phinisindo Zamrud Nusantara"/>
        <s v="PT Aplikasinusa Lintasarta"/>
        <s v="PT Telekomunikasi Indonesia"/>
        <s v="PT CBN Nusanatara"/>
        <s v="PT Sigma Cipta Caraka"/>
        <s v="PT Sunvone Communication "/>
        <s v="PT Serpong Mas Telematika "/>
        <s v="PT Indosat Tbk"/>
        <s v="PT Jaya Land "/>
        <s v="APJII"/>
        <s v="PT Mora Telematika Indonesia"/>
        <s v="PT MNC Kabel Mediacom"/>
        <s v="PT Prestasi Piranti Informasi"/>
        <s v="PT Dinamika Raya Prima "/>
        <s v="Perhimpun Penghuni Menara Karya"/>
        <s v="Alfa Gold Land Realty"/>
        <s v="Dinamika Raya Prima "/>
        <s v="PT Bumi Serpong Damai "/>
        <s v="Metropolitan Kencana Tbk"/>
        <s v="Agung Sedayu Propertindo"/>
        <s v="Sigma Cipta Caraka"/>
        <s v="Samadista Karya"/>
        <s v="Link Net"/>
        <s v="Internetindo Data Centra Indonesia"/>
        <s v="Prestasi Piranti Informasi"/>
        <s v="Grya Catur Abadi"/>
        <s v="Iforte Solusi Infotek"/>
        <s v="Mandiri Andal Sejahtera"/>
        <s v="PC 24 Telekomunikasi Indonesia"/>
        <s v="Serpong Mas Telematika "/>
        <s v="Power Telecom"/>
        <s v="Tektovanus Solusi Sejahtera"/>
        <s v="Dwi Tunggal Putra"/>
        <s v="Smartfren Telecom Tbk"/>
        <s v="Senayan Trikarya Sempana"/>
        <s v="Persatuan Penghuni Perkantoran Plaz "/>
        <s v="Dinamika Raya Prima, PT"/>
        <s v="PELABUHAN INDONESIA II, PT (PERSERO)"/>
        <s v="Omega Propertindo, PT"/>
        <s v="Grahalestari Ciptakencana,PT"/>
        <s v="Indosat Tbk, PT"/>
        <s v="PT Rekajasa Akses"/>
        <s v="Aston Inti Makmur, PT "/>
        <s v="Detik Ini Juga, PT"/>
        <s v="Link Net, PT"/>
        <s v="Hipernet Indodata, PT "/>
        <s v="PT. NTT INDONESIA NEXCENTER"/>
        <s v="CYBERINDO ADITAMA, PT "/>
        <s v="Sigma Cipta Caraka, PT "/>
        <s v="Zota Indonesia, PT"/>
        <s v="Fauzi Panca Manunggal, PT"/>
        <s v="Graha Niaga Tata Utama"/>
        <s v="IFORTE SOLUSI INFOTEK, PT"/>
        <s v="Jala Lintas Media,PT "/>
        <s v="INFRASTRUKTUR CAKRAWALA TELEKOMUNIK WTP Building"/>
        <s v="Media Nusantara Data Global ,PT "/>
        <s v="Maspion,PT "/>
        <s v="Sampoerna Land,PT"/>
        <s v="CBN Nusantara,PT "/>
        <s v="PC 24 TELEKOMUNIKASI INDONESIA, PT "/>
        <s v="Fastel Sarana Indonesia, PT "/>
        <s v="Restyle Development,PT "/>
        <s v="CIRCLECOM NUSANTARA INDONESIA,PT "/>
        <s v="Dinamika Raya prima,PT"/>
        <s v="DUTA PERTIWI,PT"/>
        <s v="Phisindo Zamrud Nusantara,PT "/>
        <s v="Jakarta sinar intertrade,PT "/>
        <s v="MEGA TELEKOMUNIKASI INDONESIA,PT"/>
        <s v="Link Net,PT"/>
        <s v="Prima wira utama, PT "/>
        <s v="Graha Anugerah sejahtera,PT"/>
        <s v="Sukses kelole persada,PT"/>
        <s v="Biznet Data center,PT  "/>
        <s v="Centrin online prima,PT"/>
        <s v="P3SRSBH Multivision Tower "/>
        <s v="Telekomunikasi Indonesia Tbk,PT"/>
        <s v="PT INTI BANGUN SEJAHTERA,TBK"/>
        <s v="Plaza adika lestari "/>
        <s v="INFRASTRUKTUR CAKRAWALA TELEKOMUNIK"/>
        <s v="Hipernet Indodata, PT"/>
        <s v="Aplikanusa Lintasarta, PT"/>
        <s v=" CIRCLECOM NUSANTARA INDONESIA, PT"/>
        <s v="BPJS KETENAGAKERJAAN (JAMSOSTEK)"/>
        <s v="MULTIKONTROL NUSANTARA, PT"/>
        <s v="Plaza Andika Lestari"/>
        <s v="INTERSHOP PRIMA CENTER, PT"/>
        <s v="CYBERINDO ADITAMA, PT"/>
        <s v="PERWITA MARGASAKTI, PT"/>
        <s v="Nettocyber Indonesia, PT"/>
        <s v="KARYAGRAHA NUSANTARA, PT "/>
        <s v="CATURMAS KELOLA SUKSES, PT"/>
        <s v="GRAHA PENA JAWA POS, PT"/>
        <s v="MEGA AKSES PERSADA, PT "/>
        <s v="MAKMUR JAYA SERASI, PT"/>
        <s v="CENTRALINDO PANCA SAKTI, PT"/>
        <s v="TURUN TEMURUN MAKMUR SEJAHTERA, PT"/>
        <s v="Karunia Megah Perkasa, PT "/>
        <s v="XL AXIATA Tbk, PT"/>
        <s v="TELEKOMUNIKASI INDONESIA Tbk, PT"/>
        <s v="FASTEL SARANA INDONESIA, PT"/>
        <s v="AKSES PRIMA INDONESIA, PT"/>
        <s v="Plaza Adika Lestari"/>
        <s v="CENTRIN ONLINE PRIMA, PT"/>
        <s v="PERSEKUTUAN DAN PERKUMPULAN"/>
        <s v="JAKARTA INDUSTRIAL ESTATE PULOGADUNG"/>
        <s v="PT INTI BANGUN SEJAHTERA, TBK "/>
        <s v="LOKA MAMPANG INDAH REALTY, PT"/>
        <s v="INDONET"/>
        <s v="MARMITRIA LAND, PT"/>
        <s v="JAKARTA INFRASTRUKTUR PROPERTINDO"/>
        <s v="BPJS KETENAGAKERJAAN (JAMSOSTEK) "/>
        <s v="Jakael invesco,PT"/>
        <s v="PELABUHAN INDONESIA II (PERSERO)"/>
        <s v="Telekomunikasi indonesia Tbk PT"/>
        <s v="Kawasan berikat Nusantara,PT "/>
        <s v="Teknovatus solusi sejahtera,PT"/>
        <s v="PLN (Persero) Dist.Jaya AP Bulungan"/>
        <s v="CYBERINDO ADITAMA,PT"/>
        <s v="Jakarta industrual Estate Pulogadung"/>
        <s v="DWI TUNGGAL PUTRA,PT"/>
        <s v="Aplikanusa Lintasarta,PT"/>
        <s v="ENVISION,PT"/>
        <s v="internetindo Data "/>
        <s v="Senayan Trikarya sempana,PT "/>
        <s v="SAMADISTA KARYA, PT"/>
        <s v="Bit Teknologi Nusantara, PT"/>
        <s v="GentaMulia Infra  - Hecho Putra Mandiri"/>
        <s v="Artha Telekomindo, PT"/>
        <s v="Hipernet Indodata,PT"/>
        <s v="Supra Pritama Nusantara, PT"/>
        <s v="Graha Anugerah Sejahtera, PT "/>
        <s v="Menara Thamrin, PT "/>
        <s v="Phinisindo Zamrud Nusantara, PT"/>
        <s v="Alfa Gold Land Realty, PT"/>
        <s v="Fauzi Panca Manunggal, PT "/>
        <s v="Dwi Tunggal Putra, PT"/>
        <s v="Hipernet Indonesia"/>
        <s v="Detik Ini Juga"/>
        <s v="XL Axiata Tbk"/>
        <s v="Caturmas Kelola Sukses "/>
        <s v="Infrastruktur CakrawalaTelekomunikasi"/>
        <s v="CBN Nusantara "/>
        <s v="Nettocyber Indonesia"/>
        <s v="PT Dwi Tunggal Putra"/>
        <s v="Nusa Kirana Real Estate"/>
        <s v="PT Power Telecom"/>
        <s v="Kelola Graha Vinilon"/>
        <s v="Centrin Online Prima"/>
        <s v="Mekar Prana Indah"/>
        <s v="Royal Oriental"/>
        <s v="Zota Indonesia"/>
        <s v="PT Biru Hijau"/>
        <s v="Cyberindo Aditama"/>
        <s v="Fastel Sarana Indonesia"/>
        <s v="Dwi Tunggal Putra "/>
        <s v="PT Duta Pertiwi"/>
        <s v="Botika Teknologi Indonesia"/>
        <s v="Integra Kreasitama Solusindo"/>
        <s v="Jekael Invesco"/>
        <s v="PT Menara Antam Sejahtera"/>
        <s v="Bahanasemesta Citranusantara"/>
        <s v="Global Pahala Jasatama "/>
        <s v="Infranstruktur Cakrawala Telekomunikasi "/>
        <s v="PT Detik Ini Juga"/>
        <s v="PT Supra Primatama Nusantara"/>
        <s v="PT Dinamika Raya Prima"/>
        <s v="PT Intershop Prima Center"/>
        <s v="PT Bumi Serpong Damai Tbk"/>
        <s v="PT Megah Pratama Sejahtera"/>
        <s v="PT Swadaya Panduartha"/>
        <s v="Zainal Johamsa"/>
        <s v="P3SRSBH Multivision Tower"/>
        <s v="PT Pelabuhan Indonesia "/>
        <s v="PT Solusi Jasa Teknologi"/>
        <s v="PT Samudra Data Indonesia "/>
        <s v="PT Bright Honey Lady "/>
        <s v="PT Oleos Kirana Pratama"/>
        <s v="Infrastruktur Cakrawala Telekomnika"/>
        <s v="PT Parsaoran Global Datarans"/>
        <s v="PT Serpong Mas Telematika"/>
        <s v="PT Menara Thamrin"/>
        <s v="PT Grahalestari Ciptakencana"/>
        <s v="PT KAI Commuter Jabodetabek"/>
        <s v="Sampoerna Land"/>
        <s v="PT Kawasan Berikat Nusantara"/>
        <s v="PT Solusi Data Cepat"/>
        <s v="PT Gobel Dharma Nusantara"/>
        <s v="PT Cablenet Fiber Data"/>
        <s v="PT Jakarta Sinar Intertrade"/>
        <s v="PT Sokka Tama Fiber"/>
        <s v="PT Nettocyber Indonesia "/>
        <s v="PT Graha Telekomunikasi Indonesia"/>
        <s v="PT Global Teknologi Teraindo"/>
        <s v="PT Ekagrata Data Gemilang"/>
        <s v="PT Jakael Invesco"/>
        <s v="PT Jakarta Land"/>
        <s v="Adhi Persada +B2:C1290Properti "/>
        <s v="Agung Sedayu Propertindo / Badan Pengelola Harco Mangga Dua"/>
        <s v="Alfa Gold Land Realty "/>
        <s v="Alpena Bakti Karya "/>
        <s v="Anpa International "/>
        <s v="Aplikanusa Lintasarta "/>
        <s v="Aristi Jasadata  (Serpong Tatanan Kota Estate Management)"/>
        <s v="Asosiasi penyelenggara Jasa Internet Indonesia (APJII)"/>
        <s v="Aston Inti Makmur "/>
        <s v="Kawasan Lintas Biru Digital"/>
        <s v="Bahanasemesta Citranusantara "/>
        <s v="Balai Sidang Jakarta Convention Center /  Graha Sidang Pratama"/>
        <s v="Bali Towerindo Sentra "/>
        <s v="Bangun Cia Karya Perkasa "/>
        <s v="Binajasa Abadikarya  (Bijak)/Jamsostek /BPJS KetenagaKerjaan/ Jekael Invesco"/>
        <s v="Binapratama Sakatojaya "/>
        <s v="Biru Hijau "/>
        <s v="Bit Teknologi Nusantara "/>
        <s v="Botika Teknologi Indonesia "/>
        <s v="Bright Honey Lady "/>
        <s v="Bumi Serpong Damai "/>
        <s v="Cakra Nusa Utama "/>
        <s v="Circlecom Nusantara Indonesia "/>
        <s v="Cricis Center Menara Permai "/>
        <s v="Data Sinergitama Jaya /Elitery"/>
        <s v="Dunia Virtual Online"/>
        <s v="Duta Merlin "/>
        <s v="Duta Parahyangan Lestari "/>
        <s v="Duta Pertiwi "/>
        <s v="Ekagrata Data Gemilang"/>
        <s v="Envision "/>
        <s v="Fauzi Panca Manunggal"/>
        <s v="Five Pillars Indonesia Office Park "/>
        <s v="Garama Dhanalaksmi"/>
        <s v="GentaMulia Infra  - Hecho Putra Mandiri "/>
        <s v="Gobel Dharma Nusantara "/>
        <s v="Graha Pena Jawa Pos "/>
        <s v="Grahalestari Ciakencana "/>
        <s v="Griya Kirana Properti"/>
        <s v="Grya Catur Abadi "/>
        <s v="Grya Mekar Abadi"/>
        <s v="Hadisurjo Propertama "/>
        <s v="Indonesia Net Teknologi"/>
        <s v="IDC (Internetindo Data Centra Indonesia) "/>
        <s v="Indointernet "/>
        <s v="Indosat Mega Media "/>
        <s v="Indosat Tbk "/>
        <s v="Infra Solusindo"/>
        <s v="Infra Yes Solusindo"/>
        <s v="Insan Asia Nusantara "/>
        <s v="Intershop Prima Center "/>
        <s v="Jakarta Golden Landmark "/>
        <s v="Jakarta Industrial Estate Pulogadung (Persero) (JIEP) "/>
        <s v="Jakarta Infrastruktur Propertindo "/>
        <s v="Jakarta Land (WTC)"/>
        <s v="Jakarta Sinar Intertrade "/>
        <s v="Jaya Land "/>
        <s v="Jaya Real Property "/>
        <s v="Jekael Invesco "/>
        <s v="KAI Commuter Jabodetabek"/>
        <s v="Karunia Megah Perkasa "/>
        <s v="Kawasan Berikat Nusantara"/>
        <s v="Kelola Graha Vinilon "/>
        <s v="Kereta Api Indonesia  (Persero) Daerah Operasi I"/>
        <s v="Krakatau Industrial Estate "/>
        <s v="Krakatau Sarana Properti "/>
        <s v="Lantamal III"/>
        <s v="Loka Mampang Indah Realty "/>
        <s v="Makmur Jaya Serasi  berubah menjadi Mandiri Andal Sejahtera"/>
        <s v="Marmitria Land "/>
        <s v="Maspion "/>
        <s v="Matra Olah Cipta "/>
        <s v="Mega Akses Persada "/>
        <s v="Mega Telekomunikasi Indonesia"/>
        <s v="Megah Agung Lestari "/>
        <s v="Megah Pratama Sejahtera"/>
        <s v="Mekar Prana Indah "/>
        <s v="Menara Antam Sejahtera "/>
        <s v="Menara Capital Indonusa "/>
        <s v="Menara Thamrin"/>
        <s v="Metropolitan Kentjana Tbk "/>
        <s v="NTT Indonesia "/>
        <s v="Oleos Kirana Pratama "/>
        <s v="Omega Propertindo "/>
        <s v="P3SRS Bukan Hunian Multivision Tower"/>
        <s v="P3SRS The City Tower"/>
        <s v="Patra Jasa Office Tower Jakarta "/>
        <s v="Patra Jasa "/>
        <s v="Patra Jasa Residential "/>
        <s v="PC 24 Telekomunikasi Indonesia "/>
        <s v="PCDC Propco One "/>
        <s v="PD Pasar Jaya "/>
        <s v="Pelabuhan Indonesia II  (Persero)/PELINDO II"/>
        <s v="Pembangkitan Jawa Bali "/>
        <s v="Perhimpunan Penghuni Menara Batavia"/>
        <s v="Perhimpunan Penghuni Menara Karya"/>
        <s v="Persatuan Penghuni _x000a_ Perkantoran Plaza"/>
        <s v="Perwita Margasakti "/>
        <s v="Phinisindo Zamrud Nusantara "/>
        <s v="PLN (Persero) Dist JAYA AP Bandengan"/>
        <s v="PLN (Persero) Dist JAYA AP Bulungan"/>
        <s v="PP Crown Court Executive Condominium"/>
        <s v="Praja Puri Indah Real Estate "/>
        <s v="Prima Wira Utama "/>
        <s v="Princeton Digital Group Data Centre"/>
        <s v=" Akses Prima Indonesia"/>
        <s v="Arka Data Primatama "/>
        <s v="Artha Telekomindo  "/>
        <s v="Arthamas Cia "/>
        <s v="Cablenet Fiber Data "/>
        <s v="Cyberindo Aditama "/>
        <s v=" Cyberindo Aditama"/>
        <s v="Detik Ini Juga "/>
        <s v=" Fastel Sarana Indonesia"/>
        <s v="Fastel Sarana Indonesia "/>
        <s v="Global Teknologi Teraindo "/>
        <s v="Graha Telekomunikasi Indonesia "/>
        <s v=" Hipernet Indodata"/>
        <s v="Hipernet Indodata "/>
        <s v="Iforte Solusi Infotek "/>
        <s v=" IndoInternet"/>
        <s v="Indosat, Tbk"/>
        <s v=" Integra Kreasitama Solusindo"/>
        <s v=" Internetwork Komunikasi Indonesia"/>
        <s v="Inti Bangun Sejahtera TBK"/>
        <s v="Jala Lintas Media  "/>
        <s v=" Link Net"/>
        <s v="Link Net "/>
        <s v="MNC Kabel Mediacom "/>
        <s v="Multi Kontrol Nusantara "/>
        <s v="Multi Kontrol Sejahtera "/>
        <s v=" Nettocyber Indonesia"/>
        <s v=" PC24 Telekomunikasi Indonesia"/>
        <s v="PC24 Telekomunikasi Indonesia "/>
        <s v=" Power Telecom"/>
        <s v=" Prestasi Piranti Informasi"/>
        <s v="Prestasi Piranti Informasi "/>
        <s v=" Rekajasa Akses"/>
        <s v=" Smartfren Telecom TBK"/>
        <s v=" Sunvone Communication"/>
        <s v="Supra Primatama Nusantara (Biznet Networks) "/>
        <s v="Supra Primatama Nusantara (Biznet Networks)"/>
        <s v="Telkom Indonesia "/>
        <s v=" Telkom Indonesia"/>
        <s v="Telkom Indonesia Tbk "/>
        <s v="Trans Hybrid Communication "/>
        <s v=" Trans Indonesia Sueprkoridor"/>
        <s v=" Trimitra Usaha Sejahtera"/>
        <s v=" Wifiku Indonesia"/>
        <s v=" XL Axiata, Tbk "/>
        <s v="KAI Commuter Jabodetabek "/>
        <s v="Pusat Pengelolaan Komplek Gelora Bung Karno"/>
        <s v="Reksa Griya Antam "/>
        <s v="Restyle Development "/>
        <s v="Royal Oriental "/>
        <s v="Sampoerna Land "/>
        <s v="Samudra Data Indonesia"/>
        <s v="Sanggar Mustika Indah "/>
        <s v="Sanggarcipta Kreasitama "/>
        <s v="Sarana Titan Manunggal "/>
        <s v="Sekretariat Negara RI Pusat Pengelolaan Komplek Kemayoran (PPKK)"/>
        <s v="Sokka Tama Fiber "/>
        <s v="Solusi Data Cepat "/>
        <s v="Solusi Jasa Teknologi "/>
        <s v="Sucofindo  (Persero)"/>
        <s v="Sukses Kelola Persada "/>
        <s v="Supermal Karawaci "/>
        <s v="Swadaya Panduartha  - Belantik Prodjo CV "/>
        <s v="Teknovatus Solusi Sejahtera "/>
        <s v="Telekomunikasi Indonesia "/>
        <s v="Telkom Data Ekosistem "/>
        <s v="Tempo Realty"/>
        <s v="Tifa Arum Realty"/>
        <s v="Turun Temurun Makmur Sejahtera "/>
        <s v="Wardono Asnim"/>
        <s v="Wiratara Prima "/>
        <s v="Yayasan Pendidikan Islam_x000a_ Al - Isti'aanah"/>
        <s v="PGAS Telekomunikasi Nusantara "/>
        <s v="Telnusa Intrakom "/>
        <s v="Supra Primatama Nusantara "/>
        <s v="Lahan Berikat Nusantara"/>
        <s v="Graha Multimedia Nusantara "/>
        <s v="Jala Lintas Media "/>
        <s v="Tunas Perkasa Propertindo "/>
        <s v="Kawasan Lintas Biru Digital "/>
        <s v="Fiber Media Indonesia "/>
        <s v="Indo Internet  "/>
        <s v="Bumi Daya Plaza "/>
        <s v="Badan Kerjasama Graha Pratama"/>
        <s v="Arthamas Solusindo "/>
        <s v="PT Mega Telekomunikasi Indonesia"/>
        <s v="PT Megalopolis Manunggal"/>
        <s v="PT Prospero Realty"/>
        <s v="PT Api Metra Graha"/>
        <s v="PT Wisma keiai Indonesia"/>
        <s v="PT Netciti Persada"/>
        <s v="PT Jasa Prima Anugrah Abadi"/>
        <s v="PT Puriampera Intipratama"/>
        <s v="PT Jejaring Ultra Prima"/>
        <s v="PT Krakatau Information Technology"/>
        <s v="PT Centra Sarana Data"/>
        <s v="PT Patra Jasa"/>
        <s v="PT Binapratama Sakatojaya"/>
        <s v="PT AMSL INDONESIA"/>
        <s v="PT Kurnadi Abadi "/>
        <s v="PT Higo Fitur Indonesia"/>
        <s v="Rizki Lancar Sentosa"/>
        <s v="Telkom Data Ekosistem"/>
        <s v="Wisma Benhil"/>
        <s v="Cablenet Fiber Data"/>
        <s v="NTT Indonesia"/>
        <s v="Victory Network Indonesia"/>
        <s v="PT Krakatau Information Technology "/>
        <s v="Multitech Infomedia"/>
        <s v="Perhimpunan Pemilik dan Penghuni Rumah Susun Sementara Kawasan Bassura City"/>
        <s v="Graha Telekomunikasi Indonesia"/>
        <s v="Mega Akses Persada"/>
        <s v="PT Infrastruktur Cakrawala Telekomunikasi"/>
      </sharedItems>
    </cacheField>
    <cacheField name="Pelanggan (Costumer)" numFmtId="0">
      <sharedItems containsBlank="1" count="1108" longText="1">
        <s v="PT NTT Indonesia"/>
        <s v="Bank Mega "/>
        <s v="Commonwealth"/>
        <s v="PT Jawa Pos Koran"/>
        <s v="PT Primacom Interbuana "/>
        <s v="Kaldu Sari Nabati"/>
        <s v="PT Mattel Trading Indonesia"/>
        <s v="PT GH EMM Indonesia"/>
        <s v="PT Trans Retail Indonesia"/>
        <s v="PT Pinus Merah Abadi"/>
        <s v="PT XL Axiata Tbk"/>
        <s v="Bank Perkreditan Rakyat"/>
        <s v="PT Indointernet"/>
        <s v="PT Airpay International Indonesia"/>
        <s v="Astra International"/>
        <s v="PT Signal Indo Sukses"/>
        <s v="PT Bukit Asam, Bank Mega"/>
        <s v="Bank Sinarmas"/>
        <s v="PT Nugraha Indah Citrarasa"/>
        <s v="Hanasta Dakara"/>
        <s v="PT Pasifik Satelit Nusantara"/>
        <s v="Iforte Global Internet"/>
        <s v="Bank Syariah Mandiri, PT Bank Panin"/>
        <s v="PT Cyber Network Indonesia"/>
        <s v="PT Aplikanusa Lintasarta"/>
        <s v="PT Bank BTPN Syariah, Bank Bukopin"/>
        <s v="PT Bank Central Asia Tbk"/>
        <s v="PT Maxpower Indonesia"/>
        <s v="PT Sumber Cipta Multiniaga"/>
        <s v="PT Aek Tarum, PT Binasawit Makmur"/>
        <s v="Bank Mega"/>
        <s v="PT Djarum "/>
        <s v="PT Bangun Ummat Sejahtera"/>
        <s v="PT Hutchison 3 Indonesia"/>
        <s v="Badan Pengelola Pendapatan Daerah Provinsi Jawa Tengah "/>
        <s v="PT Bank Rakyat Indonesia Tbk"/>
        <s v="PT Toyota Motor Manufacturing Indonesia"/>
        <s v="PT Taruna Bina Saran  "/>
        <s v="Asuransi ASEI Indonesia "/>
        <s v="PT Prodia Widyahusada"/>
        <s v="PT JAYA FAJAR DEWATAMA"/>
        <s v=" PT Salim Ivomas "/>
        <s v="PT SUNVONE SOLUSINDO"/>
        <s v="PT PRIMACOM INTERBUANA LINK BANK AGRIS"/>
        <s v="NAP Info"/>
        <s v="BANK WOORI SAUDARA"/>
        <s v="PT Circlecom Nusantara Indonesia"/>
        <s v="PT INTI DUNIA SUKSES"/>
        <s v="PT IPWAN GLOBAL TELECOM"/>
        <s v="PT BANK CENRALASIA TBK"/>
        <s v="PT.SEMEN INDONESIA (PERSERO)TBK"/>
        <s v="NTT Indonesia"/>
        <s v="PT SOKONINDO"/>
        <s v="Aplikanusa Lintasarta"/>
        <s v="PT DANKOM MITRA ABADI"/>
        <s v="PT BUKTI MAKMUR MANDIRI UTAMA"/>
        <s v="PT INDOMARCO PRISMATAMA"/>
        <s v="PT PLN (PERSERO)KANTOR PUSAT"/>
        <s v="Bank BCA Syariah"/>
        <s v="BANK WOORI"/>
        <s v="PT TELEKOMUNIKASI INDONESIA,Tbk"/>
        <s v="PT BANK SYARIAH BRI"/>
        <s v="PT INDONESIA COMNETS PLUS"/>
        <s v="PT DATA SINERGITAMA JAYA"/>
        <s v="PT LINTAS JARINGAN NUSANTARA PERIODE 2020/2021"/>
        <s v="PT NTT INDONESIA "/>
        <s v="BCA MULTI FINANCE PERIODE 2020/2021"/>
        <s v="PT REKSO NASIONAL FOOD PERIODE 2020/2021"/>
        <s v="PT NAP INFOLINTASNUSA (CIGNA) PERIODE 2020/2021"/>
        <s v="BCA DI PASAR PAGI MANGGA DUA UNTUK PERIODE 2020/2021"/>
        <s v="PT SERASI AUTORAYA PERIODE 2020/2021"/>
        <s v="BANK SINARMAS PERIODE 2020/2021"/>
        <s v="PT. Telekomunikasi Indonesia,TBK "/>
        <s v="PT SAMPOERNA TELEKOMUNIKASI INDONESIA PERIODE 2020/2021"/>
        <s v="PT Berlian System Informasi qq PT DIPO STAR FINANCE PERIODE 2020/2021"/>
        <s v="PT MULTI ADIPRAKARSA MANUNGGAL RACK ICON+ TO SECURE CAGE GIO PERIODE 2020/2021 "/>
        <s v="PELANGGAN ICON+ "/>
        <s v="PT DJARUM PERIODE 2020/2021"/>
        <s v="BANK BJB SYARIAH PERIODE 2020/2021"/>
        <s v="PT BUKIT MAKMUR MANDIRI UTAMA PERIODE 2020/2021"/>
        <s v="PT. ARRANET INDONESIA SEJAHTERA "/>
        <s v="Primacom qq Bank Jasa Jakarta"/>
        <s v="PELANGGAN BUKIT ASAM "/>
        <s v="PT. Bank Mayapada Internasional"/>
        <s v="Federal Internasional Finance"/>
        <s v="PT BAHANA SYSFO UTAMA"/>
        <s v="PT YESI MEDIA UTAMA WONOGIRI"/>
        <s v="BANK MANDIRI  DI PASAR PAGI MANGGA DUA "/>
        <s v="PT INDOMARCO PRISMATAMA "/>
        <s v="PT BANK MEGA "/>
        <s v="PT BANGUN ANDALAN PERKASA "/>
        <s v="PT. IPWAN GLOBAL TELECOM"/>
        <s v="PT GPAY DIGITAL ASIA"/>
        <s v="PRIMACOM INTERBUANA QQ BANK HARDA "/>
        <s v="PT BANK PEMBANGUNAN DAERAH JAWA TIMUR "/>
        <s v="CYBERINDO ADITAMA "/>
        <s v="PT. Abadi Tambah Mulia Internasional (ATMI)"/>
        <s v="PT LINTASARTA QQ UNILEVER"/>
        <s v="PT Indonesia Comnet Plus (ICON+)"/>
        <s v="PT. XL AXIATA TBK."/>
        <s v="PT Angkasa Pura Suport qq Bandara YIA"/>
        <s v="PT Siloam International Hospital"/>
        <s v="Komisi Pemberantas Korupsi"/>
        <s v="PT Bank Sinarmas CID 5008"/>
        <s v="PT Bank HSBC Indonesia"/>
        <s v="PT Aeon Credit Services Indonesia"/>
        <s v="PT Kideco Jaya Agung "/>
        <s v="PT Tokopedia"/>
        <s v="Primacom qq Bank Ina Perdana"/>
        <s v="Olam"/>
        <s v="Mora Telematika Indonesia"/>
        <s v="PT Astari Niagara Internasional"/>
        <s v="PT Prima Vista Solusi"/>
        <s v="Jatelindo Perkasa Abadi"/>
        <s v="Bukit Asam"/>
        <s v="PT Lintas Arta QQ Prudential"/>
        <s v="PT Infinys System Indonesia"/>
        <s v="PT Sumber Alfaria Trijaya"/>
        <s v="PT Bank Sinarmas CID 1939"/>
        <s v="PT Astra Sedaya Finance"/>
        <s v="PT Bank Rakyat Indonesia"/>
        <s v="PT Sumber Mentari Elektrindo"/>
        <s v="Bank Woori "/>
        <s v="ACE Hardware"/>
        <s v="PT Jatelindo Perkasa Abadi"/>
        <s v="PT Jala Lintas Media qq  IAIN Kediri"/>
        <s v="PT Telekomunikasi Indonesia Tbk"/>
        <s v="PT hanasta Dakara"/>
        <s v="PT Angkasa Pura Logistik"/>
        <s v="BCA Multifinance "/>
        <s v="PT Orbit Terminal Merak"/>
        <s v="Cyberindo Aditama"/>
        <s v="All Pelanggan"/>
        <s v="Seluruh Pelanggan"/>
        <s v="Komisi Pemberantas Korupsi "/>
        <s v="PT GPAY Digital Asia "/>
        <s v="Commonwealth Bank "/>
        <s v="Gedung Antam"/>
        <s v="PT Adeaksa Indo Jayatama"/>
        <s v="PT Mora Telematika Indonesia"/>
        <s v="Bank Syariah Mandiri "/>
        <s v="BUT.Sarulla Operations LTD"/>
        <s v="PT Berlian Sistem Informasi "/>
        <s v="PT Bank Syariah Bukopin"/>
        <s v="Astra International Tbk"/>
        <s v="PT Airpray International Indonesia"/>
        <s v="PT Japfa Comfeed Indonesia"/>
        <s v="PT Giga Patra Multumedia , IAIAN Salatiga"/>
        <s v="PT Krisbow Indonesia"/>
        <s v="PT Bank Mandiri Tespen Jakarta "/>
        <s v="PT Cyberindo Aditama "/>
        <s v="Bank UMFG "/>
        <s v="PT Gclub Digital Asia"/>
        <s v="Komisi Pemberantasan Korupsi"/>
        <s v="PT Smart Tbk"/>
        <s v="PT Mitra Visioner Pratama"/>
        <s v="PT Bitniaga Cipta Gemilang"/>
        <m/>
        <s v="PT BCA Multifinance , PT NTT Indonesia , PT Link Net"/>
        <s v="PT Bank Keb Hana Indonesia"/>
        <s v="PT Exceiso Multirasa"/>
        <s v="Pratama Link"/>
        <s v="PLN Icon Plus"/>
        <s v="PT Bina Informatika Solusi"/>
        <s v="PT Umggaran Sari Germents"/>
        <s v="Kementrian Energi dan Sumber Daya Mineral"/>
        <s v="PT Cahaya Jakarta"/>
        <s v="PT Kereta Commuter Indonesia"/>
        <s v="PT Cyberindo Aditama"/>
        <s v="PT Serasi Autoraya"/>
        <s v="PT Hatachi Contruction Machinery Indonesia"/>
        <s v="PT Bank Mandiri (PERSERO) Tbk , Asuransi Umum BCA "/>
        <s v="PT DHL Supply Chain Indonesia"/>
        <s v="PT Olam Idonesia "/>
        <s v="PT Grafindo Mitrasemesta"/>
        <s v="Platinum Ceramics "/>
        <s v="PT Astra Sedaya Finance , PT Mora Telematika Indonesia , PT Tirta Sari Surya , PT Kirana Megatara , PT Djambi Waras"/>
        <s v="PT Trisula Media Data"/>
        <s v="PT Cakra Waskita Teknologi , BASARNAS"/>
        <s v="Bank BCA Syariah "/>
        <s v="PT Angkasa Pura Logisik , PT Caraka Waskita Teknologi"/>
        <s v="PT Softex Indonesia "/>
        <s v="PT Jaya Media Express"/>
        <s v="PT Fermentech Indonesia"/>
        <s v="PT Excelso Multirasa"/>
        <s v="PT Indonesia Comnet Plus"/>
        <s v="PT Hipernet Indodata , PT Citra Plastik Makmur"/>
        <s v="Bank Mandiri , Bank Mega"/>
        <s v="PT Artinus Komunika Lima"/>
        <s v="Rekso Nasional Food"/>
        <s v="PT Hipernet Indodata qq PT Surya Internusa Hotels"/>
        <s v="PT Hipernet Indodata qq PT Mitsuyoshi Manufacturing Indonesia"/>
        <s v="PT Caturkarda Depo Bangunan"/>
        <s v="PT Kideco Jaya Agung"/>
        <s v="PT Data Buana Nusantara"/>
        <s v="PT Adaro Indonesia"/>
        <s v="PT Kaldu Sari Nabati"/>
        <s v="PT Astra Daihatsu Motor"/>
        <s v="Commonwealth Bank"/>
        <s v="PT Mattel Indonesia"/>
        <s v="PT Primacom Interbuana"/>
        <s v="PT Hipernet Indodata qq PT ICI Paints Indonesia"/>
        <s v="PT Link Net qq PT Pana Persada Nusantara"/>
        <s v="Bank Syariah Mandiri"/>
        <s v="Bank Bukopin"/>
        <s v="Indosat, Bank Sinarmas, Jala Lintas Media"/>
        <s v="Badan Riset dan Inovasi Nasional"/>
        <s v="PT Hijau Solusi Utama"/>
        <s v="Badan Pengelola Pendapatan Daerah Jawa Tengah"/>
        <s v="PT PLN"/>
        <s v="PT Bank Central Asia"/>
        <s v="PT Moda Integrasi Transpotasi Jabodetabek"/>
        <s v="PT Lulu Group Retail"/>
        <s v="PT Nap Infolintasnusa (CIGNA)"/>
        <s v="PT Bank Neo Commerce Tbk"/>
        <s v="Sekertariat Jendral Kementerian Hukum "/>
        <s v="Bank BJB "/>
        <s v="PT Santos Jaya Abadi"/>
        <s v="Lotte Chemical Titan Nusantara"/>
        <s v="Primacom Link Bank Sahabat"/>
        <s v="PT Bank Syariah Mandiri"/>
        <s v="PT Ipwan Global Telecom "/>
        <s v="PT Bank Fama International"/>
        <s v="Airpay Intenational Indonesia "/>
        <s v="PT Jaring Solusi Aplikasi"/>
        <s v="BCA Kota Baru Parahyangan"/>
        <s v="Indomarco Prismatama"/>
        <s v="Data Sinergitama Jaya QQ Prima Sarana Jaya"/>
        <s v="PT Sampoerna Telekomunikasi Indonesia"/>
        <s v="APJII"/>
        <s v="PT Bimasakti Multi Sinegi"/>
        <s v="PT Astra Graphia Informasi Technology"/>
        <s v="Komisi Aparatur Sipil Negara"/>
        <s v="PT Neo Commerce Tbk"/>
        <s v="PT Bukit Asam Dan Bank Mega"/>
        <s v="PT Lotte Chemical Titan Nusantara"/>
        <s v="PT Tera Logistic Indonesia"/>
        <s v="CDC Cyber"/>
        <s v="Bank Index Selindo"/>
        <s v="PT Shenhua Guohua Pembangkitan Jawa Bali "/>
        <s v="Prodia Widyahusada"/>
        <s v="PT PLN (Persero) Kantor Pusat"/>
        <s v="PT Bank Raya Indonesia"/>
        <s v="Cyber"/>
        <s v="Bank Central Asia "/>
        <s v="PT Lintasarta QQ Unilever "/>
        <s v="PT Athaasia Finance "/>
        <s v="PT Cipta Piranti "/>
        <s v="PT Semen Baturaja"/>
        <s v="PT Seamless Pipe Indonesia, PT Berlian Sistem Informasi, Dan PT Maybank"/>
        <s v="PT Toyota Astra Motor TTC "/>
        <s v="PT Orbit Terminal Merak "/>
        <s v="Project Nap 100 G"/>
        <s v="PT BERLIAN SISTEM INFORMASI qq DIPO STAR FINANCE"/>
        <s v="PT NUTRIFOOD INDONESIA"/>
        <s v="PT TARUNA BINA SARANA"/>
        <s v="PT. Japfa Comfeed Indonesia"/>
        <s v="PT AGINCOURT RESOURCES"/>
        <s v="PT. Prodia Widyahusada"/>
        <s v="PT TOYOTA ASTRA MOTOR"/>
        <s v="GEDUNG TALAVERA"/>
        <s v="PT. Trans Retail di Bintaro dan Kupang"/>
        <s v="PT. Trans Retail "/>
        <s v="PT NUGRAHA INDAH CITARASA INDONESIA"/>
        <s v="PT TRANS REKREASINDO"/>
        <s v="MORINAGA KINO INDONESIA"/>
        <s v="PT. JAYA WIRA JERINDO"/>
        <s v="PT TRANS RETAIL CIBUBUR"/>
        <s v="PT BANGUN ANDALAN PERKASA"/>
        <s v="PT CIRCLECOM NUSANTARA INDONESIA "/>
        <s v="PT ASURANSI UMUM BCA"/>
        <s v="PT. MULIA INTI PELANGI"/>
        <s v="PT BANK NTB SYARIAH"/>
        <s v="PT LANDMARK CONCCURRENT SOLUSI INDONESIA"/>
        <s v="PT  Bank Commonwealth"/>
        <s v="BUT. SARULLA OPERATIONS LTD, BANK WOORI SAUDARA"/>
        <s v="PT Commonwealth Bank"/>
        <s v="PT UNIVERSAL SATELIT INDONESIA"/>
        <s v="PT BITNIAGA CIPTA GEMILANG "/>
        <s v="PT INOAC POLYTECHNO INDONESIA 2021/2022"/>
        <s v="PT KAO INDONESIA "/>
        <s v="PT HIPERNET INDONESIA QQ PT KOMATSU INDONESIA"/>
        <s v="PT INTI DATA TELEMATIKA"/>
        <s v="LEMBAGA ILMU PENGATAHUAN INDONESIA(LIPI)"/>
        <s v="PT Sumber Mentari Elekrindo periode 2021-2022"/>
        <s v="PT LAWANGMAS PRIMAPACK DIMASPION PLAZA PERIODE 2021-2022"/>
        <s v="PT,AEK TARUM,PT BINASAWIT MAKMUR "/>
        <s v="INDOMARCO PRISMATAMA PERIODE 2021-2022"/>
        <s v="PT UNGARAN SARI GARMEN PERIODE 2021-2022"/>
        <s v="PT FUMIRA PERIODE 2021-2022"/>
        <s v="PT. BANK SYARIAH BRI "/>
        <s v="PT. DJARUM "/>
        <s v="Divmum PLN Pusat//Gedung Recapital (Lt.1)"/>
        <s v="PT TOYOTA ASTRA MOTOR SPLD PERIODE 2021-2022"/>
        <s v="PT. Adira Dinamika Periode 2021-2022"/>
        <s v="Rukan kelapa gading square (MOI)-BCA Mall of indonesia"/>
        <s v="PT TANGARA MITRAKOM PERIODE 2021-2022"/>
        <s v="PT. DCI Indonesia periode 2021-2022"/>
        <s v="PT. INTI DUNIA SUKSES PERIODE 2021/2022"/>
        <s v="PT.SAMPOERNA TELEKOMUNIKASI INDONESIA PERIODE 2021-2022"/>
        <s v="Badan pengelola pendapatan Daerah jawa tangah periode 2021/2022"/>
        <s v="Federal internasional finance "/>
        <s v="PT TRANS RETAIL INDONESIA "/>
        <s v="PT. IPWAN GLOBAL TELECOM "/>
        <s v="TRANS RETAIL PERIODE 2021-2022"/>
        <s v="PT BANK SINARMAS 2021-2022"/>
        <s v="BANK BTPN PERIODE 2021-2022"/>
        <s v="PT.SUPREME ENERGY MUARA LABOH "/>
        <s v="PT. TRANS RETAIL INDONESIA"/>
        <s v="PT.TRANS RETAIL INDONESIA PERIODE 2021-2022"/>
        <s v="PT.SUMBER MENTARI ELEKTRINDO DAN PT MITRA ERA GLOBAL "/>
        <s v="PELANGGAN ICON"/>
        <s v="PT. Bitniaga Cipta Gemiling"/>
        <s v="BANK CENTRAL ASIA PERIODE 2021-2022"/>
        <s v="PT.GIGA PATRA MULTIMEDIA"/>
        <s v="PT Djarum periode 2021-2022"/>
        <s v="GH EMM PERIODE 2021-2022"/>
        <s v="COMMONWHEALTH BANK PERIODE 2021"/>
        <s v="PT. TRANS RETAIL INDONESIA PERIODE 2021-2022"/>
        <s v="PT NTT QQ PT DIAMON COLD STROGE PERIODE 2021-2022"/>
        <s v="Bank mega periode 2021-2022"/>
        <s v="PT Primacom Interbuana qq Bank Jasa Jakarta"/>
        <s v="PT BANK PEMBANGUNAN DAERAH KALIMANTAN"/>
        <s v="Bank Riau Kepri"/>
        <s v="PT ARTHATECH SELARAS, BANK RIAU KEPRI"/>
        <s v="PT GOBEL DHARMA SARANA KARYA"/>
        <s v="PT BANK YUDHA BHAKTI"/>
        <s v="PT BANK SINARMAS"/>
        <s v="PT TOYOTA ASTRA MOTOR "/>
        <s v="PT FOODS BEVERAGES INDONESIA "/>
        <s v="PT BERDIKARI PRIMA MANDIRI"/>
        <s v="PT TANJUNG ENIM LESTARI PULP AND PAPER"/>
        <s v="PT BANK CENTRAL ASIA, Tbk"/>
        <s v="Asuransi Umum BCA"/>
        <s v="PT KALIMANTAN SANGGAR PUSAKA"/>
        <s v="PT BANK HSBC INDONESIA "/>
        <s v="PT BENTOEL PRIMA"/>
        <s v="PT PARSAORAN GLOBAL DATATRANS"/>
        <s v="PT YESI MEDIA UTAMA WONOGIRI "/>
        <s v="PTAIRPAY INTERNATIONAL INDONESIA "/>
        <s v="PLN RAYON CIKARANG"/>
        <s v="PT BANK SYARIAH INDONESIA"/>
        <s v="PT DESIGN JAYA INDONESIA"/>
        <s v="Bank BTPN Syariah "/>
        <s v="PT Jala Lintas Media"/>
        <s v="PT Primacom Interbuana qq Bank Harda"/>
        <s v="PT LINTAS JARINGAN NUSANTARA"/>
        <s v=" BANK SYARIAH MANDIRI "/>
        <s v="PT BANK MANDIRI TASPEN-JAKARTA"/>
        <s v="Primacom Interbuana"/>
        <s v="LOTTE DATA COMMUNICATION"/>
        <s v="PT TANGARA MITRAKOM"/>
        <s v="PT PERTAMINA (PERSERO)"/>
        <s v="PT BANK NAGARI"/>
        <s v="PT BANK MANDIRI (PERSERO) Tbk"/>
        <s v="BCA"/>
        <s v="BANK SINARMAS DAN PT INDOSAT"/>
        <s v="BANK MANDIRI DAN ASURANSI UMUM"/>
        <s v="PT GH-EMM INDONESIA"/>
        <s v="PT QUANTUM TERA NETWORK"/>
        <s v="BANK COMMONWEALTH"/>
        <s v="PT ENERGY MANAGEMENT INDONESIA"/>
        <s v="BANK BUKOPIN "/>
        <s v="PT DAYA MUDA AGUNG"/>
        <s v="PT ROYAL SUTAN AGUNG "/>
        <s v="PT ASTRA AGRO LESTARI"/>
        <s v="PT DIAMOND COLD STORAGE"/>
        <s v="PT UNGARAN SARI GARMENT"/>
        <s v="PT TRANS RETAIL"/>
        <s v="PT BANK SINARMAS "/>
        <s v="PT ECO MULTI SINERGI"/>
        <s v="XL AXIATA"/>
        <s v="ANUGRAH INTI KARYA"/>
        <s v=" "/>
        <s v="TANJUNGENIM TAHUN 2022/2023"/>
        <s v="PT.INDONESIA COMNETS PLUS PERIODE 2022-2023"/>
        <s v="PT.SUMBER SEGERA PRIMADAYA PERIODE 2023"/>
        <s v="PT.Toyota Motor Manufacturing indonesia"/>
        <s v="PT.AIRPAY INTERNATIONAL INDONESIA PERIODE 2022-2023"/>
        <s v="PT.IPWAN GLOBAL TELECOMM"/>
        <s v="PT.JARINGANKU SARANA NUSANTARA"/>
        <s v="PT.ANUGRAH INTI KARYA,GPAY DIGITAL,PT.LINTAS TEKNOLOGI DIGITAL"/>
        <s v="PT Pertamina RETAIL SPBU CIKUPA"/>
        <s v="PT.SOLUSINDO BINTANG PRATAMA QQ PT ASTRAZENECA PHARMACEUTIAL"/>
        <s v="PT . Asianagro Agung jaya 2 (jl.fak-faj)"/>
        <s v="PT. WOM FINANCE"/>
        <s v="SMART TELECOM LOKASI UNIT RACK 8"/>
        <s v="SMART TELECOM LOKASI UNIT RACK 47 "/>
        <s v="PELANGGAN PT PLN ICON+"/>
        <s v="BANK BCA KCP CENTRAL PARK PERIODE-2022-2024"/>
        <s v="PT IFORTE SOLUSI INFOTEK qq PT WAHANA CITRA NABATI"/>
        <s v="PT.YAPINDO TRANSPORTAMA"/>
        <s v="PT.TOKOPEDIA"/>
        <s v="PT BANK MANDIRI (Persero) Tbk. Di Gedung Tifa"/>
        <s v="KEMENTERIAN ESDM PERIODE 2022-2023"/>
        <s v="project NAP 100 G PERIODE 2022-2023"/>
        <s v="PT.BANK MANDIRI (PERSERO) TBK 2022-2023"/>
        <s v="PT.HPERNET INDODATA qq PT LESTARI TEKNIK PLASTIKATAMA"/>
        <s v="PT. Layanan internet sakti di gedung tifa"/>
        <s v="PT.SEAMPLESS PIPE INDONESIA JAYA 2022-2023"/>
        <s v="PT CARAKA WASKITA TEKNOLOGI PERIODE 2022-2023"/>
        <s v="Primacom qq Bank ina perdana periode 2022-2023"/>
        <s v="PT.ASTRA INTERNATIONAL,PT.ASTRA FINANCE SERVICES"/>
        <s v="PT.KINEZ CREATIVE SOLUTIONS,PT KAWASAN BERIKAT NUSANTARA"/>
        <s v="PT ASTRA INTERNATIONAL TBK"/>
        <s v="PT CITRA SARI MAKMUR"/>
        <s v="BANK DANAMON INDONESIA"/>
        <s v="PT Fermentech Indonesia "/>
        <s v="PT POLYTAMA PROPINDO"/>
        <s v="PT MULIA INTI PELANGI"/>
        <s v="PT YETOYA SOLUSI INDONESIA"/>
        <s v="IFAD OFFICE"/>
        <s v="PT. BANK PEMBANGUNAN DAERAH KALIMANTAN TENGAH, PT BANK MANDIRI TASPEN - JAKARTA, PT BANK NB SYARIAH, PT XL AXIATATBK"/>
        <s v="PT PASIFIK SATELIT NUSANTARA "/>
        <s v="PT PRATAMA LINK"/>
        <s v="PT SHENHUA GUOHUA PEMBANGKIT JAWA BALI"/>
        <s v="PT DJARUM, PT SUMBER CIPTA MULTINIAGA"/>
        <s v="PT. TLELKOMUNIKASI INDONESIA INTERNATIONAL"/>
        <s v="PT BANK COMMONWEALTH"/>
        <s v="YAYASAN GHANDI SEMESTA"/>
        <s v="CIPTA PIRANTI SEJAHTERA Gd. TIFA JL. KUNINGAN BAR MAMPANG PRAPATAN ORIGI, PT SARANA PRIMA TELEMATIKA TIFA ARUM REALTY - KANTOR PUSAT DIREKTORAT JENDERAL PAJAK, PT INDOMARCO DATA CENTER GED.CYBER JL.KUNINGAN BARAT RAYA, PT. LAYANAN INTERNET SAKIT POLLUX MALL CHADSTONE"/>
        <s v="PT Platinum Ceramics "/>
        <s v="IDC"/>
        <s v="PT Jaya Wira Jerindo"/>
        <s v="PT Hipernet Indodata"/>
        <s v="PT Hipernet Indodata (Kel. Jayamukti)"/>
        <s v="Adi Inti Mandiri Solusi"/>
        <s v="PT Astra International "/>
        <s v="PT Adaro Logistics "/>
        <s v="PT Mega Auto Finance"/>
        <s v="PT Aliansi Teknologi Indonesia"/>
        <s v="Badan Pengelola Pendapatan Daerah Provinsi Jawa Tengah"/>
        <s v="PT Tokopedia "/>
        <s v="PT Nugraha Indah Citarasa Indonesia "/>
        <s v="PT Lintas Arta qq Arta Jasa "/>
        <s v="PT Media Lintasarta"/>
        <s v="PT Bank Bukopin"/>
        <s v="PT Bantoel Prima Capital"/>
        <s v="PT Caturkarda Depo Bangunan "/>
        <s v="Bank BTPN Syariah dan Bukopin "/>
        <s v="Badan Riset dan Inovasi Nasional (BRIN)"/>
        <s v="DCI Indonesia"/>
        <s v="PT Magna Karsa Mulya"/>
        <s v="PT Artha Asia Finance"/>
        <s v="PT Inoac Polytechhno Indonesia"/>
        <s v="PT Fumira"/>
        <s v="PT GH EMM Indonesia "/>
        <s v="PT Pembangkitan Jawa Bali "/>
        <s v="PT Smart Tbk "/>
        <s v="PT Klik Indomaret Sukses"/>
        <s v="PT Land mark Conccurrent Solusi Indonesia"/>
        <s v="PT Hipernet Indodata QQ Samchem Prasandha"/>
        <s v="PT Olam Indonesia"/>
        <s v="PT Kaldu Sari Nabati "/>
        <s v="PT Layanan Internet Sakti "/>
        <s v="Bank Mizuho"/>
        <s v="All Pelanggan "/>
        <s v="Lintasarta QQ Bank Woori Saudara"/>
        <s v="PT Cyberindo Aditama qq PT Biznet Gio Nusantara CID 5200"/>
        <s v="PT Angkasa Pura 1 (Persero)"/>
        <s v="Direktorat Jendral Imigrasi Ditjen Imigrai Kementerian Hukum dan HAM"/>
        <s v="PT Bank Mandiri (Persero)"/>
        <s v="PT Sukanda Djaya"/>
        <s v="PT Bank Mandiri (Persero), Tbk"/>
        <s v="PT Bank Syariah"/>
        <s v="PT Akses Data Internusa"/>
        <s v="PT Data Sinergitama"/>
        <s v="BTPN "/>
        <s v="PT Astra Daihatsu Motor "/>
        <s v="PT Toyota Astra Motor SPLD"/>
        <s v="PT Berlian Sistem Informasi"/>
        <s v="PT Eonchemicals "/>
        <s v="PT Jakarta Lingko Indonesia"/>
        <s v="PT Bank Pembangunan Daerah Kalimantan Selatan"/>
        <s v="PT Pama Persada Nusantara"/>
        <s v="PT Nosairis Teknologi Solutions"/>
        <s v="Indointernet"/>
        <s v="PT Cyberindo Aditama , PT Suzuki Finance"/>
        <s v="PT Pembangkitan Jawa Bali"/>
        <s v="PT Home Center Indonesia"/>
        <s v="Jatelindo"/>
        <s v="PT Bukit Asam , Bank Mega"/>
        <s v="Tri Tunggal Jaya , Mitra Era Global"/>
        <s v="PT Airpray International"/>
        <s v="PT Supreme Energy Muara Laboh"/>
        <s v="PT Sarana Yukti Bandhana"/>
        <s v="PT Kabelindo Murni Tbk"/>
        <s v="PT Twoba Box Ind0nesia"/>
        <s v="PT Arnotts Indonesia"/>
        <s v="PT Alfa Retailindo"/>
        <s v="PT Bank Victoria International"/>
        <s v="PT Prawathiya Karsa Pradiptha"/>
        <s v="PT Trans Mikro"/>
        <s v="PT Dwi Tunggal Putra"/>
        <s v="Improvement Link"/>
        <s v="PT PLN "/>
        <s v="PT Vopak Terminal Merak , PC Ketapang II LTD"/>
        <s v="PT Federal International Finance"/>
        <s v="PT Milenial Inti Telekomunikasi , RS Hrapan Keluarga"/>
        <s v="PT Aeon Indonesia"/>
        <s v="PT Hitachi Construction Machinery Indonesia"/>
        <s v="PT Serasi Auto Raya"/>
        <s v="PT Aek Tarum , PT Binasawit Makmur"/>
        <s v="PT Bina Karya Prima "/>
        <s v="PT PLN Kantor Pusat (Rumah Dirut PLN)"/>
        <s v="PT Fahasa Tri Data "/>
        <s v="PT Internetwork Komunikasi Indonesia"/>
        <s v="PT Bank Mandiri"/>
        <s v="PT Pertamina EP "/>
        <s v="PT Bank Central Asia "/>
        <s v="PT XL Axiata , PT Artha Telekomindo , PT Varnion"/>
        <s v="PT Semen Indonesia"/>
        <s v="PT Net One Asia"/>
        <s v="PT Indosat , PT Lord Indonesia"/>
        <s v="Dinas Komunikasi , Persandian Aceh"/>
        <s v="Perum Jamkrindo"/>
        <s v="PT Toyota Motor Manufacturing"/>
        <s v="Bank Central Asia"/>
        <s v="PT Adira Dinamika"/>
        <s v="PT Gemilang Sarana Mandiri"/>
        <s v="PT Astra International"/>
        <s v="PT PLN Kantor Pusat "/>
        <s v="PT Sarana Steel"/>
        <s v="PT Indosat Tbk"/>
        <s v="PT Nettocyber Indonesia"/>
        <s v="PT Pasifiktel"/>
        <s v="PT Kimia Farma"/>
        <s v="PT Infomedia Nusantara"/>
        <s v="Bank Mandiri"/>
        <s v="PT Sari Coffee Indonesia"/>
        <s v="Supra Boga Lestari"/>
        <s v="PT Media Telekomunikasi Mandiri"/>
        <s v="Akamai , Facebook"/>
        <s v="PT Worley Sea Indonesia"/>
        <s v="Trans Retail"/>
        <s v="PT Roma Stone Indonesia"/>
        <s v="PT. AUTOCIPTA KARYA"/>
        <s v="Aplikasi Lintasarta qq Bank Woori Saudara"/>
        <s v="Dwimitra Nuansa Satria"/>
        <s v="PT BANK BCA SYARIAH"/>
        <s v="PT. BANK SYARIAH MANDIRI"/>
        <s v="Angkasa Pura Logistik"/>
        <s v="PT. DIGITAL VISION NUSANTARA"/>
        <s v="PT. TELKOM SATELIT INDONESIA"/>
        <s v="DIREKTORAT JENDERAL APLIKASI INFORMATIKA KEMENTRIAN KOMINFO"/>
        <s v="PT. SUMBER UTAMA FIBER INDONESIA"/>
        <s v="PT ARTHATECH SELARAS_x000a_ BANK RIAU KEPRI"/>
        <s v="PT. PRIMACOM INTERBUANA"/>
        <s v="PT. GEMILANG SARANA MANDIRI "/>
        <s v="PT. JATELINDO PERKASA ABADI"/>
        <s v="PT ARISTI JASADATA_x000a_ PT SRIWIJAYA LINTAS RAYA_x000a_ PT PUMA ENERGY INDONESIA"/>
        <s v="PT. SAKTI GLOBAL SOLUSINDO"/>
        <s v="PT. ADEAKSA INDO JAYATAMA"/>
        <s v="PT. MATRIXNET GLOBAL INDONESIA_x000a_ PT ARTHA MEDIA LINTAS NUSA_x000a_ PT TRANS HYBRID COMMUNICATION_x000a_ PT NTT INDONESIA_x000a_ PT TELE GLOBE GLOBAL_x000a_ PT. ARTHA TELEKOMINDO_x000a_ PT EKA MAS REPUBLIK_x000a_ PT TUJUH DELAPAN SEMBILAN NET_x000a_ PT GRAHA ANUGERAH SEJAHTERA_x000a_ PT DEWATA TELEMATIKA_x000a_ PT MORA TELEMATIKA INDONESIA_x000a_ PT MORA TELEMATIKA INDONESIA_x000a_ PT MORA TELEMATIKA INDONESIA_x000a_ PT FIBER NETWORKS INDONESIA_x000a_ PT PRESTASI PIRANTI INFORMASI_x000a_ PT ATOZ TOTAL SOLUSI_x000a_ PT PRESTASI PIRANTI INFORMASI_x000a_ PT ATLASAT SOLUSINDO_x000a_ PT WIFIKU INDONESIA_x000a_ PT ATOZ TOTAL SOLUSI_x000a_ PT MORA TELEMATIKA INDONESIA_x000a_ PT REKAJASA AKSES_x000a_ PT WIFIKU INDONESIA_x000a_ UNIVERSAL BROADBAND_x000a_ PT. CIRCLECOM NUSANTARA INDONESIA_x000a_ PT WIFIKU INDONESIA_x000a_ PT TELE GLOBE GLOBAL_x000a_ PT TELE GLOBE GLOBAL_x000a_ PT. ARTHA TELEKOMINDO_x000a_ PT WIFIKU INDONESIA_x000a_ PT WIFIKU INDONESIA_x000a_ PT EKA MAS REPUBLIK_x000a_ PT NTT INDONESIA_x000a_ PT. CIRCLECOM NUSANTARA INDONESIA_x000a_ PT EKA MAS REPUBLIK_x000a_ PT SARANAINSAN MUDASELARAS_x000a_ PT TELINDO NUSANTARA_x000a_ PT WIFIKU INDONESIA_x000a_ PT WIFIKU INDONESIA_x000a_ UNIVERSAL BROADBAND_x000a_ PT XL AXIATA Tbk._x000a_ PT EKA MAS REPUBLIK_x000a_ PT EKA MAS REPUBLIK_x000a_ PT DATAKOM STRATA TIGA_x000a_ PT. ARTHA TELEKOMINDO_x000a_ PT. ARTHA TELEKOMINDO_x000a_ PT. ARTHA TELEKOMINDO_x000a_ PT MORA TELEMATIKA INDONESIA_x000a_ PT MORA TELEMATIKA INDONESIA_x000a_ PT MORA TELEMATIKA INDONESIA_x000a_ PT PRESTASI PIRANTI INFORMASI_x000a_ PT REKAJASA AKSES_x000a_ PT FAASRI UTAMA SAKTI_x000a_ PT XL AXIATA Tbk._x000a_ PT TELE GLOBE GLOBAL_x000a_ PT XL AXIATA Tbk._x000a_ YAY. ABUL YATAMA_x000a_ PT. CYBERINDO ADITAMA_x000a_ PT XL AXIATA Tbk._x000a_ PT MORA TELEMATIKA INDONESIA_x000a_ YAY. ABUL YATAMA_x000a_ PT. TELEMEDIA NETWORK CAKRAWALA_x000a_ PT.SMARTFREN TELECOM TBK_x000a_ PT TELINDO NUSANTARA_x000a_ PT XL AXIATA Tbk._x000a_ PT XL AXIATA Tbk._x000a_ PT. CIRCLECOM NUSANTARA INDONESIA_x000a_ PT MORA TELEMATIKA INDONESIA_x000a_ PT. CIRCLECOM NUSANTARA INDONESIA_x000a_ PT. CIRCLECOM NUSANTARA INDONESIA"/>
        <s v="Joint customer External"/>
        <s v="PT FIBER NETWORKS INDONESIA _x000a_ PT PRESTASI PIRANTI INFORMASI_x000a_ PT ATOZ TOTAL SOLUSI_x000a_ PT ATLASAT SOLUSINDO_x000a_ PT WIFIKU INDONESIA_x000a_ PT MORA TELEMATIKA INDONESIA_x000a_ PT REKAJASA AKSES_x000a_ UNIVERSAL BROADBAND_x000a_ PT. CIRCLECOM NUSANTARA INDONESIA_x000a_ PT TELE GLOBE GLOBAL_x000a_ PT. ARTHA TELEKOMINDO_x000a_ PT EKA MAS REPUBLIK_x000a_ PT NTT INDONESIA_x000a_ PT. MATRIXNET GLOBAL INDONESIA_x000a_ PT EKA MAS REPUBLIK_x000a_ PT DATAKOM STRATA TIGA"/>
        <s v="SEKRETARIAT JENDERAL KEMENTERIAN HUKUM DAN HAM"/>
        <s v="PT JARINGAN INTERNET BANTEN"/>
        <s v="PT. NUGRAHA INDAH CITARASA INDONESIA"/>
        <s v="PT. CORE MEDIATECH"/>
        <s v="PT. BANK BTPN Tbk"/>
        <s v="PT. CATURKARDA DEPO BANGUNAN"/>
        <s v="PT Sumber Graha Sejahtera_x000a_ PT Trans Retail Indonesia"/>
        <s v="PT. Selago Makmur Plantation"/>
        <s v="PT. HIPERNET INDODATA "/>
        <s v="PT. SERASI AUTORAYA"/>
        <s v="DIREKTORAT JENDERAL IMIGRASI DITJEN IMIGRASI KEMENTERIAN HUKUM DAN HAM"/>
        <s v="PT TWOBA BOX INDONESIA"/>
        <s v="PT Indonesia Power"/>
        <s v="PT Cyber Network Indonesia qq PT Indopower"/>
        <s v="PT. KRISBOW INDONESIA"/>
        <s v="PT Adaro Indonesia (cm_icon-adaro03)"/>
        <s v="PT Global Digital Niaga"/>
        <s v="project pembangunan router 100G Joint Customer External"/>
        <s v="PT CBN NUSANTARA qq PT. ADARO INDONESIA"/>
        <s v="PT. UNIVERSAL SATELIT INDONESIA"/>
        <s v="PT. INTI DUNIA SUKSES"/>
        <s v="Suzuki Finance"/>
        <s v="PT. CYBERINDO ADITAMA_x000a_ PT INDOMARCO PRISMA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HOME CREDIT INDONESIA_x000a_ PT HOME CREDIT INDONESIA_x000a_ PT HOME CREDIT INDONESIA_x000a_ PT HOME CREDIT INDONESIA_x000a_ PT HOME CREDIT INDONESIA_x000a_ PT HOME CREDIT INDONESIA_x000a_ PT HOME CREDIT INDONESIA_x000a_ PT HOME CREDIT INDONESIA_x000a_ PT INDOMARCO PRISMATAMA_x000a_ PT INDOMARCO PRISMATAMA_x000a_ PT INDOMARCO PRISMATAMA_x000a_ PT INDOMARCO PRISMATAMA_x000a_ PT TRANS RETAIL INDONESIA_x000a_ PT INDOSAT Tbk_x000a_ PT INDOMARCO PRISMATAMA_x000a_ PT INDOMARCO PRISMATAMA_x000a_ PT INDOMARCO PRISMATAMA_x000a_ PT INDOMARCO PRISMATAMA"/>
        <s v="Mega Akses Persada"/>
        <s v="PT. Kaldu Sari Nabati"/>
        <s v="PT. ADARO LOGISTICS"/>
        <s v="PT Kaldu Sari Nabati Indonesia"/>
        <s v="PT. NET ONE ASIA"/>
        <s v="PT Home Credit Indonesia"/>
        <s v="PT. CYBERINDO ADITAMA"/>
        <s v="PT Sampoerna Telekomunikasi"/>
        <s v="PT. BANK PERKREDITAN RAKYAT KARYAJATNIKA SADAYA"/>
        <s v="PT CYBERINDO ADITAMA QQ PT ABIMANYU BANGKIT MANDIRI"/>
        <s v="BCA qq Multi Adiprakarsa Manunggal"/>
        <s v="PT Cyberindo Aditama QQ Univ Pelita Harapan"/>
        <s v="PT. BANGUN ANDALAN PERKASA"/>
        <s v="PT. LINK NET qq PT Pama Persada Nusantara"/>
        <s v="PT Mega Akses Persada"/>
        <s v="PT. MAYBANK KIM ENG SEKURITAS"/>
        <s v="PT. DATA SINERGITAMA JAYA"/>
        <s v="PT. BANK CENTRAL ASIA, TBK"/>
        <s v="PT TRIMEGAH SECURITIES"/>
        <s v="BANK BJB"/>
        <s v="PT SPRINT ASIA TECHNOLOGY"/>
        <s v="Tokopedia"/>
        <s v="LEMBAGA KEBIJAKAN PENGADAAN BARANG/JASA PEMERINTAH"/>
        <s v="PT. BANK NEO COMMERCE TBK"/>
        <s v="PT. NOSAIRIS TEKNOLOGI SOLUTIONS"/>
        <s v="PT. PASIFIK SATELIT NUSANTARA"/>
        <s v="Bank Mayapada International"/>
        <s v="PT PRIMACOM INTERBUANA_x000a_ PT. PRIMACOM INTERBUANA_x000a_ PT XL AXIATA_x000a_  PT. CIRCLECOM NUSANTARA INDONESIA_x000a_ PT NTT INDONESIA_x000a_ PT NTT INDONESIA_x000a_ PT NTT INDONESIA_x000a_ PT SPRINT ASIA TECHNOLOGY_x000a_ PT JATELINDO PERKASA ABADI_x000a_ PT INTEK MEGA SOLUTION_x000a_ PT. APLIKANUSA LINTASARTA_x000a_ PT. PRIMACOM INTERBUANA_x000a_ PT. MAGNA KARSA MULYA_x000a_ PT. NAP INFO LINTASNUSA_x000a_ PT. NAP INFO LINTASNUSA (CITIBANK)_x000a_ PT. CIRCLECOM NUSANTARA INDONESIA_x000a_ PT INDOMARCO PRISMATAMA_x000a_ PT. PRODIA WIDYAHUSADA"/>
        <s v="PT INDOMARCO PRISMATAMA qq Jatelindo"/>
        <s v="Primacom end user PT. Agin Court Resources"/>
        <s v="PT. SUKANDA DJAYA"/>
        <s v="PT. DIAMOND COLD STORAGE - "/>
        <s v="PT. AIRPAY INTERNATIONAL INDONESIA"/>
        <s v="PT. TRANS MIKRO BERSAMA"/>
        <s v="PT. BANK PEMBANGUNAN DAERAH KALIMANTAN SELATAN"/>
        <s v="PT. APLIKANUSA LINTASARTA"/>
        <s v="PT. GCLUB DIGITAL ASIA"/>
        <s v="PT Nap Info Lintasnusa"/>
        <s v="PT. LAYANAN IMEDIA "/>
        <s v="Adira Dinamika"/>
        <s v="Sukonindo"/>
        <s v="PT. DIPO STAR FINANCE "/>
        <s v="PT JAMINAN KREDIT INDONESIA"/>
        <s v="PT. ADIRA DINAMIKA MULTIFINANCE"/>
        <s v="PT DIGITAL KARYALOKA NUSANTARA"/>
        <s v="PT BAHANA PEMBINAAN USAHA INDONESIA"/>
        <s v="PT Bank Pembangunan Daerah_x000a_Bali"/>
        <s v="PT. Abadi Tambah Mulia Internasional "/>
        <s v="PT Adi Inti Mandiri Solusi "/>
        <s v="PT BANK SYARIAH INDONESIA TBK"/>
        <s v="PT. AEON CREDIT SERVICES INDONESIA"/>
        <s v="BUT. MUFG BANK, LTD sebelumnya Bank Of Tokyo"/>
        <s v="PT Rekso Nasional Food"/>
        <s v="PT Bank Sinarmas (CID 1939)"/>
        <s v="PT. PRAWATHIYA KARSA PRADIPTHA"/>
        <s v="PT Cyberindo Aditama qq PT Biznet Gio Nusantara"/>
        <s v="PT.SUMBER ALFARIA TRIJAYA Tbk"/>
        <s v="PT. BUKALAPAK.COM"/>
        <s v="PT Multi Adiprakarsa Manunggal"/>
        <s v="PT Asuransi Multi Artha Guna (CID 2845 berubah menjadi 5009)"/>
        <s v="PT Berlian Sistem Informasi qq PT Dipo Star Finance"/>
        <s v="PT Supra Primatama Nusantara (BCA)"/>
        <s v="PT. GRAHA INFORMATIKA NUSANTARA"/>
        <s v="BPJS KESEHATAN"/>
        <s v="PT. BANK MANDIRI (PERSERO), TBK"/>
        <s v="PT. LAYANAN INTERNET SAKTI"/>
        <s v="Cipta Piranti Sejahtera Gd. Tifa Jl. Kuningan Bar Mampang Prapatan ORIGI_x000a_PT Indomarco Data Center Ged.Cyber Jl.Kuningan Barat Raya_x000a_PT.Layanan Internet Sakit Pollux Mall Chadstone_x000a_PT Sarana Prima Telematika Tifa Arum Realty - Kantor Pusat Direktorat Jenderal Pajak_x000a_PT. BANK MANDIRI (PERSERO), TBK"/>
        <s v="PT. BCA FINANCE"/>
        <s v="PT. IPWAN GLOBAL TELECOMM"/>
        <s v="PT. BANK SINARMAS"/>
        <s v="PT. TRI MANDIRI SELARAS"/>
        <s v="PT SUMMIT OTO FINANCE (BLOK E NO 11-12)"/>
        <s v="PT SUMMIT OTO FINANCE (BLOK I NO 48-50)"/>
        <s v="PT OTO MULTIARTHA (BLOK Q NO 12-14)"/>
        <s v="PT BANK RAKYAT INDONESIA (PERSERO) TBK"/>
        <s v="PT Bank Mandiri "/>
        <s v="PT Ace Hardware Indonesia"/>
        <s v="PT. ASURANSI PERISAI LISTRIK NASIONAL"/>
        <s v="PT BERLIAN AMAL PERKASA"/>
        <s v="PT. BANK BTPN Tbk_x000a_ PT. BANK DANAMON INDONESIA_x000a_ PT Bank Pembangunan Sumatera Selatan dan Bangka Belitung"/>
        <s v="PT ASTARI NIAGARA INTERNATIONAL"/>
        <s v="PT. BERLIAN SISTEM INFORMASI"/>
        <s v="PT. INTERNETWORK KOMUNIKASI INDONESIA"/>
        <s v="BUT. SARULLA OPERATIONS LTD_x000a_ Bank Woori Saudara"/>
        <s v="PT. ENERGY MANAGEMENT INDONESIA"/>
        <s v="PT. ACTAVIS INDONESIA_x000a_ PT. MULTIPOLAR TECHNOLOGY TBK_x000a_ PT. BERDIKARI PRIMA MANDIRI"/>
        <s v="PC KETAPANG II LTD |PT INDONESIA COMNETS PLUS"/>
        <s v="PT BCA Finance _x000a_  PT Hanasta Dakara"/>
        <s v="PT Goto (Gojek Tokopedia)"/>
        <s v="-"/>
        <s v="PT Central Online_x000a_ PT. NETTOCYBER INDONESIA_x000a_ PT. MEDIA SARANA DATA_x000a_ PT. SISTELINDO MITRALINTAS_x000a_ PT. SISTELINDO MITRALINTAS_x000a_ PT. INDOSAT TBK_x000a_ PT. HANASTA DAKARA_x000a_ PT Sprint _x000a_ PT. GAHARU SEJAHTERA_x000a_ PT. TOTAL INFO KHARISMA_x000a_ PT. VARNION INTERNASIONAL_x000a_ PT. INTERLINK TECHNOLOGY_x000a_ PT. GAHARU SEJAHTERA_x000a_ PT. AJN SOLUSINDO"/>
        <s v="all pelanggan di IDC "/>
        <s v="PT MEDIA SARANA DATA (GMEDIA)_x000a_ PT MEDIA SARANA DATA (GMEDIA)_x000a_ PT MEDIA SARANA DATA (GMEDIA)_x000a_ PT MEDIA SARANA DATA (GMEDIA)_x000a_ PT MEDIA SARANA DATA (GMEDIA)_x000a_ ADI INTI MANDIRI SOLUSI_x000a_ PT. SMART MEDIA PRATAMA_x000a_ PT IFORTE GLOBAL INTERNET_x000a_ PT. PRIMACOM INTERBUANA_x000a_ PT IFORTE GLOBAL INTERNET_x000a_ PT MITRA AKSES GLOBALINDO_x000a_ PT MITRA AKSES GLOBALINDO_x000a_ PT INDOMARCO PRISMATAMA"/>
        <s v="Project Improvement Backbone All Pelanggan"/>
        <s v="Tambahan Project DWDM NAP 100G Jakarta"/>
        <s v="PT. JARING SOLUSI APLIKASI"/>
        <s v="PT. BANK BCA SYARIAH"/>
        <s v="PT. PRIMACOM INTERBUANA qq Bank Harda"/>
        <s v="PT Primacom Interbuana qq Bank Ina Perdana"/>
        <s v="BCA Syariah"/>
        <s v="PT. Bank Index Selindo Rempoa"/>
        <s v="BPR SUPRA ARTA PERSADA"/>
        <s v="XL Axiata qq Bank Sahabat Sampoerna"/>
        <s v="PT. AKSES CIPTA SOLUSI"/>
        <s v="PT. BANK RAKYAT INDONESIA (PERSERO) TBK"/>
        <s v="PT Widya Intersat Nusantara"/>
        <s v="PT. Integra Multi Solusi"/>
        <s v="PT. MEGA AUTO FINANCE"/>
        <s v="PT. Mitra Pajakku"/>
        <s v="PT ELECTRONIC DATA INTERCHANGE INDONESIA"/>
        <s v="KOMISI PEMBERANTASAN KORUPSI (KPK)"/>
        <s v="PT. LOTTE DATA COMMUNICATION INDONESIA"/>
        <s v="PT. SUPRA BOGA LESTARI, TBK"/>
        <s v="PT. ERIA TIGA ADIRAJA"/>
        <s v="PT Graha Layar Prima"/>
        <s v="PT Media Lintas Data"/>
        <s v="PT. GENERO PHARMACEUTICALS"/>
        <s v="PT CIKARANG LISTRINDO TBK"/>
        <s v="PT MEDIA TELEKOMUNIKASI MANDIRI "/>
        <s v="PT MANE INDONESIA JABABEKA"/>
        <s v="PT. KAO INDONESIA"/>
        <s v="PT. SOFTEX INDONESIA"/>
        <s v="PT. EONCHEMICALS PUTRA"/>
        <s v="PT. MITRA VISIONER PRATAMA"/>
        <s v="PT Astrazeneca Pharmaceutical"/>
        <s v="PT Indointernet qq PT Katsushiro Indonesia"/>
        <s v="PT. HIPERNET INDODATA qq PT. KOMATSU INDONESIA"/>
        <s v="PT HIPERNET INDODATA QQ PT KOMATSU INDONESIA"/>
        <s v="PT. Hipernet Indodata qq PT Lestari Teknik Plastikatama"/>
        <s v="PT Hipernet Indodata qq PT Nippon Indosari Corpindo Tbk"/>
        <s v="PT. MILENIAL INTI TELEKOMUNIKASI qq RS Harapan keluarga"/>
        <s v="PT PC24 TELEKOMUNIKASI QQ WATSONS STORE"/>
        <s v="PT Jetcoms Netindo qq PT Nano Coating dan Prima Tolling_x000a_ PT Tele Globe Global_x000a_ Rapigra Flexible Packaging_x000a_ PT Ingress Malindo Ventures_x000a_ PT Axalta Powder Coating System Indonesia_x000a_ PT Geoservices_x000a_ BCA Multifinance_x000a_ PT COMTRICS SYSTEM_x000a_ PT. Fukoku Tokai Rubber_x000a_ PT HIPERNET INDODATA_x000a_ PT MATTEL INDONESIA_x000a_ PT Menara Terus Makmur_x000a_ PT MULIA MEGA MAKMUR_x000a_ PT PALAPA MEDIA INDONESIA qq PT KAO INDONESIA_x000a_ APLIKANUSA LINTASARTA_x000a_ PT YAKULT INDONESIA PERSADA"/>
        <s v="PT. GRAFINDO MITRASEMESTA"/>
        <s v="PT KAO INDONESIA"/>
        <s v="PT Hipernet Indodata qq PT Sebastian Jaya Metal"/>
        <s v="PT Hipernet Indodata qq Fanuc Indonesia"/>
        <s v="PT TECHNO ORBIT PARTICLE FILTRATION"/>
        <s v="PT Rudolf Chemicals Indonesia"/>
        <s v="PT IP TEKNOLOGI KOMUNIKASI"/>
        <s v="PT SURYA RENGO CONTAINERS_x000a_ PT SURYA RENGO CONTAINERS_x000a_ PT INDOMARCO ADI PRIMA_x000a_ PT INDOMARCO ADI PRIMA_x000a_ PT INDOMARCO ADI PRIMA_x000a_ PT INDOMARCO ADI PRIMA_x000a_ PT INDOMARCO ADI PRIMA_x000a_ PT INDOFOOD SUKSES MAKMUR TBK, DIV BOGASARI_x000a_ PT INDOMARCO ADI PRIMA_x000a_ PT. SALIM IVOMAS PRATAMA,TBK_x000a_ PT TIRTA SUKSES PERKASA_x000a_ PT TIRTA SUKSES PERKASA_x000a_ PT TIRTA MAKMUR PERKASA_x000a_ PT ASAHI INDOFOOD BEVERAGE MAKMUR_x000a_ PT TIRTA MAKMUR PERKASA_x000a_ PT TIRTA MAKMUR PERKASA_x000a_ PT TIRTA SUKSES PERKASA_x000a_ PT TIRTA SUKSES PERKASA_x000a_ PT. INDOFOOD SUKSES MAKMUR, TBK_x000a_ PT INDOFOOD ASAHI SUKSES BEVERAGE_x000a_ PT INDOFOOD ASAHI SUKSES BEVERAGE_x000a_ PT INDOFOOD ASAHI SUKSES BEVERAGE_x000a_ NESTLE INDOFOOD CITARASA INDONESIA_x000a_ PT. INDOFOOD CBP SUKSES MAKMUR Tbk_x000a_ NESTLE INDOFOOD CITARASA INDONESIA_x000a_ PT SURYA RENGO CONTAINERS_x000a_  PT SURYA RENGO CONTAINERS"/>
        <s v="PT SURYA RENGO CONTAINERS"/>
        <s v="PT Aplikanusa Lintasarta qq PT Bank Cimb Niaga"/>
        <s v="PT Indosat Tbk qq Tirta Investama"/>
        <s v="PT Pasifiktel Indotama QQ PT Hexindo Adi Perkasa"/>
        <s v="PT. PAMA PERSADA NUSANTARA"/>
        <s v="PT Yapindo Transportama"/>
        <s v="PT Royal Sutan Agung"/>
        <s v="PT. KABELINDO MURNI TBK"/>
        <s v="PT SOLO MURNI"/>
        <s v="PT PLN (Persero) Unit Induk Distribusi Jakarta Raya"/>
        <s v="PT  Sarana Steel "/>
        <s v="PT Iforte Solusi Infotek QQ PT Herlina Indah"/>
        <s v="PT Iforte Solusi Infotek qq PT Pionir Beton"/>
        <s v="PT Nettocyber Indonesia QQ PT Swakarsa Sinar Sentosa"/>
        <s v="PT Aplikanusa Lintasarta qq PT Parit Padang Global"/>
        <s v="PT Pama Persada_x000a_PT Yapindo Transportama_x000a_PT Iforte Solusi Infotek qq PT Wahana Citra Nabati_x000a_PT Iforte Solusi Infotek QQ PT Herlina Indah_x000a_PT Nutrifood Indonesia_x000a_PT Indosat Tbk qq Tirta Investama_x000a_PT Parit Padang Global_x000a_PT Aplikanusa Lintasarta qq PT Bank Cimb Niaga_x000a_PT PLN (Persero) Kantor Pusat_x000a_PT Iforte Solusi Infotek qq PT Pionir Beton_x000a_PT Bank Mandiri_x000a_"/>
        <s v="PT. JALA LINTAS MEDIA_x000a_PT. PLN (PERSERO) KANTOR PUSAT_x000a_PT. HOME CENTER INDONESIA_x000a_"/>
        <s v="PT Marunda Distribundo Raya_x000a_PT Trans Retail Indonesia_x000a_PT Asuransi Astra Buana_x000a_PT Hutchison 3 Indonesia_x000a_KEMENTERIAN ENERGI DAN SUMBER DAYA MINERAL"/>
        <s v="Parno Isworo_x000a_Amir Rosidin_x000a_Doddy Sukmajaya_x000a_Kartini Sally HB Joenoes_x000a_PT. PLN (PERSERO) KANTOR PUSAT_x000a_PT. CIMB NIAGA AUTO FINANCE"/>
        <s v="PT Lucky Strategis_x000a_PT Sumber Alfaria Trijaya Tbk_x000a_PT Prodia Widyahusada_x000a_PT Prodia Widyahusada_x000a_Kementerian Energi dan Sumber Daya Mineral_x000a_PT Jala Lintas Media_x000a_PT Tele Globe Global qq ATM Mu Gung Hwa Supermarket_x000a_PT Astra International Tbk_x000a_PT Bank Mandiri (Persero) Tbk_x000a_BUT. Sarulla Operations Ltd_x000a_PT Bank Mandiri (Persero) Tbk_x000a_PT PLN (Persero) Kantor Pusat_x000a_PT. PLN (PERSERO) KANTOR PUSAT_x000a_PT PLN (Persero) Kantor Pusat_x000a_PT PLN (Persero) Kantor Pusat_x000a_PT. ORBIT TERMINAL MERAK_x000a_PT. PLN (PERSERO) KANTOR PUSAT_x000a_KEMENTERIAN PEKERJAAN UMUM DAN PERUMAHAN RAKYAT DIREKTORAT JENDRAL_x000a_PT PLN (Persero) Kantor Pusat_x000a_PT Indonesia Comnets Plus_x000a_PT Indonesia Comnets Plus_x000a_PT. CYBER NETWORK INDONESIA qq Bareskrim Polri_x000a_PEMERINTAH PROVINSI DKI JAKARTA_x000a_PT Aplikanusa Lintasarta qq Korlantas Polri_x000a_Abdul Ghofur "/>
        <s v="PT. WORLEY SEA INDONESIA"/>
        <s v="PT BANK DANAMON INDONESIA, TBK"/>
        <s v="PT JAKARTA INFRASTRUKTUR PROPERTINDO"/>
        <s v="NESTLE INDOFOOD CITARASA INDONESIA"/>
        <s v="PT Tanjung Enim Lestari"/>
        <s v="PT. Prodia Widyahusada_x000a_ PT. BANK SYARIAH BRI KC Bogor _x000a_ GIS 150 KV BOGOR BARU II (TAJUR), -, -, -, Indonesia - GI 150 KV CIANJUR_x000a_ Bank BJB KCP Suryakencana No.315 Bogor_x000a_ Maybank Kim Eng Sekuritas Ruko Mega Mall Pluit_x000a_ PT. NAP INFO LINTASNUSA PLAZA KUNINGAN - StanChart Elitery Bogor_x000a_ BCA H2H Elitery Data Center_x000a_ PT Maybank Kim Eng Securities Indonesia Elitery Recovery Data Center_x000a_ Data Sinergi H2H Bank Mandiri_x000a_ Aplikanusa Lintasarta Unilever Indonesia_x000a_ FUJITSU INDONESIA _x000a_ BT Communications Indonesia Graha Unilever_x000a_ DATA SINERGITAMA JAYA _x000a_ CBN Cyber 2 P2MP QinQ"/>
        <s v="PT. BANK PANIN, Tbk_x000a_ PT. BANK SYARIAH MANDIRI"/>
        <s v="PT. LINTAS JARINGAN NUSANTARA"/>
        <s v="PT PARSAORAN GLOBAL DATATRANS_x000a_ PT SISTELINDO MITRALINTAS_x000a_ PT. FLASH MOBILE_x000a_ PT. FLASH MOBILE_x000a_ PT.HANASTA DAKARA_x000a_ PT.HANASTA DAKARA_x000a_ PT.HANASTA DAKARA"/>
        <s v="PT XL AXIATA Tbk._x000a_ PT. ARTHA TELEKOMINDO_x000a_ PT. VARNION INTERNASIONAL"/>
        <s v="Cyberindo Aditama _x000a_ Flash Mobile"/>
        <s v="PT.HANASTA DAKARA"/>
        <s v="PT Indonet"/>
        <s v="PT.HANASTA DAKARA_x000a_ PT. GLOBAL KOMUNIKA DEWATA"/>
        <s v="PT. MATRIXNET GLOBAL INDONESIA_x000a_ PT. ARTHA TELEKOMINDO_x000a_ PT. HIPERNET INDODATA_x000a_ PT. HAWK TEKNOLOGI SOLUSI"/>
        <s v="PT XL AXIATA Tbk."/>
        <s v="PT IPWAN GLOBAL TELECOMM"/>
        <s v="PT Quiros Network"/>
        <s v="PT BINA KARYA PRIMA"/>
        <s v="PT. SARI DUMAI OLEO ( Asia Nagro)"/>
        <s v="PT. Sari Dumai Oleo"/>
        <s v="1.PT Sistelindo Mitralintas _x000a_2.PT Bitnet Komunikasindo _x000a_3.PT Kinex"/>
        <s v="PT. ROMA STONE INDONESIA"/>
        <s v="Bank BCA"/>
        <s v="PT. KERETA API INDONESIA"/>
        <s v="PT. CIPTA TELEKOMUNIKASI MANDIRI "/>
        <s v="Lintas jalur Perumahan Lantamal"/>
        <s v="PT Telekomunikasi Inonesia Tbk"/>
        <s v="PT. ECO MULTI SINERGI "/>
        <s v="PT. NTT INDONESIA SOLUTIONS QQ PT PERTAMINA HULU ENERGI"/>
        <s v="PT. KIDECO JAYA AGUNG"/>
        <s v="PT Lawangmas Primapack"/>
        <s v="Join Customer All"/>
        <s v="PT PINUS MERAH ABADI qq Bitniaga Cipta Gemilang"/>
        <s v="PT. BITNIAGA CIPTA GEMILANG"/>
        <s v="akamai dan Facebook"/>
        <s v="PT. JARINGANKU SARANA NUSANTARA"/>
        <s v="PT. DATA BUANA NUSANTARA"/>
        <s v="PT. BANGUN UMMAT SEJAHTERA"/>
        <s v="PT. ALIANSI TEKNOLOGI INDONESIA "/>
        <s v="PT. TRISULA MEDIA DATA"/>
        <s v="PT. WOM FINANCE "/>
        <s v="PT. SIGNAL INDO SUKSES"/>
        <s v="PT Fahasa Tri Data_x000a_PT Metrosolusi Teknologi Indonesia_x000a_PT Giga Digital Nusantara_x000a_PT Akses Bersama Sedaya"/>
        <s v="PT. JALA LINTAS MEDIA qq IAIN Kediri"/>
        <s v="PT. DWI TUNGGAL PUTRA"/>
        <s v="PT. JAYA MEDIA EXPRESS"/>
        <s v="PT. DJARUM_x000a_"/>
        <s v="Joint ALL pelanggan"/>
        <s v="PT. YESI MEDIA UTAMA WONOGIRI"/>
        <s v="PT. FIVENDRO MANDIRI INDONESIA"/>
        <s v="PT. YETOYA SOLUSI INDONESIA"/>
        <s v="PT. BINA INFORMATIKA SOLUSI"/>
        <s v="PT MONSADATA NUANSA TEKNOLOGI"/>
        <s v="Backup Link Kantor ICON Jamsostek"/>
        <s v="PT. JARINGANKU SARANA NUSANTARA (Uplink Backbone)"/>
        <s v="PT. SUPRA PRIMATAMA NUSANTARA"/>
        <s v="PT Bukalapak.com"/>
        <s v="PT XL Axiata"/>
        <s v="BSI"/>
        <s v=" PT BANK SYARIAH INDONESIA TBK"/>
        <s v="PT. NAP INFO LINTASNUSA"/>
        <s v="BADAN PENGAWAS PEMILIHAN UMUM SEKRETARIAT BADAN"/>
        <s v="PT. ANUGRAH INTI KARYA_x000a_Gpay Digital Asia_x000a_PT Lintas Teknologi Digital_x000a_"/>
        <s v="PT. ANUGRAH INTI KARYA"/>
        <s v="PT Asuransi Asei Indonesia"/>
        <s v="PT. GPAY DIGITAL ASIA"/>
        <s v="PT Aplikanusa Lintasarta qq PT Artajasa"/>
        <s v="PT. BANK CIMB NIAGA"/>
        <s v="PT Mitra Akses Globalindo"/>
        <s v="PT. BUKIT MAKMUR MANDIRI UTAMA"/>
        <s v="PT Bukit Makmur Mandiri Utama"/>
        <s v="PT. BANK KEB HANA INDONESIA"/>
        <s v="PT. NUSA SATU INTI ARTHA"/>
        <s v="PT. VERENA MULTIFINANCE"/>
        <s v="PT Bhinneka Life Indonesia"/>
        <s v="BUT. MUFG BANK, LTD_x000a_ PT. BANK MAYBANK INDONESA TBK_x000a_ PT. CENTRAL SANTOSA FINANCE_x000a_ PT. LINK NET_x000a_ PT. NTT INDONESIA_x000a_ PT. SEPATU MAS IDAMAN_x000a_ PT. BANK CENTRAL ASIA, TBK_x000a_ PT. MORA TELEMATIKA INDONESIA_x000a_ PT. PRIMACOM INTERBUANA_x000a_ PT. SEWU SEGAR NUSANTARA"/>
        <s v="PT. BCA MULTI FINANCE"/>
        <s v="PT Cheil Jedang Indonesia"/>
        <s v="PT RITEL BERSAMA NASIONAL"/>
        <s v="PT. BANK RAKYAT INDONESIA (PERSERO) TBK "/>
        <s v="PT. DJARUM_x000a_ PT. SUMBER CIPTA MULTINIAGA"/>
        <s v="PT. SUMBER CIPTA MULTINIAGA"/>
        <s v="PT. DJARUM"/>
        <s v="PT. NTT INDONESIA"/>
        <s v="PT Great Giant Pineapple"/>
        <s v="PT Telindo Nusantara"/>
        <s v="PT Link Net"/>
        <s v="PT. BANK MAYBANK INDONESIA"/>
        <s v="PT. CENTRIN ONLINE PRIMA qq PT Accenture_x000a_ PT. PRIMACOM INTERBUANA"/>
        <s v="PT. Astra Daihatsu Motor"/>
        <s v="PT. GRAHA LAYAR PRIMA TBK"/>
        <s v="PT Nosairis Teknologi Indonesia"/>
        <s v="PT. AT&amp;T GLOBAL NETWORK SERVICES INDONE - MTX07715378"/>
        <s v="PT. SALIM IVOMAS PRATAMA,TBK"/>
        <s v="PT BANK MANDIRI (PERSERO), Tbk_x000a_ BANK MEGA"/>
        <s v="PT XL AXIATA Tbk._x000a_ PT. PRIMACOM INTERBUANA_x000a_ PT. SATKOMINDO MEDIYASA_x000a_ PT. GAHARU SEJAHTERA_x000a_ PT.GAYA FAVORIT PRESS (FEMINA GROUP)_x000a_ PT. PRIMACOM INTERBUANA_x000a_ PT UNGGUL INDAH CAHAYA Tbk_x000a_ PT. INTI EVERSPRING INDONESIA_x000a_ PT INDOSAT Tbk_x000a_ PT IFORTE GLOBAL INTERNET_x000a_ PT. BANK SYARIAH BRI_x000a_ PT TRANS RETAIL INDONESIA_x000a_ _x000a_ PT. PRIMACOM INTERBUANA_x000a_ PT CITRA SARI MAKMUR_x000a_ PT. ASURANSI SINARMAS_x000a_ BANK BJB_x000a_ PT.PRATAMA LINK_x000a_ PT. SUZUKI FINANCE INDONESIA_x000a_ PT.PRATAMA LINK_x000a_ PT ANGGARA ARCHITEAM_x000a_ PT PASIFIKTEL INDOTAMA_x000a_ PT INDOSAT Tbk_x000a_ PT. CYBERINDO ADITAMA_x000a_ PT INDOMARCO PRISMATAMA"/>
        <s v="PT. BANK SYARIAH BRI"/>
        <s v="PT. MERDEKA COPPER GOLD TBK"/>
        <s v="PT. WIFIKU INDONESIA"/>
        <s v="PT Toyota Manufacturing Indonesia"/>
        <s v="PT TARUNA_x000a_  BINA SARANA"/>
        <s v="PT. PJB"/>
        <s v="Global Digital Niaga _x000a_ Wifiku Indonesia_x000a_ PT. ASURANSI MULTI ARTHA GUNA TBK_x000a_ PT. INDOSAT TBK"/>
        <s v="Bukit Asam_x000a_ BANK MEGA"/>
        <s v="PT Bukit Asam_x000a_ PT Bank Rakyat Indonesia"/>
        <s v="PT. OTO Multiartha"/>
        <s v="PT. SMART MULTI FINANCE"/>
        <s v="PT. APLIKANUSA LINTASARTA qq PT Anugerah Pharmindo Lestari"/>
        <s v="01000172327 Metro P2MP PT. Kereta Commuter Indonesia Stasiun Kampung Bandan - Ancol_x000a_01000116273 PEMPROV DKI_x000a_01000131105_ Kereta Api Logistik_x000a_01000142253-Hipernet-Puskemas.Kec.Sawah.Besar_x000a_01000116179_Kelurahan Mangga Besar [01000140192]_x000a_01000051867 Altra Multi Sandang Toko 3 Sakura Jakarta_x000a_01000116285 PEMPROV DKI KEL TANGKI_x000a_01000142273-Hipernet-Puskemas.Kec.Taman.Sari_x000a_01000078389_04000078391_BCA_Mall_Serpong"/>
        <s v=" 01000042003_MVP_Kby_Baru _x000a_ 01000044050_PEMPROV.DKI Kec Kebayoran Baru _x000a_ 01000134602 _ESDM PUSDATIN _x000a_ 01000154023_PERTAMINA_BINA.MEDIKA _x000a_ 543100023592-Achmad chaerul _x000a_ 543100024504_ Ir.Denny.Pranoto _x000a_ 01000190604-Cyberindo Aditama _x000a_ Kel.Gunung_01000116511 _x000a_ 01000154031_ Petamina Bina Medika _x000a_ 543104219709 Pandu Perkasa _x000a_ 543105592681-MUHAMMAD JAUHADI _x000a_ 01000015426_Metro_Gemilang_Sarana_Mandiri _x000a_ 01000139805-Kel.Kramat.Pela _x000a_ 04000142386-Rumah DIRUT PLN(backup) _x000a_ 01000154095 IPVPN PT Bank Syariah Indonesia BSI KCP Jakarta _x000a_ 543105224822 - Jiddan Alfriandi _x000a_ 543101199501-RIO OCTOGI SIREGAR _x000a_ 04000176196 Internet Yayasan Baitul Maal PLN Pusat Jl. Gandaria II no 13 _x000a_ 04000183960 IBBC 100Mbps _x000a_ 01000069034_IPVPN_PLNBATAM _x000a_ 01000116503 PemprovDKI KEL Gandaria Selatan _x000a_ 01000125642_BRIS _x000a_ 04000090344_Taman_Sambas _x000a_ 01000116871.PEMPROV.DKI-Kel.Kebayoran Baru _x000a_ 01000151485_Astra.D215 _x000a_ 543103668297 Dadan Supriyatna _x000a_ 543101107713-Fauzi Setyaji _x000a_ 543100811336-Muhammad Arif Budiman _x000a_ 04000030216 _Adi _Sarana Armada _x000a_ 04000131357_Tanah_Kusir_II _x000a_ 543104436771-Zulfikar _x000a_ 01000163149 PT. CYBERINDO ADITAMA Smartfren QQ SGMW Sales Indonesia _x000a_ 01000003481_IPVPN_PRODIA.ARTERI _x000a_ 01000163892_JL.MADRASAH _x000a_ 01000139801_Kel.Kebayoran.Lama.Utara _x000a_ 04000180062 Internet Corporate PT. Koka Indonesia _x000a_ 04000178815 Internet PT Dekoruma Niaga Sejahtera _x000a_ 543105499777-Rizka Mardha _x000a_ 543104568468-Andjar Pramudiya _x000a_ 04000027675_Lotte_Fatmawati _x000a_ 01000140678-Kec Kebayoran Lama _x000a_ 01000049492_Mitra Visioner Pratama _x000a_ 01000051254_BTN_Gandaria _x000a_ 01000050160_Lotte_Fatmawati _x000a_ 01000073048_Jala_Lintas_Gandaria _x000a_ 01000116457_kel.Cilandak _x000a_ 01000140061-Hipernet.Puskesmas.Kec.Kebayoran.Lama _x000a_ 543103817127-Harry.S. _x000a_ 0990000320520108 IPVPN MITRA VISIONER PRATAMA _x000a_ 04000013099_Sumber_Sarana_era_abadi_Jl.Ciputat _x000a_ 01000049903 Metro Kosmetika Tama Super Indah _x000a_ Djoko R Abumanan_535596310546 _x000a_ 543100579030_Bobby rashid _x000a_ 01000117403 Kel Pondok Pinang _x000a_01000114483 BCA_x000a_543104556195-Iwan Tirtha_x000a_04000160720_Internet_Rumah_DIRAGA_x000a_543101730258-Deni Salim_x000a_04000160806 Internet PLN Kantor Pusat Rumah Dinas Direksi PLN BPK Syamsul Huda Link Backup_x000a_04000188757 Internet Corporate PT. PLN (PERSERO) KANTOR PUSAT_x000a_01000163903 Metro P2MP PT.XL AXIATA MUHI.12_x000a_01000163904 Metro P2MP PT.XL AXIATA MUHI.8_x000a_543100336111-Muhammad agil_x000a_543100471441-Wina Aprianti_x000a_543105735968-Toni.Istanto"/>
        <s v="PT Bank Multiarta Sentosa"/>
        <s v="PT Bank Mandiri Tbk"/>
        <s v="PT. LIMA MENARA BINTANG qq Detasemen Khusus 88"/>
        <s v="PT Indosat"/>
        <s v="PT Trakindo Utama"/>
        <s v="Kementrerian ESDM"/>
        <s v="Central Sentosa Finance"/>
        <s v="Bank Negara Indonesia"/>
        <s v="PT Serasi Autoraya (MMR - Cyber)"/>
        <s v="PT Serasi Autoraya (MMR - Tenant)"/>
        <s v="PT Data Sinergitama Jaya QQ Prima Sarana Jaya"/>
        <s v="PT NTT Indonesia qq Bank Mizuho (MMR - Tenant) "/>
        <s v="PT NTT Indonesia qq Bank Mizuho (MMR - Cyber) "/>
        <s v="PT Tanjungenim Pulp and Paper (MMR - Tenant)"/>
        <s v="PT Tanjungenim Pulp and Paper (MMR - Cyber)"/>
        <s v="PT NTT Indonesia Solutions"/>
        <s v="Bank Neo Commerce"/>
        <s v="PT Sumber Segara Primadaya"/>
        <s v="PT Bank Central Asia KCP EBony"/>
        <s v="PT Evoluzione Tyres"/>
        <s v="Kalimantan Sanggar Pustaka"/>
        <s v="Olam Indonesia"/>
        <s v="PT Pertamina EP"/>
        <s v="Bank BCA Central Park"/>
        <s v="PT Mulia Inti Pelangi "/>
        <s v="PT Bank Bukopin Tbk"/>
        <s v="PT Trans Rekreasindo Cibubur"/>
        <s v="PT Trans Rekreasindo Surabaya"/>
        <s v="PT Trans Rekreasindo Kidcity Bintaro"/>
        <s v="PT Djarum"/>
        <s v="PT Bank Commonwealth "/>
        <s v="PT Lotte Data Communication"/>
        <s v="BCA Kota Baru Parahyangan "/>
        <s v="PT Toyota Astra Motor TTC"/>
        <s v="PT Toyota Astra Motor SPLD "/>
        <s v="Trans Retail Di Bintaro &amp; Kupang "/>
        <s v="BRI Syariah"/>
        <s v="PT Bank Mandiri Taspen"/>
        <s v="PT Inoac Polytechno"/>
        <s v="Data Center PT ICON+"/>
        <s v="ICON+ DC Gandul"/>
        <s v="PT Bumimulia Indah Lestari"/>
        <s v="PT Pertamina Bina Medika"/>
        <s v="PT Supreme Energi Rantau Dedap"/>
        <s v="PT Garuda Nusantara Steel"/>
        <s v="PT PLN Unit Induk Distribusi Jawa Barat (PLN Rayon Cikarang)"/>
        <s v="PT Valeo AC Indonesia"/>
        <s v="PT Bank Bukopin "/>
        <s v="PT Mitsubishi Electric Indonesia"/>
        <s v="Pelanggan PT Hipernet Indodata"/>
        <s v="PT Bank Rakyat Indonesia Syariah"/>
        <s v="Artha Asia Finance"/>
        <s v="Bank Woori- PIK &amp;Bank Woori Central Park"/>
        <s v="Bank Woori- Garden Shopping "/>
        <s v="Trans Retail Transmart Pasaraya"/>
        <s v="Food Baverages Indonesia"/>
        <s v="PT Moda Integrasi Transportasi Jabodetabek"/>
        <s v="PT Pertamina Retail"/>
        <s v="PT Jasa Jejaring Wasantara"/>
        <s v="Pelanggan Komisi Pemberantasan Korupsi"/>
        <s v="PT. Prodia Widyahusada_x000a_PT. BANK SYARIAH BRI KC Bogor _x000a_GIS 150 KV BOGOR BARU II (TAJUR), -, -, -, Indonesia - GI 150 KV CIANJUR_x000a_Bank BJB KCP Suryakencana No.315 Bogor_x000a_Maybank Kim Eng Sekuritas Ruko Mega Mall Pluit_x000a_PT. NAP INFO LINTASNUSA PLAZA KUNINGAN - StanChart Elitery Bogor_x000a_BCA H2H Elitery Data Center_x000a_PT Maybank Kim Eng Securities Indonesia Elitery Recovery Data Center_x000a_Data Sinergi H2H Bank Mandiri_x000a_Aplikanusa Lintasarta Unilever Indonesia_x000a_FUJITSU INDONESIA _x000a_BT Communications Indonesia Graha Unilever_x000a_DATA SINERGITAMA JAYA _x000a_CBN Cyber 2 P2MP QinQ"/>
        <s v="KOMITE OLIMPIADE INDONESIA"/>
        <s v="PT ANTAM TBK - Unit Bisnis Pertambangan Emas"/>
        <s v="[PLN KANTOR PUSAT] - DIVISI BISNIS NIAGA DAN PEMASARAN (RECAPITAL BUILDING) , Lt. 8"/>
        <s v="PT PLN SC"/>
        <s v="DANA PENSIUN PLN"/>
        <s v="PTPLN /Geo Dipa"/>
        <s v="PT. SMART, TBK"/>
        <s v="PT. MORA TELEMATIKA INDONESIA"/>
        <s v="PT. ASTRA GRAPHIA INFORMASI TECHNOLOGY_x000a_ PT. ASTRA INTERNATIONAL_x000a_ PT. TOYOTA ASTRA FINANCIAL SERVICES"/>
        <s v="PT AEK TARUM_x000a_ PT. BINASAWIT MAKMUR"/>
        <s v="PT. TELEKOMUNIKASI INDONESIA INTERNATIONAL"/>
        <s v="PT China Telecom Indonesia"/>
        <s v="PT. ABADI TAMBAH MULIA INTERNASIONAL (ATMI)_x000a_ PT. BANK PERKREDITAN RAKYAT KARYAJATNIKA SADAYA"/>
        <s v="PT. HUTCHISON 3 INDONESIA"/>
        <s v="SKK Migas_x000a_ Bank ICBC"/>
        <s v="SATUAN KERJA KHUSUS PELAKSANA KEGIATAN USAHA HULU MINYAK DAN GAS BUMI "/>
        <s v="PT. HIJAU SOLUSI UTAMA"/>
        <s v="Badan Nasional Pencarian dan Pertolongan (BASARNAS)"/>
        <s v="PT PENJAMINAN JAMKRINDO SYARIAH"/>
        <s v="PT. SEAMLESS PIPE INDONESIA JAYA_x000a_ PT. BERLIAN SISTEM INFORMASI_x000a_ PT. MAYBANK KIM ENG SEKURITAS"/>
        <s v="PT PLN Unit Induk Distribusi Banten GH 611"/>
        <s v="PT Asuransi Astra Buana"/>
        <s v="PT Agriculture Indonesia"/>
        <s v="PT Federal Internanational Finance BSD Green Park"/>
        <s v="PT Toyota Astra Financial Service"/>
        <s v="PT Federal internastional Finance Astra Biz Center"/>
        <s v="PT Cyberindo Aditama qq PT Grab Teknologi Indonesia"/>
        <s v="PT Aplikanusa Lintasarta (Backhaul Jabodetabek)"/>
        <s v="PT Aplikanusa Lintasarta (Gd German Center)"/>
        <s v="PT Aplikanusa Lintasarta (Jl Padjajaran Bogor)"/>
        <s v="PT Lulu Group Retail_x000a_PT Asuransi Astra Buana_x000a_PT BD Agriculture Indonesia_x000a_PT Federal International Finance di BSD Green Office Park_x000a_PT Toyota Astra Financial Service_x000a_PT Astra Sedaya Finance_x000a_PT Federal International Finance di Astra Biz Center"/>
        <s v="PT Indosat Tbk qq PT Lord Indonesia"/>
        <s v="PT. FAHASA TRI DATA"/>
        <s v="PT Fahasa Tri Data"/>
        <s v="PT Indo Telemedia Solusi"/>
        <s v="PT TELEKOMUNIKASI INDONESIA, TBK"/>
        <s v="PT KOPI BINTANG INDONESIA"/>
        <s v="PT. SUMBER MENTARI ELEKTRINDO_x000a_ PT. MITRA ERA GLOBAL"/>
        <s v="PLN (PERSERO) KANTOR PUSAT"/>
        <s v="PT. ARRANET INDONESIA SEJAHTERA"/>
        <s v="PT. BANK SYARIAH BUKOPIN"/>
        <s v="PT. SMART TELECOM"/>
        <s v="PT. BANK MESTIKA DHARMA TBK"/>
        <s v="DINAS KOMUNIKASI INFORMATIKA DAN PERSANDIAN ACEH"/>
        <s v="PT. PERTAMINA RETAIL"/>
        <s v="PT. KERETA COMMUTER INDONESIA"/>
        <s v="PT BCA Finance"/>
        <s v="PT. SINERGI INSANI PRIMALINK"/>
        <s v="PT. TILAR NETINDO PERKASA"/>
        <s v="PT. BANK PEMBANGUNAN DAERAH KALIMANTAN BARAT"/>
        <s v="PT. SARANA YUKTI BANDHANA"/>
        <s v="PT. SIERAD PRODUCE, TBK_x000a_ PT. ASTRA INTERNATIONAL TBK_x000a_ PT. BANK PEMBANGUNAN DAERAH JAWA TIMUR, TBK_x000a_ PT. PRIMACOM INTERBUANA_x000a_ PT. CIMB NIAGA AUTO FINANCE_x000a_ PT. BANK DKI"/>
        <s v="PT. ASTRA SEDAYA FINANCE"/>
        <s v="PT. BANK PEMBANGUNAN DAERAH KALIMANTAN TENGAH"/>
        <s v="PT. BANK MANDIRI TASPEN - JAKARTA"/>
        <s v="PT. BANK PEMBANGUNAN DAERAH KALIMANTAN TENGAH_x000a_PT BANK MANDIRI TASPEN - JAKARTA_x000a_PT BANK NTB SYARIAH_x000a_PT XL AXIATA TBK"/>
        <s v="PT. TOKOPEDIA"/>
        <s v="Bank BJB Syariah"/>
        <s v="LEMBAGA ILMU PENGETAHUAN INDONESIA (LIPI)"/>
        <s v="PT. XL AXIATA TBK"/>
        <s v="PT. CYBER NETWORK INDONESIA"/>
        <s v="PT BANK BTPN SYARIAH &amp; Bank Bukopin"/>
        <s v="PT. BANK VICTORIA INTERNATIONAL TBK"/>
        <s v="Bank Nagari"/>
        <s v="PT. SEMEN INDONESIA (PERSERO)TBK"/>
        <s v="KEMENTERIAN ENERGI DAN SUMBER DAYA MINERAL"/>
        <s v="PT. BANK NTB SYARIAH"/>
        <s v="PT. BANK HSBC INDONESIA"/>
        <s v="PT B. BRAUN MEDICAL INDONESIA"/>
        <s v="PT Indonesia Comnets Plus qq Diskominfo Blitar"/>
        <s v="PT. VISIONET DATA INTERNASIONAL"/>
        <s v="Mangunreja,Puloampel,Mangunreja,Serang [Huawei 172.25.105.188/29]_x000a_ 0990000320470800 Metro PGAS TELEKOMUNIKASI NUSANTARA Ged.Cyber - PT Chandra Asri Merak Jl. Pulau Ampel Merak Banten_x000a_ 01000011533 IPVPN BRI PPD SALIRA-78 (Huawei 172.25.110.50/29)_x000a_ 01000022005 Metro Telemedia Dinamika Sarana PT. Indo Raya Tenaga, Pulomerak, Cilegon (BDCOM 172.25.110.51/29 vl14)_x000a_ 01000022005 Metro Telemedia Dinamika Sarana, Pulomerak, Banten (BDCOM 172.25.110.52 vl14)_x000a_ 04000004161 Internet Nufarm Indonesia Jalur Merak-Serdang, Mangunreja, Puloampel, Serang [172.25.105.187/29]"/>
        <s v="All Pelanggan Shelter cileungsi"/>
        <s v="PT. Sumber Mentari Elektrindo"/>
        <s v="PT. Landmark Conccurent Solusi Indonesia"/>
        <s v="PT Sigma Cipta Utama"/>
        <s v="PT Mastersystem Infotama"/>
        <s v="PT Chandra Asri Petrochemical Tbk"/>
        <s v="PT Praweda Sarana Informatika"/>
        <s v="PT Pelayaran Bahtera Adhiguna"/>
        <s v="PT Global Infotech Solutions"/>
        <s v="PT Transportasi Gas Indonesia"/>
        <s v="PT. LINTAS JARINGAN_x000a_NUSANTARA"/>
        <s v="PT Mastersystem Infotama "/>
        <s v="PT Kereta Api Indonesia"/>
        <s v="PLN DISJAYA - [UP3 BANDENGAN] "/>
        <s v="Joint All Customer ICONNET "/>
        <s v="Air Minum Surya Sembada Kota_x000a_Surabaya "/>
        <s v="ICONNET"/>
        <s v="PT. ANTAM TBK"/>
        <s v="PT Bank Negara Indonesia"/>
        <s v="PT Inti Idola Anugerah"/>
        <s v="Solusi Rekatama Makmur_x000a_"/>
        <s v="PT Pupuk Iskandar Muda"/>
        <s v="PT Ultrajaya Milk Industry _x000a_"/>
        <s v="BRI"/>
        <s v="IFORTE SOLUSI INFOTEK, PT_x000a_IKHLAS CIPT TEKNOLOGI, PT_x000a_VICTORY NETWORK INDONESIA,PT_x000a_JALA LINTAS MEDIA, PT_x000a_PGAS TELEKOMUNIKASI NUSANTARA,PT _x000a_MEDIA LINTAS DATA, PT_x000a_DEWATA TELEMATIKA, PT_x000a_WIFIAN SOLUTIONS, PT_x000a_WIFIAN SOLUTIONS, PT_x000a_ALFATIH INDO TERKNOLOGI, PT_x000a_WIFIAN SOLUTIONS, PT_x000a_JALA LINTAS MEDIA, PT_x000a_BERKAH SOLUSI TEKNOLOGI INFORMASI, PT_x000a_TELEKOMUNIKASI INDONESIA, Tbk (EOS)_x000a_BERKAH SOLUSI TEKNOLOGI INFORMASI, PT_x000a_ANDALAS MEDIA INFORMATIKA, PT_x000a_GARAPAN TEKHNOLOGI INDONESIA, PT_x000a_MEGA ARTHA LINTAS DATA, PT_x000a_JURAGAN ONLINE SOLUSI, PT_x000a_ARSEN KUSUMA INDONESIA, PT_x000a_INTEGRASI JARINGAN EKOSISTEM, PT (WEAVE)_x000a_PT. WIFIAN SOLUTION, _x000a_TELEKOMUNIKASI INDONESIA, Tbk (Eos)_x000a_Wifian Solution_x000a_ALFATIH INDO TEKNOLOGI, PT_x000a_GLOBAL MEDIA DATA PRIMA, PT_x000a_LINTAS DATA PRIMA, PT_x000a_HIPERNET INDODATA, PT_x000a_ALFATIH INDO TEKNOLOGI, PT_x000a_SEWIWI INDONESIA, PT_x000a_LINTAS DATA PRIMA, PT_x000a_GLOBAL MEDIA DATA PRIMA, PT_x000a_LINTAS DATA PRIMA, PT_x000a_PUTRA LEBAK BANTEN, PT_x000a_IKHLAS CIPT TEKNOLOGI, PT_x000a_JALA LINTAS MEDIA, PT_x000a_MEDIA SARANA DATA, PT_x000a_JINOM NETWORK INDONESIA, PT_x000a_COMTRONICS SYSTEMS, PT_x000a_MEDIA LINTAS DATA, PT_x000a_LINTAS DATA PRIMA, PT_x000a_MEDIA CEPAT INDONESIA, PT_x000a_APLIKANUSA LINTASARTA, PT_x000a_WALUYA ISTANA NUSANTARA, PT_x000a_GLOBAL MEDIA INTI SEMESTA, PT_x000a_MEDIA CEPAT INDONESIA, PT_x000a_MEDIA CEPAT INDONESIA, PT_x000a_HIPERNET INDODATA, PT_x000a_ALIANSI TEKNOLOGI INDONESIA, PT_x000a_SEWIWI INDONESIA, PT_x000a_GLOBAL MEDIA DATA PRIMA, PT_x000a_MEDIA CEPAT INDONESIA, PT_x000a_LINTAS DATA PRIMA, PT_x000a_JALA LINTAS MEDIA, PT_x000a_PT. MEDIA JARINGAN INDONESIA_x000a_PARSAORAN GLOBAL DATATRANS, PT_x000a_LINTAS DATA PRIMA, PT_x000a_MAXINDO CONTENT SOLUTION, PT_x000a_MAXINDO CONTENT SOLUTION, PT_x000a_KUPANG INTERMEDIA, PT_x000a_PT COMTRONICS SYSTEMS, PT_x000a_IKHLAS CIPTA TEKNOLOGI, PT_x000a_IKHLAS CIPTA TEKNOLOGI, PT_x000a_IKHLAS CIPTA TEKNOLOGI, PT_x000a_IKHLAS CIPTA TEKNOLOGI, PT_x000a_IKHLAS CIPTA TEKNOLOGI, PT_x000a_JAVA DIGITAL NUSANTARA_x000a_JAVA DIGITAL NUSANTARA_x000a_MITRA VISIONER PRATAMA, PT_x000a_MITRA VISIONER PRATAMA, PT_x000a_MITRA VISIONER PRATAMA, PT_x000a_PT. LIMA MENARA BINTANG_x000a_PT. PC 24 TELEKOMUNIKASI INDONESIA_x000a_GLOBAL INTI CORPORATAMA, PT_x000a_GLOBAL MEDIA DATA PRIMA, PT_x000a_GLOBAL MEDIA DATA PRIMA, PT_x000a_GLOBAL MEDIA DATA PRIMA, PT_x000a_GLOBAL MEDIA DATA PRIMA, PT_x000a_GLOBAL MEDIA DATA PRIMA, PT_x000a_GLOBAL MEDIA DATA PRIMA, PT_x000a_GLOBAL MEDIA DATA PRIMA, PT_x000a_GLOBAL MEDIA DATA PRIMA, PT_x000a_GLOBAL MEDIA DATA PRIMA, PT_x000a_GLOBAL MEDIA DATA PRIMA, PT_x000a_GLOBAL MEDIA DATA PRIMA, PT_x000a_LINKNET INDONESIA, Tbk_x000a_LINKNET INDONESIA, Tbk_x000a_LINKNET INDONESIA, Tbk_x000a_LINKNET INDONESIA, Tbk_x000a_LINKNET INDONESIA, Tbk_x000a_LINKNET INDONESIA, Tbk_x000a_LINKNET INDONESIA, Tbk_x000a_PT LINTAS DATA PRIMA_x000a_PT LINTAS DATA PRIMA_x000a_PT LINTAS DATA PRIMA_x000a_PT LINTAS DATA PRIMA_x000a_PT LINTAS DATA PRIMA_x000a_PT LINTAS DATA PRIMA_x000a_PT LINTAS DATA PRIMA_x000a_PT LINTAS DATA PRIMA_x000a_MITRA AKSES GLOBALINDO, PT_x000a_PT. TELE GLOBE GLOBAL_x000a_BALI TOWERINDO SENTRA, Tbk_x000a_BALI TOWERINDO SENTRA, Tbk_x000a_ADI INTI MANDIRI SOLUSI_x000a_PT. DES TEKNOLOGI INFORMASI_x000a_PT. DES TEKNOLOGI INFORMASI_x000a_PT DWI TUNGGAL PUTRA_x000a_EKA MAS REPUBLIK, PT_x000a_EKA MAS REPUBLIK, PT_x000a_GLOBAL DIGITAL NIAGA_x000a_GLOBAL DIGITAL NIAGA_x000a_GLOBAL DIGITAL NIAGA_x000a_PT. HANASTA DAKARA_x000a_PT. HANASTA DAKARA_x000a_HIPERNET INDODATA, PT_x000a_HIPERNET INDODATA, PT_x000a_IFORTE SOLUSI INFOTEK, PT_x000a_IFORTE SOLUSI INFOTEK, PT_x000a_IFORTE SOLUSI INFOTEK, PT_x000a_IFORTE SOLUSI INFOTEK, PT_x000a_IFORTE SOLUSI INFOTEK, PT_x000a_IFORTE SOLUSI INFOTEK, PT_x000a_IFORTE SOLUSI INFOTEK, PT_x000a_IFORTE SOLUSI INFOTEK, PT_x000a_PT. INFOMEDIA GLOBAL NUSANTARA_x000a_PT JAYA KREASI PUTRA INDONESIA_x000a_MAXINDO MITRA SOLUSI, PT_x000a_MAXINDO MITRA SOLUSI, PT_x000a_PT. MEDIA JARINGAN INDONESIA_x000a_MEDIA LINTAS DATA, PT_x000a_MEGA AKSES PERSADA, PT_x000a_MEGA AKSES PERSADA, PT_x000a_PALAPA MEDIA INDONESIA, PT_x000a_PARSAORAN GLOBAL DATATRANS, PT_x000a_PT. PRIMACOM INTERBUANA_x000a_PT. PRIMACOM INTERBUANA_x000a_PT. PRIMACOM INTERBUANA_x000a_PT. PRIMACOM INTERBUANA_x000a_PT. SKYLINE SEMESTA_x000a_PT. SKYLINE SEMESTA_x000a_PT. SKYLINE SEMESTA_x000a_PT. SOLO JALA BUANA_x000a_PT. SOLO JALA BUANA_x000a_SOLUSINDO BINTANG PRATAMA, PT_x000a_PALAPA MEDIA INDONESIA, PT_x000a_PT. PARSAORAN GLOBAL DATATRANS_x000a_TELEKOMUNIKASI INDONESIA, Tbk (DWS)_x000a_PT. JINOM NETWORK INDONESIA_x000a_PT. INTERNETWORK KOMUNIKASI INDONESIA_x000a_KREASI SEJAHTERA TEKNOLOGI, PT_x000a_KREASI SEJAHTERA TEKNOLOGI, PT_x000a_PT. PERDANA CITRA KOMPUTER INDONESIA_x000a_PT. WEB DATA SOLUSINDO_x000a_PT. ARSENET GLOBAL SOLUSI_x000a_PT BUANA LINTAS MEDIA_x000a_PT. WEB DATA SOLUSINDO_x000a_PT Mandiri Telekomunikasi Indonesia_x000a_PT. INTERNETWORK KOMUNIKASI INDONESIA_x000a_PT. BANTANI MEDIA UTAMA_x000a_PT. BANTANI MEDIA UTAMA_x000a_PT. JALA LINTAS MEDIA_x000a_PT. VICTORY NETWORK INDONESIA_x000a_PT. IFORTE SOLUSI INFOTEK_x000a_PT. WIFIAN SOLUTION_x000a_PT. PADI INTERNET_x000a_YASMIN AMANAH MEDIA, PT_x000a_YASMIN AMANAH MEDIA, PT_x000a_YASMIN AMANAH MEDIA, PT_x000a_YASMIN AMANAH MEDIA, PT_x000a_YASMIN AMANAH MEDIA, PT_x000a_YASMIN AMANAH MEDIA, PT_x000a_FASTEL SARANA INDONESIA, PT_x000a_ANGKASA KOMUNIKASI GLOBAL UTAMA, PT_x000a_ANGKASA KOMUNIKASI GLOBAL UTAMA, PT_x000a_INDONESIAN CLOUD, PT_x000a_KINGS NETWORK INDONESIA, PT_x000a_INTI BANGUN SEJAHTERA, Tbk_x000a_TIME EXCELINDO, PT_x000a_GRAHA ANUGRAH SEJAHTERA, PT_x000a_OIXP/ All pelanggan_x000a_OIXP/ All pelanggan_x000a_OIXP/ All pelanggan_x000a_OIXP/ All pelanggan_x000a_PT. DIGITAL INTEGRASI INDONESIA_x000a_PT. MILENIAL INTI TELEKOMUNIKASI_x000a_PT. ASIA CENTRAL TELEMATIKA_x000a_GLOBAL MEDIA INTI SEMESTA, PT_x000a_GLOBAL MEDIA INTI SEMESTA, PT_x000a_GLOBAL MEDIA INTI SEMESTA, PT_x000a_HIPERNET INDODATA, PT_x000a_HIPERNET INDODATA, PT_x000a_ERUDEYE INDONESIA, PT_x000a_JINOM NETWORK INDONESIA, PT_x000a_YASMIN AMANAH MEDIA, PT_x000a_PT. KREASI SEJAHTERA TEKNOLOGI_x000a_INTERLINK TECHNOLOGY, PT_x000a_WIFIAN SOLUTIONS, PT_x000a_PT. ALIANSI TEKNOLOGI INDONESIA (DANA)_x000a_"/>
        <s v="NTT Indonesia PT"/>
        <s v="PT BCA Multi Finance"/>
        <s v="Bank Syariah Indonesia"/>
        <s v="Invonesia Solusi Data"/>
        <s v="Bank Sinarmmas"/>
        <s v="BUKALAPAK.COM"/>
        <s v="PT Fujitsu Indonesia"/>
        <s v="PT MAYBANK KIM ENG SECURITIES INDONESIA"/>
        <s v="PT EKA MAS REPUBLIK"/>
        <s v="PT ASTRA OTOPARTS"/>
        <s v="PT FABER-CASTELL INTERNATIONAL INDONESIA"/>
        <s v="KANSAI PAINT INDONESIA"/>
        <s v="PT MITSUBA INDONESIA PIPE PARTS"/>
        <s v="PT TIRTA ALAM SEGAR"/>
        <s v="PT TENMA INDONESIA"/>
        <s v="PT HANKYU HANSHIN LOGISTICS INDONESIA"/>
        <s v="TOYOTA TSUSHO LOGISTIC CENTER"/>
        <s v="PT. COMTRONICS SYSTEMS"/>
        <s v="PT. ICHIKOH INDONESIA"/>
        <s v="PT. MENARA CIPTA METALINDO"/>
        <s v="PT. HIPERNET INDODATA"/>
        <s v="PT. SHINSEI DENSHI INDONESIA"/>
        <s v="PT NETMARKS INDONESIA"/>
        <s v="BUT. SARULLA OPERATIONS LTD"/>
        <s v="PT Mitsui Chemical Polyurethanes Indonesia"/>
        <s v="PT MEGADEPO INDONESIA"/>
        <s v="BANK PANIN"/>
        <s v="PT SUMBER ALFARIA TRIJAYA TBK"/>
        <s v="PT BANK SYARIAH (KCP JAKARTA SERPONG)"/>
        <s v="PT MEGADEPO BANGUNAN"/>
        <s v="PT DEKORUMA NIAGA SEJAHTERA"/>
        <s v="PT. RAJAWALI NUSANTARA INDONESIA (RNI)"/>
        <s v="PT NAP INFO LINTASNUSA "/>
        <s v="PT TOYOTA ASTRA FINANCIAL SERVICES"/>
        <s v="PT BANK MANDIRI BEKASI "/>
        <s v="PT SENTRAL GRAIN TERMINAL"/>
        <s v="PT KRAKATAU DAYA LISTRIK"/>
        <s v="PT. KNAUF PLASTERBOARD INDONESIA"/>
        <s v="PT TOKKI ENGINEERING AND FABRICATION"/>
        <s v="PT SGC BARITO LOGISTICS"/>
        <s v="PT IX TELECOM qq"/>
        <s v="PT DAEKYUNG INDAH INDUSTRY"/>
        <s v="PT. COMMUNICATION CABLE SYSTEMS INDONESIA TBK (JL. Eropa II)"/>
        <s v="PT. LINK NET"/>
        <s v="PT Thermax International Indonesia"/>
        <s v="PT NIKOMAS GEMILANG"/>
        <s v="PT. BANK RAKYAT INDONESIA TBK"/>
        <s v="PT. LANDMARK CONCURENT SOLUSI INDONESIA"/>
        <s v="PT. PERTAMINA (PERSERO)"/>
        <s v="PT. PERTAMINA BINA MEDIKA "/>
        <s v="PT. PERTAMINA GAS "/>
        <s v="PT. BIMASAKTI MULTI SINERGI"/>
        <s v=" PT MITRA VISIONER PRATAMA"/>
        <s v="PT. ADHI PRADANA MAKAYASA"/>
        <s v="PT MARSILIAN AKUSARA LESTARI"/>
        <s v="PT SELAGO MAKMUR PLANTATION"/>
        <s v="PT AMSL INDONESIA"/>
        <s v="Kemenkominfo Ditjen Aplikasi Informatika (Aptika)"/>
        <s v="PT HIGO FITUR INDONESIA"/>
        <s v="PT NS BLUESCOPE INDONESIA"/>
        <s v="BPH MIGAS 30 Mbps"/>
        <s v="BPH MIGAS MSR PLATINUM"/>
        <s v="BADAN PENGAWAS PEMILIHAN UMUM SEKRETARIAT BADAN (BAWASLU)"/>
        <s v="PT Pertamina Hulu Energi"/>
        <s v="Bank Danamon"/>
        <s v="PT Jaringanku Sarana Nusantara"/>
        <s v="PT Lintas Jaringan Nusantara_x000a_PT Telemedia Dinamika Sarana"/>
        <s v="PT  IDC Data Center Duren Tiga"/>
        <s v="PT Milenial Inti Telekomunikasi"/>
        <s v="PT Trouw Nutrition Indonesia"/>
        <s v="ALL Pelanggan di IDC"/>
        <s v="PT EHK (Energasindo Heksa Karya)"/>
        <s v="PT Aica Indria"/>
        <s v="PT Cipta Telekomunikasi Mandiri_x000a_PT Dharma Bakti Insani"/>
        <s v="Bank Jambi"/>
        <s v="PT Telekomunikasi Indonesia International"/>
        <s v="PT China Telecom Indonesia Teknologi"/>
        <s v="PT Solusi Pembayaran Elektronik"/>
        <s v="Pertamina Gas"/>
        <s v="PT PLN (PERSERO) KANTOR PUSAT (GH 0017)"/>
        <s v="PT Telemedia Dinamika Sarana"/>
        <s v="PT Yetoya Solusi Indonesia (CDC to APJII)"/>
        <s v="Asia Talenta Mandiri"/>
        <s v="PT Jaya Refrigeration Equipment (Upgrade)"/>
        <s v="PT Badan Nusantara Compnet Integrator"/>
        <s v="PT Media Cloud Indonesia"/>
        <s v="PT Sandya Sistem Indonesia_x000a_PT Jaringanku Sarana Nusantara_x000a_PT Java Digital Nusantara_x000a_PT Jaringanku Sarana Nusantara_x000a_PT Jaringanku Sarana Nusantara_x000a_PT Giga Digital Nusantara_x000a_PT. Tele Globe Global Cyeber"/>
        <s v="PT Mastersystem Infotama PHE Tower"/>
        <s v="PT Mastersystem Infotama Gedung RDTX "/>
        <s v="PT Astra International TBK #Cyber"/>
        <s v="PT Astra International TBK #Tenant"/>
        <s v="PT Jaya Refrigeration Equipment"/>
        <s v="PT Hitachi Astemo Bekasi Manufacturing"/>
        <s v="United Nations Development Programme (UNDP)"/>
        <s v="PT Bank Panin Tbk"/>
        <s v="PT Mulia Industrindo Tbk"/>
        <s v="Bank Sinarmas (Kemenag Bekasi)"/>
        <s v="Bank Sinarmas (Deltamas Bekasi)"/>
        <s v="Bank Sinarmas (Pancoran Mas Depok)"/>
      </sharedItems>
    </cacheField>
    <cacheField name="Alamat Pengelola" numFmtId="0">
      <sharedItems containsBlank="1"/>
    </cacheField>
    <cacheField name="Originating " numFmtId="0">
      <sharedItems containsBlank="1"/>
    </cacheField>
    <cacheField name="Terminating " numFmtId="0">
      <sharedItems containsBlank="1" longText="1"/>
    </cacheField>
    <cacheField name="Metode Kerjasama" numFmtId="0">
      <sharedItems/>
    </cacheField>
    <cacheField name="Jenis  Sewa" numFmtId="0">
      <sharedItems containsBlank="1" count="25">
        <s v="Interkoneksi"/>
        <s v="Collocation"/>
        <s v="Cross Connect"/>
        <s v="Collocation "/>
        <s v="Cross Connect "/>
        <s v="Revenue Sharing"/>
        <m u="1"/>
        <s v="Core" u="1"/>
        <s v="Rack" u="1"/>
        <s v="Additional Port" u="1"/>
        <s v="Kabel Tray" u="1"/>
        <s v="Slot Pipa" u="1"/>
        <s v="Colocation " u="1"/>
        <s v="Interkoneksi " u="1"/>
        <s v="Gedung" u="1"/>
        <s v="Shaft" u="1"/>
        <s v="Lahan" u="1"/>
        <s v="Aplikasi" u="1"/>
        <s v="Cross Connnect" u="1"/>
        <s v="Cross Conncet" u="1"/>
        <s v="Inter koneksi" u="1"/>
        <s v="Intekoneksi" u="1"/>
        <s v="Backhaul" u="1"/>
        <s v="Colocation" u="1"/>
        <s v="Cross Conenect" u="1"/>
      </sharedItems>
    </cacheField>
    <cacheField name="NO SO" numFmtId="0">
      <sharedItems containsBlank="1" containsMixedTypes="1" containsNumber="1" containsInteger="1" minValue="1000029813" maxValue="111202017685" count="1224" longText="1">
        <s v="AR/ACT/1904/10733"/>
        <s v="PA/ACT /1808/0396"/>
        <s v="AL/1812/17142"/>
        <s v="ICON-00/ACT/1501/0690"/>
        <s v="AL/1809/9066"/>
        <s v="PA/ACT /1803/0827"/>
        <s v="ICON-00/ACT/1603/0405"/>
        <s v="PA/UPG /2001/0203"/>
        <s v="ICON-00/SOP/1403/0019"/>
        <s v="PA/ACT /2006/1164/TER"/>
        <s v="ICON-00/ACT/1409/0507"/>
        <s v="ICON-00/ACT/1707/0184, ICON-00/ACT/1706/0551, ICON-00/ACT/1707/0086"/>
        <s v="ICON-00/SBC/1704/002, ICON-00/SBC/1509/002"/>
        <s v="PA/ACT /1912/2626"/>
        <s v="PA/ACT /2002/2222"/>
        <s v="PA/ACT /2008/1120"/>
        <s v="AL/1904/5372, AL/1912/56534, PA/ACT/1802/2046"/>
        <s v="AL/2005/15084"/>
        <s v="PA/RLK/1902/0056, PA/RLK/1902/0058, PA/RLK/1920/0057"/>
        <n v="1000029813"/>
        <s v="PA/ACT /2003/0542"/>
        <s v="ICON-00/SBC/1802/0442"/>
        <s v="357849/1285644652/103|170000211820025, 170000218240011"/>
        <s v="ICON-00/SBC/1507/0516"/>
        <s v="PA/ACT /2001/1658/TER"/>
        <s v="PA/ACT/1801/0234"/>
        <s v="ICON-00/ACT/1511/0021, PA/ACT/1902/0567, PA/ACT/1902/0568,  PA/ACT/1902/0569,  PA/ACT/1902/0571,  PA/ACT/1902/0572"/>
        <s v="PA/RLK/2001/0030/TER"/>
        <s v="PA/RLK/2007/0001"/>
        <s v="PA/ACT /2004/0168 PA/ACT/2004/0585"/>
        <s v="PA/ACT /1901/1720, PA/ACT/1901/1721"/>
        <s v="ICON-00/ACT/1706/0466"/>
        <s v="PA/ACT /2003/0168"/>
        <s v="PA/ACT /2005/0446"/>
        <s v="PA/ACT /2009/0311"/>
        <s v="ICON-00/ACT/1609/0540"/>
        <s v="PA/ACT/2001/3141/TER, PA/ACT/2001/3142"/>
        <s v="PA/ACT/2008/0810"/>
        <s v="ICON-00/SBC/1601/0379/ICON-00/ACT/1407/0018"/>
        <s v="ICON-00/SBC/1802/0359"/>
        <s v="AL/1908/32235"/>
        <s v="OPT/1801/1896"/>
        <s v="ICON-00/SBC/1606/0029"/>
        <s v="PA/ACT/1805/0890"/>
        <s v="PA/ACT/1811/1730"/>
        <s v="ICON-00/SBC/1504/0028"/>
        <s v="ICON-00/SBC/1711/0073"/>
        <s v="PA/UPG/1909/0275"/>
        <s v="ICON-00/SBC/1611/0594"/>
        <s v="ICON-00/SBC/1611/0224"/>
        <s v="PA/ACT/1908/0561"/>
        <s v="AL/1910/51950"/>
        <s v="AL/1809/9566"/>
        <s v="PA/ACT/1906/1841/TER"/>
        <s v="ICON-00/SBC/1611/0056"/>
        <s v="PA/ACT/1905/0269"/>
        <s v="AR/ACT/1810/18452"/>
        <s v="-"/>
        <s v="PA/RLK/2005/0035"/>
        <s v="ICON-00/SBC/1608/0499"/>
        <s v="PA/ACT/1811/3222"/>
        <s v="PA/RLK/1903/0003"/>
        <s v="ICON-00/ACT/1409/0073/ICON-00/SBC/1503/0447"/>
        <s v="PA/UPG/1909/0264"/>
        <s v="ICON-00/ACT/1702/0224"/>
        <s v="PA/ACT/1803/0184"/>
        <s v="PA/ACT/2009/0322/TER, PA/ACT/2008/2026"/>
        <m/>
        <s v="ICON-00/SBC/1801/0589"/>
        <s v="PA/ACT/2002/2405"/>
        <s v="PA/ACT/2010/1221"/>
        <s v="PA/ACT/1907/2400"/>
        <s v="ICON-00/ACT/1604/0047"/>
        <s v="ICON-00/SBC/1708/0918"/>
        <s v="ICON-00/SBC/1605/0306"/>
        <s v="PA/ACT/1907 /1761/TER"/>
        <s v="ICON-00/SBC/1703/0371"/>
        <s v="PA/DOW/1812/0052"/>
        <s v="AL/1904/7057"/>
        <s v="PA/ACT/1903/0976"/>
        <s v="PA/ACT/2003/0168"/>
        <s v="PA/RLK/2004/0088/ORI"/>
        <s v="PA/ACT/2008/1896"/>
        <s v="ICON-00/SBC/1309/0461"/>
        <s v="PA/RLK/1803/0020/TER"/>
        <s v="PA/ACT/1812/0388"/>
        <s v="ICON-00/SBC/1702/0689"/>
        <s v="PA/ACT/2006/1779"/>
        <s v="PA/UPG/1907/0071"/>
        <s v="PA/RLK/2001/0008/TER"/>
        <s v="PA/ACT/2002/0170"/>
        <s v="ICON-00/ACT/1412/0261"/>
        <s v="PA/DOW/1901/0107"/>
        <s v="PA/ACT/2011/1785/TER"/>
        <s v="PA/UPG/1910/0022"/>
        <s v="PA/ACT/1804/1335/TER"/>
        <s v="PA/ACT/2009/0246"/>
        <s v="ICON-00/SBC/1612/0017"/>
        <s v="PA/ACT/1908/2157, PA/ACT/1908/2158, PA/ACT/1908/2160"/>
        <s v="PA/UPG/1909/0243, PA/ACT/1907/3735"/>
        <s v="1000127778"/>
        <s v="ICON-00/ACT/1711/1089"/>
        <s v="PA/ACT/2005/1127/TER"/>
        <s v="14128/SPP/008/PUSAT/ICON+/2020"/>
        <s v="PA/ACT/1806/0736"/>
        <s v="PA/ACT/1907/2013/TER"/>
        <s v="ICON-00//SBC/1706/0035"/>
        <s v="PA/ACT/2002/1094"/>
        <s v="PA/ACT/2001/3966"/>
        <s v="PA/ACT/2001/3966/TER"/>
        <s v="PA/ACT/2003/0160"/>
        <s v="PA/ACT/2002/2086"/>
        <s v="PA/ACT/2003/0541"/>
        <s v="PA/ACT/1812/0776"/>
        <s v="PA/ACT/1810/0186"/>
        <s v="ICON-00/ACT/1403/0570/0990000320347478/ICON-00/SBC/1411/0452"/>
        <s v="ICON-00/SBC/1710/2251"/>
        <s v="ICON-00/ACT/1605/0716, ICON-00/ACT/1605/0717, ICON-00/ACT/1605/0718, ICON-00/ACT/1605/0720, ICON-00/ACT/1605/0719"/>
        <s v="AL/1906/14578, PA/ACT/1904/2085"/>
        <s v="ICON-00/SBC/1208/0067, ICON-00/SBC/1208/0068"/>
        <s v="PA/UPG/1905/0156"/>
        <s v="PA/ACT/1810/1684"/>
        <s v="ICON-00/SOP/1403/0020"/>
        <s v="PA/ACT/1910/4038"/>
        <s v="ICON-00/ACT/1510/0150"/>
        <s v="ICON-00/SBC/1706/0035, ICON-00/SBC/1704/0227"/>
        <s v="PA/RLK/2003/0178/TER"/>
        <s v="PA/RLK/2003/0008/TER"/>
        <s v="SPA/ACT/1911/000485"/>
        <s v="PA/ACT/1808/0394"/>
        <s v="AL/1809/10470"/>
        <s v="PA/ACT/1802/2350"/>
        <s v="PA/ACT/1905/1258"/>
        <s v="PA/ACT/2001/0748"/>
        <s v="AL/1903/5178"/>
        <s v="PA/UPG/1804/0816"/>
        <s v="PA/RLK/1809/0059"/>
        <s v="ICON-00/SBC/1710/1222"/>
        <s v="ICON-00/SBC/1801/0258"/>
        <s v="AL/2008/41053"/>
        <s v="PA/ACT/2009/0738/ORI"/>
        <s v="PA/ACT/2009/0142/TER"/>
        <s v="ICON-00/ACT/1108/3949"/>
        <s v="PA/ACT/1808/0376"/>
        <s v="PA/ACT/2008/2588"/>
        <s v="ACT/1810/0036/AL/1811/13"/>
        <s v="ICON-00/SBC/1408/0274/0990000320354328"/>
        <s v="ICON-00/ACT/1709/1154"/>
        <s v="CT/1908/0063/TER/AL/1912/5"/>
        <s v="ICON-00/SOP/1404/0010"/>
        <s v="PA/ACT/1907/3933 , PA/ACT/1907/3934 , PA/ACT/1907/3935"/>
        <s v="PA/ACT/2007/0099/TER"/>
        <s v="PA/ACT/2002/2222/TER"/>
        <s v="PA/ACT/1908/0899"/>
        <s v="PA/ACT/1912/3172"/>
        <s v="1000106862 , 1000094688"/>
        <s v="MIG/1705/0004"/>
        <s v="PA/ACT/1811/3227"/>
        <s v="PA/ACT/2003/1096"/>
        <s v="AL/1908/31866"/>
        <s v="ICON-00/SBC/1506/0252"/>
        <s v="PA/ACT/22010/1261/TER"/>
        <s v="PA/ACT/2010/1259"/>
        <s v="PA/ACT/1907/2014/TER , PA/ACT/1907/2013/TER , PA/ACT/1907/2012/TER , PA/ACT/1907/2010/TER , PA/ACT/1907/2009/TER , PA/ACT/1907/2007/TER"/>
        <s v="PA/ACT/2005/0486"/>
        <s v="PA/ACT/2007/1607 , PA/ACT/2007/1030"/>
        <s v="PA/ACT/2001/0546/TER"/>
        <s v="PA/ACT/2005/0949"/>
        <s v="PA/ACT/1901/0690"/>
        <s v="AR/UPG/1905/1992 , AR/ACT/1712/0967 , AR/ACT/2005/14669"/>
        <s v="PA/ACT/2002/2197/TER"/>
        <s v="PA/ACT/2008/0804"/>
        <s v="ICON-00/SBC/1610/0269"/>
        <s v="PA/ACT/2012/0399"/>
        <s v="PA/ACT/2012/0459"/>
        <s v="PA/ACT/2103/0262"/>
        <s v="PA/UPG/2008/0002 , PA/UPG/2008/0011/TER . PA/UPG/2008/0003"/>
        <s v="PA/ACT/2102/0766/TER , PA/ACT/2102/0781/TER , PA/ACT/2102/0767/TER "/>
        <s v="PA/ACT/2101/0388"/>
        <s v="PA/ACT/2102/0657"/>
        <s v="PA/ACT/2101/1877"/>
        <s v="PA/ACT/1907/1761/TER"/>
        <s v="MIG/1705/0004/ICON-00/SBC/1710/0706"/>
        <s v="PA/UPG/1909/0027"/>
        <s v="PA/UPG/1906/0029 , ICON-00/SBC/1711/0683"/>
        <s v="PA/ACT/1809/1618 , PA/ACT/1809/1782"/>
        <s v="PA/ACT/2106/1509"/>
        <s v="PA/ACT/2107/0545"/>
        <s v="PA/ACT/2106/0018"/>
        <s v="PA/ACT/2104/2615"/>
        <s v="AL/2001/2467"/>
        <s v="AR/CHT/2103/1186"/>
        <s v="ACT/1810/0036/AL/1811/13 , AR/ACT/1909/30972 , AR/UPG/1905/1914 , AR/UPG/1905/1913 , AR/UPG/1905/1918"/>
        <s v="PA/ACT/2010/1353"/>
        <s v="PA/ACT/1912/0149/TER"/>
        <s v="PA/RLK/2009/0090/TER"/>
        <s v="PA/ACT/2111/3315/TER"/>
        <s v="AL/1903/4924/0990000320376164 , AL/1903/4934/0990000320376162"/>
        <s v="PA/ACT/1904/0156 "/>
        <s v="PA/ACT/2109/1806/TER"/>
        <s v="PA/ACT/2109/0110"/>
        <s v="PA/UPG/1902/0037 , PA/UPG/1902/0043"/>
        <s v="PA/ACT/2105/0443/TER"/>
        <s v="PA/UPG/1906/0069 , PA/ACT/1805/0437"/>
        <s v="PA/ACT/2110/0365"/>
        <s v="PA/UOD/2110/0010"/>
        <s v="ICON-00/SBC/1609/0292"/>
        <s v="PA/ACT/2102/2076/TER"/>
        <s v="PA/ACT/2011/1679/TER"/>
        <s v="PA/UPG/2102/0694"/>
        <s v="PA/RLK/2101/0116/TER"/>
        <s v="PA/ACT/2012/2393/TER"/>
        <s v="PA/ACT/2012/0489"/>
        <s v="PA/ACT/2012/2159"/>
        <s v="110214067/MI/07/PST/2020"/>
        <s v="PA/ACT/1904/2037/TER"/>
        <s v="PA/ACT/1803/0827"/>
        <s v="ICON-00/ACT/1705/1412"/>
        <s v="AL/1912/61745"/>
        <s v="PA/UPG/2106/0232/TER"/>
        <s v="PA/ACT/2107/0057/TER"/>
        <s v="PA/ACT/2104/2730/TER"/>
        <s v="PA/ACT/2104/1125"/>
        <s v="PA/UPG/2101/0395"/>
        <s v="PA/UPG/1810/0006"/>
        <s v="0990000320511772/ICON-00/SBC/1707/0137, AL/2005/15476, AR/DOW/1804/0075"/>
        <s v="PA/ACT/2112/2143"/>
        <s v="ICON-00/ACT/1711/1437"/>
        <s v="PA/ACT/2011/0709"/>
        <s v="PA/ACT/2109/2254/TER"/>
        <s v="PA/RLK/2112/0084/TER"/>
        <s v="PA/ACT/2108/1751/TER"/>
        <s v="PA/ACT/1805/0063"/>
        <s v="PA/ACT/2109/1556/TER"/>
        <s v="PA/ACT/2004/1165/TER"/>
        <s v="PA/UPG/1812/0585"/>
        <s v="ICON-00/SBC/1711/0550"/>
        <s v="ICON-00/ACT/1711/1474, ICON-00/ACT/1705/1419"/>
        <s v="PA/ACT/1902/1519"/>
        <s v="PA/ACT/2104/2393"/>
        <s v="PA/ACT/1812/1562/TER"/>
        <s v="PA/RLK/2104/0013"/>
        <s v="PA/UPG/2104/0197"/>
        <s v="PA/UPG/2104/0111"/>
        <s v="PA/ACT/2107/0553"/>
        <s v="PA/ACT/2107/0206"/>
        <s v="AL/2010/50624"/>
        <s v="AL/2005/15474, AL/2005/15475"/>
        <s v="PA/ACT/1806/1081"/>
        <s v="PA/ACT/1809/0799"/>
        <s v="PA/ACT/1912/2626"/>
        <s v="PA/ACT/1912/0025"/>
        <s v="AL/1809/10470/ICON-00/1606/0123"/>
        <s v="PA/ACT/2002/0814"/>
        <s v="PA/ACT/2006/1141"/>
        <s v="AL/2012/78421"/>
        <s v="ICON-00/SBC/1806/0021"/>
        <s v="PA/ACT/2105/2400/TER"/>
        <s v="PA/ACT/2105/0645"/>
        <s v="PA/ACT/1806/0079"/>
        <s v="PA/ACT/2001/1498"/>
        <s v="PA/ACT/1803/0081"/>
        <s v="AL/2005/13887"/>
        <s v="AL/1904/5372"/>
        <s v="PA/ACT/2001/0593"/>
        <s v="PA/ACT/2104/2395"/>
        <s v="PA/ACT/2012/0457/TER"/>
        <s v="PA/ACT/1802/1088"/>
        <s v="PA/UPG/2010/0056"/>
        <s v="PA/ACT/1802/1952"/>
        <s v="ICON-00/ACT/1606/0060"/>
        <s v="AR/ACT/2201/2563/PA/ACT/2201/3045/'01000187928"/>
        <s v="ICON-00/SBC/1609/0095"/>
        <s v="PA/RLK/2009/0090"/>
        <n v="1000120403"/>
        <s v="PA/UPG/1909/0260, PA/UPG/1909/0264"/>
        <s v="PA/ACT/1807/0999"/>
        <s v="AL/2002/54551#PA/RLK/1909/"/>
        <s v="PA/ACT/1907/3735"/>
        <s v="PA/ACT/2108/1056, PA/ACT/2108/1057"/>
        <s v="PA/ACT/2108/0103, PA/UPG/2004/0026, PA/ACT/1905/2963"/>
        <s v="PA/UOD/2206/0010/TER"/>
        <s v="ICON-00/SBC/1810/0080"/>
        <s v="AL/2020/50623"/>
        <s v="PA/RLK/1803/0020"/>
        <s v="PA/UPG/1810/0084"/>
        <s v="PA/ACT/2105/0711"/>
        <s v="ICON-00/SBC/1309/0467"/>
        <s v="AL/1902/3892, AL/1910/52208"/>
        <s v="PA/ACT/1905/2978"/>
        <s v="PA/RLK/2006/0020"/>
        <s v="PA/ACT/1912/0555"/>
        <s v="PA/RLK/1902/0056"/>
        <s v="PA/ACT/1903/1573, PA/ACT/1903/2236"/>
        <s v="PA/UPG/1909/0258"/>
        <s v="1000024892"/>
        <s v="60001748"/>
        <s v="PA/UPG/1910/0010"/>
        <s v="AL/2005/15326"/>
        <s v="4500016135, 4500016245, 4500016346"/>
        <s v="PA/ACT/2108/0015"/>
        <s v="PA/RLK/2108/0043, PA/RLK/2108/0042, PA/RLK/2108/0041"/>
        <s v="PA/ACT/2106/3300"/>
        <s v="PA/RLK/2107/0057"/>
        <s v="PA/UPG/2010/0017, PA/ACT/1807/0333"/>
        <s v="ICON-00/ACT/1709/1154, ICON-00/ACT/1302/0085"/>
        <s v="PA/ACT/1801/0637"/>
        <s v="PA/ACT/2003/0178"/>
        <s v="AL/2010/56641"/>
        <s v="PA/RLK/2109/0003/ORI"/>
        <s v="PA/ACT/2109/0159/ORI"/>
        <s v="PA/RLK/1907/0039"/>
        <s v="PA/ACT/2103/0900/TER"/>
        <s v="PA/ACT/2104/2210"/>
        <s v="PA/UPG/2103/0224"/>
        <s v="PA/ACT/2104/2689"/>
        <s v="PA/ACT/2104/2657"/>
        <s v="ICON-00/SBC/1703/0276"/>
        <s v="AL/1907/26735,AL/1907/26741"/>
        <s v="AL/2002/6689"/>
        <s v="PA/UPG/2008/0002"/>
        <s v="PA/ACT/1908/4529"/>
        <s v="PA/ACT/1903/2565/TER"/>
        <s v="AL/2103/12970,AL/2003/12911,AL/2010/58868"/>
        <s v="ICON-00/MIG/1611/0043,ICON-00/ACT/1610/0522,ICON-00/ACT/1609/0746"/>
        <s v="PA/ACT/2001/3142,PA/ACT/2001/3142"/>
        <s v="AL/2104/22820"/>
        <s v="PA/ACT/1911/43662"/>
        <s v="ICON-00/SOP/1404/0004"/>
        <s v="PA/ACT/2106/2946/TER, PA/ACT/2106/2945/TER"/>
        <s v="AL/2009/45930"/>
        <s v="1000106826, 1000094688"/>
        <s v="PA/ACT/2004/0585"/>
        <s v="PA/UPG/2001/0203"/>
        <s v="AR/ACT/1810/18466"/>
        <s v="AR/CHT/2103/1196"/>
        <s v="PA/ACT/2108/1899"/>
        <s v="PA/ACT/1808/0360"/>
        <s v="PA/TRL/2101/0017/TER"/>
        <s v="PA/RLK/2104/0051"/>
        <s v="AL/2004/10293"/>
        <s v="PA/ACT/1911/0379/TER"/>
        <s v="PA/ACT/2103/1475/ORI, PA/ACT/2103/1352"/>
        <s v="PA/ACT/2103/1696"/>
        <s v="PA/ACT/2103/1250/TER"/>
        <s v="AL/2008/38045"/>
        <s v="AL/1809/9544, AL/2001/1116"/>
        <s v="PA/ACT/1901/0856"/>
        <s v="PA/ACT/1811/1966"/>
        <s v="ICON-00/SOP/1707/0112"/>
        <s v="ICON-00/SBC/1801/0213"/>
        <s v="ICON-00/SBC/1709/1243"/>
        <s v="PA/ACT/1812/1439"/>
        <s v="ICON-00/SBC/1802/0068"/>
        <s v="AL/2005/15433"/>
        <s v="AL/2102/9846"/>
        <s v="PA/ACT/1902/1116"/>
        <s v="ICON-00/MIG/1703/0048"/>
        <s v="ICON-00/SBC/1512/0452"/>
        <s v="PA/UPG/2107/0003"/>
        <s v="PA/ACT/2006/0717"/>
        <s v="PA/ACT/2106/0130/TER"/>
        <s v="PA/DOW/2008/0029"/>
        <s v="ICON-00/ACT/1511/0021"/>
        <s v="ICON-00/SBC/1811/0010"/>
        <s v="PA/ACT/2012/0255"/>
        <s v="990000320427676"/>
        <s v="PA/ACT/1804/1335"/>
        <s v="PA/ACT/2002/2405, PA/ACT/2002/2406"/>
        <s v="357849/1285644652/103"/>
        <s v="PA/ACT/2005/0446"/>
        <s v="PA/ACT/1907/3933, PA/ACT/1907/3934, PA/ACT/1907/3935"/>
        <s v="PA/ACT/2108/2024"/>
        <s v="AL/2012/74719"/>
        <s v="PA/UPG/1906/0052"/>
        <s v="ICON-00/MIG/1611/0043, ICON-00/ACT/1610/0522, ICON-00/ACT/1609/0746"/>
        <s v="AL/2009/41591 "/>
        <s v="PA/TRL/2208/0040"/>
        <s v="PA/ACT/2206/16523/TER"/>
        <s v="AL/2110/98772"/>
        <s v="AL/2201/6674"/>
        <s v="AL/2005/15476, ICON-00/SBC/1707/0137"/>
        <s v="PA/UPG/1906/0029, ICON-00/SBC/1711/0683"/>
        <s v="AL/2009/43209"/>
        <s v="PA/ACT/2205/2008"/>
        <s v="AL/2111/120283"/>
        <s v="PA/ACT/2201/4071"/>
        <s v="PA/ACT/2201/3546"/>
        <s v="PA/UPG/2201/0411/TER"/>
        <s v="PA/UPG/2209/0055"/>
        <s v="PAP/ACT/1809/1510"/>
        <s v="ICON-00/SBC/1503/0192"/>
        <s v="PA/ACT/2210/2385"/>
        <s v="PA/ACT/2211/0133"/>
        <s v="PA/ACT2110/2072"/>
        <s v="AR/CHT/2103/1264"/>
        <s v="PA/ACT/2112/0041"/>
        <s v="PA/ACT/2209/4589/TER"/>
        <s v="PA/ACT/1804/1002"/>
        <s v="PA/ACT/1810/0048"/>
        <s v="SP2K 4500016079"/>
        <s v="ICON00/S0P/1707/0112/AL/1909/367232"/>
        <s v="PA/UPG/2111/0035"/>
        <s v="ICON-00/SBC/1601/0379, ICON-00/ACT/1407/0018"/>
        <s v="PA/ACT/2207/0766"/>
        <s v="PA/ACT/1810/0048,PA/ACT/2009/0738,PA/ACT/2204/0857"/>
        <s v="PA/ACT/2205/2040"/>
        <s v="PA/ACT/2207/2392/TER"/>
        <s v="PA/ACT/2206/19102/TER"/>
        <s v=" PA/TRL/2207/0053/TER"/>
        <s v="PA/ACT/2206/16564"/>
        <s v="Pelanggan PT ICON"/>
        <s v="PA/ACT/2204/4125/TER"/>
        <s v="PA/UPG/2008/0151/TER"/>
        <s v="PA/ACT/1802/1067"/>
        <s v="PA/ACT/2210/2386"/>
        <s v="PA/ACT/2210/2015"/>
        <s v="PA/ACT/2204/0271"/>
        <s v="PA/ACT/2206/16524"/>
        <s v="PA/ACT2210/0062/TER"/>
        <s v="PA/ACT/2209/2049"/>
        <s v="PA/ACT/2108/0103"/>
        <s v="PA/ACT/2204/0193"/>
        <s v="AL/1805/2823,ICON-00/SCB/1211/0462"/>
        <s v="ICON-00/ACT/1502/0273"/>
        <s v="ICON-00/ACT/1506/0233"/>
        <s v="AL/2002/5192"/>
        <s v="AL/1910/47255, AL/1910/47256"/>
        <s v="AL/2112/136926"/>
        <s v="PA/ACT/2201/2967/ORI"/>
        <s v="PA/ACT/2001/3225, AL/2008/37098"/>
        <s v="PA/ACT/2205/0982/ORI"/>
        <s v="PA/RLK/2111/0090"/>
        <s v="PA/ACT/2204/0198"/>
        <s v="PA/ACT/2103/1983/ORI, PA/ACT/2003/1096/TER, PA/ACT/2106/3300, PA/ACT/2005/0446"/>
        <s v="AL/2006/19405"/>
        <s v="PA/ACT/2001/3141"/>
        <s v="1000029813"/>
        <s v="PA/ACT/2003/0168, PA/ACT/2004/0585"/>
        <s v="PA/ACT/2210/1177"/>
        <s v="PA/UPG/2112/0158"/>
        <s v="PA/ACT/1807/0333"/>
        <s v="PA/ACT/2111/4500"/>
        <s v="PA/RLK/2111/0021, PA/RLK/2111/0034, PA/ACT/2002/2154, PA/ACT/2203/2624"/>
        <s v="PA/ACT/0457/TER"/>
        <s v="PA/ACT/1804/0236/ORI"/>
        <s v="PA/ACT/2002/0731/TER"/>
        <s v="PA/ACT/2203/2604/TER"/>
        <s v="PA/ACT/2203/2605/TER"/>
        <s v="PA/ACT/2203/1103/TER"/>
        <s v="PA/ACT/2202/0907/TER"/>
        <s v="PA/ACT/2201/3835"/>
        <s v="PA/ACT/2203/0309/TER"/>
        <s v="PA/ACT/2209/5345"/>
        <s v="PA/ACT/2112/2385"/>
        <s v="PA/ACT/2203/0817"/>
        <s v="PA/RLK/1902/0057"/>
        <s v="AL/2007/35005"/>
        <s v="AL/2107/53240"/>
        <s v="PA/ACT/2203/3379/TER"/>
        <s v="PA/ACT/2204/0476"/>
        <s v="PA/UPG/2112/0336"/>
        <s v="PA/RLK/2203/0007"/>
        <s v="PA/ACT/2203/1954/TER"/>
        <s v="CON-00/ACT/1511/0021, PA/ACT/1902/0567"/>
        <s v="PA/ACT/2112/1723, PA/ACT/2112/2341"/>
        <s v="PA/ACT/1801/1090"/>
        <s v="ICON-00/ACT/1609/0670, ICON-00/ACT/1609/0671"/>
        <s v="PA/ACT/1910/0328"/>
        <s v="AL/2112/140373"/>
        <s v="PA/ACT/2209/0277/TER"/>
        <s v="ICON-00/SBC/1801/0265"/>
        <s v="AL/2109/77146"/>
        <s v="PA/ACT/2009/0916"/>
        <s v="PA/ACT/2105/1239"/>
        <s v="PA/RLK/2107/0057, PA/RLK/2107,0056"/>
        <s v="PA/ACT/2205/1858/TER"/>
        <s v="PA/UPG/2201/0520"/>
        <s v="PA/UPG/2208/0213, PA/UPG/2208/0214"/>
        <s v="AL/2206/83115"/>
        <s v="PA/UPG/1909/0258, PA/UPG/1911/0048"/>
        <s v="ICON-00/SBC/1712/0380"/>
        <s v="PA/ACT/2203/2624/ORI"/>
        <s v="AL/2120/98772"/>
        <s v="PA/ACT/1808/0396"/>
        <s v="PA/ACT/2112/0932/TER, AR/ACT/2112/37414/0100017880"/>
        <s v="PA/ACT/1901/0235, PA/ACT/1901/0236"/>
        <s v="PA/ACT/2103/0587, AL/2107/56681"/>
        <s v="PA/UPG/2204/0451"/>
        <s v="PA/ACT/2110/1649/TER"/>
        <s v="AL/1903/4924/0990000320376164"/>
        <s v="PA/UPG/1906/0005"/>
        <s v="PA/ACT/2208/3992"/>
        <s v="PA/RLK/2109/0110"/>
        <s v="PA/ACT/2210/0687/ORI"/>
        <s v="ICON-00/SBC/1701/0192, ICON-00/SBC/1602/0097"/>
        <s v="ICON-00/SBC/1801/0268"/>
        <s v="PA/UPG/2111/0138"/>
        <n v="4000069514"/>
        <s v="PA/ACT/2210/2259"/>
        <s v="PA/ACT/1903/1573 , PA/ACT/1903/2236"/>
        <s v="PA/ACT/2201/1163"/>
        <s v="PA/ACT/2204/3848"/>
        <s v="PA/ACT/2202/2487"/>
        <s v="PA/ACT/2201/3558"/>
        <s v="PA/ACT/2204/0219/TER"/>
        <s v="PA/ACT/1811/1730/0100007538 , PA/ACT/1908/5781/01000075385"/>
        <s v="PA/ACT/2201/1232/TER"/>
        <s v="AL/2008/41053 , PA/UPG/1907/0156"/>
        <s v="PA/ACT/2112/0723"/>
        <s v="PA/UPG/1802/0189"/>
        <s v="ICON-00/SBC/1208/0067 , ICON-00/SBC/1208/0068"/>
        <s v="AL/1904/5372 , PA/ACT/1802/2046"/>
        <s v="PA/RLK/2111/0055 , SPA/ACT/1911/000485"/>
        <s v="PA/ACT/1912/2626 , PA/ACT/1912/2625"/>
        <s v="PA/ACT/2107/0340"/>
        <s v="AL/2006/23523"/>
        <s v="PA/ACT/2202/2483"/>
        <s v="PA/ACT/2201/1485"/>
        <s v="PA/ACT/2201/0883"/>
        <s v="PA/ACT/2202/1364"/>
        <s v="PA/ACT/2112/1376"/>
        <s v="PA/ACT/2202/2688/TER"/>
        <s v="PA/ACT/2112/0100/TER"/>
        <s v="PA/ACT/2112/2341 , PA/ACT/2112/2236 , PA/ACT/2112/2143 , PA/ACT/2112/1723 , PA/ACT/2112/2191"/>
        <s v="PA/ACT/2112/3236"/>
        <s v="PA/ACT/2109/3044/TER"/>
        <s v="PA/ACT/2201/2302"/>
        <s v="PA/ACT/2201/1485/TER , PA/ACT/2201/1486/TER"/>
        <s v="PA/ACT/2112/3940/ORI"/>
        <s v="PA/ACT/2112/2028"/>
        <s v="PA/ACT/2112/1723"/>
        <s v="PA/ACT/2201/0094"/>
        <s v="PA/ACT/1804/020"/>
        <s v="AL/2105/30861"/>
        <s v="ICON-00/ACT/1711/0378 , AL/2006/18858 , AL/2005/16302"/>
        <s v="ICON-00/ACT/1710/0264"/>
        <s v="PA/RLK/2201/0094"/>
        <s v="PA/ACT/2207/2494/TER"/>
        <s v="PA/ACT/2207/2501/TER"/>
        <s v="ICON-00/SBC/1710/2154"/>
        <s v="PA/ACT/1907/1761"/>
        <s v="PA/ACT/2203/4071"/>
        <s v="PA/ACT/2203/2153"/>
        <s v="AL/1907/26735 , AL/1907/26741"/>
        <s v="PA/ACT/2206/15980/TER"/>
        <s v="PA/UPG/2009/0134"/>
        <s v="PA/ACT/2206/18200/ORI"/>
        <s v="PA/ACT/2204/2799/TER"/>
        <s v="PA/ACT/2206/16525"/>
        <s v="1000037511 , 1000029813"/>
        <s v="PA/ACT/2207/0177/TER"/>
        <s v="PA/ACT/2207/3855"/>
        <s v="ICON-00/ACT/1409/0507 , ICON-00/ACT/1310/0038 , ICON-00/ACT/1606/0359 , ICON-00/ACT/1606/0360 , ICON-00/ACT/1301/0159 , ICON-00/SOP/1307/0004"/>
        <s v="PA/ACT/2106/1405"/>
        <s v="PA/ACT/2207/0291"/>
        <s v="PA/ACT/2112/2390"/>
        <s v="AL/2204/74715"/>
        <s v="PA/RLK/2205/0047/TER"/>
        <s v="PA/ACT/1809/1782"/>
        <s v="AL/2104/23598"/>
        <s v="AL/1810/11520"/>
        <s v="PA/ACT/2012/0399 , PA/ACT/2012/0459"/>
        <s v="PA/ACT/2202/1469/TER"/>
        <s v="PA/ACT/2202/1626"/>
        <s v="PA/ACT/2209/4092/TER"/>
        <s v="AL/2206/83181"/>
        <s v="PA/ACT/2209/2139/ORI"/>
        <s v="AL/2103/12970"/>
        <s v="PA/ACT/2210/3359/TER"/>
        <s v="ICON-00/ACT/1202/0051"/>
        <s v="PA/ACT/2005/1817/TER"/>
        <s v="PA/ACT/1801/1072"/>
        <s v="PA/UPG/2004/0101/TER"/>
        <s v="PA/UPG/2007/0067"/>
        <s v="PA/UPG/2104/0186"/>
        <s v="PA/ACT/2004/1141/TER"/>
        <s v="PA/ACT/1803/0231/TER"/>
        <s v="PA/ACT/2211/1972/ORI"/>
        <s v="PA/ACT/2109/0828"/>
        <s v="PA/ACT/2210/3361/TER"/>
        <s v="PA/ACT/2212/0254"/>
        <s v="A/ACT/1910/0429/AR/ACT/1910/38348"/>
        <s v="PA/ACT/1910/0323"/>
        <s v="PA/ACT/2211/1776/TER"/>
        <s v="PA/ACT/2210/2013"/>
        <s v="ICON-00/ACT/1711/1474 , ICON-00/ACT/1705/1419"/>
        <s v="PA/ACT/2211/5398/TER PA/ACT/2211/5399/TER , PA/ACT/2211/5413/TER"/>
        <s v="PA/ACT/2210/0176/ORI"/>
        <s v="PA/ACT/2211/3272/TER"/>
        <s v="ICON-00/SBC/1809/0003"/>
        <s v="PA/ACT/1804/0055"/>
        <s v="PA/ACT/2110/2049/TER"/>
        <s v="PA/ACT/2112/0932/TER/ AR/ACT/2112/37414 / 01000171880"/>
        <s v="ICON-00/SBC/1710/1432 / 0990000320431030"/>
        <s v="ICON-00/ACT/1409/0073"/>
        <s v="PA/RLK/1809/0059_x000a_ PA/RLK/1808/0051"/>
        <s v="ICON-00/SBC/1408/0274 / 0990000320354328"/>
        <s v="PA/ACT/1904/2085"/>
        <s v="PA/ACT/1909/1780"/>
        <s v="PA/ACT/2007/0689"/>
        <s v="PA/ACT/2001/0059/TER"/>
        <s v="PA/ACT/2301/0645/TER"/>
        <s v="ICON-00/SBC/1409/0173"/>
        <s v="ICON-00/SBC/1208/0067_x000a_ ICON-00/SBC/1208/0068"/>
        <s v="PA/ACT/2103/1475/ORI_x000a_ PA/ACT/2103/1352"/>
        <s v="R111202000635_x000a_R111202000650"/>
        <s v="ICON-00/ACT/1701/1030_x000a_ ICON-00/ACT/1507/0128_x000a_ ICON-00/ACT/1507/0036"/>
        <s v="PA/ACT/2203/1329/TER"/>
        <s v="ICON-00/MIG/1705/0005_x000a_ ICON-00/ACT/1704/0371_x000a_ ICON-00/ACT/1707/0003_x000a_ ICON-00/ACT/1704/0247_x000a_ ICON-00/ACT/1703/0162_x000a_ ICON-00/ACT/1703/0952_x000a_ ICON-00/ACT/1703/1249_x000a_ ICON-00/ACT/1703/1614_x000a_ ICON-00/ACT/1704/0837_x000a_ ICON-00/ACT/1706/0182_x000a_ ICON-00/ACT/1702/0906_x000a_ ICON-00/ACT/1703/0647_x000a_ ICON-00/ACT/1705/0013_x000a_ ICON-00/ACT/1704/0442_x000a_ ICON-00/SOP/1611/0072_x000a_ ICON-00/ACT/1703/1365_x000a_ ICON-00/SOP/1701/0081_x000a_ ICON-00/SOP/1603/0065_x000a_ ICON-00/SOP/1612/0070_x000a_ ICON-00/ACT/1703/1366_x000a_ ICON-00/ACT/1702/0108_x000a_ ICON-00/ACT/1610/0703_x000a_ ICON-00/ACT/1611/0919_x000a_ ICON-00/ACT/1609/0163_x000a_ ICON-00/ACT/1608/0101_x000a_ ICON-00/ACT/1610/0796_x000a_ ICON-00/ACT/1610/0369_x000a_ ICON-00/ACT/1610/0840_x000a_ ICON-00/DOW/1610/0006_x000a_ ICON-00/ACT/1610/0793_x000a_ ICON-00/ACT/1610/0795_x000a_ ICON-00/ACT/1609/0710_x000a_ ICON-00/ACT/1610/0019_x000a_ ICON-00/ACT/1608/0100_x000a_ ICON-00/ACT/1609/0136_x000a_ ICON-00/ACT/1608/0485_x000a_ ICON-00/ACT/1608/0007_x000a_ ICON-00/ACT/1607/0239_x000a_ ICON-00/ACT/1609/0017_x000a_ ICON-00/SOP/1608/0056_x000a_ ICON-00/SOP/1602/0020_x000a_ ICON-00/ACT/1609/0137_x000a_ ICON-00/ACT/1609/0138_x000a_ ICON-00/ACT/1608/0243_x000a_ ICON-00/ACT/1606/0359_x000a_ ICON-00/ACT/1606/0360_x000a_ ICON-00/ACT/1606/0324_x000a_ ICON-00/ACT/1606/0145_x000a_ ICON-00/ACT/1605/0528_x000a_ ICON-00/SOP/1606/0054_x000a_ ICON-00/ACT/1604/0026_x000a_ ICON-00/ACT/1604/0089_x000a_ ICON-00/ACT/1601/0335_x000a_ ICON-00/SOP/1601/0046_x000a_ ICON-00/SOP/1511/0059_x000a_ ICON-00/SOP/1601/0012_x000a_ ICON-00/ACT/1504/0127_x000a_ ICON-00/SOP/1511/0008_x000a_ ICON-00/ACT/1503/0608_x000a_ ICON-00/ACT/1508/0052_x000a_ ICON-00/ACT/1504/0186_x000a_ ICON-00/ACT/1506/0292"/>
        <s v="ICON-00/ACT/1608/0676_x000a_ ICON-00/ACT/1310/0146_x000a_ ICON-00/ACT/1608/0243_x000a_ ICON-00/ACT/1610/0840_x000a_ ICON-00/ACT/1412/0547_x000a_ _x000a_ ICON-00/ACT/1608/0007_x000a_ ICON-00/ACT/1606/0324_x000a_ ICON-00/ACT/1510/0054_x000a_ ICON-00/ACT/1404/0863_x000a_ ICON-00/MIG/1604/0045_x000a_ ICON-00/ACT/1606/0359_x000a_ ICON-00/ACT/1606/0360_x000a_ ICON-00/ACT/1604/0026_x000a_ ICON-00/ACT/1601/0014_x000a_ ICON-00/ACT/1605/0528_x000a_ ICON-00/DOW/1610/0006_x000a_ ICON-00/ACT/1503/0608_x000a_ ICON-00/ACT/1609/0197_x000a_ ICON-00/ACT/1607/0238_x000a_ ICON-00/ACT/1601/0019_x000a_ ICON-00/SOP/1606/0054_x000a_ ICON-00/SOP/1505/0097_x000a_ ICON-00/ACT/1609/0163_x000a_ ICON-00/SOP/1511/0008_x000a_ _x000a_ ICON-00/ACT/1608/0101_x000a_ ICON-00/ACT/1608/0100_x000a_ ICON-00/ACT/1202/0263_x000a_ ICON-00/ACT/1606/0145_x000a_ ICON-00/ACT/1310/0140_x000a_ _x000a_ ICON-00/SOP/1408/0013_x000a_ _x000a_ ICON-00/ACT/1506/0292_x000a_ ICON-00/ACT/1607/0239_x000a_ ICON-00/SOP/1608/0056_x000a_ ICON-00/ACT/1602/0516_x000a_ ICON-00/ACT/1504/0127_x000a_ ICON-00/ACT/1504/0186_x000a_ ICON-00/ACT/1610/0369_x000a_ ICON-00/ACT/1604/0089_x000a_ ICON-00/SOP/1511/0059_x000a_ ICON-00/ACT/1601/0335_x000a_ ICON-00/ACT/1509/0235_x000a_ ICON-00/ACT/1608/0485_x000a_ ICON-00/ACT/1509/0051_x000a_ ICON-00/ACT/1509/0234_x000a_ ICON-00/ACT/1508/0052_x000a_ ICON-00/ACT/1511/0046_x000a_ _x000a_ ICON-00/ACT/1309/0104_x000a_ ICON-00/SOP/1601/0046_x000a_ ICON-00/ACT/1211/0105_x000a_ 001022.AV/SO/R1/ICON+/2011_x000a_ ICON-00/ACT/1207/0111_x000a_ ICON-00/ACT/1207/0045_x000a_ _x000a_ ICON-00/ACT/1509/0287_x000a_ ICON-00/ACT/1205/0414_x000a_ ICON-00/SOP/1603/0110_x000a_ ICON-00/ACT/1609/0324_x000a_ ICON-00/ACT/1610/0234_x000a_ ICON-00/SOP/1410/0020_x000a_ ICON-00/ACT/1609/0322_x000a_ ICON-00/ACT/1106/3107_x000a_ ICON-00/ACT/1610/0229_x000a_ ICON-00/MIG/1609/0039_x000a_ ICON-00/ACT/1608/0054_x000a_ ICON-00/SOP/1606/0211_x000a_ ICON-00/ACT/1610/0231_x000a_ ICON-00/ACT/1610/0233_x000a_ ICON-00/ACT/1605/0471_x000a_ ICON-00/MIG/1601/0024_x000a_ ICON-00/ACT/1510/0217_x000a_ ICON-00/ACT/1510/0270_x000a_ ICON-00/ACT/1610/0232_x000a_ ICON-00/ACT/1409/0511_x000a_ _x000a_ 5_x000a_ ICON-00/ACT/1509/0417_x000a_ ICON-00/MIG/1608/0012_x000a_ ICON-00/ACT/1512/0052_x000a_ ICON-00/SOP/1501/0050_x000a_ ICON-00/SOP/1604/0035_x000a_ ICON-00/SOP/1503/0064_x000a_ ICON-00/MIG/1604/0050_x000a_ ICON-00/ACT/1509/0416_x000a_ ICON-00/SOP/1507/0041_x000a_ ICON-00/SOP/1506/0032_x000a_ ICON-00/SOP/1602/0064_x000a_ ICON-00/SOP/1507/0061_x000a_ ICON-00/SOP/1501/0067_x000a_ ICON-00/SOP/1504/0142_x000a_ ICON-00/MIG/1601/0033_x000a_ ICON-00/SOP/1512/0011_x000a_ ICON-00/SOP/1502/0010_x000a_ ICON-00/SOP/1602/0031_x000a_ ICON-00/SOP/1609/0138_x000a_ _x000a_ ICON-00/SOP/1503/0065_x000a_ ICON-00/SOP/1603/0002_x000a_ ICON-00/SOP/1510/0003_x000a_ ICON-00/SOP/1509/0053_x000a_ ICON-00/SOP/1501/0101_x000a_ ICON-00/MIG/1505/0023_x000a_ ICON-00/ACT/1510/0218_x000a_ ICON-00/SOP/1509/0064_x000a_ ICON-00/SOP/1503/0071_x000a_ ICON-00/ACT/1602/0322_x000a_ ICON-00/SOP/1607/0075_x000a_ ICON-00/SOP/1509/0018_x000a_ ICON-00/SOP/1508/0034_x000a_ ICON-00/SOP/1609/0020_x000a_ ICON-00/ACT/1412/0547_x000a_ ICON-00/ACT/1404/0863_x000a_ ICON-00/ACT/1503/0608_x000a_ ICON-00/SOP/1601/0046_x000a_ ICON-00/MIG/1604/0012_x000a_ ICON-00/ACT/1412/0261_x000a_ ICON-00/ACT/1606/0324_x000a_ ICON-00/ACT/1606/0359_x000a_ ICON-00/ACT/1606/0360_x000a_ ICON-00/DOW/1610/0006_x000a_ ICON-00/ACT/1505/0227_x000a_ ICON-00/ACT/1505/0202_x000a_ ICON-00/ACT/1504/0188_x000a_ ICON-00/ACT/1507/0230_x000a_ ICON-00/ACT/1503/0612_x000a_ ICON-00/ACT/1608/0850_x000a_ ICON-00/ACT/1608/0853_x000a_ ICON-00/ACT/1605/0330_x000a_ ICON-00/ACT/1601/0346_x000a_ ICON-00/ACT/1509/0080_x000a_ ICON-00/ACT/1601/0347_x000a_ ICON-00/ACT/1607/0020_x000a_ ICON-00/ACT/1503/0591_x000a_ ICON-00/SOP/1610/0044_x000a_ ICON-00/ACT/1505/0131_x000a_ ICON-00/ACT/1503/0576_x000a_ ICON-00/ACT/1503/0575_x000a_ ICON-00/ACT/1503/0572_x000a_ ICON-00/ACT/1603/0069_x000a_ ICON-00/SOP/1511/0038_x000a_ ICON-00/ACT/1503/0557_x000a_ ICON-00/ACT/1503/0574_x000a_ ICON-00/DOW/1609/0042_x000a_ ICON-00/SOP/1610/0085_x000a_ ICON-00/SOP/1507/0019_x000a_ ICON-00/ACT/1504/0059_x000a_ ICON-00/ACT/1503/0578_x000a_ ICON-00/SOP/1511/0037"/>
        <s v="ACT/1704/0442_x000a_ SOP/1611/0072_x000a_ ACT/1703/1365_x000a_ SOP/1701/0081_x000a_ SOP/1603/0065_x000a_ SOP/1612/0070_x000a_ ACT/1703/1366_x000a_ ACT/1702/0108_x000a_ ACT/1610/0703_x000a_ ACT/1611/0919_x000a_ ACT/1609/0163_x000a_ ACT/1608/0101_x000a_ ACT/1610/0796_x000a_ ACT/1610/0369_x000a_ ACT/1610/0840_x000a_ DOW/1610/0006_x000a_ ACT/1610/0793_x000a_ ACT/1610/0795_x000a_ ACT/1609/0710_x000a_ ACT/1610/0019_x000a_ ACT/1608/0100_x000a_ ACT/1609/0197_x000a_ ACT/1609/0136_x000a_ ACT/1608/0485_x000a_ MIG/1604/0045_x000a_ ACT/1608/0007_x000a_ ACT/1607/0239_x000a_ ACT/1609/0017_x000a_ SOP/1608/0056_x000a_ SOP/1602/0020_x000a_ ACT/1609/0137_x000a_ ACT/1609/0138_x000a_ ACT/1608/0243_x000a_ ACT/1608/0676_x000a_ ACT/1606/0359_x000a_ ACT/1606/0360_x000a_ ACT/1606/0324_x000a_ ACT/1606/0145_x000a_ ACT/1605/0528_x000a_ SOP/1606/0054_x000a_ ACT/1604/0026_x000a_ ACT/1604/0089_x000a_ ACT/1601/0335_x000a_ SOP/1601/0046_x000a_ SOP/1511/0059_x000a_ ACT/1504/0127_x000a_ SOP/1511/0008_x000a_ ACT/1503/0608_x000a_ ACT/1509/0051_x000a_ ACT/1509/0234_x000a_ ACT/1509/0235_x000a_ ACT/1508/0052_x000a_ ACT/1504/0186_x000a_ ACT/1506/0292_x000a_ SOP/1505/0097_x000a_ ACT/1503/0303_x000a_ ACT/1412/0547_x000a_ ACT/1409/0507_x000a_ ACT/1404/0026_x000a_ ACT/1404/0863_x000a_ ACT/1310/0140_x000a_ ACT/1310/0146_x000a_ ACT/1309/0104"/>
        <s v="PA/ACT/1812/1562/TER _x000a_ PA/ACT/1812/1561/TER"/>
        <s v="A111204000011"/>
        <s v="PA/RLK/1902/0057_x000a_ PA/ACT/1812/0745"/>
        <s v="A821202000185"/>
        <s v="ICON-00/SBC/1701/0192_x000a_ ICON-00/SBC/1606/0788_x000a_ ICON-00/SBC/1602/0415_x000a_ ICON-00/SBC/1602/0097_x000a_ ICON-00/SBC/1601/0411_x000a_ ICON-00/SBC/1601/0133_x000a_ ICON-00/SBC/1601/0089"/>
        <s v="Tidak ada SO"/>
        <s v="PA/UPG/1903/0144_x000a_ ICON-00/ACT/1306/0093"/>
        <s v="A911205000005"/>
        <s v="PA/UPG/2103/0309"/>
        <s v="PA/ACT/2301/7032 "/>
        <s v="PA/ACT/1809/0799_x000a_ PA/ACT/1810/1817_x000a_ PA/ACT/1809/1030_x000a_ PA/ACT/1809/1029_x000a_ PA/ACT/1809/1028_x000a_ PA/ACT/1809/1027_x000a_ PA/ACT/1809/1026 _x000a_ PA/ACT/1809/1025"/>
        <s v="ICON-00/SOP/1404/0012_x000a_ ICON-00/ACT/1306/0100"/>
        <s v="PA/ACT/1806/0222"/>
        <s v="A821303000172"/>
        <s v="PA/ACT/2305/1636/ORI "/>
        <s v="PA/ACT/1910/0423"/>
        <s v="PA/ACT/2301/0482 "/>
        <s v="1000332707_x000a_ 111204000122_x000a_ 111202017819"/>
        <s v="SOP/1704/0067"/>
        <s v="ICON-00/ACT/1510/0107_x000a_ ICON-00/ACT/1505/0006_x000a_ ICON-00/ACT/1710/0264_x000a_ ICON-00/SOP/1703/0068_x000a_ ICON-00/SOP/1705/0060_x000a_ ICON-00/DOW/1705/0002_x000a_ ICON-00/SOP/1702/0045_x000a_ ICON-00/ACT/1611/0950_x000a_ ICON-00/ACT/1611/0431_x000a_ ICON-00/ACT/1610/0525_x000a_ ICON-00/ACT/1607/0060_x000a_ ICON-00/ACT/1610/0028_x000a_ ICON-00/ACT/1610/0235_x000a_ ICON-00/ACT/1609/0683_x000a_ ICON-00/ACT/1609/0855_x000a_ ICON-00/ACT/1607/0003_x000a_ ICON-00/ACT/1605/0395_x000a_ ICON-00/ACT/1604/0057_x000a_ ICON-00/SOP/1603/0087_x000a_ ICON-00/ACT/1604/0098_x000a_ ICON-00/ACT/1511/0293_x000a_ ICON-00/ACT/1510/0107_x000a_ ICON-00/ACT/1701/0369_x000a_ ICON-00/ACT/1701/0370_x000a_ ICON-00/ACT/1701/0932_x000a_ ICON-00/ACT/1609/0192_x000a_ ICON-00/ACT/1609/0192_x000a_ ICON-00/ACT/1609/0567_x000a_ ICON-00/ACT/1609/0566_x000a_ ICON-00/ACT/1605/0641_x000a_ ICON-00/ACT/1605/0612_x000a_ ICON-00/ACT/1511/0315_x000a_ ICON-00/ACT/1509/0104_x000a_ ICON-00/ACT/1509/0105_x000a_ ICON-00/MIG/1501/0021_x000a_ _x000a_ ICON-00/ACT/1605/0613_x000a_ ICON-00/ACT/1504/0302_x000a_ ICON-00/ACT/1502/0384_x000a_ ICON-00/ACT/1509/0104"/>
        <s v="ICON-00/SBC/1108/1670"/>
        <s v="PA/UPG/1809/0177"/>
        <s v="1000010978_x000a_ 1000010971_x000a_ 1000010991_x000a_ 1000010989"/>
        <s v="PA/ACT/1910/4033/TER"/>
        <s v="PA/ACT/1901/2833"/>
        <s v="PA/ACT/2207/0291_x000a_PA/ACT/2206/20542"/>
        <s v="PA/ACT/1902/0299"/>
        <s v="ICON-00/ACT/1605/0641"/>
        <s v="PA/ACT/1910/4083"/>
        <s v="ICON-00/ACT/1705/0727 _x000a_ ICON-00/ACT/1710/0156_x000a_ ICON-00/ACT/1710/0156"/>
        <s v="ICON-00/ACT/1707/0184 ICON-00/ACT/1706/0551 ICON-00/ACT/1707/0086"/>
        <s v=" PA/ACT/2301/0744"/>
        <s v="A822305230005"/>
        <s v="PA/ACT/1801/0234/TER"/>
        <s v="PA/ACT/1905/0130"/>
        <s v="PA/ACT/1905/2962/TER"/>
        <s v="PA/ACT/1909/1155"/>
        <s v="AL/1810/10837 / ICON-00/SBC/1504/0179"/>
        <s v="PA/ACT/2110/4570"/>
        <s v="ICON-00/ACT/1407/0271"/>
        <s v="ICON-00/ACT/1610/0559_x000a_ ICON-00/ACT/1610/0558"/>
        <s v="ICON-00/ACT/1606/0069"/>
        <s v="ICON-00/ACT/1609/0670_x000a_ ICON-00/ACT/1609/0671"/>
        <s v="ICON-00/ACT/1504/0011"/>
        <s v="ICON-00/ACT/1605/0716_x000a_ ICON-00/ACT/1605/0717_x000a_ ICON-00/ACT/1605/0718_x000a_ ICON-00/ACT/1605/0720_x000a_ ICON-00/ACT/1605/0719"/>
        <s v="ICON-00/ACT/1310/0140"/>
        <s v="PA/ACT/1905/2771/TER_x000a_ PA/ACT/1905/2773/TER_x000a_ PA/ACT/1905/2774/TER"/>
        <s v="PA/ACT/2104/2391"/>
        <s v="PA/ACT/2201/1485/TER_x000a_ PA/ACT/2201/1486/TER"/>
        <s v="110130307988/04000187683"/>
        <s v="PA/ACT/2109/0246"/>
        <s v="AL/1806/4710"/>
        <s v="ICON-00/ACT/1410/0100_x000a_ ICON-00/ACT/1407/0271_x000a_ ICON-00/ACT/1605/0555_x000a_ ICON-00/ACT/1606/0069_x000a_ ICON-00/ACT/1609/0384_x000a_ ICON-00/ACT/1609/0670_x000a_ ICON-00/ACT/1704/1130_x000a_ ICON-00/ACT/1707/0139_x000a_ ICON-00/ACT/1706/0006_x000a_ ICON-00/ACT/1711/1089_x000a_ AL/1806/4710"/>
        <s v="ICON-00/ACT/1609/0384"/>
        <s v="PA/ACT/1912/2626_x000a_ PA/ACT/1912/2625"/>
        <s v="PA/ACT/1907/3933_x000a_ PA/ACT/1907/3934_x000a_ PA/ACT/1907/3935"/>
        <s v="PA/RLK/2302/0092/TER  "/>
        <s v="PA/ACT/1807/0241_x000a_ PA/ACT/1807/0291_x000a_ PA/ACT/1807/0293_x000a_ PA/ACT/1807/0296_x000a_ PA/ACT/1807/0297"/>
        <s v="230120200210"/>
        <s v="PA/ACT/1812/0006"/>
        <s v="A822305240010"/>
        <s v="A821205000161"/>
        <s v="A121202000211"/>
        <s v="A821202000416 / 8223082400001"/>
        <s v="AL/2103/12970/ 01000022279"/>
        <s v="A821205000211"/>
        <s v="A821202000636"/>
        <s v="A151202000026 _x000a_"/>
        <s v="PA/ACT/2202/0176/TER"/>
        <s v="PA/ACT/2203/1103/TER "/>
        <s v="PA/ACT/2302/10715"/>
        <s v="PA/ACT/2202/0451/TER"/>
        <s v="ICON-00/MIG/1611/0043 - 110120208994 / 0990000320485037_x000a_ICON-00/ACT/1610/0522 - 110120208996 / 0990000320480304"/>
        <s v="ICON-00/SBC/1706/0035 _x000a_ ICON-00/SBC/1704/0227"/>
        <s v="PA/ACT/1810/1104"/>
        <s v="PA/ACT/1904/0253 - 110120208179 / 01000051525"/>
        <s v="ICON-00/SBC/1704/0227"/>
        <s v="PA/RLK/2303/0094"/>
        <s v="PA/ACT/2210/2386 "/>
        <s v="AL/1905/14081 - 110120210133"/>
        <s v="PA/RLK/2303/0017_x000a_PA/RLK/2303/0016_x000a_PA/ACT/2112/3139 "/>
        <s v="PA/ACT/2112/3139/ORI_x000a_ PA/ACT/2112/3135/ORI"/>
        <s v="ICON-00/SBC/1607/0255"/>
        <s v="PA/RLK/1901/0036"/>
        <s v="PA/ACT/2201/1333"/>
        <s v="A811202000039"/>
        <s v="A821202000415"/>
        <s v="PA/RLK/2111/0021_x000a_PA/ACT/2002/2154_x000a_PA/ACT/2203/2624_x000a_PA/RLK/2111/0034_x000a_PA/ACT/2210/2015"/>
        <s v="ICON-00/ACT/1306/0121"/>
        <s v="PA/ACT/2004/1362/TER"/>
        <s v="PA/ACT/1904/2434/TER"/>
        <s v="AL/2203/53173"/>
        <s v="PA/ACT/1909/3860/TER"/>
        <s v="PA/ACT/2112/1064/TER"/>
        <s v="A82130300341"/>
        <s v="A82130300340"/>
        <s v="A82130300463"/>
        <s v="R111205001181"/>
        <s v="PA/ACT/2211/2168"/>
        <s v="ICON-00/ACT/1201/0170 _x000a_ ICON-00/ACT/1202/0262_x000a_ ICON-00/SOP/1711/0091_x000a_ ICON-00/ACT/1708/0014"/>
        <s v="AL/1812/21323_x000a_ AL/1812/17142"/>
        <s v="PA/ACT/2205/1484"/>
        <s v="PA/ACT/2201/0439"/>
        <s v="ICON-00/ACT/1506/0233_x000a_ ICON-00/ACT/1204/0114_x000a_ ICON-00/ACT/1405/0198"/>
        <s v="AL/1901/1008_x000a_ AL/1901/1009_x000a_ ICON-00/SBC/1710/2251"/>
        <s v="PA/ACT/1908/0063/TER"/>
        <s v="ICON-00/ACT/1709/1154_x000a_ ICON-00/ACT/1302/0085"/>
        <s v="PA/UPG/1910/0013_x000a_ PA/ACT/1812/1403_x000a_ PA/ACT/1811/1742_x000a_ PA/UPG/1810/0069_x000a_ PA/ACT/1804/0538"/>
        <s v="AL/2006/18858_x000a_PA/ACT/2210/2796"/>
        <s v="ICON-00/SBC/1612/0251_x000a_ ICON-00/ACT/1605/0532"/>
        <s v="PA/ACT/1802/1734"/>
        <s v="ICON-00/SBC/1411/0452"/>
        <s v="A821303001181"/>
        <s v="Metro Admedia + Metro Global Sekawan Komunika_x000a_ Trunk to CPE Interconnection ICON Cyber (172.16.40.237)_x000a_ ### METRO INFRATEL BEKASI - Gd. CYBER lokasi CYBER Lt. 4###_x000a_ Trunk to NNI to PT Envison_x000a_ ### METRO PHISON W.T. link Cyber Twins (Satnet lt 4) ke Tangerang ###_x000a_ ### METRO.BITNET.to.Metro.Angke ###_x000a_ 0990000320480362 Metro Sistelindo Mitralintas PT Sungintex Kawasan Indutri Wijayakusuma Kendal Km 12 - Cyber LT 7 [112016] NEWACT_x000a_ 01000011260 Metro P2MP Media Andalan Nusa Backhaul Cyber 1 Jl.Kuningan Barat No 8 Mampang [HO]_x000a_ 01000008284 Metro Voltras International - Kereta Api Indonesia Jl. Perintis Kemerdekaan No.1 Babakan Ciamis Sumur Bandung_x000a_ Trunk to NNI Metro Hipernet Indodata_x000a_ INTERCONNECTION CUSTOMER VIA NNI TELKOM_x000a_ Link.to.Telkom.45(up grade become 90 Mbps).Mbps_x000a_ Trunk to PT SISTELINDO MITRALINTAS_x000a_ 01000043951 Metro P2MP Pemprov DKI Jakarta Gedung Teknis Kuningan(Epicentrum Mall PTSP) JL.HR Rasuna Said Kav C/21_x000a_ 0990000320486961 Metro Bank BTPN 0043 Retail KC Rasuna Said (TB Simatupang) - Data Center IBM [via Megatel-NetStar]_x000a_ 01000037728 Metro Jetcoms Netindo - Pt.Conservation International,Jl.Pejatan Barat Raya Ragunan Jaksel_x000a_ 0990000320403537 IPVPN Design Jaya Indonesia Cyber Backhaul_x000a_ NMS PDH RAD Gd.Cyber Lt7 - GIS Mampang 2 (10.10.31.147)_x000a_ 01000027252 Metro Metro PT.Transdata Sejahtera Perumahan Citra Harmony KM 20,Sidoarjo,Kabupaten Sidoarjo,Jawa Timur_x000a_ 0990000020261893 Metro Interlink Technology Container Terminal Priok - Cyber_x000a_ 0990000320317952 Metro Hanasta Dakara PT. Hankook Tire Indonesia bekasi_x000a_ Trunk to Metro DIGISAT CYBER LT_x000a_ Interkoneksi NNI Indosat Trans Retail_x000a_ Trunk to Metro Lintas Data Prima JKT_x000a_ 0990000320349420 Metro IFORTE GLOBAL INTERNET Cyber to Hotel Sheraton Bali (SOP: 11042017 20Mbp s-100M bps)_x000a_ [01000036751 Taman Bintaro] [01000049301 Nok Indonesia] Total Info Kharisma_x000a_ 0990000020277036 Metronet Kresna Graha Sekurindo Cyber - Diponegoro Medan_x000a_ 01000012215 Metro Hanasta Dakara - Daehal Tegal Jl. Raya Pantura No. 600 Pejagan Tanjung_x000a_ 01000089640 Metro Berdikari Prima Mandiri Gedung Plaza Mandiri LT. 4 Jl. Jend Gatot Subroto Kav. 36-38 Kebayoran Baru_x000a_ 01000033540 Metro Qinq PT.Tujuh Akses Mentari Prima CV.Putera Anteja,JL.Temanggung Jalil No.08 RT.04 Kel. Kebun Sari Kalimantan Selatan_x000a_ 0990000320655557 Metro Dutakom Wibawa Putra IDC Cyber - Jl. A. A Gede Ngurah Mataram_x000a_ 0990000320427741 Metro PT Kresna Securities Solo - Cyber Lt 7_x000a_ 01000021124 Metronet P2MP PT.Tujuh Akses Mentari Prima Gedung Cyber Lt.7,Jl.Kuningan Barat Raya No.8,Ma_x000a_ [01000037030 Holcim Tuban][01000037012:01000037008 Metro Telekomunikasi Indonesia - PT Holcim,Talavera_x000a_ 01000101781;01000101778 Metro Interlink Technology Cyber - Bppt Wisma Teknologi Bppt Tugu Selatan Cisar_x000a_ Link to RKAL-BALIKPAPAN.PLN.WIL-ASR920-NPE-01 via Telkom 500Mbps CID: 1-3778110713_x000a_ Interconnection Gbic Optical Jakarta-Bangka 50 Mb ps via Telkom Antarpulau_x000a_ Link to SBS-CABANG.BANGKABELITUNG-ME3600-UPE-01 04 C825L10 EOS via XL 45Mbps (3rd Party)_x000a_ 01000103670 Metro Qinq Maxindo Mitra Solusi Cyber IDC Data Center - Hotel Aria Gajayana Malang_x000a_ Trunk to PT Flash Mobile Cyber Lantai 10_x000a_ 01000004416 Metro Maxindo Mitra Solusi Cyber - The Oasis Cikarang Jl.Raya Cikarang Cibarusah Kav. 1_x000a_ 01000089516 Metro Dutakom Wibawa Putra Villa Sorga, Senggigi. Lombok. NTB._x000a_ [01000037010 Holcim Cilacap] [01000037013 Holcim Site Lhoknga] Metro Telekomunikasi Indonesia_x000a_ 0990000320299558 Metro Parsaoran Global Datatrans MM 2100 Industrial Town - IDC_x000a_ 0990000320325774 Metro PT Gaharu sejahtera CATI Jl.Malabar 67 - Cyber lt 7_x000a_ 01000010133 Metro P2MP Maxindo Mitra Solusi Backhaul Gedung Cyber Lt.7 - IDC Data Center Jl.Kuningan Barat No.8 Jakarta Selatan_x000a_ 01000046778 Metro Cakramedia Indocyber Cyber 1 - Central Mega Kencana Sintesis Tower LT. 9 &amp; 10_x000a_ 0990000320380149 Metronet Cyber building Lt. 7 - Kawasan Industri MM2100 Jl. Irian I Blok GG 5-1, Desa Danau Indah. Cikarang Barat_x000a_ [01000047592 Karawang Branch] [01000048274 ESD Branch] Hutchison 3 Indonesia Gedung Cyber Jl. Kuningan Barat Raya_x000a_ NNI PT. Solusindo Bintang Pratama Cyber 1 Lt.7_x000a_ 0990000320472933 Metro P2MP iForte Global Internet Cyber Lt. 7 - Backhaul_x000a_ 01000029657 Metro Qinq Hanasta Dakara (Backhaul)_x000a_ Trunk to Perangkat Gravitti Technology Cyber1_x000a_ 01000120463 Qinq Metro Ethernet PT Ajin Solusindo Cyber Building Jakarta Gedung Cyber - Telkomsel TTC Buaran"/>
        <s v="ICON-00/ACT/1506/0013_x000a_ ICON-00/ACT/1501/0581_x000a_ ICON-00/ACT/1707/0013_x000a_ ICON-00/SOP/1701/0179_x000a_ ICON-00/SOP/1701/0223_x000a_ ICON-00/ACT/1703/1299_x000a_ ICON-00/ACT/1704/0102_x000a_ ICON-00/ACT/1610/0834_x000a_ ICON-00/SOP/1704/0167_x000a_ ICON-00/ACT/1706/0015_x000a_ ICON-00/DOW/1612/0003_x000a_ ICON-00/MIG/1504/0003_x000a_ ICON-00/ACT/1608/0290_x000a_ ICON-00/ACT/1611/0130_x000a_ ICON-00/ACT/1611/0131_x000a_ ICON-00/ACT/1504/0302"/>
        <s v="PA/ACT/2209/2406"/>
        <s v="PT. PRIMACOM INTERBUANA"/>
        <s v="PA/ACT/1801/0637/TER"/>
        <s v="ICON-00/ACT/1409/0150_x000a_ ICON-00/ACT/1409/0148"/>
        <s v="ICON-00/SBC/1503/0316"/>
        <s v="PA/ACT/1804/0612"/>
        <s v="AR/RLK/1807/0002"/>
        <s v="PA/ACT/2302/8913"/>
        <s v="ICON-00/ACT/1608/0127"/>
        <s v="ICON-00/SBC/1606/0180"/>
        <s v="ICON-00/SBC/1606/0028 / 0990000320461929_x000a_ ICON-00/SBC/1606/0029 / 0990000320461930)"/>
        <s v="PA/ACT/2302/10774"/>
        <s v="PA/RLK/1902/0054"/>
        <s v="PA/ACT/2303/0373"/>
        <s v="PA/ACT/1905/0177"/>
        <s v="PA/ACT/2003/0542"/>
        <s v=" ICON-00/ACT/1603/0285 _x000a_ PA/ACT/2206/15945 "/>
        <s v="A111202000736"/>
        <s v="ICON-00/DOW/1711/0001"/>
        <s v="ICON-00/ACT/1311/0083"/>
        <s v="PA/ACT/2012/0385"/>
        <s v="PA/ACT/1902/2034"/>
        <s v="PA/ACT/1910/0323/TER"/>
        <s v="PA/ACT/1910/4029/TER"/>
        <s v="PA/ACT/1911/0093/TER"/>
        <s v="AL/2002/6383"/>
        <s v="PA/ACT/1911/2682"/>
        <s v="PA/UPG/2206/0110/TER"/>
        <s v="PA/UPG/2203/0053"/>
        <s v="PA/UPG/2301/0510/TER"/>
        <s v="PA/UPG/2304/0299"/>
        <s v=" PA/UPG/2211/0174/TER"/>
        <s v="PA/UPG/2304/0283/TER"/>
        <s v="PA/ACT/2012/0139/TER_x000a_ PA/ACT/2012/0230/TER"/>
        <s v="PA/ACT/2012/0170"/>
        <s v="PA/UPG/2012/0045/TER"/>
        <s v="PA/ACT/2210/0062/TER"/>
        <s v="PA/ACT/2302/10683"/>
        <s v="PA/ACT/2302/10684"/>
        <s v="ICON-00/SBC/1801/0258_x000a_ AL/1902/1852_x000a_ ICON-00/SBC/1604/0355_x000a_ PA/ACT/1902/0294_x000a_ PA/ACT/1902/0301_x000a_ PA/ACT/1810/0773_x000a_ PA/ACT/1901/1451_x000a_ PA/ACT/1901/1450_x000a_ ICON-00/SBC/1802/0059_x000a_ ICON-00/SBC/1710/1103_x000a_ PA/ACT/1909/0692_x000a_ ICON-00/SBC/1209/0511_x000a_ ICON-00/SBC/1310/0176_x000a_ ICON-00/SBC/1310/0176_x000a_ PA/ACT/1811/1775_x000a_ PA/ACT/1911/0927_x000a_ PA/ACT/1907/0848_x000a_ PA/ACT/1905/0318_x000a_ PA/UPG/1807/0326_x000a_ ICON-00/SBC/1610/0191 _x000a_ PA/ACT/1812/0449_x000a_ ICON-00/SBC/1710/0716_x000a_ PA/RLK/1810/0038_x000a_ PA/ACT/1903/1098_x000a_ PA/ACT/1901/0193_x000a_ &quot;AL/2006/16713_x000a_ 0990000320491203_x000a_ &quot;_x000a_ &quot;AL/2006/16713_x000a_ 0990000320491208_x000a_ &quot;_x000a_ PA/ACT/1906/0631_x000a_ ICON-00/SBC/1801/0053_x000a_ ICON-00/SBC/1802/0318_x000a_ AL/1807/6361_x000a_ PA/ACT/1808/0427_x000a_ PA/ACT/1811/2837_x000a_ PA/ACT/1902/1709_x000a_ PA/ACT/1902/1710_x000a_ PA/ACT/1802/111 /AL/1806/4272_x000a_ ICON-00/SBC/1709/0134_x000a_ ICON-00/SBC/1406/0396_x000a_ PA/ACT/1905/2226 / AL/1906/15327_x000a_ PA/UPG/1905/0122_x000a_ PA/ACT/1907/2968_x000a_ 1000129316_x000a_ 1000129323_x000a_ 1000129321_x000a_ ICON-00/SBC/1708/0374_x000a_ ICON-00/SBC/1708/0375_x000a_ OPT/1807/16145_x000a_ OPT/1810/24899_x000a_ OPT/1904/10228_x000a_ ICON-00/SBC/1603/0160_x000a_ ICON-00/SBC/1203/0194_x000a_ PA/ACT/1803/0832_x000a_ PA/ACT/1810/2531_x000a_ PA/ACT/2007/0049_x000a_ PA/ACT/1906/0952"/>
        <s v="ICON-00/ACT/1703/0494"/>
        <s v="PA/UPG/2305/0286/TER"/>
        <s v="PA/ACT/2304/1192"/>
        <s v="PA/ACT/2304/1193"/>
        <s v="PA/ACT/2006/1647"/>
        <s v="A111303000136"/>
        <s v="A821303000076"/>
        <s v="A111202001140"/>
        <s v="ICON-00/ACT/1409/0047_x000a_ ICON-00/ACT/1407/0335_x000a_ ICON-00/SOP/1405/0007_x000a_ ICON-00/ACT/1310/0134_x000a_ ICON-00/ACT/1310/0113_x000a_ ICON-00/ACT/1310/0114_x000a_ ICON-00/ACT/1303/0385_x000a_ ICON-00/ACT/1304/0223_x000a_ ICON-00/ACT/1212/0276_x000a_ ICON-00/ACT/1210/0159_x000a_  ICON-00/ACT/1207/0081"/>
        <s v="ICON-00/ACT/1611/0189"/>
        <s v="PA/UPG/1801/0043"/>
        <s v="PA/RLK/2103/0017"/>
        <s v="PA/ACT/2201/0586"/>
        <s v="PA/ACT/1712/0247"/>
        <s v="PA/ACT/1801/1972"/>
        <s v="PA/UPG/2011/0101"/>
        <s v="PA/ACT/1809/1510"/>
        <s v="PA/UPG/1909/0105"/>
        <s v="PA/UPG/2101/0166/TER"/>
        <s v="PA/UPG/1806/0037/TER"/>
        <s v="PA/ACT/2202/2487_x000a_PA/UPG/1805/0261_x000a_PA/UPG/2008/0151_x000a_PA/UPG/2011/0101_x000a_PA/UPG/1909/0105_x000a_PA/UPG/2007/0067_x000a_PA/ACT/2203/1175_x000a_PA/UPG/2004/0101/TER_x000a_PA/ACT/2005/1817/TER_x000a_PA/UPG/2209/0077_x000a_ICON-00/SBC/1710/1084 - 0990000320515696_x000a_"/>
        <s v="_x000a_AL/2009/48404 / PA/ACT/1805/0724_x000a_0990000320374109 _x000a_0990000320375804_x000a_990000320354365_x000a_0990000320523705 _x000a_01000034064_x000a_01000052949 "/>
        <s v="PA/ACT/2103/2394_x000a_AL/2104/24052_x000a_PA/UPG/2006/0169_x000a_ICON-00/SBC/1610/0127_x000a_&quot;AL/2007/024908"/>
        <s v="SPA/ACT/2109/064460_x000a_SPA/ACT/2111/107746_x000a_SPA/ACT/2201/152793_x000a_SPA/ACT/2202/178953_x000a_PA/ACT/2102/2627_x000a_PA/ACT/2105/0325"/>
        <s v="PA/UPG/1805/0139_x000a_PA/UPG/1812/0208/TER_x000a_PA/UPG/2106/0218/TER_x000a_PA/UPG/2201/0518/TER_x000a_PA/ACT/2003/1278/TER_x000a_PA/UPG/2102/0554/TER_x000a_PA/ACT/2208/0577/TER_x000a_PA/ACT/2005/1005/TER_x000a_PA/UPG/1909/0085/TER_x000a_PA/DOW/2305/0003/ORI_x000a_AL/2205/81855_x000a_AL/2102/7935_x000a_AL/2102/9240_x000a_PA/ACT/2004/2366_x000a_PA/ACT/2004/2255_x000a_ICON-00/SBC/1810/0080_x000a_PA/ACT/2004/2253_x000a_AL/2201/2929_x000a_PA/ACT/1907/2021_x000a_PA/ACT/1909/0904_x000a_AL/2007/024868_x000a_PA/ACT/2011/0790_x000a_PA/ACT/2006/0082/TER_x000a_AL/2210/326231_x000a_SAL/2007/025595"/>
        <s v="PA/ACT/1901/1451_x000a_ PA/ACT/1901/1450"/>
        <s v="ICON-00/ACT/1503/0100"/>
        <s v="AL/2303/13854"/>
        <s v="ICON-00/SBC/1803/0091_x000a_ ICON-00/ACT/1103/0510"/>
        <s v="A11130300013"/>
        <s v="ICON-00/ACT/1706/0323"/>
        <s v="PA/ACT/1906/1465"/>
        <s v="PA/ACT/1906/1466"/>
        <s v="ICON-00/ACT/1107/3460"/>
        <s v="PA/ACT/2212/1390"/>
        <s v="PA/ACT/2209/4005"/>
        <s v="1000008128_x000a_ 990000320370121_x000a_ 990000320520509_x000a_ 990000320409433_x000a_ 1000058903_x000a_ 990000320368897_x000a_ 1000135933_x000a_ '0990000320470177 _x000a_ 1000076136_x000a_ 1000127778_x000a_ 990000320452699_x000a_ 990000320478376_x000a_ 990000320514810_x000a_ 990000320433457"/>
        <s v="ICON-00/SOP/1505/0062_x000a_ 357849/1285644652/103 | 357849/1285644652/103 | 170000211820025_x000a_ 170000218240011"/>
        <s v="ICON-00/SBC/1704/0025"/>
        <s v="PA/ACT/2002/2405_x000a_ PA/ACT/2002/2406"/>
        <s v="990000320299558_x000a_ 990000320297000_x000a_ ICON-00/ACT/1205/0545_x000a_ ICON-00/ACT/1205/0544_x000a_ ICON-00/SOP/1507/0041 _x000a_ ICON-00/SOP/1710/0008 _x000a_ ICON-00/SOP/1507/0061"/>
        <s v="PA/RLK/2102/0024"/>
        <s v="110120206768 / _x000a_0990000320470333"/>
        <s v="MIG/1705/0004_x000a_ ACT/1205/0544_x000a_ ACT/1205/0545"/>
        <s v="ICON-00/SBC/1610/0009_x000a_ ICON-00/SBC/1611/0605_x000a_ ICON-00/SBC/1703/0283_x000a_ ICON-00/SBC/1705/0136_x000a_ ICON-00/SBC/1708/0783_x000a_ ICON-00/SBC/1708/1327_x000a_ AL/1808/8640_x000a_ AL/1808/8641_x000a_ AL/1812/17440_x000a_ AL/1903/5003_x000a_ ICON-00/SBC/1809/0015_x000a_ AL/1810/10855"/>
        <s v="ICON-00/ACT/1701/0763 _x000a_ ICON-00/ACT/1701/0813 _x000a_ ICON-00/SOP/1607/0106 _x000a_ ICON-00/SOP/1505/0054 _x000a_ ICON-00/ACT/1503/0058 _x000a_ ICON-00/SOP/1703/0095"/>
        <s v="100000042820001_x000a_ 1000037511_x000a_ 990000020265432_x000a_ 990000020261346_x000a_ 1000029813_x000a_ 1000043301_x000a_ 1000042892"/>
        <s v="ICON-00/SBC/1810/0136_x000a_ AL/1810/12176_x000a_ ICON-00/SBC/1709/0314_x000a_ AL/1810/12129_x000a_ AL/1810/12128_x000a_ AL/1805/3436_x000a_ ICON-00/SBC/1803/0021_x000a_ ICON-00/SBC/1609/0095_x000a_ ICON-00/SBC/1209/0518_x000a_ ICON-00/SBC/1202/0123_x000a_ ICON-00/SBC/1708/0536_x000a_ ICON-00/SBC/1701/0007_x000a_ ICON-00/SBC/1612/0288_x000a_ ICON-00/SBC/1609/0094_x000a_ ICON-00/SBC/1609/0093_x000a_ ICON-00/SBC/1504/0714_x000a_ ICON-00/SBC/1504/0713_x000a_ ICON-00/SBC/1211/0446_x000a_ AL/1809/9388_x000a_ ICON-00/SBC/1406/0343_x000a_ AL/1809/9388_x000a_ ICON-00/SBC/1406/0343_x000a_ ICON-00/SBC/1712/0633_x000a_ ICON-00/SBC/1302/0440"/>
        <s v="PA/ACT/1804/0749_x000a_ PA/ACT/1804/1002_x000a_ ICON-00/SBC/1802/0197_x000a_ ICON-00/SBC/1611/0388_x000a_ ICON-00/SBC/1604/0771_x000a_ ICON-00/SBC/1512/0180_x000a_ ICON-00/SBC/1510/0605_x000a_ ICON-00/SBC/1504/0328_x000a_ ICON-00/SBC/1609/0551_x000a_ ICON-00/SBC/1512/0184_x000a_ ICON-00/SBC/1609/0552_x000a_ ICON-00/SBC/1703/0667_x000a_ ICON-00/SBC/1703/0143_x000a_ ICON-00/SBC/1611/0307_x000a_ ICON-00/SBC/1609/0540_x000a_ ICON-00/SBC/1609/0526_x000a_ ICON-00/SBC/1602/0100_x000a_ ICON-00/SBC/1510/0611_x000a_ ICON-00/SBC/1510/0604_x000a_ ICON-00/SBC/1509/0613_x000a_ ICON-00/SBC/1509/0586_x000a_ ICON-00/SBC/1509/0585_x000a_ ICON-00/SBC/1509/0584_x000a_ ICON-00/SBC/1509/0583_x000a_ ICON-00/SBC/1509/0273_x000a_ ICON-00/SBC/1508/0578_x000a_ ICON-00/SBC/1504/0330_x000a_ ICON-00/SBC/1504/0327_x000a_ ICON-00/SBC/1412/0167_x000a_ ICON-00/SBC/1411/0127_x000a_ ICON-00/SBC/1406/0274_x000a_ ICON-00/SBC/1405/0112_x000a_ ICON-00/SBC/1405/0111_x000a_ ICON-00/SBC/1401/0057_x000a_ ICON-00/SBC/1401/0055#3104_x000a_ ICON-00/SBC/1401/0055#3103_x000a_ ICON-00/SBC/1311/0347_x000a_ ICON-00/SBC/1311/0008_x000a_ ICON-00/SBC/1304/0125_x000a_ ICON-00/SBC/1211/0377_x000a_ ICON-00/SBC/1207/0007_x000a_ ICON-00/SBC/1206/0216_x000a_ ICON-00/SBC/1206/0123_x000a_ ICON-00/SBC/1204/0034_x000a_ ICON-00/SBC/1202/0158_x000a_ ICON-00/SBC/1108/1466_x000a_ ICON-00/SBC/1107/1347_x000a_ 363548/1263528792/2"/>
        <s v="AL/2010/50623"/>
        <s v="ICON-00/SBC/1611/0332"/>
        <s v="990000320643284_x000a_ ICON-00/ACT/1703/0380"/>
        <s v="ICON-00/DOW/1704/0012 _x000a_  ICON-00/SBC/1708/0661_x000a_ ICON-00/DOW/1704/0010 _x000a_  ICON-00/SBC/1708/0660"/>
        <s v="AL/1901/1029"/>
        <s v="PA/ACT/1801/0286_x000a_ PA/ACT/1801/0665_x000a_ PA/ACT/1801/0282_x000a_ PA/ACT/1801/0667_x000a_ PA/UPG/1803/0184_x000a_ PA/DOW/1804/0035_x000a_ PA/DOW/1804/0036_x000a_ PA/DOW/1804/0037_x000a_ PA/UPG/1812/0585"/>
        <s v="ICON-00/SBC/1703/0436"/>
        <s v="PA/ACT/2206/19330/TER"/>
        <s v="PA/ACT/1808/0386_x000a_PA/ACT/2001/3409_AL/2002/5752_AR/ACT/2001/4192_x000a_01000187130/PA/ACT/2201/1141/AL/2203/71724"/>
        <s v="PA/ACT/2211/5398/TER_x000a_PA/ACT/2211/5399/TER_x000a_PA/ACT/2211/5413/TER"/>
        <s v="ICON-00/SOP/1510/0203 (ICON-00/SBC/1801/0265)"/>
        <s v="ICON-00/SOP/1611/0191"/>
        <s v=" PA/ACT/2301/3840/TER "/>
        <s v="PA/ACT/2209/4589/TER "/>
        <s v="PA/ACT/2302/11050/ORI"/>
        <s v="PA/UPG/1910/0214"/>
        <s v="A821202000240 "/>
        <s v="PA/ACT/2011/1164"/>
        <s v="PA/ACT/2211/5458/ORI _x000a_PA/ACT/2211/5112/ORI _x000a_PA/ACT/2211/5111/ORI_x000a_PA/ACT/2211/5110/ORI_x000a_PA/ACT/2211/4785/ORI_x000a_PA/UPG/2211/0146/ORI_x000a_PA/UPG/2211/0113/ORI_x000a_PA/UPG/2209/0146/ORI_x000a_PA/UPG/2209/0145/ORI_x000a_PA/UPG/2209/0144/ORI_x000a_PA/UPG/2209/0143/ORI_x000a_PA/ACT/2212/1318/ORI_x000a_PA/ACT/2301/0549/ORI_x000a_PA/UPG/2301/0104/ORI_x000a_PA/ACT/2301/1442/ORI _x000a_PA/ACT/2301/4194/ORI"/>
        <s v="PA/ACT/2009/0311"/>
        <s v="PA/TRL/2207/0053/TER"/>
        <s v="PA/ACT/2008/1120"/>
        <s v="_x000a_PA/UPG/2211/0071/ORI_x000a_PA/UPG/2211/0069/ORI_x000a_PA/UPG/2209/0105/ORI_x000a_PA/ACT/2211/0117/ORI_x000a_PA/ACT/2210/3216/ORI_x000a_PA/ACT/2210/0687/ORI_x000a_PA/ACT/2210/2189/ORI"/>
        <s v="1000008966_x000a_ 1000008248_x000a_ 1000015005_x000a_ 1000021664_x000a_ 1000059277_x000a_ 1000041784_x000a_ 1000054123_x000a_ 1000072810_x000a_ 1000064029_x000a_ 1000037667_x000a_ 99000032051_x000a_ 1000087667_x000a_ 4000062481_x000a_ [01000044710_x000a_ [0990000320643284_x000a_ 1000056441"/>
        <s v="PA/ACT/2007/1607_x000a_ PA/ACT/2007/1030"/>
        <s v="01000352589"/>
        <s v="No PA"/>
        <s v="PA/ACT/2003/0168_x000a_ PA/ACT/2004/0585"/>
        <s v="1000106826_x000a_ 1000094688"/>
        <s v="PA/ACT/2012/0147"/>
        <s v="PA/ACT/2302/11309_x000a_PA/ACT/2302/11310"/>
        <s v="PA/UPG/2210/0176/ORI "/>
        <s v="A821204000019"/>
        <s v="A111202000964"/>
        <s v="A221204000007_x000a_A221204000024_x000a_"/>
        <s v="A821204000046"/>
        <s v="A821204000043"/>
        <s v="U111204000021"/>
        <s v="AL/2303/17561"/>
        <s v="PA/ACT/2011/1190"/>
        <s v="PA/ACT/2112/2471/ORI"/>
        <s v="ICON-00/ACT/1608/0740"/>
        <s v="PA/ACT/1904/1014"/>
        <s v="PA/ACT/2208/3992 "/>
        <s v="ICON-00/SBC/1501/0084"/>
        <s v="PA/ACT/1804/0208"/>
        <s v="PA/ACT/2211/4577"/>
        <s v="PA/ACT/2209/3589"/>
        <s v="PA/ACT/1810/0048 PA/ACT/2009/0738 PA/ACT/2204/0857"/>
        <s v="AL/1812/21311"/>
        <s v="PA/ACT/1803/0242"/>
        <s v="PA/ACT/2009/0739"/>
        <s v="PA/ACT/2108/2160"/>
        <s v="PA/ACT/1902/2062"/>
        <s v="PA/ACT/1806/0912"/>
        <s v="PA/ACT/2208/2714 "/>
        <s v="PA/ACT/2204/3319_x000a_PA/ACT/2204/3315"/>
        <s v="PA/ACT/1902/1154"/>
        <s v="ICON-00/SBC/1609/0443_x000a_ AL/1807/6516_x000a_ ICON-00/SBC/1512/0665_x000a_ AL/1805/3463_x000a_ ICON-00/SBC/1612/0107_x000a_ ICON-00/SBC/1511/0163_x000a_ ICON-00/SBC/1708/0116_x000a_ ICON-00/SBC/1411/0456_x000a_ ICON-00/SBC/1605/0308_x000a_ AL/1803/0574"/>
        <s v="PA/ACT/1907/2400_x000a_ PA/ACT/1907/2400"/>
        <s v="PA/ACT/1901/0119"/>
        <s v="PA/ACT/1901/0119_x000a_ PA/ACT/1901/0121"/>
        <s v="PA/ACT/1901/0119_x000a_ PA/ACT/1901/0121_x000a_ PA/ACT/1901/0120"/>
        <s v="PA/ACT/1908/5717"/>
        <s v="PA/ACT/2209/5147"/>
        <s v="PA/ACT/2204/3976/TER"/>
        <s v="PA/ACT/2207/1934_x000a_PA/ACT/2003/0168"/>
        <s v="PA/ACT/1902/1061"/>
        <s v="ICON-00/ACT/1502/0235"/>
        <s v="PA/ACT/1804/0486/TER"/>
        <s v="PA/ACT/1801/0048"/>
        <s v="PA/ACT/1803/0186"/>
        <s v="PA/ACT/1905/2810_x000a_ PA/RLK/1906/0030"/>
        <s v="A821205000115"/>
        <s v="PA/ACT/2212/6008"/>
        <s v="A811202000017 - 8123062000003"/>
        <s v="PA/ACT/1809/0907_x000a_ PA/ACT/1809/0911_x000a_ PA/ACT/1807/0340_x000a_ PA/ACT/1809/1175"/>
        <s v="ICON-00/MIG/1602/0043_x000a_ PA/ACT/1805/0437"/>
        <s v="ICON-00/ACT/1207/0109_x000a_ ICON-00/ACT/1312/0016_x000a_ ICON-00/ACT/1410/0169_x000a_ ICON-00/ACT/1312/0017_x000a_ ICON-00/ACT/1312/0018_x000a_ ICON-00/ACT/1312/0019_x000a_ ICON-00/SOP/1502/0006_x000a_ ICON-00/MIG/1412/0020_x000a_ ICON-00/ACT/1402/0242_x000a_ ICON-00/ACT/1411/0008_x000a_ ICON-00/ACT/1504/0302"/>
        <s v="PA/RLK/2206/0064"/>
        <s v="- 01000040211_x000a_  01000002762_x000a_ 01000040470 _x000a_ 01000040478 _x000a_ 0990000320516968 _x000a_ 01000012546_x000a_ 01000008344_x000a_ 01000008343_x000a_ 04000030948_x000a_ 01000049377_x000a_ 04000003723_x000a_ 0990000320490183_x000a_ 04000003710_x000a_ 0990000320490184_x000a_ 04000003712_x000a_ 04000003713_x000a_ 04000026559_x000a_ 04000026558_x000a_ 04000003714_x000a_ 04000003715_x000a_ 0990000320386604 _x000a_ 01000005535 _x000a_ 01000038455_x000a_ 04000038349_x000a_ 04000038350_x000a_ 0990000320396251 _x000a_ 0990000320447602 _x000a_ 01000041282 _x000a_ 01000041276 _x000a_ 0990000320487053 _x000a_ 01000040250 _x000a_ 01000007993 _x000a_ 01000020717 _x000a_ 04000023130 _x000a_ 04000023129_x000a_ 02000023131 _x000a_ 01000023229 _x000a_ 04000030504 _x000a_ 04000037261 _x000a_ 01000037255_x000a_ 04000001324_x000a_ 01000027254_x000a_ 01000043320_x000a_ 0990000320523172_x000a_ 01000014895_x000a_ 0990000320471532_x000a_ 01000014195_x000a_ 0990000320501040_x000a_ 0990000320508826_x000a_ 0990000320513749_x000a_ 01000029013_x000a_ 01000044058_x000a_ 01000025553"/>
        <s v="PA/ACT/2211/5797"/>
        <s v="A111205000005"/>
        <s v="PA/ACT/2212/0862/TER"/>
        <s v="ICON-00/ACT/1407/0018 "/>
        <s v="ICON-00/SOP/1412/0039"/>
        <s v="990000320480209_x000a_ 990000320504090_x000a_ 990000320459007_x000a_ 990000320458858_x000a_ 990000320473028_x000a_ 990000320515190_x000a_ 990000320415205_x000a_ 990000320523295_x000a_ 990000320415201_x000a_ 1000051535_x000a_ Ga bIsa Di Tellnet_x000a_ 990000320425399_x000a_ 990000320450909_x000a_ 990000320480461_x000a_ 990000020268103_x000a_ 990000320513651_x000a_ 1000005770_x000a_ 1000025793_x000a_ 4000027047_x000a_ 1000058903"/>
        <s v="ICON-00/SOP/1603/0092_x000a_ ICON-00/ACT/1701/0980_x000a_ ICON-00/ACT/1612/0447_x000a_ ICON-00/SBC/1402/0289_x000a_ ICON-00/SBC/1402/0290_x000a_ ICON-00/SBC/1411/0063_x000a_ ICON-00/SBC/1607/0255_x000a_  ICON-00/SBC/1711/0351_x000a_ ICON-00/SBC/1703/0533"/>
        <s v="AL/1904/5372_x000a_ AL/1912/56534_x000a_ PA/ACT/1802/2046"/>
        <s v="ICON-00/SBC/1605/0242_x000a_ ICON-00/ACT/1703/0662"/>
        <s v="ICON-00/ACT/1710/0051"/>
        <s v="ICON-00/SOP/1404/0002"/>
        <s v="AL/2005/15433_x000a_AL/2203/70048 _x000a_"/>
        <s v="PA/ACT/2304/1755/TER"/>
        <s v="R111401000262_x000a_A821401000624_x000a_A821401000625_x000a_A821401000625_x000a_A821401000625"/>
        <s v="ICON-00/ACT/1310/0150"/>
        <s v="PA/ACT/2109/2089/TER"/>
        <s v="ICON-00/SBC/1710/0976"/>
        <s v="ICON-00/SBC/1711/0434"/>
        <s v="ICON-00/SOP/1310/0022"/>
        <s v="PA/ACT/2111/1334/TER"/>
        <s v="PA/ACT/2206/16523"/>
        <s v="AR/DOW/1804/0075"/>
        <s v="ICON-00/SBC/1707/0137 "/>
        <s v="PA/ACT/2209/2584/TER"/>
        <s v="ICON-99/SBC/1811/0007"/>
        <s v="PA/UPG/1902/0043"/>
        <s v="PA/ACT/2209/4092"/>
        <s v="PA/ACT/2301/0826"/>
        <s v="PA/UPG/2209/0126"/>
        <s v="AL/2203/70050 "/>
        <s v="PA/ACT/2202/0907"/>
        <s v=" R211205000011 "/>
        <s v="U211205000043"/>
        <s v="PA/ACT/2109/0828 ; PA/ACT/2203/0725"/>
        <s v="A821202000562; A82240100319"/>
        <s v="A821202000184"/>
        <s v="PA/ACT/2111/3391"/>
        <s v="PA/ACT/2204/4125"/>
        <s v="_x0009_PA/ACT/2001/3225"/>
        <s v="PA/UPG/1906/0029"/>
        <s v="ICON-00/SBC/1711/0683"/>
        <s v="A821202000241"/>
        <s v="PA/UPG/2208/0213; PA/UPG/2208/0214"/>
        <s v="A821205000170"/>
        <s v="U121303000028"/>
        <s v=" PA/ACT/1903/1573"/>
        <s v="PA/RLK/2112/0100 ; PA/RLK/2112/0099"/>
        <s v="PA/ACT/2002/2153"/>
        <s v="AL/2009/41591"/>
        <s v="PA/ACT/2304/0270"/>
        <s v=" PA/ACT/2211/1972"/>
        <s v="PA/ACT/2202/1469       "/>
        <s v="PA/ACT/1911/0379/TER ; PA/ACT/1803/0181"/>
        <s v="U111202000999"/>
        <s v="AL/2205/80572"/>
        <s v="PA/UPG/2207/0061"/>
        <s v="PA/UPG/2303/1063"/>
        <s v="PA/ACT/2302/1496/TER"/>
        <s v="ICON-00/ACT/1711/1474; ICON-00/ACT/1705/1419"/>
        <s v="ICON-00/SBC/1303/0431"/>
        <s v="PA/ACT/2106/2407 "/>
        <s v="PA/ACT/2106/2404 "/>
        <s v="U111302000049"/>
        <s v="PA/ACT/2103/0900"/>
        <s v="PA/UPG/2104/0301"/>
        <s v="PA/ACT/2111/4084"/>
        <s v="PA/UPG/1909/0258; PA/UPG/1911/0048"/>
        <s v="PA/RLK/2211/0006"/>
        <s v="PA/ACT/2110/0011"/>
        <s v="PA/ACT/1911/3416"/>
        <s v="PA/ACT/2303/1608"/>
        <s v="A121303000521"/>
        <s v="A121303000522"/>
        <s v="A821303000036"/>
        <s v="PA/ACT/2210/3361"/>
        <s v="A821205000047"/>
        <s v="AL/2209/286463"/>
        <s v="J111202000942"/>
        <s v="PA/UPG/2110/0092"/>
        <s v="PA/ACT/2203/1954"/>
        <s v="PA/ACT/2009/0322/TER"/>
        <s v="PA/ACT/2110/4223"/>
        <s v="AL/2203/68142"/>
        <s v="PA/UPG/1909/0260; PA/UPG/1909/0264"/>
        <s v="PA/ACT/2203/1163"/>
        <s v="PA/ACT/2201/2967"/>
        <s v="PA/ACT/2211/5293"/>
        <s v="A811205000011"/>
        <s v="PA/ACT/2110/0120"/>
        <s v="PA/ACT/2302/1399"/>
        <s v="PA/ACT/2008/2000"/>
        <s v="PA/ACT/2112/2157"/>
        <s v="PA/ACT/2012/0459  "/>
        <s v="1000008128_x000a_990000320370121_x000a_990000320520509_x000a_990000320409433_x000a_1000058903_x000a_990000320368897_x000a_1000135933_x000a_'0990000320470177 _x000a_1000076136_x000a_1000127778_x000a_990000320452699_x000a_990000320478376_x000a_990000320514810_x000a_990000320433457"/>
        <s v="PA/ACT/2204/4275"/>
        <s v="ICON-00/SBC/1801/0538"/>
        <s v="PA/ACT/1901/2849_x000a_ PA/ACT/1901/2848 PA/ACT/1901/2850 _x000a_ PA/ACT/1902/0213 _x000a_ PA/ACT/1902/0214_x000a_ PA/ACT/1902/0215_x000a_ PA/ACT/1902/0216_x000a_ PA/ACT/1902/0217_x000a_ PA/ACT/1902/0218_x000a_ PA/ACT/1902/0219"/>
        <s v="ICON-00/ACT/1709/1245"/>
        <s v="A111303000039"/>
        <s v="ICON-00/ACT/1708/0050"/>
        <s v="4000030308_x000a_ 4000030172_x000a_ 4000030171_x000a_ 4000030170_x000a_ 4000030169_x000a_ 1000030613"/>
        <s v="PA/UPG/2304/0281"/>
        <s v="A831303000035"/>
        <s v="ICON-00/ACT/1605/0716"/>
        <s v="PA/ACT/1908/4438"/>
        <s v="&quot;PA/ACT/1806/0079_x000a_ &quot;ICON-00/SBC/1509/0095_x000a_ AL/1805/2823_x000a_ ICON-00/SBC/1211/0462"/>
        <s v="PA/ACT/1901/1720_x000a_ PA/ACT/1901/1721"/>
        <s v="PA/ACT/2005/0852"/>
        <s v="PA/ACT/1908/2157_x000a_ ICON-00/ACT/1708/0193"/>
        <s v="PA/ACT/1908/2157_x000a_ PA/ACT/1908/2158_x000a_ PA/ACT/1908/2160"/>
        <s v="990000320511959_x000a_ 990000320477676_x000a_ 990000320477674_x000a_ 990000320477671_x000a_ 990000320477669_x000a_ 990000320477668_x000a_ 990000320477667_x000a_ 990000320477649_x000a_ 990000320477648_x000a_ 990000320477647_x000a_ 990000320477666_x000a_ 990000320477664_x000a_ 990000320477660_x000a_ 990000320477657_x000a_ 990000320477652"/>
        <s v="PA/ACT/1903/2071 _x000a_ PA/ACT/1903/2070_x000a_ AL/1809/9776_x000a_ ICON-00/SBC/1505/0486_x000a_ ICON-00/SBC/1302/0405_x000a_ ICON-00/SBC/1302/0406"/>
        <s v="PA/ACT/2202/1029"/>
        <s v="ICON-00/ACT/1609/0615"/>
        <s v="PA/RLK/2206/0019"/>
        <s v="PA/ACT/1901/0235_x000a_ PA/ACT/1901/0236"/>
        <s v="PA/UOD/1905/0010"/>
        <s v="ICON-00/ACT/1605/0659"/>
        <s v="PA/ACT/2108/0103_x000a_ PA/UPG/2004/0026_x000a_ PA/ACT/1903/0697_x000a_ PA/ACT/1905/2963_x000a_ PA/ACT/1801/2387"/>
        <s v="PA/ACT/2210/3414"/>
        <s v="ICON-00/SBC/1711/0550 "/>
        <s v="AL/1910/46824"/>
        <s v="ICON-00/SBC/1708/1420"/>
        <s v="PA/ACT/1805/0412"/>
        <s v="AL/2204/74288"/>
        <s v="PA/UPG/2101/0503"/>
        <s v="AR/CHT/1809/1926"/>
        <s v="A821202000196"/>
        <s v="PA/ACT/2207/2501"/>
        <s v="PA/ACT/2007/0105"/>
        <s v="PA/ACT/2007/0051"/>
        <s v="PA/RLK/2008/0034"/>
        <s v="ICON-00/SBC/1711/0550 _x000a_AL/1910/46824_x000a_ICON-00/SBC/1708/1420_x000a_PA/ACT/1805/0412_x000a_AL/ 2204/ 74288_x000a_PA/UPG/2101/0503_x000a_AR/CHT/1809/1926"/>
        <s v="AL/1911/55163"/>
        <s v="PA/ACT/2302/7776"/>
        <s v="PA/UPG/2211/0071/ORI"/>
        <s v="A821204000005"/>
        <s v="D111204000058"/>
        <s v="A111202001917"/>
        <s v="PA/ACT/2022/2483"/>
        <s v="ICON-00/ACT/1609/0621"/>
        <s v="A111303000043"/>
        <s v="PA/ACT/2106/2946/TER _x000a_ PA/ACT/2106/2945/TER"/>
        <s v="ICON-00/SOP/1404/0013"/>
        <s v="PA/ACT/2203/0584"/>
        <s v="PA/ACT/2007/0099/ORI"/>
        <s v="PA/ACT/2206/16564 "/>
        <s v="PA/ACT/1911/3857"/>
        <s v="PA/ACT/2212/6029"/>
        <s v="PA/ACT/2212/6028 "/>
        <s v="_x000a_A821205000077_x000a_A821205000076_x000a_A821205000074_x000a_A821205000075_x000a_"/>
        <s v="PA/ACT/2212/1831"/>
        <s v="A821205000168 - 8223081600003"/>
        <s v="PA/RLK/2108/0043_x000a_ PA/RLK/2108/0042_x000a_ PA/RLK/2108/0041"/>
        <s v="PA/RLK/2112/0076/ORI"/>
        <s v="PA/ACT/1908/0062"/>
        <s v="PA/TRL/1909/0277/ORI_x000a_ ICON-00/SBC/1708/0178"/>
        <s v="PA/ACT/1908/4473/TER"/>
        <s v="PA/ACT/2012/0399/ORI_x000a_ PA/ACT/2012/0459/ORI"/>
        <s v="0990000320656939_x000a_ 0990000320656941_x000a_ 0990000320656942_x000a_ 0990000320656943_x000a_ 0990000320656944_x000a_ 0990000320656945_x000a_ 0990000320656964_x000a_ 0990000320656946_x000a_ 0990000320656965_x000a_ 0990000320656966_x000a_ 0990000320656967_x000a_ 0990000020265541_x000a_ 0990000320298920_x000a_ 0990000320299095_x000a_ 0990000020265672_x000a_ 0990000020267907_x000a_ 0990000020265669_x000a_ 0990000020268127_x000a_ 0990000020264876_x000a_ 0990000020265679_x000a_ 0990000020278183_x000a_ 0990000020265543_x000a_ 0990000020268125_x000a_ 0990000020268124_x000a_ 0990000020268123_x000a_ 0990000020268122_x000a_ 0990000320514381_x000a_ 0990000020261191_x000a_ 0990000020268090_x000a_ 0990000020268087_x000a_ 0990000020268031_x000a_ 0990000020268030_x000a_ 0990000020265671_x000a_ 0990000320272773_x000a_ 0990000020267996_x000a_ 0990000020267923_x000a_ 0990000020270029_x000a_ 0990000320298524_x000a_ 0990000020265677_x000a_ 0990000020265675_x000a_ 0990000320410752_x000a_ 990000320523942_x000a_ 0990000320363372_x000a_ 0990000320424354_x000a_ 0990000320410411_x000a_ 0990000320410410_x000a_ 0990000320410407_x000a_ 0990000320410403_x000a_ 0990000320498364_x000a_ 0990000320508367_x000a_ 0990000320484431_x000a_ 0990000320410412_x000a_ 0990000320296489_x000a_ 0990000020271782"/>
        <s v="AL/2004/13572"/>
        <s v="PA/ACT/2104/2393_x000a_ PA/ACT/2105/0644_x000a_ PA/ACT/2105/0645_x000a_ PA/ACT/2104/2395"/>
        <s v="PA/ACT/1907/2014/TER_x000a_ PA/ACT/1907/2013/TER_x000a_ PA/ACT/1907/2012/TER_x000a_ PA/ACT/1907/2010/TER_x000a_ PA/ACT/1907/2009/TER_x000a_ PA/ACT/1907/2007/TER"/>
        <s v="PA/ACT/2103/1983/ORI_x000a_PA/ACT/2003/1096/TER_x000a_PA/ACT/2106/3300_x000a_PA/ACT/2005/0446"/>
        <s v=" PA/ACT/2203/0817 "/>
        <s v="PA/RLK/1910/0015/TER"/>
        <s v="AL/2008/35375"/>
        <s v="PA/RLK/2009/0142/TER"/>
        <s v="PA/ACT/2001/1658/TER"/>
        <s v="PA/RLK/1901/0064 _x000a_ PA/ACT/1902/0567_x000a_ PA/ACT/1902/0568 _x000a_ PA/ACT/1902/0569 _x000a_ PA/ACT/1902/0571_x000a_ PA/ACT/1902/0572"/>
        <s v="ICON-00/ACT/1511/0021_x000a_ PA/ACT/1902/0567_x000a_ PA/ACT/1902/0568 _x000a_ PA/ACT/1902/0569 _x000a_ PA/ACT/1902/0571_x000a_ PA/ACT/1902/0572"/>
        <s v="PA/ACT/2102/0766/TER_x000a_ PA/ACT/2102/0781/TER_x000a_ PA/ACT/2102/0767/TER"/>
        <s v="PA/ACT/2001/3141/TER_x000a_ PA/ACT/2001/3142"/>
        <s v="PA/ACT/1912/2339/TER"/>
        <s v="PA/ACT/1911/2073_x000a_ PA/ACT/1911/2700"/>
        <s v="ICON-00/ACT/1707/0576"/>
        <s v="PA/ACT/1901/0199"/>
        <s v="PA/ACT/1812/1182"/>
        <s v="PA/ACT/1911/000485/TER"/>
        <s v="PA/ACT/2302/11050"/>
        <s v="A821202000553"/>
        <s v="R111205002068"/>
        <s v="R311303000291"/>
        <s v="R311202000311"/>
        <s v="A811303000060"/>
        <s v="A811303000059"/>
        <s v="A821303000583"/>
        <s v="A821303000582"/>
        <s v="A821303000244"/>
        <s v="A821303000225"/>
        <s v="A811303000117"/>
        <s v="A831205000546"/>
        <s v="A821205000242"/>
        <s v="A831205000113 / 8323070400011"/>
        <s v="R111202002315"/>
        <s v="U111303001425"/>
        <s v="A821204000048"/>
        <s v="A821202000812 "/>
        <s v="A811303000054"/>
        <s v="A821202000604 "/>
        <s v="R111303001609"/>
        <s v="A121303000219"/>
        <s v="U131202000306 / 1323082000037"/>
        <s v="A831205000116"/>
        <s v="A911303000010"/>
        <s v="A141202000112"/>
        <s v="PA/ACT/2301/5705"/>
        <s v="A111303000068 / A112305030002"/>
        <s v="D111202002713 "/>
        <s v="A821205000254"/>
        <s v="A821303000494 "/>
        <s v="A821401001039 "/>
        <s v="A111302000058"/>
        <s v="_x000a_A821202000185_x000a_"/>
        <s v="A231303000175 "/>
        <s v="A121202000015"/>
        <s v="R111205001840"/>
        <s v="PA/UPG/2111/0134/TER_x000a_PA/ACT/2112/0746_x000a_PA/ACT/2112/0640_x000a_PA/UPG/2202/0307_x000a_PA/ACT/2201/1525/ORI_x000a_PA/ACT/2112/4142_x000a_PA/ACT/2201/1469_x000a_PA/UPG/2111/0152_x000a_PA/ACT/2201/0640_x000a_PA/ACT/2201/0890_x000a_PA/ACT/2201/2229_x000a_PA/UPG/2202/0307_x000a_PA/ACT/2203/4651/ORI_x000a_PA/ACT/2110/3149/TER_x000a_PA/ACT/2203/3908/ORI_x000a_PA/ACT/2110/0734_x000a_PA/ACT/2203/2930/ORI_x000a_PA/ACT/2204/1743/ORI_x000a_PA/RLK/2203/0083_x000a_PA/ACT/2205/0838_x000a_PA/ACT/2204/3819/ORI_x000a_PA/ACT/2204/4009_x000a_PA/RLK/2205/0002_x000a_PA/ACT/2206/16999/ORI_x000a_PA/ACT/2206/16670_x000a_PA/ACT/2206/18096_x000a_PA/ACT/2207/2162_x000a_PA ACT/2207/1984_x000a_PA/ACT/2206/16670 _x000a_PA/ACT/2207/2391_x000a_PA/RLK/2207/0047_x000a_PA/ACT/2207/4700_x000a_PA/ACT/2208/1665_x000a_PA/UPG/2208/0126_x000a_PA/ACT/2208/2979_x000a_PA/ACT/2207/4402/ORI_x000a_PA/ACT/2208/1685/ORI_x000a_PA/ACT/2208/4216_x000a_PA/ACT/2208/4132/ORI _x000a_PA/ACT/2208/3948_x000a_PA/ACT/2208/4207_x000a_PA/ACT/2208/3222_x000a_PA/ACT/2209/0277/ORI_x000a_PA/ACT/2209/0994_x000a_PA/UPG/2210/0127/ORI_x000a_PA/ACT/2209/1733_x000a_ PA/ACT/2210/1957/ORI _x000a_ PA/RLK/2210/0008_x000a_PA/ACT/2209/5345_x000a_PA/UPG/2210/0060_x000a_PA/UPG/2210/0127_x000a_PA/ACT/2209/1733/ORI_x000a_PA/ACT/2208/4207 _x000a_PA/UPG/2211/0003/ORI_x000a_PA/ACT/1803/1584_x000a_PA/ACT/2212/0499 _x000a_PA/ACT/2212/0124/ORI _x000a_PA/ACT/2211/4794/TER_x000a_ PA/ACT/2211/4400/TER_x000a_PA/ACT/2211/5147/TER_x000a_PA/UPG/2007/0026_x000a_PA/ACT/2111/3294_x000a_PA/ACT/2112/0746_x000a_PA/ACT/2202/0869_x000a_PA/UPG/2202/0450_x000a_PA/ACT/2204/0939_x000a_PA/UPG/2203/0478_x000a_PA/ACT/2111/1600_x000a_PA/ACT/2203/1435_x000a_PA/ACT/2202/2688_x000a_PA/ACT/2203/3593_x000a_PA/ACT/2111/1334_x000a_PA/ACT/2210/1906_x000a_PA/ACT/1810/0517_x000a_PA/ACT/2102/2071_x000a_PA/ACT/2108/1898_x000a_PA/ACT/2108/2081_x000a_PA/ACT/2109/1648_x000a_PA/ACT/2108/2099_x000a_PA/ACT/2110/1654_x000a_PA/UPG/2201/0037_x000a_PA/ACT/2204/2348_x000a_PA/ACT/2206/15879_x000a_PA/ACT/2006/0341_x000a_PA/UPG/2209/0069_x000a_PA/ACT/2112/0044_x000a_PA/ACT/1806/0962_x000a_PA/ACT/1805/1409_x000a_PA/UPG/2104/0237_x000a_PA/ACT/2010/0776_x000a_PA/ACT/2012/2479_x000a_PA/ACT/2012/0376_x000a_PA/ACT/1903/1674_x000a_PA/ACT/2001/1220_x000a_PA/DOW/2008/0027_x000a_PA/ACT/2103/0330_x000a_PA/ACT/2007/0830_x000a_PA/UPG/2106/0182_x000a_PA/UPG/2205/0140_x000a_PA/UPG/2112/0134_x000a_ICON-00/SBC/1712/0689_x000a_PA/UPG/2011/0077_x000a_PA/ACT/2103/0201_x000a_PA/ACT/2208/1270_x000a_PA/ACT/1803/0619_x000a_PA/ACT/1808/0772_x000a_PA/ACT/1904/2171_x000a_PA/ACT/2212/0507_x000a_AL/2206/179404_x000a_PA/ACT/2106/0001_x000a_PA/UPG/2109/0091_x000a_PA/ACT/1910/0423_x000a_PA/ACT/1807/1320_x000a_PA/ACT/2103/2357_x000a_PA/RLK/2102/0057_x000a_PA/ACT/2108/1902_x000a_PA/UPG/1807/0060_x000a_AL/2009/47475_x000a_AL/2010/49834_x000a_AL/2010/49835_x000a_AL/2010/49837_x000a_AL/2010/54579_x000a_AL/2010/58867_x000a_AL/2011/66602_x000a_AL/2011/70711_x000a_PA/ACT/2008/2282_x000a_AL/1912/56465_x000a_PA/RLK/2102/0038_x000a_PA/ACT/2101/0735_x000a_PA/UPG/2002/0519_x000a_PA/RLK/1802/0059_x000a_PA/ACT/1906/2109_x000a_PA/ACT/1908/2194_x000a_PA/ACT/1910/0629_x000a_PA/RLK/2102/0024_x000a_PA/UPG/2108/0062_x000a_PA/ACT/2203/1917_x000a_AL/2109/86661_x000a_PA/UPG/2206/0022_x000a_0990000320425878_x000a_PA/UPG/2002/0525_x000a_0990000320272669_x000a_PA/DOW/2111/0033_x000a_PA/RLK/2104/0061_x000a_PA/RLK/2205/0012_x000a_PA/UPG/2008/0015_x000a_AR/RLK/2102/0153_x000a_PA/ACT/2011/1355_x000a_PA/ACT/2112/0239_x000a_AL/2207/196625_x000a_PA/ACT/2210/1740_x000a_PA/UPG/2212/0014_x000a_PA/ACT/2005/0993_x000a_PA/ACT/1803/0102_x000a_AL/2207/189657_x000a_PA/ACT/2008/1899_x000a_PA/ACT/1803/0102_x000a_PA/ACT/2004/1225_x000a_PA/ACT/2204/2769_x000a_PA/ACT/2206/16670_x000a_PA/UPG/2208/0126_x000a_PA/ACT/2112/2778_x000a_PA/ACT/2112/0640_x000a_PA/ACT/2110/2242_x000a_PA/ACT/2103/0778_x000a_PA/ACT/1903/2408_x000a_PA/UPG/2204/0443_x000a_PA/ACT/2101/0954_x000a_PA/ACT/2105/1575_x000a_PA/ACT/2105/1576_x000a_PA/ACT/2009/1452_x000a_PA/UPG/2208/0226_x000a_PA/ACT/1903/2565_x000a_PA/ACT/2003/0136_x000a_PA/ACT/2003/0135_x000a_PA/UPG/2204/0104_x000a_PA/ACT/1907/3900_x000a_PA/UPG/2212/0229_x000a_990000320653785/ICON-00/ACT/1710/0691_x000a_990000320495628_x000a_PA/ACT/2105/1816/ORI_x000a_PA/ACT/2106/0502/ORI_x000a_ PA/ACT/2209/5059/ORI_x000a_PA/UPG/2103/0257_x000a_PA/ACT/2108/0236_x000a_PA/ACT/2108/0237_x000a_PA/ACT/2109/0016_x000a_PA/ACT/2101/0113_x000a_PA/ACT/1808/0165_x000a_PA/RLK/2211/0006_x000a_PA/ACT/2301/6457_x000a_PA/ACT/2207/0007_x000a_ ICON-00/ACT/1308/0201_x000a_PA/ACT/2108/2163 _x000a_PA/ACT/2209/5345_x000a_"/>
        <n v="111202017685"/>
        <s v="AL/1907/26735"/>
        <s v="AL/2002/5815"/>
        <s v="R1112050003083"/>
        <s v="U111202002264"/>
        <s v="A111303002787"/>
        <s v="PA/UPG/2204/0532"/>
        <s v="PA/ACT/2112/2471 "/>
        <s v="PA/UPG/2208/0127"/>
        <s v="AL/2201/17342"/>
        <s v="PA/UPG/2106/0236"/>
        <s v="PA/UPG/1905/0161"/>
        <s v="PA/UPG/2012/0044 "/>
        <s v="PA/UPG/2211/0140"/>
        <s v="PA/UPG/2104/0211"/>
        <s v="PA/DOW/2203/0051"/>
        <s v="PA/ACT/2210/0669"/>
        <s v="PA/ACT/2210/1250"/>
        <s v="PA/ACT/2210/1173"/>
        <s v="PA/ACT/2209/3711"/>
        <s v="PA/ACT/2206/16445"/>
        <s v=" PA/ACT/2206/16168"/>
        <s v="PA/ACT/2203/1822 "/>
        <s v="PA/ACT/2203/0942 "/>
        <s v="PA/ACT/2201/2528"/>
        <s v="PA/ACT/2201/1715 "/>
        <s v="0990000320309838"/>
        <s v="06000197361"/>
        <s v="AL/2204/74975"/>
        <s v="AL/2005/15042"/>
        <s v="AL/1806/4799"/>
        <s v="AL/2208/235843"/>
        <s v="AL/2203/60802 "/>
        <s v="AL/2206/164499"/>
        <s v="AL/1809/9320"/>
        <s v="AL/2012/78362"/>
        <s v="AL/2009/45795"/>
        <s v="AL/2008/39603"/>
        <s v="AL/2101/1531"/>
        <s v="AL/2109/80801"/>
        <s v="AL/2203/53992"/>
        <s v="AL/2112/144587"/>
        <s v="AL/2209/286295"/>
        <s v="AL/2208/242322"/>
        <s v="AL/2208/244252"/>
        <s v="AL/2109/82752"/>
        <s v="AL/2111/129144"/>
        <s v="AL/2111/129154"/>
        <s v="AL/2109/80255"/>
        <s v="AL/2104/23059"/>
        <s v="AL/2110/97886"/>
        <s v="AL/2211/326578"/>
        <s v="AL/2209/293807"/>
        <s v="AL/2210/311086"/>
        <s v="AL/2210/318170"/>
        <s v="AL/2211/331356"/>
        <s v="AL/2302/9200"/>
        <s v="U111202003388"/>
        <s v="PA/ACT/2110/2788"/>
        <s v="A111303002994, A111202004236 dan A111205003981"/>
        <s v="A811202000064"/>
        <s v="R111205004006"/>
        <s v="PA/ACT/2103/1762/ORI"/>
        <s v="U111204000146_x000a_A821202001175 "/>
        <s v="A821303000668 _x000a_A821303000671"/>
        <s v="A111202004460"/>
        <s v="A821202001153"/>
        <s v="A111202004487"/>
        <s v="A811205000166"/>
        <s v="A111303002393"/>
        <s v="A111401000979_x000a_A111401001990"/>
        <s v="A211205000271"/>
        <s v="U111202003214"/>
        <s v="A211303000495"/>
        <s v="A821202000679"/>
        <s v="A821202000812"/>
        <s v="A821401001951"/>
        <s v="A111202004320"/>
        <s v="A831205000620"/>
        <s v="A821202001175"/>
        <s v="A111204000149"/>
        <s v="R111303003485 "/>
        <s v="R111202004861"/>
        <s v="R111202004860"/>
        <s v="A821303001179 "/>
        <n v="4000099114"/>
        <s v="A821401001037"/>
        <s v="A111303002172"/>
        <s v="A111302000052"/>
        <s v="A121303000900"/>
        <s v="A821204000077"/>
        <s v="A821303000708"/>
        <s v="PA/ACT/2202/1235 - 01000191675_x000a_PA/ACT/2201/3616 - 01000189483_x000a_PA/ACT/2011/1329 - 01000135431_x000a_PA/ACT/2207/3887 - 01000300143_x000a_PA/ACT/2208/0320 - 01000300145_x000a_PA/ACT/2207/4223 - 01000302099_x000a_PA/ACT/2208/0695 - 01000303446"/>
        <s v="U111303003019"/>
        <s v="U111303003022"/>
        <s v="A821303000563"/>
        <s v="U111303003066"/>
        <s v="U221204000020"/>
        <s v="A811202000149"/>
        <s v="A821205000898"/>
        <s v="A821202001374"/>
        <s v="R111205003161 dan R111205003160"/>
        <s v="AL/1907/26700"/>
        <s v="PA/ACT/2001/3225/TER"/>
        <s v="PA/ACT/2207/0177"/>
        <s v="A821205000532"/>
        <s v="A821205000521"/>
        <s v="A821205000540"/>
        <s v="A111202004658"/>
      </sharedItems>
    </cacheField>
    <cacheField name="SID" numFmtId="0">
      <sharedItems containsBlank="1" containsMixedTypes="1" containsNumber="1" containsInteger="1" minValue="72000000" maxValue="990000320523937"/>
    </cacheField>
    <cacheField name="SLA" numFmtId="0">
      <sharedItems containsBlank="1" containsMixedTypes="1" containsNumber="1" minValue="0.95" maxValue="0.999"/>
    </cacheField>
    <cacheField name="Layanan " numFmtId="0">
      <sharedItems containsBlank="1"/>
    </cacheField>
    <cacheField name="Kapasitas" numFmtId="0">
      <sharedItems containsBlank="1"/>
    </cacheField>
    <cacheField name="Rev Intalasi (OTC)_x000a_Pelanggan (Rp)" numFmtId="0">
      <sharedItems containsBlank="1" containsMixedTypes="1" containsNumber="1" containsInteger="1" minValue="0" maxValue="1021200000"/>
    </cacheField>
    <cacheField name="Rev Sewa (1 Thn)_x000a_Pelanggan (Rp)" numFmtId="0">
      <sharedItems containsBlank="1" containsMixedTypes="1" containsNumber="1" minValue="0" maxValue="1023600163104" count="599">
        <n v="556800000"/>
        <n v="34800000"/>
        <n v="120000000"/>
        <n v="30000000"/>
        <n v="144000000"/>
        <n v="240000000"/>
        <n v="420000000"/>
        <n v="54000000"/>
        <n v="300000000"/>
        <n v="66240000"/>
        <n v="84000000"/>
        <n v="42000000"/>
        <n v="290400000"/>
        <n v="840000000"/>
        <n v="368114352"/>
        <n v="34560000"/>
        <n v="180000000"/>
        <n v="64800000"/>
        <n v="39600000"/>
        <n v="157418184"/>
        <n v="33000000"/>
        <n v="43200000"/>
        <n v="439800000"/>
        <n v="28800000"/>
        <s v="1890000000"/>
        <s v="1476000000"/>
        <n v="238909080"/>
        <n v="36000000"/>
        <n v="49200000"/>
        <n v="61704000"/>
        <n v="72000000"/>
        <n v="27000000"/>
        <n v="5500000"/>
        <n v="66000000"/>
        <n v="48600000"/>
        <n v="60000000"/>
        <n v="108000000"/>
        <n v="13800000"/>
        <n v="252000000"/>
        <n v="168000000"/>
        <n v="155730480"/>
        <s v="-"/>
        <n v="78000000"/>
        <n v="32400000"/>
        <n v="216000000"/>
        <n v="89296800"/>
        <n v="33600000"/>
        <n v="116298000"/>
        <n v="15272724"/>
        <n v="354000000"/>
        <n v="162000000"/>
        <n v="90000000"/>
        <n v="99120000"/>
        <n v="55860000"/>
        <n v="45540000"/>
        <n v="138000000"/>
        <n v="0"/>
        <n v="1476000000"/>
        <n v="174000000"/>
        <n v="48000000"/>
        <n v="480000000"/>
        <n v="318000000"/>
        <n v="20727276"/>
        <n v="114000000"/>
        <n v="13200000"/>
        <n v="7500000"/>
        <n v="818181816"/>
        <n v="46800000"/>
        <n v="86550000"/>
        <n v="1443846000"/>
        <n v="28500000"/>
        <n v="187451000"/>
        <n v="12000000"/>
        <n v="21120000"/>
        <n v="182000000"/>
        <n v="276000000"/>
        <n v="63360000"/>
        <n v="6500000"/>
        <n v="70800000"/>
        <n v="49032000"/>
        <n v="103800000"/>
        <n v="984000000"/>
        <n v="210000000"/>
        <n v="75000000"/>
        <n v="282000000"/>
        <n v="552000000"/>
        <n v="24000000"/>
        <n v="27272724"/>
        <n v="51534546"/>
        <n v="102000000"/>
        <n v="75420000"/>
        <n v="285600000"/>
        <n v="558000000"/>
        <n v="114545448"/>
        <n v="4251745800"/>
        <n v="270000000"/>
        <n v="182400000"/>
        <n v="330000000"/>
        <n v="228000000"/>
        <n v="192000000"/>
        <n v="582000000"/>
        <n v="51600000"/>
        <n v="74181816"/>
        <n v="45600000"/>
        <n v="780000000"/>
        <n v="205200000"/>
        <n v="143400000"/>
        <n v="38400000"/>
        <n v="1067040000"/>
        <n v="600000000"/>
        <n v="44400000"/>
        <n v="51264000"/>
        <m/>
        <n v="222000000"/>
        <n v="732000000"/>
        <n v="105168000"/>
        <n v="288000000"/>
        <n v="74161290"/>
        <n v="324000000"/>
        <n v="156000000"/>
        <n v="112745460"/>
        <n v="316680000"/>
        <n v="5000000"/>
        <n v="37713600"/>
        <n v="357000000"/>
        <n v="57000000"/>
        <n v="154800000"/>
        <n v="337200000"/>
        <n v="96000000"/>
        <n v="10950000"/>
        <n v="65345460"/>
        <n v="370909092"/>
        <n v="734597695"/>
        <n v="67200000"/>
        <n v="126000000"/>
        <n v="93600000"/>
        <n v="436363632"/>
        <n v="21818181"/>
        <n v="130548000"/>
        <n v="87387600"/>
        <n v="12100000"/>
        <n v="901800000"/>
        <n v="265200000"/>
        <n v="25200000"/>
        <n v="2900000"/>
        <n v="246000000"/>
        <n v="21181818160"/>
        <n v="18000000"/>
        <n v="123600000"/>
        <n v="252480000"/>
        <n v="286200000"/>
        <n v="20500000"/>
        <n v="103154352"/>
        <n v="7700000"/>
        <n v="80400000"/>
        <n v="372000000"/>
        <n v="15600000"/>
        <n v="113479200"/>
        <n v="85200000"/>
        <n v="2166000000"/>
        <n v="101250000"/>
        <n v="186000000"/>
        <n v="6442419"/>
        <n v="218400000"/>
        <n v="63818184"/>
        <n v="39000000"/>
        <n v="378000000"/>
        <n v="111600000"/>
        <n v="223200000"/>
        <n v="109200000"/>
        <n v="3600000"/>
        <n v="153600000"/>
        <n v="60500000"/>
        <n v="384000000"/>
        <n v="360000000"/>
        <n v="72000"/>
        <n v="231600000"/>
        <n v="5156210352"/>
        <n v="264000000"/>
        <n v="2160000000"/>
        <n v="4550000000"/>
        <n v="185880000"/>
        <n v="528000000"/>
        <n v="1150000"/>
        <n v="41400000"/>
        <n v="86400000"/>
        <n v="156400000"/>
        <n v="43740000"/>
        <n v="55200000"/>
        <n v="1226520000"/>
        <n v="234000000"/>
        <n v="1008000000"/>
        <n v="379656000"/>
        <n v="94800000"/>
        <n v="82200000"/>
        <n v="538800000"/>
        <n v="73368000"/>
        <n v="492000000"/>
        <n v="37800000"/>
        <n v="99818184"/>
        <n v="412800000"/>
        <n v="108333504"/>
        <n v="172200000"/>
        <n v="135818184"/>
        <n v="50400000"/>
        <n v="194400000"/>
        <n v="238800000"/>
        <n v="85500000"/>
        <n v="152727276"/>
        <n v="42750000"/>
        <n v="98400000"/>
        <n v="22200000"/>
        <n v="237000000"/>
        <n v="1032000"/>
        <n v="159000000"/>
        <n v="165000000"/>
        <n v="30545460"/>
        <n v="50412000"/>
        <n v="86618184"/>
        <n v="2493859524"/>
        <n v="131788800"/>
        <n v="397379613"/>
        <n v="81600000"/>
        <n v="28000000"/>
        <n v="29400000"/>
        <n v="1080000000"/>
        <n v="349200000"/>
        <n v="127603391"/>
        <n v="2010000000"/>
        <n v="348000000"/>
        <n v="490909092"/>
        <n v="26400000"/>
        <n v="158400000"/>
        <n v="494400000"/>
        <n v="29880000"/>
        <n v="61500000"/>
        <n v="294000000"/>
        <n v="14832000"/>
        <n v="24600000"/>
        <n v="204000000"/>
        <n v="95727272"/>
        <n v="2476356000"/>
        <n v="659700000"/>
        <n v="190096200"/>
        <n v="474000000"/>
        <n v="8100000"/>
        <n v="115200000"/>
        <n v="37207000"/>
        <n v="2500800000"/>
        <n v="74832000"/>
        <n v="456000000"/>
        <n v="154080000"/>
        <n v="45818184"/>
        <n v="4776000000"/>
        <n v="516000000"/>
        <n v="57600000"/>
        <n v="564000000"/>
        <n v="44568000"/>
        <n v="118800000"/>
        <n v="198000000"/>
        <n v="1123140000"/>
        <n v="82800000"/>
        <n v="123000000"/>
        <n v="163225440"/>
        <n v="59400000"/>
        <n v="132000000"/>
        <n v="38568000"/>
        <n v="414000000"/>
        <n v="34024992"/>
        <n v="21600000"/>
        <n v="154344727"/>
        <n v="818181"/>
        <n v="71928000"/>
        <n v="73909091"/>
        <n v="232000000"/>
        <n v="44000000"/>
        <n v="129000000"/>
        <n v="31200000"/>
        <n v="150586800"/>
        <n v="1092000000"/>
        <n v="384057600"/>
        <n v="56400000"/>
        <n v="352480000"/>
        <n v="244800000"/>
        <n v="25800000"/>
        <n v="108750000"/>
        <n v="66600024"/>
        <n v="7666667"/>
        <n v="872304000"/>
        <n v="366000000"/>
        <n v="37200000"/>
        <n v="38196000"/>
        <n v="20300400"/>
        <n v="97200000"/>
        <n v="1740000000"/>
        <n v="49500000"/>
        <n v="87480000"/>
        <n v="1800000000"/>
        <n v="94009200"/>
        <n v="211200000"/>
        <n v="10442000"/>
        <n v="576000000"/>
        <n v="15292944000"/>
        <n v="27142012968"/>
        <n v="16270344000"/>
        <n v="49164000000"/>
        <n v="64000000"/>
        <n v="518700000"/>
        <n v="564100000"/>
        <n v="21000000"/>
        <n v="2400000000"/>
        <n v="3366600000"/>
        <n v="3589800000"/>
        <n v="88800000"/>
        <n v="3000000000"/>
        <n v="136800000"/>
        <n v="243600000"/>
        <n v="117000000"/>
        <n v="591600000"/>
        <n v="79800000"/>
        <n v="50500000"/>
        <n v="90600000"/>
        <n v="45000000"/>
        <n v="396000000"/>
        <n v="231272724"/>
        <n v="93360000"/>
        <n v="50873556"/>
        <n v="928356000"/>
        <n v="20000000"/>
        <n v="34170000"/>
        <n v="128600000"/>
        <n v="1428000000"/>
        <n v="69500000"/>
        <n v="148800000"/>
        <n v="610200000"/>
        <n v="32923200"/>
        <n v="200000000"/>
        <n v="8036892000"/>
        <n v="77272724"/>
        <n v="65453340"/>
        <n v="4200000"/>
        <n v="615500000"/>
        <n v="62500000"/>
        <n v="1440000000"/>
        <n v="26700000"/>
        <n v="1416000000"/>
        <n v="38961601326"/>
        <n v="315000000"/>
        <n v="33789600000"/>
        <n v="62400000"/>
        <n v="36288000"/>
        <n v="607200000"/>
        <n v="27600000"/>
        <n v="71280000"/>
        <n v="116000000"/>
        <n v="696000000"/>
        <n v="336000000"/>
        <n v="56000000"/>
        <n v="37000000"/>
        <n v="79200000"/>
        <n v="127200000"/>
        <n v="38000000"/>
        <n v="4357242"/>
        <n v="4980000"/>
        <n v="8000000"/>
        <n v="17000000"/>
        <n v="11200000"/>
        <n v="51020949600"/>
        <n v="7600000"/>
        <n v="6824602"/>
        <n v="40947612"/>
        <n v="2720400000"/>
        <n v="15552000"/>
        <n v="441600000"/>
        <n v="273600000"/>
        <n v="99000000"/>
        <n v="109440000"/>
        <n v="27500000"/>
        <n v="150000000"/>
        <s v="="/>
        <n v="141342240"/>
        <n v="223512000"/>
        <n v="1116598920"/>
        <n v="43080000"/>
        <n v="112800000"/>
        <n v="25680000"/>
        <n v="322800000"/>
        <n v="22202760"/>
        <n v="1668963600"/>
        <n v="86950000"/>
        <n v="1032000000"/>
        <n v="1158240000"/>
        <n v="140400000"/>
        <n v="2470800000"/>
        <n v="2337804000"/>
        <n v="121800000"/>
        <n v="29900000"/>
        <n v="157800000"/>
        <n v="40276363680"/>
        <n v="53460000"/>
        <n v="35100000"/>
        <n v="2812500000"/>
        <n v="312000000"/>
        <n v="4626000000"/>
        <n v="1922967276"/>
        <n v="1890000000"/>
        <n v="3359664000"/>
        <n v="960000000"/>
        <n v="2022000000"/>
        <n v="1620000000"/>
        <n v="962500000"/>
        <n v="13600000"/>
        <n v="218935860"/>
        <n v="504000000"/>
        <n v="47567568"/>
        <n v="30454044"/>
        <n v="157500000"/>
        <n v="67718114062"/>
        <n v="107400000"/>
        <n v="498000000"/>
        <n v="64718114062"/>
        <n v="310800000"/>
        <n v="1966800000"/>
        <n v="52131936"/>
        <n v="2746622832"/>
        <n v="32863642"/>
        <n v="113400000"/>
        <n v="58000000"/>
        <n v="402060000"/>
        <n v="73958184"/>
        <n v="51000000"/>
        <n v="60610000"/>
        <n v="73920000"/>
        <n v="35636364"/>
        <n v="16905000"/>
        <n v="17400000"/>
        <n v="23760000"/>
        <n v="3600000000"/>
        <n v="189600000"/>
        <n v="85945944"/>
        <n v="468000000"/>
        <n v="20329428"/>
        <n v="359100000"/>
        <n v="703000000"/>
        <n v="870000000"/>
        <n v="1018500000"/>
        <n v="297000000"/>
        <n v="4923600000"/>
        <n v="91900000"/>
        <n v="274800000"/>
        <n v="345088000"/>
        <n v="110500000"/>
        <n v="86500000"/>
        <n v="57152000"/>
        <n v="45700000"/>
        <n v="107274240"/>
        <n v="10940905"/>
        <n v="96744000"/>
        <n v="785400000"/>
        <n v="499000000"/>
        <n v="54545454"/>
        <n v="404700000"/>
        <n v="37207200"/>
        <n v="73200000"/>
        <n v="154200000"/>
        <n v="171500000"/>
        <n v="16909088"/>
        <n v="792000"/>
        <n v="175167000"/>
        <n v="72088704"/>
        <n v="30576000"/>
        <n v="375000000"/>
        <n v="180120000"/>
        <n v="55000000"/>
        <n v="119674980"/>
        <n v="51046800"/>
        <n v="55231200"/>
        <n v="23850000"/>
        <n v="2479200000"/>
        <n v="957188496"/>
        <n v="131784000"/>
        <n v="501600000"/>
        <n v="17268957"/>
        <n v="1021200000"/>
        <n v="76042800"/>
        <n v="52800000"/>
        <n v="69600000"/>
        <n v="248780000"/>
        <n v="326400000"/>
        <n v="408000000"/>
        <n v="76200000"/>
        <n v="653081088"/>
        <n v="726000000"/>
        <n v="77558916"/>
        <n v="210336000"/>
        <n v="7048087276"/>
        <n v="816000000"/>
        <n v="858000000"/>
        <n v="102600000"/>
        <n v="720000000"/>
        <n v="409800000"/>
        <n v="37250000"/>
        <n v="5467500"/>
        <n v="184800000"/>
        <n v="11650000"/>
        <n v="111720000"/>
        <n v="342000000"/>
        <n v="206460000"/>
        <n v="371679600"/>
        <n v="160377600"/>
        <n v="63000000"/>
        <n v="148200000"/>
        <n v="149000000"/>
        <n v="54366126"/>
        <n v="35402400"/>
        <n v="126108000"/>
        <n v="907551600"/>
        <n v="878400000"/>
        <n v="18600000"/>
        <n v="14078040000"/>
        <n v="118956000"/>
        <n v="10321212000"/>
        <n v="6000000"/>
        <n v="213600000"/>
        <n v="203000000"/>
        <n v="54054060"/>
        <n v="444000000"/>
        <n v="336720000"/>
        <n v="14400000"/>
        <n v="10660000"/>
        <n v="1481082000"/>
        <n v="51500000"/>
        <n v="75900000"/>
        <n v="134400000"/>
        <n v="151200000"/>
        <n v="99900000"/>
        <n v="72729744"/>
        <n v="99600000"/>
        <n v="35400000"/>
        <n v="56700000"/>
        <n v="22800000"/>
        <n v="38160000"/>
        <n v="390000000"/>
        <n v="38181816"/>
        <n v="110400000"/>
        <n v="40200000"/>
        <n v="139560000"/>
        <n v="163636368"/>
        <n v="171000000"/>
        <n v="21427044"/>
        <n v="65454540"/>
        <n v="450000000"/>
        <n v="307200000"/>
        <n v="126600000"/>
        <n v="54928644"/>
        <n v="76012968"/>
        <n v="50793600"/>
        <n v="36216240"/>
        <n v="75675672"/>
        <n v="226712088"/>
        <n v="85800000"/>
        <n v="886800000"/>
        <n v="654586000"/>
        <n v="869000000"/>
        <n v="667745556"/>
        <n v="47300000"/>
        <n v="12938212596"/>
        <n v="64634000"/>
        <n v="65000000"/>
        <n v="441300000"/>
        <n v="35454000"/>
        <n v="256200000"/>
        <n v="130200000"/>
        <n v="83783787"/>
        <n v="7050077600"/>
        <n v="41000000"/>
        <n v="1704000000"/>
        <n v="660000000"/>
        <n v="635119980"/>
        <n v="52500000"/>
        <n v="341679600"/>
        <n v="130377600"/>
        <n v="44666667"/>
        <n v="56875000"/>
        <n v="521600000"/>
        <n v="53000000"/>
        <n v="87500000"/>
        <n v="271800000"/>
        <n v="142432443"/>
        <n v="327825806.45161289"/>
        <n v="243780000"/>
        <n v="10606728"/>
        <n v="23887097"/>
        <n v="2925667423" u="1"/>
        <n v="24620000000" u="1"/>
        <n v="7383544680" u="1"/>
        <n v="16003332000" u="1"/>
        <n v="11699040000" u="1"/>
        <n v="1023600163104" u="1"/>
      </sharedItems>
    </cacheField>
    <cacheField name="Biaya  Deposit Sewa_x000a_(Rp)" numFmtId="0">
      <sharedItems containsNonDate="0" containsString="0" containsBlank="1"/>
    </cacheField>
    <cacheField name="Biaya (OTC)_x000a_(Rp)" numFmtId="0">
      <sharedItems containsBlank="1" containsMixedTypes="1" containsNumber="1" containsInteger="1" minValue="0" maxValue="25000000"/>
    </cacheField>
    <cacheField name="Biaya Sewa (1 Thn)_x000a_(Rp)" numFmtId="0">
      <sharedItems containsBlank="1" containsMixedTypes="1" containsNumber="1" containsInteger="1" minValue="543780" maxValue="2208578544" count="554">
        <n v="460800000"/>
        <n v="8750000"/>
        <n v="70000000"/>
        <n v="52656247"/>
        <n v="7500000"/>
        <n v="6000000"/>
        <n v="35000000"/>
        <n v="9000000"/>
        <n v="2500000"/>
        <n v="17000000"/>
        <n v="36000000"/>
        <n v="8400000"/>
        <n v="25000000"/>
        <n v="26000000"/>
        <n v="30000000"/>
        <n v="21850005"/>
        <n v="12000000"/>
        <n v="24000000"/>
        <n v="18000000"/>
        <n v="151200000"/>
        <n v="3000000"/>
        <n v="60500000"/>
        <n v="38500000"/>
        <n v="110000000"/>
        <n v="109511230"/>
        <n v="10000000"/>
        <n v="9900000"/>
        <n v="23888889"/>
        <n v="3500000"/>
        <n v="20000000"/>
        <n v="6050000"/>
        <n v="8000000"/>
        <n v="10500000"/>
        <n v="19360000"/>
        <n v="11160000"/>
        <n v="48000000"/>
        <n v="23100000"/>
        <n v="104500008"/>
        <n v="180000000"/>
        <n v="7000000"/>
        <n v="21900000"/>
        <n v="40000000"/>
        <n v="2000000"/>
        <n v="6363000"/>
        <n v="69360000"/>
        <n v="28000000"/>
        <n v="11000000"/>
        <n v="166600100"/>
        <n v="4800000"/>
        <n v="50000000"/>
        <n v="19000000"/>
        <n v="5000000"/>
        <n v="6363636"/>
        <n v="2400000"/>
        <n v="33900000"/>
        <n v="36300000"/>
        <n v="25200000"/>
        <n v="57600000"/>
        <n v="393120000"/>
        <n v="2893223"/>
        <m/>
        <n v="66000000"/>
        <n v="37000000"/>
        <n v="15000000"/>
        <n v="19500000"/>
        <n v="55000000"/>
        <n v="7200000"/>
        <n v="15516048"/>
        <n v="12500000"/>
        <n v="10890000"/>
        <n v="16666668"/>
        <n v="108000000"/>
        <n v="1275024444"/>
        <n v="171000000"/>
        <n v="29300000"/>
        <n v="13200000"/>
        <n v="88330000"/>
        <n v="22550000"/>
        <n v="14000000"/>
        <n v="54000000"/>
        <n v="29000000"/>
        <n v="54500000"/>
        <n v="42500000"/>
        <n v="17500000"/>
        <n v="330900000"/>
        <n v="96000000"/>
        <n v="106800000"/>
        <n v="29400000"/>
        <n v="60000000"/>
        <n v="6600000"/>
        <n v="70200000"/>
        <n v="13785478"/>
        <n v="49000000"/>
        <n v="39458424"/>
        <n v="39120000"/>
        <n v="90000000"/>
        <n v="104400000"/>
        <n v="204000000"/>
        <n v="26970084"/>
        <n v="1500000"/>
        <n v="9375000"/>
        <n v="45612000"/>
        <n v="14660000"/>
        <n v="101500000"/>
        <n v="111000000"/>
        <n v="18981108"/>
        <n v="45000000"/>
        <n v="81000000"/>
        <n v="69600000"/>
        <n v="26143452"/>
        <n v="78000000"/>
        <n v="115500000"/>
        <n v="66992000"/>
        <n v="79425018"/>
        <n v="15399936"/>
        <n v="1700000"/>
        <n v="282200000"/>
        <n v="14680000"/>
        <n v="22440000"/>
        <n v="20900000"/>
        <n v="3300538"/>
        <n v="143100000"/>
        <n v="46000000"/>
        <n v="81840000"/>
        <n v="4620000"/>
        <n v="13000000"/>
        <n v="56300000"/>
        <n v="56000000"/>
        <n v="72000000"/>
        <n v="48015000"/>
        <n v="1164000000"/>
        <n v="25520000"/>
        <n v="8500000"/>
        <n v="39000000"/>
        <n v="196560000"/>
        <n v="42000000"/>
        <n v="23224051"/>
        <n v="82000000"/>
        <n v="18270975"/>
        <n v="145000000"/>
        <n v="5000010"/>
        <n v="2500001"/>
        <n v="2200000"/>
        <n v="8642700"/>
        <n v="31000000"/>
        <n v="120000000"/>
        <n v="55200000"/>
        <n v="54888000"/>
        <s v="-"/>
        <n v="11359668"/>
        <n v="72600000"/>
        <n v="63000000"/>
        <n v="6957500"/>
        <n v="15840000"/>
        <n v="77000000"/>
        <n v="21525000"/>
        <n v="23848008"/>
        <n v="115672752"/>
        <n v="4850000"/>
        <n v="66550000"/>
        <n v="144000000"/>
        <n v="102000000"/>
        <n v="198000000"/>
        <n v="14400000"/>
        <n v="171600000"/>
        <n v="11250000"/>
        <n v="18850000"/>
        <n v="33000000"/>
        <n v="126000000"/>
        <n v="40625000"/>
        <n v="34800000"/>
        <n v="45300000"/>
        <n v="2750004"/>
        <n v="49500000"/>
        <n v="2750000"/>
        <n v="51600000"/>
        <n v="21450000"/>
        <n v="11818764"/>
        <n v="59400000"/>
        <n v="540000000"/>
        <n v="13244000"/>
        <n v="21120000"/>
        <n v="26060265"/>
        <n v="7500002"/>
        <n v="21600000"/>
        <n v="252000000"/>
        <n v="19250000"/>
        <n v="2500008"/>
        <n v="54283803"/>
        <n v="32400000"/>
        <n v="8352180"/>
        <n v="225000000"/>
        <n v="23244051"/>
        <n v="26400000"/>
        <n v="48400008"/>
        <n v="65280000"/>
        <n v="132600000"/>
        <n v="23691150"/>
        <n v="150000000"/>
        <n v="184799232"/>
        <n v="43920000"/>
        <n v="15769620"/>
        <n v="543780"/>
        <n v="23926320"/>
        <n v="43800000"/>
        <n v="160923081"/>
        <n v="115448256"/>
        <n v="10000003"/>
        <n v="15360000"/>
        <n v="79861032"/>
        <n v="41343750"/>
        <n v="6300000"/>
        <n v="93555000"/>
        <n v="84000000"/>
        <n v="24107580"/>
        <n v="67791240"/>
        <n v="5040000"/>
        <n v="43300000"/>
        <n v="5540000"/>
        <n v="119700000"/>
        <n v="100000000"/>
        <n v="397379613"/>
        <n v="52000000"/>
        <n v="357782304"/>
        <n v="113400000"/>
        <n v="166800000"/>
        <n v="22951000"/>
        <n v="15300000"/>
        <n v="14280000"/>
        <n v="14300000"/>
        <n v="168000000"/>
        <n v="47000000"/>
        <n v="10028172"/>
        <n v="3780000"/>
        <n v="72000001"/>
        <n v="174000000"/>
        <n v="130340000"/>
        <n v="156000000"/>
        <n v="8250000"/>
        <n v="105600000"/>
        <n v="19150000"/>
        <n v="4574000"/>
        <n v="67992000"/>
        <n v="28429000"/>
        <n v="10625000"/>
        <n v="20604000"/>
        <n v="23247000"/>
        <n v="145825000"/>
        <n v="35000006"/>
        <n v="27000000"/>
        <n v="240000000"/>
        <n v="16500000"/>
        <n v="17399349"/>
        <n v="17000004"/>
        <n v="162000000"/>
        <n v="24470100"/>
        <n v="35500000"/>
        <n v="23200000"/>
        <n v="44000000"/>
        <n v="13594500"/>
        <n v="12714168"/>
        <n v="33600000"/>
        <n v="56210000"/>
        <n v="13727273"/>
        <n v="4784000"/>
        <n v="21000000"/>
        <n v="21630000"/>
        <n v="105010000"/>
        <n v="15136000"/>
        <n v="73710000"/>
        <n v="61800000"/>
        <n v="95760000"/>
        <n v="147000000"/>
        <n v="4816950"/>
        <n v="210000000"/>
        <n v="20200000"/>
        <n v="16000000"/>
        <n v="3600000"/>
        <n v="62900000"/>
        <n v="1010747"/>
        <n v="30640000"/>
        <n v="276000000"/>
        <n v="86400000"/>
        <n v="258000000"/>
        <n v="17582220"/>
        <n v="26735850"/>
        <n v="38699010"/>
        <n v="41127600"/>
        <n v="68516280"/>
        <n v="27823410"/>
        <n v="31176720"/>
        <n v="23233560"/>
        <n v="2208578544"/>
        <n v="18150000"/>
        <n v="7260000"/>
        <n v="11922531"/>
        <n v="74400000"/>
        <n v="82500000"/>
        <n v="2856000"/>
        <n v="64000000"/>
        <n v="7636366"/>
        <n v="32500000"/>
        <n v="3300000"/>
        <n v="89967776"/>
        <n v="11100000"/>
        <n v="206640000"/>
        <n v="80640000"/>
        <n v="20300000"/>
        <n v="3900000"/>
        <n v="7780000"/>
        <n v="5400000"/>
        <n v="2847500"/>
        <n v="4000000"/>
        <n v="24500000"/>
        <n v="5100300"/>
        <n v="37500000"/>
        <n v="15480000"/>
        <n v="31500000"/>
        <n v="38700000"/>
        <n v="46530000"/>
        <n v="189000000"/>
        <n v="25106760"/>
        <n v="56997993"/>
        <n v="125000000"/>
        <n v="28500000"/>
        <n v="9350000"/>
        <n v="624000000"/>
        <n v="316000000"/>
        <n v="142500000"/>
        <n v="27700000"/>
        <n v="1671362"/>
        <n v="12376764"/>
        <n v="44049312"/>
        <n v="7341552"/>
        <n v="50444376"/>
        <n v="6878389"/>
        <n v="27515636"/>
        <n v="171014892"/>
        <n v="54744737"/>
        <n v="13310172"/>
        <n v="85374924"/>
        <n v="13132726"/>
        <n v="7961520"/>
        <n v="4357242"/>
        <n v="30536280"/>
        <n v="26613126"/>
        <n v="13871484"/>
        <n v="70679256"/>
        <n v="2410252"/>
        <n v="95055799"/>
        <n v="2477052"/>
        <n v="36788388"/>
        <n v="16292118"/>
        <n v="8194881"/>
        <n v="2566656"/>
        <n v="17479944"/>
        <n v="13609344"/>
        <n v="7800000"/>
        <n v="30563880"/>
        <n v="6735428"/>
        <n v="1969794"/>
        <n v="14077824"/>
        <n v="60001748"/>
        <n v="6168860"/>
        <n v="10587899"/>
        <n v="11910521"/>
        <n v="10681779"/>
        <n v="3529526"/>
        <n v="3412301"/>
        <n v="2089166"/>
        <n v="14758248"/>
        <n v="5188414"/>
        <n v="5853396"/>
        <n v="41891556"/>
        <n v="24527056"/>
        <n v="13500000"/>
        <n v="2944447"/>
        <n v="26735856"/>
        <n v="38699016"/>
        <n v="47127600"/>
        <n v="36705157"/>
        <n v="27823416"/>
        <n v="17582221"/>
        <n v="163949677"/>
        <n v="14228916"/>
        <n v="48668317"/>
        <n v="48668315"/>
        <n v="24107581"/>
        <n v="61628400"/>
        <n v="37702080"/>
        <n v="13594501"/>
        <n v="267721020"/>
        <n v="161626143"/>
        <n v="69806190"/>
        <n v="9545016"/>
        <n v="15141000"/>
        <n v="21901920"/>
        <n v="48568620"/>
        <n v="46204776"/>
        <n v="105000000"/>
        <n v="28280000"/>
        <n v="15750000"/>
        <n v="22500000"/>
        <n v="6500000"/>
        <n v="264000000"/>
        <n v="345104375"/>
        <n v="589500000"/>
        <n v="75000000"/>
        <n v="21500000"/>
        <n v="22000000"/>
        <n v="22187500"/>
        <n v="4355000"/>
        <n v="103680000"/>
        <n v="450000000"/>
        <n v="881000000"/>
        <n v="47380000"/>
        <n v="77760000"/>
        <n v="1391000000"/>
        <n v="58000000"/>
        <n v="7791780"/>
        <n v="2100000"/>
        <n v="214000000"/>
        <n v="41500000"/>
        <n v="28440000"/>
        <n v="56100000"/>
        <n v="120858186"/>
        <n v="42773425"/>
        <n v="7324885"/>
        <n v="5500000"/>
        <n v="26796000"/>
        <n v="13750000"/>
        <n v="34000000"/>
        <n v="1900000"/>
        <n v="22680000"/>
        <n v="75590640"/>
        <n v="25080000"/>
        <n v="46250000"/>
        <n v="66000020"/>
        <n v="15948387"/>
        <n v="11709677"/>
        <n v="15120000"/>
        <n v="9523500"/>
        <n v="47700037"/>
        <n v="352800000"/>
        <n v="103800000"/>
        <n v="43418375"/>
        <n v="210000027"/>
        <n v="545000000"/>
        <n v="10800000"/>
        <n v="113000000"/>
        <n v="86000000"/>
        <n v="27200000"/>
        <n v="111548412"/>
        <n v="105153000"/>
        <n v="38400000"/>
        <n v="81600000"/>
        <n v="42000023"/>
        <n v="40800020"/>
        <n v="24000008"/>
        <n v="1370982"/>
        <n v="36954546"/>
        <n v="99372728"/>
        <n v="144000002"/>
        <n v="51666670"/>
        <n v="300000000"/>
        <n v="202666684"/>
        <n v="362500000"/>
        <n v="102000014"/>
        <n v="4050000"/>
        <n v="608240000"/>
        <n v="92400000"/>
        <n v="369200000"/>
        <n v="138000000"/>
        <n v="106000000"/>
        <n v="120000003"/>
        <n v="121000012"/>
        <n v="103000000"/>
        <n v="3300557"/>
        <n v="111825000"/>
        <n v="152293600"/>
        <n v="65280020"/>
        <n v="65000000"/>
        <n v="89400000"/>
        <n v="28760500"/>
        <n v="50400000"/>
        <n v="84207600"/>
        <n v="31752000"/>
        <n v="63525000"/>
        <n v="22874201"/>
        <n v="2760000"/>
        <n v="155150000"/>
        <n v="4700000"/>
        <n v="59044000"/>
        <n v="14520000"/>
        <n v="33436800"/>
        <n v="27900000"/>
        <n v="63480000"/>
        <n v="73710001"/>
        <n v="4320000"/>
        <n v="216000000"/>
        <n v="280800000"/>
        <n v="10290323"/>
        <n v="16300010"/>
        <n v="1000000"/>
        <n v="7590000"/>
        <n v="17360000"/>
        <n v="1100000"/>
        <n v="112140000"/>
        <n v="159600000"/>
        <n v="10093272"/>
        <n v="136296312"/>
        <n v="21300000"/>
        <n v="123059078"/>
        <n v="79200000"/>
        <n v="25800000"/>
        <n v="114000000"/>
        <n v="46731300"/>
        <n v="21210000"/>
        <n v="18777061"/>
        <n v="20671878"/>
        <n v="39523245"/>
        <n v="25851406"/>
        <n v="7284340"/>
        <n v="1240978"/>
        <n v="122500000"/>
        <n v="27600000"/>
        <n v="2972976"/>
        <n v="856800000"/>
        <n v="336720000"/>
        <n v="24684700"/>
        <n v="26500000"/>
        <n v="117200000"/>
        <n v="52500000"/>
        <n v="132000000"/>
        <n v="235200000"/>
        <n v="20391750"/>
        <n v="362800010"/>
        <n v="86097888"/>
        <n v="16380000"/>
        <n v="33533100"/>
        <n v="234000000"/>
        <n v="11282582"/>
        <n v="8849615"/>
        <n v="26362098"/>
        <n v="63150000"/>
        <n v="28022592"/>
        <n v="11340000"/>
        <n v="14231059"/>
        <n v="13251731"/>
        <n v="159804500"/>
        <n v="299419380"/>
        <n v="43200000"/>
        <n v="60480000"/>
        <n v="11802230"/>
      </sharedItems>
    </cacheField>
    <cacheField name="Rev Sharing_x000a_(%) " numFmtId="0">
      <sharedItems containsBlank="1" containsMixedTypes="1" containsNumber="1" minValue="0.1" maxValue="0.35"/>
    </cacheField>
    <cacheField name="Start" numFmtId="0">
      <sharedItems containsDate="1" containsBlank="1" containsMixedTypes="1" minDate="2015-07-13T00:00:00" maxDate="2024-11-24T00:00:00" count="1066">
        <s v="22/7/2020"/>
        <d v="2020-12-04T00:00:00"/>
        <s v="25/9/2020"/>
        <d v="2020-02-01T00:00:00"/>
        <d v="2020-04-05T00:00:00"/>
        <s v="18/7/2020"/>
        <s v="23/1/2020"/>
        <d v="2020-07-07T00:00:00"/>
        <s v="27/8/2020"/>
        <d v="2020-06-07T00:00:00"/>
        <s v="28/5/2020"/>
        <s v="14/9/2020 "/>
        <d v="2020-06-09T00:00:00"/>
        <s v="27/1/2020"/>
        <d v="2020-01-07T00:00:00"/>
        <d v="2020-05-04T00:00:00"/>
        <d v="2020-01-08T00:00:00"/>
        <d v="2020-01-03T00:00:00"/>
        <d v="2020-01-10T00:00:00"/>
        <d v="2020-08-03T00:00:00"/>
        <s v="20/7/2020"/>
        <d v="2020-01-06T00:00:00"/>
        <s v="17/2/2020"/>
        <d v="2020-01-04T00:00:00"/>
        <s v="15/4/2020"/>
        <s v="31/1/2020"/>
        <s v="23/7/2020"/>
        <s v="25/4/2020"/>
        <d v="2020-01-05T00:00:00"/>
        <d v="2020-08-01T00:00:00"/>
        <d v="2020-03-07T00:00:00"/>
        <s v="26/7/2020"/>
        <s v="29/9/2020"/>
        <d v="2020-07-02T00:00:00"/>
        <s v="15/9/2020"/>
        <s v="01/01/2020"/>
        <s v="18/04/2020"/>
        <s v="09/03/2020"/>
        <s v="21/04/2020"/>
        <s v="01/02/2020"/>
        <s v="03/03/2020"/>
        <s v="17/07/2020"/>
        <s v="11/06/2020"/>
        <s v="27/09/2020"/>
        <s v="29/09/2020"/>
        <s v="01/09/2020"/>
        <s v="19/08/2020"/>
        <s v="24/07/2020"/>
        <s v="30/06/2020"/>
        <s v="24/06/2020"/>
        <s v="10/01/2020"/>
        <s v="16/06/2020"/>
        <s v="31/08/2020"/>
        <s v="28/05/2020"/>
        <s v="10/12/2020"/>
        <s v="01/03/2020"/>
        <s v="01/12/2020"/>
        <s v="22/12/2020"/>
        <s v="02/12/2020"/>
        <s v="14/04/2020"/>
        <s v="17/09/2020"/>
        <s v="01/11/2020"/>
        <d v="2020-04-29T00:00:00"/>
        <d v="2020-11-23T00:00:00"/>
        <s v="25/02/2020 "/>
        <d v="2020-04-20T00:00:00"/>
        <s v="11-Mei-2020"/>
        <d v="2020-04-15T00:00:00"/>
        <s v="29-Juli-2020"/>
        <s v="13-Febuari-2020"/>
        <d v="2019-12-02T00:00:00"/>
        <s v="13-Maret-2020"/>
        <s v="21-Maret-2020"/>
        <s v="15-Juli-2020"/>
        <s v="14-Mei-2020"/>
        <d v="2020-04-09T00:00:00"/>
        <s v="28-Mei-2020"/>
        <s v="26/08/2020"/>
        <s v="15/02/2020"/>
        <s v="01/01/2021"/>
        <s v="19/03/2021"/>
        <s v="16/04/2020"/>
        <s v="16/07/2020"/>
        <s v="20/10/2020"/>
        <s v="28/04/2020"/>
        <s v="23/01/2020"/>
        <s v="13/02/2020"/>
        <s v="29/01/2020 "/>
        <s v="21/01/2020"/>
        <s v="18/12/2020"/>
        <s v="26/10/2020"/>
        <s v="08/06/2020"/>
        <s v="12/10/2020"/>
        <s v="03/11/2020"/>
        <s v="01/10/2020"/>
        <s v="16/12/2020"/>
        <s v="29/12/2020"/>
        <s v="03/12/2020"/>
        <d v="2020-05-19T00:00:00"/>
        <d v="2020-12-31T00:00:00"/>
        <d v="2020-09-01T00:00:00"/>
        <d v="2020-09-06T00:00:00"/>
        <d v="2020-03-01T00:00:00"/>
        <d v="2020-03-09T00:00:00"/>
        <d v="2020-03-04T00:00:00"/>
        <d v="2020-03-23T00:00:00"/>
        <d v="2020-02-20T00:00:00"/>
        <d v="2020-05-01T00:00:00"/>
        <d v="2020-05-25T00:00:00"/>
        <d v="2020-06-24T00:00:00"/>
        <d v="2020-05-10T00:00:00"/>
        <d v="2020-05-31T00:00:00"/>
        <d v="2020-01-01T00:00:00"/>
        <d v="2020-11-01T00:00:00"/>
        <d v="2020-09-30T00:00:00"/>
        <d v="2020-03-16T00:00:00"/>
        <d v="2020-02-13T00:00:00"/>
        <d v="2020-03-27T00:00:00"/>
        <d v="2020-07-01T00:00:00"/>
        <d v="2020-06-01T00:00:00"/>
        <d v="2020-07-22T00:00:00"/>
        <d v="2020-08-23T00:00:00"/>
        <d v="2020-11-18T00:00:00"/>
        <d v="2020-02-25T00:00:00"/>
        <d v="2021-04-03T00:00:00"/>
        <d v="2020-10-01T00:00:00"/>
        <d v="2021-01-01T00:00:00"/>
        <d v="2020-09-09T00:00:00"/>
        <d v="2020-10-16T00:00:00"/>
        <d v="2020-10-14T00:00:00"/>
        <d v="2020-06-18T00:00:00"/>
        <d v="2020-09-18T00:00:00"/>
        <d v="2020-07-21T00:00:00"/>
        <d v="2020-11-02T00:00:00"/>
        <d v="2020-09-12T00:00:00"/>
        <d v="2020-07-06T00:00:00"/>
        <d v="2020-08-16T00:00:00"/>
        <d v="2020-02-03T00:00:00"/>
        <d v="2020-07-11T00:00:00"/>
        <d v="2020-04-01T00:00:00"/>
        <d v="2020-06-05T00:00:00"/>
        <d v="2020-05-15T00:00:00"/>
        <d v="2020-04-06T00:00:00"/>
        <d v="2020-11-30T00:00:00"/>
        <d v="2020-06-30T00:00:00"/>
        <d v="2020-08-12T00:00:00"/>
        <d v="2020-06-03T00:00:00"/>
        <d v="2020-06-15T00:00:00"/>
        <d v="2020-08-27T00:00:00"/>
        <d v="2020-08-19T00:00:00"/>
        <d v="2020-09-23T00:00:00"/>
        <d v="2021-02-01T00:00:00"/>
        <d v="2021-01-28T00:00:00"/>
        <d v="2021-03-12T00:00:00"/>
        <d v="2021-03-10T00:00:00"/>
        <d v="2020-09-04T00:00:00"/>
        <d v="2021-03-29T00:00:00"/>
        <d v="2021-01-21T00:00:00"/>
        <d v="2021-02-18T00:00:00"/>
        <d v="2021-02-09T00:00:00"/>
        <d v="2021-07-29T00:00:00"/>
        <d v="2021-05-10T00:00:00"/>
        <d v="2021-08-01T00:00:00"/>
        <d v="2021-07-01T00:00:00"/>
        <d v="2021-07-05T00:00:00"/>
        <d v="2021-07-22T00:00:00"/>
        <d v="2021-06-29T00:00:00"/>
        <d v="2021-05-27T00:00:00"/>
        <d v="2021-05-30T00:00:00"/>
        <d v="2021-04-12T00:00:00"/>
        <d v="2021-12-24T00:00:00"/>
        <d v="2021-12-18T00:00:00"/>
        <d v="2021-12-27T00:00:00"/>
        <d v="2021-11-19T00:00:00"/>
        <d v="2021-11-18T00:00:00"/>
        <d v="2021-10-26T00:00:00"/>
        <d v="2021-10-14T00:00:00"/>
        <d v="2021-08-19T00:00:00"/>
        <d v="2021-10-29T00:00:00"/>
        <d v="2021-06-04T00:00:00"/>
        <d v="2021-09-21T00:00:00"/>
        <d v="2021-12-13T00:00:00"/>
        <d v="2021-10-06T00:00:00"/>
        <d v="2021-09-27T00:00:00"/>
        <d v="2021-08-31T00:00:00"/>
        <s v="20/4/2021"/>
        <d v="2021-03-03T00:00:00"/>
        <s v="29/1/2021"/>
        <s v="25/2/2021"/>
        <d v="2021-05-03T00:00:00"/>
        <d v="2021-10-03T00:00:00"/>
        <d v="2021-05-02T00:00:00"/>
        <s v="14/1/2021"/>
        <s v="15/5/2021"/>
        <d v="2021-09-07T00:00:00"/>
        <s v="29/7/2021"/>
        <d v="2021-01-07T00:00:00"/>
        <s v="22/7/2021"/>
        <d v="2021-09-08T00:00:00"/>
        <s v="27/5/2021"/>
        <s v="30/6/2021"/>
        <d v="2022-01-01T00:00:00"/>
        <s v="18/12/2021"/>
        <s v="29/12/2021"/>
        <s v="17/12/2021"/>
        <s v="23/12/2021"/>
        <d v="2021-10-09T00:00:00"/>
        <s v="24/9/2021"/>
        <d v="2021-01-10T00:00:00"/>
        <s v="16/10/2021"/>
        <s v="24/6/2021"/>
        <s v="31/8/2021"/>
        <d v="2021-01-08T00:00:00"/>
        <d v="2021-05-11T00:00:00"/>
        <d v="2021-10-10T00:00:00"/>
        <d v="2021-06-09T00:00:00"/>
        <d v="2021-08-21T00:00:00"/>
        <d v="2021-04-25T00:00:00"/>
        <d v="2021-04-13T00:00:00"/>
        <d v="2021-03-15T00:00:00"/>
        <d v="2021-06-01T00:00:00"/>
        <d v="2021-04-21T00:00:00"/>
        <d v="2021-07-23T00:00:00"/>
        <d v="2021-08-03T00:00:00"/>
        <d v="2021-01-29T00:00:00"/>
        <d v="2021-03-01T00:00:00"/>
        <d v="2021-04-01T00:00:00"/>
        <d v="2021-01-27T00:00:00"/>
        <d v="2021-01-18T00:00:00"/>
        <d v="2021-03-27T00:00:00"/>
        <d v="2021-02-22T00:00:00"/>
        <d v="2021-01-23T00:00:00"/>
        <d v="2021-03-09T00:00:00"/>
        <d v="2021-01-03T00:00:00"/>
        <d v="2021-06-16T00:00:00"/>
        <d v="2021-06-24T00:00:00"/>
        <d v="2021-06-11T00:00:00"/>
        <d v="2021-05-28T00:00:00"/>
        <d v="2021-06-14T00:00:00"/>
        <d v="2021-06-07T00:00:00"/>
        <d v="2021-05-20T00:00:00"/>
        <d v="2021-06-02T00:00:00"/>
        <d v="2021-03-23T00:00:00"/>
        <d v="2021-04-05T00:00:00"/>
        <d v="2021-05-13T00:00:00"/>
        <d v="2021-11-20T00:00:00"/>
        <d v="2021-11-01T00:00:00"/>
        <d v="2021-09-15T00:00:00"/>
        <d v="2021-12-29T00:00:00"/>
        <d v="2021-10-24T00:00:00"/>
        <d v="2021-12-01T00:00:00"/>
        <d v="2021-11-23T00:00:00"/>
        <d v="2021-12-16T00:00:00"/>
        <d v="2021-09-16T00:00:00"/>
        <d v="2021-10-05T00:00:00"/>
        <d v="2022-06-24T00:00:00"/>
        <d v="2021-12-04T00:00:00"/>
        <d v="2021-08-14T00:00:00"/>
        <s v="20/02/2021"/>
        <s v="21/01/2021"/>
        <s v="13/03/2021"/>
        <s v="21/02/2021"/>
        <s v="03/02/2021"/>
        <s v="28/05/2021"/>
        <s v="03/04/2021"/>
        <s v="30/03/2021"/>
        <s v="09/03/2021"/>
        <s v="01/03/2021"/>
        <s v="14/04/2021"/>
        <s v="12/02/2021"/>
        <s v="13/02/2021"/>
        <s v="23/07/2021"/>
        <s v="27/09/2021"/>
        <s v="14/09/2021"/>
        <s v="01/07/2021"/>
        <s v="13/09/2021"/>
        <s v="10/09/2021"/>
        <s v="25/09/2021"/>
        <s v="06/09/2021"/>
        <s v="09/09/2021"/>
        <s v="21/07/2021"/>
        <s v="04/05/2021"/>
        <s v="16/03/2021"/>
        <s v="18/06/2021"/>
        <s v="01/10/2021"/>
        <s v="22/09/2021"/>
        <s v="01/02/2021"/>
        <s v="20-Mei-2021"/>
        <s v="3-Mei-2021"/>
        <s v="18-Maret-2021"/>
        <d v="2021-04-29T00:00:00"/>
        <d v="2021-04-26T00:00:00"/>
        <s v="16-Maret-2021"/>
        <s v="01-Febuari-2021"/>
        <s v="01-Mei-2021"/>
        <d v="2021-04-28T00:00:00"/>
        <s v="06-Desember-2021"/>
        <s v="16-Oktober-2021"/>
        <d v="2021-09-17T00:00:00"/>
        <d v="2021-09-03T00:00:00"/>
        <s v="07-Agustus-2021"/>
        <d v="2021-09-23T00:00:00"/>
        <d v="2021-09-01T00:00:00"/>
        <s v="11-Oktober-2021"/>
        <d v="2021-11-11T00:00:00"/>
        <s v="01-Agustus -2021"/>
        <s v="01-Oktober-2021"/>
        <s v="7-Febuari-2021"/>
        <d v="2021-04-16T00:00:00"/>
        <s v="27-Agustus-2021 "/>
        <s v="19-Agustus-2021"/>
        <d v="2021-09-12T00:00:00"/>
        <s v="01-Juli-2021"/>
        <d v="2021-09-24T00:00:00"/>
        <s v="23-juli-2021"/>
        <s v="03-juni-2021"/>
        <s v="31-januari-2021"/>
        <s v="11-juli-2021"/>
        <s v="3-juni-2021"/>
        <s v="07-juli-2021"/>
        <s v="01-Januari-2021"/>
        <d v="2021-09-09T00:00:00"/>
        <s v="10-juni-2021"/>
        <d v="2021-11-25T00:00:00"/>
        <s v="15/02/2021"/>
        <s v="26/08/2021"/>
        <s v="10/03/2021"/>
        <s v="22/04/2021"/>
        <s v="05/04/2021"/>
        <s v="01/04/2021"/>
        <s v="27/01/2021"/>
        <s v="17/05/2021"/>
        <s v="10/01/2021"/>
        <s v="22/07/2021"/>
        <s v="25/03/2021"/>
        <s v="16/07/2021"/>
        <s v="29/07/2021"/>
        <s v="02/01/2021"/>
        <s v="16/08/2021"/>
        <s v="09/07/2021"/>
        <s v="06/07/2021"/>
        <s v="08/10/2021"/>
        <s v="02/03/2021"/>
        <s v="06/10/2021"/>
        <s v="15/04/2021"/>
        <s v="01/08/2021"/>
        <s v="08/06/2021"/>
        <s v="29/04/2021"/>
        <s v="20/07/2021"/>
        <s v="26/06/2021"/>
        <s v="05/06/2021"/>
        <s v="29/09/2021"/>
        <s v="05/08/2021"/>
        <s v="17/07/2021"/>
        <s v="30/09/2021"/>
        <s v="03/03/2021"/>
        <s v="22/10/2021"/>
        <s v="21/10/2022"/>
        <s v="30/10/2022"/>
        <s v="20/09/2022"/>
        <s v="18/08/2022"/>
        <s v="25/03/2022"/>
        <s v="09/03/2022"/>
        <s v="01/07/2022"/>
        <s v="16/06/2022"/>
        <s v="19/08/2022"/>
        <s v="22/06/2022"/>
        <s v="01/06/2022"/>
        <s v="08/06/2022"/>
        <s v="05/09/2022"/>
        <s v="19/02/2022"/>
        <s v="26/09/2022"/>
        <s v="12/11/2022"/>
        <s v="30/11/2022"/>
        <s v="01/12/2022"/>
        <s v="06/12/2022"/>
        <s v="29/07/2022"/>
        <s v="09/12/2022"/>
        <s v="24/10/2022"/>
        <s v="23/04/2022"/>
        <s v="01/10/2022"/>
        <s v="08/07/2022"/>
        <s v="10/03/2022"/>
        <s v="13/05/2022"/>
        <s v="12/04/2022"/>
        <s v="22-juni-2022"/>
        <s v="16-juli-2022"/>
        <s v="01-januari-2022"/>
        <d v="2022-09-01T00:00:00"/>
        <s v="1-juli-2022"/>
        <s v="16-agustus-2022"/>
        <s v="19-agustus-2022"/>
        <s v="02-agustus-2022"/>
        <d v="2022-04-18T00:00:00"/>
        <s v="15-agustus-2022"/>
        <s v="9-agustus-2022"/>
        <s v="5-agustus-2022"/>
        <d v="2022-09-11T00:00:00"/>
        <s v="7-juli-2021"/>
        <s v="1-maret-2022"/>
        <s v="12-agustus-2022"/>
        <s v="16-oktober-2022"/>
        <s v="2-maret-2022"/>
        <d v="2022-11-01T00:00:00"/>
        <s v="31-oktober-2022"/>
        <s v="13-desember-2022"/>
        <s v="14-agustus-2022"/>
        <d v="2022-09-09T00:00:00"/>
        <d v="2022-11-04T00:00:00"/>
        <s v="20-oktober-2022"/>
        <s v="05-oktober-2022"/>
        <s v="27-desember-2022"/>
        <s v="19-desember-2022"/>
        <s v="20-febuari-2022"/>
        <s v="1-januari-2022"/>
        <s v="02-maret-2018"/>
        <s v="10/10/2022"/>
        <s v="01/08/2022"/>
        <s v="03/09/2022"/>
        <s v="10/06/2022"/>
        <s v="13/06/2022"/>
        <s v="11/04/2022"/>
        <s v="17/06/2022"/>
        <s v="08/05/2022"/>
        <s v="14/04/2022"/>
        <s v="25/11/2022"/>
        <s v="10/01/2022"/>
        <s v="23/09/2022"/>
        <s v="20/11/2022"/>
        <s v="03/06/2022"/>
        <s v="01/11/2022"/>
        <s v="09/06/2022"/>
        <s v="12/09/2022"/>
        <s v="23/07/2022"/>
        <s v="25/09/2022"/>
        <s v="17/12/2022"/>
        <d v="2023-02-01T00:00:00"/>
        <d v="2022-02-01T00:00:00"/>
        <d v="2022-03-10T00:00:00"/>
        <d v="2022-03-01T00:00:00"/>
        <d v="2022-03-09T00:00:00"/>
        <d v="2022-02-21T00:00:00"/>
        <d v="2022-05-15T00:00:00"/>
        <d v="2022-02-22T00:00:00"/>
        <d v="2022-05-30T00:00:00"/>
        <d v="2022-01-04T00:00:00"/>
        <d v="2022-05-10T00:00:00"/>
        <d v="2022-02-12T00:00:00"/>
        <d v="2022-01-28T00:00:00"/>
        <d v="2022-04-01T00:00:00"/>
        <d v="2022-03-30T00:00:00"/>
        <d v="2022-03-23T00:00:00"/>
        <d v="2022-03-08T00:00:00"/>
        <d v="2022-02-16T00:00:00"/>
        <d v="2022-11-29T00:00:00"/>
        <d v="2022-01-10T00:00:00"/>
        <d v="2022-04-05T00:00:00"/>
        <d v="2022-04-13T00:00:00"/>
        <d v="2022-06-16T00:00:00"/>
        <d v="2022-04-10T00:00:00"/>
        <d v="2022-04-07T00:00:00"/>
        <d v="2022-04-21T00:00:00"/>
        <d v="2022-01-06T00:00:00"/>
        <d v="2022-03-29T00:00:00"/>
        <d v="2022-03-05T00:00:00"/>
        <d v="2022-04-15T00:00:00"/>
        <d v="2022-09-07T00:00:00"/>
        <d v="2022-10-20T00:00:00"/>
        <d v="2022-10-24T00:00:00"/>
        <d v="2022-12-01T00:00:00"/>
        <d v="2022-10-16T00:00:00"/>
        <d v="2022-09-20T00:00:00"/>
        <d v="2022-08-03T00:00:00"/>
        <d v="2022-08-01T00:00:00"/>
        <d v="2022-07-07T00:00:00"/>
        <d v="2022-08-27T00:00:00"/>
        <d v="2022-07-30T00:00:00"/>
        <d v="2022-06-04T00:00:00"/>
        <d v="2022-05-04T00:00:00"/>
        <d v="2022-06-02T00:00:00"/>
        <d v="2022-09-10T00:00:00"/>
        <d v="2022-10-01T00:00:00"/>
        <d v="2022-09-08T00:00:00"/>
        <d v="2022-12-10T00:00:00"/>
        <d v="2022-04-14T00:00:00"/>
        <d v="2022-07-09T00:00:00"/>
        <d v="2022-07-01T00:00:00"/>
        <d v="2022-07-27T00:00:00"/>
        <d v="2022-03-25T00:00:00"/>
        <d v="2022-08-05T00:00:00"/>
        <d v="2022-04-12T00:00:00"/>
        <d v="2022-06-11T00:00:00"/>
        <d v="2022-05-16T00:00:00"/>
        <d v="2022-07-21T00:00:00"/>
        <d v="2022-05-08T00:00:00"/>
        <d v="2022-09-21T00:00:00"/>
        <d v="2022-10-26T00:00:00"/>
        <d v="2022-10-29T00:00:00"/>
        <d v="2022-11-19T00:00:00"/>
        <d v="2022-10-14T00:00:00"/>
        <d v="2022-11-03T00:00:00"/>
        <d v="2022-10-06T00:00:00"/>
        <d v="2022-11-16T00:00:00"/>
        <d v="2022-11-11T00:00:00"/>
        <d v="2023-01-01T00:00:00"/>
        <d v="2022-10-11T00:00:00"/>
        <d v="2022-12-06T00:00:00"/>
        <d v="2022-11-02T00:00:00"/>
        <d v="2022-11-22T00:00:00"/>
        <d v="2022-07-11T00:00:00"/>
        <d v="2022-06-30T00:00:00"/>
        <d v="2022-05-23T00:00:00"/>
        <d v="2022-05-13T00:00:00"/>
        <d v="2022-02-03T00:00:00"/>
        <d v="2022-09-06T00:00:00"/>
        <d v="2022-01-21T00:00:00"/>
        <d v="2022-01-20T00:00:00"/>
        <d v="2022-03-06T00:00:00"/>
        <d v="2022-05-31T00:00:00"/>
        <d v="2022-03-16T00:00:00"/>
        <d v="2022-01-27T00:00:00"/>
        <d v="2022-03-21T00:00:00"/>
        <d v="2022-02-23T00:00:00"/>
        <d v="2022-02-04T00:00:00"/>
        <d v="2022-02-14T00:00:00"/>
        <d v="2022-02-10T00:00:00"/>
        <d v="2022-02-08T00:00:00"/>
        <d v="2022-01-26T00:00:00"/>
        <d v="2022-01-17T00:00:00"/>
        <d v="2022-01-08T00:00:00"/>
        <d v="2022-02-02T00:00:00"/>
        <d v="2022-02-26T00:00:00"/>
        <d v="2020-02-14T00:00:00"/>
        <d v="2022-04-25T00:00:00"/>
        <d v="2022-04-16T00:00:00"/>
        <d v="2021-10-21T00:00:00"/>
        <d v="2021-11-10T00:00:00"/>
        <d v="2022-07-26T00:00:00"/>
        <d v="2022-07-29T00:00:00"/>
        <d v="2022-04-29T00:00:00"/>
        <d v="2022-07-20T00:00:00"/>
        <d v="2022-09-02T00:00:00"/>
        <d v="2022-05-01T00:00:00"/>
        <d v="2022-08-15T00:00:00"/>
        <d v="2022-09-29T00:00:00"/>
        <d v="2022-07-23T00:00:00"/>
        <d v="2022-08-30T00:00:00"/>
        <d v="2022-08-22T00:00:00"/>
        <d v="2022-05-28T00:00:00"/>
        <d v="2022-07-15T00:00:00"/>
        <d v="2022-06-08T00:00:00"/>
        <d v="2022-09-03T00:00:00"/>
        <d v="2022-10-04T00:00:00"/>
        <d v="2022-09-28T00:00:00"/>
        <d v="2022-12-21T00:00:00"/>
        <d v="2022-10-19T00:00:00"/>
        <d v="2022-06-05T00:00:00"/>
        <d v="2022-09-27T00:00:00"/>
        <d v="2022-08-25T00:00:00"/>
        <d v="2022-06-19T00:00:00"/>
        <d v="2022-12-20T00:00:00"/>
        <d v="2022-11-17T00:00:00"/>
        <d v="2022-12-30T00:00:00"/>
        <d v="2022-10-28T00:00:00"/>
        <d v="2022-10-23T00:00:00"/>
        <d v="2022-12-22T00:00:00"/>
        <d v="2022-12-15T00:00:00"/>
        <d v="2022-12-09T00:00:00"/>
        <d v="2022-11-30T00:00:00"/>
        <d v="2022-12-07T00:00:00"/>
        <d v="2022-09-24T00:00:00"/>
        <d v="2023-08-01T00:00:00"/>
        <d v="2021-11-30T00:00:00"/>
        <d v="2024-06-11T00:00:00"/>
        <d v="2023-05-30T00:00:00"/>
        <d v="2023-12-22T00:00:00"/>
        <d v="2024-07-23T00:00:00"/>
        <d v="2023-05-10T00:00:00"/>
        <d v="2024-05-10T00:00:00"/>
        <d v="2020-09-24T00:00:00"/>
        <d v="2020-07-30T00:00:00"/>
        <d v="2021-03-18T00:00:00"/>
        <d v="2023-02-13T00:00:00"/>
        <d v="2019-06-01T00:00:00"/>
        <d v="2021-04-22T00:00:00"/>
        <d v="2023-09-12T00:00:00"/>
        <d v="2020-10-06T00:00:00"/>
        <d v="2024-01-01T00:00:00"/>
        <d v="2024-01-12T00:00:00"/>
        <d v="2023-11-11T00:00:00"/>
        <d v="2023-10-29T00:00:00"/>
        <d v="2024-01-27T00:00:00"/>
        <d v="2024-05-15T00:00:00"/>
        <d v="2023-08-21T00:00:00"/>
        <d v="2024-03-01T00:00:00"/>
        <d v="2024-02-28T00:00:00"/>
        <d v="2019-01-13T00:00:00"/>
        <d v="2024-03-05T00:00:00"/>
        <d v="2021-07-21T00:00:00"/>
        <d v="2023-10-30T00:00:00"/>
        <d v="2022-06-01T00:00:00"/>
        <d v="2023-09-01T00:00:00"/>
        <d v="2020-07-29T00:00:00"/>
        <d v="2023-05-08T00:00:00"/>
        <d v="2019-07-16T00:00:00"/>
        <d v="2024-04-01T00:00:00"/>
        <d v="2023-12-11T00:00:00"/>
        <d v="2023-05-25T00:00:00"/>
        <d v="2024-03-02T00:00:00"/>
        <d v="2024-04-10T00:00:00"/>
        <d v="2023-12-18T00:00:00"/>
        <d v="2020-12-01T00:00:00"/>
        <d v="2021-10-01T00:00:00"/>
        <d v="2024-09-01T00:00:00"/>
        <d v="2020-10-17T00:00:00"/>
        <d v="2022-04-28T00:00:00"/>
        <d v="2022-11-10T00:00:00"/>
        <d v="2019-05-26T00:00:00"/>
        <d v="2019-04-27T00:00:00"/>
        <d v="2021-11-05T00:00:00"/>
        <d v="2023-02-16T00:00:00"/>
        <d v="2023-07-15T00:00:00"/>
        <d v="2024-05-12T00:00:00"/>
        <d v="2019-03-01T00:00:00"/>
        <d v="2021-07-18T00:00:00"/>
        <d v="2019-06-02T00:00:00"/>
        <d v="2023-09-02T00:00:00"/>
        <d v="2020-09-14T00:00:00"/>
        <d v="2023-01-25T00:00:00"/>
        <d v="2021-07-24T00:00:00"/>
        <d v="2023-12-01T00:00:00"/>
        <d v="2024-02-13T00:00:00"/>
        <d v="2023-06-23T00:00:00"/>
        <d v="2023-06-19T00:00:00"/>
        <d v="2021-06-30T00:00:00"/>
        <d v="2024-07-07T00:00:00"/>
        <d v="2019-07-01T00:00:00"/>
        <d v="2019-09-25T00:00:00"/>
        <d v="2020-12-18T00:00:00"/>
        <d v="2019-01-30T00:00:00"/>
        <d v="2023-12-14T00:00:00"/>
        <d v="2023-11-12T00:00:00"/>
        <d v="2021-11-12T00:00:00"/>
        <d v="2023-06-16T00:00:00"/>
        <d v="2024-06-16T00:00:00"/>
        <d v="2023-10-20T00:00:00"/>
        <d v="2023-06-24T00:00:00"/>
        <d v="2024-06-24T00:00:00"/>
        <d v="2019-07-19T00:00:00"/>
        <d v="2023-04-07T00:00:00"/>
        <d v="2019-05-27T00:00:00"/>
        <d v="2022-06-09T00:00:00"/>
        <d v="2024-02-08T00:00:00"/>
        <d v="2024-05-13T00:00:00"/>
        <d v="2024-03-23T00:00:00"/>
        <d v="2023-09-27T00:00:00"/>
        <d v="2024-03-19T00:00:00"/>
        <d v="2024-03-09T00:00:00"/>
        <d v="2023-09-07T00:00:00"/>
        <d v="2020-12-03T00:00:00"/>
        <d v="2023-11-01T00:00:00"/>
        <d v="2021-09-29T00:00:00"/>
        <d v="2023-10-26T00:00:00"/>
        <d v="2023-10-24T00:00:00"/>
        <d v="2023-03-09T00:00:00"/>
        <d v="2023-08-16T00:00:00"/>
        <d v="2023-08-05T00:00:00"/>
        <d v="2024-01-26T00:00:00"/>
        <d v="2024-05-30T00:00:00"/>
        <d v="2023-09-20T00:00:00"/>
        <d v="2023-11-30T00:00:00"/>
        <d v="2023-05-11T00:00:00"/>
        <d v="2024-03-15T00:00:00"/>
        <d v="2024-06-04T00:00:00"/>
        <d v="2020-07-17T00:00:00"/>
        <d v="2024-05-20T00:00:00"/>
        <d v="2024-01-10T00:00:00"/>
        <d v="2023-07-20T00:00:00"/>
        <d v="2023-08-24T00:00:00"/>
        <d v="2024-08-24T00:00:00"/>
        <d v="2024-08-01T00:00:00"/>
        <d v="2023-07-09T00:00:00"/>
        <d v="2024-07-09T00:00:00"/>
        <d v="2023-10-06T00:00:00"/>
        <d v="2023-11-08T00:00:00"/>
        <d v="2023-11-27T00:00:00"/>
        <d v="2024-02-10T00:00:00"/>
        <d v="2024-03-28T00:00:00"/>
        <d v="2022-02-18T00:00:00"/>
        <d v="2023-02-18T00:00:00"/>
        <d v="2021-04-20T00:00:00"/>
        <d v="2022-10-21T00:00:00"/>
        <d v="2023-10-21T00:00:00"/>
        <d v="2024-02-01T00:00:00"/>
        <d v="2023-05-15T00:00:00"/>
        <d v="2023-03-17T00:00:00"/>
        <d v="2021-03-21T00:00:00"/>
        <d v="2019-03-10T00:00:00"/>
        <d v="2021-03-13T00:00:00"/>
        <d v="2022-01-31T00:00:00"/>
        <d v="2023-09-09T00:00:00"/>
        <d v="2023-09-13T00:00:00"/>
        <d v="2023-10-31T00:00:00"/>
        <d v="2023-07-27T00:00:00"/>
        <d v="2023-09-15T00:00:00"/>
        <d v="2024-08-30T00:00:00"/>
        <d v="2022-08-19T00:00:00"/>
        <d v="2024-04-12T00:00:00"/>
        <d v="2023-12-30T00:00:00"/>
        <d v="2023-09-25T00:00:00"/>
        <d v="2023-11-02T00:00:00"/>
        <d v="2023-07-21T00:00:00"/>
        <d v="2024-01-02T00:00:00"/>
        <d v="2023-06-01T00:00:00"/>
        <d v="2023-03-30T00:00:00"/>
        <d v="2021-09-22T00:00:00"/>
        <d v="2019-04-05T00:00:00"/>
        <d v="2024-07-11T00:00:00"/>
        <d v="2023-01-04T00:00:00"/>
        <d v="2023-04-01T00:00:00"/>
        <d v="2024-03-31T00:00:00"/>
        <d v="2024-01-18T00:00:00"/>
        <d v="2023-10-07T00:00:00"/>
        <d v="2022-02-20T00:00:00"/>
        <d v="2019-05-16T00:00:00"/>
        <d v="2020-04-28T00:00:00"/>
        <m/>
        <d v="2024-04-14T00:00:00"/>
        <d v="2019-04-24T00:00:00"/>
        <d v="2019-04-23T00:00:00"/>
        <d v="2022-02-15T00:00:00"/>
        <d v="2022-09-23T00:00:00"/>
        <d v="2023-04-21T00:00:00"/>
        <d v="2020-04-21T00:00:00"/>
        <d v="2023-06-14T00:00:00"/>
        <d v="2024-05-08T00:00:00"/>
        <d v="2022-08-09T00:00:00"/>
        <d v="2023-08-15T00:00:00"/>
        <d v="2019-11-01T00:00:00"/>
        <d v="2019-12-01T00:00:00"/>
        <d v="2019-05-13T00:00:00"/>
        <d v="2024-04-06T00:00:00"/>
        <d v="2023-10-23T00:00:00"/>
        <d v="2023-10-28T00:00:00"/>
        <d v="2022-11-07T00:00:00"/>
        <d v="2023-02-12T00:00:00"/>
        <d v="2023-08-19T00:00:00"/>
        <d v="2023-10-01T00:00:00"/>
        <d v="2022-06-20T00:00:00"/>
        <d v="2021-06-22T00:00:00"/>
        <d v="2023-02-25T00:00:00"/>
        <d v="2023-04-30T00:00:00"/>
        <d v="2023-02-22T00:00:00"/>
        <d v="2023-04-13T00:00:00"/>
        <d v="2020-12-16T00:00:00"/>
        <d v="2021-10-08T00:00:00"/>
        <d v="2020-12-15T00:00:00"/>
        <d v="2023-03-06T00:00:00"/>
        <d v="2021-02-25T00:00:00"/>
        <d v="2021-02-12T00:00:00"/>
        <d v="2023-04-17T00:00:00"/>
        <d v="2023-06-15T00:00:00"/>
        <d v="2023-03-07T00:00:00"/>
        <d v="2023-08-08T00:00:00"/>
        <d v="2023-10-16T00:00:00"/>
        <d v="2023-08-30T00:00:00"/>
        <d v="2024-03-13T00:00:00"/>
        <d v="2023-08-25T00:00:00"/>
        <d v="2023-05-23T00:00:00"/>
        <d v="2024-05-23T00:00:00"/>
        <d v="2022-03-02T00:00:00"/>
        <d v="2022-09-05T00:00:00"/>
        <d v="2024-02-19T00:00:00"/>
        <d v="2023-02-23T00:00:00"/>
        <d v="2024-02-23T00:00:00"/>
        <d v="2024-06-19T00:00:00"/>
        <d v="2023-04-06T00:00:00"/>
        <d v="2023-11-16T00:00:00"/>
        <d v="2024-11-16T00:00:00"/>
        <d v="2024-10-16T00:00:00"/>
        <d v="2023-09-26T00:00:00"/>
        <d v="2023-03-13T00:00:00"/>
        <d v="2023-11-23T00:00:00"/>
        <d v="2024-11-23T00:00:00"/>
        <d v="2023-04-12T00:00:00"/>
        <d v="2019-05-11T00:00:00"/>
        <d v="2024-03-07T00:00:00"/>
        <d v="2015-07-13T00:00:00"/>
        <d v="2023-07-22T00:00:00"/>
        <d v="2024-07-22T00:00:00"/>
        <d v="2023-07-16T00:00:00"/>
        <d v="2024-07-16T00:00:00"/>
        <d v="2022-07-22T00:00:00"/>
        <d v="2023-01-02T00:00:00"/>
        <d v="2023-07-29T00:00:00"/>
        <d v="2024-07-29T00:00:00"/>
        <d v="2023-05-28T00:00:00"/>
        <d v="2024-05-28T00:00:00"/>
        <d v="2022-08-23T00:00:00"/>
        <d v="2023-09-06T00:00:00"/>
        <d v="2023-09-04T00:00:00"/>
        <d v="2022-12-29T00:00:00"/>
        <d v="2023-01-21T00:00:00"/>
        <d v="2022-01-29T00:00:00"/>
        <d v="2023-01-29T00:00:00"/>
        <d v="2023-03-02T00:00:00"/>
        <d v="2019-01-09T00:00:00"/>
        <d v="2019-06-17T00:00:00"/>
        <d v="2018-03-02T00:00:00"/>
        <d v="2017-01-01T00:00:00"/>
        <d v="2021-04-19T00:00:00"/>
        <d v="2023-02-03T00:00:00"/>
        <d v="2023-12-12T00:00:00"/>
        <d v="2021-12-02T00:00:00"/>
        <d v="2023-03-01T00:00:00"/>
        <d v="2023-09-18T00:00:00"/>
        <d v="2023-05-13T00:00:00"/>
        <d v="2021-01-19T00:00:00"/>
        <d v="2023-01-11T00:00:00"/>
        <d v="2023-08-02T00:00:00"/>
        <d v="2023-02-02T00:00:00"/>
        <d v="2023-06-29T00:00:00"/>
        <d v="2021-02-05T00:00:00"/>
        <d v="2020-09-29T00:00:00"/>
        <d v="2023-11-29T00:00:00"/>
        <d v="2020-09-25T00:00:00"/>
        <d v="2023-12-24T00:00:00"/>
        <d v="2020-12-19T00:00:00"/>
        <d v="2024-01-17T00:00:00"/>
        <d v="2024-01-11T00:00:00"/>
        <d v="2023-10-14T00:00:00"/>
        <d v="2021-08-12T00:00:00"/>
        <d v="2023-08-14T00:00:00"/>
        <d v="2024-08-14T00:00:00"/>
        <d v="2021-06-03T00:00:00"/>
        <d v="2024-06-03T00:00:00"/>
        <d v="2023-07-11T00:00:00"/>
        <d v="2020-07-16T00:00:00"/>
        <d v="2021-07-16T00:00:00"/>
        <d v="2021-07-06T00:00:00"/>
        <d v="2021-01-22T00:00:00"/>
        <d v="2024-03-16T00:00:00"/>
        <d v="2022-10-10T00:00:00"/>
        <d v="2023-06-13T00:00:00"/>
        <d v="2019-05-30T00:00:00"/>
        <d v="2023-03-12T00:00:00"/>
        <d v="2023-08-22T00:00:00"/>
        <d v="2023-07-23T00:00:00"/>
        <d v="2023-07-03T00:00:00"/>
        <d v="2023-09-19T00:00:00"/>
        <d v="2023-09-16T00:00:00"/>
        <d v="2019-01-10T00:00:00"/>
        <d v="2024-01-20T00:00:00"/>
        <d v="2023-08-27T00:00:00"/>
        <d v="2023-11-03T00:00:00"/>
        <d v="2020-05-14T00:00:00"/>
        <d v="2024-04-11T00:00:00"/>
        <d v="2024-01-23T00:00:00"/>
        <d v="2023-04-18T00:00:00"/>
        <d v="2020-04-18T00:00:00"/>
        <d v="2023-10-22T00:00:00"/>
        <d v="2019-05-07T00:00:00"/>
        <d v="2020-05-28T00:00:00"/>
        <d v="2019-07-24T00:00:00"/>
        <d v="2022-09-19T00:00:00"/>
        <d v="2022-05-11T00:00:00"/>
        <d v="2019-05-08T00:00:00"/>
        <d v="2019-08-27T00:00:00"/>
        <d v="2019-01-23T00:00:00"/>
        <d v="2019-05-09T00:00:00"/>
        <d v="2019-09-19T00:00:00"/>
        <d v="2022-12-05T00:00:00"/>
        <d v="2022-05-25T00:00:00"/>
        <d v="2020-04-23T00:00:00"/>
        <d v="2019-07-10T00:00:00"/>
        <d v="2022-06-17T00:00:00"/>
        <d v="2019-03-15T00:00:00"/>
        <d v="2019-05-21T00:00:00"/>
        <d v="2019-04-19T00:00:00"/>
        <d v="2019-03-26T00:00:00"/>
        <d v="2022-12-16T00:00:00"/>
        <d v="2023-01-10T00:00:00"/>
        <d v="2019-08-15T00:00:00"/>
        <d v="2023-01-19T00:00:00"/>
        <d v="2022-12-31T00:00:00"/>
        <d v="2024-02-03T00:00:00"/>
        <d v="2020-09-21T00:00:00"/>
        <d v="2021-08-23T00:00:00"/>
        <d v="2023-06-08T00:00:00"/>
        <d v="2024-05-22T00:00:00"/>
        <d v="2020-10-22T00:00:00"/>
        <d v="2024-04-05T00:00:00"/>
        <d v="2024-01-08T00:00:00"/>
        <d v="2022-09-12T00:00:00"/>
        <d v="2023-11-20T00:00:00"/>
        <d v="2022-11-25T00:00:00"/>
        <d v="2023-03-25T00:00:00"/>
        <d v="2021-12-15T00:00:00"/>
        <d v="2019-02-14T00:00:00"/>
        <d v="2021-10-20T00:00:00"/>
        <d v="2020-09-02T00:00:00"/>
        <d v="2022-01-18T00:00:00"/>
        <d v="2023-08-18T00:00:00"/>
        <d v="2024-09-12T00:00:00"/>
        <d v="2023-10-10T00:00:00"/>
        <d v="2023-12-13T00:00:00"/>
        <d v="2022-11-20T00:00:00"/>
        <d v="2024-07-01T00:00:00"/>
        <d v="2019-05-23T00:00:00"/>
        <d v="2023-07-01T00:00:00"/>
        <d v="2023-10-04T00:00:00"/>
        <d v="2024-03-08T00:00:00"/>
        <d v="2023-08-12T00:00:00"/>
        <d v="2024-04-21T00:00:00"/>
        <d v="2022-08-12T00:00:00"/>
        <d v="2023-02-04T00:00:00"/>
        <d v="2022-10-30T00:00:00"/>
        <d v="2023-09-03T00:00:00"/>
        <d v="2023-12-20T00:00:00"/>
        <d v="2024-03-10T00:00:00"/>
        <d v="2024-06-22T00:00:00"/>
        <d v="2023-12-06T00:00:00"/>
        <d v="2024-02-22T00:00:00"/>
        <d v="2023-04-10T00:00:00"/>
        <d v="2023-12-10T00:00:00"/>
        <d v="2023-12-15T00:00:00"/>
        <d v="2024-06-20T00:00:00"/>
        <d v="2023-09-28T00:00:00"/>
        <d v="2024-01-06T00:00:00"/>
        <d v="2024-05-24T00:00:00"/>
        <d v="2023-10-02T00:00:00"/>
        <d v="2023-11-17T00:00:00"/>
        <d v="2021-04-07T00:00:00"/>
        <d v="2021-12-07T00:00:00"/>
        <d v="2022-09-15T00:00:00"/>
        <d v="2023-12-09T00:00:00"/>
        <d v="2023-03-29T00:00:00"/>
        <d v="2023-06-10T00:00:00"/>
        <d v="2024-08-02T00:00:00"/>
        <d v="2024-06-08T00:00:00"/>
        <d v="2021-11-17T00:00:00"/>
        <d v="2024-01-28T00:00:00"/>
        <d v="2019-02-12T00:00:00"/>
        <d v="2020-02-12T00:00:00"/>
        <d v="2023-08-07T00:00:00"/>
        <d v="2023-11-15T00:00:00"/>
        <d v="2024-07-30T00:00:00"/>
        <d v="2019-08-29T00:00:00"/>
        <d v="2020-10-21T00:00:00"/>
        <d v="2023-05-01T00:00:00"/>
        <d v="2019-08-18T00:00:00"/>
        <d v="2020-11-03T00:00:00"/>
        <d v="2022-11-18T00:00:00"/>
        <d v="2023-12-17T00:00:00"/>
        <d v="2023-12-27T00:00:00"/>
        <d v="2021-07-08T00:00:00"/>
        <d v="2023-09-24T00:00:00"/>
        <d v="2023-10-05T00:00:00"/>
        <d v="2023-08-09T00:00:00"/>
        <d v="2023-09-29T00:00:00"/>
        <d v="2023-09-21T00:00:00"/>
        <d v="2023-06-27T00:00:00"/>
        <d v="2024-06-27T00:00:00"/>
        <d v="2023-12-05T00:00:00"/>
        <d v="2024-03-21T00:00:00"/>
        <d v="2019-11-05T00:00:00"/>
        <d v="2024-03-06T00:00:00"/>
        <d v="2020-08-26T00:00:00"/>
        <d v="2023-07-07T00:00:00"/>
        <d v="2024-02-05T00:00:00"/>
        <d v="2023-01-17T00:00:00"/>
        <d v="2023-01-30T00:00:00"/>
        <d v="2023-05-24T00:00:00"/>
        <d v="2021-09-13T00:00:00"/>
        <d v="2022-12-23T00:00:00"/>
        <d v="2022-01-14T00:00:00"/>
        <d v="2019-09-06T00:00:00"/>
        <d v="2023-01-23T00:00:00"/>
        <d v="2020-12-21T00:00:00"/>
        <d v="2023-04-16T00:00:00"/>
        <d v="2023-03-16T00:00:00"/>
        <d v="2021-05-25T00:00:00"/>
        <d v="2021-09-06T00:00:00"/>
        <d v="2021-03-16T00:00:00"/>
        <d v="2023-06-05T00:00:00"/>
        <d v="2021-04-09T00:00:00"/>
        <d v="2024-03-04T00:00:00"/>
        <d v="2021-06-26T00:00:00"/>
        <d v="2020-02-17T00:00:00"/>
        <d v="2021-04-15T00:00:00"/>
        <d v="2023-02-14T00:00:00"/>
        <d v="2023-06-30T00:00:00"/>
        <d v="2023-02-07T00:00:00"/>
        <d v="2020-12-11T00:00:00"/>
        <d v="2019-09-20T00:00:00"/>
        <d v="2019-02-01T00:00:00"/>
        <d v="2024-06-18T00:00:00"/>
        <d v="2018-09-22T00:00:00"/>
        <d v="2024-03-14T00:00:00"/>
        <d v="2023-09-10T00:00:00"/>
        <d v="2023-12-02T00:00:00"/>
        <d v="2023-11-07T00:00:00"/>
        <d v="2023-11-21T00:00:00"/>
        <d v="2023-11-24T00:00:00"/>
        <d v="2024-01-15T00:00:00"/>
        <d v="2023-12-07T00:00:00"/>
        <d v="2023-12-28T00:00:00"/>
        <d v="2024-01-22T00:00:00"/>
        <d v="2024-09-06T00:00:00"/>
        <d v="2024-02-25T00:00:00"/>
        <d v="2024-02-17T00:00:00"/>
        <d v="2024-02-27T00:00:00"/>
        <d v="2024-05-01T00:00:00"/>
        <d v="2024-04-29T00:00:00"/>
        <d v="2024-03-20T00:00:00"/>
        <d v="2023-05-21T00:00:00"/>
        <d v="2022-11-26T00:00:00"/>
        <d v="2023-03-08T00:00:00"/>
        <d v="2022-09-13T00:00:00"/>
        <d v="2022-09-16T00:00:00"/>
        <d v="2018-06-06T00:00:00"/>
        <d v="2018-09-01T00:00:00"/>
        <d v="2018-09-21T00:00:00"/>
        <d v="2022-06-15T00:00:00"/>
        <d v="2024-09-02T00:00:00"/>
        <d v="2024-05-21T00:00:00"/>
        <d v="2024-04-03T00:00:00"/>
        <d v="2024-05-07T00:00:00"/>
        <d v="2021-03-31T00:00:00"/>
        <d v="2024-05-29T00:00:00"/>
        <d v="2024-05-17T00:00:00"/>
        <d v="2024-04-04T00:00:00"/>
        <d v="2024-06-15T00:00:00"/>
        <d v="2024-06-01T00:00:00"/>
        <d v="2024-02-06T00:00:00"/>
        <d v="2024-06-02T00:00:00"/>
        <d v="2024-07-20T00:00:00"/>
        <d v="2024-10-07T00:00:00"/>
        <d v="2024-09-29T00:00:00"/>
        <d v="2024-09-21T00:00:00"/>
        <d v="2024-01-25T00:00:00"/>
        <d v="2024-03-18T00:00:00"/>
        <d v="2024-07-03T00:00:00"/>
        <d v="2024-07-21T00:00:00"/>
        <d v="2024-06-26T00:00:00"/>
        <d v="2024-06-06T00:00:00"/>
        <d v="2024-10-10T00:00:00"/>
        <d v="2024-10-01T00:00:00"/>
        <d v="2024-01-04T00:00:00"/>
        <d v="2024-06-05T00:00:00"/>
        <d v="2023-09-05T00:00:00"/>
        <d v="2024-09-05T00:00:00"/>
        <d v="2024-07-17T00:00:00"/>
        <d v="2024-03-27T00:00:00"/>
        <d v="2024-05-06T00:00:00"/>
        <d v="2024-08-22T00:00:00"/>
        <d v="2024-09-25T00:00:00"/>
        <d v="2024-09-09T00:00:00"/>
        <d v="2024-08-09T00:00:00"/>
        <d v="2024-08-19T00:00:00"/>
        <d v="2024-06-28T00:00:00"/>
        <d v="2024-06-13T00:00:00"/>
        <d v="2024-08-15T00:00:00"/>
        <d v="2024-08-20T00:00:00"/>
        <s v="02-Desember-2019" u="1"/>
        <s v="03-Januari-2020" u="1"/>
      </sharedItems>
    </cacheField>
    <cacheField name="End" numFmtId="0">
      <sharedItems containsDate="1" containsBlank="1" containsMixedTypes="1" minDate="2020-01-08T00:00:00" maxDate="2029-09-02T00:00:00"/>
    </cacheField>
    <cacheField name="Status" numFmtId="0">
      <sharedItems containsBlank="1" count="10">
        <s v="NON ACTIVE"/>
        <s v="DEACTIVASI"/>
        <s v="ACTIVE"/>
        <m u="1"/>
        <s v="NON AKTIF" u="1"/>
        <s v="DISMANTLE" u="1"/>
        <s v="DEACTIVE" u="1"/>
        <s v="DISMANTEL" u="1"/>
        <s v="DEAKTIVASI" u="1"/>
        <s v="AKTIF" u="1"/>
      </sharedItems>
    </cacheField>
    <cacheField name="Proses Admin" numFmtId="0">
      <sharedItems containsNonDate="0" containsString="0" containsBlank="1"/>
    </cacheField>
    <cacheField name="Today" numFmtId="0">
      <sharedItems containsNonDate="0" containsDate="1" containsString="0" containsBlank="1" minDate="2024-06-24T00:00:00" maxDate="2024-09-07T00:00:00"/>
    </cacheField>
    <cacheField name="Masa Kontrak_x000a_(Hari)" numFmtId="0">
      <sharedItems containsString="0" containsBlank="1" containsNumber="1" containsInteger="1" minValue="-1703" maxValue="1821"/>
    </cacheField>
    <cacheField name="Habis Kontrak_x000a_(Bulan)" numFmtId="0">
      <sharedItems containsString="0" containsBlank="1" containsNumber="1" containsInteger="1" minValue="1" maxValue="12" count="13">
        <m/>
        <n v="7"/>
        <n v="11"/>
        <n v="6"/>
        <n v="5"/>
        <n v="12"/>
        <n v="10"/>
        <n v="9"/>
        <n v="3"/>
        <n v="2"/>
        <n v="4"/>
        <n v="1"/>
        <n v="8"/>
      </sharedItems>
    </cacheField>
    <cacheField name="Habis Kontrak_x000a_(Tahun)" numFmtId="0">
      <sharedItems containsString="0" containsBlank="1" containsNumber="1" containsInteger="1" minValue="2020" maxValue="2029" count="11">
        <m/>
        <n v="2024"/>
        <n v="2022"/>
        <n v="2025"/>
        <n v="2021"/>
        <n v="2020"/>
        <n v="2023"/>
        <n v="2026"/>
        <n v="2027"/>
        <n v="2029"/>
        <n v="2028"/>
      </sharedItems>
    </cacheField>
    <cacheField name="Reference SPP Before &amp; Periode Before" numFmtId="0">
      <sharedItems containsBlank="1" containsMixedTypes="1" containsNumber="1" containsInteger="1" minValue="17615" maxValue="4500022070" longText="1"/>
    </cacheField>
    <cacheField name="SPP" numFmtId="0">
      <sharedItems containsBlank="1" containsMixedTypes="1" containsNumber="1" containsInteger="1" minValue="235" maxValue="45000163116"/>
    </cacheField>
    <cacheField name="PO baru" numFmtId="0">
      <sharedItems containsBlank="1" containsMixedTypes="1" containsNumber="1" containsInteger="1" minValue="450002132" maxValue="45000221000"/>
    </cacheField>
    <cacheField name="PIC Admin_x000a_Perijinan" numFmtId="0">
      <sharedItems containsBlank="1"/>
    </cacheField>
    <cacheField name="PIC Rekanan" numFmtId="0">
      <sharedItems containsBlank="1"/>
    </cacheField>
    <cacheField name="Telp" numFmtId="0">
      <sharedItems containsBlank="1" containsMixedTypes="1" containsNumber="1" containsInteger="1" minValue="8129185971" maxValue="8129185971"/>
    </cacheField>
    <cacheField name="2017-2018" numFmtId="0">
      <sharedItems containsBlank="1" containsMixedTypes="1" containsNumber="1" containsInteger="1" minValue="22" maxValue="179"/>
    </cacheField>
    <cacheField name="2018-2019" numFmtId="0">
      <sharedItems containsBlank="1" containsMixedTypes="1" containsNumber="1" containsInteger="1" minValue="76" maxValue="178"/>
    </cacheField>
    <cacheField name="2019-2020" numFmtId="0">
      <sharedItems containsBlank="1"/>
    </cacheField>
    <cacheField name="2020/2021" numFmtId="0">
      <sharedItems containsBlank="1"/>
    </cacheField>
    <cacheField name="2021-2022" numFmtId="0">
      <sharedItems containsBlank="1"/>
    </cacheField>
    <cacheField name="2022-2023" numFmtId="0">
      <sharedItems containsBlank="1" containsMixedTypes="1" containsNumber="1" containsInteger="1" minValue="231" maxValue="372"/>
    </cacheField>
    <cacheField name="2023-2024" numFmtId="0">
      <sharedItems containsBlank="1" containsMixedTypes="1" containsNumber="1" containsInteger="1" minValue="4" maxValue="456"/>
    </cacheField>
    <cacheField name="2024-2025" numFmtId="0">
      <sharedItems containsBlank="1" containsMixedTypes="1" containsNumber="1" containsInteger="1" minValue="17" maxValue="360"/>
    </cacheField>
    <cacheField name="Keterangan"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15.416623726851" createdVersion="8" refreshedVersion="8" minRefreshableVersion="3" recordCount="2890" xr:uid="{F7F41FEA-9522-401F-8AC2-D04C3D571429}">
  <cacheSource type="worksheet">
    <worksheetSource ref="A1:AS1048576" sheet="Raw Data"/>
  </cacheSource>
  <cacheFields count="44">
    <cacheField name="Column1" numFmtId="0">
      <sharedItems containsString="0" containsBlank="1" containsNumber="1" containsInteger="1" minValue="-14" maxValue="2863"/>
    </cacheField>
    <cacheField name="Rekanan" numFmtId="0">
      <sharedItems containsBlank="1"/>
    </cacheField>
    <cacheField name="Pelanggan (Costumer)" numFmtId="0">
      <sharedItems containsBlank="1" longText="1"/>
    </cacheField>
    <cacheField name="Alamat Pengelola" numFmtId="0">
      <sharedItems containsBlank="1"/>
    </cacheField>
    <cacheField name="Monitoring Perpanjangan Sewa/Kontrak" numFmtId="0">
      <sharedItems containsBlank="1" count="6">
        <s v="LOSS"/>
        <s v="ON TRACK"/>
        <s v="WARNING"/>
        <s v="CRITICAL"/>
        <s v="ATTENTION"/>
        <m/>
      </sharedItems>
    </cacheField>
    <cacheField name="Originating " numFmtId="0">
      <sharedItems containsBlank="1" longText="1"/>
    </cacheField>
    <cacheField name="Terminating " numFmtId="0">
      <sharedItems containsBlank="1" longText="1"/>
    </cacheField>
    <cacheField name="Metode Kerjasama" numFmtId="0">
      <sharedItems containsBlank="1"/>
    </cacheField>
    <cacheField name="Jenis  Sewa" numFmtId="0">
      <sharedItems containsBlank="1"/>
    </cacheField>
    <cacheField name="NO SO" numFmtId="0">
      <sharedItems containsBlank="1" containsMixedTypes="1" containsNumber="1" containsInteger="1" minValue="1000029813" maxValue="111303011344" longText="1"/>
    </cacheField>
    <cacheField name="SID" numFmtId="0">
      <sharedItems containsBlank="1" containsMixedTypes="1" containsNumber="1" containsInteger="1" minValue="72000000" maxValue="990000320523937"/>
    </cacheField>
    <cacheField name="SLA" numFmtId="0">
      <sharedItems containsBlank="1" containsMixedTypes="1" containsNumber="1" minValue="0.95" maxValue="0.999"/>
    </cacheField>
    <cacheField name="Layanan " numFmtId="0">
      <sharedItems containsBlank="1"/>
    </cacheField>
    <cacheField name="Kapasitas" numFmtId="0">
      <sharedItems containsBlank="1"/>
    </cacheField>
    <cacheField name="Rev Intalasi (OTC)_x000a_Pelanggan (Rp)" numFmtId="175">
      <sharedItems containsBlank="1" containsMixedTypes="1" containsNumber="1" containsInteger="1" minValue="0" maxValue="1021200000"/>
    </cacheField>
    <cacheField name="Rev Sewa (1 Thn)_x000a_Pelanggan (Rp)" numFmtId="0">
      <sharedItems containsBlank="1" containsMixedTypes="1" containsNumber="1" minValue="0" maxValue="67718114062"/>
    </cacheField>
    <cacheField name="Biaya  Deposit Sewa_x000a_(Rp)" numFmtId="0">
      <sharedItems containsBlank="1" containsMixedTypes="1" containsNumber="1" containsInteger="1" minValue="2150000" maxValue="2150000"/>
    </cacheField>
    <cacheField name="Biaya (OTC)_x000a_(Rp)" numFmtId="0">
      <sharedItems containsBlank="1" containsMixedTypes="1" containsNumber="1" containsInteger="1" minValue="0" maxValue="45000000"/>
    </cacheField>
    <cacheField name="Biaya Sewa (1 Thn)_x000a_(Rp)" numFmtId="0">
      <sharedItems containsBlank="1" containsMixedTypes="1" containsNumber="1" minValue="543780" maxValue="25200000000"/>
    </cacheField>
    <cacheField name="Rev Sharing_x000a_(%) " numFmtId="0">
      <sharedItems containsBlank="1" containsMixedTypes="1" containsNumber="1" minValue="0.1" maxValue="0.35"/>
    </cacheField>
    <cacheField name="Start" numFmtId="0">
      <sharedItems containsNonDate="0" containsDate="1" containsString="0" containsBlank="1" minDate="2015-07-13T00:00:00" maxDate="2028-09-03T00:00:00"/>
    </cacheField>
    <cacheField name="End" numFmtId="0">
      <sharedItems containsNonDate="0" containsDate="1" containsString="0" containsBlank="1" minDate="2020-01-08T00:00:00" maxDate="2029-09-02T00:00:00"/>
    </cacheField>
    <cacheField name="Status" numFmtId="0">
      <sharedItems containsBlank="1" count="4">
        <s v="NON ACTIVE"/>
        <s v="ACTIVE"/>
        <s v="DEACTIVASI"/>
        <m/>
      </sharedItems>
    </cacheField>
    <cacheField name="Proses Admin" numFmtId="0">
      <sharedItems containsBlank="1"/>
    </cacheField>
    <cacheField name="Today" numFmtId="0">
      <sharedItems containsNonDate="0" containsDate="1" containsString="0" containsBlank="1" minDate="2025-06-03T00:00:00" maxDate="2025-12-25T00:00:00"/>
    </cacheField>
    <cacheField name="Jangka Waktu Habis" numFmtId="0">
      <sharedItems containsString="0" containsBlank="1" containsNumber="1" containsInteger="1" minValue="-2177" maxValue="1347"/>
    </cacheField>
    <cacheField name="Habis Kontrak_x000a_(Bulan)" numFmtId="0">
      <sharedItems containsString="0" containsBlank="1" containsNumber="1" containsInteger="1" minValue="1" maxValue="12"/>
    </cacheField>
    <cacheField name="Habis Kontrak_x000a_(Tahun)" numFmtId="0">
      <sharedItems containsString="0" containsBlank="1" containsNumber="1" containsInteger="1" minValue="2020" maxValue="2029"/>
    </cacheField>
    <cacheField name="Reference SPP Before &amp; Periode Before" numFmtId="0">
      <sharedItems containsBlank="1" containsMixedTypes="1" containsNumber="1" containsInteger="1" minValue="17615" maxValue="4500026777" longText="1"/>
    </cacheField>
    <cacheField name="SPP" numFmtId="0">
      <sharedItems containsBlank="1" containsMixedTypes="1" containsNumber="1" containsInteger="1" minValue="235" maxValue="4500019756"/>
    </cacheField>
    <cacheField name="PO baru" numFmtId="0">
      <sharedItems containsBlank="1" containsMixedTypes="1" containsNumber="1" containsInteger="1" minValue="450002132" maxValue="45000221000"/>
    </cacheField>
    <cacheField name="PIC Admin_x000a_Perijinan" numFmtId="0">
      <sharedItems containsBlank="1"/>
    </cacheField>
    <cacheField name="PIC Rekanan" numFmtId="0">
      <sharedItems containsBlank="1"/>
    </cacheField>
    <cacheField name="Telp" numFmtId="0">
      <sharedItems containsBlank="1" containsMixedTypes="1" containsNumber="1" containsInteger="1" minValue="8129185971" maxValue="8129185971"/>
    </cacheField>
    <cacheField name="2017-2018" numFmtId="0">
      <sharedItems containsBlank="1" containsMixedTypes="1" containsNumber="1" containsInteger="1" minValue="22" maxValue="179"/>
    </cacheField>
    <cacheField name="2018-2019" numFmtId="0">
      <sharedItems containsBlank="1" containsMixedTypes="1" containsNumber="1" containsInteger="1" minValue="76" maxValue="178"/>
    </cacheField>
    <cacheField name="2019-2020" numFmtId="0">
      <sharedItems containsBlank="1"/>
    </cacheField>
    <cacheField name="2020/2021" numFmtId="0">
      <sharedItems containsBlank="1"/>
    </cacheField>
    <cacheField name="2021-2022" numFmtId="0">
      <sharedItems containsBlank="1"/>
    </cacheField>
    <cacheField name="2022-2023" numFmtId="0">
      <sharedItems containsBlank="1" containsMixedTypes="1" containsNumber="1" containsInteger="1" minValue="231" maxValue="372"/>
    </cacheField>
    <cacheField name="2023-2024" numFmtId="0">
      <sharedItems containsBlank="1" containsMixedTypes="1" containsNumber="1" containsInteger="1" minValue="4" maxValue="456"/>
    </cacheField>
    <cacheField name="2024-2025" numFmtId="0">
      <sharedItems containsBlank="1" containsMixedTypes="1" containsNumber="1" containsInteger="1" minValue="2" maxValue="519"/>
    </cacheField>
    <cacheField name="2025-2026" numFmtId="0">
      <sharedItems containsBlank="1" containsMixedTypes="1" containsNumber="1" containsInteger="1" minValue="4" maxValue="487"/>
    </cacheField>
    <cacheField name="Keterangan"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04">
  <r>
    <n v="1"/>
    <x v="0"/>
    <x v="0"/>
    <s v="Jakarta 12210"/>
    <m/>
    <m/>
    <s v="Sewa Tahunan"/>
    <x v="0"/>
    <x v="0"/>
    <m/>
    <m/>
    <m/>
    <m/>
    <m/>
    <x v="0"/>
    <m/>
    <m/>
    <x v="0"/>
    <m/>
    <x v="0"/>
    <s v="21/7/2021"/>
    <x v="0"/>
    <m/>
    <m/>
    <m/>
    <x v="0"/>
    <x v="0"/>
    <s v="13763/SPP/008/PUSAT/ICON+/2020"/>
    <n v="4500014678"/>
    <m/>
    <m/>
    <m/>
    <m/>
    <m/>
    <m/>
    <m/>
    <m/>
    <m/>
    <m/>
    <m/>
    <m/>
    <m/>
  </r>
  <r>
    <n v="2"/>
    <x v="1"/>
    <x v="1"/>
    <s v="Jakarta Utara 14430"/>
    <m/>
    <m/>
    <s v="Sewa Tahunan"/>
    <x v="1"/>
    <x v="1"/>
    <m/>
    <m/>
    <m/>
    <m/>
    <m/>
    <x v="1"/>
    <m/>
    <m/>
    <x v="1"/>
    <m/>
    <x v="1"/>
    <d v="2021-11-04T00:00:00"/>
    <x v="0"/>
    <m/>
    <m/>
    <m/>
    <x v="0"/>
    <x v="0"/>
    <m/>
    <n v="4500014316"/>
    <m/>
    <m/>
    <m/>
    <m/>
    <m/>
    <m/>
    <m/>
    <m/>
    <m/>
    <m/>
    <m/>
    <m/>
    <m/>
  </r>
  <r>
    <n v="3"/>
    <x v="2"/>
    <x v="2"/>
    <s v="Jakarta Selatan 12510 "/>
    <m/>
    <m/>
    <s v="Sewa Tahunan"/>
    <x v="1"/>
    <x v="2"/>
    <m/>
    <m/>
    <m/>
    <m/>
    <m/>
    <x v="2"/>
    <m/>
    <m/>
    <x v="2"/>
    <m/>
    <x v="2"/>
    <s v="24/9/2021"/>
    <x v="0"/>
    <m/>
    <m/>
    <m/>
    <x v="0"/>
    <x v="0"/>
    <s v="14227/SPP/008/PUSAT/ICON+/2020"/>
    <n v="4500015016"/>
    <m/>
    <m/>
    <m/>
    <m/>
    <m/>
    <m/>
    <m/>
    <m/>
    <m/>
    <m/>
    <m/>
    <m/>
    <m/>
  </r>
  <r>
    <n v="4"/>
    <x v="3"/>
    <x v="3"/>
    <s v="Jakarta 12210"/>
    <m/>
    <m/>
    <s v="Sewa Tahunan"/>
    <x v="1"/>
    <x v="3"/>
    <m/>
    <m/>
    <m/>
    <m/>
    <m/>
    <x v="2"/>
    <m/>
    <m/>
    <x v="3"/>
    <m/>
    <x v="3"/>
    <d v="2021-01-01T00:00:00"/>
    <x v="0"/>
    <m/>
    <m/>
    <m/>
    <x v="0"/>
    <x v="0"/>
    <s v="12451/SPP/008/PUSAT/ICON+/2020"/>
    <n v="4500013795"/>
    <m/>
    <m/>
    <m/>
    <m/>
    <m/>
    <m/>
    <m/>
    <m/>
    <m/>
    <m/>
    <m/>
    <m/>
    <m/>
  </r>
  <r>
    <n v="5"/>
    <x v="4"/>
    <x v="4"/>
    <s v="Jakarta 12710"/>
    <m/>
    <m/>
    <s v="Sewa Tahunan"/>
    <x v="1"/>
    <x v="4"/>
    <m/>
    <m/>
    <m/>
    <m/>
    <m/>
    <x v="3"/>
    <m/>
    <m/>
    <x v="4"/>
    <m/>
    <x v="4"/>
    <d v="2021-03-05T00:00:00"/>
    <x v="0"/>
    <m/>
    <m/>
    <m/>
    <x v="0"/>
    <x v="0"/>
    <s v="13421/SPP/008/PUSAT/ICON+/2020"/>
    <n v="4500014438"/>
    <m/>
    <m/>
    <m/>
    <m/>
    <m/>
    <m/>
    <m/>
    <m/>
    <m/>
    <m/>
    <m/>
    <m/>
    <m/>
  </r>
  <r>
    <n v="6"/>
    <x v="5"/>
    <x v="5"/>
    <s v="Jakarta 00000"/>
    <m/>
    <m/>
    <s v="Sewa Tahunan"/>
    <x v="1"/>
    <x v="5"/>
    <m/>
    <m/>
    <m/>
    <m/>
    <m/>
    <x v="4"/>
    <m/>
    <m/>
    <x v="5"/>
    <m/>
    <x v="5"/>
    <s v="17/7/2021"/>
    <x v="0"/>
    <m/>
    <m/>
    <m/>
    <x v="0"/>
    <x v="0"/>
    <s v="13722/SPP/008/PUSAT/ICON+/2020"/>
    <n v="4500014714"/>
    <m/>
    <m/>
    <m/>
    <m/>
    <m/>
    <m/>
    <m/>
    <m/>
    <m/>
    <m/>
    <m/>
    <m/>
    <m/>
  </r>
  <r>
    <n v="7"/>
    <x v="6"/>
    <x v="6"/>
    <s v="Jakarta 00000"/>
    <m/>
    <m/>
    <s v="Sewa Tahunan"/>
    <x v="1"/>
    <x v="6"/>
    <m/>
    <m/>
    <m/>
    <m/>
    <m/>
    <x v="5"/>
    <m/>
    <m/>
    <x v="6"/>
    <m/>
    <x v="6"/>
    <s v="22/1/2021"/>
    <x v="0"/>
    <m/>
    <m/>
    <m/>
    <x v="0"/>
    <x v="0"/>
    <s v="12502/SPP/008/PUSAT/ICON+/2020"/>
    <n v="4500014043"/>
    <m/>
    <m/>
    <m/>
    <m/>
    <m/>
    <m/>
    <m/>
    <m/>
    <m/>
    <m/>
    <m/>
    <m/>
    <m/>
  </r>
  <r>
    <n v="8"/>
    <x v="7"/>
    <x v="7"/>
    <s v="Jakarta 12930"/>
    <m/>
    <m/>
    <s v="Sewa Tahunan"/>
    <x v="0"/>
    <x v="7"/>
    <m/>
    <m/>
    <m/>
    <m/>
    <m/>
    <x v="6"/>
    <m/>
    <n v="15000000"/>
    <x v="7"/>
    <m/>
    <x v="7"/>
    <d v="2021-06-07T00:00:00"/>
    <x v="0"/>
    <m/>
    <m/>
    <m/>
    <x v="0"/>
    <x v="0"/>
    <s v="13339/SPP/008/PUSAT/ICON+/2020"/>
    <n v="4500014385"/>
    <m/>
    <m/>
    <m/>
    <m/>
    <m/>
    <m/>
    <m/>
    <m/>
    <m/>
    <m/>
    <m/>
    <m/>
    <m/>
  </r>
  <r>
    <n v="9"/>
    <x v="1"/>
    <x v="8"/>
    <s v="Jakarta Utara 14430"/>
    <m/>
    <m/>
    <s v="Sewa Tahunan"/>
    <x v="1"/>
    <x v="8"/>
    <m/>
    <m/>
    <m/>
    <m/>
    <m/>
    <x v="7"/>
    <m/>
    <m/>
    <x v="6"/>
    <m/>
    <x v="8"/>
    <s v="26/8/2021"/>
    <x v="0"/>
    <m/>
    <m/>
    <m/>
    <x v="0"/>
    <x v="0"/>
    <s v="13725/SPP/008/PUSAT/ICON+/2020"/>
    <n v="4500014634"/>
    <m/>
    <m/>
    <m/>
    <m/>
    <m/>
    <m/>
    <m/>
    <m/>
    <m/>
    <m/>
    <m/>
    <m/>
    <m/>
  </r>
  <r>
    <n v="10"/>
    <x v="8"/>
    <x v="9"/>
    <s v="Jakarta Selatan 12710"/>
    <m/>
    <m/>
    <s v="Sewa Tahunan"/>
    <x v="2"/>
    <x v="9"/>
    <m/>
    <m/>
    <m/>
    <m/>
    <n v="3500000"/>
    <x v="8"/>
    <m/>
    <m/>
    <x v="8"/>
    <m/>
    <x v="9"/>
    <d v="2021-05-07T00:00:00"/>
    <x v="0"/>
    <m/>
    <m/>
    <m/>
    <x v="0"/>
    <x v="0"/>
    <m/>
    <n v="4500014669"/>
    <m/>
    <m/>
    <m/>
    <m/>
    <m/>
    <m/>
    <m/>
    <m/>
    <m/>
    <m/>
    <m/>
    <m/>
    <m/>
  </r>
  <r>
    <n v="11"/>
    <x v="4"/>
    <x v="10"/>
    <s v="Jakarta 12210"/>
    <m/>
    <m/>
    <s v="Sewa Tahunan"/>
    <x v="1"/>
    <x v="10"/>
    <m/>
    <m/>
    <m/>
    <m/>
    <m/>
    <x v="9"/>
    <m/>
    <m/>
    <x v="6"/>
    <m/>
    <x v="10"/>
    <s v="27/5/2021"/>
    <x v="0"/>
    <m/>
    <m/>
    <m/>
    <x v="0"/>
    <x v="0"/>
    <s v="13359/SPP/008/PUSAT/ICON+/2020"/>
    <n v="4500014450"/>
    <m/>
    <m/>
    <m/>
    <m/>
    <m/>
    <m/>
    <m/>
    <m/>
    <m/>
    <m/>
    <m/>
    <m/>
    <m/>
  </r>
  <r>
    <n v="12"/>
    <x v="5"/>
    <x v="11"/>
    <s v="Jakarta 00000"/>
    <m/>
    <m/>
    <s v="Sewa Tahunan"/>
    <x v="1"/>
    <x v="11"/>
    <m/>
    <m/>
    <m/>
    <m/>
    <m/>
    <x v="10"/>
    <m/>
    <m/>
    <x v="5"/>
    <m/>
    <x v="11"/>
    <s v="13/9/2021"/>
    <x v="0"/>
    <m/>
    <m/>
    <m/>
    <x v="0"/>
    <x v="0"/>
    <s v="13981/SPP/008/PUSAT/ICON+/2020"/>
    <n v="4500014893"/>
    <m/>
    <m/>
    <m/>
    <m/>
    <m/>
    <m/>
    <m/>
    <m/>
    <m/>
    <m/>
    <m/>
    <m/>
    <m/>
  </r>
  <r>
    <n v="13"/>
    <x v="4"/>
    <x v="12"/>
    <s v="Jakarta 12710"/>
    <m/>
    <m/>
    <s v="Sewa Tahunan"/>
    <x v="1"/>
    <x v="12"/>
    <m/>
    <m/>
    <m/>
    <m/>
    <m/>
    <x v="10"/>
    <m/>
    <m/>
    <x v="9"/>
    <m/>
    <x v="12"/>
    <d v="2021-05-09T00:00:00"/>
    <x v="0"/>
    <m/>
    <m/>
    <m/>
    <x v="0"/>
    <x v="0"/>
    <s v="13983/SPP/008/PUSAT/ICON+/2020"/>
    <n v="4500014857"/>
    <m/>
    <m/>
    <m/>
    <m/>
    <m/>
    <m/>
    <m/>
    <m/>
    <m/>
    <m/>
    <m/>
    <m/>
    <m/>
  </r>
  <r>
    <n v="14"/>
    <x v="9"/>
    <x v="13"/>
    <s v="Jakarta 12190"/>
    <m/>
    <m/>
    <s v="Sewa Tahunan"/>
    <x v="2"/>
    <x v="13"/>
    <m/>
    <m/>
    <m/>
    <m/>
    <n v="5000000"/>
    <x v="11"/>
    <m/>
    <n v="4000000"/>
    <x v="10"/>
    <m/>
    <x v="13"/>
    <s v="26/1/2021"/>
    <x v="0"/>
    <m/>
    <m/>
    <m/>
    <x v="0"/>
    <x v="0"/>
    <s v="12521/SPP/008/PUSAT/ICON+/2020"/>
    <n v="4500013824"/>
    <m/>
    <m/>
    <m/>
    <m/>
    <m/>
    <m/>
    <m/>
    <m/>
    <m/>
    <m/>
    <m/>
    <m/>
    <m/>
  </r>
  <r>
    <n v="15"/>
    <x v="0"/>
    <x v="14"/>
    <s v="Jakarta 12710"/>
    <m/>
    <m/>
    <s v="Sewa Tahunan"/>
    <x v="0"/>
    <x v="14"/>
    <m/>
    <m/>
    <m/>
    <m/>
    <m/>
    <x v="12"/>
    <m/>
    <m/>
    <x v="11"/>
    <m/>
    <x v="14"/>
    <s v="31/8/2020"/>
    <x v="0"/>
    <m/>
    <m/>
    <m/>
    <x v="0"/>
    <x v="0"/>
    <s v="13955/SPP/008/PUSAT/ICON+/2020"/>
    <n v="4500014789"/>
    <m/>
    <m/>
    <m/>
    <m/>
    <m/>
    <m/>
    <m/>
    <m/>
    <m/>
    <m/>
    <m/>
    <m/>
    <m/>
  </r>
  <r>
    <n v="16"/>
    <x v="8"/>
    <x v="15"/>
    <s v="Jakarta Selatan 12710"/>
    <m/>
    <m/>
    <s v="Sewa Tahunan"/>
    <x v="2"/>
    <x v="15"/>
    <m/>
    <m/>
    <m/>
    <m/>
    <n v="1000000"/>
    <x v="13"/>
    <m/>
    <n v="2500000"/>
    <x v="8"/>
    <m/>
    <x v="2"/>
    <s v="24/9/2021"/>
    <x v="0"/>
    <m/>
    <m/>
    <m/>
    <x v="0"/>
    <x v="0"/>
    <s v="14222/SPP/008/PUSAT/ICON+/2020"/>
    <n v="4500015013"/>
    <m/>
    <m/>
    <m/>
    <m/>
    <m/>
    <m/>
    <m/>
    <m/>
    <m/>
    <m/>
    <m/>
    <m/>
    <m/>
  </r>
  <r>
    <n v="17"/>
    <x v="10"/>
    <x v="16"/>
    <s v="Jakarta 00000"/>
    <m/>
    <m/>
    <s v="Sewa Tahunan"/>
    <x v="1"/>
    <x v="16"/>
    <m/>
    <m/>
    <m/>
    <m/>
    <m/>
    <x v="14"/>
    <m/>
    <m/>
    <x v="12"/>
    <m/>
    <x v="15"/>
    <d v="2021-04-04T00:00:00"/>
    <x v="0"/>
    <m/>
    <m/>
    <m/>
    <x v="0"/>
    <x v="0"/>
    <s v="12759/SPP/008/PUSAT/ICON+/2020"/>
    <n v="4500013982"/>
    <m/>
    <m/>
    <m/>
    <m/>
    <m/>
    <m/>
    <m/>
    <m/>
    <m/>
    <m/>
    <m/>
    <m/>
    <m/>
  </r>
  <r>
    <n v="18"/>
    <x v="11"/>
    <x v="17"/>
    <s v="Jakarta 10730"/>
    <m/>
    <m/>
    <s v="Sewa Tahunan"/>
    <x v="1"/>
    <x v="17"/>
    <m/>
    <m/>
    <m/>
    <m/>
    <m/>
    <x v="15"/>
    <m/>
    <m/>
    <x v="13"/>
    <m/>
    <x v="16"/>
    <s v="31/7/2021"/>
    <x v="0"/>
    <m/>
    <m/>
    <m/>
    <x v="0"/>
    <x v="0"/>
    <m/>
    <n v="4500014819"/>
    <m/>
    <m/>
    <m/>
    <m/>
    <m/>
    <m/>
    <m/>
    <m/>
    <m/>
    <m/>
    <m/>
    <m/>
    <m/>
  </r>
  <r>
    <n v="19"/>
    <x v="12"/>
    <x v="18"/>
    <s v="Jakarta Selatan 00000"/>
    <m/>
    <m/>
    <s v="Sewa Tahunan"/>
    <x v="1"/>
    <x v="18"/>
    <m/>
    <m/>
    <m/>
    <m/>
    <m/>
    <x v="16"/>
    <m/>
    <m/>
    <x v="14"/>
    <m/>
    <x v="17"/>
    <s v="28/2/2021"/>
    <x v="0"/>
    <m/>
    <m/>
    <m/>
    <x v="0"/>
    <x v="0"/>
    <s v="12586/SPP/008/PUSAT/ICON+/2020"/>
    <n v="4500013907"/>
    <m/>
    <m/>
    <m/>
    <m/>
    <m/>
    <m/>
    <m/>
    <m/>
    <m/>
    <m/>
    <m/>
    <m/>
    <m/>
  </r>
  <r>
    <n v="20"/>
    <x v="13"/>
    <x v="19"/>
    <s v="Jakarta 00000"/>
    <m/>
    <m/>
    <s v="Sewa Tahunan"/>
    <x v="1"/>
    <x v="19"/>
    <m/>
    <m/>
    <m/>
    <m/>
    <m/>
    <x v="10"/>
    <m/>
    <m/>
    <x v="15"/>
    <m/>
    <x v="18"/>
    <s v="30/9/2021"/>
    <x v="0"/>
    <m/>
    <m/>
    <m/>
    <x v="0"/>
    <x v="0"/>
    <s v="14093/SPP/008/PUSAT/ICON+/2020"/>
    <n v="4500015007"/>
    <m/>
    <m/>
    <m/>
    <m/>
    <m/>
    <m/>
    <m/>
    <m/>
    <m/>
    <m/>
    <m/>
    <m/>
    <m/>
  </r>
  <r>
    <n v="21"/>
    <x v="14"/>
    <x v="20"/>
    <s v="Ciputat 00000"/>
    <m/>
    <m/>
    <s v="Sewa Tahunan"/>
    <x v="1"/>
    <x v="20"/>
    <m/>
    <m/>
    <m/>
    <m/>
    <n v="3000000"/>
    <x v="17"/>
    <m/>
    <n v="1000000"/>
    <x v="16"/>
    <m/>
    <x v="19"/>
    <d v="2021-07-03T00:00:00"/>
    <x v="0"/>
    <m/>
    <m/>
    <m/>
    <x v="0"/>
    <x v="0"/>
    <s v="13317/SPP/008/PUSAT/ICON+/2020"/>
    <n v="4500014386"/>
    <m/>
    <m/>
    <m/>
    <m/>
    <m/>
    <m/>
    <m/>
    <m/>
    <m/>
    <m/>
    <m/>
    <m/>
    <m/>
  </r>
  <r>
    <n v="22"/>
    <x v="15"/>
    <x v="21"/>
    <s v="Jakarta Barat 11730"/>
    <m/>
    <m/>
    <s v="Sewa Tahunan"/>
    <x v="1"/>
    <x v="21"/>
    <m/>
    <m/>
    <m/>
    <m/>
    <m/>
    <x v="18"/>
    <m/>
    <m/>
    <x v="16"/>
    <m/>
    <x v="20"/>
    <s v="19/7/2021"/>
    <x v="0"/>
    <m/>
    <m/>
    <m/>
    <x v="0"/>
    <x v="0"/>
    <s v="13553/SPP/008/PUSAT/ICON+/2020"/>
    <n v="4500014492"/>
    <m/>
    <m/>
    <m/>
    <m/>
    <m/>
    <m/>
    <m/>
    <m/>
    <m/>
    <m/>
    <m/>
    <m/>
    <m/>
  </r>
  <r>
    <n v="23"/>
    <x v="15"/>
    <x v="22"/>
    <s v="Jakarta Barat 11730"/>
    <m/>
    <m/>
    <s v="Sewa Tahunan"/>
    <x v="1"/>
    <x v="22"/>
    <m/>
    <m/>
    <m/>
    <m/>
    <m/>
    <x v="19"/>
    <m/>
    <m/>
    <x v="17"/>
    <m/>
    <x v="20"/>
    <s v="19/7/2021"/>
    <x v="0"/>
    <m/>
    <m/>
    <m/>
    <x v="0"/>
    <x v="0"/>
    <s v="13547/SPP/008/PUSAT/ICON+/2020"/>
    <n v="4500014491"/>
    <m/>
    <m/>
    <m/>
    <m/>
    <m/>
    <m/>
    <m/>
    <m/>
    <m/>
    <m/>
    <m/>
    <m/>
    <m/>
  </r>
  <r>
    <n v="24"/>
    <x v="9"/>
    <x v="4"/>
    <s v="Jakarta 12190"/>
    <m/>
    <m/>
    <s v="Sewa Tahunan"/>
    <x v="1"/>
    <x v="23"/>
    <m/>
    <m/>
    <m/>
    <m/>
    <m/>
    <x v="20"/>
    <m/>
    <m/>
    <x v="18"/>
    <m/>
    <x v="21"/>
    <s v="31/5/2021"/>
    <x v="0"/>
    <m/>
    <m/>
    <m/>
    <x v="0"/>
    <x v="0"/>
    <m/>
    <n v="4500014432"/>
    <m/>
    <m/>
    <m/>
    <m/>
    <m/>
    <m/>
    <m/>
    <m/>
    <m/>
    <m/>
    <m/>
    <m/>
    <m/>
  </r>
  <r>
    <n v="25"/>
    <x v="16"/>
    <x v="23"/>
    <s v="Tanggerang 15321"/>
    <m/>
    <m/>
    <s v="Sewa Tahunan"/>
    <x v="2"/>
    <x v="24"/>
    <m/>
    <m/>
    <m/>
    <m/>
    <n v="3000000"/>
    <x v="21"/>
    <m/>
    <n v="3000000"/>
    <x v="5"/>
    <m/>
    <x v="22"/>
    <s v="16/2/2021"/>
    <x v="0"/>
    <m/>
    <m/>
    <m/>
    <x v="0"/>
    <x v="0"/>
    <s v="12640/SPP/008/PUSAT/ICON+/2020"/>
    <n v="4500013949"/>
    <m/>
    <m/>
    <m/>
    <m/>
    <m/>
    <m/>
    <m/>
    <m/>
    <m/>
    <m/>
    <m/>
    <m/>
    <m/>
  </r>
  <r>
    <n v="26"/>
    <x v="17"/>
    <x v="24"/>
    <s v="Kebayoran Baru, Jakarta Selatan 12190"/>
    <m/>
    <m/>
    <s v="Sewa Tahunan"/>
    <x v="1"/>
    <x v="25"/>
    <m/>
    <m/>
    <m/>
    <m/>
    <m/>
    <x v="11"/>
    <m/>
    <m/>
    <x v="16"/>
    <m/>
    <x v="23"/>
    <s v="31/3/2021"/>
    <x v="0"/>
    <m/>
    <m/>
    <m/>
    <x v="0"/>
    <x v="0"/>
    <s v="12988/SPP/008/PUSAT/ICON+/2020"/>
    <n v="4500014234"/>
    <m/>
    <m/>
    <m/>
    <m/>
    <m/>
    <m/>
    <m/>
    <m/>
    <m/>
    <m/>
    <m/>
    <m/>
    <m/>
  </r>
  <r>
    <n v="27"/>
    <x v="16"/>
    <x v="25"/>
    <s v="Tanggerang 15321"/>
    <m/>
    <m/>
    <s v="Sewa Tahunan"/>
    <x v="1"/>
    <x v="26"/>
    <m/>
    <m/>
    <m/>
    <m/>
    <m/>
    <x v="22"/>
    <m/>
    <m/>
    <x v="19"/>
    <m/>
    <x v="24"/>
    <s v="14/4/2021"/>
    <x v="0"/>
    <m/>
    <m/>
    <m/>
    <x v="0"/>
    <x v="0"/>
    <s v="13156/SPP/008/PUSAT/ICON+/2020"/>
    <n v="4500014236"/>
    <m/>
    <m/>
    <m/>
    <m/>
    <m/>
    <m/>
    <m/>
    <m/>
    <m/>
    <m/>
    <m/>
    <m/>
    <m/>
  </r>
  <r>
    <n v="28"/>
    <x v="16"/>
    <x v="25"/>
    <s v="Tanggerang 15321"/>
    <m/>
    <m/>
    <s v="Sewa Tahunan"/>
    <x v="2"/>
    <x v="26"/>
    <m/>
    <m/>
    <m/>
    <m/>
    <m/>
    <x v="22"/>
    <m/>
    <m/>
    <x v="19"/>
    <m/>
    <x v="24"/>
    <s v="14/4/2021"/>
    <x v="0"/>
    <m/>
    <m/>
    <m/>
    <x v="0"/>
    <x v="0"/>
    <s v="13157/SPP/008/PUSAT/ICON+/2020"/>
    <n v="4500014237"/>
    <m/>
    <m/>
    <m/>
    <m/>
    <m/>
    <m/>
    <m/>
    <m/>
    <m/>
    <m/>
    <m/>
    <m/>
    <m/>
  </r>
  <r>
    <n v="29"/>
    <x v="18"/>
    <x v="26"/>
    <s v="Jakarta Pusat 10220"/>
    <m/>
    <m/>
    <s v="Sewa Tahunan"/>
    <x v="2"/>
    <x v="27"/>
    <m/>
    <m/>
    <m/>
    <m/>
    <n v="2500000"/>
    <x v="23"/>
    <m/>
    <n v="5000000"/>
    <x v="16"/>
    <m/>
    <x v="25"/>
    <s v="30/1/2021"/>
    <x v="0"/>
    <m/>
    <m/>
    <m/>
    <x v="0"/>
    <x v="0"/>
    <s v="11680/SPP/008/PUSAT/ICON+/2020"/>
    <n v="4500013932"/>
    <m/>
    <m/>
    <m/>
    <m/>
    <m/>
    <m/>
    <m/>
    <m/>
    <m/>
    <m/>
    <m/>
    <m/>
    <m/>
  </r>
  <r>
    <n v="30"/>
    <x v="19"/>
    <x v="27"/>
    <s v="Jakarta 15345"/>
    <m/>
    <m/>
    <s v="Sewa Tahunan"/>
    <x v="2"/>
    <x v="28"/>
    <m/>
    <m/>
    <m/>
    <m/>
    <n v="5000000"/>
    <x v="16"/>
    <m/>
    <m/>
    <x v="20"/>
    <m/>
    <x v="26"/>
    <s v="22/7/2021"/>
    <x v="0"/>
    <m/>
    <m/>
    <m/>
    <x v="0"/>
    <x v="0"/>
    <s v="13831/SPP/008/PUSAT/ICON+/2020"/>
    <n v="4500014708"/>
    <m/>
    <m/>
    <m/>
    <m/>
    <m/>
    <m/>
    <m/>
    <m/>
    <m/>
    <m/>
    <m/>
    <m/>
    <m/>
  </r>
  <r>
    <n v="31"/>
    <x v="20"/>
    <x v="28"/>
    <s v="Jakarta 12710"/>
    <m/>
    <m/>
    <s v="Sewa Tahunan"/>
    <x v="2"/>
    <x v="29"/>
    <m/>
    <m/>
    <m/>
    <m/>
    <n v="10000000"/>
    <x v="24"/>
    <m/>
    <m/>
    <x v="17"/>
    <m/>
    <x v="27"/>
    <s v="24/4/2021"/>
    <x v="0"/>
    <m/>
    <m/>
    <m/>
    <x v="0"/>
    <x v="0"/>
    <s v="13275/SPP/008/PUSAT/ICON+/2020"/>
    <n v="4500014318"/>
    <m/>
    <m/>
    <m/>
    <m/>
    <m/>
    <m/>
    <m/>
    <m/>
    <m/>
    <m/>
    <m/>
    <m/>
    <m/>
  </r>
  <r>
    <n v="32"/>
    <x v="21"/>
    <x v="29"/>
    <s v="Jakarta Selatan 12930"/>
    <m/>
    <m/>
    <s v="Sewa Tahunan"/>
    <x v="1"/>
    <x v="30"/>
    <m/>
    <m/>
    <m/>
    <m/>
    <n v="20000000"/>
    <x v="16"/>
    <m/>
    <m/>
    <x v="21"/>
    <m/>
    <x v="28"/>
    <s v="30/4/2021"/>
    <x v="0"/>
    <m/>
    <m/>
    <m/>
    <x v="0"/>
    <x v="0"/>
    <s v="12491/SPP/008/PUSAT/ICON+/2020"/>
    <n v="4500013808"/>
    <m/>
    <m/>
    <m/>
    <m/>
    <m/>
    <m/>
    <m/>
    <m/>
    <m/>
    <m/>
    <m/>
    <m/>
    <m/>
  </r>
  <r>
    <n v="33"/>
    <x v="22"/>
    <x v="30"/>
    <s v="Depok 16431"/>
    <m/>
    <m/>
    <s v="Sewa Tahunan"/>
    <x v="1"/>
    <x v="31"/>
    <m/>
    <m/>
    <m/>
    <m/>
    <m/>
    <x v="1"/>
    <m/>
    <m/>
    <x v="20"/>
    <m/>
    <x v="29"/>
    <d v="2021-07-01T00:00:00"/>
    <x v="0"/>
    <m/>
    <m/>
    <m/>
    <x v="0"/>
    <x v="0"/>
    <s v="12455/SPP/008/PUSAT/ICON+/2020"/>
    <n v="4500013766"/>
    <m/>
    <m/>
    <m/>
    <m/>
    <m/>
    <m/>
    <m/>
    <m/>
    <m/>
    <m/>
    <m/>
    <m/>
    <m/>
  </r>
  <r>
    <n v="34"/>
    <x v="8"/>
    <x v="31"/>
    <s v="Jakarta Selatan 12710"/>
    <m/>
    <m/>
    <s v="Sewa Tahunan"/>
    <x v="2"/>
    <x v="32"/>
    <m/>
    <m/>
    <m/>
    <m/>
    <n v="5000000"/>
    <x v="25"/>
    <m/>
    <m/>
    <x v="22"/>
    <m/>
    <x v="30"/>
    <d v="2021-02-07T00:00:00"/>
    <x v="0"/>
    <m/>
    <m/>
    <m/>
    <x v="0"/>
    <x v="0"/>
    <s v="13482/SPP/008/PUSAT/ICON+/2020"/>
    <n v="4500014453"/>
    <m/>
    <m/>
    <m/>
    <m/>
    <m/>
    <m/>
    <m/>
    <m/>
    <m/>
    <m/>
    <m/>
    <m/>
    <m/>
  </r>
  <r>
    <n v="35"/>
    <x v="16"/>
    <x v="10"/>
    <s v="Tanggerang 15321"/>
    <m/>
    <m/>
    <s v="Sewa Tahunan"/>
    <x v="2"/>
    <x v="33"/>
    <m/>
    <m/>
    <m/>
    <m/>
    <n v="5000000"/>
    <x v="7"/>
    <m/>
    <n v="4000000"/>
    <x v="17"/>
    <m/>
    <x v="31"/>
    <s v="25/7/2021"/>
    <x v="0"/>
    <m/>
    <m/>
    <m/>
    <x v="0"/>
    <x v="0"/>
    <s v="13468/SPP/008/PUSAT/ICON+/2020"/>
    <n v="4500014447"/>
    <m/>
    <m/>
    <m/>
    <m/>
    <m/>
    <m/>
    <m/>
    <m/>
    <m/>
    <m/>
    <m/>
    <m/>
    <m/>
  </r>
  <r>
    <n v="36"/>
    <x v="23"/>
    <x v="32"/>
    <s v="Jakarta 12710"/>
    <m/>
    <m/>
    <s v="Sewa Tahunan"/>
    <x v="2"/>
    <x v="34"/>
    <m/>
    <m/>
    <m/>
    <m/>
    <n v="3000000"/>
    <x v="8"/>
    <m/>
    <n v="2500000"/>
    <x v="8"/>
    <m/>
    <x v="32"/>
    <s v="28/9/2021"/>
    <x v="0"/>
    <m/>
    <m/>
    <m/>
    <x v="0"/>
    <x v="0"/>
    <s v="14285/SPP/008/PUSAT/ICON+/2020"/>
    <n v="4500015060"/>
    <m/>
    <m/>
    <m/>
    <m/>
    <m/>
    <m/>
    <m/>
    <m/>
    <m/>
    <m/>
    <m/>
    <m/>
    <m/>
  </r>
  <r>
    <n v="37"/>
    <x v="24"/>
    <x v="33"/>
    <s v="Jakarta 00000"/>
    <m/>
    <m/>
    <s v="Sewa Tahunan"/>
    <x v="1"/>
    <x v="35"/>
    <m/>
    <m/>
    <m/>
    <m/>
    <m/>
    <x v="13"/>
    <m/>
    <m/>
    <x v="23"/>
    <m/>
    <x v="16"/>
    <s v="31/7/2021"/>
    <x v="0"/>
    <m/>
    <m/>
    <m/>
    <x v="0"/>
    <x v="0"/>
    <s v="13600/SPP/008/PUSAT/ICON+/2020"/>
    <n v="4500014650"/>
    <m/>
    <m/>
    <m/>
    <m/>
    <m/>
    <m/>
    <m/>
    <m/>
    <m/>
    <m/>
    <m/>
    <m/>
    <m/>
  </r>
  <r>
    <n v="38"/>
    <x v="16"/>
    <x v="34"/>
    <s v="Tanggerang 15321"/>
    <m/>
    <m/>
    <s v="Sewa Tahunan"/>
    <x v="2"/>
    <x v="36"/>
    <m/>
    <m/>
    <m/>
    <m/>
    <m/>
    <x v="26"/>
    <m/>
    <n v="3000000"/>
    <x v="5"/>
    <m/>
    <x v="33"/>
    <d v="2021-06-02T00:00:00"/>
    <x v="0"/>
    <m/>
    <m/>
    <m/>
    <x v="0"/>
    <x v="0"/>
    <s v="12573/SPP/008/PUSAT/ICON+/2020"/>
    <n v="4500013871"/>
    <m/>
    <m/>
    <m/>
    <m/>
    <m/>
    <m/>
    <m/>
    <m/>
    <m/>
    <m/>
    <m/>
    <m/>
    <m/>
  </r>
  <r>
    <n v="39"/>
    <x v="25"/>
    <x v="35"/>
    <s v="Jakarta Selatan 12240"/>
    <m/>
    <m/>
    <s v="Sewa Tahunan"/>
    <x v="0"/>
    <x v="37"/>
    <m/>
    <m/>
    <m/>
    <m/>
    <m/>
    <x v="27"/>
    <m/>
    <n v="1500000"/>
    <x v="18"/>
    <m/>
    <x v="34"/>
    <s v="14/9/2021"/>
    <x v="0"/>
    <m/>
    <m/>
    <m/>
    <x v="0"/>
    <x v="0"/>
    <s v="14178/SPP/008/PUSAT/ICON+/2020"/>
    <n v="4500015790"/>
    <m/>
    <m/>
    <m/>
    <m/>
    <m/>
    <m/>
    <m/>
    <m/>
    <m/>
    <m/>
    <m/>
    <m/>
    <m/>
  </r>
  <r>
    <n v="40"/>
    <x v="26"/>
    <x v="36"/>
    <s v="Jl Raya Pelabuhan No 9 Tanjung Priok "/>
    <m/>
    <m/>
    <s v="Sewa Tahunan"/>
    <x v="3"/>
    <x v="38"/>
    <m/>
    <m/>
    <m/>
    <m/>
    <s v="-"/>
    <x v="4"/>
    <m/>
    <n v="200000"/>
    <x v="24"/>
    <m/>
    <x v="35"/>
    <d v="2021-08-31T00:00:00"/>
    <x v="0"/>
    <m/>
    <m/>
    <m/>
    <x v="0"/>
    <x v="0"/>
    <s v="13865/SPP/008/PUSAT/ICON+/2020"/>
    <n v="4500014841"/>
    <m/>
    <m/>
    <m/>
    <m/>
    <m/>
    <m/>
    <m/>
    <m/>
    <m/>
    <m/>
    <m/>
    <m/>
    <m/>
  </r>
  <r>
    <n v="41"/>
    <x v="27"/>
    <x v="37"/>
    <s v="Jl Raya Pelabuhan No 1 "/>
    <m/>
    <m/>
    <s v="Sewa Tahunan"/>
    <x v="3"/>
    <x v="39"/>
    <m/>
    <m/>
    <m/>
    <m/>
    <s v="-"/>
    <x v="28"/>
    <m/>
    <s v="- "/>
    <x v="25"/>
    <m/>
    <x v="35"/>
    <d v="2021-12-31T00:00:00"/>
    <x v="0"/>
    <m/>
    <m/>
    <m/>
    <x v="0"/>
    <x v="0"/>
    <s v="12200/SPP/008/PUSAT/ICON+/2019"/>
    <n v="4500003887"/>
    <m/>
    <m/>
    <m/>
    <m/>
    <m/>
    <m/>
    <m/>
    <m/>
    <m/>
    <m/>
    <m/>
    <m/>
    <m/>
  </r>
  <r>
    <n v="42"/>
    <x v="28"/>
    <x v="38"/>
    <s v="Grha9 lt.6 Jl.Penataran 9"/>
    <m/>
    <m/>
    <s v="Sewa Tahunan"/>
    <x v="3"/>
    <x v="40"/>
    <m/>
    <m/>
    <m/>
    <m/>
    <s v="-"/>
    <x v="29"/>
    <m/>
    <s v="- "/>
    <x v="26"/>
    <m/>
    <x v="36"/>
    <d v="2021-04-17T00:00:00"/>
    <x v="0"/>
    <m/>
    <m/>
    <m/>
    <x v="0"/>
    <x v="0"/>
    <s v="12973/SPP/008/PUSAT/ICON+/2020"/>
    <n v="4500014156"/>
    <m/>
    <m/>
    <m/>
    <m/>
    <m/>
    <m/>
    <m/>
    <m/>
    <m/>
    <m/>
    <m/>
    <m/>
    <m/>
  </r>
  <r>
    <n v="43"/>
    <x v="29"/>
    <x v="39"/>
    <s v="Jl Jend Surdiman Kav 52-53"/>
    <m/>
    <m/>
    <s v="Sewa Tahunan"/>
    <x v="2"/>
    <x v="41"/>
    <m/>
    <m/>
    <m/>
    <m/>
    <s v="-"/>
    <x v="30"/>
    <m/>
    <s v="- "/>
    <x v="18"/>
    <m/>
    <x v="37"/>
    <d v="2021-03-08T00:00:00"/>
    <x v="0"/>
    <m/>
    <m/>
    <m/>
    <x v="0"/>
    <x v="0"/>
    <s v="12832/SPP/008/PUSAT/ICON+/2020"/>
    <n v="4500014090"/>
    <m/>
    <m/>
    <m/>
    <m/>
    <m/>
    <m/>
    <m/>
    <m/>
    <m/>
    <m/>
    <m/>
    <m/>
    <m/>
  </r>
  <r>
    <n v="44"/>
    <x v="30"/>
    <x v="40"/>
    <s v="Jl Rempoa Raya 11"/>
    <m/>
    <m/>
    <s v="Sewa Tahunan"/>
    <x v="3"/>
    <x v="42"/>
    <m/>
    <m/>
    <m/>
    <m/>
    <s v="-"/>
    <x v="31"/>
    <m/>
    <s v="- "/>
    <x v="8"/>
    <m/>
    <x v="38"/>
    <d v="2021-04-20T00:00:00"/>
    <x v="0"/>
    <m/>
    <m/>
    <m/>
    <x v="0"/>
    <x v="0"/>
    <s v="13120/SPP/008/PUSAT/ICON+/2020"/>
    <n v="4500014193"/>
    <m/>
    <m/>
    <m/>
    <m/>
    <m/>
    <m/>
    <m/>
    <m/>
    <m/>
    <m/>
    <m/>
    <m/>
    <m/>
  </r>
  <r>
    <n v="45"/>
    <x v="31"/>
    <x v="41"/>
    <s v="Jl MH Thamrin 81 Menteng"/>
    <m/>
    <m/>
    <s v="Sewa Tahunan"/>
    <x v="3"/>
    <x v="43"/>
    <m/>
    <m/>
    <m/>
    <m/>
    <s v="-"/>
    <x v="32"/>
    <m/>
    <s v="- "/>
    <x v="27"/>
    <m/>
    <x v="39"/>
    <d v="2021-01-31T00:00:00"/>
    <x v="0"/>
    <m/>
    <m/>
    <m/>
    <x v="0"/>
    <x v="0"/>
    <s v="12593/SPP/008/PUSAT/ICON+/2020"/>
    <n v="4500013954"/>
    <m/>
    <m/>
    <m/>
    <m/>
    <m/>
    <m/>
    <m/>
    <m/>
    <m/>
    <m/>
    <m/>
    <m/>
    <m/>
  </r>
  <r>
    <n v="46"/>
    <x v="30"/>
    <x v="42"/>
    <s v="Jl Rempoa Raya 11"/>
    <m/>
    <m/>
    <s v="Sewa Tahunan"/>
    <x v="3"/>
    <x v="44"/>
    <m/>
    <m/>
    <m/>
    <m/>
    <s v="-"/>
    <x v="33"/>
    <m/>
    <s v="- "/>
    <x v="28"/>
    <m/>
    <x v="35"/>
    <d v="2020-12-31T00:00:00"/>
    <x v="0"/>
    <m/>
    <m/>
    <m/>
    <x v="0"/>
    <x v="0"/>
    <m/>
    <n v="4500013749"/>
    <m/>
    <m/>
    <m/>
    <m/>
    <m/>
    <m/>
    <m/>
    <m/>
    <m/>
    <m/>
    <m/>
    <m/>
    <m/>
  </r>
  <r>
    <n v="47"/>
    <x v="30"/>
    <x v="43"/>
    <s v="Jl Rempoa Raya 11"/>
    <m/>
    <m/>
    <s v="Sewa Tahunan"/>
    <x v="3"/>
    <x v="45"/>
    <m/>
    <m/>
    <m/>
    <m/>
    <s v="-"/>
    <x v="31"/>
    <m/>
    <s v="- "/>
    <x v="8"/>
    <m/>
    <x v="40"/>
    <d v="2021-03-02T00:00:00"/>
    <x v="0"/>
    <m/>
    <m/>
    <m/>
    <x v="0"/>
    <x v="0"/>
    <s v="12706/SPP/008/PUSAT/ICON+/2020"/>
    <n v="4500013985"/>
    <m/>
    <m/>
    <m/>
    <m/>
    <m/>
    <m/>
    <m/>
    <m/>
    <m/>
    <m/>
    <m/>
    <m/>
    <m/>
  </r>
  <r>
    <n v="48"/>
    <x v="29"/>
    <x v="44"/>
    <s v="Jl Jend Surdiman Kav 52-53"/>
    <m/>
    <m/>
    <s v="Sewa Tahunan"/>
    <x v="2"/>
    <x v="46"/>
    <m/>
    <m/>
    <m/>
    <m/>
    <s v="-"/>
    <x v="7"/>
    <m/>
    <s v="- "/>
    <x v="18"/>
    <m/>
    <x v="41"/>
    <d v="2021-07-16T00:00:00"/>
    <x v="0"/>
    <m/>
    <m/>
    <m/>
    <x v="0"/>
    <x v="0"/>
    <m/>
    <n v="4500014528"/>
    <m/>
    <m/>
    <m/>
    <m/>
    <m/>
    <m/>
    <m/>
    <m/>
    <m/>
    <m/>
    <m/>
    <m/>
    <m/>
  </r>
  <r>
    <n v="49"/>
    <x v="32"/>
    <x v="45"/>
    <s v="Jl Mangga Dua Raya"/>
    <m/>
    <m/>
    <s v="Sewa Tahunan"/>
    <x v="3"/>
    <x v="47"/>
    <m/>
    <m/>
    <m/>
    <m/>
    <s v="-"/>
    <x v="34"/>
    <m/>
    <s v="- "/>
    <x v="29"/>
    <m/>
    <x v="42"/>
    <d v="2021-06-10T00:00:00"/>
    <x v="0"/>
    <m/>
    <m/>
    <m/>
    <x v="0"/>
    <x v="0"/>
    <s v="13596/SPP/008/PUSAT/ICON+/2020"/>
    <n v="4500014585"/>
    <m/>
    <m/>
    <m/>
    <m/>
    <m/>
    <m/>
    <m/>
    <m/>
    <m/>
    <m/>
    <m/>
    <m/>
    <m/>
  </r>
  <r>
    <n v="50"/>
    <x v="33"/>
    <x v="46"/>
    <s v="Jl M.T.Haryono Kav.15"/>
    <m/>
    <m/>
    <s v="Sewa Tahunan"/>
    <x v="3"/>
    <x v="48"/>
    <m/>
    <m/>
    <m/>
    <m/>
    <s v="-"/>
    <x v="35"/>
    <m/>
    <s v="- "/>
    <x v="30"/>
    <m/>
    <x v="43"/>
    <d v="2021-09-26T00:00:00"/>
    <x v="0"/>
    <m/>
    <m/>
    <m/>
    <x v="0"/>
    <x v="0"/>
    <s v="13989/SPP/008/PUSAT/ICON+/2020"/>
    <n v="4500014889"/>
    <m/>
    <m/>
    <m/>
    <m/>
    <m/>
    <m/>
    <m/>
    <m/>
    <m/>
    <m/>
    <m/>
    <m/>
    <m/>
  </r>
  <r>
    <n v="51"/>
    <x v="29"/>
    <x v="4"/>
    <s v="Jl Jend Surdiman Kav 52-53"/>
    <m/>
    <m/>
    <s v="Sewa Tahunan"/>
    <x v="2"/>
    <x v="49"/>
    <m/>
    <m/>
    <m/>
    <m/>
    <s v="-"/>
    <x v="33"/>
    <m/>
    <s v="- "/>
    <x v="18"/>
    <m/>
    <x v="44"/>
    <d v="2021-09-28T00:00:00"/>
    <x v="0"/>
    <m/>
    <m/>
    <m/>
    <x v="0"/>
    <x v="0"/>
    <s v="13714/SPP/008/PUSAT/ICON+/2020"/>
    <n v="4500014632"/>
    <m/>
    <m/>
    <m/>
    <m/>
    <m/>
    <m/>
    <m/>
    <m/>
    <m/>
    <m/>
    <m/>
    <m/>
    <m/>
  </r>
  <r>
    <n v="52"/>
    <x v="34"/>
    <x v="47"/>
    <s v="Jl.H.R.Rasuna Said Blok X5 13"/>
    <m/>
    <m/>
    <s v="Sewa Tahunan"/>
    <x v="2"/>
    <x v="50"/>
    <m/>
    <m/>
    <m/>
    <m/>
    <s v="-"/>
    <x v="36"/>
    <m/>
    <s v="- "/>
    <x v="31"/>
    <m/>
    <x v="45"/>
    <d v="2021-08-31T00:00:00"/>
    <x v="0"/>
    <m/>
    <m/>
    <m/>
    <x v="0"/>
    <x v="0"/>
    <s v="13842/SPP/008/PUSAT/ICON+/2020"/>
    <n v="4500014745"/>
    <m/>
    <m/>
    <m/>
    <m/>
    <m/>
    <m/>
    <m/>
    <m/>
    <m/>
    <m/>
    <m/>
    <m/>
    <m/>
  </r>
  <r>
    <n v="53"/>
    <x v="35"/>
    <x v="48"/>
    <s v="Gd JITC Lt 7&amp;8 Jl Mangga Dua Jakarta"/>
    <m/>
    <m/>
    <s v="Sewa Tahunan"/>
    <x v="3"/>
    <x v="51"/>
    <m/>
    <m/>
    <m/>
    <m/>
    <s v="-"/>
    <x v="37"/>
    <m/>
    <s v="- "/>
    <x v="32"/>
    <m/>
    <x v="46"/>
    <d v="2021-08-18T00:00:00"/>
    <x v="0"/>
    <m/>
    <m/>
    <m/>
    <x v="0"/>
    <x v="0"/>
    <s v="13829/SPP/008/PUSAT/ICON+/2020"/>
    <n v="4500014744"/>
    <m/>
    <m/>
    <m/>
    <m/>
    <m/>
    <m/>
    <m/>
    <m/>
    <m/>
    <m/>
    <m/>
    <m/>
    <m/>
  </r>
  <r>
    <n v="54"/>
    <x v="34"/>
    <x v="49"/>
    <s v="Jl.H.R.Rasuna Said Blok X5 13"/>
    <m/>
    <m/>
    <s v="Sewa Tahunan"/>
    <x v="3"/>
    <x v="52"/>
    <m/>
    <m/>
    <m/>
    <m/>
    <s v="-"/>
    <x v="23"/>
    <m/>
    <s v="- "/>
    <x v="5"/>
    <m/>
    <x v="47"/>
    <d v="2021-07-23T00:00:00"/>
    <x v="0"/>
    <m/>
    <m/>
    <m/>
    <x v="0"/>
    <x v="0"/>
    <s v="13721/SPP/008/PUSAT/ICON+/2020"/>
    <n v="4500014715"/>
    <m/>
    <m/>
    <m/>
    <m/>
    <m/>
    <m/>
    <m/>
    <m/>
    <m/>
    <m/>
    <m/>
    <m/>
    <m/>
  </r>
  <r>
    <n v="55"/>
    <x v="36"/>
    <x v="50"/>
    <s v="Jl Kapt.Subijanto DJ"/>
    <m/>
    <m/>
    <s v="Sewa Tahunan"/>
    <x v="2"/>
    <x v="53"/>
    <m/>
    <m/>
    <m/>
    <m/>
    <s v="-"/>
    <x v="38"/>
    <m/>
    <s v="- "/>
    <x v="5"/>
    <m/>
    <x v="48"/>
    <d v="2021-06-29T00:00:00"/>
    <x v="0"/>
    <m/>
    <m/>
    <m/>
    <x v="0"/>
    <x v="0"/>
    <s v="13592/SPP/008/PUSAT/ICON+/2020"/>
    <n v="4500014656"/>
    <m/>
    <m/>
    <m/>
    <m/>
    <m/>
    <m/>
    <m/>
    <m/>
    <m/>
    <m/>
    <m/>
    <m/>
    <m/>
  </r>
  <r>
    <n v="56"/>
    <x v="29"/>
    <x v="51"/>
    <s v="Jl Jend Surdiman Kav 52-53"/>
    <m/>
    <m/>
    <s v="Sewa Tahunan"/>
    <x v="3"/>
    <x v="54"/>
    <m/>
    <m/>
    <m/>
    <m/>
    <s v="-"/>
    <x v="39"/>
    <m/>
    <s v="- "/>
    <x v="18"/>
    <m/>
    <x v="49"/>
    <d v="2021-06-23T00:00:00"/>
    <x v="0"/>
    <m/>
    <m/>
    <m/>
    <x v="0"/>
    <x v="0"/>
    <m/>
    <n v="4500014434"/>
    <m/>
    <m/>
    <m/>
    <m/>
    <m/>
    <m/>
    <m/>
    <m/>
    <m/>
    <m/>
    <m/>
    <m/>
    <m/>
  </r>
  <r>
    <n v="57"/>
    <x v="29"/>
    <x v="52"/>
    <s v="Jl Jend Surdiman Kav 52-53"/>
    <m/>
    <m/>
    <s v="Sewa Tahunan"/>
    <x v="2"/>
    <x v="55"/>
    <m/>
    <m/>
    <m/>
    <m/>
    <s v="-"/>
    <x v="40"/>
    <m/>
    <s v="- "/>
    <x v="29"/>
    <m/>
    <x v="50"/>
    <d v="2021-01-09T00:00:00"/>
    <x v="0"/>
    <m/>
    <m/>
    <m/>
    <x v="0"/>
    <x v="0"/>
    <s v="12559/SPP/008/PUSAT/ICON+/2020"/>
    <n v="4500013953"/>
    <m/>
    <m/>
    <m/>
    <m/>
    <m/>
    <m/>
    <m/>
    <m/>
    <m/>
    <m/>
    <m/>
    <m/>
    <m/>
  </r>
  <r>
    <n v="58"/>
    <x v="29"/>
    <x v="53"/>
    <s v="Jl Jend Surdiman Kav 52-53"/>
    <m/>
    <m/>
    <s v="Sewa Tahunan"/>
    <x v="3"/>
    <x v="56"/>
    <m/>
    <m/>
    <m/>
    <m/>
    <s v="-"/>
    <x v="35"/>
    <m/>
    <s v="- "/>
    <x v="18"/>
    <m/>
    <x v="51"/>
    <d v="2021-06-15T00:00:00"/>
    <x v="0"/>
    <m/>
    <m/>
    <m/>
    <x v="0"/>
    <x v="0"/>
    <m/>
    <n v="4500014433"/>
    <m/>
    <m/>
    <m/>
    <m/>
    <m/>
    <m/>
    <m/>
    <m/>
    <m/>
    <m/>
    <m/>
    <m/>
    <m/>
  </r>
  <r>
    <n v="59"/>
    <x v="37"/>
    <x v="54"/>
    <s v="Jl Kuningan Barat 8"/>
    <m/>
    <m/>
    <s v="Sewa Tahunan"/>
    <x v="3"/>
    <x v="57"/>
    <m/>
    <m/>
    <m/>
    <m/>
    <s v="-"/>
    <x v="41"/>
    <m/>
    <s v="- "/>
    <x v="4"/>
    <m/>
    <x v="52"/>
    <d v="2021-08-30T00:00:00"/>
    <x v="0"/>
    <m/>
    <m/>
    <m/>
    <x v="0"/>
    <x v="0"/>
    <m/>
    <n v="4500014683"/>
    <m/>
    <m/>
    <m/>
    <m/>
    <m/>
    <m/>
    <m/>
    <m/>
    <m/>
    <m/>
    <m/>
    <m/>
    <m/>
  </r>
  <r>
    <n v="60"/>
    <x v="20"/>
    <x v="55"/>
    <s v="Jl Kuningan Barat 8"/>
    <m/>
    <m/>
    <s v="Sewa Tahunan"/>
    <x v="2"/>
    <x v="58"/>
    <m/>
    <m/>
    <m/>
    <m/>
    <n v="2500000"/>
    <x v="42"/>
    <m/>
    <s v="- "/>
    <x v="16"/>
    <m/>
    <x v="53"/>
    <d v="2021-05-27T00:00:00"/>
    <x v="0"/>
    <m/>
    <m/>
    <m/>
    <x v="0"/>
    <x v="0"/>
    <s v="13506/SPP/008/PUSAT/ICON+/2020"/>
    <n v="4500014489"/>
    <m/>
    <m/>
    <m/>
    <m/>
    <m/>
    <m/>
    <m/>
    <m/>
    <m/>
    <m/>
    <m/>
    <m/>
    <m/>
  </r>
  <r>
    <n v="61"/>
    <x v="38"/>
    <x v="4"/>
    <s v="Jl DR IDE ANAK AGUNG GDE AGUNG G.2"/>
    <m/>
    <m/>
    <s v="Sewa Tahunan"/>
    <x v="3"/>
    <x v="59"/>
    <m/>
    <m/>
    <m/>
    <m/>
    <s v="-"/>
    <x v="43"/>
    <m/>
    <s v="- "/>
    <x v="33"/>
    <m/>
    <x v="54"/>
    <d v="2021-12-09T00:00:00"/>
    <x v="0"/>
    <m/>
    <m/>
    <m/>
    <x v="0"/>
    <x v="0"/>
    <m/>
    <n v="4500015422"/>
    <m/>
    <m/>
    <m/>
    <m/>
    <m/>
    <m/>
    <m/>
    <m/>
    <m/>
    <m/>
    <m/>
    <m/>
    <m/>
  </r>
  <r>
    <n v="62"/>
    <x v="34"/>
    <x v="56"/>
    <s v="Jl H R Rasuna Said Blok X5 13"/>
    <m/>
    <m/>
    <s v="Sewa Tahunan"/>
    <x v="3"/>
    <x v="60"/>
    <m/>
    <m/>
    <m/>
    <m/>
    <s v="-"/>
    <x v="44"/>
    <m/>
    <s v="- "/>
    <x v="5"/>
    <m/>
    <x v="55"/>
    <d v="2021-02-28T00:00:00"/>
    <x v="0"/>
    <m/>
    <m/>
    <m/>
    <x v="0"/>
    <x v="0"/>
    <m/>
    <n v="4500013940"/>
    <m/>
    <m/>
    <m/>
    <m/>
    <m/>
    <m/>
    <m/>
    <m/>
    <m/>
    <m/>
    <m/>
    <m/>
    <m/>
  </r>
  <r>
    <n v="63"/>
    <x v="39"/>
    <x v="57"/>
    <s v="MyRepublic Plaza lt 2 WING A"/>
    <m/>
    <m/>
    <s v="Sewa Tahunan"/>
    <x v="0"/>
    <x v="61"/>
    <m/>
    <m/>
    <m/>
    <m/>
    <s v="-"/>
    <x v="45"/>
    <m/>
    <s v="- "/>
    <x v="34"/>
    <m/>
    <x v="56"/>
    <d v="2021-11-30T00:00:00"/>
    <x v="0"/>
    <m/>
    <m/>
    <m/>
    <x v="0"/>
    <x v="0"/>
    <m/>
    <n v="4500015427"/>
    <m/>
    <m/>
    <m/>
    <m/>
    <m/>
    <m/>
    <m/>
    <m/>
    <m/>
    <m/>
    <m/>
    <m/>
    <m/>
  </r>
  <r>
    <n v="64"/>
    <x v="32"/>
    <x v="58"/>
    <s v="Jl Mangga Dua Raya "/>
    <m/>
    <m/>
    <s v="Sewa Tahunan"/>
    <x v="3"/>
    <x v="62"/>
    <m/>
    <m/>
    <m/>
    <m/>
    <s v="-"/>
    <x v="46"/>
    <m/>
    <s v="- "/>
    <x v="29"/>
    <m/>
    <x v="57"/>
    <d v="2021-12-21T00:00:00"/>
    <x v="0"/>
    <m/>
    <m/>
    <m/>
    <x v="0"/>
    <x v="0"/>
    <m/>
    <n v="4500017117"/>
    <m/>
    <m/>
    <m/>
    <m/>
    <m/>
    <m/>
    <m/>
    <m/>
    <m/>
    <m/>
    <m/>
    <m/>
    <m/>
  </r>
  <r>
    <n v="65"/>
    <x v="40"/>
    <x v="59"/>
    <s v="Gd Menara Kadin Lt 11 Unit E-G"/>
    <m/>
    <m/>
    <s v="Sewa Tahunan"/>
    <x v="0"/>
    <x v="63"/>
    <m/>
    <m/>
    <m/>
    <m/>
    <s v="-"/>
    <x v="34"/>
    <m/>
    <s v="- "/>
    <x v="35"/>
    <m/>
    <x v="56"/>
    <d v="2021-11-30T00:00:00"/>
    <x v="0"/>
    <m/>
    <m/>
    <m/>
    <x v="0"/>
    <x v="0"/>
    <m/>
    <n v="4500015361"/>
    <m/>
    <m/>
    <m/>
    <m/>
    <m/>
    <m/>
    <m/>
    <m/>
    <m/>
    <m/>
    <m/>
    <m/>
    <m/>
  </r>
  <r>
    <n v="66"/>
    <x v="41"/>
    <x v="60"/>
    <s v="Jl Let Jend T B Simatupang Kav 88"/>
    <m/>
    <m/>
    <s v="Sewa Tahunan"/>
    <x v="3"/>
    <x v="64"/>
    <m/>
    <m/>
    <m/>
    <m/>
    <s v="-"/>
    <x v="47"/>
    <m/>
    <s v="-"/>
    <x v="36"/>
    <m/>
    <x v="58"/>
    <d v="2021-12-01T00:00:00"/>
    <x v="0"/>
    <m/>
    <m/>
    <m/>
    <x v="0"/>
    <x v="0"/>
    <m/>
    <n v="4500015616"/>
    <m/>
    <m/>
    <m/>
    <m/>
    <m/>
    <m/>
    <m/>
    <m/>
    <m/>
    <m/>
    <m/>
    <m/>
    <m/>
  </r>
  <r>
    <n v="67"/>
    <x v="42"/>
    <x v="39"/>
    <s v="Jl Rempoa Raya 11"/>
    <m/>
    <m/>
    <s v="Sewa Tahunan"/>
    <x v="3"/>
    <x v="65"/>
    <m/>
    <m/>
    <m/>
    <m/>
    <s v="-"/>
    <x v="30"/>
    <m/>
    <s v="-"/>
    <x v="8"/>
    <m/>
    <x v="59"/>
    <d v="2021-04-13T00:00:00"/>
    <x v="0"/>
    <m/>
    <m/>
    <m/>
    <x v="0"/>
    <x v="0"/>
    <s v="13050/SPP/008/PUSAT/ICON+/2021"/>
    <n v="4500014248"/>
    <m/>
    <m/>
    <m/>
    <m/>
    <m/>
    <m/>
    <m/>
    <m/>
    <m/>
    <m/>
    <m/>
    <m/>
    <m/>
  </r>
  <r>
    <n v="68"/>
    <x v="43"/>
    <x v="61"/>
    <s v="RUKO KEBAYORAN CENTRE BLOKA NO 5"/>
    <m/>
    <m/>
    <s v="Sewa Tahunan"/>
    <x v="0"/>
    <x v="66"/>
    <m/>
    <m/>
    <m/>
    <m/>
    <n v="1636364"/>
    <x v="48"/>
    <m/>
    <n v="1500000"/>
    <x v="16"/>
    <m/>
    <x v="60"/>
    <d v="2021-09-16T00:00:00"/>
    <x v="0"/>
    <m/>
    <m/>
    <m/>
    <x v="0"/>
    <x v="0"/>
    <s v="16464/SPP/008/PUSAT/ICON+/2021"/>
    <n v="4500016559"/>
    <m/>
    <m/>
    <m/>
    <m/>
    <m/>
    <m/>
    <m/>
    <m/>
    <m/>
    <m/>
    <m/>
    <m/>
    <m/>
  </r>
  <r>
    <n v="69"/>
    <x v="44"/>
    <x v="62"/>
    <s v="Jl Kuningan Barat 8"/>
    <m/>
    <m/>
    <s v="Sewa Tahunan"/>
    <x v="3"/>
    <x v="67"/>
    <m/>
    <m/>
    <m/>
    <m/>
    <s v="-"/>
    <x v="41"/>
    <m/>
    <s v="-"/>
    <x v="37"/>
    <m/>
    <x v="61"/>
    <d v="2021-10-31T00:00:00"/>
    <x v="0"/>
    <m/>
    <m/>
    <m/>
    <x v="0"/>
    <x v="0"/>
    <m/>
    <n v="4500015278"/>
    <m/>
    <m/>
    <m/>
    <m/>
    <m/>
    <m/>
    <m/>
    <m/>
    <m/>
    <m/>
    <m/>
    <m/>
    <m/>
  </r>
  <r>
    <n v="70"/>
    <x v="42"/>
    <x v="63"/>
    <s v="Jl Rempoa Raya 11"/>
    <m/>
    <m/>
    <s v="Sewa Tahunan"/>
    <x v="0"/>
    <x v="68"/>
    <m/>
    <m/>
    <m/>
    <m/>
    <s v="-"/>
    <x v="49"/>
    <m/>
    <s v="-"/>
    <x v="38"/>
    <m/>
    <x v="54"/>
    <d v="2021-12-09T00:00:00"/>
    <x v="0"/>
    <m/>
    <m/>
    <m/>
    <x v="0"/>
    <x v="0"/>
    <m/>
    <n v="4500015643"/>
    <m/>
    <m/>
    <m/>
    <m/>
    <m/>
    <m/>
    <m/>
    <m/>
    <m/>
    <m/>
    <m/>
    <m/>
    <m/>
  </r>
  <r>
    <n v="71"/>
    <x v="45"/>
    <x v="64"/>
    <s v="Jl kuningan Barat 8"/>
    <m/>
    <m/>
    <s v="Sewa Tahunan"/>
    <x v="1"/>
    <x v="69"/>
    <m/>
    <m/>
    <m/>
    <m/>
    <n v="3000000"/>
    <x v="5"/>
    <m/>
    <s v="-"/>
    <x v="39"/>
    <s v="     "/>
    <x v="62"/>
    <d v="2021-04-28T00:00:00"/>
    <x v="0"/>
    <m/>
    <m/>
    <m/>
    <x v="0"/>
    <x v="0"/>
    <s v="13024/SPP/008/PUSAT/ICON+/2020"/>
    <n v="4500014161"/>
    <m/>
    <m/>
    <m/>
    <m/>
    <m/>
    <m/>
    <m/>
    <m/>
    <m/>
    <m/>
    <m/>
    <m/>
    <m/>
  </r>
  <r>
    <n v="72"/>
    <x v="46"/>
    <x v="65"/>
    <s v="Jl Pahlan Seribu  Lot.12A"/>
    <m/>
    <m/>
    <s v="Sewa Tahunan"/>
    <x v="1"/>
    <x v="70"/>
    <m/>
    <m/>
    <m/>
    <m/>
    <n v="5000000"/>
    <x v="50"/>
    <m/>
    <s v="-"/>
    <x v="40"/>
    <m/>
    <x v="63"/>
    <d v="2021-11-22T00:00:00"/>
    <x v="0"/>
    <m/>
    <m/>
    <m/>
    <x v="0"/>
    <x v="0"/>
    <s v="14606/SPP/008/PUSAT/ICON+/2020"/>
    <n v="4500015284"/>
    <m/>
    <m/>
    <m/>
    <m/>
    <m/>
    <m/>
    <m/>
    <m/>
    <m/>
    <m/>
    <m/>
    <m/>
    <m/>
  </r>
  <r>
    <n v="73"/>
    <x v="47"/>
    <x v="66"/>
    <s v="Jl.Jend.Sudirman Kav.1 Wisma 46 kota BNI 5 Jakarta pusat"/>
    <m/>
    <m/>
    <s v="Sewa Tahunan"/>
    <x v="2"/>
    <x v="71"/>
    <m/>
    <m/>
    <m/>
    <m/>
    <s v="-"/>
    <x v="41"/>
    <m/>
    <s v="-"/>
    <x v="41"/>
    <m/>
    <x v="64"/>
    <s v="24 - Febuari- 2021"/>
    <x v="0"/>
    <m/>
    <m/>
    <m/>
    <x v="0"/>
    <x v="0"/>
    <s v="12592/SPP/008/PUSAT/ICON+/2020"/>
    <n v="4500013999"/>
    <m/>
    <m/>
    <m/>
    <m/>
    <m/>
    <m/>
    <m/>
    <m/>
    <m/>
    <m/>
    <m/>
    <m/>
    <m/>
  </r>
  <r>
    <n v="74"/>
    <x v="48"/>
    <x v="67"/>
    <s v="Jl.Jend.Sudirman Kav 10-11 Midlaza 2 8"/>
    <m/>
    <m/>
    <s v="Sewa Tahunan"/>
    <x v="1"/>
    <x v="72"/>
    <m/>
    <m/>
    <m/>
    <m/>
    <s v="-"/>
    <x v="10"/>
    <m/>
    <s v="-"/>
    <x v="42"/>
    <m/>
    <x v="65"/>
    <d v="2021-04-19T00:00:00"/>
    <x v="0"/>
    <m/>
    <m/>
    <m/>
    <x v="0"/>
    <x v="0"/>
    <s v="12698/SPP/008/PUSAT/ICON+/2020"/>
    <n v="4500013998"/>
    <m/>
    <m/>
    <m/>
    <m/>
    <m/>
    <m/>
    <m/>
    <m/>
    <m/>
    <m/>
    <m/>
    <m/>
    <m/>
  </r>
  <r>
    <n v="75"/>
    <x v="29"/>
    <x v="68"/>
    <s v="Jl.jend. Sudirman kav 52-53"/>
    <m/>
    <m/>
    <s v="Sewa Tahunan"/>
    <x v="2"/>
    <x v="73"/>
    <m/>
    <m/>
    <m/>
    <m/>
    <s v="-"/>
    <x v="51"/>
    <m/>
    <s v="-"/>
    <x v="18"/>
    <m/>
    <x v="66"/>
    <s v="10-Mei-2021"/>
    <x v="0"/>
    <m/>
    <m/>
    <m/>
    <x v="0"/>
    <x v="0"/>
    <s v="13126/SPP/008/PUSAT/ICON+/2020"/>
    <n v="4500014317"/>
    <m/>
    <m/>
    <m/>
    <m/>
    <m/>
    <m/>
    <m/>
    <m/>
    <m/>
    <m/>
    <m/>
    <m/>
    <m/>
  </r>
  <r>
    <n v="76"/>
    <x v="49"/>
    <x v="69"/>
    <s v="Gd.Grosir Pasar pagi Mangga dua "/>
    <m/>
    <m/>
    <s v="Sewa Tahunan"/>
    <x v="1"/>
    <x v="74"/>
    <m/>
    <m/>
    <m/>
    <m/>
    <s v="-"/>
    <x v="18"/>
    <m/>
    <s v="- "/>
    <x v="43"/>
    <m/>
    <x v="67"/>
    <d v="2021-04-14T00:00:00"/>
    <x v="0"/>
    <m/>
    <m/>
    <m/>
    <x v="0"/>
    <x v="0"/>
    <s v="13121/SPP/008/PUSAT/ICON+/2020"/>
    <n v="4500014887"/>
    <m/>
    <m/>
    <m/>
    <m/>
    <m/>
    <m/>
    <m/>
    <m/>
    <m/>
    <m/>
    <m/>
    <m/>
    <m/>
  </r>
  <r>
    <n v="77"/>
    <x v="50"/>
    <x v="70"/>
    <s v="Jl.Tentara Pelajar"/>
    <m/>
    <m/>
    <s v="Sewa Tahunan"/>
    <x v="0"/>
    <x v="75"/>
    <m/>
    <m/>
    <m/>
    <m/>
    <s v="-"/>
    <x v="52"/>
    <m/>
    <s v="- "/>
    <x v="44"/>
    <m/>
    <x v="68"/>
    <s v="28-Juli-2021"/>
    <x v="0"/>
    <m/>
    <m/>
    <m/>
    <x v="0"/>
    <x v="0"/>
    <s v="13763/SPP/008/PUSAT/ICON+/2020"/>
    <n v="4500014675"/>
    <m/>
    <m/>
    <m/>
    <m/>
    <m/>
    <m/>
    <m/>
    <m/>
    <m/>
    <m/>
    <m/>
    <m/>
    <m/>
  </r>
  <r>
    <n v="78"/>
    <x v="51"/>
    <x v="71"/>
    <s v="ITC Kuningan 10th Floor,Prof Satrio"/>
    <m/>
    <m/>
    <s v="Sewa Tahunan"/>
    <x v="1"/>
    <x v="76"/>
    <m/>
    <m/>
    <m/>
    <m/>
    <s v="-"/>
    <x v="53"/>
    <m/>
    <s v="-"/>
    <x v="45"/>
    <m/>
    <x v="69"/>
    <s v="12-Febuari 2021"/>
    <x v="0"/>
    <m/>
    <m/>
    <m/>
    <x v="0"/>
    <x v="0"/>
    <s v="12568/SPP/008/PUSAT/ICON+/2020"/>
    <n v="4500013901"/>
    <m/>
    <m/>
    <m/>
    <m/>
    <m/>
    <m/>
    <m/>
    <m/>
    <m/>
    <m/>
    <m/>
    <m/>
    <m/>
  </r>
  <r>
    <n v="79"/>
    <x v="52"/>
    <x v="72"/>
    <s v="Jl.Let.Jend.T.B Simatupang Kav.88"/>
    <m/>
    <m/>
    <s v="Sewa Tahunan"/>
    <x v="1"/>
    <x v="64"/>
    <m/>
    <m/>
    <m/>
    <m/>
    <s v="- "/>
    <x v="47"/>
    <m/>
    <s v="-"/>
    <x v="12"/>
    <m/>
    <x v="70"/>
    <d v="2020-12-01T00:00:00"/>
    <x v="0"/>
    <m/>
    <m/>
    <m/>
    <x v="0"/>
    <x v="0"/>
    <s v="12014/SPP/008/PUSAT/ICON+/2020"/>
    <n v="4500014086"/>
    <m/>
    <m/>
    <m/>
    <m/>
    <m/>
    <m/>
    <m/>
    <m/>
    <m/>
    <m/>
    <m/>
    <m/>
    <m/>
  </r>
  <r>
    <n v="80"/>
    <x v="53"/>
    <x v="73"/>
    <s v="Jl.H.R Rasuna Said Blok X5 13"/>
    <m/>
    <m/>
    <s v="Sewa Tahunan"/>
    <x v="1"/>
    <x v="77"/>
    <m/>
    <m/>
    <m/>
    <m/>
    <s v="-"/>
    <x v="54"/>
    <m/>
    <s v="-"/>
    <x v="31"/>
    <m/>
    <x v="17"/>
    <d v="2021-01-02T00:00:00"/>
    <x v="0"/>
    <m/>
    <m/>
    <m/>
    <x v="0"/>
    <x v="0"/>
    <s v="12627/SPP/008/PUSAT/ICON+/2020"/>
    <n v="4500013964"/>
    <m/>
    <m/>
    <m/>
    <m/>
    <m/>
    <m/>
    <m/>
    <m/>
    <m/>
    <m/>
    <m/>
    <m/>
    <m/>
  </r>
  <r>
    <n v="81"/>
    <x v="54"/>
    <x v="74"/>
    <s v="Jl.jend. Sudirman kav 10-11  Midlaza 2 8"/>
    <m/>
    <m/>
    <s v="Sewa Tahunan"/>
    <x v="2"/>
    <x v="78"/>
    <m/>
    <m/>
    <m/>
    <m/>
    <s v="-"/>
    <x v="55"/>
    <m/>
    <s v="-"/>
    <x v="46"/>
    <m/>
    <x v="71"/>
    <s v="12-Maret-2021"/>
    <x v="0"/>
    <m/>
    <m/>
    <m/>
    <x v="0"/>
    <x v="0"/>
    <s v="12630/SPP/008/PUSAT/ICON+/2020"/>
    <n v="4500014042"/>
    <m/>
    <m/>
    <m/>
    <m/>
    <m/>
    <m/>
    <m/>
    <m/>
    <m/>
    <m/>
    <m/>
    <m/>
    <m/>
  </r>
  <r>
    <n v="82"/>
    <x v="48"/>
    <x v="75"/>
    <s v="Jl.Jend. Sudirman Kav 101-11 Midlaza 2 8 "/>
    <m/>
    <m/>
    <s v="Sewa Tahunan"/>
    <x v="2"/>
    <x v="79"/>
    <m/>
    <m/>
    <m/>
    <m/>
    <s v="-"/>
    <x v="33"/>
    <m/>
    <s v="-"/>
    <x v="16"/>
    <m/>
    <x v="72"/>
    <s v="20-Maret-2021"/>
    <x v="0"/>
    <m/>
    <m/>
    <m/>
    <x v="0"/>
    <x v="0"/>
    <s v="12634/SPP/008/PUSAT/ICON+/2020"/>
    <n v="4500014041"/>
    <m/>
    <m/>
    <m/>
    <m/>
    <m/>
    <m/>
    <m/>
    <m/>
    <m/>
    <m/>
    <m/>
    <m/>
    <m/>
  </r>
  <r>
    <n v="83"/>
    <x v="55"/>
    <x v="76"/>
    <s v="GD Menara jamsostek"/>
    <m/>
    <m/>
    <s v="Sewa Tahunan"/>
    <x v="1"/>
    <x v="67"/>
    <m/>
    <m/>
    <m/>
    <m/>
    <n v="0"/>
    <x v="56"/>
    <m/>
    <n v="0"/>
    <x v="4"/>
    <m/>
    <x v="73"/>
    <s v="15-juli-2021"/>
    <x v="0"/>
    <m/>
    <m/>
    <m/>
    <x v="0"/>
    <x v="0"/>
    <s v="13583/SPP/008/PUSAT/ICON+/2020"/>
    <n v="4500014586"/>
    <m/>
    <m/>
    <m/>
    <m/>
    <m/>
    <m/>
    <m/>
    <m/>
    <m/>
    <m/>
    <m/>
    <m/>
    <m/>
  </r>
  <r>
    <n v="84"/>
    <x v="56"/>
    <x v="77"/>
    <s v="Jl.Kuningan Barat No.8  "/>
    <m/>
    <m/>
    <s v="Sewa Tahunan"/>
    <x v="2"/>
    <x v="80"/>
    <m/>
    <m/>
    <m/>
    <m/>
    <n v="5000000"/>
    <x v="57"/>
    <m/>
    <n v="0"/>
    <x v="16"/>
    <m/>
    <x v="74"/>
    <s v="13-Mei-2021"/>
    <x v="0"/>
    <m/>
    <m/>
    <m/>
    <x v="0"/>
    <x v="0"/>
    <s v="1327/SPP/008/PUSAT/ICON+/2020"/>
    <n v="4500014399"/>
    <m/>
    <m/>
    <m/>
    <m/>
    <m/>
    <m/>
    <m/>
    <m/>
    <m/>
    <m/>
    <m/>
    <m/>
    <m/>
  </r>
  <r>
    <n v="85"/>
    <x v="57"/>
    <x v="78"/>
    <s v="Jl. Kapt. Subijianto DJ "/>
    <m/>
    <m/>
    <s v="Sewa Tahunan"/>
    <x v="1"/>
    <x v="67"/>
    <m/>
    <m/>
    <m/>
    <m/>
    <n v="0"/>
    <x v="56"/>
    <m/>
    <n v="0"/>
    <x v="47"/>
    <m/>
    <x v="75"/>
    <d v="2021-04-08T00:00:00"/>
    <x v="0"/>
    <m/>
    <m/>
    <m/>
    <x v="0"/>
    <x v="0"/>
    <s v="12817/SPP/008/PUSAT/ICON+/2020"/>
    <n v="4500014029"/>
    <m/>
    <m/>
    <m/>
    <m/>
    <m/>
    <m/>
    <m/>
    <m/>
    <m/>
    <m/>
    <m/>
    <m/>
    <m/>
  </r>
  <r>
    <n v="86"/>
    <x v="58"/>
    <x v="79"/>
    <s v="Jl.kuningan Barat No.8  "/>
    <m/>
    <m/>
    <s v="Sewa Tahunan"/>
    <x v="2"/>
    <x v="81"/>
    <m/>
    <m/>
    <m/>
    <m/>
    <n v="5000000"/>
    <x v="58"/>
    <m/>
    <n v="0"/>
    <x v="16"/>
    <m/>
    <x v="76"/>
    <s v="27-Mei-2021"/>
    <x v="0"/>
    <m/>
    <m/>
    <m/>
    <x v="0"/>
    <x v="0"/>
    <s v="13471/SPP/008/PUSAT/ICON+/2020"/>
    <n v="4500014488"/>
    <m/>
    <m/>
    <m/>
    <m/>
    <m/>
    <m/>
    <m/>
    <m/>
    <m/>
    <m/>
    <m/>
    <m/>
    <m/>
  </r>
  <r>
    <n v="87"/>
    <x v="59"/>
    <x v="80"/>
    <s v="Jl. Pahlawan Seribu  Lot.12A Tanggerang 15322"/>
    <m/>
    <m/>
    <s v="Sewa Tahunan "/>
    <x v="2"/>
    <x v="82"/>
    <m/>
    <m/>
    <m/>
    <m/>
    <n v="7000000"/>
    <x v="42"/>
    <m/>
    <n v="1500000"/>
    <x v="48"/>
    <m/>
    <x v="77"/>
    <s v="25/08/2021"/>
    <x v="0"/>
    <m/>
    <m/>
    <m/>
    <x v="0"/>
    <x v="0"/>
    <s v="14077/SPP/008/PUSAT/ICON+/2020"/>
    <n v="4500015170"/>
    <m/>
    <m/>
    <m/>
    <m/>
    <m/>
    <m/>
    <m/>
    <m/>
    <m/>
    <m/>
    <m/>
    <m/>
    <m/>
  </r>
  <r>
    <n v="88"/>
    <x v="42"/>
    <x v="81"/>
    <s v="Jl. Rempoa Raya 11"/>
    <m/>
    <m/>
    <s v="Sewa Tahunan "/>
    <x v="1"/>
    <x v="83"/>
    <m/>
    <m/>
    <m/>
    <m/>
    <s v="-"/>
    <x v="3"/>
    <m/>
    <s v="-"/>
    <x v="8"/>
    <m/>
    <x v="78"/>
    <s v="14/02/2021"/>
    <x v="0"/>
    <m/>
    <m/>
    <m/>
    <x v="0"/>
    <x v="0"/>
    <s v="12656/SPP/008/PUSAT/ICON+/2020"/>
    <n v="4500014171"/>
    <m/>
    <m/>
    <m/>
    <m/>
    <m/>
    <m/>
    <m/>
    <m/>
    <m/>
    <m/>
    <m/>
    <m/>
    <m/>
  </r>
  <r>
    <n v="89"/>
    <x v="60"/>
    <x v="82"/>
    <s v="G.M.Karya Jl. Rasuna Said B.x-5 Kav. 1-2 Jakarta Selatan 12950"/>
    <m/>
    <m/>
    <s v="Sewa Tahunan "/>
    <x v="1"/>
    <x v="67"/>
    <m/>
    <m/>
    <m/>
    <m/>
    <s v="-"/>
    <x v="41"/>
    <m/>
    <s v="-"/>
    <x v="49"/>
    <m/>
    <x v="79"/>
    <s v="31/12/2021"/>
    <x v="0"/>
    <m/>
    <m/>
    <m/>
    <x v="0"/>
    <x v="0"/>
    <m/>
    <n v="4500015689"/>
    <m/>
    <m/>
    <m/>
    <m/>
    <m/>
    <m/>
    <m/>
    <m/>
    <m/>
    <m/>
    <m/>
    <m/>
    <m/>
  </r>
  <r>
    <n v="90"/>
    <x v="29"/>
    <x v="83"/>
    <s v="Jl. Jend Sudirman Kav 52-53 Jakarta 12190"/>
    <m/>
    <m/>
    <s v="Sewa Tahunan "/>
    <x v="2"/>
    <x v="84"/>
    <m/>
    <m/>
    <m/>
    <m/>
    <s v="-"/>
    <x v="59"/>
    <m/>
    <s v="-"/>
    <x v="50"/>
    <m/>
    <x v="80"/>
    <s v="18/03/2021"/>
    <x v="0"/>
    <m/>
    <m/>
    <m/>
    <x v="0"/>
    <x v="0"/>
    <s v="12773/SPP/008/PUSAT/ICON+/2020"/>
    <n v="4500014092"/>
    <m/>
    <m/>
    <m/>
    <m/>
    <m/>
    <m/>
    <m/>
    <m/>
    <m/>
    <m/>
    <m/>
    <m/>
    <m/>
  </r>
  <r>
    <n v="91"/>
    <x v="42"/>
    <x v="42"/>
    <s v="Jl. Rempoa Raya 11"/>
    <m/>
    <m/>
    <s v="Sewa Tahunan "/>
    <x v="1"/>
    <x v="44"/>
    <m/>
    <m/>
    <m/>
    <m/>
    <s v="-"/>
    <x v="33"/>
    <m/>
    <s v="-"/>
    <x v="51"/>
    <m/>
    <x v="35"/>
    <s v="31/12/2020"/>
    <x v="0"/>
    <m/>
    <m/>
    <m/>
    <x v="0"/>
    <x v="0"/>
    <s v="11968/SPP/008/PUSAT/ICON+/2019"/>
    <n v="4500013749"/>
    <m/>
    <m/>
    <m/>
    <m/>
    <m/>
    <m/>
    <m/>
    <m/>
    <m/>
    <m/>
    <m/>
    <m/>
    <m/>
  </r>
  <r>
    <n v="92"/>
    <x v="36"/>
    <x v="84"/>
    <s v="Jl.Kapt.Subijanto DJ Tanggerang 15321"/>
    <m/>
    <m/>
    <s v="Sewa Tahunan "/>
    <x v="2"/>
    <x v="85"/>
    <m/>
    <m/>
    <m/>
    <m/>
    <s v="-"/>
    <x v="60"/>
    <m/>
    <s v="-"/>
    <x v="5"/>
    <m/>
    <x v="81"/>
    <s v="15/04/2021"/>
    <x v="0"/>
    <m/>
    <m/>
    <m/>
    <x v="0"/>
    <x v="0"/>
    <s v="12976/SPP/008/PUSAT/ICON+/2020"/>
    <n v="4500014235"/>
    <m/>
    <m/>
    <m/>
    <m/>
    <m/>
    <m/>
    <m/>
    <m/>
    <m/>
    <m/>
    <m/>
    <m/>
    <m/>
  </r>
  <r>
    <n v="93"/>
    <x v="61"/>
    <x v="85"/>
    <s v="Jl. Jend Sudirman Kav 10-11 Midplaza 2 8 Jakarta Pusat 10220"/>
    <m/>
    <m/>
    <s v="Sewa Tahunan "/>
    <x v="2"/>
    <x v="86"/>
    <m/>
    <m/>
    <m/>
    <m/>
    <s v="-"/>
    <x v="33"/>
    <m/>
    <s v="-"/>
    <x v="42"/>
    <m/>
    <x v="35"/>
    <s v="31/12/2020"/>
    <x v="0"/>
    <m/>
    <m/>
    <m/>
    <x v="0"/>
    <x v="0"/>
    <m/>
    <n v="4500013733"/>
    <m/>
    <m/>
    <m/>
    <m/>
    <m/>
    <m/>
    <m/>
    <m/>
    <m/>
    <m/>
    <m/>
    <m/>
    <m/>
  </r>
  <r>
    <n v="94"/>
    <x v="62"/>
    <x v="86"/>
    <s v="Jl. Kuningan Barat No. 8 Cyber Building 1st &amp; 2nd Jakarta Selatan 12710"/>
    <m/>
    <m/>
    <s v="Sewa Tahunan "/>
    <x v="2"/>
    <x v="87"/>
    <m/>
    <m/>
    <m/>
    <m/>
    <n v="3500000"/>
    <x v="61"/>
    <m/>
    <s v="-"/>
    <x v="8"/>
    <m/>
    <x v="82"/>
    <s v="15/07/2021"/>
    <x v="0"/>
    <m/>
    <m/>
    <m/>
    <x v="0"/>
    <x v="0"/>
    <s v="13812/SPP/008/PUSAT/ICON+/2020"/>
    <n v="4500014674"/>
    <m/>
    <m/>
    <m/>
    <m/>
    <m/>
    <m/>
    <m/>
    <m/>
    <m/>
    <m/>
    <m/>
    <m/>
    <m/>
  </r>
  <r>
    <n v="95"/>
    <x v="63"/>
    <x v="87"/>
    <s v="Gd. Grosir Pasar Pagi Mangga Dua Jakarta 14430"/>
    <m/>
    <m/>
    <s v="Sewa Tahunan "/>
    <x v="1"/>
    <x v="88"/>
    <m/>
    <m/>
    <m/>
    <m/>
    <s v="-"/>
    <x v="62"/>
    <m/>
    <s v="-"/>
    <x v="52"/>
    <m/>
    <x v="83"/>
    <s v="19/10/2021"/>
    <x v="0"/>
    <m/>
    <m/>
    <m/>
    <x v="0"/>
    <x v="0"/>
    <s v="14052/SPP/008/PUSAT/ICON+/2020"/>
    <n v="4500014924"/>
    <m/>
    <m/>
    <m/>
    <m/>
    <m/>
    <m/>
    <m/>
    <m/>
    <m/>
    <m/>
    <m/>
    <m/>
    <m/>
  </r>
  <r>
    <n v="96"/>
    <x v="34"/>
    <x v="88"/>
    <s v="Jl.H.R.Rasuna Said Blok X5 13"/>
    <m/>
    <m/>
    <s v="Sewa Tahunan "/>
    <x v="1"/>
    <x v="60"/>
    <m/>
    <m/>
    <m/>
    <m/>
    <s v="-"/>
    <x v="63"/>
    <m/>
    <s v="-"/>
    <x v="42"/>
    <m/>
    <x v="84"/>
    <s v="27/04/2021"/>
    <x v="0"/>
    <m/>
    <m/>
    <m/>
    <x v="0"/>
    <x v="0"/>
    <s v="12658/SPP/008/PUSAT/ICON+/2020"/>
    <n v="4500013996"/>
    <m/>
    <m/>
    <m/>
    <m/>
    <m/>
    <m/>
    <m/>
    <m/>
    <m/>
    <m/>
    <m/>
    <m/>
    <m/>
  </r>
  <r>
    <n v="97"/>
    <x v="36"/>
    <x v="89"/>
    <s v="Jl.Kapt.Subijanto DJ Tanggerang 15321"/>
    <m/>
    <m/>
    <s v="Sewa Tahunan "/>
    <x v="2"/>
    <x v="89"/>
    <m/>
    <m/>
    <m/>
    <m/>
    <n v="3000000"/>
    <x v="64"/>
    <m/>
    <n v="3000000"/>
    <x v="5"/>
    <m/>
    <x v="85"/>
    <s v="22/01/2021"/>
    <x v="0"/>
    <m/>
    <m/>
    <m/>
    <x v="0"/>
    <x v="0"/>
    <s v="12489/SPP/008/PUSAT/ICON+/2020"/>
    <n v="4500013806"/>
    <m/>
    <m/>
    <m/>
    <m/>
    <m/>
    <m/>
    <m/>
    <m/>
    <m/>
    <m/>
    <m/>
    <m/>
    <m/>
  </r>
  <r>
    <n v="98"/>
    <x v="34"/>
    <x v="90"/>
    <s v="Jl.H.R.Rasuna Said Blok X5 13"/>
    <m/>
    <m/>
    <s v="Sewa Tahunan "/>
    <x v="2"/>
    <x v="90"/>
    <m/>
    <m/>
    <m/>
    <m/>
    <n v="5000000"/>
    <x v="65"/>
    <m/>
    <n v="2000000"/>
    <x v="25"/>
    <m/>
    <x v="86"/>
    <s v="12/02/2021"/>
    <x v="0"/>
    <m/>
    <m/>
    <m/>
    <x v="0"/>
    <x v="0"/>
    <s v="12666/SPP/008/PUSAT/ICON+/2020"/>
    <n v="4500013948"/>
    <m/>
    <m/>
    <m/>
    <m/>
    <m/>
    <m/>
    <m/>
    <m/>
    <m/>
    <m/>
    <m/>
    <m/>
    <m/>
  </r>
  <r>
    <n v="99"/>
    <x v="37"/>
    <x v="91"/>
    <s v="Jl.Kuningan Barat 8 Jakarta 12710"/>
    <m/>
    <m/>
    <s v="Sewa Tahunan "/>
    <x v="1"/>
    <x v="91"/>
    <m/>
    <m/>
    <m/>
    <m/>
    <s v="-"/>
    <x v="10"/>
    <m/>
    <s v="-"/>
    <x v="39"/>
    <m/>
    <x v="87"/>
    <s v="28/01/2021"/>
    <x v="0"/>
    <m/>
    <m/>
    <m/>
    <x v="0"/>
    <x v="0"/>
    <m/>
    <n v="4500013868"/>
    <m/>
    <m/>
    <m/>
    <m/>
    <m/>
    <m/>
    <m/>
    <m/>
    <m/>
    <m/>
    <m/>
    <m/>
    <m/>
  </r>
  <r>
    <n v="100"/>
    <x v="37"/>
    <x v="91"/>
    <s v="Jl.Kuningan Barat 8 Jakarta 12710"/>
    <m/>
    <m/>
    <s v="Sewa Tahunan "/>
    <x v="1"/>
    <x v="92"/>
    <m/>
    <m/>
    <m/>
    <m/>
    <s v="-"/>
    <x v="20"/>
    <m/>
    <s v="-"/>
    <x v="39"/>
    <m/>
    <x v="88"/>
    <s v="20/01/2021"/>
    <x v="0"/>
    <m/>
    <m/>
    <m/>
    <x v="0"/>
    <x v="0"/>
    <s v="12503/SPP/008/PUSAT/ICON+/2020"/>
    <n v="4500013867"/>
    <m/>
    <m/>
    <m/>
    <m/>
    <m/>
    <m/>
    <m/>
    <m/>
    <m/>
    <m/>
    <m/>
    <m/>
    <m/>
  </r>
  <r>
    <n v="101"/>
    <x v="64"/>
    <x v="26"/>
    <s v="Jl. RS Fatmawati Ruko Fatmawati Blok A1 Kav 108"/>
    <m/>
    <m/>
    <s v="Sewa Tahunan "/>
    <x v="2"/>
    <x v="93"/>
    <m/>
    <m/>
    <m/>
    <m/>
    <n v="2500000"/>
    <x v="35"/>
    <m/>
    <n v="1500000"/>
    <x v="53"/>
    <m/>
    <x v="89"/>
    <s v="17/12/2021"/>
    <x v="0"/>
    <m/>
    <m/>
    <m/>
    <x v="0"/>
    <x v="0"/>
    <s v="14861/SPP/008/PUSAT/ICON+/2020"/>
    <n v="4500015466"/>
    <m/>
    <m/>
    <m/>
    <m/>
    <m/>
    <m/>
    <m/>
    <m/>
    <m/>
    <m/>
    <m/>
    <m/>
    <m/>
  </r>
  <r>
    <n v="102"/>
    <x v="65"/>
    <x v="92"/>
    <s v="Jl. Kuningan Barat No. 8 Jakarta Selatan 12710"/>
    <m/>
    <m/>
    <s v="Sewa Tahunan "/>
    <x v="2"/>
    <x v="70"/>
    <m/>
    <m/>
    <m/>
    <m/>
    <n v="5000000"/>
    <x v="50"/>
    <m/>
    <n v="1500000"/>
    <x v="54"/>
    <m/>
    <x v="90"/>
    <s v="25/10/2021"/>
    <x v="0"/>
    <m/>
    <m/>
    <m/>
    <x v="0"/>
    <x v="0"/>
    <m/>
    <n v="4500015237"/>
    <m/>
    <m/>
    <m/>
    <m/>
    <m/>
    <m/>
    <m/>
    <m/>
    <m/>
    <m/>
    <m/>
    <m/>
    <m/>
  </r>
  <r>
    <n v="103"/>
    <x v="42"/>
    <x v="45"/>
    <s v="Jl. Rempoa Raya 11"/>
    <m/>
    <m/>
    <s v="Sewa Tahunan "/>
    <x v="1"/>
    <x v="94"/>
    <m/>
    <m/>
    <m/>
    <m/>
    <s v="-"/>
    <x v="21"/>
    <m/>
    <s v="-"/>
    <x v="8"/>
    <m/>
    <x v="38"/>
    <s v="20/04/2021"/>
    <x v="0"/>
    <m/>
    <m/>
    <m/>
    <x v="0"/>
    <x v="0"/>
    <s v="13123/SPP/008/PUSAT/ICON+/2020"/>
    <n v="4500014203"/>
    <m/>
    <m/>
    <m/>
    <m/>
    <m/>
    <m/>
    <m/>
    <m/>
    <m/>
    <m/>
    <m/>
    <m/>
    <m/>
  </r>
  <r>
    <n v="104"/>
    <x v="42"/>
    <x v="93"/>
    <s v="Jl. Rempoa Raya 11"/>
    <m/>
    <m/>
    <s v="Sewa Tahunan "/>
    <x v="1"/>
    <x v="95"/>
    <m/>
    <m/>
    <m/>
    <m/>
    <s v="-"/>
    <x v="27"/>
    <m/>
    <s v="-"/>
    <x v="8"/>
    <m/>
    <x v="91"/>
    <s v="07/06/2021"/>
    <x v="0"/>
    <m/>
    <m/>
    <m/>
    <x v="0"/>
    <x v="0"/>
    <s v="13706/SPP/008/PUSAT/ICON+/2020"/>
    <n v="4500014679"/>
    <m/>
    <m/>
    <m/>
    <m/>
    <m/>
    <m/>
    <m/>
    <m/>
    <m/>
    <m/>
    <m/>
    <m/>
    <m/>
  </r>
  <r>
    <n v="105"/>
    <x v="36"/>
    <x v="94"/>
    <s v="Jl.Kapt.Subijanto DJ Tanggerang 15321"/>
    <m/>
    <m/>
    <s v="Sewa Tahunan "/>
    <x v="2"/>
    <x v="96"/>
    <m/>
    <m/>
    <m/>
    <m/>
    <s v="-"/>
    <x v="66"/>
    <m/>
    <n v="9000000"/>
    <x v="18"/>
    <s v="   "/>
    <x v="92"/>
    <s v="11/10/2021"/>
    <x v="0"/>
    <m/>
    <m/>
    <m/>
    <x v="0"/>
    <x v="0"/>
    <s v="14836/SPP/008/PUSAT/ICON+/2020"/>
    <n v="4500015465"/>
    <m/>
    <m/>
    <m/>
    <m/>
    <m/>
    <m/>
    <m/>
    <m/>
    <m/>
    <m/>
    <m/>
    <m/>
    <m/>
  </r>
  <r>
    <n v="106"/>
    <x v="66"/>
    <x v="95"/>
    <s v="Jl. Boulevard Bintaro Blok B/B1 sektor 7 5"/>
    <m/>
    <m/>
    <s v="Sewa Tahunan "/>
    <x v="1"/>
    <x v="97"/>
    <m/>
    <m/>
    <m/>
    <m/>
    <s v="-"/>
    <x v="51"/>
    <m/>
    <s v="-"/>
    <x v="55"/>
    <m/>
    <x v="93"/>
    <s v="02/11/2021"/>
    <x v="0"/>
    <m/>
    <m/>
    <m/>
    <x v="0"/>
    <x v="0"/>
    <m/>
    <n v="4500015895"/>
    <m/>
    <m/>
    <m/>
    <m/>
    <m/>
    <m/>
    <m/>
    <m/>
    <m/>
    <m/>
    <m/>
    <m/>
    <m/>
  </r>
  <r>
    <n v="107"/>
    <x v="67"/>
    <x v="96"/>
    <s v="Gedung Cyber 1 No. 8 Jakarta Selatan 12710"/>
    <m/>
    <m/>
    <s v="Sewa Tahunan "/>
    <x v="2"/>
    <x v="98"/>
    <m/>
    <m/>
    <m/>
    <m/>
    <s v="-"/>
    <x v="67"/>
    <m/>
    <s v="-"/>
    <x v="56"/>
    <m/>
    <x v="94"/>
    <s v="30/09/2021"/>
    <x v="0"/>
    <m/>
    <m/>
    <m/>
    <x v="0"/>
    <x v="0"/>
    <s v="16077/SPP/008/PUSAT/ICON+/2021"/>
    <n v="4500016329"/>
    <m/>
    <m/>
    <m/>
    <m/>
    <m/>
    <m/>
    <m/>
    <m/>
    <m/>
    <m/>
    <m/>
    <m/>
    <m/>
  </r>
  <r>
    <n v="108"/>
    <x v="68"/>
    <x v="45"/>
    <s v="Jl. H. Agus Salim 45 Jakarta 10340"/>
    <m/>
    <m/>
    <s v="Sewa Tahunan "/>
    <x v="0"/>
    <x v="99"/>
    <m/>
    <m/>
    <m/>
    <m/>
    <s v="-"/>
    <x v="68"/>
    <m/>
    <s v="-"/>
    <x v="57"/>
    <m/>
    <x v="95"/>
    <s v="15/12/2021"/>
    <x v="0"/>
    <m/>
    <m/>
    <m/>
    <x v="0"/>
    <x v="0"/>
    <m/>
    <n v="4500015652"/>
    <m/>
    <m/>
    <m/>
    <m/>
    <m/>
    <m/>
    <m/>
    <m/>
    <m/>
    <m/>
    <m/>
    <m/>
    <m/>
  </r>
  <r>
    <n v="109"/>
    <x v="39"/>
    <x v="97"/>
    <s v="MyRepublic Plaza lt 2 WING A Jakarta 15345"/>
    <m/>
    <m/>
    <s v="Sewa Tahunan "/>
    <x v="0"/>
    <x v="100"/>
    <m/>
    <m/>
    <m/>
    <m/>
    <s v="-"/>
    <x v="69"/>
    <m/>
    <s v="-"/>
    <x v="58"/>
    <m/>
    <x v="61"/>
    <s v="31/10/2021"/>
    <x v="0"/>
    <m/>
    <m/>
    <m/>
    <x v="0"/>
    <x v="0"/>
    <m/>
    <n v="4500015923"/>
    <m/>
    <m/>
    <m/>
    <m/>
    <m/>
    <m/>
    <m/>
    <m/>
    <m/>
    <m/>
    <m/>
    <m/>
    <m/>
  </r>
  <r>
    <n v="110"/>
    <x v="37"/>
    <x v="98"/>
    <s v="Jl.Kuningan Barat 8 Jakarta 12710"/>
    <m/>
    <m/>
    <s v="Sewa Tahunan "/>
    <x v="1"/>
    <x v="67"/>
    <m/>
    <m/>
    <m/>
    <m/>
    <s v="-"/>
    <x v="41"/>
    <m/>
    <s v="-"/>
    <x v="6"/>
    <m/>
    <x v="96"/>
    <s v="28/12/2021"/>
    <x v="0"/>
    <m/>
    <m/>
    <m/>
    <x v="0"/>
    <x v="0"/>
    <m/>
    <n v="4500015420"/>
    <m/>
    <m/>
    <m/>
    <m/>
    <m/>
    <m/>
    <m/>
    <m/>
    <m/>
    <m/>
    <m/>
    <m/>
    <m/>
  </r>
  <r>
    <n v="111"/>
    <x v="69"/>
    <x v="88"/>
    <s v="Jl. Jend Sudirman Kav 52-53 Jakarta 12190"/>
    <m/>
    <m/>
    <s v="Sewa Tahunan "/>
    <x v="2"/>
    <x v="101"/>
    <m/>
    <m/>
    <m/>
    <m/>
    <s v="-"/>
    <x v="70"/>
    <m/>
    <s v="-"/>
    <x v="59"/>
    <m/>
    <x v="97"/>
    <s v="02/12/2021"/>
    <x v="0"/>
    <m/>
    <m/>
    <m/>
    <x v="0"/>
    <x v="0"/>
    <m/>
    <n v="4500015482"/>
    <m/>
    <m/>
    <m/>
    <m/>
    <m/>
    <m/>
    <m/>
    <m/>
    <m/>
    <m/>
    <m/>
    <m/>
    <m/>
  </r>
  <r>
    <n v="112"/>
    <x v="37"/>
    <x v="99"/>
    <s v="Jl.Kuningan Barat 8 Jakarta 12710"/>
    <m/>
    <m/>
    <s v="Sewa Tahunan "/>
    <x v="1"/>
    <x v="67"/>
    <m/>
    <m/>
    <m/>
    <m/>
    <s v="-"/>
    <x v="71"/>
    <m/>
    <s v="-"/>
    <x v="4"/>
    <m/>
    <x v="96"/>
    <s v="28/12/2021"/>
    <x v="0"/>
    <m/>
    <m/>
    <m/>
    <x v="0"/>
    <x v="0"/>
    <m/>
    <n v="4500015421"/>
    <m/>
    <m/>
    <m/>
    <m/>
    <m/>
    <m/>
    <m/>
    <m/>
    <m/>
    <m/>
    <m/>
    <m/>
    <m/>
  </r>
  <r>
    <n v="113"/>
    <x v="70"/>
    <x v="61"/>
    <s v="Jakarta Selatan 12240"/>
    <m/>
    <m/>
    <s v="Sewa Tahunan"/>
    <x v="4"/>
    <x v="102"/>
    <m/>
    <m/>
    <m/>
    <m/>
    <n v="2000000"/>
    <x v="72"/>
    <m/>
    <m/>
    <x v="60"/>
    <m/>
    <x v="98"/>
    <d v="2021-05-18T00:00:00"/>
    <x v="0"/>
    <m/>
    <m/>
    <m/>
    <x v="0"/>
    <x v="0"/>
    <s v="14173/SPP/008/PUSAT/ICON+/2020"/>
    <n v="4500015139"/>
    <m/>
    <m/>
    <m/>
    <m/>
    <m/>
    <m/>
    <m/>
    <m/>
    <m/>
    <m/>
    <m/>
    <m/>
    <m/>
  </r>
  <r>
    <n v="114"/>
    <x v="71"/>
    <x v="100"/>
    <s v="Jalan Kuningan Barat No.8 Cyber Building 1st&amp;2nd "/>
    <m/>
    <m/>
    <s v="Sewa Tahunan"/>
    <x v="4"/>
    <x v="103"/>
    <m/>
    <m/>
    <m/>
    <m/>
    <n v="3000000"/>
    <x v="16"/>
    <m/>
    <m/>
    <x v="60"/>
    <m/>
    <x v="99"/>
    <d v="2021-09-17T00:00:00"/>
    <x v="0"/>
    <m/>
    <m/>
    <m/>
    <x v="0"/>
    <x v="0"/>
    <s v="14128/SPP/008/PUSAT/ICON+/2020"/>
    <n v="4500015140"/>
    <m/>
    <m/>
    <m/>
    <m/>
    <m/>
    <m/>
    <m/>
    <m/>
    <m/>
    <m/>
    <m/>
    <m/>
    <m/>
  </r>
  <r>
    <n v="115"/>
    <x v="72"/>
    <x v="101"/>
    <s v="GD. Lippo Kuningan LT. 17 Jakarta Selatan 00000"/>
    <m/>
    <m/>
    <s v="Sewa Tahunan"/>
    <x v="3"/>
    <x v="104"/>
    <m/>
    <m/>
    <m/>
    <m/>
    <s v="-"/>
    <x v="73"/>
    <m/>
    <m/>
    <x v="60"/>
    <m/>
    <x v="100"/>
    <d v="2021-08-31T00:00:00"/>
    <x v="0"/>
    <m/>
    <m/>
    <m/>
    <x v="0"/>
    <x v="0"/>
    <s v="14200/SPP/008/PUSAT/ICON+/2020"/>
    <n v="4500015141"/>
    <m/>
    <m/>
    <m/>
    <m/>
    <m/>
    <m/>
    <m/>
    <m/>
    <m/>
    <m/>
    <m/>
    <m/>
    <m/>
  </r>
  <r>
    <n v="116"/>
    <x v="73"/>
    <x v="102"/>
    <s v="Jl. Kapt.Subijanto DJ, Tangerang 15321"/>
    <m/>
    <m/>
    <s v="Sewa Tahunan"/>
    <x v="4"/>
    <x v="105"/>
    <m/>
    <m/>
    <m/>
    <m/>
    <s v="-"/>
    <x v="74"/>
    <m/>
    <m/>
    <x v="60"/>
    <m/>
    <x v="101"/>
    <d v="2021-09-05T00:00:00"/>
    <x v="0"/>
    <m/>
    <m/>
    <m/>
    <x v="0"/>
    <x v="0"/>
    <m/>
    <n v="4500015026"/>
    <m/>
    <m/>
    <m/>
    <m/>
    <m/>
    <m/>
    <m/>
    <m/>
    <m/>
    <m/>
    <m/>
    <m/>
    <m/>
  </r>
  <r>
    <n v="117"/>
    <x v="74"/>
    <x v="103"/>
    <s v="Jl. Jend Sudirman Kav 10-11 Midplaza 2 8 Jakarta Pusat 10220"/>
    <m/>
    <m/>
    <s v="Sewa Tahunan"/>
    <x v="4"/>
    <x v="106"/>
    <m/>
    <m/>
    <m/>
    <m/>
    <s v="-"/>
    <x v="75"/>
    <m/>
    <m/>
    <x v="16"/>
    <m/>
    <x v="102"/>
    <d v="2021-02-28T00:00:00"/>
    <x v="0"/>
    <m/>
    <m/>
    <m/>
    <x v="0"/>
    <x v="0"/>
    <s v="12587/SPP/PUSAT/ICON+/2020"/>
    <n v="4500014038"/>
    <m/>
    <m/>
    <m/>
    <m/>
    <m/>
    <m/>
    <m/>
    <m/>
    <m/>
    <m/>
    <m/>
    <m/>
    <m/>
  </r>
  <r>
    <n v="118"/>
    <x v="73"/>
    <x v="104"/>
    <s v="Jl. Kapt.Subijanto DJ, Tangerang 15321"/>
    <m/>
    <m/>
    <s v="Sewa Tahunan"/>
    <x v="4"/>
    <x v="107"/>
    <m/>
    <m/>
    <m/>
    <m/>
    <n v="4000000"/>
    <x v="67"/>
    <m/>
    <n v="3000000"/>
    <x v="5"/>
    <m/>
    <x v="103"/>
    <d v="2021-03-08T00:00:00"/>
    <x v="0"/>
    <m/>
    <m/>
    <m/>
    <x v="0"/>
    <x v="0"/>
    <s v="12770/SPP/008/PUSAT/ICON+/2020"/>
    <n v="4500014036"/>
    <m/>
    <m/>
    <m/>
    <m/>
    <m/>
    <m/>
    <m/>
    <m/>
    <m/>
    <m/>
    <m/>
    <m/>
    <m/>
  </r>
  <r>
    <n v="119"/>
    <x v="18"/>
    <x v="105"/>
    <s v="Jl. Jend Sudirman Kav 10-11 Midplaza 2 8 Jakarta Pusat 10220"/>
    <m/>
    <m/>
    <s v="Sewa Tahunan"/>
    <x v="2"/>
    <x v="108"/>
    <m/>
    <m/>
    <m/>
    <m/>
    <n v="6050000"/>
    <x v="76"/>
    <m/>
    <n v="3000000"/>
    <x v="5"/>
    <m/>
    <x v="104"/>
    <d v="2021-03-03T00:00:00"/>
    <x v="0"/>
    <m/>
    <m/>
    <m/>
    <x v="0"/>
    <x v="0"/>
    <s v="12681/SPP/008/PUSAT/ICON+/2020"/>
    <n v="4500014024"/>
    <m/>
    <m/>
    <m/>
    <m/>
    <m/>
    <m/>
    <m/>
    <m/>
    <m/>
    <m/>
    <m/>
    <m/>
    <m/>
  </r>
  <r>
    <n v="120"/>
    <x v="73"/>
    <x v="105"/>
    <s v="Jl. Kapt.Subijanto DJ, Tangerang 15321"/>
    <m/>
    <m/>
    <s v="Sewa Tahunan"/>
    <x v="2"/>
    <x v="109"/>
    <m/>
    <m/>
    <m/>
    <m/>
    <n v="6050000"/>
    <x v="76"/>
    <m/>
    <n v="3000000"/>
    <x v="5"/>
    <m/>
    <x v="104"/>
    <d v="2021-03-03T00:00:00"/>
    <x v="0"/>
    <m/>
    <m/>
    <m/>
    <x v="0"/>
    <x v="0"/>
    <s v="12652/SPP/008/PUSAT/ICON+/2020"/>
    <n v="4500014025"/>
    <m/>
    <m/>
    <m/>
    <m/>
    <m/>
    <m/>
    <m/>
    <m/>
    <m/>
    <m/>
    <m/>
    <m/>
    <m/>
  </r>
  <r>
    <n v="121"/>
    <x v="73"/>
    <x v="106"/>
    <s v="Jl. Kapt.Subijanto DJ, Tangerang 15321"/>
    <m/>
    <m/>
    <s v="Sewa Tahunan"/>
    <x v="2"/>
    <x v="110"/>
    <m/>
    <m/>
    <m/>
    <m/>
    <n v="20000000"/>
    <x v="5"/>
    <m/>
    <n v="6000000"/>
    <x v="16"/>
    <m/>
    <x v="105"/>
    <d v="2021-03-22T00:00:00"/>
    <x v="0"/>
    <m/>
    <m/>
    <m/>
    <x v="0"/>
    <x v="0"/>
    <s v="12926/SPP/008/PUSAT/ICON+/2020"/>
    <n v="4500014093"/>
    <m/>
    <m/>
    <m/>
    <m/>
    <m/>
    <m/>
    <m/>
    <m/>
    <m/>
    <m/>
    <m/>
    <m/>
    <m/>
  </r>
  <r>
    <n v="122"/>
    <x v="9"/>
    <x v="107"/>
    <s v="Jl. Jend Sudirman Kav 52-53 Jakarta 12190"/>
    <m/>
    <m/>
    <s v="Sewa Tahunan"/>
    <x v="2"/>
    <x v="111"/>
    <m/>
    <m/>
    <m/>
    <m/>
    <n v="54000000"/>
    <x v="77"/>
    <m/>
    <n v="1500000"/>
    <x v="18"/>
    <m/>
    <x v="103"/>
    <d v="2021-03-08T00:00:00"/>
    <x v="0"/>
    <m/>
    <m/>
    <m/>
    <x v="0"/>
    <x v="0"/>
    <s v="12820/SPP/008/PUSAT/ICON+/2020"/>
    <n v="4500014027"/>
    <m/>
    <m/>
    <m/>
    <m/>
    <m/>
    <m/>
    <m/>
    <m/>
    <m/>
    <m/>
    <m/>
    <m/>
    <m/>
  </r>
  <r>
    <n v="123"/>
    <x v="9"/>
    <x v="20"/>
    <s v="Jl. Jend Sudirman Kav 52-53 Jakarta 12190"/>
    <m/>
    <m/>
    <s v="Sewa Tahunan"/>
    <x v="2"/>
    <x v="112"/>
    <m/>
    <m/>
    <m/>
    <m/>
    <n v="3000000"/>
    <x v="78"/>
    <m/>
    <n v="1500000"/>
    <x v="18"/>
    <m/>
    <x v="105"/>
    <d v="2021-03-22T00:00:00"/>
    <x v="0"/>
    <m/>
    <m/>
    <m/>
    <x v="0"/>
    <x v="0"/>
    <s v="12942/SPP/008/PUSAT/ICON+/2020"/>
    <n v="4500014094"/>
    <m/>
    <m/>
    <m/>
    <m/>
    <m/>
    <m/>
    <m/>
    <m/>
    <m/>
    <m/>
    <m/>
    <m/>
    <m/>
  </r>
  <r>
    <n v="124"/>
    <x v="75"/>
    <x v="108"/>
    <s v="Jl. Rempoa Raya 11 Ciputat"/>
    <m/>
    <m/>
    <s v="Sewa Tahunan"/>
    <x v="3"/>
    <x v="113"/>
    <m/>
    <m/>
    <m/>
    <m/>
    <s v="-"/>
    <x v="3"/>
    <m/>
    <m/>
    <x v="42"/>
    <m/>
    <x v="106"/>
    <d v="2021-02-19T00:00:00"/>
    <x v="0"/>
    <m/>
    <m/>
    <m/>
    <x v="0"/>
    <x v="0"/>
    <s v="12655/SPP/008/PUSAT/ICON+/2020"/>
    <n v="4500014170"/>
    <m/>
    <m/>
    <m/>
    <m/>
    <m/>
    <m/>
    <m/>
    <m/>
    <m/>
    <m/>
    <m/>
    <m/>
    <m/>
  </r>
  <r>
    <n v="125"/>
    <x v="76"/>
    <x v="109"/>
    <s v="Ged. Perkantoran Prudential Centre Kota Kasablanka Jakarta 0000"/>
    <m/>
    <m/>
    <s v="Sewa Tahunan"/>
    <x v="3"/>
    <x v="114"/>
    <m/>
    <m/>
    <m/>
    <m/>
    <s v="-"/>
    <x v="44"/>
    <m/>
    <m/>
    <x v="61"/>
    <m/>
    <x v="65"/>
    <d v="2021-04-19T00:00:00"/>
    <x v="0"/>
    <m/>
    <m/>
    <m/>
    <x v="0"/>
    <x v="0"/>
    <s v="12975/SPP/008/PUSAT/ICON+/2020"/>
    <n v="4500014155"/>
    <m/>
    <m/>
    <m/>
    <m/>
    <m/>
    <m/>
    <m/>
    <m/>
    <m/>
    <m/>
    <m/>
    <m/>
    <m/>
  </r>
  <r>
    <n v="126"/>
    <x v="77"/>
    <x v="110"/>
    <s v="Jl. Raya Perjuangan No. 88, Jakarta 0000"/>
    <m/>
    <m/>
    <s v="Sewa Tahunan"/>
    <x v="3"/>
    <x v="115"/>
    <m/>
    <m/>
    <m/>
    <m/>
    <s v="-"/>
    <x v="79"/>
    <m/>
    <m/>
    <x v="62"/>
    <m/>
    <x v="107"/>
    <d v="2021-04-30T00:00:00"/>
    <x v="0"/>
    <m/>
    <m/>
    <m/>
    <x v="0"/>
    <x v="0"/>
    <s v="12648/SPP/008/PUSAT/ICON+/2020"/>
    <n v="4500014608"/>
    <m/>
    <m/>
    <m/>
    <m/>
    <m/>
    <m/>
    <m/>
    <m/>
    <m/>
    <m/>
    <m/>
    <m/>
    <m/>
  </r>
  <r>
    <n v="127"/>
    <x v="78"/>
    <x v="111"/>
    <s v="Jln Gatot Subroto Kav. 51-52"/>
    <m/>
    <m/>
    <s v="Sewa Tahunan"/>
    <x v="3"/>
    <x v="116"/>
    <m/>
    <m/>
    <m/>
    <m/>
    <s v="-"/>
    <x v="80"/>
    <m/>
    <m/>
    <x v="63"/>
    <m/>
    <x v="108"/>
    <d v="2021-05-24T00:00:00"/>
    <x v="0"/>
    <m/>
    <m/>
    <m/>
    <x v="0"/>
    <x v="0"/>
    <s v="13395/SPP/008/PUSAT/ICON+/2020"/>
    <n v="4500014396"/>
    <m/>
    <m/>
    <m/>
    <m/>
    <m/>
    <m/>
    <m/>
    <m/>
    <m/>
    <m/>
    <m/>
    <m/>
    <m/>
  </r>
  <r>
    <n v="128"/>
    <x v="9"/>
    <x v="51"/>
    <s v="Jl. Jend Sudirman Kav 52-53 Jakarta 12190"/>
    <m/>
    <m/>
    <s v="Sewa Tahunan"/>
    <x v="3"/>
    <x v="117"/>
    <m/>
    <m/>
    <m/>
    <m/>
    <s v="-"/>
    <x v="81"/>
    <m/>
    <m/>
    <x v="18"/>
    <m/>
    <x v="109"/>
    <d v="2021-06-23T00:00:00"/>
    <x v="0"/>
    <m/>
    <m/>
    <m/>
    <x v="0"/>
    <x v="0"/>
    <m/>
    <n v="4500014435"/>
    <m/>
    <m/>
    <m/>
    <m/>
    <m/>
    <m/>
    <m/>
    <m/>
    <m/>
    <m/>
    <m/>
    <m/>
    <m/>
  </r>
  <r>
    <n v="129"/>
    <x v="79"/>
    <x v="112"/>
    <s v="Jl. M. H. Thamrin Kav 3, Jakarta Pusat 10250"/>
    <m/>
    <m/>
    <s v="Sewa Tahunan"/>
    <x v="2"/>
    <x v="118"/>
    <m/>
    <m/>
    <m/>
    <m/>
    <s v="-"/>
    <x v="27"/>
    <m/>
    <m/>
    <x v="63"/>
    <m/>
    <x v="110"/>
    <d v="2021-05-09T00:00:00"/>
    <x v="0"/>
    <m/>
    <m/>
    <m/>
    <x v="0"/>
    <x v="0"/>
    <m/>
    <n v="4500014207"/>
    <m/>
    <m/>
    <m/>
    <m/>
    <m/>
    <m/>
    <m/>
    <m/>
    <m/>
    <m/>
    <m/>
    <m/>
    <m/>
  </r>
  <r>
    <n v="130"/>
    <x v="79"/>
    <x v="113"/>
    <s v="Jl. M. H. Thamrin Kav 3, Jakarta Pusat 10251"/>
    <m/>
    <m/>
    <s v="Sewa Tahunan"/>
    <x v="3"/>
    <x v="119"/>
    <m/>
    <m/>
    <m/>
    <m/>
    <s v="-"/>
    <x v="82"/>
    <m/>
    <m/>
    <x v="64"/>
    <m/>
    <x v="111"/>
    <d v="2021-05-30T00:00:00"/>
    <x v="0"/>
    <m/>
    <m/>
    <m/>
    <x v="0"/>
    <x v="0"/>
    <s v="13406/SPP?008/PUSAT/ICON+/2020"/>
    <n v="4500014397"/>
    <m/>
    <m/>
    <m/>
    <m/>
    <m/>
    <m/>
    <m/>
    <m/>
    <m/>
    <m/>
    <m/>
    <m/>
    <m/>
  </r>
  <r>
    <n v="131"/>
    <x v="80"/>
    <x v="114"/>
    <s v="G.M Karya Jl. HR. Rasuna Said B. X-5 Kav. 1-2 Jakarta Selatan 12950"/>
    <m/>
    <m/>
    <s v="Sewa Tahunan"/>
    <x v="3"/>
    <x v="120"/>
    <m/>
    <m/>
    <m/>
    <m/>
    <s v="-"/>
    <x v="83"/>
    <m/>
    <m/>
    <x v="65"/>
    <m/>
    <x v="112"/>
    <d v="2020-12-31T00:00:00"/>
    <x v="0"/>
    <m/>
    <m/>
    <m/>
    <x v="0"/>
    <x v="0"/>
    <s v="12187/SPP/008/PUSAT/ICON+/2019"/>
    <n v="4500013876"/>
    <m/>
    <m/>
    <m/>
    <m/>
    <m/>
    <m/>
    <m/>
    <m/>
    <m/>
    <m/>
    <m/>
    <m/>
    <m/>
  </r>
  <r>
    <n v="132"/>
    <x v="9"/>
    <x v="115"/>
    <s v="Jl. Jend Sudirman Kav 52-53 Jakarta 12190"/>
    <m/>
    <m/>
    <s v="Sewa Tahunan"/>
    <x v="2"/>
    <x v="121"/>
    <m/>
    <m/>
    <m/>
    <m/>
    <s v="-"/>
    <x v="35"/>
    <m/>
    <m/>
    <x v="18"/>
    <m/>
    <x v="113"/>
    <d v="2021-10-31T00:00:00"/>
    <x v="0"/>
    <m/>
    <m/>
    <m/>
    <x v="0"/>
    <x v="0"/>
    <s v="14022/SPP/008/PUSAT/ICON+/2020"/>
    <n v="4500014890"/>
    <m/>
    <m/>
    <m/>
    <m/>
    <m/>
    <m/>
    <m/>
    <m/>
    <m/>
    <m/>
    <m/>
    <m/>
    <m/>
  </r>
  <r>
    <n v="133"/>
    <x v="81"/>
    <x v="8"/>
    <s v="Jl. Jend Sudirman Kav 52-53 Jakarta 12190"/>
    <m/>
    <m/>
    <s v="Sewa Tahunan"/>
    <x v="3"/>
    <x v="122"/>
    <m/>
    <m/>
    <m/>
    <m/>
    <s v="-"/>
    <x v="7"/>
    <m/>
    <m/>
    <x v="66"/>
    <m/>
    <x v="114"/>
    <d v="2021-09-29T00:00:00"/>
    <x v="0"/>
    <m/>
    <m/>
    <m/>
    <x v="0"/>
    <x v="0"/>
    <m/>
    <n v="4500014934"/>
    <m/>
    <m/>
    <m/>
    <m/>
    <m/>
    <m/>
    <m/>
    <m/>
    <m/>
    <m/>
    <m/>
    <m/>
    <m/>
  </r>
  <r>
    <n v="134"/>
    <x v="5"/>
    <x v="116"/>
    <s v="Jl. H.R. Rasuna Said Blok X5 13 Jakarta 0000"/>
    <m/>
    <m/>
    <s v="Sewa Tahunan"/>
    <x v="3"/>
    <x v="123"/>
    <m/>
    <m/>
    <m/>
    <m/>
    <n v="5000000"/>
    <x v="36"/>
    <m/>
    <n v="2000000"/>
    <x v="39"/>
    <m/>
    <x v="113"/>
    <d v="2021-10-31T00:00:00"/>
    <x v="0"/>
    <m/>
    <m/>
    <m/>
    <x v="0"/>
    <x v="0"/>
    <m/>
    <n v="4500015267"/>
    <m/>
    <m/>
    <m/>
    <m/>
    <m/>
    <m/>
    <m/>
    <m/>
    <m/>
    <m/>
    <m/>
    <m/>
    <m/>
  </r>
  <r>
    <n v="135"/>
    <x v="18"/>
    <x v="117"/>
    <s v="Jl. Jend Sudirman Kav 10-11 Midplaza 2 8 Jakarta Pusat 10220"/>
    <m/>
    <m/>
    <s v="Sewa Tahunan "/>
    <x v="2"/>
    <x v="124"/>
    <m/>
    <m/>
    <m/>
    <m/>
    <s v="-"/>
    <x v="84"/>
    <m/>
    <m/>
    <x v="20"/>
    <m/>
    <x v="112"/>
    <d v="2020-12-31T00:00:00"/>
    <x v="0"/>
    <m/>
    <m/>
    <m/>
    <x v="0"/>
    <x v="0"/>
    <m/>
    <n v="4500013734"/>
    <m/>
    <m/>
    <m/>
    <m/>
    <m/>
    <m/>
    <m/>
    <m/>
    <m/>
    <m/>
    <m/>
    <m/>
    <m/>
  </r>
  <r>
    <n v="136"/>
    <x v="82"/>
    <x v="118"/>
    <s v="Jl. Jend Sudirman Kav 10-11 Midplaza 2 8 Jakarta Pusat 10220"/>
    <m/>
    <m/>
    <s v="Sewa Tahunan"/>
    <x v="2"/>
    <x v="125"/>
    <m/>
    <m/>
    <m/>
    <m/>
    <s v="-"/>
    <x v="85"/>
    <m/>
    <m/>
    <x v="42"/>
    <m/>
    <x v="3"/>
    <d v="2021-01-31T00:00:00"/>
    <x v="0"/>
    <m/>
    <m/>
    <m/>
    <x v="0"/>
    <x v="0"/>
    <s v="12450/SPP/008/PUSAT/ICON+/2019"/>
    <n v="4500013745"/>
    <m/>
    <m/>
    <m/>
    <m/>
    <m/>
    <m/>
    <m/>
    <m/>
    <m/>
    <m/>
    <m/>
    <m/>
    <m/>
  </r>
  <r>
    <n v="137"/>
    <x v="73"/>
    <x v="119"/>
    <s v="Jl. Kapt.Subijanto DJ, Tangerang 15321"/>
    <m/>
    <m/>
    <s v="Sewa Tahunan "/>
    <x v="2"/>
    <x v="126"/>
    <m/>
    <m/>
    <m/>
    <m/>
    <n v="5000000"/>
    <x v="86"/>
    <m/>
    <n v="3000000"/>
    <x v="5"/>
    <m/>
    <x v="115"/>
    <d v="2021-03-15T00:00:00"/>
    <x v="0"/>
    <m/>
    <m/>
    <m/>
    <x v="0"/>
    <x v="0"/>
    <s v="12892/SPP/008/PUSAT/ICON+/2020"/>
    <n v="4500014044"/>
    <m/>
    <m/>
    <m/>
    <m/>
    <m/>
    <m/>
    <m/>
    <m/>
    <m/>
    <m/>
    <m/>
    <m/>
    <m/>
  </r>
  <r>
    <n v="138"/>
    <x v="73"/>
    <x v="120"/>
    <s v="Jl. Kapt.Subijanto DJ, Tangerang 15322"/>
    <m/>
    <m/>
    <s v="Sewa Tahunan"/>
    <x v="2"/>
    <x v="127"/>
    <m/>
    <m/>
    <m/>
    <m/>
    <n v="2000000"/>
    <x v="87"/>
    <m/>
    <n v="3000000"/>
    <x v="5"/>
    <m/>
    <x v="115"/>
    <d v="2021-03-15T00:00:00"/>
    <x v="0"/>
    <m/>
    <m/>
    <m/>
    <x v="0"/>
    <x v="0"/>
    <s v="12893/SPP/008/PUSAT/ICON+/2020"/>
    <n v="4500014045"/>
    <m/>
    <m/>
    <m/>
    <m/>
    <m/>
    <m/>
    <m/>
    <m/>
    <m/>
    <m/>
    <m/>
    <m/>
    <m/>
  </r>
  <r>
    <n v="139"/>
    <x v="83"/>
    <x v="121"/>
    <s v="Jln Dwikora II 1238 Palembang 0000"/>
    <m/>
    <m/>
    <s v="Sewa Tahunan"/>
    <x v="3"/>
    <x v="128"/>
    <m/>
    <m/>
    <m/>
    <m/>
    <s v="-"/>
    <x v="88"/>
    <m/>
    <m/>
    <x v="67"/>
    <m/>
    <x v="115"/>
    <d v="2021-03-15T00:00:00"/>
    <x v="0"/>
    <m/>
    <m/>
    <m/>
    <x v="0"/>
    <x v="0"/>
    <m/>
    <n v="4500013955"/>
    <m/>
    <m/>
    <m/>
    <m/>
    <m/>
    <m/>
    <m/>
    <m/>
    <m/>
    <m/>
    <m/>
    <m/>
    <m/>
  </r>
  <r>
    <n v="140"/>
    <x v="84"/>
    <x v="53"/>
    <s v="Jl. Jend Sudirman Kav. 1 Wisma 46 Kota BNI 5 Jakarta Pusat 10220"/>
    <m/>
    <m/>
    <s v="Sewa Tahunan"/>
    <x v="2"/>
    <x v="121"/>
    <m/>
    <m/>
    <m/>
    <m/>
    <s v="-"/>
    <x v="89"/>
    <m/>
    <m/>
    <x v="16"/>
    <m/>
    <x v="116"/>
    <d v="2021-02-12T00:00:00"/>
    <x v="0"/>
    <m/>
    <m/>
    <m/>
    <x v="0"/>
    <x v="0"/>
    <m/>
    <n v="4500013965"/>
    <m/>
    <m/>
    <m/>
    <m/>
    <m/>
    <m/>
    <m/>
    <m/>
    <m/>
    <m/>
    <m/>
    <m/>
    <m/>
  </r>
  <r>
    <n v="141"/>
    <x v="85"/>
    <x v="30"/>
    <s v="Jl MH Thamrin Lantai 9 No. 51 Jakarta Pusat 10350"/>
    <m/>
    <m/>
    <s v="Sewa Tahunan "/>
    <x v="3"/>
    <x v="129"/>
    <m/>
    <m/>
    <m/>
    <m/>
    <s v="-"/>
    <x v="1"/>
    <m/>
    <m/>
    <x v="68"/>
    <m/>
    <x v="112"/>
    <d v="2020-12-31T00:00:00"/>
    <x v="0"/>
    <m/>
    <m/>
    <m/>
    <x v="0"/>
    <x v="0"/>
    <s v="12338/SPP/008/ICON+?2019"/>
    <n v="4500013898"/>
    <m/>
    <m/>
    <m/>
    <m/>
    <m/>
    <m/>
    <m/>
    <m/>
    <m/>
    <m/>
    <m/>
    <m/>
    <m/>
  </r>
  <r>
    <n v="142"/>
    <x v="17"/>
    <x v="122"/>
    <s v="Jl Jend Sudirman Kav. 52-53 Kebayoran Baru, Jakarta Selatan 12190"/>
    <m/>
    <m/>
    <s v="Sewa Tahunan"/>
    <x v="3"/>
    <x v="130"/>
    <m/>
    <m/>
    <m/>
    <m/>
    <s v="-"/>
    <x v="90"/>
    <m/>
    <m/>
    <x v="16"/>
    <m/>
    <x v="117"/>
    <d v="2021-03-26T00:00:00"/>
    <x v="0"/>
    <m/>
    <m/>
    <m/>
    <x v="0"/>
    <x v="0"/>
    <s v="12668/SPP/008/PUSAT/ICON+/2020"/>
    <n v="4500013963"/>
    <m/>
    <m/>
    <m/>
    <m/>
    <m/>
    <m/>
    <m/>
    <m/>
    <m/>
    <m/>
    <m/>
    <m/>
    <m/>
  </r>
  <r>
    <n v="143"/>
    <x v="76"/>
    <x v="123"/>
    <s v="Ged. Perkantoran Prudential Centre Kota Kasablanka Jakarta 0000"/>
    <m/>
    <m/>
    <s v="Sewa Tahunan"/>
    <x v="3"/>
    <x v="131"/>
    <m/>
    <m/>
    <m/>
    <m/>
    <s v="-"/>
    <x v="59"/>
    <m/>
    <m/>
    <x v="10"/>
    <m/>
    <x v="118"/>
    <d v="2021-06-30T00:00:00"/>
    <x v="0"/>
    <m/>
    <m/>
    <m/>
    <x v="0"/>
    <x v="0"/>
    <s v="13715/SPP/008/PUSAT/ICON+/2020"/>
    <n v="4500014680"/>
    <m/>
    <m/>
    <m/>
    <m/>
    <m/>
    <m/>
    <m/>
    <m/>
    <m/>
    <m/>
    <m/>
    <m/>
    <m/>
  </r>
  <r>
    <n v="144"/>
    <x v="5"/>
    <x v="124"/>
    <s v="Jl. H.R. Rasuna Said Blok X5 13 Jakarta 0000"/>
    <m/>
    <m/>
    <s v="Sewa Tahunan"/>
    <x v="3"/>
    <x v="132"/>
    <m/>
    <m/>
    <m/>
    <m/>
    <s v="-"/>
    <x v="2"/>
    <m/>
    <m/>
    <x v="5"/>
    <m/>
    <x v="119"/>
    <d v="2021-05-31T00:00:00"/>
    <x v="0"/>
    <m/>
    <m/>
    <m/>
    <x v="0"/>
    <x v="0"/>
    <s v="13394/SPP/008/PUSAT/ICO+/2020"/>
    <n v="4500014363"/>
    <m/>
    <m/>
    <m/>
    <m/>
    <m/>
    <m/>
    <m/>
    <m/>
    <m/>
    <m/>
    <m/>
    <m/>
    <m/>
  </r>
  <r>
    <n v="145"/>
    <x v="71"/>
    <x v="125"/>
    <s v="Jl. Kuningan Barat No. 8 Cyber Building 1st &amp; 2nd Jakarta Selatan 12710"/>
    <m/>
    <m/>
    <s v="Sewa Tahunan "/>
    <x v="2"/>
    <x v="133"/>
    <m/>
    <m/>
    <m/>
    <m/>
    <n v="3000000"/>
    <x v="91"/>
    <m/>
    <m/>
    <x v="51"/>
    <m/>
    <x v="120"/>
    <d v="2021-07-21T00:00:00"/>
    <x v="0"/>
    <m/>
    <m/>
    <m/>
    <x v="0"/>
    <x v="0"/>
    <s v="13898/SPP/008/PUSAT/ICON+/2020"/>
    <n v="4500014743"/>
    <m/>
    <m/>
    <m/>
    <m/>
    <m/>
    <m/>
    <m/>
    <m/>
    <m/>
    <m/>
    <m/>
    <m/>
    <m/>
  </r>
  <r>
    <n v="146"/>
    <x v="86"/>
    <x v="126"/>
    <s v="Jl. TB Simatupang Kav 1B Jakarta Selatan 12560"/>
    <m/>
    <m/>
    <s v="Sewa Tahunan "/>
    <x v="3"/>
    <x v="134"/>
    <m/>
    <m/>
    <m/>
    <m/>
    <s v="-"/>
    <x v="30"/>
    <m/>
    <m/>
    <x v="10"/>
    <m/>
    <x v="112"/>
    <d v="2020-12-31T00:00:00"/>
    <x v="0"/>
    <m/>
    <m/>
    <m/>
    <x v="0"/>
    <x v="0"/>
    <s v="1195/SPP/008/PUSAT/ICON+/2019"/>
    <n v="4500013750"/>
    <m/>
    <m/>
    <m/>
    <m/>
    <m/>
    <m/>
    <m/>
    <m/>
    <m/>
    <m/>
    <m/>
    <m/>
    <m/>
  </r>
  <r>
    <n v="147"/>
    <x v="87"/>
    <x v="127"/>
    <s v="Jl. Kuningan Barat 8 Jakarta 12710"/>
    <m/>
    <m/>
    <s v="Sewa Tahunan"/>
    <x v="3"/>
    <x v="135"/>
    <m/>
    <m/>
    <m/>
    <m/>
    <s v="-"/>
    <x v="92"/>
    <m/>
    <m/>
    <x v="6"/>
    <m/>
    <x v="121"/>
    <d v="2021-08-22T00:00:00"/>
    <x v="0"/>
    <m/>
    <m/>
    <m/>
    <x v="0"/>
    <x v="0"/>
    <s v="13799/SPP/008/PUSAT/ICON+/2020"/>
    <n v="4500014682"/>
    <m/>
    <m/>
    <m/>
    <m/>
    <m/>
    <m/>
    <m/>
    <m/>
    <m/>
    <m/>
    <m/>
    <m/>
    <m/>
  </r>
  <r>
    <n v="148"/>
    <x v="88"/>
    <x v="128"/>
    <s v="Jl. Angkasa Kemayoran Jakarta 10610"/>
    <m/>
    <m/>
    <s v="Sewa Tahunan"/>
    <x v="3"/>
    <x v="136"/>
    <m/>
    <m/>
    <m/>
    <m/>
    <s v="-"/>
    <x v="93"/>
    <m/>
    <m/>
    <x v="69"/>
    <m/>
    <x v="122"/>
    <d v="2021-11-17T00:00:00"/>
    <x v="0"/>
    <m/>
    <m/>
    <m/>
    <x v="0"/>
    <x v="0"/>
    <m/>
    <n v="4500015363"/>
    <m/>
    <m/>
    <m/>
    <m/>
    <m/>
    <m/>
    <m/>
    <m/>
    <m/>
    <m/>
    <m/>
    <m/>
    <m/>
  </r>
  <r>
    <n v="149"/>
    <x v="84"/>
    <x v="129"/>
    <s v="Jl. Jend Sudirman Kav. 1 Wisma 46 Kota BNI 5 Jakarta Pusat 10220"/>
    <m/>
    <m/>
    <s v="Sewa Tahunan"/>
    <x v="2"/>
    <x v="71"/>
    <m/>
    <m/>
    <m/>
    <m/>
    <s v="-"/>
    <x v="41"/>
    <m/>
    <s v="-"/>
    <x v="16"/>
    <m/>
    <x v="123"/>
    <d v="2021-02-24T00:00:00"/>
    <x v="0"/>
    <m/>
    <m/>
    <m/>
    <x v="0"/>
    <x v="0"/>
    <m/>
    <n v="4500013999"/>
    <m/>
    <m/>
    <m/>
    <m/>
    <m/>
    <m/>
    <m/>
    <m/>
    <m/>
    <m/>
    <m/>
    <m/>
    <m/>
  </r>
  <r>
    <n v="150"/>
    <x v="89"/>
    <x v="130"/>
    <s v="Gedung Plaza Asia Jl. Jend. Sudirman Kav 59 Jakarta 12190"/>
    <m/>
    <m/>
    <s v="Sewa Tahunan"/>
    <x v="3"/>
    <x v="67"/>
    <m/>
    <m/>
    <m/>
    <m/>
    <s v="-"/>
    <x v="41"/>
    <m/>
    <s v="-"/>
    <x v="70"/>
    <m/>
    <x v="1"/>
    <d v="2021-12-03T00:00:00"/>
    <x v="0"/>
    <m/>
    <m/>
    <m/>
    <x v="0"/>
    <x v="0"/>
    <m/>
    <n v="4500015606"/>
    <m/>
    <m/>
    <m/>
    <m/>
    <m/>
    <m/>
    <m/>
    <m/>
    <m/>
    <m/>
    <m/>
    <m/>
    <m/>
  </r>
  <r>
    <n v="151"/>
    <x v="5"/>
    <x v="131"/>
    <s v="Jl. H.R. Rasuna Said Blok X5 13 Jakarta 0000"/>
    <m/>
    <m/>
    <s v="Sewa Tahunan"/>
    <x v="3"/>
    <x v="137"/>
    <m/>
    <m/>
    <m/>
    <m/>
    <s v="-"/>
    <x v="75"/>
    <m/>
    <s v="-"/>
    <x v="71"/>
    <m/>
    <x v="124"/>
    <d v="2022-04-02T00:00:00"/>
    <x v="0"/>
    <m/>
    <m/>
    <m/>
    <x v="0"/>
    <x v="0"/>
    <m/>
    <n v="4500015428"/>
    <m/>
    <m/>
    <m/>
    <m/>
    <m/>
    <m/>
    <m/>
    <m/>
    <m/>
    <m/>
    <m/>
    <m/>
    <m/>
  </r>
  <r>
    <n v="152"/>
    <x v="90"/>
    <x v="132"/>
    <s v="WTP Building Jl Jababeka IV Blok B No.n12 Jbbk"/>
    <m/>
    <m/>
    <s v="Sewa Tahunan "/>
    <x v="2"/>
    <x v="138"/>
    <m/>
    <m/>
    <m/>
    <m/>
    <s v="-"/>
    <x v="94"/>
    <m/>
    <s v="-"/>
    <x v="72"/>
    <m/>
    <x v="125"/>
    <d v="2021-09-30T00:00:00"/>
    <x v="0"/>
    <m/>
    <m/>
    <m/>
    <x v="0"/>
    <x v="0"/>
    <s v="14338/SPP/008/PUSAT/ICON+/2020"/>
    <n v="4500015634"/>
    <m/>
    <m/>
    <m/>
    <m/>
    <m/>
    <m/>
    <m/>
    <m/>
    <m/>
    <m/>
    <m/>
    <m/>
    <m/>
  </r>
  <r>
    <n v="153"/>
    <x v="5"/>
    <x v="131"/>
    <s v="Jl. H.R. Rasuna Said Blok X5 13 Jakarta 0000"/>
    <m/>
    <m/>
    <s v="Sewa Tahunan"/>
    <x v="3"/>
    <x v="139"/>
    <m/>
    <m/>
    <m/>
    <m/>
    <s v="-"/>
    <x v="44"/>
    <m/>
    <s v="-"/>
    <x v="71"/>
    <m/>
    <x v="126"/>
    <d v="2021-12-31T00:00:00"/>
    <x v="0"/>
    <m/>
    <m/>
    <m/>
    <x v="0"/>
    <x v="0"/>
    <m/>
    <n v="4500015428"/>
    <m/>
    <m/>
    <m/>
    <m/>
    <m/>
    <m/>
    <m/>
    <m/>
    <m/>
    <m/>
    <m/>
    <m/>
    <m/>
  </r>
  <r>
    <n v="154"/>
    <x v="18"/>
    <x v="133"/>
    <s v="Jl. Jend Sudirman Kav 10-11 Midplaza 2 8 Jakarta Pusat 10220"/>
    <m/>
    <m/>
    <s v="Sewa Tahunan"/>
    <x v="3"/>
    <x v="67"/>
    <m/>
    <m/>
    <m/>
    <m/>
    <s v="-"/>
    <x v="95"/>
    <m/>
    <s v="-"/>
    <x v="73"/>
    <m/>
    <x v="126"/>
    <d v="2021-12-31T00:00:00"/>
    <x v="0"/>
    <m/>
    <m/>
    <m/>
    <x v="0"/>
    <x v="0"/>
    <s v="15076/SPP/008/PUSAT/ICON+/2020"/>
    <m/>
    <m/>
    <m/>
    <m/>
    <m/>
    <m/>
    <m/>
    <m/>
    <m/>
    <m/>
    <m/>
    <m/>
    <m/>
    <m/>
  </r>
  <r>
    <n v="155"/>
    <x v="91"/>
    <x v="134"/>
    <s v="Tanggerang 15321 "/>
    <m/>
    <s v=" "/>
    <s v="Sewa Tahunan "/>
    <x v="2"/>
    <x v="105"/>
    <m/>
    <m/>
    <m/>
    <m/>
    <m/>
    <x v="96"/>
    <m/>
    <m/>
    <x v="60"/>
    <m/>
    <x v="127"/>
    <d v="2021-09-08T00:00:00"/>
    <x v="0"/>
    <m/>
    <m/>
    <m/>
    <x v="0"/>
    <x v="0"/>
    <m/>
    <n v="4500015027"/>
    <m/>
    <m/>
    <m/>
    <m/>
    <m/>
    <m/>
    <m/>
    <m/>
    <m/>
    <m/>
    <m/>
    <m/>
    <m/>
  </r>
  <r>
    <n v="156"/>
    <x v="91"/>
    <x v="102"/>
    <s v="Tanggerang 15321 "/>
    <m/>
    <m/>
    <s v="Sewa Tahunan "/>
    <x v="3"/>
    <x v="105"/>
    <m/>
    <m/>
    <m/>
    <m/>
    <m/>
    <x v="96"/>
    <m/>
    <m/>
    <x v="60"/>
    <m/>
    <x v="101"/>
    <d v="2021-09-05T00:00:00"/>
    <x v="0"/>
    <m/>
    <m/>
    <m/>
    <x v="0"/>
    <x v="0"/>
    <m/>
    <n v="4500015025"/>
    <m/>
    <m/>
    <m/>
    <m/>
    <m/>
    <m/>
    <m/>
    <m/>
    <m/>
    <m/>
    <m/>
    <m/>
    <m/>
  </r>
  <r>
    <n v="157"/>
    <x v="92"/>
    <x v="135"/>
    <s v="Jakarta Pusat 10320 "/>
    <m/>
    <m/>
    <s v="Sewa Tahunan "/>
    <x v="2"/>
    <x v="140"/>
    <m/>
    <m/>
    <m/>
    <m/>
    <n v="3500000"/>
    <x v="97"/>
    <m/>
    <n v="1000000"/>
    <x v="7"/>
    <m/>
    <x v="128"/>
    <d v="2021-10-15T00:00:00"/>
    <x v="0"/>
    <m/>
    <m/>
    <m/>
    <x v="0"/>
    <x v="0"/>
    <s v="14387/SPP/008/PUSAT/ICON+/2020"/>
    <n v="4500015136"/>
    <m/>
    <m/>
    <m/>
    <m/>
    <m/>
    <m/>
    <m/>
    <m/>
    <m/>
    <m/>
    <m/>
    <m/>
    <m/>
  </r>
  <r>
    <n v="158"/>
    <x v="91"/>
    <x v="136"/>
    <s v="Tanggerang 15321 "/>
    <m/>
    <m/>
    <s v="Sewa Tahunan "/>
    <x v="2"/>
    <x v="141"/>
    <m/>
    <m/>
    <m/>
    <m/>
    <n v="4000000"/>
    <x v="98"/>
    <m/>
    <n v="3000000"/>
    <x v="5"/>
    <m/>
    <x v="129"/>
    <d v="2021-10-13T00:00:00"/>
    <x v="0"/>
    <m/>
    <m/>
    <m/>
    <x v="0"/>
    <x v="0"/>
    <s v="14386/SPP/008/PUSAT/ICON+/2020"/>
    <n v="4500015135"/>
    <m/>
    <m/>
    <m/>
    <m/>
    <m/>
    <m/>
    <m/>
    <m/>
    <m/>
    <m/>
    <m/>
    <m/>
    <m/>
  </r>
  <r>
    <n v="159"/>
    <x v="93"/>
    <x v="137"/>
    <s v="Jakarta 00000"/>
    <m/>
    <m/>
    <s v="Sewa Tahunan "/>
    <x v="3"/>
    <x v="142"/>
    <m/>
    <m/>
    <m/>
    <m/>
    <m/>
    <x v="99"/>
    <m/>
    <m/>
    <x v="74"/>
    <m/>
    <x v="112"/>
    <d v="2020-12-31T00:00:00"/>
    <x v="0"/>
    <m/>
    <m/>
    <m/>
    <x v="0"/>
    <x v="0"/>
    <s v="12339/SPP/008/PUSAT/ICON+/2019"/>
    <n v="4500014599"/>
    <m/>
    <m/>
    <m/>
    <m/>
    <m/>
    <m/>
    <m/>
    <m/>
    <m/>
    <m/>
    <m/>
    <m/>
    <m/>
  </r>
  <r>
    <n v="160"/>
    <x v="94"/>
    <x v="1"/>
    <s v="Jl.Kemang Graha Kapital Basement Jakarta Selatan 12730"/>
    <m/>
    <m/>
    <s v="Sewa Tahunan "/>
    <x v="3"/>
    <x v="143"/>
    <m/>
    <m/>
    <m/>
    <m/>
    <m/>
    <x v="1"/>
    <m/>
    <m/>
    <x v="75"/>
    <m/>
    <x v="130"/>
    <d v="2021-06-17T00:00:00"/>
    <x v="0"/>
    <m/>
    <m/>
    <m/>
    <x v="0"/>
    <x v="0"/>
    <s v="13591/SPP/008/PUSAT/ICON+/2020"/>
    <n v="4500014749"/>
    <m/>
    <m/>
    <m/>
    <m/>
    <m/>
    <m/>
    <m/>
    <m/>
    <m/>
    <m/>
    <m/>
    <m/>
    <m/>
  </r>
  <r>
    <n v="161"/>
    <x v="95"/>
    <x v="138"/>
    <s v="Jakarta 12170"/>
    <m/>
    <m/>
    <s v="Sewa Tahunan "/>
    <x v="3"/>
    <x v="144"/>
    <m/>
    <m/>
    <m/>
    <m/>
    <m/>
    <x v="100"/>
    <m/>
    <n v="1000000"/>
    <x v="16"/>
    <m/>
    <x v="131"/>
    <d v="2021-09-17T00:00:00"/>
    <x v="0"/>
    <m/>
    <m/>
    <m/>
    <x v="0"/>
    <x v="0"/>
    <s v="14166/SPP/008/PUSAT/ICON+/2020"/>
    <n v="4500015137"/>
    <m/>
    <m/>
    <m/>
    <m/>
    <m/>
    <m/>
    <m/>
    <m/>
    <m/>
    <m/>
    <m/>
    <m/>
    <m/>
  </r>
  <r>
    <n v="162"/>
    <x v="96"/>
    <x v="139"/>
    <s v="Jakarta 12950"/>
    <m/>
    <m/>
    <s v="Sewa Tahunan "/>
    <x v="3"/>
    <x v="145"/>
    <m/>
    <m/>
    <m/>
    <m/>
    <m/>
    <x v="101"/>
    <m/>
    <m/>
    <x v="76"/>
    <m/>
    <x v="29"/>
    <d v="2021-07-31T00:00:00"/>
    <x v="0"/>
    <m/>
    <m/>
    <m/>
    <x v="0"/>
    <x v="0"/>
    <s v="13888/SPP/008/PUSAT/ICON+/2020"/>
    <n v="4500014817"/>
    <m/>
    <m/>
    <m/>
    <m/>
    <m/>
    <m/>
    <m/>
    <m/>
    <m/>
    <m/>
    <m/>
    <m/>
    <m/>
  </r>
  <r>
    <n v="163"/>
    <x v="97"/>
    <x v="140"/>
    <s v="Jakarta 10110 "/>
    <m/>
    <m/>
    <s v="Sewa Tahunan "/>
    <x v="3"/>
    <x v="146"/>
    <m/>
    <m/>
    <m/>
    <m/>
    <m/>
    <x v="102"/>
    <m/>
    <m/>
    <x v="22"/>
    <m/>
    <x v="118"/>
    <d v="2021-06-30T00:00:00"/>
    <x v="0"/>
    <m/>
    <m/>
    <m/>
    <x v="0"/>
    <x v="0"/>
    <s v="13599/SPP/008/PUSAT/ICON+/2020"/>
    <n v="4500014595"/>
    <m/>
    <m/>
    <m/>
    <m/>
    <m/>
    <m/>
    <m/>
    <m/>
    <m/>
    <m/>
    <m/>
    <m/>
    <m/>
  </r>
  <r>
    <n v="164"/>
    <x v="98"/>
    <x v="141"/>
    <s v="Jakarta 12190"/>
    <m/>
    <m/>
    <s v="Sewa Tahunan "/>
    <x v="3"/>
    <x v="147"/>
    <m/>
    <m/>
    <m/>
    <m/>
    <m/>
    <x v="98"/>
    <m/>
    <m/>
    <x v="77"/>
    <m/>
    <x v="132"/>
    <d v="2021-07-20T00:00:00"/>
    <x v="0"/>
    <m/>
    <m/>
    <m/>
    <x v="0"/>
    <x v="0"/>
    <s v="13595/SPP/008/PUSAT/ICON+/2020"/>
    <n v="4500014584"/>
    <m/>
    <m/>
    <m/>
    <m/>
    <m/>
    <m/>
    <m/>
    <m/>
    <m/>
    <m/>
    <m/>
    <m/>
    <m/>
  </r>
  <r>
    <n v="165"/>
    <x v="99"/>
    <x v="142"/>
    <s v="Jakarta 10260"/>
    <m/>
    <m/>
    <s v="Sewa Tahunan "/>
    <x v="3"/>
    <x v="148"/>
    <m/>
    <m/>
    <m/>
    <m/>
    <m/>
    <x v="11"/>
    <m/>
    <m/>
    <x v="63"/>
    <m/>
    <x v="133"/>
    <d v="2021-11-01T00:00:00"/>
    <x v="0"/>
    <m/>
    <m/>
    <m/>
    <x v="0"/>
    <x v="0"/>
    <s v="14019/SPP/008/PUSAT/ICON+/2020"/>
    <n v="4500014888"/>
    <m/>
    <m/>
    <m/>
    <m/>
    <m/>
    <m/>
    <m/>
    <m/>
    <m/>
    <m/>
    <m/>
    <m/>
    <m/>
  </r>
  <r>
    <n v="166"/>
    <x v="100"/>
    <x v="8"/>
    <s v="Depok 16431"/>
    <m/>
    <m/>
    <s v="Sewa Tahunan "/>
    <x v="3"/>
    <x v="149"/>
    <m/>
    <m/>
    <m/>
    <m/>
    <m/>
    <x v="7"/>
    <m/>
    <m/>
    <x v="78"/>
    <m/>
    <x v="134"/>
    <d v="2021-09-11T00:00:00"/>
    <x v="0"/>
    <m/>
    <m/>
    <m/>
    <x v="0"/>
    <x v="0"/>
    <m/>
    <n v="4500014892"/>
    <m/>
    <m/>
    <m/>
    <m/>
    <m/>
    <m/>
    <m/>
    <m/>
    <m/>
    <m/>
    <m/>
    <m/>
    <m/>
  </r>
  <r>
    <n v="167"/>
    <x v="14"/>
    <x v="107"/>
    <s v="Ciputat 00000"/>
    <m/>
    <m/>
    <s v="Sewa Tahunan "/>
    <x v="3"/>
    <x v="150"/>
    <m/>
    <m/>
    <m/>
    <m/>
    <n v="19500000"/>
    <x v="16"/>
    <m/>
    <m/>
    <x v="79"/>
    <m/>
    <x v="110"/>
    <d v="2021-05-09T00:00:00"/>
    <x v="0"/>
    <m/>
    <m/>
    <m/>
    <x v="0"/>
    <x v="0"/>
    <s v="13890/SPP/008/PUSAT/ICON+/2020"/>
    <n v="4500016393"/>
    <m/>
    <m/>
    <m/>
    <m/>
    <m/>
    <m/>
    <m/>
    <m/>
    <m/>
    <m/>
    <m/>
    <m/>
    <m/>
  </r>
  <r>
    <n v="168"/>
    <x v="101"/>
    <x v="143"/>
    <s v="Tanggerang 15322"/>
    <m/>
    <m/>
    <s v="Sewa Tahunan "/>
    <x v="2"/>
    <x v="151"/>
    <m/>
    <m/>
    <m/>
    <m/>
    <n v="2500000"/>
    <x v="103"/>
    <m/>
    <n v="1500000"/>
    <x v="48"/>
    <m/>
    <x v="135"/>
    <d v="2021-07-05T00:00:00"/>
    <x v="0"/>
    <m/>
    <m/>
    <m/>
    <x v="0"/>
    <x v="0"/>
    <m/>
    <n v="4500014812"/>
    <m/>
    <m/>
    <m/>
    <m/>
    <m/>
    <m/>
    <m/>
    <m/>
    <m/>
    <m/>
    <m/>
    <m/>
    <m/>
  </r>
  <r>
    <n v="169"/>
    <x v="102"/>
    <x v="144"/>
    <s v="Jakarta 12210"/>
    <m/>
    <m/>
    <s v="Sewa Tahunan "/>
    <x v="3"/>
    <x v="152"/>
    <m/>
    <m/>
    <m/>
    <m/>
    <m/>
    <x v="12"/>
    <m/>
    <m/>
    <x v="10"/>
    <m/>
    <x v="100"/>
    <d v="2021-08-31T00:00:00"/>
    <x v="0"/>
    <m/>
    <m/>
    <m/>
    <x v="0"/>
    <x v="0"/>
    <s v="13965/SPP/008/PUSAT/ICON+/2020"/>
    <n v="4500014387"/>
    <m/>
    <m/>
    <m/>
    <m/>
    <m/>
    <m/>
    <m/>
    <m/>
    <m/>
    <m/>
    <m/>
    <m/>
    <m/>
  </r>
  <r>
    <n v="170"/>
    <x v="9"/>
    <x v="145"/>
    <s v="Jakarta 12190"/>
    <m/>
    <m/>
    <s v="Sewa Tahunan "/>
    <x v="2"/>
    <x v="153"/>
    <m/>
    <m/>
    <m/>
    <m/>
    <m/>
    <x v="33"/>
    <m/>
    <m/>
    <x v="10"/>
    <m/>
    <x v="136"/>
    <d v="2021-08-15T00:00:00"/>
    <x v="0"/>
    <m/>
    <m/>
    <m/>
    <x v="0"/>
    <x v="0"/>
    <s v="13316/SPP/008/PUSAT/ICON+/2020"/>
    <n v="4500014787"/>
    <m/>
    <m/>
    <m/>
    <m/>
    <m/>
    <m/>
    <m/>
    <m/>
    <m/>
    <m/>
    <m/>
    <m/>
    <m/>
  </r>
  <r>
    <n v="171"/>
    <x v="103"/>
    <x v="146"/>
    <s v="Jakarta 00000"/>
    <m/>
    <m/>
    <s v="Sewa Tahunan "/>
    <x v="3"/>
    <x v="154"/>
    <m/>
    <m/>
    <m/>
    <m/>
    <m/>
    <x v="30"/>
    <m/>
    <m/>
    <x v="80"/>
    <m/>
    <x v="137"/>
    <d v="2021-02-02T00:00:00"/>
    <x v="0"/>
    <m/>
    <m/>
    <m/>
    <x v="0"/>
    <x v="0"/>
    <s v="12625/SPP/008/PUSAT/ICON+/2020"/>
    <n v="4500014005"/>
    <m/>
    <m/>
    <m/>
    <m/>
    <m/>
    <m/>
    <m/>
    <m/>
    <m/>
    <m/>
    <m/>
    <m/>
    <m/>
  </r>
  <r>
    <n v="172"/>
    <x v="23"/>
    <x v="147"/>
    <s v="Jakarta Selatan 12710"/>
    <m/>
    <m/>
    <s v="Sewa Tahunan "/>
    <x v="3"/>
    <x v="155"/>
    <m/>
    <m/>
    <m/>
    <m/>
    <m/>
    <x v="91"/>
    <m/>
    <n v="2500000"/>
    <x v="81"/>
    <m/>
    <x v="138"/>
    <d v="2021-07-10T00:00:00"/>
    <x v="0"/>
    <m/>
    <m/>
    <m/>
    <x v="0"/>
    <x v="0"/>
    <s v="13825/SPP/008/PUSAT/ICON+/2020"/>
    <n v="4500014668"/>
    <m/>
    <m/>
    <m/>
    <m/>
    <m/>
    <m/>
    <m/>
    <m/>
    <m/>
    <m/>
    <m/>
    <m/>
    <m/>
  </r>
  <r>
    <n v="173"/>
    <x v="104"/>
    <x v="131"/>
    <s v="Jakarta 12710"/>
    <m/>
    <m/>
    <s v="Sewa Tahunan "/>
    <x v="3"/>
    <x v="156"/>
    <m/>
    <m/>
    <m/>
    <m/>
    <m/>
    <x v="104"/>
    <m/>
    <m/>
    <x v="82"/>
    <m/>
    <x v="110"/>
    <d v="2021-05-09T00:00:00"/>
    <x v="0"/>
    <m/>
    <m/>
    <m/>
    <x v="0"/>
    <x v="0"/>
    <s v="13509/SPP/008/PUSAT/ICON+/2020"/>
    <n v="4500014574"/>
    <m/>
    <m/>
    <m/>
    <m/>
    <m/>
    <m/>
    <m/>
    <m/>
    <m/>
    <m/>
    <m/>
    <m/>
    <m/>
  </r>
  <r>
    <n v="174"/>
    <x v="105"/>
    <x v="148"/>
    <s v="Jakarta Pusat 10440"/>
    <m/>
    <m/>
    <s v="Sewa Tahunan "/>
    <x v="3"/>
    <x v="157"/>
    <m/>
    <m/>
    <m/>
    <m/>
    <m/>
    <x v="27"/>
    <m/>
    <m/>
    <x v="83"/>
    <m/>
    <x v="139"/>
    <d v="2021-03-31T00:00:00"/>
    <x v="0"/>
    <m/>
    <m/>
    <m/>
    <x v="0"/>
    <x v="0"/>
    <s v="12631/SPP/008/PUSAT/ICON+/2020"/>
    <n v="4500013903"/>
    <m/>
    <m/>
    <m/>
    <m/>
    <m/>
    <m/>
    <m/>
    <m/>
    <m/>
    <m/>
    <m/>
    <m/>
    <m/>
  </r>
  <r>
    <n v="175"/>
    <x v="91"/>
    <x v="149"/>
    <s v="Tanggerang 15321 "/>
    <m/>
    <m/>
    <s v="Sewa Tahunan "/>
    <x v="2"/>
    <x v="158"/>
    <m/>
    <m/>
    <m/>
    <m/>
    <n v="17300000"/>
    <x v="105"/>
    <m/>
    <n v="4000000"/>
    <x v="17"/>
    <m/>
    <x v="140"/>
    <d v="2021-06-04T00:00:00"/>
    <x v="0"/>
    <m/>
    <m/>
    <m/>
    <x v="0"/>
    <x v="0"/>
    <s v="13267/SPP/008/PUSAT/ICON+/2020"/>
    <n v="4500014282"/>
    <m/>
    <m/>
    <m/>
    <m/>
    <m/>
    <m/>
    <m/>
    <m/>
    <m/>
    <m/>
    <m/>
    <m/>
    <m/>
  </r>
  <r>
    <n v="176"/>
    <x v="106"/>
    <x v="1"/>
    <s v="Jakarta 10340"/>
    <m/>
    <m/>
    <s v="Sewa Tahunan "/>
    <x v="3"/>
    <x v="129"/>
    <m/>
    <m/>
    <m/>
    <m/>
    <m/>
    <x v="1"/>
    <m/>
    <m/>
    <x v="68"/>
    <m/>
    <x v="3"/>
    <d v="2021-01-31T00:00:00"/>
    <x v="0"/>
    <m/>
    <m/>
    <m/>
    <x v="0"/>
    <x v="0"/>
    <s v="12664/SPP/008/PUSAT/ICON+/2020"/>
    <n v="4500014000"/>
    <m/>
    <m/>
    <m/>
    <m/>
    <m/>
    <m/>
    <m/>
    <m/>
    <m/>
    <m/>
    <m/>
    <m/>
    <m/>
  </r>
  <r>
    <n v="177"/>
    <x v="107"/>
    <x v="150"/>
    <s v="Jakarta Pusat 10220"/>
    <m/>
    <m/>
    <s v="Sewa Tahunan "/>
    <x v="2"/>
    <x v="159"/>
    <m/>
    <m/>
    <m/>
    <m/>
    <m/>
    <x v="106"/>
    <m/>
    <m/>
    <x v="16"/>
    <m/>
    <x v="141"/>
    <d v="2021-05-14T00:00:00"/>
    <x v="0"/>
    <m/>
    <m/>
    <m/>
    <x v="0"/>
    <x v="0"/>
    <m/>
    <n v="4500014192"/>
    <m/>
    <m/>
    <m/>
    <m/>
    <m/>
    <m/>
    <m/>
    <m/>
    <m/>
    <m/>
    <m/>
    <m/>
    <m/>
  </r>
  <r>
    <n v="178"/>
    <x v="107"/>
    <x v="151"/>
    <s v="Jakarta Pusat 10220"/>
    <m/>
    <m/>
    <s v="Sewa Tahunan "/>
    <x v="3"/>
    <x v="160"/>
    <m/>
    <m/>
    <m/>
    <m/>
    <m/>
    <x v="27"/>
    <m/>
    <m/>
    <x v="42"/>
    <m/>
    <x v="142"/>
    <d v="2021-04-05T00:00:00"/>
    <x v="0"/>
    <m/>
    <m/>
    <m/>
    <x v="0"/>
    <x v="0"/>
    <s v="12694/SPP/008/PUSAT/ICON+/2020"/>
    <n v="4500014194"/>
    <m/>
    <m/>
    <m/>
    <m/>
    <m/>
    <m/>
    <m/>
    <m/>
    <m/>
    <m/>
    <m/>
    <m/>
    <m/>
  </r>
  <r>
    <n v="179"/>
    <x v="20"/>
    <x v="0"/>
    <s v="Jakarta Selatan 12710"/>
    <m/>
    <m/>
    <s v="Sewa Tahunan "/>
    <x v="2"/>
    <x v="70"/>
    <m/>
    <m/>
    <m/>
    <m/>
    <n v="5000000"/>
    <x v="50"/>
    <m/>
    <n v="1500000"/>
    <x v="54"/>
    <m/>
    <x v="63"/>
    <d v="2021-11-22T00:00:00"/>
    <x v="0"/>
    <m/>
    <m/>
    <m/>
    <x v="0"/>
    <x v="0"/>
    <s v="14660/SPP/008/PUSAT/ICON+/2020"/>
    <n v="4500015285"/>
    <m/>
    <m/>
    <m/>
    <m/>
    <m/>
    <m/>
    <m/>
    <m/>
    <m/>
    <m/>
    <m/>
    <m/>
    <m/>
  </r>
  <r>
    <n v="180"/>
    <x v="108"/>
    <x v="152"/>
    <s v="Jakarta Pusat 10250"/>
    <m/>
    <m/>
    <s v="Sewa Tahunan "/>
    <x v="2"/>
    <x v="161"/>
    <m/>
    <m/>
    <m/>
    <m/>
    <n v="3500000"/>
    <x v="20"/>
    <m/>
    <n v="2000000"/>
    <x v="63"/>
    <m/>
    <x v="143"/>
    <d v="2021-11-29T00:00:00"/>
    <x v="0"/>
    <m/>
    <m/>
    <m/>
    <x v="0"/>
    <x v="0"/>
    <s v="14732/SPP/008/PUSAT/ICON+/2020"/>
    <n v="4500015410"/>
    <m/>
    <m/>
    <m/>
    <m/>
    <m/>
    <m/>
    <m/>
    <m/>
    <m/>
    <m/>
    <m/>
    <m/>
    <m/>
  </r>
  <r>
    <n v="181"/>
    <x v="9"/>
    <x v="152"/>
    <s v="Jakarta 12190"/>
    <m/>
    <m/>
    <s v="Sewa Tahunan "/>
    <x v="2"/>
    <x v="162"/>
    <m/>
    <m/>
    <m/>
    <m/>
    <n v="3500000"/>
    <x v="107"/>
    <m/>
    <n v="1500000"/>
    <x v="18"/>
    <m/>
    <x v="63"/>
    <d v="2021-11-22T00:00:00"/>
    <x v="0"/>
    <m/>
    <m/>
    <m/>
    <x v="0"/>
    <x v="0"/>
    <s v="14734/SPP/008/PUSAT/ICON+/2020"/>
    <n v="4500015378"/>
    <m/>
    <m/>
    <m/>
    <m/>
    <m/>
    <m/>
    <m/>
    <m/>
    <m/>
    <m/>
    <m/>
    <m/>
    <m/>
  </r>
  <r>
    <n v="182"/>
    <x v="91"/>
    <x v="153"/>
    <s v="Tanggerang 15321 "/>
    <m/>
    <m/>
    <s v="Sewa Tahunan "/>
    <x v="2"/>
    <x v="163"/>
    <m/>
    <m/>
    <m/>
    <m/>
    <m/>
    <x v="108"/>
    <m/>
    <m/>
    <x v="84"/>
    <m/>
    <x v="127"/>
    <d v="2021-09-08T00:00:00"/>
    <x v="0"/>
    <m/>
    <m/>
    <m/>
    <x v="0"/>
    <x v="0"/>
    <m/>
    <n v="4500015024"/>
    <m/>
    <m/>
    <m/>
    <m/>
    <m/>
    <m/>
    <m/>
    <m/>
    <m/>
    <m/>
    <m/>
    <m/>
    <m/>
  </r>
  <r>
    <n v="183"/>
    <x v="109"/>
    <x v="154"/>
    <s v="Jakarta 10350"/>
    <m/>
    <m/>
    <s v="Sewa Tahunan "/>
    <x v="3"/>
    <x v="164"/>
    <m/>
    <m/>
    <m/>
    <m/>
    <n v="10000000"/>
    <x v="16"/>
    <m/>
    <m/>
    <x v="85"/>
    <m/>
    <x v="144"/>
    <d v="2021-06-29T00:00:00"/>
    <x v="0"/>
    <m/>
    <m/>
    <m/>
    <x v="0"/>
    <x v="0"/>
    <s v="13938/SPP/008/PUSAT/ICON+/2020"/>
    <n v="4500014791"/>
    <m/>
    <m/>
    <m/>
    <m/>
    <m/>
    <m/>
    <m/>
    <m/>
    <m/>
    <m/>
    <m/>
    <m/>
    <m/>
  </r>
  <r>
    <n v="184"/>
    <x v="23"/>
    <x v="138"/>
    <s v="Jakarta Selatan 12710"/>
    <m/>
    <m/>
    <s v="Sewa Tahunan "/>
    <x v="2"/>
    <x v="165"/>
    <m/>
    <m/>
    <m/>
    <m/>
    <n v="3500000"/>
    <x v="109"/>
    <m/>
    <m/>
    <x v="51"/>
    <m/>
    <x v="145"/>
    <d v="2021-08-11T00:00:00"/>
    <x v="0"/>
    <m/>
    <m/>
    <m/>
    <x v="0"/>
    <x v="0"/>
    <s v="13975/SPP/008/PUSAT/ICON+/2020"/>
    <n v="4500014802"/>
    <m/>
    <m/>
    <m/>
    <m/>
    <m/>
    <m/>
    <m/>
    <m/>
    <m/>
    <m/>
    <m/>
    <m/>
    <m/>
  </r>
  <r>
    <n v="185"/>
    <x v="91"/>
    <x v="155"/>
    <s v="Jakarta 15321"/>
    <m/>
    <m/>
    <s v="Sewa Tahunan "/>
    <x v="2"/>
    <x v="166"/>
    <m/>
    <m/>
    <m/>
    <m/>
    <n v="2500000"/>
    <x v="110"/>
    <m/>
    <n v="6000000"/>
    <x v="16"/>
    <m/>
    <x v="137"/>
    <d v="2021-02-02T00:00:00"/>
    <x v="0"/>
    <m/>
    <m/>
    <m/>
    <x v="0"/>
    <x v="0"/>
    <s v="12572/SPP/008/PUSAT/ICON+/2020"/>
    <n v="4500013872"/>
    <m/>
    <m/>
    <m/>
    <m/>
    <m/>
    <m/>
    <m/>
    <m/>
    <m/>
    <m/>
    <m/>
    <m/>
    <m/>
  </r>
  <r>
    <n v="186"/>
    <x v="23"/>
    <x v="156"/>
    <s v="Jakarta Selatan 12710"/>
    <m/>
    <m/>
    <s v="Sewa Tahunan "/>
    <x v="2"/>
    <x v="167"/>
    <m/>
    <m/>
    <m/>
    <m/>
    <n v="2800000"/>
    <x v="111"/>
    <m/>
    <m/>
    <x v="8"/>
    <m/>
    <x v="146"/>
    <d v="2021-06-02T00:00:00"/>
    <x v="0"/>
    <m/>
    <m/>
    <m/>
    <x v="0"/>
    <x v="0"/>
    <s v="13469/SPP/008/PUSAT/ICON+/2020"/>
    <n v="4500014448"/>
    <m/>
    <m/>
    <m/>
    <m/>
    <m/>
    <m/>
    <m/>
    <m/>
    <m/>
    <m/>
    <m/>
    <m/>
    <m/>
  </r>
  <r>
    <n v="187"/>
    <x v="91"/>
    <x v="157"/>
    <s v="Tanggerang 15321 "/>
    <m/>
    <m/>
    <s v="Sewa Tahunan "/>
    <x v="3"/>
    <x v="67"/>
    <m/>
    <m/>
    <m/>
    <m/>
    <m/>
    <x v="112"/>
    <m/>
    <m/>
    <x v="86"/>
    <m/>
    <x v="112"/>
    <d v="2020-12-31T00:00:00"/>
    <x v="0"/>
    <m/>
    <m/>
    <m/>
    <x v="0"/>
    <x v="0"/>
    <s v="12168/SPP/008/PUSAT/ICON+/2020"/>
    <n v="4500013983"/>
    <m/>
    <m/>
    <m/>
    <m/>
    <m/>
    <m/>
    <m/>
    <m/>
    <m/>
    <m/>
    <m/>
    <m/>
    <m/>
  </r>
  <r>
    <n v="188"/>
    <x v="110"/>
    <x v="23"/>
    <s v="Jakarta 12930"/>
    <m/>
    <m/>
    <s v="Sewa Tahunan "/>
    <x v="3"/>
    <x v="168"/>
    <m/>
    <m/>
    <m/>
    <m/>
    <m/>
    <x v="113"/>
    <m/>
    <m/>
    <x v="85"/>
    <m/>
    <x v="102"/>
    <d v="2021-02-28T00:00:00"/>
    <x v="0"/>
    <m/>
    <m/>
    <m/>
    <x v="0"/>
    <x v="0"/>
    <s v="12654/SPP/008/PUSAT/ICON+/2020"/>
    <n v="4500013910"/>
    <m/>
    <m/>
    <m/>
    <m/>
    <m/>
    <m/>
    <m/>
    <m/>
    <m/>
    <m/>
    <m/>
    <m/>
    <m/>
  </r>
  <r>
    <n v="189"/>
    <x v="111"/>
    <x v="157"/>
    <s v="Jakarta 12950"/>
    <m/>
    <m/>
    <s v="Sewa Tahunan "/>
    <x v="3"/>
    <x v="67"/>
    <m/>
    <m/>
    <m/>
    <m/>
    <m/>
    <x v="112"/>
    <m/>
    <m/>
    <x v="87"/>
    <m/>
    <x v="147"/>
    <d v="2021-06-14T00:00:00"/>
    <x v="0"/>
    <m/>
    <m/>
    <m/>
    <x v="0"/>
    <x v="0"/>
    <s v="13678/SPP/008/PUSAT/ICON+/2020"/>
    <n v="4500014747"/>
    <m/>
    <m/>
    <m/>
    <m/>
    <m/>
    <m/>
    <m/>
    <m/>
    <m/>
    <m/>
    <m/>
    <m/>
    <m/>
  </r>
  <r>
    <n v="190"/>
    <x v="112"/>
    <x v="158"/>
    <s v="Jakarta Pusat 10220"/>
    <m/>
    <m/>
    <s v="Sewa Tahunan "/>
    <x v="3"/>
    <x v="169"/>
    <m/>
    <m/>
    <m/>
    <m/>
    <m/>
    <x v="114"/>
    <m/>
    <m/>
    <x v="88"/>
    <m/>
    <x v="148"/>
    <d v="2021-08-26T00:00:00"/>
    <x v="0"/>
    <m/>
    <m/>
    <m/>
    <x v="0"/>
    <x v="0"/>
    <s v="13889/SPP/008/PUSAT/ICON+/2020"/>
    <n v="4500014788"/>
    <m/>
    <m/>
    <m/>
    <m/>
    <m/>
    <m/>
    <m/>
    <m/>
    <m/>
    <m/>
    <m/>
    <m/>
    <m/>
  </r>
  <r>
    <n v="191"/>
    <x v="20"/>
    <x v="159"/>
    <s v="Jakarta Selatan 12710"/>
    <m/>
    <m/>
    <s v="Sewa Tahunan "/>
    <x v="3"/>
    <x v="170"/>
    <m/>
    <m/>
    <m/>
    <m/>
    <n v="3000000"/>
    <x v="89"/>
    <m/>
    <n v="2500000"/>
    <x v="14"/>
    <m/>
    <x v="130"/>
    <d v="2021-06-17T00:00:00"/>
    <x v="0"/>
    <m/>
    <m/>
    <m/>
    <x v="0"/>
    <x v="0"/>
    <m/>
    <n v="4500014483"/>
    <m/>
    <m/>
    <m/>
    <m/>
    <m/>
    <m/>
    <m/>
    <m/>
    <m/>
    <m/>
    <m/>
    <m/>
    <m/>
  </r>
  <r>
    <n v="192"/>
    <x v="113"/>
    <x v="160"/>
    <s v="Jakarta Pusat 10350"/>
    <m/>
    <m/>
    <s v="Sewa Tahunan "/>
    <x v="0"/>
    <x v="171"/>
    <m/>
    <m/>
    <m/>
    <m/>
    <n v="5000000"/>
    <x v="27"/>
    <m/>
    <n v="500000"/>
    <x v="89"/>
    <m/>
    <x v="149"/>
    <d v="2021-08-18T00:00:00"/>
    <x v="0"/>
    <m/>
    <m/>
    <m/>
    <x v="0"/>
    <x v="0"/>
    <s v="16015/SPP/008/PUSAT/ICON+/2021"/>
    <n v="4500016306"/>
    <m/>
    <m/>
    <m/>
    <m/>
    <m/>
    <m/>
    <m/>
    <m/>
    <m/>
    <m/>
    <m/>
    <m/>
    <m/>
  </r>
  <r>
    <n v="193"/>
    <x v="14"/>
    <x v="161"/>
    <s v="Ciputat 00000"/>
    <m/>
    <m/>
    <s v="Sewa Tahunan "/>
    <x v="3"/>
    <x v="172"/>
    <m/>
    <m/>
    <m/>
    <m/>
    <m/>
    <x v="11"/>
    <m/>
    <m/>
    <x v="28"/>
    <m/>
    <x v="150"/>
    <d v="2021-09-22T00:00:00"/>
    <x v="0"/>
    <m/>
    <m/>
    <m/>
    <x v="0"/>
    <x v="0"/>
    <s v="13982/SPP/008/PUSAT/ICON+/2021"/>
    <n v="4500014894"/>
    <m/>
    <m/>
    <m/>
    <m/>
    <m/>
    <m/>
    <m/>
    <m/>
    <m/>
    <m/>
    <m/>
    <m/>
    <m/>
  </r>
  <r>
    <n v="194"/>
    <x v="114"/>
    <x v="134"/>
    <s v="Jakarta 10110"/>
    <m/>
    <m/>
    <s v="Sewa Tahunan"/>
    <x v="2"/>
    <x v="173"/>
    <m/>
    <m/>
    <m/>
    <m/>
    <n v="5000000"/>
    <x v="115"/>
    <m/>
    <n v="2500000"/>
    <x v="56"/>
    <m/>
    <x v="151"/>
    <d v="2022-01-31T00:00:00"/>
    <x v="0"/>
    <m/>
    <m/>
    <m/>
    <x v="0"/>
    <x v="0"/>
    <s v="15147/SPP/008/PUSAT/ICON+/2021"/>
    <n v="4500015758"/>
    <m/>
    <m/>
    <m/>
    <m/>
    <m/>
    <m/>
    <m/>
    <m/>
    <m/>
    <m/>
    <m/>
    <m/>
    <m/>
  </r>
  <r>
    <n v="195"/>
    <x v="115"/>
    <x v="134"/>
    <s v="Kuningan Timur Setiabudi 00000"/>
    <m/>
    <m/>
    <s v="Sewa Tahunan"/>
    <x v="0"/>
    <x v="174"/>
    <m/>
    <m/>
    <m/>
    <m/>
    <n v="5000000"/>
    <x v="115"/>
    <m/>
    <n v="10000000"/>
    <x v="90"/>
    <m/>
    <x v="152"/>
    <d v="2022-01-27T00:00:00"/>
    <x v="0"/>
    <m/>
    <m/>
    <m/>
    <x v="0"/>
    <x v="0"/>
    <s v="15063/SPP/008/PUSAT/ICON+/2020"/>
    <n v="4500015596"/>
    <m/>
    <m/>
    <m/>
    <m/>
    <m/>
    <m/>
    <m/>
    <m/>
    <m/>
    <m/>
    <m/>
    <m/>
    <m/>
  </r>
  <r>
    <n v="196"/>
    <x v="23"/>
    <x v="162"/>
    <s v="Jl.Kuningan Barat NO.8 Cyber-1"/>
    <m/>
    <m/>
    <s v="Sewa Tahunan"/>
    <x v="2"/>
    <x v="67"/>
    <m/>
    <m/>
    <m/>
    <m/>
    <m/>
    <x v="112"/>
    <m/>
    <m/>
    <x v="18"/>
    <m/>
    <x v="153"/>
    <d v="2022-03-11T00:00:00"/>
    <x v="0"/>
    <m/>
    <m/>
    <m/>
    <x v="0"/>
    <x v="0"/>
    <s v="15532/SPP/008/PUSAT/ICON+/2021"/>
    <n v="4500015925"/>
    <m/>
    <m/>
    <m/>
    <m/>
    <m/>
    <m/>
    <m/>
    <m/>
    <m/>
    <m/>
    <m/>
    <m/>
    <m/>
  </r>
  <r>
    <n v="197"/>
    <x v="23"/>
    <x v="163"/>
    <s v="Jakarta Selatan 12710"/>
    <m/>
    <m/>
    <s v="Sewa Tahunan"/>
    <x v="2"/>
    <x v="175"/>
    <m/>
    <m/>
    <m/>
    <m/>
    <n v="2500000"/>
    <x v="116"/>
    <m/>
    <n v="1500000"/>
    <x v="18"/>
    <m/>
    <x v="154"/>
    <d v="2022-03-09T00:00:00"/>
    <x v="0"/>
    <m/>
    <m/>
    <m/>
    <x v="0"/>
    <x v="0"/>
    <s v="15531/SPP/008/PUSAT/ICON+/2021"/>
    <n v="4500015896"/>
    <m/>
    <m/>
    <m/>
    <m/>
    <m/>
    <m/>
    <m/>
    <m/>
    <m/>
    <m/>
    <m/>
    <m/>
    <m/>
  </r>
  <r>
    <n v="198"/>
    <x v="14"/>
    <x v="164"/>
    <s v="Jl.Rempoa Raya 11 Ciputat 00000"/>
    <m/>
    <m/>
    <s v="Sewa Bulanan"/>
    <x v="0"/>
    <x v="176"/>
    <m/>
    <m/>
    <m/>
    <m/>
    <m/>
    <x v="117"/>
    <m/>
    <m/>
    <x v="91"/>
    <m/>
    <x v="155"/>
    <d v="2020-12-05T00:00:00"/>
    <x v="0"/>
    <m/>
    <m/>
    <m/>
    <x v="0"/>
    <x v="0"/>
    <s v="15281/SPP/008/PUSAT/ICON+/2021"/>
    <n v="4500015865"/>
    <m/>
    <m/>
    <m/>
    <m/>
    <m/>
    <m/>
    <m/>
    <m/>
    <m/>
    <m/>
    <m/>
    <m/>
    <m/>
  </r>
  <r>
    <n v="199"/>
    <x v="91"/>
    <x v="165"/>
    <s v="Jl.Kapt.Subijanto DJ Tanggerang 15321"/>
    <m/>
    <m/>
    <s v="Sewa Tahunan"/>
    <x v="1"/>
    <x v="177"/>
    <m/>
    <m/>
    <m/>
    <m/>
    <m/>
    <x v="30"/>
    <m/>
    <n v="5000000"/>
    <x v="92"/>
    <m/>
    <x v="156"/>
    <d v="2022-03-28T00:00:00"/>
    <x v="0"/>
    <m/>
    <m/>
    <m/>
    <x v="0"/>
    <x v="0"/>
    <s v="15532/SPP/008/PUSAT/ICON+/2021"/>
    <n v="4500015915"/>
    <m/>
    <m/>
    <m/>
    <m/>
    <m/>
    <m/>
    <m/>
    <m/>
    <m/>
    <m/>
    <m/>
    <m/>
    <m/>
  </r>
  <r>
    <n v="200"/>
    <x v="116"/>
    <x v="166"/>
    <s v="Bekasi 17530"/>
    <m/>
    <m/>
    <s v="Sewa Bulanan"/>
    <x v="2"/>
    <x v="178"/>
    <m/>
    <m/>
    <m/>
    <m/>
    <m/>
    <x v="30"/>
    <m/>
    <m/>
    <x v="93"/>
    <m/>
    <x v="157"/>
    <d v="2021-09-30T00:00:00"/>
    <x v="0"/>
    <m/>
    <m/>
    <m/>
    <x v="0"/>
    <x v="0"/>
    <s v="15177/SPP/008/PUSAT/ICON+/2021"/>
    <n v="4500015811"/>
    <m/>
    <m/>
    <m/>
    <m/>
    <m/>
    <m/>
    <m/>
    <m/>
    <m/>
    <m/>
    <m/>
    <m/>
    <m/>
  </r>
  <r>
    <n v="201"/>
    <x v="91"/>
    <x v="167"/>
    <s v="Jl.Kapt.Subijanto DJ Tanggerang 15321"/>
    <m/>
    <m/>
    <s v="Sewa Tahunan"/>
    <x v="2"/>
    <x v="179"/>
    <m/>
    <m/>
    <m/>
    <m/>
    <n v="1000000"/>
    <x v="4"/>
    <m/>
    <n v="3000000"/>
    <x v="5"/>
    <m/>
    <x v="158"/>
    <d v="2022-02-17T00:00:00"/>
    <x v="0"/>
    <m/>
    <m/>
    <m/>
    <x v="0"/>
    <x v="0"/>
    <s v="15277/SPP/008/PUSAT/ICON+/2021"/>
    <n v="4500015833"/>
    <m/>
    <m/>
    <m/>
    <m/>
    <m/>
    <m/>
    <m/>
    <m/>
    <m/>
    <m/>
    <m/>
    <m/>
    <m/>
  </r>
  <r>
    <n v="202"/>
    <x v="117"/>
    <x v="168"/>
    <s v="JL.H.R.Rasuna Said Blok X5 13 Jakarta 00000"/>
    <m/>
    <m/>
    <s v="Sewa Tahunan"/>
    <x v="2"/>
    <x v="180"/>
    <m/>
    <m/>
    <m/>
    <m/>
    <n v="5000000"/>
    <x v="118"/>
    <m/>
    <n v="4000000"/>
    <x v="31"/>
    <m/>
    <x v="159"/>
    <d v="2022-02-08T00:00:00"/>
    <x v="0"/>
    <m/>
    <m/>
    <m/>
    <x v="0"/>
    <x v="0"/>
    <s v="15221/SPP/008/PUSAT/ICON+/2021"/>
    <n v="4500015766"/>
    <m/>
    <m/>
    <m/>
    <m/>
    <m/>
    <m/>
    <m/>
    <m/>
    <m/>
    <m/>
    <m/>
    <m/>
    <m/>
  </r>
  <r>
    <n v="203"/>
    <x v="118"/>
    <x v="169"/>
    <s v="Jl.Tentara Pelajar Jakarta 12210"/>
    <m/>
    <m/>
    <s v="Sewa Tahunan"/>
    <x v="0"/>
    <x v="181"/>
    <m/>
    <m/>
    <m/>
    <m/>
    <m/>
    <x v="52"/>
    <m/>
    <m/>
    <x v="94"/>
    <m/>
    <x v="160"/>
    <d v="2022-07-28T00:00:00"/>
    <x v="0"/>
    <m/>
    <m/>
    <m/>
    <x v="0"/>
    <x v="0"/>
    <m/>
    <n v="4500016426"/>
    <m/>
    <m/>
    <m/>
    <m/>
    <m/>
    <m/>
    <m/>
    <m/>
    <m/>
    <m/>
    <m/>
    <m/>
    <m/>
  </r>
  <r>
    <n v="204"/>
    <x v="119"/>
    <x v="131"/>
    <s v="Jl.Kuningan Barat 8 Jakarta 12170"/>
    <m/>
    <m/>
    <s v="Sewa Tahunan"/>
    <x v="1"/>
    <x v="182"/>
    <m/>
    <m/>
    <m/>
    <m/>
    <m/>
    <x v="104"/>
    <m/>
    <m/>
    <x v="82"/>
    <m/>
    <x v="161"/>
    <d v="2022-05-09T00:00:00"/>
    <x v="0"/>
    <m/>
    <m/>
    <m/>
    <x v="0"/>
    <x v="0"/>
    <m/>
    <n v="4500016300"/>
    <m/>
    <m/>
    <m/>
    <m/>
    <m/>
    <m/>
    <m/>
    <m/>
    <m/>
    <m/>
    <m/>
    <m/>
    <m/>
  </r>
  <r>
    <n v="205"/>
    <x v="14"/>
    <x v="170"/>
    <s v="Jl.Rempoa Raya 11 Ciputat 00000"/>
    <m/>
    <m/>
    <s v="Sewa Tahunan"/>
    <x v="0"/>
    <x v="183"/>
    <m/>
    <m/>
    <m/>
    <m/>
    <m/>
    <x v="119"/>
    <m/>
    <m/>
    <x v="95"/>
    <m/>
    <x v="162"/>
    <s v="31/06/2022"/>
    <x v="0"/>
    <m/>
    <m/>
    <m/>
    <x v="0"/>
    <x v="0"/>
    <m/>
    <n v="4500016433"/>
    <m/>
    <m/>
    <m/>
    <m/>
    <m/>
    <m/>
    <m/>
    <m/>
    <m/>
    <m/>
    <m/>
    <m/>
    <m/>
  </r>
  <r>
    <n v="206"/>
    <x v="120"/>
    <x v="171"/>
    <s v="Jl.Gatot Subroto Jakarta 10270"/>
    <m/>
    <m/>
    <s v="Sewa Tahunan"/>
    <x v="0"/>
    <x v="184"/>
    <m/>
    <m/>
    <m/>
    <m/>
    <m/>
    <x v="120"/>
    <m/>
    <m/>
    <x v="96"/>
    <m/>
    <x v="163"/>
    <d v="2022-06-30T00:00:00"/>
    <x v="0"/>
    <m/>
    <m/>
    <m/>
    <x v="0"/>
    <x v="0"/>
    <m/>
    <n v="4500016429"/>
    <m/>
    <m/>
    <m/>
    <m/>
    <m/>
    <m/>
    <m/>
    <m/>
    <m/>
    <m/>
    <m/>
    <m/>
    <m/>
  </r>
  <r>
    <n v="207"/>
    <x v="121"/>
    <x v="45"/>
    <s v="Jakarta Selatan 12190"/>
    <m/>
    <m/>
    <s v="Sewa Tahunan"/>
    <x v="0"/>
    <x v="185"/>
    <m/>
    <m/>
    <m/>
    <m/>
    <m/>
    <x v="121"/>
    <m/>
    <m/>
    <x v="97"/>
    <m/>
    <x v="163"/>
    <d v="2022-06-30T00:00:00"/>
    <x v="0"/>
    <m/>
    <m/>
    <m/>
    <x v="0"/>
    <x v="0"/>
    <m/>
    <n v="4500016428"/>
    <m/>
    <m/>
    <m/>
    <m/>
    <m/>
    <m/>
    <m/>
    <m/>
    <m/>
    <m/>
    <m/>
    <m/>
    <m/>
  </r>
  <r>
    <n v="208"/>
    <x v="116"/>
    <x v="172"/>
    <s v="Bekasi 17530"/>
    <m/>
    <m/>
    <s v="Sewa Tahunan"/>
    <x v="2"/>
    <x v="186"/>
    <m/>
    <m/>
    <m/>
    <m/>
    <n v="2000000"/>
    <x v="10"/>
    <m/>
    <m/>
    <x v="98"/>
    <m/>
    <x v="164"/>
    <d v="2022-07-05T00:00:00"/>
    <x v="0"/>
    <m/>
    <m/>
    <m/>
    <x v="0"/>
    <x v="0"/>
    <s v="16106/SPP/008/PUSAT/ICON+/2021"/>
    <n v="4500016365"/>
    <m/>
    <m/>
    <m/>
    <m/>
    <m/>
    <m/>
    <m/>
    <m/>
    <m/>
    <m/>
    <m/>
    <m/>
    <m/>
  </r>
  <r>
    <n v="209"/>
    <x v="91"/>
    <x v="106"/>
    <s v="Jl.Kapt.Subijanto DJ Tanggerang 15321"/>
    <m/>
    <m/>
    <s v="Sewa Tahunan"/>
    <x v="2"/>
    <x v="187"/>
    <m/>
    <m/>
    <m/>
    <m/>
    <n v="15000000"/>
    <x v="5"/>
    <m/>
    <n v="6000000"/>
    <x v="16"/>
    <m/>
    <x v="165"/>
    <d v="2022-07-21T00:00:00"/>
    <x v="0"/>
    <m/>
    <m/>
    <m/>
    <x v="0"/>
    <x v="0"/>
    <s v="16311/SPP/008/PUSAT/ICON+/2021"/>
    <n v="4500016590"/>
    <m/>
    <m/>
    <m/>
    <m/>
    <m/>
    <m/>
    <m/>
    <m/>
    <m/>
    <m/>
    <m/>
    <m/>
    <m/>
  </r>
  <r>
    <n v="210"/>
    <x v="120"/>
    <x v="173"/>
    <s v="Jl.Gatot Subroto Jakarta 10270"/>
    <m/>
    <m/>
    <s v="Sewa Harian"/>
    <x v="0"/>
    <x v="188"/>
    <m/>
    <m/>
    <m/>
    <m/>
    <m/>
    <x v="122"/>
    <m/>
    <m/>
    <x v="99"/>
    <m/>
    <x v="166"/>
    <d v="2021-06-30T00:00:00"/>
    <x v="0"/>
    <m/>
    <m/>
    <m/>
    <x v="0"/>
    <x v="0"/>
    <s v="16136/SPP/008/PUSAT/ICON+/2021"/>
    <n v="4500016357"/>
    <m/>
    <m/>
    <m/>
    <m/>
    <m/>
    <m/>
    <m/>
    <m/>
    <m/>
    <m/>
    <m/>
    <m/>
    <m/>
  </r>
  <r>
    <n v="211"/>
    <x v="116"/>
    <x v="174"/>
    <s v="Bekasi 17530"/>
    <m/>
    <m/>
    <s v="Sewa Tahunan"/>
    <x v="2"/>
    <x v="189"/>
    <m/>
    <m/>
    <m/>
    <m/>
    <n v="3500000"/>
    <x v="35"/>
    <m/>
    <m/>
    <x v="93"/>
    <m/>
    <x v="167"/>
    <d v="2022-05-26T00:00:00"/>
    <x v="0"/>
    <m/>
    <m/>
    <m/>
    <x v="0"/>
    <x v="0"/>
    <m/>
    <n v="4500016354"/>
    <m/>
    <m/>
    <m/>
    <m/>
    <m/>
    <m/>
    <m/>
    <m/>
    <m/>
    <m/>
    <m/>
    <m/>
    <m/>
  </r>
  <r>
    <n v="212"/>
    <x v="122"/>
    <x v="175"/>
    <s v="Jl.Mangga Dua Raya Jakarta Pusat 10730"/>
    <m/>
    <m/>
    <s v="Sewa Tahunan"/>
    <x v="1"/>
    <x v="190"/>
    <m/>
    <m/>
    <m/>
    <m/>
    <m/>
    <x v="11"/>
    <m/>
    <m/>
    <x v="29"/>
    <m/>
    <x v="168"/>
    <d v="2022-05-29T00:00:00"/>
    <x v="0"/>
    <m/>
    <m/>
    <m/>
    <x v="0"/>
    <x v="0"/>
    <m/>
    <n v="4500016170"/>
    <m/>
    <m/>
    <m/>
    <m/>
    <m/>
    <m/>
    <m/>
    <m/>
    <m/>
    <m/>
    <m/>
    <m/>
    <m/>
  </r>
  <r>
    <n v="213"/>
    <x v="123"/>
    <x v="8"/>
    <s v="Gd JITC Lt 7&amp;8 Jl Mangga Dua Jakarta Utara 14430"/>
    <m/>
    <m/>
    <s v="Sewa Tahunan"/>
    <x v="1"/>
    <x v="191"/>
    <m/>
    <m/>
    <m/>
    <m/>
    <m/>
    <x v="123"/>
    <m/>
    <m/>
    <x v="100"/>
    <m/>
    <x v="169"/>
    <d v="2022-04-11T00:00:00"/>
    <x v="0"/>
    <m/>
    <m/>
    <m/>
    <x v="0"/>
    <x v="0"/>
    <m/>
    <n v="4500016054"/>
    <m/>
    <m/>
    <m/>
    <m/>
    <m/>
    <m/>
    <m/>
    <m/>
    <m/>
    <m/>
    <m/>
    <m/>
    <m/>
  </r>
  <r>
    <n v="214"/>
    <x v="124"/>
    <x v="176"/>
    <s v="Jakarta 12950"/>
    <m/>
    <m/>
    <s v="Sewa Tahunan"/>
    <x v="1"/>
    <x v="192"/>
    <m/>
    <m/>
    <m/>
    <m/>
    <m/>
    <x v="124"/>
    <m/>
    <m/>
    <x v="76"/>
    <m/>
    <x v="162"/>
    <d v="2022-07-31T00:00:00"/>
    <x v="0"/>
    <m/>
    <m/>
    <m/>
    <x v="0"/>
    <x v="0"/>
    <m/>
    <n v="4500016264"/>
    <m/>
    <m/>
    <m/>
    <m/>
    <m/>
    <m/>
    <m/>
    <m/>
    <m/>
    <m/>
    <m/>
    <m/>
    <m/>
  </r>
  <r>
    <n v="215"/>
    <x v="23"/>
    <x v="177"/>
    <s v="Jakarta Selatan 12710"/>
    <m/>
    <m/>
    <s v="Sewa Tahunan"/>
    <x v="2"/>
    <x v="193"/>
    <m/>
    <m/>
    <m/>
    <m/>
    <m/>
    <x v="125"/>
    <m/>
    <m/>
    <x v="18"/>
    <m/>
    <x v="170"/>
    <d v="2022-12-23T00:00:00"/>
    <x v="0"/>
    <m/>
    <m/>
    <m/>
    <x v="0"/>
    <x v="0"/>
    <m/>
    <n v="4500017434"/>
    <m/>
    <m/>
    <m/>
    <m/>
    <m/>
    <m/>
    <m/>
    <m/>
    <m/>
    <m/>
    <m/>
    <m/>
    <m/>
  </r>
  <r>
    <n v="216"/>
    <x v="117"/>
    <x v="47"/>
    <s v="Jakarta 00000"/>
    <m/>
    <m/>
    <s v="Sewa Tahunan"/>
    <x v="2"/>
    <x v="194"/>
    <m/>
    <m/>
    <m/>
    <m/>
    <m/>
    <x v="27"/>
    <m/>
    <m/>
    <x v="31"/>
    <m/>
    <x v="171"/>
    <d v="2022-12-17T00:00:00"/>
    <x v="0"/>
    <m/>
    <m/>
    <m/>
    <x v="0"/>
    <x v="0"/>
    <m/>
    <n v="4500017405"/>
    <m/>
    <m/>
    <m/>
    <m/>
    <m/>
    <m/>
    <m/>
    <m/>
    <m/>
    <m/>
    <m/>
    <m/>
    <m/>
  </r>
  <r>
    <n v="217"/>
    <x v="23"/>
    <x v="26"/>
    <s v="Jakarta Selatan 12710"/>
    <m/>
    <m/>
    <s v="Sewa Tahunan"/>
    <x v="2"/>
    <x v="195"/>
    <m/>
    <m/>
    <m/>
    <m/>
    <m/>
    <x v="23"/>
    <m/>
    <m/>
    <x v="18"/>
    <m/>
    <x v="170"/>
    <d v="2022-12-23T00:00:00"/>
    <x v="0"/>
    <m/>
    <m/>
    <m/>
    <x v="0"/>
    <x v="0"/>
    <m/>
    <n v="4500017432"/>
    <m/>
    <m/>
    <m/>
    <m/>
    <m/>
    <m/>
    <m/>
    <m/>
    <m/>
    <m/>
    <m/>
    <m/>
    <m/>
  </r>
  <r>
    <n v="218"/>
    <x v="125"/>
    <x v="178"/>
    <s v="Kemayoran Jakarta 10610"/>
    <m/>
    <m/>
    <s v="Sewa Tahunan"/>
    <x v="1"/>
    <x v="196"/>
    <m/>
    <m/>
    <m/>
    <m/>
    <n v="5000000"/>
    <x v="95"/>
    <m/>
    <m/>
    <x v="101"/>
    <m/>
    <x v="172"/>
    <d v="2022-12-26T00:00:00"/>
    <x v="0"/>
    <m/>
    <m/>
    <m/>
    <x v="0"/>
    <x v="0"/>
    <s v="17628/SPP/008/PUSAT/ICON+/2022"/>
    <n v="4500017450"/>
    <m/>
    <m/>
    <m/>
    <m/>
    <m/>
    <m/>
    <m/>
    <m/>
    <m/>
    <m/>
    <m/>
    <m/>
    <m/>
  </r>
  <r>
    <n v="219"/>
    <x v="14"/>
    <x v="179"/>
    <s v="Ciputat 00000"/>
    <m/>
    <m/>
    <s v="Sewa Tahunan"/>
    <x v="1"/>
    <x v="197"/>
    <m/>
    <m/>
    <m/>
    <m/>
    <m/>
    <x v="126"/>
    <m/>
    <m/>
    <x v="8"/>
    <m/>
    <x v="173"/>
    <d v="2022-11-18T00:00:00"/>
    <x v="0"/>
    <m/>
    <m/>
    <m/>
    <x v="0"/>
    <x v="0"/>
    <s v="17323/SPP/008/PUSAT/ICON+/2022"/>
    <n v="4500017890"/>
    <m/>
    <m/>
    <m/>
    <m/>
    <m/>
    <m/>
    <m/>
    <m/>
    <m/>
    <m/>
    <m/>
    <m/>
    <m/>
  </r>
  <r>
    <n v="220"/>
    <x v="88"/>
    <x v="180"/>
    <s v="Jakarta 10610"/>
    <m/>
    <m/>
    <s v="Sewa Tahunan"/>
    <x v="1"/>
    <x v="198"/>
    <m/>
    <m/>
    <m/>
    <m/>
    <m/>
    <x v="127"/>
    <m/>
    <m/>
    <x v="102"/>
    <m/>
    <x v="174"/>
    <d v="2022-11-17T00:00:00"/>
    <x v="0"/>
    <m/>
    <m/>
    <m/>
    <x v="0"/>
    <x v="0"/>
    <s v="17571/SPP/008/PUSAT/ICON+/2021"/>
    <n v="4500017412"/>
    <m/>
    <m/>
    <m/>
    <m/>
    <m/>
    <m/>
    <m/>
    <m/>
    <m/>
    <m/>
    <m/>
    <m/>
    <m/>
  </r>
  <r>
    <n v="221"/>
    <x v="116"/>
    <x v="181"/>
    <s v="Bekasi 17530"/>
    <m/>
    <m/>
    <s v="Sewa Tahunan"/>
    <x v="2"/>
    <x v="199"/>
    <m/>
    <m/>
    <m/>
    <m/>
    <n v="3500000"/>
    <x v="36"/>
    <m/>
    <m/>
    <x v="103"/>
    <m/>
    <x v="175"/>
    <d v="2022-09-30T00:00:00"/>
    <x v="0"/>
    <m/>
    <m/>
    <m/>
    <x v="0"/>
    <x v="0"/>
    <s v="16813/SPP/008/PUSAT/ICON+/2021"/>
    <n v="4500016810"/>
    <m/>
    <m/>
    <m/>
    <m/>
    <m/>
    <m/>
    <m/>
    <m/>
    <m/>
    <m/>
    <m/>
    <m/>
    <m/>
  </r>
  <r>
    <n v="222"/>
    <x v="23"/>
    <x v="182"/>
    <s v="Jakarta Selatan 12710"/>
    <m/>
    <m/>
    <s v="Sewa Tahunan"/>
    <x v="2"/>
    <x v="200"/>
    <m/>
    <m/>
    <m/>
    <m/>
    <m/>
    <x v="8"/>
    <m/>
    <n v="1500000"/>
    <x v="10"/>
    <m/>
    <x v="176"/>
    <d v="2022-10-13T00:00:00"/>
    <x v="0"/>
    <m/>
    <m/>
    <m/>
    <x v="0"/>
    <x v="0"/>
    <s v="16886/SPP/008/PUSAT/ICON+/2021"/>
    <n v="4500016925"/>
    <m/>
    <m/>
    <m/>
    <m/>
    <m/>
    <m/>
    <m/>
    <m/>
    <m/>
    <m/>
    <m/>
    <m/>
    <m/>
  </r>
  <r>
    <n v="223"/>
    <x v="126"/>
    <x v="183"/>
    <s v="Jakarta 12190"/>
    <m/>
    <m/>
    <s v="Sewa Tahunan"/>
    <x v="0"/>
    <x v="201"/>
    <m/>
    <m/>
    <m/>
    <m/>
    <m/>
    <x v="128"/>
    <m/>
    <m/>
    <x v="104"/>
    <m/>
    <x v="163"/>
    <d v="2022-06-30T00:00:00"/>
    <x v="0"/>
    <m/>
    <m/>
    <m/>
    <x v="0"/>
    <x v="0"/>
    <m/>
    <n v="4500016936"/>
    <m/>
    <m/>
    <m/>
    <m/>
    <m/>
    <m/>
    <m/>
    <m/>
    <m/>
    <m/>
    <m/>
    <m/>
    <m/>
  </r>
  <r>
    <n v="224"/>
    <x v="127"/>
    <x v="184"/>
    <s v="Jakarta Pusat 10350"/>
    <m/>
    <m/>
    <s v="Sewa Tahunan"/>
    <x v="0"/>
    <x v="171"/>
    <m/>
    <m/>
    <m/>
    <m/>
    <m/>
    <x v="27"/>
    <m/>
    <m/>
    <x v="89"/>
    <m/>
    <x v="177"/>
    <d v="2022-08-18T00:00:00"/>
    <x v="0"/>
    <m/>
    <m/>
    <m/>
    <x v="0"/>
    <x v="0"/>
    <m/>
    <n v="4500016793"/>
    <m/>
    <m/>
    <m/>
    <m/>
    <m/>
    <m/>
    <m/>
    <m/>
    <m/>
    <m/>
    <m/>
    <m/>
    <m/>
  </r>
  <r>
    <n v="225"/>
    <x v="128"/>
    <x v="185"/>
    <s v="Jakarta 12710"/>
    <m/>
    <m/>
    <s v="Sewa Tahunan"/>
    <x v="1"/>
    <x v="67"/>
    <m/>
    <m/>
    <m/>
    <m/>
    <m/>
    <x v="112"/>
    <m/>
    <m/>
    <x v="16"/>
    <m/>
    <x v="178"/>
    <d v="2022-10-28T00:00:00"/>
    <x v="0"/>
    <m/>
    <m/>
    <m/>
    <x v="0"/>
    <x v="0"/>
    <m/>
    <n v="4500016735"/>
    <m/>
    <m/>
    <m/>
    <m/>
    <m/>
    <m/>
    <m/>
    <m/>
    <m/>
    <m/>
    <m/>
    <m/>
    <m/>
  </r>
  <r>
    <n v="226"/>
    <x v="116"/>
    <x v="186"/>
    <s v="Bekasi 17530"/>
    <m/>
    <m/>
    <s v="Sewa Bulanan"/>
    <x v="2"/>
    <x v="202"/>
    <m/>
    <m/>
    <m/>
    <m/>
    <n v="3000000"/>
    <x v="129"/>
    <m/>
    <m/>
    <x v="105"/>
    <m/>
    <x v="179"/>
    <d v="2021-09-30T00:00:00"/>
    <x v="0"/>
    <m/>
    <m/>
    <m/>
    <x v="0"/>
    <x v="0"/>
    <s v="15881/SPP/008/PUSAT/ICON+/2021"/>
    <n v="4500016199"/>
    <m/>
    <m/>
    <m/>
    <m/>
    <m/>
    <m/>
    <m/>
    <m/>
    <m/>
    <m/>
    <m/>
    <m/>
    <m/>
  </r>
  <r>
    <n v="227"/>
    <x v="129"/>
    <x v="187"/>
    <s v="Jakarta 12410"/>
    <m/>
    <m/>
    <s v="Sewa Tahunan"/>
    <x v="0"/>
    <x v="203"/>
    <m/>
    <m/>
    <m/>
    <m/>
    <m/>
    <x v="130"/>
    <m/>
    <n v="5500000"/>
    <x v="106"/>
    <m/>
    <x v="180"/>
    <d v="2022-09-20T00:00:00"/>
    <x v="0"/>
    <m/>
    <m/>
    <m/>
    <x v="0"/>
    <x v="0"/>
    <m/>
    <n v="4500016774"/>
    <m/>
    <m/>
    <m/>
    <m/>
    <m/>
    <m/>
    <m/>
    <m/>
    <m/>
    <m/>
    <m/>
    <m/>
    <m/>
  </r>
  <r>
    <n v="228"/>
    <x v="130"/>
    <x v="165"/>
    <s v="Jakarta Pusat 10250"/>
    <m/>
    <m/>
    <s v="Sewa Tahunan"/>
    <x v="0"/>
    <x v="204"/>
    <m/>
    <m/>
    <m/>
    <m/>
    <m/>
    <x v="131"/>
    <m/>
    <n v="2500000"/>
    <x v="61"/>
    <m/>
    <x v="181"/>
    <d v="2022-12-12T00:00:00"/>
    <x v="0"/>
    <m/>
    <m/>
    <m/>
    <x v="0"/>
    <x v="0"/>
    <s v="16930/SPP/008/PUSAT/ICON+/2021"/>
    <n v="4500016990"/>
    <m/>
    <m/>
    <m/>
    <m/>
    <m/>
    <m/>
    <m/>
    <m/>
    <m/>
    <m/>
    <m/>
    <m/>
    <m/>
  </r>
  <r>
    <n v="229"/>
    <x v="120"/>
    <x v="173"/>
    <s v="Jakarta 10270"/>
    <m/>
    <m/>
    <s v="Sewa Harian"/>
    <x v="0"/>
    <x v="205"/>
    <m/>
    <m/>
    <m/>
    <m/>
    <m/>
    <x v="122"/>
    <m/>
    <m/>
    <x v="99"/>
    <m/>
    <x v="182"/>
    <d v="2021-10-07T00:00:00"/>
    <x v="0"/>
    <m/>
    <m/>
    <m/>
    <x v="0"/>
    <x v="0"/>
    <m/>
    <n v="4500017073"/>
    <m/>
    <m/>
    <m/>
    <m/>
    <m/>
    <m/>
    <m/>
    <m/>
    <m/>
    <m/>
    <m/>
    <m/>
    <m/>
  </r>
  <r>
    <n v="230"/>
    <x v="9"/>
    <x v="188"/>
    <s v="Jakarta 12190"/>
    <m/>
    <m/>
    <s v="Sewa Tahunan"/>
    <x v="2"/>
    <x v="67"/>
    <m/>
    <m/>
    <m/>
    <m/>
    <m/>
    <x v="112"/>
    <m/>
    <m/>
    <x v="41"/>
    <m/>
    <x v="183"/>
    <d v="2022-09-26T00:00:00"/>
    <x v="0"/>
    <m/>
    <m/>
    <m/>
    <x v="0"/>
    <x v="0"/>
    <s v="16780/SPP/008/PUSAT/ICON+/2021"/>
    <n v="4500016819"/>
    <m/>
    <m/>
    <m/>
    <m/>
    <m/>
    <m/>
    <m/>
    <m/>
    <m/>
    <m/>
    <m/>
    <m/>
    <m/>
  </r>
  <r>
    <n v="231"/>
    <x v="91"/>
    <x v="185"/>
    <s v="Tanggerang 15321"/>
    <m/>
    <m/>
    <s v="Sewa Tahunan"/>
    <x v="2"/>
    <x v="67"/>
    <m/>
    <m/>
    <m/>
    <m/>
    <m/>
    <x v="112"/>
    <m/>
    <m/>
    <x v="107"/>
    <m/>
    <x v="184"/>
    <d v="2022-08-30T00:00:00"/>
    <x v="0"/>
    <m/>
    <m/>
    <m/>
    <x v="0"/>
    <x v="0"/>
    <s v="16488/SPP/008/PUSAT/ICON+/2021"/>
    <n v="4500016647"/>
    <m/>
    <m/>
    <m/>
    <m/>
    <m/>
    <m/>
    <m/>
    <m/>
    <m/>
    <m/>
    <m/>
    <m/>
    <m/>
  </r>
  <r>
    <n v="232"/>
    <x v="131"/>
    <x v="189"/>
    <s v="Jakarta Pusat 00000"/>
    <m/>
    <m/>
    <s v="Sewa Tahunan"/>
    <x v="1"/>
    <x v="206"/>
    <m/>
    <m/>
    <m/>
    <m/>
    <m/>
    <x v="10"/>
    <m/>
    <m/>
    <x v="42"/>
    <m/>
    <x v="185"/>
    <s v="19/4/2022"/>
    <x v="0"/>
    <m/>
    <m/>
    <m/>
    <x v="0"/>
    <x v="0"/>
    <m/>
    <n v="4500016056"/>
    <m/>
    <m/>
    <m/>
    <m/>
    <m/>
    <m/>
    <m/>
    <m/>
    <m/>
    <m/>
    <m/>
    <m/>
    <m/>
  </r>
  <r>
    <n v="233"/>
    <x v="90"/>
    <x v="190"/>
    <s v="Bekasi 17530"/>
    <m/>
    <m/>
    <s v="Sewa Tahunan"/>
    <x v="2"/>
    <x v="207"/>
    <m/>
    <m/>
    <m/>
    <m/>
    <n v="5000000"/>
    <x v="110"/>
    <m/>
    <m/>
    <x v="105"/>
    <m/>
    <x v="186"/>
    <d v="2022-02-03T00:00:00"/>
    <x v="0"/>
    <m/>
    <m/>
    <m/>
    <x v="0"/>
    <x v="0"/>
    <s v="15458/SPP/008/PUSAT/ICON+/2021"/>
    <n v="4500015860"/>
    <m/>
    <m/>
    <m/>
    <m/>
    <m/>
    <m/>
    <m/>
    <m/>
    <m/>
    <m/>
    <m/>
    <m/>
    <m/>
  </r>
  <r>
    <n v="234"/>
    <x v="132"/>
    <x v="62"/>
    <s v="Jakarta 12950"/>
    <m/>
    <m/>
    <s v="Sewa Bulanan"/>
    <x v="0"/>
    <x v="208"/>
    <m/>
    <m/>
    <m/>
    <m/>
    <m/>
    <x v="132"/>
    <m/>
    <n v="5000000"/>
    <x v="108"/>
    <m/>
    <x v="187"/>
    <s v="30/5/2021"/>
    <x v="0"/>
    <m/>
    <m/>
    <m/>
    <x v="0"/>
    <x v="0"/>
    <s v="15143/SPP/008/PUSAT/ICON+/2021"/>
    <n v="4500015809"/>
    <m/>
    <m/>
    <m/>
    <m/>
    <m/>
    <m/>
    <m/>
    <m/>
    <m/>
    <m/>
    <m/>
    <m/>
    <m/>
  </r>
  <r>
    <n v="235"/>
    <x v="90"/>
    <x v="191"/>
    <s v="Bekasi 17530"/>
    <m/>
    <m/>
    <s v="Sewa Tahunan"/>
    <x v="2"/>
    <x v="209"/>
    <m/>
    <m/>
    <m/>
    <m/>
    <m/>
    <x v="133"/>
    <m/>
    <m/>
    <x v="109"/>
    <m/>
    <x v="188"/>
    <s v="24/2/2022"/>
    <x v="0"/>
    <m/>
    <m/>
    <m/>
    <x v="0"/>
    <x v="0"/>
    <s v="15454/SPP/008/PUSAT/ICON+/2021"/>
    <n v="4500015859"/>
    <m/>
    <m/>
    <m/>
    <m/>
    <m/>
    <m/>
    <m/>
    <m/>
    <m/>
    <m/>
    <m/>
    <m/>
    <m/>
  </r>
  <r>
    <n v="236"/>
    <x v="133"/>
    <x v="192"/>
    <s v="Bali 00000"/>
    <m/>
    <m/>
    <s v="Sewa Tahunan"/>
    <x v="2"/>
    <x v="210"/>
    <m/>
    <m/>
    <m/>
    <m/>
    <n v="5000000"/>
    <x v="2"/>
    <m/>
    <n v="1000000"/>
    <x v="110"/>
    <m/>
    <x v="189"/>
    <d v="2022-04-03T00:00:00"/>
    <x v="0"/>
    <m/>
    <m/>
    <m/>
    <x v="0"/>
    <x v="0"/>
    <s v="15325/SPP/008/PUSAT/ICON+/2021"/>
    <n v="4500015834"/>
    <m/>
    <m/>
    <m/>
    <m/>
    <m/>
    <m/>
    <m/>
    <m/>
    <m/>
    <m/>
    <m/>
    <m/>
    <m/>
  </r>
  <r>
    <n v="237"/>
    <x v="134"/>
    <x v="193"/>
    <s v="Jakarta Selatan 00000"/>
    <m/>
    <m/>
    <s v="Sewa Tahunan"/>
    <x v="1"/>
    <x v="211"/>
    <m/>
    <m/>
    <m/>
    <m/>
    <n v="10000000"/>
    <x v="16"/>
    <m/>
    <m/>
    <x v="5"/>
    <m/>
    <x v="190"/>
    <d v="2022-09-03T00:00:00"/>
    <x v="0"/>
    <m/>
    <m/>
    <m/>
    <x v="0"/>
    <x v="0"/>
    <s v="15383/SPP/008/PUSAT/ICON+/2021"/>
    <n v="4500015835"/>
    <m/>
    <m/>
    <m/>
    <m/>
    <m/>
    <m/>
    <m/>
    <m/>
    <m/>
    <m/>
    <m/>
    <m/>
    <m/>
  </r>
  <r>
    <n v="238"/>
    <x v="23"/>
    <x v="194"/>
    <s v="Jakarta Selatan 12710"/>
    <m/>
    <m/>
    <s v="Sewa Tahunan"/>
    <x v="2"/>
    <x v="212"/>
    <m/>
    <m/>
    <m/>
    <m/>
    <n v="2500000"/>
    <x v="116"/>
    <m/>
    <m/>
    <x v="18"/>
    <m/>
    <x v="191"/>
    <d v="2022-04-02T00:00:00"/>
    <x v="0"/>
    <m/>
    <m/>
    <m/>
    <x v="0"/>
    <x v="0"/>
    <s v="15187/SPP/008/PUSAT/ICON+/2021"/>
    <n v="4500015757"/>
    <m/>
    <m/>
    <m/>
    <m/>
    <m/>
    <m/>
    <m/>
    <m/>
    <m/>
    <m/>
    <m/>
    <m/>
    <m/>
  </r>
  <r>
    <n v="239"/>
    <x v="23"/>
    <x v="194"/>
    <s v="Jakarta Selatan 12710"/>
    <m/>
    <m/>
    <s v="Sewa Tahunan"/>
    <x v="2"/>
    <x v="213"/>
    <m/>
    <m/>
    <m/>
    <m/>
    <n v="2500000"/>
    <x v="116"/>
    <m/>
    <m/>
    <x v="18"/>
    <m/>
    <x v="191"/>
    <d v="2022-04-02T00:00:00"/>
    <x v="0"/>
    <m/>
    <m/>
    <m/>
    <x v="0"/>
    <x v="0"/>
    <s v="15188/SPP/008/PUSAT/ICON+/2021"/>
    <n v="4500015756"/>
    <m/>
    <m/>
    <m/>
    <m/>
    <m/>
    <m/>
    <m/>
    <m/>
    <m/>
    <m/>
    <m/>
    <m/>
    <m/>
  </r>
  <r>
    <n v="240"/>
    <x v="135"/>
    <x v="62"/>
    <s v="Jakarta Selatan 12710"/>
    <m/>
    <m/>
    <s v="Sewa Tahunan"/>
    <x v="2"/>
    <x v="214"/>
    <m/>
    <m/>
    <m/>
    <m/>
    <m/>
    <x v="134"/>
    <m/>
    <m/>
    <x v="111"/>
    <m/>
    <x v="192"/>
    <s v="13/12/2021"/>
    <x v="0"/>
    <m/>
    <m/>
    <m/>
    <x v="0"/>
    <x v="0"/>
    <s v="15097/SPP/008/PUSAT/ICON+/2021"/>
    <n v="4500015736"/>
    <m/>
    <m/>
    <m/>
    <m/>
    <m/>
    <m/>
    <m/>
    <m/>
    <m/>
    <m/>
    <m/>
    <m/>
    <m/>
  </r>
  <r>
    <n v="241"/>
    <x v="5"/>
    <x v="195"/>
    <s v="Jakarta 00000"/>
    <m/>
    <m/>
    <s v="Sewa Tahunan"/>
    <x v="2"/>
    <x v="215"/>
    <m/>
    <m/>
    <m/>
    <m/>
    <m/>
    <x v="35"/>
    <m/>
    <m/>
    <x v="31"/>
    <m/>
    <x v="193"/>
    <s v="14/5/2022"/>
    <x v="0"/>
    <m/>
    <m/>
    <m/>
    <x v="0"/>
    <x v="0"/>
    <m/>
    <n v="4500016427"/>
    <m/>
    <m/>
    <m/>
    <m/>
    <m/>
    <m/>
    <m/>
    <m/>
    <m/>
    <m/>
    <m/>
    <m/>
    <m/>
  </r>
  <r>
    <n v="242"/>
    <x v="120"/>
    <x v="196"/>
    <s v="Jakarta 10270"/>
    <m/>
    <m/>
    <s v="Sewa Tahunan"/>
    <x v="0"/>
    <x v="216"/>
    <m/>
    <m/>
    <m/>
    <m/>
    <m/>
    <x v="4"/>
    <m/>
    <m/>
    <x v="112"/>
    <m/>
    <x v="194"/>
    <d v="2022-08-07T00:00:00"/>
    <x v="0"/>
    <m/>
    <m/>
    <m/>
    <x v="0"/>
    <x v="0"/>
    <m/>
    <n v="4500016430"/>
    <m/>
    <m/>
    <m/>
    <m/>
    <m/>
    <m/>
    <m/>
    <m/>
    <m/>
    <m/>
    <m/>
    <m/>
    <m/>
  </r>
  <r>
    <n v="243"/>
    <x v="14"/>
    <x v="197"/>
    <s v="Ciputat 00000"/>
    <m/>
    <m/>
    <s v="Sewa Tahunan"/>
    <x v="0"/>
    <x v="217"/>
    <m/>
    <m/>
    <m/>
    <m/>
    <m/>
    <x v="2"/>
    <m/>
    <m/>
    <x v="95"/>
    <m/>
    <x v="195"/>
    <s v="28/7/2022"/>
    <x v="0"/>
    <m/>
    <m/>
    <m/>
    <x v="0"/>
    <x v="0"/>
    <m/>
    <n v="4500016432"/>
    <m/>
    <m/>
    <m/>
    <m/>
    <m/>
    <m/>
    <m/>
    <m/>
    <m/>
    <m/>
    <m/>
    <m/>
    <m/>
  </r>
  <r>
    <n v="244"/>
    <x v="136"/>
    <x v="198"/>
    <s v="Grogol, Petamburan,Jakarta Barat 11450"/>
    <m/>
    <m/>
    <s v="Sewa Tahunan"/>
    <x v="0"/>
    <x v="218"/>
    <m/>
    <m/>
    <m/>
    <m/>
    <m/>
    <x v="33"/>
    <m/>
    <m/>
    <x v="14"/>
    <m/>
    <x v="196"/>
    <s v="30/6/2022"/>
    <x v="0"/>
    <m/>
    <m/>
    <m/>
    <x v="0"/>
    <x v="0"/>
    <m/>
    <n v="4500016431"/>
    <m/>
    <m/>
    <m/>
    <m/>
    <m/>
    <m/>
    <m/>
    <m/>
    <m/>
    <m/>
    <m/>
    <m/>
    <m/>
  </r>
  <r>
    <n v="245"/>
    <x v="118"/>
    <x v="0"/>
    <s v="Jakarta 12210"/>
    <m/>
    <m/>
    <s v="Sewa Tahunan"/>
    <x v="0"/>
    <x v="0"/>
    <m/>
    <m/>
    <m/>
    <m/>
    <m/>
    <x v="0"/>
    <m/>
    <m/>
    <x v="0"/>
    <m/>
    <x v="197"/>
    <s v="21/7/2022"/>
    <x v="0"/>
    <m/>
    <m/>
    <m/>
    <x v="0"/>
    <x v="0"/>
    <m/>
    <n v="4500016425"/>
    <m/>
    <m/>
    <m/>
    <m/>
    <m/>
    <m/>
    <m/>
    <m/>
    <m/>
    <m/>
    <m/>
    <m/>
    <m/>
  </r>
  <r>
    <n v="246"/>
    <x v="90"/>
    <x v="199"/>
    <s v="Bekasi 17530"/>
    <m/>
    <m/>
    <s v="Sewa Tahunan"/>
    <x v="2"/>
    <x v="219"/>
    <m/>
    <m/>
    <m/>
    <m/>
    <m/>
    <x v="135"/>
    <m/>
    <m/>
    <x v="113"/>
    <m/>
    <x v="197"/>
    <s v="21/8/2022"/>
    <x v="0"/>
    <m/>
    <m/>
    <m/>
    <x v="0"/>
    <x v="0"/>
    <s v="16107/SPP/008/PUSAT/ICON+/2021"/>
    <n v="4500016356"/>
    <m/>
    <m/>
    <m/>
    <m/>
    <m/>
    <m/>
    <m/>
    <m/>
    <m/>
    <m/>
    <m/>
    <m/>
    <m/>
  </r>
  <r>
    <n v="247"/>
    <x v="14"/>
    <x v="200"/>
    <s v="Ciputat 00000"/>
    <m/>
    <m/>
    <s v="Sewa Tahunan"/>
    <x v="2"/>
    <x v="220"/>
    <m/>
    <m/>
    <m/>
    <m/>
    <n v="5000000"/>
    <x v="59"/>
    <m/>
    <n v="1000000"/>
    <x v="16"/>
    <m/>
    <x v="198"/>
    <d v="2022-08-08T00:00:00"/>
    <x v="0"/>
    <m/>
    <m/>
    <m/>
    <x v="0"/>
    <x v="0"/>
    <s v="16199/SPP/008/PUSAT/ICON+/2021"/>
    <n v="4500016416"/>
    <m/>
    <m/>
    <m/>
    <m/>
    <m/>
    <m/>
    <m/>
    <m/>
    <m/>
    <m/>
    <m/>
    <m/>
    <m/>
  </r>
  <r>
    <n v="248"/>
    <x v="90"/>
    <x v="201"/>
    <s v="Bekasi 17530"/>
    <m/>
    <m/>
    <s v="Sewa Tahunan"/>
    <x v="2"/>
    <x v="221"/>
    <m/>
    <m/>
    <m/>
    <m/>
    <n v="3000000"/>
    <x v="27"/>
    <m/>
    <m/>
    <x v="114"/>
    <m/>
    <x v="199"/>
    <s v="26/5/2022"/>
    <x v="0"/>
    <m/>
    <m/>
    <m/>
    <x v="0"/>
    <x v="0"/>
    <s v="16111/SPP/008/PUSAT/ICON+/2021"/>
    <n v="4500016355"/>
    <m/>
    <m/>
    <m/>
    <m/>
    <m/>
    <m/>
    <m/>
    <m/>
    <m/>
    <m/>
    <m/>
    <m/>
    <m/>
  </r>
  <r>
    <n v="249"/>
    <x v="137"/>
    <x v="202"/>
    <s v="Bogor 00000"/>
    <m/>
    <m/>
    <s v="Sewa Tahunan"/>
    <x v="2"/>
    <x v="222"/>
    <m/>
    <m/>
    <m/>
    <m/>
    <n v="5000000"/>
    <x v="134"/>
    <m/>
    <m/>
    <x v="14"/>
    <m/>
    <x v="200"/>
    <s v="29/6/2026"/>
    <x v="0"/>
    <m/>
    <m/>
    <m/>
    <x v="0"/>
    <x v="0"/>
    <s v="16149/SPP/008/PUSAT/ICON+/2021"/>
    <n v="4500016364"/>
    <m/>
    <m/>
    <m/>
    <m/>
    <m/>
    <m/>
    <m/>
    <m/>
    <m/>
    <m/>
    <m/>
    <m/>
    <m/>
  </r>
  <r>
    <n v="250"/>
    <x v="138"/>
    <x v="203"/>
    <s v="Jakarta 10110"/>
    <m/>
    <m/>
    <s v="Sewa Tahunan"/>
    <x v="1"/>
    <x v="223"/>
    <m/>
    <m/>
    <m/>
    <m/>
    <m/>
    <x v="136"/>
    <m/>
    <m/>
    <x v="22"/>
    <m/>
    <x v="196"/>
    <s v="30/6/2022"/>
    <x v="0"/>
    <m/>
    <m/>
    <m/>
    <x v="0"/>
    <x v="0"/>
    <m/>
    <n v="4500016269"/>
    <m/>
    <m/>
    <m/>
    <m/>
    <m/>
    <m/>
    <m/>
    <m/>
    <m/>
    <m/>
    <m/>
    <m/>
    <m/>
  </r>
  <r>
    <n v="251"/>
    <x v="139"/>
    <x v="30"/>
    <s v="Depok 16431"/>
    <m/>
    <m/>
    <s v="Sewa Tahunan"/>
    <x v="1"/>
    <x v="31"/>
    <m/>
    <m/>
    <m/>
    <m/>
    <m/>
    <x v="1"/>
    <m/>
    <m/>
    <x v="115"/>
    <m/>
    <x v="162"/>
    <d v="2022-07-01T00:00:00"/>
    <x v="0"/>
    <m/>
    <m/>
    <m/>
    <x v="0"/>
    <x v="0"/>
    <m/>
    <n v="4500015663"/>
    <m/>
    <m/>
    <m/>
    <m/>
    <m/>
    <m/>
    <m/>
    <m/>
    <m/>
    <m/>
    <m/>
    <m/>
    <m/>
  </r>
  <r>
    <n v="252"/>
    <x v="92"/>
    <x v="204"/>
    <s v="Jakarta Pusat 10320"/>
    <m/>
    <m/>
    <s v="Sewa Tahunan"/>
    <x v="0"/>
    <x v="224"/>
    <m/>
    <m/>
    <m/>
    <m/>
    <m/>
    <x v="30"/>
    <m/>
    <m/>
    <x v="10"/>
    <m/>
    <x v="196"/>
    <s v="30/6/2022"/>
    <x v="0"/>
    <m/>
    <m/>
    <m/>
    <x v="0"/>
    <x v="0"/>
    <m/>
    <n v="4500016435"/>
    <m/>
    <m/>
    <m/>
    <m/>
    <m/>
    <m/>
    <m/>
    <m/>
    <m/>
    <m/>
    <m/>
    <m/>
    <m/>
  </r>
  <r>
    <n v="253"/>
    <x v="140"/>
    <x v="205"/>
    <s v="Jakarta Pusat 10250"/>
    <m/>
    <m/>
    <s v="Sewa Tahunan"/>
    <x v="0"/>
    <x v="225"/>
    <m/>
    <m/>
    <m/>
    <m/>
    <m/>
    <x v="91"/>
    <m/>
    <m/>
    <x v="85"/>
    <m/>
    <x v="196"/>
    <s v="30/6/2022"/>
    <x v="0"/>
    <m/>
    <m/>
    <m/>
    <x v="0"/>
    <x v="0"/>
    <m/>
    <n v="4500016424"/>
    <m/>
    <m/>
    <m/>
    <m/>
    <m/>
    <m/>
    <m/>
    <m/>
    <m/>
    <m/>
    <m/>
    <m/>
    <m/>
  </r>
  <r>
    <n v="254"/>
    <x v="141"/>
    <x v="206"/>
    <s v="Jakarta Selatan 12017"/>
    <m/>
    <m/>
    <s v="Sewa Bulanan"/>
    <x v="0"/>
    <x v="226"/>
    <m/>
    <m/>
    <m/>
    <m/>
    <m/>
    <x v="137"/>
    <m/>
    <m/>
    <x v="116"/>
    <m/>
    <x v="201"/>
    <s v="31/12/2022"/>
    <x v="0"/>
    <m/>
    <m/>
    <m/>
    <x v="0"/>
    <x v="0"/>
    <s v="17602/SPP/008/PUSAT/ICON+/2021"/>
    <n v="4500017443"/>
    <m/>
    <m/>
    <m/>
    <m/>
    <m/>
    <m/>
    <m/>
    <m/>
    <m/>
    <m/>
    <m/>
    <m/>
    <m/>
  </r>
  <r>
    <n v="255"/>
    <x v="142"/>
    <x v="47"/>
    <s v="Jakarta 00000"/>
    <m/>
    <m/>
    <s v="Sewa Tahunan"/>
    <x v="1"/>
    <x v="227"/>
    <m/>
    <m/>
    <m/>
    <m/>
    <m/>
    <x v="30"/>
    <m/>
    <m/>
    <x v="5"/>
    <m/>
    <x v="202"/>
    <s v="17/12/2022"/>
    <x v="0"/>
    <m/>
    <m/>
    <m/>
    <x v="0"/>
    <x v="0"/>
    <m/>
    <n v="4500017405"/>
    <m/>
    <m/>
    <m/>
    <m/>
    <m/>
    <m/>
    <m/>
    <m/>
    <m/>
    <m/>
    <m/>
    <m/>
    <m/>
  </r>
  <r>
    <n v="256"/>
    <x v="23"/>
    <x v="177"/>
    <s v="Jakarta Selatan 12710"/>
    <m/>
    <m/>
    <s v="Sewa Tahunan"/>
    <x v="2"/>
    <x v="228"/>
    <m/>
    <m/>
    <m/>
    <m/>
    <n v="1000000"/>
    <x v="118"/>
    <m/>
    <m/>
    <x v="18"/>
    <m/>
    <x v="203"/>
    <s v="28/12/2022"/>
    <x v="0"/>
    <m/>
    <m/>
    <m/>
    <x v="0"/>
    <x v="0"/>
    <m/>
    <n v="4500017435"/>
    <m/>
    <m/>
    <m/>
    <m/>
    <m/>
    <m/>
    <m/>
    <m/>
    <m/>
    <m/>
    <m/>
    <m/>
    <m/>
  </r>
  <r>
    <n v="257"/>
    <x v="125"/>
    <x v="207"/>
    <s v="Jakarta 10610"/>
    <m/>
    <m/>
    <s v="Sewa Tahunan"/>
    <x v="1"/>
    <x v="229"/>
    <m/>
    <m/>
    <m/>
    <m/>
    <m/>
    <x v="11"/>
    <m/>
    <m/>
    <x v="117"/>
    <m/>
    <x v="204"/>
    <s v="16/12/2022"/>
    <x v="0"/>
    <m/>
    <m/>
    <m/>
    <x v="0"/>
    <x v="0"/>
    <s v="17563/SPP/008/PUSAT/ICON+/2021"/>
    <n v="4500017399"/>
    <m/>
    <m/>
    <m/>
    <m/>
    <m/>
    <m/>
    <m/>
    <m/>
    <m/>
    <m/>
    <m/>
    <m/>
    <m/>
  </r>
  <r>
    <n v="258"/>
    <x v="143"/>
    <x v="208"/>
    <s v="Tanggerang 15321"/>
    <m/>
    <m/>
    <s v="Sewa Tahunan"/>
    <x v="2"/>
    <x v="230"/>
    <m/>
    <m/>
    <m/>
    <m/>
    <m/>
    <x v="138"/>
    <m/>
    <n v="3000000"/>
    <x v="5"/>
    <m/>
    <x v="205"/>
    <s v="22/12/2022"/>
    <x v="0"/>
    <m/>
    <m/>
    <m/>
    <x v="0"/>
    <x v="0"/>
    <s v="17589/SPP/008/PUSAT/ICON+/2021"/>
    <n v="4500017398"/>
    <m/>
    <m/>
    <m/>
    <m/>
    <m/>
    <m/>
    <m/>
    <m/>
    <m/>
    <m/>
    <m/>
    <m/>
    <m/>
  </r>
  <r>
    <n v="259"/>
    <x v="140"/>
    <x v="200"/>
    <s v="Jakarta Pusat 10250"/>
    <m/>
    <m/>
    <s v="Sewa Tahunan"/>
    <x v="2"/>
    <x v="231"/>
    <m/>
    <m/>
    <m/>
    <m/>
    <n v="6000000"/>
    <x v="59"/>
    <m/>
    <n v="1000000"/>
    <x v="17"/>
    <m/>
    <x v="206"/>
    <d v="2022-09-09T00:00:00"/>
    <x v="0"/>
    <m/>
    <m/>
    <m/>
    <x v="0"/>
    <x v="0"/>
    <s v="16538/SPP/008/PUSAT/ICON+/2021"/>
    <n v="4500016617"/>
    <m/>
    <m/>
    <m/>
    <m/>
    <m/>
    <m/>
    <m/>
    <m/>
    <m/>
    <m/>
    <m/>
    <m/>
    <m/>
  </r>
  <r>
    <n v="260"/>
    <x v="125"/>
    <x v="209"/>
    <s v="Jakarta 10610"/>
    <m/>
    <m/>
    <s v="Sewa Tahunan"/>
    <x v="1"/>
    <x v="232"/>
    <m/>
    <m/>
    <m/>
    <m/>
    <m/>
    <x v="139"/>
    <m/>
    <m/>
    <x v="118"/>
    <m/>
    <x v="207"/>
    <s v="23/9/2022"/>
    <x v="0"/>
    <m/>
    <m/>
    <m/>
    <x v="0"/>
    <x v="0"/>
    <s v="16066/SPP/008/PUSAT/ICON+/2021"/>
    <n v="4500016699"/>
    <m/>
    <m/>
    <m/>
    <m/>
    <m/>
    <m/>
    <m/>
    <m/>
    <m/>
    <m/>
    <m/>
    <m/>
    <m/>
  </r>
  <r>
    <n v="261"/>
    <x v="13"/>
    <x v="19"/>
    <s v="Jakarta 00000"/>
    <m/>
    <m/>
    <s v="Sewa Tahunan"/>
    <x v="1"/>
    <x v="19"/>
    <m/>
    <m/>
    <m/>
    <m/>
    <m/>
    <x v="10"/>
    <m/>
    <m/>
    <x v="119"/>
    <m/>
    <x v="208"/>
    <s v="30/9/2022"/>
    <x v="0"/>
    <m/>
    <m/>
    <m/>
    <x v="0"/>
    <x v="0"/>
    <m/>
    <n v="4500016708"/>
    <m/>
    <m/>
    <m/>
    <m/>
    <m/>
    <m/>
    <m/>
    <m/>
    <m/>
    <m/>
    <m/>
    <m/>
    <m/>
  </r>
  <r>
    <n v="262"/>
    <x v="121"/>
    <x v="210"/>
    <s v="Jakarta Selatan 12190"/>
    <m/>
    <m/>
    <s v="Sewa Tahunan"/>
    <x v="0"/>
    <x v="233"/>
    <m/>
    <m/>
    <m/>
    <m/>
    <n v="2500000"/>
    <x v="59"/>
    <m/>
    <n v="2500000"/>
    <x v="10"/>
    <m/>
    <x v="209"/>
    <s v="15/10/2022"/>
    <x v="0"/>
    <m/>
    <m/>
    <m/>
    <x v="0"/>
    <x v="0"/>
    <s v="16823/SPP/008/PUSAT/ICON+/2021"/>
    <n v="4500016833"/>
    <m/>
    <m/>
    <m/>
    <m/>
    <m/>
    <m/>
    <m/>
    <m/>
    <m/>
    <m/>
    <m/>
    <m/>
    <m/>
  </r>
  <r>
    <n v="263"/>
    <x v="144"/>
    <x v="211"/>
    <s v="Jakarta 00000"/>
    <m/>
    <m/>
    <s v="Sewa Tahunan"/>
    <x v="0"/>
    <x v="234"/>
    <m/>
    <m/>
    <m/>
    <m/>
    <m/>
    <x v="140"/>
    <m/>
    <m/>
    <x v="120"/>
    <m/>
    <x v="210"/>
    <s v="22/7/2022"/>
    <x v="0"/>
    <m/>
    <m/>
    <m/>
    <x v="0"/>
    <x v="0"/>
    <s v="16338/SPP/008/PUSAT/ICON+/2021"/>
    <n v="4500016712"/>
    <m/>
    <m/>
    <m/>
    <m/>
    <m/>
    <m/>
    <m/>
    <m/>
    <m/>
    <m/>
    <m/>
    <m/>
    <m/>
  </r>
  <r>
    <n v="264"/>
    <x v="104"/>
    <x v="54"/>
    <s v="Jakarta 12710"/>
    <m/>
    <m/>
    <s v="Sewa Tahunan"/>
    <x v="1"/>
    <x v="235"/>
    <m/>
    <m/>
    <m/>
    <m/>
    <m/>
    <x v="141"/>
    <m/>
    <m/>
    <x v="4"/>
    <m/>
    <x v="211"/>
    <s v="30/8/2022"/>
    <x v="0"/>
    <m/>
    <m/>
    <m/>
    <x v="0"/>
    <x v="0"/>
    <m/>
    <n v="4500016495"/>
    <m/>
    <m/>
    <m/>
    <m/>
    <m/>
    <m/>
    <m/>
    <m/>
    <m/>
    <m/>
    <m/>
    <m/>
    <m/>
  </r>
  <r>
    <n v="265"/>
    <x v="145"/>
    <x v="212"/>
    <s v="Jakarta 15345"/>
    <m/>
    <m/>
    <s v="Sewa Tahunan"/>
    <x v="0"/>
    <x v="236"/>
    <m/>
    <m/>
    <m/>
    <m/>
    <m/>
    <x v="142"/>
    <m/>
    <m/>
    <x v="121"/>
    <m/>
    <x v="196"/>
    <s v="30/6/2022"/>
    <x v="0"/>
    <m/>
    <m/>
    <m/>
    <x v="0"/>
    <x v="0"/>
    <s v="16413/SPP/008/PUSAT/ICON+/2021"/>
    <n v="4500016646"/>
    <m/>
    <m/>
    <m/>
    <m/>
    <m/>
    <m/>
    <m/>
    <m/>
    <m/>
    <m/>
    <m/>
    <m/>
    <m/>
  </r>
  <r>
    <n v="266"/>
    <x v="24"/>
    <x v="62"/>
    <s v="Jakarta 00000"/>
    <m/>
    <m/>
    <s v="Sewa Bulanan"/>
    <x v="1"/>
    <x v="67"/>
    <m/>
    <m/>
    <m/>
    <m/>
    <m/>
    <x v="112"/>
    <m/>
    <m/>
    <x v="122"/>
    <m/>
    <x v="212"/>
    <s v="31/12/2021"/>
    <x v="0"/>
    <m/>
    <m/>
    <m/>
    <x v="0"/>
    <x v="0"/>
    <s v="16252/SPP/008/PUSAT/ICON+/2021"/>
    <n v="4500016454"/>
    <m/>
    <m/>
    <m/>
    <m/>
    <m/>
    <m/>
    <m/>
    <m/>
    <m/>
    <m/>
    <m/>
    <m/>
    <m/>
  </r>
  <r>
    <n v="267"/>
    <x v="146"/>
    <x v="8"/>
    <s v="Jakarta 10110"/>
    <m/>
    <m/>
    <s v="Sewa Tahunan"/>
    <x v="0"/>
    <x v="237"/>
    <m/>
    <m/>
    <m/>
    <m/>
    <m/>
    <x v="36"/>
    <m/>
    <m/>
    <x v="123"/>
    <m/>
    <x v="126"/>
    <s v="31/12/2021"/>
    <x v="0"/>
    <m/>
    <m/>
    <m/>
    <x v="0"/>
    <x v="0"/>
    <s v="14937/SPP/008/PUSAT/ICON+/2020"/>
    <n v="4500015650"/>
    <m/>
    <m/>
    <m/>
    <m/>
    <m/>
    <m/>
    <m/>
    <m/>
    <m/>
    <m/>
    <m/>
    <m/>
    <m/>
  </r>
  <r>
    <n v="268"/>
    <x v="9"/>
    <x v="213"/>
    <s v="Jl. Jend Sudirman Kav 52-53 Jakarta 12190"/>
    <m/>
    <m/>
    <s v="Sewa Tahunan"/>
    <x v="2"/>
    <x v="73"/>
    <m/>
    <m/>
    <m/>
    <m/>
    <s v="-"/>
    <x v="51"/>
    <m/>
    <s v="-"/>
    <x v="18"/>
    <m/>
    <x v="213"/>
    <d v="2022-05-10T00:00:00"/>
    <x v="0"/>
    <m/>
    <m/>
    <m/>
    <x v="0"/>
    <x v="0"/>
    <m/>
    <n v="4500016044"/>
    <m/>
    <m/>
    <m/>
    <m/>
    <m/>
    <m/>
    <m/>
    <m/>
    <m/>
    <m/>
    <m/>
    <m/>
    <m/>
  </r>
  <r>
    <n v="269"/>
    <x v="0"/>
    <x v="14"/>
    <s v="Jl. Tentara Pelajar Jakarta 12210"/>
    <m/>
    <m/>
    <s v="Sewa Tahunan"/>
    <x v="0"/>
    <x v="238"/>
    <m/>
    <m/>
    <m/>
    <m/>
    <s v="-"/>
    <x v="143"/>
    <m/>
    <s v="-"/>
    <x v="124"/>
    <m/>
    <x v="214"/>
    <d v="2022-10-09T00:00:00"/>
    <x v="0"/>
    <m/>
    <m/>
    <m/>
    <x v="0"/>
    <x v="0"/>
    <m/>
    <n v="4500017006"/>
    <m/>
    <m/>
    <m/>
    <m/>
    <m/>
    <m/>
    <m/>
    <m/>
    <m/>
    <m/>
    <m/>
    <m/>
    <m/>
  </r>
  <r>
    <n v="270"/>
    <x v="147"/>
    <x v="1"/>
    <s v="Ged. Jaya Jl. MH Thamrin no. 12 Jakarta Pusat 10340"/>
    <m/>
    <m/>
    <s v="Sewa Tahunan"/>
    <x v="1"/>
    <x v="129"/>
    <m/>
    <m/>
    <m/>
    <m/>
    <s v="-"/>
    <x v="144"/>
    <m/>
    <s v="-"/>
    <x v="125"/>
    <m/>
    <x v="151"/>
    <d v="2022-01-31T00:00:00"/>
    <x v="0"/>
    <m/>
    <m/>
    <m/>
    <x v="0"/>
    <x v="0"/>
    <m/>
    <n v="4500015608"/>
    <m/>
    <m/>
    <m/>
    <m/>
    <m/>
    <m/>
    <m/>
    <m/>
    <m/>
    <m/>
    <m/>
    <m/>
    <m/>
  </r>
  <r>
    <n v="271"/>
    <x v="9"/>
    <x v="214"/>
    <s v="Jl. Jend Sudirman Kav 52-53 Jakarta 12190"/>
    <m/>
    <m/>
    <s v="Sewa Tahunan"/>
    <x v="2"/>
    <x v="239"/>
    <m/>
    <m/>
    <m/>
    <m/>
    <n v="10500000"/>
    <x v="145"/>
    <m/>
    <n v="1500000"/>
    <x v="18"/>
    <m/>
    <x v="215"/>
    <d v="2022-06-08T00:00:00"/>
    <x v="0"/>
    <m/>
    <m/>
    <m/>
    <x v="0"/>
    <x v="0"/>
    <s v="15970/SPP/008/PUSAT/ICON+/2021"/>
    <n v="4500016290"/>
    <m/>
    <m/>
    <m/>
    <m/>
    <m/>
    <m/>
    <m/>
    <m/>
    <m/>
    <m/>
    <m/>
    <m/>
    <m/>
  </r>
  <r>
    <n v="272"/>
    <x v="148"/>
    <x v="215"/>
    <s v="Jl. Kuningan Barat 8 Jakarta 12710"/>
    <m/>
    <m/>
    <s v="Sewa Tahunan"/>
    <x v="1"/>
    <x v="240"/>
    <m/>
    <m/>
    <m/>
    <m/>
    <s v="-"/>
    <x v="41"/>
    <m/>
    <s v="-"/>
    <x v="17"/>
    <m/>
    <x v="141"/>
    <d v="2022-05-14T00:00:00"/>
    <x v="0"/>
    <m/>
    <m/>
    <m/>
    <x v="0"/>
    <x v="0"/>
    <s v="15667/SPP/008/PUSAT/ICON+/2021"/>
    <n v="4500016104"/>
    <m/>
    <m/>
    <m/>
    <m/>
    <m/>
    <m/>
    <m/>
    <m/>
    <m/>
    <m/>
    <m/>
    <m/>
    <m/>
  </r>
  <r>
    <n v="273"/>
    <x v="149"/>
    <x v="216"/>
    <s v="Grha9 lt.6 Jl. Penataran 9"/>
    <m/>
    <m/>
    <s v="Sewa Tahunan"/>
    <x v="0"/>
    <x v="241"/>
    <m/>
    <m/>
    <m/>
    <m/>
    <n v="2500000"/>
    <x v="110"/>
    <m/>
    <n v="3000000"/>
    <x v="10"/>
    <m/>
    <x v="216"/>
    <d v="2022-08-20T00:00:00"/>
    <x v="0"/>
    <m/>
    <m/>
    <m/>
    <x v="0"/>
    <x v="0"/>
    <s v="15917/SPP/008/PUSAT/ICON+/2021"/>
    <n v="4500016190"/>
    <m/>
    <m/>
    <m/>
    <m/>
    <m/>
    <m/>
    <m/>
    <m/>
    <m/>
    <m/>
    <m/>
    <m/>
    <m/>
  </r>
  <r>
    <n v="274"/>
    <x v="150"/>
    <x v="217"/>
    <s v="MNC Tower, Jl. Kebon Sirih No 17 Jakarta 10340"/>
    <m/>
    <m/>
    <s v="Sewa Tahunan"/>
    <x v="0"/>
    <x v="242"/>
    <m/>
    <m/>
    <m/>
    <m/>
    <s v="-"/>
    <x v="2"/>
    <m/>
    <s v="-"/>
    <x v="126"/>
    <m/>
    <x v="217"/>
    <d v="2022-04-24T00:00:00"/>
    <x v="0"/>
    <m/>
    <m/>
    <m/>
    <x v="0"/>
    <x v="0"/>
    <s v="15781/SPP/008/PUSAT/ICON+/2021"/>
    <n v="4500016194"/>
    <m/>
    <m/>
    <m/>
    <m/>
    <m/>
    <m/>
    <m/>
    <m/>
    <m/>
    <m/>
    <m/>
    <m/>
    <m/>
  </r>
  <r>
    <n v="275"/>
    <x v="151"/>
    <x v="218"/>
    <s v="Gd. Menara Kadin Lt. 11 Unit E-G DKI Jakarta 00000"/>
    <m/>
    <m/>
    <s v="Sewa Tahunan"/>
    <x v="0"/>
    <x v="243"/>
    <m/>
    <m/>
    <m/>
    <m/>
    <s v="-"/>
    <x v="2"/>
    <m/>
    <s v="-"/>
    <x v="61"/>
    <m/>
    <x v="218"/>
    <d v="2022-04-12T00:00:00"/>
    <x v="0"/>
    <m/>
    <m/>
    <m/>
    <x v="0"/>
    <x v="0"/>
    <m/>
    <n v="4500016193"/>
    <m/>
    <m/>
    <m/>
    <m/>
    <m/>
    <m/>
    <m/>
    <m/>
    <m/>
    <m/>
    <m/>
    <m/>
    <m/>
  </r>
  <r>
    <n v="276"/>
    <x v="152"/>
    <x v="168"/>
    <s v="Jl. Jend Sudirman Kav 10-11 Jakarta Pusat 00000"/>
    <m/>
    <m/>
    <s v="Sewa Tahunan"/>
    <x v="2"/>
    <x v="159"/>
    <m/>
    <m/>
    <m/>
    <m/>
    <s v="-"/>
    <x v="106"/>
    <m/>
    <s v="-"/>
    <x v="16"/>
    <m/>
    <x v="219"/>
    <d v="2022-03-14T00:00:00"/>
    <x v="0"/>
    <m/>
    <m/>
    <m/>
    <x v="0"/>
    <x v="0"/>
    <m/>
    <n v="4500016050"/>
    <m/>
    <m/>
    <m/>
    <m/>
    <m/>
    <m/>
    <m/>
    <m/>
    <m/>
    <m/>
    <m/>
    <m/>
    <m/>
  </r>
  <r>
    <n v="277"/>
    <x v="9"/>
    <x v="219"/>
    <s v="Jl. Jend Sudirman Kav 52-53 Jakarta 12190"/>
    <m/>
    <m/>
    <s v="Sewa Tahunan"/>
    <x v="3"/>
    <x v="23"/>
    <m/>
    <m/>
    <m/>
    <m/>
    <s v="-"/>
    <x v="20"/>
    <m/>
    <s v="-"/>
    <x v="18"/>
    <m/>
    <x v="220"/>
    <d v="2022-05-31T00:00:00"/>
    <x v="0"/>
    <m/>
    <m/>
    <m/>
    <x v="0"/>
    <x v="0"/>
    <m/>
    <n v="4500016057"/>
    <m/>
    <m/>
    <m/>
    <m/>
    <m/>
    <m/>
    <m/>
    <m/>
    <m/>
    <m/>
    <m/>
    <m/>
    <m/>
  </r>
  <r>
    <n v="278"/>
    <x v="153"/>
    <x v="114"/>
    <s v="G.M.Karya Jl. H.R Rasuna Said B. X-5 Kav. 1-2"/>
    <m/>
    <m/>
    <s v="Sewa Tahunan"/>
    <x v="1"/>
    <x v="120"/>
    <m/>
    <m/>
    <m/>
    <m/>
    <s v="-"/>
    <x v="83"/>
    <m/>
    <s v="-"/>
    <x v="49"/>
    <m/>
    <x v="126"/>
    <d v="2021-12-31T00:00:00"/>
    <x v="0"/>
    <m/>
    <m/>
    <m/>
    <x v="0"/>
    <x v="0"/>
    <m/>
    <n v="4500015689"/>
    <m/>
    <m/>
    <m/>
    <m/>
    <m/>
    <m/>
    <m/>
    <m/>
    <m/>
    <m/>
    <m/>
    <m/>
    <m/>
  </r>
  <r>
    <n v="279"/>
    <x v="75"/>
    <x v="59"/>
    <s v="Jl. Rempoa Raya 11 Ciputat 00000"/>
    <m/>
    <m/>
    <s v="Sewa Tahunan "/>
    <x v="1"/>
    <x v="94"/>
    <m/>
    <m/>
    <m/>
    <m/>
    <s v="-"/>
    <x v="21"/>
    <m/>
    <s v="-"/>
    <x v="8"/>
    <m/>
    <x v="221"/>
    <d v="2022-04-20T00:00:00"/>
    <x v="0"/>
    <m/>
    <m/>
    <m/>
    <x v="0"/>
    <x v="0"/>
    <m/>
    <n v="4500016055"/>
    <m/>
    <m/>
    <m/>
    <m/>
    <m/>
    <m/>
    <m/>
    <m/>
    <m/>
    <m/>
    <m/>
    <m/>
    <m/>
  </r>
  <r>
    <n v="280"/>
    <x v="154"/>
    <x v="220"/>
    <s v="Jl. Griya Hijau Kav. F Jakarta 00000"/>
    <m/>
    <m/>
    <s v="Sewa Tahunan"/>
    <x v="1"/>
    <x v="244"/>
    <m/>
    <m/>
    <m/>
    <m/>
    <n v="2727273"/>
    <x v="146"/>
    <m/>
    <s v="-"/>
    <x v="127"/>
    <m/>
    <x v="222"/>
    <d v="2022-07-22T00:00:00"/>
    <x v="0"/>
    <m/>
    <m/>
    <m/>
    <x v="0"/>
    <x v="0"/>
    <s v="16260/SPP/008/PUSAT/ICON+/2021"/>
    <n v="4500016461"/>
    <m/>
    <m/>
    <m/>
    <m/>
    <m/>
    <m/>
    <m/>
    <m/>
    <m/>
    <m/>
    <m/>
    <m/>
    <m/>
  </r>
  <r>
    <n v="281"/>
    <x v="23"/>
    <x v="168"/>
    <s v="Jl. Kuningan Barat No.8 Cyber Building 1st &amp; 2nd Jakarta Selatan 12710"/>
    <m/>
    <m/>
    <s v="Sewa Tahunan "/>
    <x v="3"/>
    <x v="245"/>
    <m/>
    <m/>
    <m/>
    <m/>
    <n v="7000000"/>
    <x v="16"/>
    <m/>
    <n v="2500000"/>
    <x v="128"/>
    <m/>
    <x v="223"/>
    <d v="2022-08-02T00:00:00"/>
    <x v="0"/>
    <m/>
    <m/>
    <m/>
    <x v="0"/>
    <x v="0"/>
    <s v="16370/SPP/008//PUSAT/ICON+/2021"/>
    <n v="4500016522"/>
    <m/>
    <m/>
    <m/>
    <m/>
    <m/>
    <m/>
    <m/>
    <m/>
    <m/>
    <m/>
    <m/>
    <m/>
    <m/>
  </r>
  <r>
    <n v="282"/>
    <x v="4"/>
    <x v="221"/>
    <s v="Jl. Kuningan Barat 8 Jakarta 12710"/>
    <m/>
    <m/>
    <s v="Sewa Tahunan"/>
    <x v="1"/>
    <x v="246"/>
    <m/>
    <m/>
    <m/>
    <m/>
    <s v="-"/>
    <x v="7"/>
    <m/>
    <s v="-"/>
    <x v="39"/>
    <m/>
    <x v="224"/>
    <d v="2022-01-28T00:00:00"/>
    <x v="0"/>
    <m/>
    <m/>
    <m/>
    <x v="0"/>
    <x v="0"/>
    <m/>
    <n v="4500015725"/>
    <m/>
    <m/>
    <m/>
    <m/>
    <m/>
    <m/>
    <m/>
    <m/>
    <m/>
    <m/>
    <m/>
    <m/>
    <m/>
  </r>
  <r>
    <n v="283"/>
    <x v="155"/>
    <x v="103"/>
    <s v="Jl. Jend Sudirman Kav 10-11 Jakarta Pusat 00000"/>
    <m/>
    <m/>
    <s v="Sewa Tahunan"/>
    <x v="2"/>
    <x v="247"/>
    <m/>
    <m/>
    <m/>
    <m/>
    <s v="-"/>
    <x v="118"/>
    <m/>
    <s v="-"/>
    <x v="42"/>
    <m/>
    <x v="225"/>
    <d v="2022-02-28T00:00:00"/>
    <x v="0"/>
    <m/>
    <m/>
    <m/>
    <x v="0"/>
    <x v="0"/>
    <m/>
    <n v="4500015683"/>
    <m/>
    <m/>
    <m/>
    <m/>
    <m/>
    <m/>
    <m/>
    <m/>
    <m/>
    <m/>
    <m/>
    <m/>
    <m/>
  </r>
  <r>
    <n v="284"/>
    <x v="155"/>
    <x v="118"/>
    <s v="Jl. Jend Sudirman Kav 10-11 Jakarta Pusat 00000"/>
    <m/>
    <m/>
    <s v="Sewa Tahunan"/>
    <x v="2"/>
    <x v="247"/>
    <m/>
    <m/>
    <m/>
    <m/>
    <s v="-"/>
    <x v="118"/>
    <m/>
    <s v="-"/>
    <x v="42"/>
    <m/>
    <x v="151"/>
    <d v="2022-01-31T00:00:00"/>
    <x v="0"/>
    <m/>
    <m/>
    <m/>
    <x v="0"/>
    <x v="0"/>
    <m/>
    <n v="4500015682"/>
    <m/>
    <m/>
    <m/>
    <m/>
    <m/>
    <m/>
    <m/>
    <m/>
    <m/>
    <m/>
    <m/>
    <m/>
    <m/>
  </r>
  <r>
    <n v="285"/>
    <x v="5"/>
    <x v="196"/>
    <s v="Jl. H. R Rasuna Said Blok X5 13 Jakarta 0000"/>
    <m/>
    <m/>
    <s v="Sewa Tahunan"/>
    <x v="2"/>
    <x v="248"/>
    <m/>
    <m/>
    <m/>
    <m/>
    <s v="-"/>
    <x v="4"/>
    <m/>
    <s v="-"/>
    <x v="89"/>
    <m/>
    <x v="226"/>
    <d v="2022-03-31T00:00:00"/>
    <x v="0"/>
    <m/>
    <m/>
    <m/>
    <x v="0"/>
    <x v="0"/>
    <s v="15419/SPP/008/PUSAT/ICON+/2021"/>
    <n v="4500015888"/>
    <m/>
    <m/>
    <m/>
    <m/>
    <m/>
    <m/>
    <m/>
    <m/>
    <m/>
    <m/>
    <m/>
    <m/>
    <m/>
  </r>
  <r>
    <n v="286"/>
    <x v="156"/>
    <x v="222"/>
    <m/>
    <m/>
    <m/>
    <s v="Sewa Tahunan"/>
    <x v="1"/>
    <x v="249"/>
    <m/>
    <m/>
    <m/>
    <m/>
    <s v="-"/>
    <x v="147"/>
    <m/>
    <s v="-"/>
    <x v="129"/>
    <m/>
    <x v="126"/>
    <d v="2021-12-31T00:00:00"/>
    <x v="0"/>
    <m/>
    <m/>
    <m/>
    <x v="0"/>
    <x v="0"/>
    <m/>
    <n v="4500015365"/>
    <m/>
    <m/>
    <m/>
    <m/>
    <m/>
    <m/>
    <m/>
    <m/>
    <m/>
    <m/>
    <m/>
    <m/>
    <m/>
  </r>
  <r>
    <n v="287"/>
    <x v="9"/>
    <x v="223"/>
    <s v="Jl. Jend Sudirman Kav 52-53 Jakarta 12190"/>
    <m/>
    <m/>
    <s v="Sewa Tahunan "/>
    <x v="2"/>
    <x v="250"/>
    <m/>
    <m/>
    <m/>
    <m/>
    <s v="-"/>
    <x v="10"/>
    <m/>
    <s v="-"/>
    <x v="10"/>
    <m/>
    <x v="227"/>
    <d v="2022-01-26T00:00:00"/>
    <x v="0"/>
    <m/>
    <m/>
    <m/>
    <x v="0"/>
    <x v="0"/>
    <m/>
    <n v="4500015714"/>
    <m/>
    <m/>
    <m/>
    <m/>
    <m/>
    <m/>
    <m/>
    <m/>
    <m/>
    <m/>
    <m/>
    <m/>
    <m/>
  </r>
  <r>
    <n v="288"/>
    <x v="75"/>
    <x v="224"/>
    <s v="Jl. Rempoa Raya 11 Ciputat 00000"/>
    <m/>
    <m/>
    <s v="Sewa Tahunan"/>
    <x v="1"/>
    <x v="251"/>
    <m/>
    <m/>
    <m/>
    <m/>
    <s v="-"/>
    <x v="27"/>
    <m/>
    <s v="-"/>
    <x v="8"/>
    <m/>
    <x v="228"/>
    <d v="2022-01-17T00:00:00"/>
    <x v="0"/>
    <m/>
    <m/>
    <m/>
    <x v="0"/>
    <x v="0"/>
    <m/>
    <n v="4500015691"/>
    <m/>
    <m/>
    <m/>
    <m/>
    <m/>
    <m/>
    <m/>
    <m/>
    <m/>
    <m/>
    <m/>
    <m/>
    <m/>
  </r>
  <r>
    <n v="289"/>
    <x v="17"/>
    <x v="122"/>
    <s v="Jl. Jend Sudirman Kav. 52-53 Kebayoran Baru, Jakarta Selatan 12190"/>
    <m/>
    <m/>
    <s v="Sewa Tahunan"/>
    <x v="1"/>
    <x v="252"/>
    <m/>
    <m/>
    <m/>
    <m/>
    <s v="-"/>
    <x v="90"/>
    <m/>
    <s v="-"/>
    <x v="16"/>
    <m/>
    <x v="229"/>
    <d v="2022-03-26T00:00:00"/>
    <x v="0"/>
    <m/>
    <m/>
    <m/>
    <x v="0"/>
    <x v="0"/>
    <m/>
    <n v="4500015719"/>
    <m/>
    <m/>
    <m/>
    <m/>
    <m/>
    <m/>
    <m/>
    <m/>
    <m/>
    <m/>
    <m/>
    <m/>
    <m/>
  </r>
  <r>
    <n v="290"/>
    <x v="75"/>
    <x v="225"/>
    <s v="Jl. Rempoa Raya 11 Ciputat 00000"/>
    <m/>
    <m/>
    <s v="Sewa Tahunan"/>
    <x v="0"/>
    <x v="253"/>
    <m/>
    <m/>
    <m/>
    <m/>
    <s v="-"/>
    <x v="148"/>
    <m/>
    <s v="-"/>
    <x v="18"/>
    <m/>
    <x v="230"/>
    <d v="2022-02-21T00:00:00"/>
    <x v="0"/>
    <m/>
    <m/>
    <m/>
    <x v="0"/>
    <x v="0"/>
    <m/>
    <n v="4500015720"/>
    <m/>
    <m/>
    <m/>
    <m/>
    <m/>
    <m/>
    <m/>
    <m/>
    <m/>
    <m/>
    <m/>
    <m/>
    <m/>
  </r>
  <r>
    <n v="291"/>
    <x v="5"/>
    <x v="226"/>
    <s v="Jl. H. R Rasuna Said Blok X5 13 Jakarta 0000"/>
    <m/>
    <m/>
    <s v="Sewa Tahunan"/>
    <x v="0"/>
    <x v="254"/>
    <m/>
    <m/>
    <m/>
    <m/>
    <s v="-"/>
    <x v="11"/>
    <m/>
    <s v="-"/>
    <x v="5"/>
    <m/>
    <x v="225"/>
    <d v="2022-02-28T00:00:00"/>
    <x v="0"/>
    <m/>
    <m/>
    <m/>
    <x v="0"/>
    <x v="0"/>
    <m/>
    <n v="4500015717"/>
    <m/>
    <m/>
    <m/>
    <m/>
    <m/>
    <m/>
    <m/>
    <m/>
    <m/>
    <m/>
    <m/>
    <m/>
    <m/>
  </r>
  <r>
    <n v="292"/>
    <x v="157"/>
    <x v="6"/>
    <m/>
    <m/>
    <m/>
    <s v="Sewa Tahunan"/>
    <x v="1"/>
    <x v="255"/>
    <m/>
    <m/>
    <m/>
    <m/>
    <s v="-"/>
    <x v="5"/>
    <m/>
    <s v="-"/>
    <x v="14"/>
    <m/>
    <x v="231"/>
    <d v="2022-01-22T00:00:00"/>
    <x v="0"/>
    <m/>
    <m/>
    <m/>
    <x v="0"/>
    <x v="0"/>
    <m/>
    <n v="4500015685"/>
    <m/>
    <m/>
    <m/>
    <m/>
    <m/>
    <m/>
    <m/>
    <m/>
    <m/>
    <m/>
    <m/>
    <m/>
    <m/>
  </r>
  <r>
    <n v="293"/>
    <x v="0"/>
    <x v="227"/>
    <s v="Jl. Tentara Pelajar Jakarta 12210"/>
    <m/>
    <m/>
    <s v="Sewa Tahunan"/>
    <x v="0"/>
    <x v="256"/>
    <m/>
    <m/>
    <m/>
    <m/>
    <s v="-"/>
    <x v="35"/>
    <m/>
    <s v="-"/>
    <x v="14"/>
    <m/>
    <x v="232"/>
    <d v="2022-03-08T00:00:00"/>
    <x v="0"/>
    <m/>
    <m/>
    <m/>
    <x v="0"/>
    <x v="0"/>
    <m/>
    <n v="4500015721"/>
    <m/>
    <m/>
    <m/>
    <m/>
    <m/>
    <m/>
    <m/>
    <m/>
    <m/>
    <m/>
    <m/>
    <m/>
    <m/>
  </r>
  <r>
    <n v="294"/>
    <x v="5"/>
    <x v="228"/>
    <s v="Jl. H. R Rasuna Said Blok X5 13 Jakarta 0000"/>
    <m/>
    <m/>
    <s v="Sewa Tahunan"/>
    <x v="1"/>
    <x v="77"/>
    <m/>
    <m/>
    <m/>
    <m/>
    <s v="-"/>
    <x v="54"/>
    <m/>
    <s v="-"/>
    <x v="31"/>
    <m/>
    <x v="233"/>
    <d v="2022-01-02T00:00:00"/>
    <x v="0"/>
    <m/>
    <m/>
    <m/>
    <x v="0"/>
    <x v="0"/>
    <m/>
    <n v="4500015718"/>
    <m/>
    <m/>
    <m/>
    <m/>
    <m/>
    <m/>
    <m/>
    <m/>
    <m/>
    <m/>
    <m/>
    <m/>
    <m/>
  </r>
  <r>
    <n v="295"/>
    <x v="9"/>
    <x v="53"/>
    <s v="Jl. Jend Sudirman Kav 52-53 Jakarta 12190"/>
    <m/>
    <m/>
    <s v="Sewa Tahunan"/>
    <x v="1"/>
    <x v="56"/>
    <m/>
    <m/>
    <m/>
    <m/>
    <s v="-"/>
    <x v="35"/>
    <m/>
    <s v="-"/>
    <x v="18"/>
    <m/>
    <x v="234"/>
    <d v="2022-06-15T00:00:00"/>
    <x v="0"/>
    <m/>
    <m/>
    <m/>
    <x v="0"/>
    <x v="0"/>
    <m/>
    <n v="4500016261"/>
    <m/>
    <m/>
    <m/>
    <m/>
    <m/>
    <m/>
    <m/>
    <m/>
    <m/>
    <m/>
    <m/>
    <m/>
    <m/>
  </r>
  <r>
    <n v="296"/>
    <x v="9"/>
    <x v="51"/>
    <s v="Jl. Jend Sudirman Kav 52-53 Jakarta 12190"/>
    <m/>
    <m/>
    <s v="Sewa Tahunan"/>
    <x v="1"/>
    <x v="54"/>
    <m/>
    <m/>
    <m/>
    <m/>
    <s v="-"/>
    <x v="39"/>
    <m/>
    <s v="-"/>
    <x v="10"/>
    <m/>
    <x v="235"/>
    <d v="2022-06-23T00:00:00"/>
    <x v="0"/>
    <m/>
    <m/>
    <m/>
    <x v="0"/>
    <x v="0"/>
    <m/>
    <n v="4500016259"/>
    <m/>
    <m/>
    <m/>
    <m/>
    <m/>
    <m/>
    <m/>
    <m/>
    <m/>
    <m/>
    <m/>
    <m/>
    <m/>
  </r>
  <r>
    <n v="297"/>
    <x v="158"/>
    <x v="45"/>
    <s v="Jl. Mangga Dua Raya Jakarta Ousat 10730"/>
    <m/>
    <m/>
    <s v="Sewa Tahunan"/>
    <x v="1"/>
    <x v="47"/>
    <m/>
    <m/>
    <m/>
    <m/>
    <s v="-"/>
    <x v="34"/>
    <m/>
    <s v="-"/>
    <x v="29"/>
    <m/>
    <x v="236"/>
    <d v="2022-06-10T00:00:00"/>
    <x v="0"/>
    <m/>
    <m/>
    <m/>
    <x v="0"/>
    <x v="0"/>
    <m/>
    <n v="4500016262"/>
    <m/>
    <m/>
    <m/>
    <m/>
    <m/>
    <m/>
    <m/>
    <m/>
    <m/>
    <m/>
    <m/>
    <m/>
    <m/>
  </r>
  <r>
    <n v="298"/>
    <x v="4"/>
    <x v="229"/>
    <s v="Jl. Kuningan Barat 8 Jakarta 12710"/>
    <m/>
    <m/>
    <s v="Sewa Tahunan"/>
    <x v="1"/>
    <x v="10"/>
    <m/>
    <m/>
    <m/>
    <m/>
    <s v="-"/>
    <x v="149"/>
    <m/>
    <s v="-"/>
    <x v="6"/>
    <m/>
    <x v="237"/>
    <d v="2022-05-27T00:00:00"/>
    <x v="0"/>
    <m/>
    <m/>
    <m/>
    <x v="0"/>
    <x v="0"/>
    <m/>
    <n v="4500016058"/>
    <m/>
    <m/>
    <m/>
    <m/>
    <m/>
    <m/>
    <m/>
    <m/>
    <m/>
    <m/>
    <m/>
    <m/>
    <m/>
  </r>
  <r>
    <n v="299"/>
    <x v="75"/>
    <x v="230"/>
    <s v="Jl. Rempoa Raya 11 Ciputat 00000"/>
    <m/>
    <m/>
    <s v="Sewa Tahunan"/>
    <x v="2"/>
    <x v="257"/>
    <m/>
    <m/>
    <m/>
    <m/>
    <n v="2500000"/>
    <x v="18"/>
    <m/>
    <s v="-"/>
    <x v="16"/>
    <m/>
    <x v="238"/>
    <d v="2022-06-13T00:00:00"/>
    <x v="0"/>
    <m/>
    <m/>
    <m/>
    <x v="0"/>
    <x v="0"/>
    <s v="16009/SPP/008/PUSAT/ICON+/2021"/>
    <n v="4500016292"/>
    <m/>
    <m/>
    <m/>
    <m/>
    <m/>
    <m/>
    <m/>
    <m/>
    <m/>
    <m/>
    <m/>
    <m/>
    <m/>
  </r>
  <r>
    <n v="300"/>
    <x v="159"/>
    <x v="214"/>
    <s v="Jl. Kapt. Subijanto DJ Tangerang 15321"/>
    <m/>
    <m/>
    <s v="Sewa Tahunan"/>
    <x v="2"/>
    <x v="258"/>
    <m/>
    <m/>
    <m/>
    <m/>
    <n v="5500000"/>
    <x v="44"/>
    <m/>
    <n v="6000000"/>
    <x v="16"/>
    <m/>
    <x v="239"/>
    <d v="2022-06-06T00:00:00"/>
    <x v="0"/>
    <m/>
    <m/>
    <m/>
    <x v="0"/>
    <x v="0"/>
    <s v="15979/SPP/008/PUSAT/ICON+/2021"/>
    <n v="4500016294"/>
    <m/>
    <m/>
    <m/>
    <m/>
    <m/>
    <m/>
    <m/>
    <m/>
    <m/>
    <m/>
    <m/>
    <m/>
    <m/>
  </r>
  <r>
    <n v="301"/>
    <x v="160"/>
    <x v="231"/>
    <s v="Jl. TB Simatupang RT.004 RW.0001 Kav. 15 Jakarta Selatan 00000"/>
    <m/>
    <m/>
    <s v="Sewa Tahunan"/>
    <x v="1"/>
    <x v="259"/>
    <m/>
    <m/>
    <m/>
    <m/>
    <s v="-"/>
    <x v="150"/>
    <m/>
    <s v="-"/>
    <x v="49"/>
    <m/>
    <x v="126"/>
    <d v="2021-12-31T00:00:00"/>
    <x v="0"/>
    <m/>
    <m/>
    <m/>
    <x v="0"/>
    <x v="0"/>
    <m/>
    <n v="4500015692"/>
    <m/>
    <m/>
    <m/>
    <m/>
    <m/>
    <m/>
    <m/>
    <m/>
    <m/>
    <m/>
    <m/>
    <m/>
    <m/>
  </r>
  <r>
    <n v="302"/>
    <x v="161"/>
    <x v="232"/>
    <s v="Citra Graha Lantai 4, Suite 403 Jakarta 12950"/>
    <m/>
    <m/>
    <s v="Sewa Tahunan"/>
    <x v="0"/>
    <x v="260"/>
    <m/>
    <m/>
    <m/>
    <m/>
    <s v="-"/>
    <x v="41"/>
    <m/>
    <n v="5000000"/>
    <x v="85"/>
    <m/>
    <x v="240"/>
    <d v="2022-05-19T00:00:00"/>
    <x v="0"/>
    <m/>
    <m/>
    <m/>
    <x v="0"/>
    <x v="0"/>
    <m/>
    <n v="4500016133"/>
    <m/>
    <m/>
    <m/>
    <m/>
    <m/>
    <m/>
    <m/>
    <m/>
    <m/>
    <m/>
    <m/>
    <m/>
    <m/>
  </r>
  <r>
    <n v="303"/>
    <x v="159"/>
    <x v="233"/>
    <s v="Jl. Kapt. Subijanto DJ Tangerang 15321"/>
    <m/>
    <m/>
    <s v="Sewa Tahunan"/>
    <x v="2"/>
    <x v="239"/>
    <m/>
    <m/>
    <m/>
    <m/>
    <n v="10500000"/>
    <x v="151"/>
    <m/>
    <n v="12000000"/>
    <x v="17"/>
    <m/>
    <x v="241"/>
    <d v="2022-06-01T00:00:00"/>
    <x v="0"/>
    <m/>
    <m/>
    <m/>
    <x v="0"/>
    <x v="0"/>
    <s v="15980/SPP/008/PUSAT/ICON+/2021"/>
    <n v="4500016293"/>
    <m/>
    <m/>
    <m/>
    <m/>
    <m/>
    <m/>
    <m/>
    <m/>
    <m/>
    <m/>
    <m/>
    <m/>
    <m/>
  </r>
  <r>
    <n v="304"/>
    <x v="162"/>
    <x v="132"/>
    <m/>
    <m/>
    <m/>
    <s v="Sewa Tahunan"/>
    <x v="2"/>
    <x v="67"/>
    <m/>
    <m/>
    <m/>
    <m/>
    <s v="-"/>
    <x v="41"/>
    <m/>
    <s v="-"/>
    <x v="130"/>
    <m/>
    <x v="226"/>
    <d v="2022-03-31T00:00:00"/>
    <x v="0"/>
    <m/>
    <m/>
    <m/>
    <x v="0"/>
    <x v="0"/>
    <s v="15660/SPP/008/PUSAT/ICON+/2021"/>
    <n v="4500016114"/>
    <m/>
    <m/>
    <m/>
    <m/>
    <m/>
    <m/>
    <m/>
    <m/>
    <m/>
    <m/>
    <m/>
    <m/>
    <m/>
  </r>
  <r>
    <n v="305"/>
    <x v="9"/>
    <x v="39"/>
    <s v="Jl. Jend Sudirman Kav 52-53 Jakarta 12190"/>
    <m/>
    <m/>
    <s v="Sewa Tahunan"/>
    <x v="2"/>
    <x v="261"/>
    <m/>
    <m/>
    <m/>
    <m/>
    <s v="-"/>
    <x v="30"/>
    <m/>
    <s v="-"/>
    <x v="18"/>
    <m/>
    <x v="232"/>
    <d v="2022-03-08T00:00:00"/>
    <x v="0"/>
    <m/>
    <m/>
    <m/>
    <x v="0"/>
    <x v="0"/>
    <s v="15457/SPP/008/PUSAT/ICON+/2021"/>
    <n v="4500015871"/>
    <m/>
    <m/>
    <m/>
    <m/>
    <m/>
    <m/>
    <m/>
    <m/>
    <m/>
    <m/>
    <m/>
    <m/>
    <m/>
  </r>
  <r>
    <n v="306"/>
    <x v="9"/>
    <x v="20"/>
    <s v="Jl. Jend Sudirman Kav 52-53 Jakarta 12190"/>
    <m/>
    <m/>
    <s v="Sewa Tahunan"/>
    <x v="2"/>
    <x v="262"/>
    <m/>
    <m/>
    <m/>
    <m/>
    <s v="-"/>
    <x v="78"/>
    <m/>
    <s v="-"/>
    <x v="18"/>
    <m/>
    <x v="242"/>
    <d v="2022-03-22T00:00:00"/>
    <x v="0"/>
    <m/>
    <m/>
    <m/>
    <x v="0"/>
    <x v="0"/>
    <s v="15468/SPP/008/PUSAT/ICON+/2021"/>
    <n v="4500015880"/>
    <m/>
    <m/>
    <m/>
    <m/>
    <m/>
    <m/>
    <m/>
    <m/>
    <m/>
    <m/>
    <m/>
    <m/>
    <m/>
  </r>
  <r>
    <n v="307"/>
    <x v="153"/>
    <x v="234"/>
    <s v="Jl. H. R Rasuna Said Blok X5 13 Jakarta 0000"/>
    <m/>
    <m/>
    <s v="Sewa Tahunan"/>
    <x v="1"/>
    <x v="263"/>
    <m/>
    <m/>
    <m/>
    <m/>
    <s v="-"/>
    <x v="152"/>
    <m/>
    <s v="-"/>
    <x v="131"/>
    <m/>
    <x v="243"/>
    <d v="2022-04-04T00:00:00"/>
    <x v="0"/>
    <m/>
    <m/>
    <m/>
    <x v="0"/>
    <x v="0"/>
    <s v="15591/SPP/008/PUSAT/ICON+/2021"/>
    <n v="4500016070"/>
    <m/>
    <m/>
    <m/>
    <m/>
    <m/>
    <m/>
    <m/>
    <m/>
    <m/>
    <m/>
    <m/>
    <m/>
    <m/>
  </r>
  <r>
    <n v="308"/>
    <x v="163"/>
    <x v="235"/>
    <s v="Gd. Menara Kadin Lt. 11 Unit E-G DKI Jakarta 00000"/>
    <m/>
    <m/>
    <s v="Sewa Tahunan"/>
    <x v="0"/>
    <x v="264"/>
    <m/>
    <m/>
    <m/>
    <m/>
    <n v="6500000"/>
    <x v="153"/>
    <m/>
    <s v="-"/>
    <x v="35"/>
    <m/>
    <x v="231"/>
    <d v="2022-01-22T00:00:00"/>
    <x v="0"/>
    <m/>
    <m/>
    <m/>
    <x v="0"/>
    <x v="0"/>
    <m/>
    <n v="4500015815"/>
    <m/>
    <m/>
    <m/>
    <m/>
    <m/>
    <m/>
    <m/>
    <m/>
    <m/>
    <m/>
    <m/>
    <m/>
    <m/>
  </r>
  <r>
    <n v="309"/>
    <x v="9"/>
    <x v="214"/>
    <s v="Jl. Jend Sudirman Kav 52-53 Jakarta 12190"/>
    <m/>
    <m/>
    <s v="Sewa Tahunan"/>
    <x v="2"/>
    <x v="265"/>
    <m/>
    <m/>
    <m/>
    <m/>
    <n v="10500000"/>
    <x v="145"/>
    <m/>
    <n v="1500000"/>
    <x v="18"/>
    <m/>
    <x v="240"/>
    <d v="2022-05-19T00:00:00"/>
    <x v="0"/>
    <m/>
    <m/>
    <m/>
    <x v="0"/>
    <x v="0"/>
    <s v="15872/SPP/008/PUSAT/ICON+/2021"/>
    <n v="4500016201"/>
    <m/>
    <m/>
    <m/>
    <m/>
    <m/>
    <m/>
    <m/>
    <m/>
    <m/>
    <m/>
    <m/>
    <m/>
    <m/>
  </r>
  <r>
    <n v="310"/>
    <x v="164"/>
    <x v="236"/>
    <s v="Jl. Abdul Muis No. 46 Jakarta 10160"/>
    <m/>
    <m/>
    <s v="Sewa Tahunan"/>
    <x v="1"/>
    <x v="266"/>
    <m/>
    <m/>
    <m/>
    <m/>
    <n v="3000000"/>
    <x v="154"/>
    <m/>
    <s v="-"/>
    <x v="132"/>
    <m/>
    <x v="151"/>
    <s v="31/02/2022"/>
    <x v="0"/>
    <m/>
    <m/>
    <m/>
    <x v="0"/>
    <x v="0"/>
    <s v="15824/SPP/008/PUSAT/ICON+/2021"/>
    <n v="4500016197"/>
    <m/>
    <m/>
    <m/>
    <m/>
    <m/>
    <m/>
    <m/>
    <m/>
    <m/>
    <m/>
    <m/>
    <m/>
    <m/>
  </r>
  <r>
    <n v="311"/>
    <x v="8"/>
    <x v="237"/>
    <s v="Jl. Kuningan Barat No.8 Cyber Building 1st &amp; 2nd Jakarta Selatan 12710"/>
    <m/>
    <m/>
    <s v="Sewa Tahunan"/>
    <x v="2"/>
    <x v="67"/>
    <m/>
    <m/>
    <m/>
    <m/>
    <s v="-"/>
    <x v="41"/>
    <m/>
    <s v="-"/>
    <x v="133"/>
    <m/>
    <x v="244"/>
    <d v="2022-05-12T00:00:00"/>
    <x v="0"/>
    <m/>
    <m/>
    <m/>
    <x v="0"/>
    <x v="0"/>
    <s v="15809/SPP/008/PUSAT/ICON+/2021"/>
    <n v="4500016167"/>
    <m/>
    <m/>
    <m/>
    <m/>
    <m/>
    <m/>
    <m/>
    <m/>
    <m/>
    <m/>
    <m/>
    <m/>
    <m/>
  </r>
  <r>
    <n v="312"/>
    <x v="75"/>
    <x v="238"/>
    <s v="Jl. Rempoa Raya 11 Ciputat 00000"/>
    <m/>
    <m/>
    <s v="Sewa Tahunan"/>
    <x v="2"/>
    <x v="267"/>
    <m/>
    <m/>
    <m/>
    <m/>
    <s v="-"/>
    <x v="41"/>
    <m/>
    <s v="-"/>
    <x v="8"/>
    <m/>
    <x v="124"/>
    <d v="2022-04-02T00:00:00"/>
    <x v="0"/>
    <m/>
    <m/>
    <m/>
    <x v="0"/>
    <x v="0"/>
    <s v="15685/SPP/008/PUSAT/ICON+/2021"/>
    <n v="4500016185"/>
    <m/>
    <m/>
    <m/>
    <m/>
    <m/>
    <m/>
    <m/>
    <m/>
    <m/>
    <m/>
    <m/>
    <m/>
    <m/>
  </r>
  <r>
    <n v="313"/>
    <x v="79"/>
    <x v="239"/>
    <s v="Jl. M. H Thamrin Kav 3 Jakarta Pusat 10250"/>
    <m/>
    <m/>
    <s v="Sewa Tahunan"/>
    <x v="0"/>
    <x v="268"/>
    <m/>
    <m/>
    <m/>
    <m/>
    <s v="-"/>
    <x v="155"/>
    <m/>
    <s v="-"/>
    <x v="134"/>
    <m/>
    <x v="245"/>
    <d v="2022-11-19T00:00:00"/>
    <x v="0"/>
    <m/>
    <m/>
    <m/>
    <x v="0"/>
    <x v="0"/>
    <s v="17875/SPP/008/PUSAT/ICON+/2022"/>
    <n v="4500017665"/>
    <m/>
    <m/>
    <m/>
    <m/>
    <m/>
    <m/>
    <m/>
    <m/>
    <m/>
    <m/>
    <m/>
    <m/>
    <m/>
  </r>
  <r>
    <n v="314"/>
    <x v="165"/>
    <x v="240"/>
    <s v="Jl. MH. Thamrin 1 Jakarta Pusat 10310"/>
    <m/>
    <m/>
    <s v="Sewa Tahunan"/>
    <x v="0"/>
    <x v="269"/>
    <m/>
    <m/>
    <m/>
    <m/>
    <s v="-"/>
    <x v="156"/>
    <m/>
    <s v="-"/>
    <x v="135"/>
    <m/>
    <x v="246"/>
    <d v="2022-10-31T00:00:00"/>
    <x v="0"/>
    <m/>
    <m/>
    <m/>
    <x v="0"/>
    <x v="0"/>
    <m/>
    <n v="4500017612"/>
    <m/>
    <m/>
    <m/>
    <m/>
    <m/>
    <m/>
    <m/>
    <m/>
    <m/>
    <m/>
    <m/>
    <m/>
    <m/>
  </r>
  <r>
    <n v="315"/>
    <x v="166"/>
    <x v="241"/>
    <s v="Sudirman Kav 52-53 Jakarta Selatan 00000"/>
    <m/>
    <m/>
    <s v="Sewa Tahunan"/>
    <x v="1"/>
    <x v="270"/>
    <m/>
    <m/>
    <m/>
    <m/>
    <s v="-"/>
    <x v="157"/>
    <m/>
    <s v="-"/>
    <x v="136"/>
    <m/>
    <x v="162"/>
    <d v="2022-07-31T00:00:00"/>
    <x v="0"/>
    <m/>
    <m/>
    <m/>
    <x v="0"/>
    <x v="0"/>
    <m/>
    <n v="4500016715"/>
    <m/>
    <m/>
    <m/>
    <m/>
    <m/>
    <m/>
    <m/>
    <m/>
    <m/>
    <m/>
    <m/>
    <m/>
    <m/>
  </r>
  <r>
    <n v="316"/>
    <x v="167"/>
    <x v="242"/>
    <s v="Ruko Kebayoran Centre Blok A No. 5 Jakarta Selatan 12240"/>
    <m/>
    <m/>
    <s v="Sewa Tahunan"/>
    <x v="0"/>
    <x v="271"/>
    <m/>
    <m/>
    <m/>
    <m/>
    <s v="-"/>
    <x v="158"/>
    <m/>
    <s v="-"/>
    <x v="18"/>
    <m/>
    <x v="247"/>
    <d v="2022-09-14T00:00:00"/>
    <x v="0"/>
    <m/>
    <m/>
    <m/>
    <x v="0"/>
    <x v="0"/>
    <m/>
    <n v="4500017606"/>
    <m/>
    <m/>
    <m/>
    <m/>
    <m/>
    <m/>
    <m/>
    <m/>
    <m/>
    <m/>
    <m/>
    <m/>
    <m/>
  </r>
  <r>
    <n v="317"/>
    <x v="4"/>
    <x v="243"/>
    <s v="Jl. Kuningan Barat 8 Jakarta 12710"/>
    <m/>
    <m/>
    <s v="Sewa Tahunan"/>
    <x v="1"/>
    <x v="272"/>
    <m/>
    <m/>
    <m/>
    <m/>
    <s v="-"/>
    <x v="159"/>
    <m/>
    <s v="-"/>
    <x v="6"/>
    <m/>
    <x v="248"/>
    <d v="2022-12-28T00:00:00"/>
    <x v="0"/>
    <m/>
    <m/>
    <m/>
    <x v="0"/>
    <x v="0"/>
    <m/>
    <n v="4500017568"/>
    <m/>
    <m/>
    <m/>
    <m/>
    <m/>
    <m/>
    <m/>
    <m/>
    <m/>
    <m/>
    <m/>
    <m/>
    <m/>
  </r>
  <r>
    <n v="318"/>
    <x v="4"/>
    <x v="244"/>
    <s v="Jl. Kuningan Barat 8 Jakarta 12710"/>
    <m/>
    <m/>
    <s v="Sewa Tahunan"/>
    <x v="1"/>
    <x v="273"/>
    <m/>
    <m/>
    <m/>
    <m/>
    <s v="-"/>
    <x v="23"/>
    <m/>
    <s v="-"/>
    <x v="4"/>
    <m/>
    <x v="249"/>
    <d v="2022-10-23T00:00:00"/>
    <x v="0"/>
    <m/>
    <m/>
    <m/>
    <x v="0"/>
    <x v="0"/>
    <m/>
    <n v="4500017513"/>
    <m/>
    <m/>
    <m/>
    <m/>
    <m/>
    <m/>
    <m/>
    <m/>
    <m/>
    <m/>
    <m/>
    <m/>
    <m/>
  </r>
  <r>
    <n v="319"/>
    <x v="168"/>
    <x v="245"/>
    <s v="My Republic Plaza lt 2 WING A Jakarta 15345"/>
    <m/>
    <m/>
    <s v="Sewa Tahunan"/>
    <x v="0"/>
    <x v="274"/>
    <m/>
    <m/>
    <m/>
    <m/>
    <s v="-"/>
    <x v="69"/>
    <m/>
    <s v="-"/>
    <x v="58"/>
    <m/>
    <x v="246"/>
    <d v="2022-10-31T00:00:00"/>
    <x v="0"/>
    <m/>
    <m/>
    <m/>
    <x v="0"/>
    <x v="0"/>
    <s v="17351/SPP/008/PUSAT/ICON+/2021"/>
    <n v="4500017491"/>
    <m/>
    <m/>
    <m/>
    <m/>
    <m/>
    <m/>
    <m/>
    <m/>
    <m/>
    <m/>
    <m/>
    <m/>
    <m/>
  </r>
  <r>
    <n v="320"/>
    <x v="163"/>
    <x v="122"/>
    <s v="Gd. Menara Kadin Lt. 11 Unit E-G DKI Jakarta 00000"/>
    <m/>
    <m/>
    <s v="Sewa Tahunan"/>
    <x v="0"/>
    <x v="275"/>
    <m/>
    <m/>
    <m/>
    <m/>
    <s v="-"/>
    <x v="160"/>
    <m/>
    <s v="-"/>
    <x v="137"/>
    <m/>
    <x v="250"/>
    <d v="2021-12-31T00:00:00"/>
    <x v="0"/>
    <m/>
    <m/>
    <m/>
    <x v="0"/>
    <x v="0"/>
    <s v="16939/SPP/008/PUSAT/ICON+/2021"/>
    <n v="4500017463"/>
    <m/>
    <m/>
    <m/>
    <m/>
    <m/>
    <m/>
    <m/>
    <m/>
    <m/>
    <m/>
    <m/>
    <m/>
    <m/>
  </r>
  <r>
    <n v="321"/>
    <x v="169"/>
    <x v="246"/>
    <s v="Jl. Tomang Raya No 43 Jakarta Barat 11440"/>
    <m/>
    <m/>
    <s v="Sewa Tahunan"/>
    <x v="0"/>
    <x v="276"/>
    <m/>
    <m/>
    <m/>
    <m/>
    <s v="-"/>
    <x v="161"/>
    <m/>
    <s v="-"/>
    <x v="79"/>
    <m/>
    <x v="246"/>
    <d v="2022-10-31T00:00:00"/>
    <x v="0"/>
    <m/>
    <m/>
    <m/>
    <x v="0"/>
    <x v="0"/>
    <s v="16667/SPP/008/PUSAt/ICON+/2021"/>
    <n v="4500017316"/>
    <m/>
    <m/>
    <m/>
    <m/>
    <m/>
    <m/>
    <m/>
    <m/>
    <m/>
    <m/>
    <m/>
    <m/>
    <m/>
  </r>
  <r>
    <n v="322"/>
    <x v="170"/>
    <x v="0"/>
    <s v="Jl. Pahlawan Seribu Lot. 12A Tangerang 15322"/>
    <m/>
    <m/>
    <s v="Sewa Tahunan"/>
    <x v="1"/>
    <x v="70"/>
    <m/>
    <m/>
    <m/>
    <m/>
    <s v="-"/>
    <x v="50"/>
    <m/>
    <s v="-"/>
    <x v="40"/>
    <m/>
    <x v="251"/>
    <d v="2022-11-22T00:00:00"/>
    <x v="0"/>
    <m/>
    <m/>
    <m/>
    <x v="0"/>
    <x v="0"/>
    <s v="17226/SPP/008/PUSAT/ICON+/2021"/>
    <n v="4500017416"/>
    <m/>
    <m/>
    <m/>
    <m/>
    <m/>
    <m/>
    <m/>
    <m/>
    <m/>
    <m/>
    <m/>
    <m/>
    <m/>
  </r>
  <r>
    <n v="323"/>
    <x v="171"/>
    <x v="247"/>
    <s v="Jl. Embong Tanjung No. 40 Surabaya 60271"/>
    <m/>
    <m/>
    <s v="Sewa Tahunan"/>
    <x v="1"/>
    <x v="277"/>
    <m/>
    <m/>
    <m/>
    <m/>
    <s v="-"/>
    <x v="3"/>
    <m/>
    <s v="-"/>
    <x v="31"/>
    <m/>
    <x v="246"/>
    <d v="2022-12-31T00:00:00"/>
    <x v="0"/>
    <m/>
    <m/>
    <m/>
    <x v="0"/>
    <x v="0"/>
    <m/>
    <n v="4500017616"/>
    <m/>
    <m/>
    <m/>
    <m/>
    <m/>
    <m/>
    <m/>
    <m/>
    <m/>
    <m/>
    <m/>
    <m/>
    <m/>
  </r>
  <r>
    <n v="324"/>
    <x v="172"/>
    <x v="45"/>
    <s v="Jl. H. Agus Salim 45 Jakarta 10340"/>
    <m/>
    <m/>
    <s v="Sewa Tahunan"/>
    <x v="0"/>
    <x v="278"/>
    <m/>
    <m/>
    <m/>
    <m/>
    <s v="-"/>
    <x v="162"/>
    <m/>
    <s v="-"/>
    <x v="138"/>
    <m/>
    <x v="252"/>
    <d v="2022-04-10T00:00:00"/>
    <x v="0"/>
    <m/>
    <m/>
    <m/>
    <x v="0"/>
    <x v="0"/>
    <s v="17691/SPP/008/PUSAT/ICON+/2021"/>
    <n v="4500017860"/>
    <m/>
    <m/>
    <m/>
    <m/>
    <m/>
    <m/>
    <m/>
    <m/>
    <m/>
    <m/>
    <m/>
    <m/>
    <m/>
  </r>
  <r>
    <n v="325"/>
    <x v="159"/>
    <x v="248"/>
    <s v="Jl. Kapt. Subijanto DJ Tangerang 15321"/>
    <m/>
    <m/>
    <s v="Sewa Tahunan"/>
    <x v="2"/>
    <x v="279"/>
    <m/>
    <m/>
    <m/>
    <m/>
    <s v="-"/>
    <x v="163"/>
    <m/>
    <n v="9000000"/>
    <x v="18"/>
    <m/>
    <x v="253"/>
    <d v="2022-09-15T00:00:00"/>
    <x v="0"/>
    <m/>
    <m/>
    <m/>
    <x v="0"/>
    <x v="0"/>
    <s v="16705/SPP/008/PUSAT/ICON+/2021"/>
    <n v="4500016820"/>
    <m/>
    <m/>
    <m/>
    <m/>
    <m/>
    <m/>
    <m/>
    <m/>
    <m/>
    <m/>
    <m/>
    <m/>
    <m/>
  </r>
  <r>
    <n v="326"/>
    <x v="173"/>
    <x v="249"/>
    <s v="Jl. Asia Afrika No 8 Jakarta 10270"/>
    <m/>
    <m/>
    <s v="Sewa Tahunan"/>
    <x v="2"/>
    <x v="280"/>
    <m/>
    <m/>
    <m/>
    <m/>
    <n v="1021200000"/>
    <x v="122"/>
    <m/>
    <s v="-"/>
    <x v="139"/>
    <m/>
    <x v="254"/>
    <d v="2022-10-04T00:00:00"/>
    <x v="0"/>
    <m/>
    <m/>
    <m/>
    <x v="0"/>
    <x v="0"/>
    <s v="16691/SPP/008/PUSAT/ICON+/2021"/>
    <n v="4500016890"/>
    <m/>
    <m/>
    <m/>
    <m/>
    <m/>
    <m/>
    <m/>
    <m/>
    <m/>
    <m/>
    <m/>
    <m/>
    <m/>
  </r>
  <r>
    <n v="327"/>
    <x v="75"/>
    <x v="250"/>
    <s v="Jl. Rempoa Raya 11 Ciputat 00000"/>
    <m/>
    <m/>
    <s v="Sewa Tahunan"/>
    <x v="0"/>
    <x v="281"/>
    <m/>
    <m/>
    <m/>
    <m/>
    <s v="-"/>
    <x v="59"/>
    <m/>
    <s v="-"/>
    <x v="140"/>
    <m/>
    <x v="255"/>
    <d v="2022-06-23T00:00:00"/>
    <x v="0"/>
    <m/>
    <m/>
    <m/>
    <x v="0"/>
    <x v="0"/>
    <s v="19082/SPP/008/PUSAT/ICON+/2022"/>
    <n v="4500018380"/>
    <m/>
    <m/>
    <m/>
    <m/>
    <m/>
    <m/>
    <m/>
    <m/>
    <m/>
    <m/>
    <m/>
    <m/>
    <m/>
  </r>
  <r>
    <n v="328"/>
    <x v="174"/>
    <x v="251"/>
    <s v="Gedung Plaza Asia Jl. Jend Sudirman Kav 59 Jakarta 12190"/>
    <m/>
    <m/>
    <s v="Sewa Tahunan"/>
    <x v="1"/>
    <x v="282"/>
    <m/>
    <m/>
    <m/>
    <m/>
    <s v="-"/>
    <x v="164"/>
    <m/>
    <s v="-"/>
    <x v="70"/>
    <m/>
    <x v="256"/>
    <d v="2022-12-03T00:00:00"/>
    <x v="0"/>
    <m/>
    <m/>
    <m/>
    <x v="0"/>
    <x v="0"/>
    <s v="17306/SPP/008/PUSAT/ICON+/2021"/>
    <n v="4500017849"/>
    <m/>
    <m/>
    <m/>
    <m/>
    <m/>
    <m/>
    <m/>
    <m/>
    <m/>
    <m/>
    <m/>
    <m/>
    <m/>
  </r>
  <r>
    <n v="329"/>
    <x v="8"/>
    <x v="252"/>
    <s v="Jl. Kuningan Barat 8 Cyber Building 7 Jakarta Selatan 12170"/>
    <m/>
    <m/>
    <s v="Sewa Tahunan"/>
    <x v="2"/>
    <x v="67"/>
    <m/>
    <m/>
    <m/>
    <m/>
    <s v="-"/>
    <x v="41"/>
    <m/>
    <s v="-"/>
    <x v="141"/>
    <m/>
    <x v="257"/>
    <d v="2022-08-13T00:00:00"/>
    <x v="0"/>
    <m/>
    <m/>
    <m/>
    <x v="0"/>
    <x v="0"/>
    <s v="16629/SPP/008/PUSAT/ICON+/2022"/>
    <n v="4500016886"/>
    <m/>
    <m/>
    <m/>
    <m/>
    <m/>
    <m/>
    <m/>
    <m/>
    <m/>
    <m/>
    <m/>
    <m/>
    <m/>
  </r>
  <r>
    <n v="330"/>
    <x v="42"/>
    <x v="108"/>
    <s v="JL. Rempoa Raya 11"/>
    <m/>
    <m/>
    <s v="Sewa Tahunan"/>
    <x v="1"/>
    <x v="113"/>
    <m/>
    <m/>
    <m/>
    <m/>
    <s v="-"/>
    <x v="3"/>
    <m/>
    <s v="-"/>
    <x v="142"/>
    <m/>
    <x v="258"/>
    <d v="2022-02-19T00:00:00"/>
    <x v="0"/>
    <m/>
    <m/>
    <m/>
    <x v="0"/>
    <x v="0"/>
    <s v="15269/SPP/008/PUSAT/ICON+/2021"/>
    <n v="4500015778"/>
    <m/>
    <m/>
    <m/>
    <m/>
    <m/>
    <m/>
    <m/>
    <m/>
    <m/>
    <m/>
    <m/>
    <m/>
    <m/>
  </r>
  <r>
    <n v="331"/>
    <x v="37"/>
    <x v="48"/>
    <s v="Jl.Kuningan Barat 8 Jakarta 12710"/>
    <m/>
    <m/>
    <s v="Sewa Tahunan"/>
    <x v="1"/>
    <x v="283"/>
    <m/>
    <m/>
    <m/>
    <m/>
    <s v="-"/>
    <x v="7"/>
    <m/>
    <s v="-"/>
    <x v="39"/>
    <m/>
    <x v="259"/>
    <d v="2022-01-20T00:00:00"/>
    <x v="0"/>
    <m/>
    <m/>
    <m/>
    <x v="0"/>
    <x v="0"/>
    <m/>
    <n v="4500015724"/>
    <m/>
    <m/>
    <m/>
    <m/>
    <m/>
    <m/>
    <m/>
    <m/>
    <m/>
    <m/>
    <m/>
    <m/>
    <m/>
  </r>
  <r>
    <n v="332"/>
    <x v="9"/>
    <x v="83"/>
    <s v="Jl. Jend Sudirman Kav 52-53 Jakarta 12190"/>
    <m/>
    <m/>
    <s v="Sewa Tahunan"/>
    <x v="2"/>
    <x v="284"/>
    <m/>
    <m/>
    <m/>
    <m/>
    <s v="-"/>
    <x v="165"/>
    <m/>
    <s v="-"/>
    <x v="18"/>
    <m/>
    <x v="80"/>
    <d v="2022-03-18T00:00:00"/>
    <x v="0"/>
    <m/>
    <m/>
    <m/>
    <x v="0"/>
    <x v="0"/>
    <s v="15461/SPP/008/PUSAT/ICON+/2021"/>
    <n v="4500015870"/>
    <m/>
    <m/>
    <m/>
    <m/>
    <m/>
    <m/>
    <m/>
    <m/>
    <m/>
    <m/>
    <m/>
    <m/>
    <m/>
  </r>
  <r>
    <n v="333"/>
    <x v="175"/>
    <x v="253"/>
    <s v="Jl. Jend Sudirman Kav 10-11"/>
    <m/>
    <m/>
    <s v="Sewa Tahunan"/>
    <x v="2"/>
    <x v="78"/>
    <m/>
    <m/>
    <m/>
    <m/>
    <s v="-"/>
    <x v="55"/>
    <m/>
    <s v="-"/>
    <x v="5"/>
    <m/>
    <x v="260"/>
    <d v="2022-03-12T00:00:00"/>
    <x v="0"/>
    <m/>
    <m/>
    <m/>
    <x v="0"/>
    <x v="0"/>
    <m/>
    <n v="4500015823"/>
    <m/>
    <m/>
    <m/>
    <m/>
    <m/>
    <m/>
    <m/>
    <m/>
    <m/>
    <m/>
    <m/>
    <m/>
    <m/>
  </r>
  <r>
    <n v="334"/>
    <x v="42"/>
    <x v="254"/>
    <s v="JL. Rempoa Raya 11"/>
    <m/>
    <m/>
    <s v="Sewa Tahunan"/>
    <x v="0"/>
    <x v="285"/>
    <m/>
    <m/>
    <m/>
    <m/>
    <s v="-"/>
    <x v="42"/>
    <m/>
    <s v="-"/>
    <x v="135"/>
    <m/>
    <x v="261"/>
    <d v="2022-02-20T00:00:00"/>
    <x v="0"/>
    <m/>
    <m/>
    <m/>
    <x v="0"/>
    <x v="0"/>
    <m/>
    <n v="4500015824"/>
    <m/>
    <m/>
    <m/>
    <m/>
    <m/>
    <m/>
    <m/>
    <m/>
    <m/>
    <m/>
    <m/>
    <m/>
    <m/>
  </r>
  <r>
    <n v="335"/>
    <x v="176"/>
    <x v="255"/>
    <s v="Jl. Raya Pelabuhan No. 1"/>
    <m/>
    <m/>
    <s v="Sewa Tahunan"/>
    <x v="1"/>
    <x v="39"/>
    <m/>
    <m/>
    <m/>
    <m/>
    <s v="-"/>
    <x v="28"/>
    <m/>
    <s v="-"/>
    <x v="143"/>
    <m/>
    <x v="79"/>
    <s v="31/12/2021"/>
    <x v="0"/>
    <m/>
    <m/>
    <m/>
    <x v="0"/>
    <x v="0"/>
    <m/>
    <n v="4500016051"/>
    <m/>
    <m/>
    <m/>
    <m/>
    <m/>
    <m/>
    <m/>
    <m/>
    <m/>
    <m/>
    <m/>
    <m/>
    <m/>
  </r>
  <r>
    <n v="336"/>
    <x v="177"/>
    <x v="256"/>
    <s v="JL. MT Haryono Ka 16"/>
    <m/>
    <m/>
    <s v="Sewa Tahunan"/>
    <x v="1"/>
    <x v="154"/>
    <m/>
    <m/>
    <m/>
    <m/>
    <s v="-"/>
    <x v="30"/>
    <m/>
    <s v="-"/>
    <x v="144"/>
    <m/>
    <x v="262"/>
    <s v="02/02/2022"/>
    <x v="0"/>
    <m/>
    <m/>
    <m/>
    <x v="0"/>
    <x v="0"/>
    <m/>
    <n v="4500015839"/>
    <m/>
    <m/>
    <m/>
    <m/>
    <m/>
    <m/>
    <m/>
    <m/>
    <m/>
    <m/>
    <m/>
    <m/>
    <m/>
  </r>
  <r>
    <n v="337"/>
    <x v="37"/>
    <x v="157"/>
    <s v="Jl.Kuningan Barat 8 Jakarta 12710"/>
    <m/>
    <m/>
    <s v="Sewa Tahunan"/>
    <x v="1"/>
    <x v="67"/>
    <m/>
    <m/>
    <m/>
    <m/>
    <s v="-"/>
    <x v="41"/>
    <m/>
    <s v="-"/>
    <x v="9"/>
    <m/>
    <x v="263"/>
    <s v="27/05/2022"/>
    <x v="0"/>
    <m/>
    <m/>
    <m/>
    <x v="0"/>
    <x v="0"/>
    <s v="15887/SPP/008/PUSAT/ICON+/2021"/>
    <n v="4500016198"/>
    <m/>
    <m/>
    <m/>
    <m/>
    <m/>
    <m/>
    <m/>
    <m/>
    <m/>
    <m/>
    <m/>
    <m/>
    <m/>
  </r>
  <r>
    <n v="338"/>
    <x v="29"/>
    <x v="257"/>
    <s v="Jl. Jend Sudirman Kav 52-53 Jakarta 12190"/>
    <m/>
    <m/>
    <s v="Sewa Tahunan"/>
    <x v="2"/>
    <x v="286"/>
    <m/>
    <m/>
    <m/>
    <m/>
    <s v="-"/>
    <x v="10"/>
    <m/>
    <n v="1500000"/>
    <x v="18"/>
    <m/>
    <x v="263"/>
    <s v="27/05/2022"/>
    <x v="0"/>
    <m/>
    <m/>
    <m/>
    <x v="0"/>
    <x v="0"/>
    <s v="15873/SPP/008/PUSAT/ICON+/2021"/>
    <n v="4500016200"/>
    <m/>
    <m/>
    <m/>
    <m/>
    <m/>
    <m/>
    <m/>
    <m/>
    <m/>
    <m/>
    <m/>
    <m/>
    <m/>
  </r>
  <r>
    <n v="339"/>
    <x v="42"/>
    <x v="258"/>
    <s v="JL. Rempoa Raya 11"/>
    <m/>
    <m/>
    <s v="Sewa Tahunan"/>
    <x v="2"/>
    <x v="65"/>
    <m/>
    <m/>
    <m/>
    <m/>
    <s v="-"/>
    <x v="30"/>
    <m/>
    <s v="-"/>
    <x v="8"/>
    <m/>
    <x v="264"/>
    <s v="02/04/2022"/>
    <x v="0"/>
    <m/>
    <m/>
    <m/>
    <x v="0"/>
    <x v="0"/>
    <s v="15899/SPP/008/PUSAT/ICON+/2021"/>
    <n v="4500016185"/>
    <m/>
    <m/>
    <m/>
    <m/>
    <m/>
    <m/>
    <m/>
    <m/>
    <m/>
    <m/>
    <m/>
    <m/>
    <m/>
  </r>
  <r>
    <n v="340"/>
    <x v="42"/>
    <x v="259"/>
    <s v="JL. Rempoa Raya 11"/>
    <m/>
    <m/>
    <s v="Sewa Tahunan"/>
    <x v="0"/>
    <x v="287"/>
    <m/>
    <m/>
    <m/>
    <m/>
    <s v="-"/>
    <x v="166"/>
    <m/>
    <s v="-"/>
    <x v="145"/>
    <m/>
    <x v="79"/>
    <s v="31/12/2021"/>
    <x v="0"/>
    <m/>
    <m/>
    <m/>
    <x v="0"/>
    <x v="0"/>
    <m/>
    <n v="4500015647"/>
    <m/>
    <m/>
    <m/>
    <m/>
    <m/>
    <m/>
    <m/>
    <m/>
    <m/>
    <m/>
    <m/>
    <m/>
    <m/>
  </r>
  <r>
    <n v="341"/>
    <x v="178"/>
    <x v="260"/>
    <s v="Jl. Letjen T.B. Simatupang Kav.22-26 Jakarta 12430"/>
    <m/>
    <m/>
    <s v="Sewa Tahunan"/>
    <x v="1"/>
    <x v="288"/>
    <m/>
    <m/>
    <m/>
    <m/>
    <s v="-"/>
    <x v="167"/>
    <m/>
    <s v="-"/>
    <x v="95"/>
    <m/>
    <x v="265"/>
    <s v="29/03/2022"/>
    <x v="0"/>
    <m/>
    <m/>
    <m/>
    <x v="0"/>
    <x v="0"/>
    <m/>
    <n v="4500015726"/>
    <m/>
    <m/>
    <m/>
    <m/>
    <m/>
    <m/>
    <m/>
    <m/>
    <m/>
    <m/>
    <m/>
    <m/>
    <m/>
  </r>
  <r>
    <n v="342"/>
    <x v="175"/>
    <x v="17"/>
    <s v="Jl. Jend Sudirman Kav 10-11"/>
    <m/>
    <m/>
    <s v="Sewa Tahunan"/>
    <x v="2"/>
    <x v="289"/>
    <m/>
    <m/>
    <m/>
    <m/>
    <s v="-"/>
    <x v="168"/>
    <m/>
    <s v="-"/>
    <x v="42"/>
    <m/>
    <x v="79"/>
    <s v="31/12/2021"/>
    <x v="0"/>
    <m/>
    <m/>
    <m/>
    <x v="0"/>
    <x v="0"/>
    <m/>
    <n v="4500015646"/>
    <m/>
    <m/>
    <m/>
    <m/>
    <m/>
    <m/>
    <m/>
    <m/>
    <m/>
    <m/>
    <m/>
    <m/>
    <m/>
  </r>
  <r>
    <n v="343"/>
    <x v="179"/>
    <x v="261"/>
    <s v="Jl. Medan Merdeka Selatan No.17"/>
    <m/>
    <m/>
    <s v="Sewa Tahunan"/>
    <x v="0"/>
    <x v="237"/>
    <m/>
    <m/>
    <m/>
    <m/>
    <s v="-"/>
    <x v="36"/>
    <m/>
    <s v="-"/>
    <x v="123"/>
    <m/>
    <x v="79"/>
    <s v="31/12/2021"/>
    <x v="0"/>
    <m/>
    <m/>
    <m/>
    <x v="0"/>
    <x v="0"/>
    <m/>
    <n v="4500015650"/>
    <m/>
    <m/>
    <m/>
    <m/>
    <m/>
    <m/>
    <m/>
    <m/>
    <m/>
    <m/>
    <m/>
    <m/>
    <m/>
  </r>
  <r>
    <n v="344"/>
    <x v="180"/>
    <x v="262"/>
    <s v="Jl. Permata Senayan Blok F 08-09 7fl #703"/>
    <m/>
    <m/>
    <s v="Sewa Tahunan"/>
    <x v="1"/>
    <x v="290"/>
    <m/>
    <m/>
    <m/>
    <m/>
    <s v="-"/>
    <x v="33"/>
    <m/>
    <s v="-"/>
    <x v="146"/>
    <m/>
    <x v="79"/>
    <s v="31/12/2021"/>
    <x v="0"/>
    <m/>
    <m/>
    <m/>
    <x v="0"/>
    <x v="0"/>
    <m/>
    <n v="4500015654"/>
    <m/>
    <m/>
    <m/>
    <m/>
    <m/>
    <m/>
    <m/>
    <m/>
    <m/>
    <m/>
    <m/>
    <m/>
    <m/>
  </r>
  <r>
    <n v="345"/>
    <x v="29"/>
    <x v="107"/>
    <s v="Jl. Jend Sudirman Kav 52-53 Jakarta 12190"/>
    <m/>
    <m/>
    <s v="Sewa Tahunan"/>
    <x v="2"/>
    <x v="291"/>
    <m/>
    <m/>
    <m/>
    <m/>
    <s v="-"/>
    <x v="35"/>
    <m/>
    <s v="-"/>
    <x v="18"/>
    <m/>
    <x v="266"/>
    <s v="08/03/2022"/>
    <x v="0"/>
    <m/>
    <m/>
    <m/>
    <x v="0"/>
    <x v="0"/>
    <m/>
    <n v="4500015715"/>
    <m/>
    <m/>
    <m/>
    <m/>
    <m/>
    <m/>
    <m/>
    <m/>
    <m/>
    <m/>
    <m/>
    <m/>
    <m/>
  </r>
  <r>
    <n v="346"/>
    <x v="181"/>
    <x v="263"/>
    <s v="Jl. HR Rasuna Said BLK X-2"/>
    <m/>
    <m/>
    <s v="Sewa Tahunan"/>
    <x v="1"/>
    <x v="292"/>
    <m/>
    <m/>
    <m/>
    <m/>
    <s v="-"/>
    <x v="35"/>
    <m/>
    <s v="-"/>
    <x v="12"/>
    <m/>
    <x v="267"/>
    <s v="28/02/2022"/>
    <x v="0"/>
    <m/>
    <m/>
    <m/>
    <x v="0"/>
    <x v="0"/>
    <m/>
    <n v="4500015907"/>
    <m/>
    <m/>
    <m/>
    <m/>
    <m/>
    <m/>
    <m/>
    <m/>
    <m/>
    <m/>
    <m/>
    <m/>
    <m/>
  </r>
  <r>
    <n v="347"/>
    <x v="182"/>
    <x v="264"/>
    <s v="Jl. Kapt. Tandean Kav 12-14A"/>
    <m/>
    <m/>
    <s v="Sewa Tahunan"/>
    <x v="0"/>
    <x v="293"/>
    <m/>
    <m/>
    <m/>
    <m/>
    <s v="-"/>
    <x v="169"/>
    <m/>
    <s v="-"/>
    <x v="14"/>
    <m/>
    <x v="79"/>
    <s v="31/12/2021"/>
    <x v="0"/>
    <m/>
    <m/>
    <m/>
    <x v="0"/>
    <x v="0"/>
    <m/>
    <n v="4500015905"/>
    <m/>
    <m/>
    <m/>
    <m/>
    <m/>
    <m/>
    <m/>
    <m/>
    <m/>
    <m/>
    <m/>
    <m/>
    <m/>
  </r>
  <r>
    <n v="348"/>
    <x v="183"/>
    <x v="45"/>
    <s v="Citra Graha Lantai 4, Suite 403 Jakarta 12950"/>
    <m/>
    <m/>
    <s v="Sewa Tahunan"/>
    <x v="0"/>
    <x v="294"/>
    <m/>
    <m/>
    <m/>
    <m/>
    <s v="-"/>
    <x v="34"/>
    <m/>
    <s v="-"/>
    <x v="147"/>
    <m/>
    <x v="268"/>
    <s v="13/04/2022"/>
    <x v="0"/>
    <m/>
    <m/>
    <m/>
    <x v="0"/>
    <x v="0"/>
    <m/>
    <n v="4500015653"/>
    <m/>
    <m/>
    <m/>
    <m/>
    <m/>
    <m/>
    <m/>
    <m/>
    <m/>
    <m/>
    <m/>
    <m/>
    <m/>
  </r>
  <r>
    <n v="349"/>
    <x v="184"/>
    <x v="265"/>
    <s v="Jl. Makaliwe Raya 24-24a Grogol, Petamburan, Jakarta Barat 11450"/>
    <m/>
    <m/>
    <s v="Sewa Bulanan"/>
    <x v="0"/>
    <x v="295"/>
    <m/>
    <m/>
    <m/>
    <m/>
    <s v="-"/>
    <x v="170"/>
    <m/>
    <n v="1370982"/>
    <x v="148"/>
    <m/>
    <x v="79"/>
    <d v="2021-01-17T00:00:00"/>
    <x v="0"/>
    <m/>
    <m/>
    <m/>
    <x v="0"/>
    <x v="0"/>
    <m/>
    <n v="4500015922"/>
    <m/>
    <m/>
    <m/>
    <m/>
    <m/>
    <m/>
    <m/>
    <m/>
    <m/>
    <m/>
    <m/>
    <m/>
    <m/>
  </r>
  <r>
    <n v="350"/>
    <x v="90"/>
    <x v="266"/>
    <s v="Jl. Jababeka IV Blok B No. 12 jbbk Industria  Esta Cikarang"/>
    <m/>
    <m/>
    <s v="Sewa Tahunan"/>
    <x v="2"/>
    <x v="296"/>
    <m/>
    <m/>
    <m/>
    <m/>
    <s v="-"/>
    <x v="27"/>
    <m/>
    <n v="6600000"/>
    <x v="149"/>
    <m/>
    <x v="269"/>
    <d v="2022-02-11T00:00:00"/>
    <x v="0"/>
    <m/>
    <m/>
    <m/>
    <x v="0"/>
    <x v="0"/>
    <s v="15180/SPP/008/PUSAT/ICON+/2021"/>
    <n v="4500015777"/>
    <m/>
    <m/>
    <m/>
    <m/>
    <m/>
    <m/>
    <m/>
    <m/>
    <m/>
    <m/>
    <m/>
    <m/>
    <m/>
  </r>
  <r>
    <n v="351"/>
    <x v="182"/>
    <x v="267"/>
    <s v="Jl. Kapt. Tandean Kav 12-14A"/>
    <m/>
    <m/>
    <s v="Sewa Tahunan"/>
    <x v="0"/>
    <x v="297"/>
    <m/>
    <m/>
    <m/>
    <m/>
    <s v="-"/>
    <x v="171"/>
    <m/>
    <s v="-"/>
    <x v="150"/>
    <m/>
    <x v="267"/>
    <s v="28/02/2022"/>
    <x v="0"/>
    <m/>
    <m/>
    <m/>
    <x v="0"/>
    <x v="0"/>
    <m/>
    <n v="4500015906"/>
    <m/>
    <m/>
    <m/>
    <m/>
    <m/>
    <m/>
    <m/>
    <m/>
    <m/>
    <m/>
    <m/>
    <m/>
    <m/>
  </r>
  <r>
    <n v="352"/>
    <x v="34"/>
    <x v="268"/>
    <s v="Jl.H.R.Rasuna Said Blok X5 13"/>
    <m/>
    <m/>
    <s v="Sewa Tahunan"/>
    <x v="2"/>
    <x v="298"/>
    <m/>
    <m/>
    <m/>
    <m/>
    <s v="-"/>
    <x v="51"/>
    <m/>
    <s v="-"/>
    <x v="31"/>
    <m/>
    <x v="270"/>
    <s v="12/02/2022"/>
    <x v="0"/>
    <m/>
    <m/>
    <m/>
    <x v="0"/>
    <x v="0"/>
    <m/>
    <n v="4500015716"/>
    <m/>
    <m/>
    <m/>
    <m/>
    <m/>
    <m/>
    <m/>
    <m/>
    <m/>
    <m/>
    <m/>
    <m/>
    <m/>
  </r>
  <r>
    <n v="353"/>
    <x v="62"/>
    <x v="98"/>
    <s v="Jl. Kuningan Barat No. 8 Cyber Building 1st &amp; 2nd Jakarta Selatan 12710"/>
    <m/>
    <m/>
    <s v="Sewa Tahunan"/>
    <x v="2"/>
    <x v="299"/>
    <m/>
    <m/>
    <m/>
    <m/>
    <s v="-"/>
    <x v="41"/>
    <m/>
    <n v="9000000"/>
    <x v="151"/>
    <m/>
    <x v="271"/>
    <s v="22/07/2022"/>
    <x v="0"/>
    <m/>
    <m/>
    <m/>
    <x v="0"/>
    <x v="0"/>
    <s v="16316/SPP/008/PUSAT/ICON+/2021"/>
    <n v="4500016484"/>
    <m/>
    <m/>
    <m/>
    <m/>
    <m/>
    <m/>
    <m/>
    <m/>
    <m/>
    <m/>
    <m/>
    <m/>
    <m/>
  </r>
  <r>
    <n v="354"/>
    <x v="33"/>
    <x v="269"/>
    <s v="Jl.M.T.Haryono Kav. 15 Jakarta 12810"/>
    <m/>
    <m/>
    <s v="Sewa Tahunan"/>
    <x v="1"/>
    <x v="48"/>
    <m/>
    <m/>
    <m/>
    <m/>
    <s v="-"/>
    <x v="35"/>
    <m/>
    <s v="-"/>
    <x v="152"/>
    <m/>
    <x v="272"/>
    <s v="26/09/2021"/>
    <x v="0"/>
    <m/>
    <m/>
    <m/>
    <x v="0"/>
    <x v="0"/>
    <m/>
    <n v="4500016589"/>
    <m/>
    <m/>
    <m/>
    <m/>
    <m/>
    <m/>
    <m/>
    <m/>
    <m/>
    <m/>
    <m/>
    <m/>
    <m/>
  </r>
  <r>
    <n v="355"/>
    <x v="185"/>
    <x v="270"/>
    <s v="Jl. Kuningan Barat No. 8 Jakarta Selatan 12710"/>
    <m/>
    <m/>
    <s v="Sewa Tahunan"/>
    <x v="2"/>
    <x v="300"/>
    <m/>
    <m/>
    <m/>
    <m/>
    <n v="2500000"/>
    <x v="35"/>
    <m/>
    <s v="-"/>
    <x v="16"/>
    <m/>
    <x v="273"/>
    <s v="13/09/2022"/>
    <x v="0"/>
    <m/>
    <m/>
    <m/>
    <x v="0"/>
    <x v="0"/>
    <s v="16593/SPP/008/PUSAT/ICON+/2021"/>
    <n v="4500016733"/>
    <m/>
    <m/>
    <m/>
    <m/>
    <m/>
    <m/>
    <m/>
    <m/>
    <m/>
    <m/>
    <m/>
    <m/>
    <m/>
  </r>
  <r>
    <n v="356"/>
    <x v="186"/>
    <x v="271"/>
    <s v="Jl. Gatot Subroto Jakarta 10270"/>
    <m/>
    <m/>
    <s v="Sewa Tahunan"/>
    <x v="0"/>
    <x v="57"/>
    <m/>
    <m/>
    <m/>
    <m/>
    <s v="-"/>
    <x v="27"/>
    <m/>
    <s v="-"/>
    <x v="153"/>
    <m/>
    <x v="274"/>
    <s v="30/06/2022"/>
    <x v="0"/>
    <m/>
    <m/>
    <m/>
    <x v="0"/>
    <x v="0"/>
    <s v="16121/SPP/008/PUSAT/ICON+/2021"/>
    <n v="4500016467"/>
    <m/>
    <m/>
    <m/>
    <m/>
    <m/>
    <m/>
    <m/>
    <m/>
    <m/>
    <m/>
    <m/>
    <m/>
    <m/>
  </r>
  <r>
    <n v="357"/>
    <x v="187"/>
    <x v="214"/>
    <s v="Jl.Kapt.Subijanto DJ Tanggerang 15321"/>
    <m/>
    <m/>
    <s v="Sewa Tahunan"/>
    <x v="2"/>
    <x v="301"/>
    <m/>
    <m/>
    <m/>
    <m/>
    <n v="15000000"/>
    <x v="172"/>
    <m/>
    <n v="9000000"/>
    <x v="18"/>
    <m/>
    <x v="275"/>
    <s v="12/09/2022"/>
    <x v="0"/>
    <m/>
    <m/>
    <m/>
    <x v="0"/>
    <x v="0"/>
    <s v="16554/SPP/008/PUSAT/ICON+/2021"/>
    <n v="4500016638"/>
    <m/>
    <m/>
    <m/>
    <m/>
    <m/>
    <m/>
    <m/>
    <m/>
    <m/>
    <m/>
    <m/>
    <m/>
    <m/>
  </r>
  <r>
    <n v="358"/>
    <x v="187"/>
    <x v="272"/>
    <s v="Jl.Kapt.Subijanto DJ Tanggerang 15321"/>
    <m/>
    <m/>
    <s v="Sewa Tahunan"/>
    <x v="2"/>
    <x v="302"/>
    <m/>
    <m/>
    <m/>
    <m/>
    <n v="5000000"/>
    <x v="35"/>
    <m/>
    <n v="4000000"/>
    <x v="17"/>
    <m/>
    <x v="275"/>
    <s v="12/09/2022"/>
    <x v="0"/>
    <m/>
    <m/>
    <m/>
    <x v="0"/>
    <x v="0"/>
    <s v="16500/SPP/008/PUSAT/ICON+/2021"/>
    <n v="4500016616"/>
    <m/>
    <m/>
    <m/>
    <m/>
    <m/>
    <m/>
    <m/>
    <m/>
    <m/>
    <m/>
    <m/>
    <m/>
    <m/>
  </r>
  <r>
    <n v="359"/>
    <x v="188"/>
    <x v="273"/>
    <s v="Tebet Raya RT 009 RW 005 45d"/>
    <m/>
    <m/>
    <s v="Sewa Tahunan"/>
    <x v="1"/>
    <x v="303"/>
    <m/>
    <m/>
    <m/>
    <m/>
    <s v="-"/>
    <x v="5"/>
    <m/>
    <s v="-"/>
    <x v="85"/>
    <m/>
    <x v="276"/>
    <s v="09/09/2022"/>
    <x v="0"/>
    <m/>
    <m/>
    <m/>
    <x v="0"/>
    <x v="0"/>
    <s v="16627/SPP/008/PUSAT/ICON+/2021"/>
    <n v="4500016710"/>
    <m/>
    <m/>
    <m/>
    <m/>
    <m/>
    <m/>
    <m/>
    <m/>
    <m/>
    <m/>
    <m/>
    <m/>
    <m/>
  </r>
  <r>
    <n v="360"/>
    <x v="189"/>
    <x v="274"/>
    <s v="Buncit Raya Lt. Penthouse No.22 Jakarta Selatan 12510"/>
    <m/>
    <m/>
    <s v="Sewa Tahunan"/>
    <x v="1"/>
    <x v="304"/>
    <m/>
    <m/>
    <m/>
    <m/>
    <s v="-"/>
    <x v="173"/>
    <m/>
    <s v="-"/>
    <x v="154"/>
    <m/>
    <x v="277"/>
    <s v="24/09/2022"/>
    <x v="0"/>
    <m/>
    <m/>
    <m/>
    <x v="0"/>
    <x v="0"/>
    <s v="16417/SPP/008/PUSAT/ICON+/2021"/>
    <n v="4500016628"/>
    <m/>
    <m/>
    <m/>
    <m/>
    <m/>
    <m/>
    <m/>
    <m/>
    <m/>
    <m/>
    <m/>
    <m/>
    <m/>
  </r>
  <r>
    <n v="361"/>
    <x v="187"/>
    <x v="102"/>
    <s v="Jl.Kapt.Subijanto DJ Tanggerang 15321"/>
    <m/>
    <m/>
    <s v="Sewa Tahunan"/>
    <x v="2"/>
    <x v="67"/>
    <m/>
    <m/>
    <m/>
    <m/>
    <s v="-"/>
    <x v="41"/>
    <m/>
    <s v="-"/>
    <x v="10"/>
    <m/>
    <x v="278"/>
    <s v="05/09/2022"/>
    <x v="0"/>
    <m/>
    <m/>
    <m/>
    <x v="0"/>
    <x v="0"/>
    <s v="16547/SPP/008/PUSAT/ICON+/2021"/>
    <n v="4500016633"/>
    <m/>
    <m/>
    <m/>
    <m/>
    <m/>
    <m/>
    <m/>
    <m/>
    <m/>
    <m/>
    <m/>
    <m/>
    <m/>
  </r>
  <r>
    <n v="362"/>
    <x v="187"/>
    <x v="102"/>
    <s v="Jl.Kapt.Subijanto DJ Tanggerang 15321"/>
    <m/>
    <m/>
    <s v="Sewa Tahunan"/>
    <x v="2"/>
    <x v="67"/>
    <m/>
    <m/>
    <m/>
    <m/>
    <s v="-"/>
    <x v="41"/>
    <m/>
    <s v="-"/>
    <x v="18"/>
    <m/>
    <x v="279"/>
    <s v="08/09/2022"/>
    <x v="0"/>
    <m/>
    <m/>
    <m/>
    <x v="0"/>
    <x v="0"/>
    <s v="16545/SPP/008/PUSAT/ICON+/2021"/>
    <n v="4500016631"/>
    <m/>
    <m/>
    <m/>
    <m/>
    <m/>
    <m/>
    <m/>
    <m/>
    <m/>
    <m/>
    <m/>
    <m/>
    <m/>
  </r>
  <r>
    <n v="363"/>
    <x v="187"/>
    <x v="102"/>
    <s v="Jl.Kapt.Subijanto DJ Tanggerang 15321"/>
    <m/>
    <m/>
    <s v="Sewa Tahunan"/>
    <x v="2"/>
    <x v="67"/>
    <m/>
    <m/>
    <m/>
    <m/>
    <s v="-"/>
    <x v="41"/>
    <m/>
    <s v="-"/>
    <x v="5"/>
    <m/>
    <x v="279"/>
    <s v="08/09/2022"/>
    <x v="0"/>
    <m/>
    <m/>
    <m/>
    <x v="0"/>
    <x v="0"/>
    <s v="16548/SPP/008/PUSAT/ICON+/2021"/>
    <n v="4500016632"/>
    <m/>
    <m/>
    <m/>
    <m/>
    <m/>
    <m/>
    <m/>
    <m/>
    <m/>
    <m/>
    <m/>
    <m/>
    <m/>
  </r>
  <r>
    <n v="364"/>
    <x v="190"/>
    <x v="275"/>
    <s v="Jl. Jend Sudirman kav 58 Gedung Graha Niaga 1 Jakarta 12190"/>
    <m/>
    <m/>
    <s v="Sewa Tahunan"/>
    <x v="1"/>
    <x v="305"/>
    <m/>
    <m/>
    <m/>
    <m/>
    <s v="-"/>
    <x v="174"/>
    <m/>
    <s v="-"/>
    <x v="155"/>
    <m/>
    <x v="280"/>
    <s v="20/07/2022"/>
    <x v="0"/>
    <m/>
    <m/>
    <m/>
    <x v="0"/>
    <x v="0"/>
    <s v="16156/SPP/008/PUSAT/ICON+/2021"/>
    <n v="4500016619"/>
    <m/>
    <m/>
    <m/>
    <m/>
    <m/>
    <m/>
    <m/>
    <m/>
    <m/>
    <m/>
    <m/>
    <m/>
    <m/>
  </r>
  <r>
    <n v="365"/>
    <x v="37"/>
    <x v="4"/>
    <s v="Jl.Kuningan Barat 8 Jakarta 12710"/>
    <m/>
    <m/>
    <s v="Sewa Tahunan"/>
    <x v="1"/>
    <x v="306"/>
    <m/>
    <m/>
    <m/>
    <m/>
    <s v="-"/>
    <x v="3"/>
    <m/>
    <s v="-"/>
    <x v="4"/>
    <m/>
    <x v="281"/>
    <s v="03/05/2022"/>
    <x v="0"/>
    <m/>
    <m/>
    <m/>
    <x v="0"/>
    <x v="0"/>
    <s v="15765/SPP/008/PUSAT/ICON+/2021"/>
    <n v="4500016299"/>
    <m/>
    <m/>
    <m/>
    <m/>
    <m/>
    <m/>
    <m/>
    <m/>
    <m/>
    <m/>
    <m/>
    <m/>
    <m/>
  </r>
  <r>
    <n v="366"/>
    <x v="187"/>
    <x v="119"/>
    <s v="Jl.Kapt.Subijanto DJ Tanggerang 15321"/>
    <m/>
    <m/>
    <s v="Sewa Tahunan"/>
    <x v="2"/>
    <x v="307"/>
    <m/>
    <m/>
    <m/>
    <m/>
    <s v="-"/>
    <x v="86"/>
    <m/>
    <s v="-"/>
    <x v="5"/>
    <m/>
    <x v="282"/>
    <s v="15/03/2022"/>
    <x v="0"/>
    <m/>
    <m/>
    <m/>
    <x v="0"/>
    <x v="0"/>
    <s v="15518/SPP/008/PUSAT/ICON+/2021"/>
    <n v="4500015890"/>
    <m/>
    <m/>
    <m/>
    <m/>
    <m/>
    <m/>
    <m/>
    <m/>
    <m/>
    <m/>
    <m/>
    <m/>
    <m/>
  </r>
  <r>
    <n v="367"/>
    <x v="191"/>
    <x v="276"/>
    <s v="JL. MH. THAMRIN 1 JAKARTA PUSAT 10310"/>
    <m/>
    <m/>
    <s v="Sewa Tahunan"/>
    <x v="0"/>
    <x v="308"/>
    <m/>
    <m/>
    <m/>
    <m/>
    <s v="-"/>
    <x v="99"/>
    <m/>
    <s v="-"/>
    <x v="85"/>
    <m/>
    <x v="283"/>
    <s v="17/06/2022"/>
    <x v="0"/>
    <m/>
    <m/>
    <m/>
    <x v="0"/>
    <x v="0"/>
    <m/>
    <n v="4500016512"/>
    <m/>
    <m/>
    <m/>
    <m/>
    <m/>
    <m/>
    <m/>
    <m/>
    <m/>
    <m/>
    <m/>
    <m/>
    <m/>
  </r>
  <r>
    <n v="368"/>
    <x v="34"/>
    <x v="277"/>
    <s v="Jl.H.R.Rasuna Said Blok X5 13"/>
    <m/>
    <m/>
    <s v="Sewa Tahunan"/>
    <x v="2"/>
    <x v="309"/>
    <m/>
    <m/>
    <m/>
    <m/>
    <n v="3000000"/>
    <x v="59"/>
    <m/>
    <s v="-"/>
    <x v="16"/>
    <m/>
    <x v="284"/>
    <s v="30/09/2022"/>
    <x v="0"/>
    <m/>
    <m/>
    <m/>
    <x v="0"/>
    <x v="0"/>
    <s v="16811/SPP/008/PUSAT/ICON+/2021"/>
    <n v="4500016821"/>
    <m/>
    <m/>
    <m/>
    <m/>
    <m/>
    <m/>
    <m/>
    <m/>
    <m/>
    <m/>
    <m/>
    <m/>
    <m/>
  </r>
  <r>
    <n v="369"/>
    <x v="62"/>
    <x v="278"/>
    <s v="Jl. Kuningan Barat No. 8 Cyber Building 1st &amp; 2nd Jakarta Selatan 12710"/>
    <m/>
    <m/>
    <s v="Sewa Tahunan"/>
    <x v="2"/>
    <x v="310"/>
    <m/>
    <m/>
    <m/>
    <m/>
    <n v="3000000"/>
    <x v="8"/>
    <m/>
    <s v="-"/>
    <x v="18"/>
    <m/>
    <x v="285"/>
    <s v="21/09/2022"/>
    <x v="0"/>
    <m/>
    <m/>
    <m/>
    <x v="0"/>
    <x v="0"/>
    <m/>
    <n v="4500016780"/>
    <m/>
    <m/>
    <m/>
    <m/>
    <m/>
    <m/>
    <m/>
    <m/>
    <m/>
    <m/>
    <m/>
    <m/>
    <m/>
  </r>
  <r>
    <n v="370"/>
    <x v="42"/>
    <x v="124"/>
    <s v="JL. Rempoa Raya 11"/>
    <m/>
    <m/>
    <s v="Sewa Tahunan"/>
    <x v="1"/>
    <x v="311"/>
    <m/>
    <m/>
    <m/>
    <m/>
    <s v="-"/>
    <x v="30"/>
    <m/>
    <s v="-"/>
    <x v="8"/>
    <m/>
    <x v="286"/>
    <s v="31/01/2022"/>
    <x v="0"/>
    <m/>
    <m/>
    <m/>
    <x v="0"/>
    <x v="0"/>
    <m/>
    <n v="4500018688"/>
    <m/>
    <m/>
    <m/>
    <m/>
    <m/>
    <m/>
    <m/>
    <m/>
    <m/>
    <m/>
    <m/>
    <m/>
    <m/>
  </r>
  <r>
    <n v="371"/>
    <x v="192"/>
    <x v="279"/>
    <s v="Jl.Mayor oking KM.2 Cibinong No.89"/>
    <m/>
    <m/>
    <s v="Sewa Tahunan"/>
    <x v="0"/>
    <x v="312"/>
    <m/>
    <m/>
    <m/>
    <m/>
    <n v="3000000"/>
    <x v="175"/>
    <m/>
    <n v="5000000"/>
    <x v="10"/>
    <m/>
    <x v="287"/>
    <s v="19-Mei-2022"/>
    <x v="0"/>
    <m/>
    <m/>
    <m/>
    <x v="0"/>
    <x v="0"/>
    <m/>
    <n v="4500016023"/>
    <m/>
    <m/>
    <m/>
    <m/>
    <m/>
    <m/>
    <m/>
    <m/>
    <m/>
    <m/>
    <m/>
    <m/>
    <m/>
  </r>
  <r>
    <n v="372"/>
    <x v="193"/>
    <x v="280"/>
    <s v="Jl.Jababeka IV Blok B No.12 Jbbk industrial Esta Cikarang"/>
    <m/>
    <m/>
    <s v="Sewa Tahunan"/>
    <x v="2"/>
    <x v="313"/>
    <m/>
    <m/>
    <m/>
    <m/>
    <n v="2500000"/>
    <x v="3"/>
    <m/>
    <s v="-"/>
    <x v="156"/>
    <m/>
    <x v="288"/>
    <s v="2-Mei-2022"/>
    <x v="0"/>
    <m/>
    <m/>
    <m/>
    <x v="0"/>
    <x v="0"/>
    <s v="15764/SPP/008/PUSAT/ICON+/2021"/>
    <n v="4500016417"/>
    <m/>
    <m/>
    <m/>
    <m/>
    <m/>
    <m/>
    <m/>
    <m/>
    <m/>
    <m/>
    <m/>
    <m/>
    <m/>
  </r>
  <r>
    <n v="373"/>
    <x v="193"/>
    <x v="281"/>
    <s v="Jl.Jababeka IV Blok B No.12 Jbbk industrial Esta Cikarang"/>
    <m/>
    <m/>
    <s v="Sewa Tahunan"/>
    <x v="2"/>
    <x v="314"/>
    <m/>
    <m/>
    <m/>
    <m/>
    <s v="-"/>
    <x v="176"/>
    <m/>
    <s v="-"/>
    <x v="157"/>
    <m/>
    <x v="289"/>
    <s v="17-Maret-2022"/>
    <x v="0"/>
    <m/>
    <m/>
    <m/>
    <x v="0"/>
    <x v="0"/>
    <s v="15596/SPP/008/PUSAT/ICON+/2021"/>
    <n v="4500015961"/>
    <m/>
    <m/>
    <m/>
    <m/>
    <m/>
    <m/>
    <m/>
    <m/>
    <m/>
    <m/>
    <m/>
    <m/>
    <m/>
  </r>
  <r>
    <n v="374"/>
    <x v="194"/>
    <x v="282"/>
    <s v="Jl.Kuningan Barat No.8 Cyber Building 1st &amp; 2nd"/>
    <m/>
    <m/>
    <s v="Sewa Tahunan"/>
    <x v="2"/>
    <x v="315"/>
    <m/>
    <m/>
    <m/>
    <m/>
    <n v="2500000"/>
    <x v="8"/>
    <m/>
    <n v="4500000"/>
    <x v="79"/>
    <m/>
    <x v="290"/>
    <d v="2022-04-28T00:00:00"/>
    <x v="0"/>
    <m/>
    <m/>
    <m/>
    <x v="0"/>
    <x v="0"/>
    <s v="15782/SPP/008/PUSAT/ICON+/2021"/>
    <n v="4500016120"/>
    <m/>
    <m/>
    <m/>
    <m/>
    <m/>
    <m/>
    <m/>
    <m/>
    <m/>
    <m/>
    <m/>
    <m/>
    <m/>
  </r>
  <r>
    <n v="375"/>
    <x v="57"/>
    <x v="283"/>
    <s v="Jl.Subijanto DJ"/>
    <m/>
    <m/>
    <s v="Sewa Tahunan"/>
    <x v="2"/>
    <x v="316"/>
    <m/>
    <m/>
    <m/>
    <m/>
    <n v="0"/>
    <x v="177"/>
    <m/>
    <n v="3000000"/>
    <x v="5"/>
    <m/>
    <x v="291"/>
    <d v="2022-04-25T00:00:00"/>
    <x v="0"/>
    <m/>
    <m/>
    <m/>
    <x v="0"/>
    <x v="0"/>
    <s v="15783/SPP/008/PUSAT/ICON+/2021"/>
    <n v="4500016102"/>
    <m/>
    <m/>
    <m/>
    <m/>
    <m/>
    <m/>
    <m/>
    <m/>
    <m/>
    <m/>
    <m/>
    <m/>
    <m/>
  </r>
  <r>
    <n v="376"/>
    <x v="83"/>
    <x v="284"/>
    <s v="JLN DWIKORA II 1238"/>
    <m/>
    <m/>
    <s v="Sewa Tahunan"/>
    <x v="3"/>
    <x v="128"/>
    <m/>
    <m/>
    <m/>
    <m/>
    <n v="0"/>
    <x v="88"/>
    <m/>
    <n v="0"/>
    <x v="20"/>
    <m/>
    <x v="292"/>
    <s v="15-Maret-2022"/>
    <x v="0"/>
    <m/>
    <m/>
    <m/>
    <x v="0"/>
    <x v="0"/>
    <s v="15536/SPP/008/PUSAT/ICON+/2021"/>
    <n v="4500015913"/>
    <m/>
    <m/>
    <m/>
    <m/>
    <m/>
    <m/>
    <m/>
    <m/>
    <m/>
    <m/>
    <m/>
    <m/>
    <m/>
  </r>
  <r>
    <n v="377"/>
    <x v="195"/>
    <x v="285"/>
    <s v="Jl.Gunung sahari Raya No.18 Maspion Plaza 16"/>
    <m/>
    <m/>
    <s v="Sewa Tahunan"/>
    <x v="3"/>
    <x v="317"/>
    <m/>
    <m/>
    <m/>
    <m/>
    <n v="0"/>
    <x v="20"/>
    <m/>
    <n v="0"/>
    <x v="158"/>
    <m/>
    <x v="293"/>
    <s v="31-Febuari-2022"/>
    <x v="0"/>
    <m/>
    <m/>
    <m/>
    <x v="0"/>
    <x v="0"/>
    <m/>
    <n v="4500015684"/>
    <m/>
    <m/>
    <m/>
    <m/>
    <m/>
    <m/>
    <m/>
    <m/>
    <m/>
    <m/>
    <m/>
    <m/>
    <m/>
  </r>
  <r>
    <n v="378"/>
    <x v="196"/>
    <x v="286"/>
    <s v="Jl.Jend Sudirman kav. 45-46 Level Mezzanine"/>
    <m/>
    <m/>
    <s v="Sewa Tahunan"/>
    <x v="3"/>
    <x v="318"/>
    <m/>
    <m/>
    <m/>
    <m/>
    <n v="0"/>
    <x v="16"/>
    <m/>
    <n v="0"/>
    <x v="159"/>
    <m/>
    <x v="294"/>
    <s v="31-April-2022"/>
    <x v="0"/>
    <m/>
    <m/>
    <m/>
    <x v="0"/>
    <x v="0"/>
    <s v="15415/SPP/008/PUSAT/ICON+/2021"/>
    <n v="4500015992"/>
    <m/>
    <m/>
    <m/>
    <m/>
    <m/>
    <m/>
    <m/>
    <m/>
    <m/>
    <m/>
    <m/>
    <m/>
    <m/>
  </r>
  <r>
    <n v="379"/>
    <x v="197"/>
    <x v="287"/>
    <s v="Jl.H.R.Rasuna said blok x5 13"/>
    <m/>
    <m/>
    <s v="Sewa Tahunan"/>
    <x v="3"/>
    <x v="319"/>
    <m/>
    <m/>
    <m/>
    <m/>
    <n v="0"/>
    <x v="11"/>
    <m/>
    <n v="0"/>
    <x v="42"/>
    <m/>
    <x v="295"/>
    <d v="2022-04-27T00:00:00"/>
    <x v="0"/>
    <m/>
    <m/>
    <m/>
    <x v="0"/>
    <x v="0"/>
    <m/>
    <n v="4500016837"/>
    <m/>
    <m/>
    <m/>
    <m/>
    <m/>
    <m/>
    <m/>
    <m/>
    <m/>
    <m/>
    <m/>
    <m/>
    <m/>
  </r>
  <r>
    <n v="380"/>
    <x v="30"/>
    <x v="288"/>
    <s v="Jl.Rempoa Raya 11"/>
    <m/>
    <m/>
    <s v="Sewa Tahunan"/>
    <x v="0"/>
    <x v="320"/>
    <m/>
    <m/>
    <m/>
    <m/>
    <n v="0"/>
    <x v="2"/>
    <m/>
    <n v="0"/>
    <x v="160"/>
    <m/>
    <x v="296"/>
    <s v="05-Desember-2022"/>
    <x v="0"/>
    <m/>
    <m/>
    <m/>
    <x v="0"/>
    <x v="0"/>
    <m/>
    <n v="4500016853"/>
    <m/>
    <m/>
    <m/>
    <m/>
    <m/>
    <m/>
    <m/>
    <m/>
    <m/>
    <m/>
    <m/>
    <m/>
    <m/>
  </r>
  <r>
    <n v="381"/>
    <x v="30"/>
    <x v="289"/>
    <s v="Jl.Rempoa Raya 11"/>
    <m/>
    <m/>
    <s v="Sewa Tahunan"/>
    <x v="0"/>
    <x v="321"/>
    <m/>
    <m/>
    <m/>
    <m/>
    <n v="0"/>
    <x v="50"/>
    <m/>
    <n v="0"/>
    <x v="161"/>
    <m/>
    <x v="297"/>
    <s v="15-Oktober-2022"/>
    <x v="0"/>
    <m/>
    <m/>
    <m/>
    <x v="0"/>
    <x v="0"/>
    <m/>
    <n v="4500016863"/>
    <m/>
    <m/>
    <m/>
    <m/>
    <m/>
    <m/>
    <m/>
    <m/>
    <m/>
    <m/>
    <m/>
    <m/>
    <m/>
  </r>
  <r>
    <n v="382"/>
    <x v="198"/>
    <x v="290"/>
    <s v="RUKO KEBAYORAN CENTER BLOK A NO.5 "/>
    <m/>
    <m/>
    <s v="Sewa Tahunan"/>
    <x v="0"/>
    <x v="66"/>
    <m/>
    <m/>
    <m/>
    <m/>
    <n v="1636364"/>
    <x v="48"/>
    <m/>
    <n v="0"/>
    <x v="16"/>
    <m/>
    <x v="298"/>
    <d v="2022-09-16T00:00:00"/>
    <x v="0"/>
    <m/>
    <m/>
    <m/>
    <x v="0"/>
    <x v="0"/>
    <m/>
    <n v="4500016840"/>
    <m/>
    <m/>
    <m/>
    <m/>
    <m/>
    <m/>
    <m/>
    <m/>
    <m/>
    <m/>
    <m/>
    <m/>
    <m/>
  </r>
  <r>
    <n v="383"/>
    <x v="199"/>
    <x v="291"/>
    <s v="Gd. TCC Batavia Tower One Lt. 16"/>
    <m/>
    <m/>
    <s v="Sewa Tahunan"/>
    <x v="0"/>
    <x v="322"/>
    <m/>
    <m/>
    <m/>
    <m/>
    <n v="0"/>
    <x v="178"/>
    <m/>
    <n v="0"/>
    <x v="162"/>
    <m/>
    <x v="299"/>
    <d v="2022-09-02T00:00:00"/>
    <x v="0"/>
    <m/>
    <m/>
    <m/>
    <x v="0"/>
    <x v="0"/>
    <m/>
    <n v="4500016825"/>
    <m/>
    <m/>
    <m/>
    <m/>
    <m/>
    <m/>
    <m/>
    <m/>
    <m/>
    <m/>
    <m/>
    <m/>
    <m/>
  </r>
  <r>
    <n v="384"/>
    <x v="200"/>
    <x v="292"/>
    <s v="Jl.Adityawarman kav.55"/>
    <m/>
    <m/>
    <s v="Sewa Tahunan"/>
    <x v="3"/>
    <x v="67"/>
    <m/>
    <m/>
    <m/>
    <m/>
    <n v="0"/>
    <x v="56"/>
    <m/>
    <n v="0"/>
    <x v="25"/>
    <m/>
    <x v="300"/>
    <s v="06-Agustus-2022"/>
    <x v="0"/>
    <m/>
    <m/>
    <m/>
    <x v="0"/>
    <x v="0"/>
    <m/>
    <n v="4500016856"/>
    <m/>
    <m/>
    <m/>
    <m/>
    <m/>
    <m/>
    <m/>
    <m/>
    <m/>
    <m/>
    <m/>
    <m/>
    <m/>
  </r>
  <r>
    <n v="385"/>
    <x v="30"/>
    <x v="293"/>
    <s v="Jl.Rempoa Raya 11"/>
    <m/>
    <m/>
    <s v="Sewa Tahunan"/>
    <x v="0"/>
    <x v="67"/>
    <m/>
    <m/>
    <m/>
    <m/>
    <n v="0"/>
    <x v="166"/>
    <m/>
    <n v="0"/>
    <x v="145"/>
    <m/>
    <x v="301"/>
    <s v="22-sSeptember-2022"/>
    <x v="0"/>
    <m/>
    <m/>
    <m/>
    <x v="0"/>
    <x v="0"/>
    <m/>
    <n v="4500016862"/>
    <m/>
    <m/>
    <m/>
    <m/>
    <m/>
    <m/>
    <m/>
    <m/>
    <m/>
    <m/>
    <m/>
    <m/>
    <m/>
  </r>
  <r>
    <n v="386"/>
    <x v="29"/>
    <x v="294"/>
    <s v="Jl.Jend Sudirman kav.52-53"/>
    <m/>
    <m/>
    <s v="Sewa Tahunan"/>
    <x v="2"/>
    <x v="323"/>
    <m/>
    <m/>
    <m/>
    <m/>
    <n v="0"/>
    <x v="6"/>
    <m/>
    <n v="0"/>
    <x v="10"/>
    <m/>
    <x v="302"/>
    <s v="31-Agustus-2022"/>
    <x v="0"/>
    <m/>
    <m/>
    <m/>
    <x v="0"/>
    <x v="0"/>
    <s v="16582/SPP/008/PUSAT/ICON+/2021"/>
    <n v="4500016754"/>
    <m/>
    <m/>
    <m/>
    <m/>
    <m/>
    <m/>
    <m/>
    <m/>
    <m/>
    <m/>
    <m/>
    <m/>
    <m/>
  </r>
  <r>
    <n v="387"/>
    <x v="201"/>
    <x v="295"/>
    <s v="Jl.Jend Sudirman kav.52-53"/>
    <m/>
    <m/>
    <s v="Sewa Tahunan"/>
    <x v="3"/>
    <x v="67"/>
    <m/>
    <m/>
    <m/>
    <m/>
    <n v="0"/>
    <x v="56"/>
    <m/>
    <n v="0"/>
    <x v="163"/>
    <m/>
    <x v="303"/>
    <s v="10-Oktober-2022"/>
    <x v="0"/>
    <m/>
    <m/>
    <m/>
    <x v="0"/>
    <x v="0"/>
    <s v="16797/SPP/008/PUSAT/ICON+/2021"/>
    <n v="4500016880"/>
    <m/>
    <m/>
    <m/>
    <m/>
    <m/>
    <m/>
    <m/>
    <m/>
    <m/>
    <m/>
    <m/>
    <m/>
    <m/>
  </r>
  <r>
    <n v="388"/>
    <x v="202"/>
    <x v="296"/>
    <s v="Jl.Jend Sudirman kav.10-11"/>
    <m/>
    <m/>
    <s v="Sewa Tahunan"/>
    <x v="3"/>
    <x v="324"/>
    <m/>
    <m/>
    <m/>
    <m/>
    <n v="0"/>
    <x v="119"/>
    <m/>
    <n v="0"/>
    <x v="5"/>
    <m/>
    <x v="304"/>
    <d v="2022-11-10T00:00:00"/>
    <x v="0"/>
    <m/>
    <m/>
    <m/>
    <x v="0"/>
    <x v="0"/>
    <m/>
    <n v="4500016958"/>
    <m/>
    <m/>
    <m/>
    <m/>
    <m/>
    <m/>
    <m/>
    <m/>
    <m/>
    <m/>
    <m/>
    <m/>
    <m/>
  </r>
  <r>
    <n v="389"/>
    <x v="29"/>
    <x v="297"/>
    <s v="Jl.Jend Sudirman kav.52-53"/>
    <m/>
    <m/>
    <s v="Sewa Tahunan"/>
    <x v="3"/>
    <x v="67"/>
    <m/>
    <m/>
    <m/>
    <m/>
    <n v="0"/>
    <x v="56"/>
    <m/>
    <n v="0"/>
    <x v="164"/>
    <m/>
    <x v="194"/>
    <d v="2022-09-06T00:00:00"/>
    <x v="0"/>
    <m/>
    <m/>
    <m/>
    <x v="0"/>
    <x v="0"/>
    <s v="16578/SPP/008/PUSAT/ICON+/2021"/>
    <n v="4500016755"/>
    <m/>
    <m/>
    <m/>
    <m/>
    <m/>
    <m/>
    <m/>
    <m/>
    <m/>
    <m/>
    <m/>
    <m/>
    <m/>
  </r>
  <r>
    <n v="390"/>
    <x v="30"/>
    <x v="288"/>
    <s v="Jl.rempoa Raya 11 "/>
    <m/>
    <m/>
    <s v="Sewa Tahunan"/>
    <x v="0"/>
    <x v="320"/>
    <m/>
    <m/>
    <m/>
    <m/>
    <n v="0"/>
    <x v="2"/>
    <m/>
    <n v="0"/>
    <x v="160"/>
    <m/>
    <x v="296"/>
    <s v="05-Desember-2022"/>
    <x v="0"/>
    <m/>
    <m/>
    <m/>
    <x v="0"/>
    <x v="0"/>
    <m/>
    <n v="4500015745"/>
    <m/>
    <m/>
    <m/>
    <m/>
    <m/>
    <m/>
    <m/>
    <m/>
    <m/>
    <m/>
    <m/>
    <m/>
    <m/>
  </r>
  <r>
    <n v="391"/>
    <x v="194"/>
    <x v="150"/>
    <s v="Jl.Kuningan Barat No.8 Cyber Building 1st &amp; 2nd "/>
    <m/>
    <m/>
    <s v="Sewa Tahunan"/>
    <x v="2"/>
    <x v="245"/>
    <m/>
    <m/>
    <m/>
    <m/>
    <n v="7000000"/>
    <x v="179"/>
    <m/>
    <n v="3000000"/>
    <x v="133"/>
    <m/>
    <x v="305"/>
    <s v="31-Juli-2022"/>
    <x v="0"/>
    <m/>
    <m/>
    <m/>
    <x v="0"/>
    <x v="0"/>
    <s v="16331/SPP/008/PUSAT/ICON+/2021"/>
    <n v="4500016504"/>
    <m/>
    <m/>
    <m/>
    <m/>
    <m/>
    <m/>
    <m/>
    <m/>
    <m/>
    <m/>
    <m/>
    <m/>
    <m/>
  </r>
  <r>
    <n v="392"/>
    <x v="197"/>
    <x v="298"/>
    <s v="Jl.H.R.Rasuna said blok x5 13"/>
    <m/>
    <m/>
    <s v="Sewa Tahunan"/>
    <x v="2"/>
    <x v="50"/>
    <m/>
    <m/>
    <m/>
    <m/>
    <n v="0"/>
    <x v="36"/>
    <m/>
    <n v="0"/>
    <x v="31"/>
    <m/>
    <x v="302"/>
    <s v="31-september 2022"/>
    <x v="0"/>
    <m/>
    <m/>
    <m/>
    <x v="0"/>
    <x v="0"/>
    <m/>
    <n v="4500016490"/>
    <m/>
    <m/>
    <m/>
    <m/>
    <m/>
    <m/>
    <m/>
    <m/>
    <m/>
    <m/>
    <m/>
    <m/>
    <m/>
  </r>
  <r>
    <n v="393"/>
    <x v="197"/>
    <x v="299"/>
    <s v="Jl.H.R.Rasuna said blok x5 13"/>
    <m/>
    <m/>
    <s v="Sewa Tahunan"/>
    <x v="3"/>
    <x v="77"/>
    <m/>
    <m/>
    <m/>
    <m/>
    <n v="0"/>
    <x v="180"/>
    <m/>
    <n v="0"/>
    <x v="31"/>
    <m/>
    <x v="306"/>
    <s v="30-Oktober-2022"/>
    <x v="0"/>
    <m/>
    <m/>
    <m/>
    <x v="0"/>
    <x v="0"/>
    <m/>
    <n v="4500016489"/>
    <m/>
    <m/>
    <m/>
    <m/>
    <m/>
    <m/>
    <m/>
    <m/>
    <m/>
    <m/>
    <m/>
    <m/>
    <m/>
  </r>
  <r>
    <n v="394"/>
    <x v="57"/>
    <x v="300"/>
    <s v="Jl.Subijanto DJ"/>
    <m/>
    <m/>
    <s v="Sewa Tahunan"/>
    <x v="2"/>
    <x v="325"/>
    <m/>
    <m/>
    <m/>
    <m/>
    <n v="0"/>
    <x v="181"/>
    <m/>
    <n v="0"/>
    <x v="5"/>
    <m/>
    <x v="307"/>
    <s v="6-Febuari-2022"/>
    <x v="0"/>
    <m/>
    <m/>
    <m/>
    <x v="0"/>
    <x v="0"/>
    <s v="152321/SPP/008/PUSAT/ICON+/2021"/>
    <n v="4500015878"/>
    <m/>
    <m/>
    <m/>
    <m/>
    <m/>
    <m/>
    <m/>
    <m/>
    <m/>
    <m/>
    <m/>
    <m/>
    <m/>
  </r>
  <r>
    <n v="395"/>
    <x v="57"/>
    <x v="301"/>
    <s v="Jl.Subijanto DJ"/>
    <m/>
    <m/>
    <s v="Sewa Tahunan"/>
    <x v="2"/>
    <x v="85"/>
    <m/>
    <m/>
    <m/>
    <m/>
    <n v="0"/>
    <x v="182"/>
    <m/>
    <n v="0"/>
    <x v="5"/>
    <m/>
    <x v="308"/>
    <d v="2022-04-15T00:00:00"/>
    <x v="0"/>
    <m/>
    <m/>
    <m/>
    <x v="0"/>
    <x v="0"/>
    <s v="15605/SPP/008/PUSAT/ICON+/2021"/>
    <n v="4500016097"/>
    <m/>
    <m/>
    <m/>
    <m/>
    <m/>
    <m/>
    <m/>
    <m/>
    <m/>
    <m/>
    <m/>
    <m/>
    <m/>
  </r>
  <r>
    <n v="396"/>
    <x v="203"/>
    <x v="302"/>
    <s v="Gd. JITC Lt. 7&amp;8 Jl.Mangga dua jakarta"/>
    <m/>
    <m/>
    <s v="Sewa Tahunan"/>
    <x v="3"/>
    <x v="8"/>
    <m/>
    <m/>
    <m/>
    <m/>
    <n v="0"/>
    <x v="7"/>
    <m/>
    <n v="0"/>
    <x v="6"/>
    <m/>
    <x v="309"/>
    <s v="26-Agustus-2022"/>
    <x v="0"/>
    <m/>
    <m/>
    <m/>
    <x v="0"/>
    <x v="0"/>
    <m/>
    <n v="4500016493"/>
    <m/>
    <m/>
    <m/>
    <m/>
    <m/>
    <m/>
    <m/>
    <m/>
    <m/>
    <m/>
    <m/>
    <m/>
    <m/>
  </r>
  <r>
    <n v="397"/>
    <x v="203"/>
    <x v="303"/>
    <s v="Gd. JITC Lt. 7&amp;8 Jl.Mangga dua jakarta"/>
    <m/>
    <m/>
    <s v="Sewa Tahunan"/>
    <x v="3"/>
    <x v="51"/>
    <m/>
    <m/>
    <m/>
    <m/>
    <n v="0"/>
    <x v="183"/>
    <m/>
    <n v="0"/>
    <x v="165"/>
    <m/>
    <x v="310"/>
    <s v="18-Agustus-2022"/>
    <x v="0"/>
    <m/>
    <m/>
    <m/>
    <x v="0"/>
    <x v="0"/>
    <m/>
    <n v="4500016494"/>
    <m/>
    <m/>
    <m/>
    <m/>
    <m/>
    <m/>
    <m/>
    <m/>
    <m/>
    <m/>
    <m/>
    <m/>
    <m/>
  </r>
  <r>
    <n v="398"/>
    <x v="204"/>
    <x v="304"/>
    <s v="Jl.Margonda Raya 56"/>
    <m/>
    <m/>
    <s v="Sewa Tahunan"/>
    <x v="3"/>
    <x v="149"/>
    <m/>
    <m/>
    <m/>
    <m/>
    <n v="0"/>
    <x v="7"/>
    <m/>
    <n v="0"/>
    <x v="163"/>
    <m/>
    <x v="311"/>
    <d v="2022-09-11T00:00:00"/>
    <x v="0"/>
    <m/>
    <m/>
    <m/>
    <x v="0"/>
    <x v="0"/>
    <m/>
    <n v="4500016497"/>
    <m/>
    <m/>
    <m/>
    <m/>
    <m/>
    <m/>
    <m/>
    <m/>
    <m/>
    <m/>
    <m/>
    <m/>
    <m/>
  </r>
  <r>
    <n v="399"/>
    <x v="205"/>
    <x v="305"/>
    <s v="Jl.Arteri Mnagga Dua Raya Gedung Mall magga dua D 5"/>
    <m/>
    <m/>
    <s v="Sewa Tahunan"/>
    <x v="3"/>
    <x v="17"/>
    <m/>
    <m/>
    <m/>
    <m/>
    <n v="0"/>
    <x v="15"/>
    <m/>
    <n v="0"/>
    <x v="166"/>
    <m/>
    <x v="305"/>
    <s v="31-Juli-2022"/>
    <x v="0"/>
    <m/>
    <m/>
    <m/>
    <x v="0"/>
    <x v="0"/>
    <m/>
    <n v="4500016270"/>
    <m/>
    <m/>
    <m/>
    <m/>
    <m/>
    <m/>
    <m/>
    <m/>
    <m/>
    <m/>
    <m/>
    <m/>
    <m/>
  </r>
  <r>
    <n v="400"/>
    <x v="206"/>
    <x v="306"/>
    <s v="Jl.Kanadianti nomor : 15 B pela mampang "/>
    <m/>
    <m/>
    <s v="Sewa Tahunan"/>
    <x v="0"/>
    <x v="326"/>
    <m/>
    <m/>
    <m/>
    <m/>
    <n v="0"/>
    <x v="184"/>
    <m/>
    <n v="0"/>
    <x v="167"/>
    <m/>
    <x v="312"/>
    <s v="30-juni-2022"/>
    <x v="0"/>
    <m/>
    <m/>
    <m/>
    <x v="0"/>
    <x v="0"/>
    <m/>
    <n v="4500016434"/>
    <m/>
    <m/>
    <m/>
    <m/>
    <m/>
    <m/>
    <m/>
    <m/>
    <m/>
    <m/>
    <m/>
    <m/>
    <m/>
  </r>
  <r>
    <n v="401"/>
    <x v="207"/>
    <x v="307"/>
    <s v="Citra Graha Lantai 4, Suite 403"/>
    <m/>
    <m/>
    <s v="Sewa Tahunan"/>
    <x v="0"/>
    <x v="327"/>
    <m/>
    <m/>
    <m/>
    <m/>
    <n v="0"/>
    <x v="99"/>
    <m/>
    <n v="0"/>
    <x v="168"/>
    <m/>
    <x v="293"/>
    <s v="31-januari-2022"/>
    <x v="0"/>
    <m/>
    <m/>
    <m/>
    <x v="0"/>
    <x v="0"/>
    <s v="15455/SPP/008/PUSAT/ICON+/2021"/>
    <n v="4500015902"/>
    <m/>
    <m/>
    <m/>
    <m/>
    <m/>
    <m/>
    <m/>
    <m/>
    <m/>
    <m/>
    <m/>
    <m/>
    <m/>
  </r>
  <r>
    <n v="402"/>
    <x v="208"/>
    <x v="308"/>
    <s v="Gedung berita satu plaza Lt 2"/>
    <m/>
    <m/>
    <s v="Sewa Tahunan"/>
    <x v="3"/>
    <x v="328"/>
    <m/>
    <m/>
    <m/>
    <m/>
    <n v="0"/>
    <x v="7"/>
    <m/>
    <n v="0"/>
    <x v="169"/>
    <m/>
    <x v="313"/>
    <d v="2022-09-23T00:00:00"/>
    <x v="0"/>
    <m/>
    <m/>
    <m/>
    <x v="0"/>
    <x v="0"/>
    <m/>
    <n v="4500016473"/>
    <m/>
    <m/>
    <m/>
    <m/>
    <m/>
    <m/>
    <m/>
    <m/>
    <m/>
    <m/>
    <m/>
    <m/>
    <m/>
  </r>
  <r>
    <n v="403"/>
    <x v="209"/>
    <x v="309"/>
    <s v="Jl.kelapa cengkir timur II Blok EH 2,kelapa gading No.2"/>
    <m/>
    <m/>
    <s v="Sewa Tahunan"/>
    <x v="0"/>
    <x v="191"/>
    <m/>
    <m/>
    <m/>
    <m/>
    <n v="0"/>
    <x v="123"/>
    <m/>
    <n v="0"/>
    <x v="170"/>
    <m/>
    <x v="312"/>
    <s v="30-juni-2022"/>
    <x v="0"/>
    <m/>
    <m/>
    <m/>
    <x v="0"/>
    <x v="0"/>
    <m/>
    <n v="4500016457"/>
    <m/>
    <m/>
    <m/>
    <m/>
    <m/>
    <m/>
    <m/>
    <m/>
    <m/>
    <m/>
    <m/>
    <m/>
    <m/>
  </r>
  <r>
    <n v="404"/>
    <x v="210"/>
    <x v="310"/>
    <s v="Jl.gunung sahari Raya No.1"/>
    <m/>
    <m/>
    <s v="Sewa Tahunan"/>
    <x v="3"/>
    <x v="329"/>
    <m/>
    <m/>
    <m/>
    <m/>
    <n v="2000000"/>
    <x v="185"/>
    <m/>
    <n v="0"/>
    <x v="171"/>
    <m/>
    <x v="314"/>
    <s v="22-juli-2022"/>
    <x v="0"/>
    <m/>
    <m/>
    <m/>
    <x v="0"/>
    <x v="0"/>
    <s v="16250/SPP/008/PUSAT/ICON+/2021"/>
    <n v="4500016483"/>
    <m/>
    <m/>
    <m/>
    <m/>
    <m/>
    <m/>
    <m/>
    <m/>
    <m/>
    <m/>
    <m/>
    <m/>
    <m/>
  </r>
  <r>
    <n v="405"/>
    <x v="67"/>
    <x v="311"/>
    <s v="gedung cyber 1 No.8"/>
    <m/>
    <m/>
    <s v="Sewa Tahunan"/>
    <x v="3"/>
    <x v="67"/>
    <m/>
    <m/>
    <m/>
    <m/>
    <n v="0"/>
    <x v="56"/>
    <m/>
    <n v="0"/>
    <x v="56"/>
    <m/>
    <x v="302"/>
    <s v="31-Agustus-2022"/>
    <x v="0"/>
    <m/>
    <m/>
    <m/>
    <x v="0"/>
    <x v="0"/>
    <m/>
    <n v="4500016253"/>
    <m/>
    <m/>
    <m/>
    <m/>
    <m/>
    <m/>
    <m/>
    <m/>
    <m/>
    <m/>
    <m/>
    <m/>
    <m/>
  </r>
  <r>
    <n v="406"/>
    <x v="194"/>
    <x v="312"/>
    <s v="Jl.Kuningan Barat No.8 Cyber Building 1st &amp; 2nd"/>
    <m/>
    <m/>
    <s v="Sewa Tahunan"/>
    <x v="2"/>
    <x v="167"/>
    <m/>
    <m/>
    <m/>
    <m/>
    <n v="0"/>
    <x v="56"/>
    <m/>
    <n v="0"/>
    <x v="172"/>
    <m/>
    <x v="315"/>
    <s v="02-juni-2022"/>
    <x v="0"/>
    <m/>
    <m/>
    <m/>
    <x v="0"/>
    <x v="0"/>
    <s v="16027/SPP/008/PUSAT/ICON+/2021"/>
    <n v="45000163116"/>
    <m/>
    <m/>
    <m/>
    <m/>
    <m/>
    <m/>
    <m/>
    <m/>
    <m/>
    <m/>
    <m/>
    <m/>
    <m/>
  </r>
  <r>
    <n v="407"/>
    <x v="211"/>
    <x v="313"/>
    <s v="Jl.Jend Sudirman kav.10-11"/>
    <m/>
    <m/>
    <s v="Sewa Tahunan"/>
    <x v="2"/>
    <x v="330"/>
    <m/>
    <m/>
    <m/>
    <m/>
    <n v="0"/>
    <x v="23"/>
    <m/>
    <n v="0"/>
    <x v="75"/>
    <m/>
    <x v="316"/>
    <s v="30-januari-2022"/>
    <x v="0"/>
    <m/>
    <m/>
    <m/>
    <x v="0"/>
    <x v="0"/>
    <s v="15103/SPP/008/PUSAT/ICON+/2021"/>
    <n v="4500015797"/>
    <m/>
    <m/>
    <m/>
    <m/>
    <m/>
    <m/>
    <m/>
    <m/>
    <m/>
    <m/>
    <m/>
    <m/>
    <m/>
  </r>
  <r>
    <n v="408"/>
    <x v="194"/>
    <x v="314"/>
    <s v="Jl.Kuningan Barat No.8 Cyber Building 1st &amp; 2nd "/>
    <m/>
    <m/>
    <s v="Sewa Tahunan"/>
    <x v="3"/>
    <x v="331"/>
    <m/>
    <m/>
    <m/>
    <m/>
    <n v="0"/>
    <x v="91"/>
    <m/>
    <n v="0"/>
    <x v="173"/>
    <m/>
    <x v="317"/>
    <s v="10-juli-2022"/>
    <x v="0"/>
    <m/>
    <m/>
    <m/>
    <x v="0"/>
    <x v="0"/>
    <s v="16028/SPP/008/PUSAT/ICON+/2021"/>
    <n v="4500016301"/>
    <m/>
    <m/>
    <m/>
    <m/>
    <m/>
    <m/>
    <m/>
    <m/>
    <m/>
    <m/>
    <m/>
    <m/>
    <m/>
  </r>
  <r>
    <n v="409"/>
    <x v="194"/>
    <x v="315"/>
    <s v="Jl.Kuningan Barat No.8 Cyber Building 1st &amp; 2nd "/>
    <m/>
    <m/>
    <s v="Sewa Tahunan"/>
    <x v="2"/>
    <x v="332"/>
    <m/>
    <m/>
    <m/>
    <m/>
    <n v="0"/>
    <x v="56"/>
    <m/>
    <n v="0"/>
    <x v="174"/>
    <m/>
    <x v="318"/>
    <s v="2-juni-2022"/>
    <x v="0"/>
    <m/>
    <m/>
    <m/>
    <x v="0"/>
    <x v="0"/>
    <s v="15995/SPP/008/PUSAT/ICON+/2021"/>
    <n v="4500016317"/>
    <m/>
    <m/>
    <m/>
    <m/>
    <m/>
    <m/>
    <m/>
    <m/>
    <m/>
    <m/>
    <m/>
    <m/>
    <m/>
  </r>
  <r>
    <n v="410"/>
    <x v="212"/>
    <x v="316"/>
    <s v="Plaza sentral Lt 21. Jl jend sudirman kav 47"/>
    <m/>
    <m/>
    <s v="Sewa Tahunan"/>
    <x v="0"/>
    <x v="333"/>
    <m/>
    <m/>
    <m/>
    <m/>
    <n v="0"/>
    <x v="6"/>
    <m/>
    <n v="0"/>
    <x v="7"/>
    <m/>
    <x v="319"/>
    <s v="06-juli-2022"/>
    <x v="0"/>
    <m/>
    <m/>
    <m/>
    <x v="0"/>
    <x v="0"/>
    <s v="16373/SPP/008/PUSAT/ICON+/2021"/>
    <n v="4500016636"/>
    <m/>
    <m/>
    <m/>
    <m/>
    <m/>
    <m/>
    <m/>
    <m/>
    <m/>
    <m/>
    <m/>
    <m/>
    <m/>
  </r>
  <r>
    <n v="411"/>
    <x v="213"/>
    <x v="317"/>
    <s v="Gd.Multivision Tower Lt. Basement 1 "/>
    <m/>
    <m/>
    <s v="Sewa Tahunan"/>
    <x v="3"/>
    <x v="334"/>
    <m/>
    <m/>
    <m/>
    <m/>
    <n v="0"/>
    <x v="186"/>
    <m/>
    <n v="0"/>
    <x v="41"/>
    <m/>
    <x v="320"/>
    <s v="31-januari-2022"/>
    <x v="0"/>
    <m/>
    <m/>
    <m/>
    <x v="0"/>
    <x v="0"/>
    <m/>
    <n v="4500015687"/>
    <m/>
    <m/>
    <m/>
    <m/>
    <m/>
    <m/>
    <m/>
    <m/>
    <m/>
    <m/>
    <m/>
    <m/>
    <m/>
  </r>
  <r>
    <n v="412"/>
    <x v="214"/>
    <x v="318"/>
    <s v="Jl.kebon sirih No.12"/>
    <m/>
    <m/>
    <s v="Sewa Tahunan"/>
    <x v="0"/>
    <x v="335"/>
    <m/>
    <m/>
    <m/>
    <m/>
    <n v="0"/>
    <x v="187"/>
    <m/>
    <n v="0"/>
    <x v="35"/>
    <m/>
    <x v="312"/>
    <s v="30-juni-2022"/>
    <x v="0"/>
    <m/>
    <m/>
    <m/>
    <x v="0"/>
    <x v="0"/>
    <s v="16420/SPP/008/PUSAT/ICON+/2021"/>
    <n v="4500016762"/>
    <m/>
    <m/>
    <m/>
    <m/>
    <m/>
    <m/>
    <m/>
    <m/>
    <m/>
    <m/>
    <m/>
    <m/>
    <m/>
  </r>
  <r>
    <n v="413"/>
    <x v="193"/>
    <x v="280"/>
    <s v="Jl.Jababeka IV Blok B No.12 Jbbk industrial Esta Cikarang"/>
    <m/>
    <m/>
    <s v="Sewa Tahunan"/>
    <x v="2"/>
    <x v="336"/>
    <m/>
    <m/>
    <m/>
    <m/>
    <n v="2500000"/>
    <x v="188"/>
    <m/>
    <n v="0"/>
    <x v="93"/>
    <m/>
    <x v="321"/>
    <d v="2022-09-08T00:00:00"/>
    <x v="0"/>
    <m/>
    <m/>
    <m/>
    <x v="0"/>
    <x v="0"/>
    <s v="16555/SPP/008/PUSAT/ICON+/2021"/>
    <n v="4500016697"/>
    <m/>
    <m/>
    <m/>
    <m/>
    <m/>
    <m/>
    <m/>
    <m/>
    <m/>
    <m/>
    <m/>
    <m/>
    <m/>
  </r>
  <r>
    <n v="414"/>
    <x v="215"/>
    <x v="319"/>
    <s v="Jl.Riau 23 "/>
    <m/>
    <m/>
    <s v="Sewa Tahunan"/>
    <x v="0"/>
    <x v="67"/>
    <m/>
    <m/>
    <m/>
    <m/>
    <n v="0"/>
    <x v="189"/>
    <m/>
    <n v="0"/>
    <x v="175"/>
    <m/>
    <x v="322"/>
    <s v="9- juni-2022"/>
    <x v="0"/>
    <m/>
    <m/>
    <m/>
    <x v="0"/>
    <x v="0"/>
    <s v="15922/SPP/008/PUSAT/ICON+/2021"/>
    <s v="  "/>
    <m/>
    <m/>
    <m/>
    <m/>
    <m/>
    <m/>
    <m/>
    <m/>
    <m/>
    <m/>
    <m/>
    <m/>
    <m/>
  </r>
  <r>
    <n v="415"/>
    <x v="216"/>
    <x v="320"/>
    <s v="Senen,kompl.pertokoan segitiga senen blok"/>
    <m/>
    <m/>
    <s v="Sewa Tahunan"/>
    <x v="3"/>
    <x v="337"/>
    <m/>
    <m/>
    <m/>
    <m/>
    <n v="0"/>
    <x v="1"/>
    <m/>
    <n v="0"/>
    <x v="176"/>
    <m/>
    <x v="323"/>
    <d v="2022-11-24T00:00:00"/>
    <x v="0"/>
    <m/>
    <m/>
    <m/>
    <x v="0"/>
    <x v="0"/>
    <s v="16791/SPP/008/PUSAT/ICON+/2021"/>
    <n v="4500017280"/>
    <m/>
    <m/>
    <m/>
    <m/>
    <m/>
    <m/>
    <m/>
    <m/>
    <m/>
    <m/>
    <m/>
    <m/>
    <m/>
  </r>
  <r>
    <n v="416"/>
    <x v="42"/>
    <x v="321"/>
    <s v="Jl Rempoa Raya 11"/>
    <m/>
    <m/>
    <s v="Sewa Tahunan"/>
    <x v="3"/>
    <x v="83"/>
    <m/>
    <m/>
    <m/>
    <m/>
    <s v="-"/>
    <x v="31"/>
    <m/>
    <s v="-"/>
    <x v="174"/>
    <m/>
    <x v="324"/>
    <d v="2022-02-14T00:00:00"/>
    <x v="0"/>
    <m/>
    <m/>
    <m/>
    <x v="0"/>
    <x v="0"/>
    <s v="15268/SPP/008/PUSAT/ICON+/2021"/>
    <n v="4500015812"/>
    <m/>
    <m/>
    <m/>
    <m/>
    <m/>
    <m/>
    <m/>
    <m/>
    <m/>
    <m/>
    <m/>
    <m/>
    <m/>
  </r>
  <r>
    <n v="417"/>
    <x v="36"/>
    <x v="322"/>
    <s v="Jl Kapt Subijanto DJ"/>
    <m/>
    <m/>
    <s v="Sewa Tahunan"/>
    <x v="2"/>
    <x v="338"/>
    <m/>
    <m/>
    <m/>
    <m/>
    <n v="20000000"/>
    <x v="10"/>
    <m/>
    <n v="4000000"/>
    <x v="17"/>
    <m/>
    <x v="282"/>
    <d v="2022-03-15T00:00:00"/>
    <x v="0"/>
    <m/>
    <m/>
    <m/>
    <x v="0"/>
    <x v="0"/>
    <s v="15484/SPP/008/PUSAT/ICON+/2021"/>
    <n v="4500015925"/>
    <m/>
    <m/>
    <m/>
    <m/>
    <m/>
    <m/>
    <m/>
    <m/>
    <m/>
    <m/>
    <m/>
    <m/>
    <m/>
  </r>
  <r>
    <n v="418"/>
    <x v="217"/>
    <x v="28"/>
    <s v="WTP Building Jl Jababeka IV Blok B No 12 Jbbk"/>
    <m/>
    <m/>
    <s v="Sewa Tahunan"/>
    <x v="2"/>
    <x v="339"/>
    <m/>
    <m/>
    <m/>
    <m/>
    <n v="3500000"/>
    <x v="7"/>
    <m/>
    <s v="-"/>
    <x v="177"/>
    <m/>
    <x v="325"/>
    <d v="2022-08-25T00:00:00"/>
    <x v="0"/>
    <m/>
    <m/>
    <m/>
    <x v="0"/>
    <x v="0"/>
    <s v="15777/SPP/008/PUSAT/ICON+/2021"/>
    <n v="4500016103"/>
    <m/>
    <m/>
    <m/>
    <m/>
    <m/>
    <m/>
    <m/>
    <m/>
    <m/>
    <m/>
    <m/>
    <m/>
    <m/>
  </r>
  <r>
    <n v="419"/>
    <x v="183"/>
    <x v="323"/>
    <s v="Citra Graha Lantai 4, Suite 403"/>
    <m/>
    <m/>
    <s v="Sewa Tahunan"/>
    <x v="0"/>
    <x v="340"/>
    <m/>
    <m/>
    <m/>
    <m/>
    <s v="-"/>
    <x v="39"/>
    <m/>
    <s v="-"/>
    <x v="79"/>
    <m/>
    <x v="260"/>
    <d v="2022-03-12T00:00:00"/>
    <x v="0"/>
    <m/>
    <m/>
    <m/>
    <x v="0"/>
    <x v="0"/>
    <s v="15220/SPP/008/PUSAT/ICON+/2021"/>
    <n v="4500015842"/>
    <m/>
    <m/>
    <m/>
    <m/>
    <m/>
    <m/>
    <m/>
    <m/>
    <m/>
    <m/>
    <m/>
    <m/>
    <m/>
  </r>
  <r>
    <n v="420"/>
    <x v="218"/>
    <x v="39"/>
    <s v="Jl  Makaliwe Raya 24-24a"/>
    <m/>
    <m/>
    <s v="Sewa Tahunan"/>
    <x v="0"/>
    <x v="341"/>
    <m/>
    <m/>
    <m/>
    <m/>
    <s v="-"/>
    <x v="30"/>
    <m/>
    <s v="-"/>
    <x v="178"/>
    <m/>
    <x v="326"/>
    <d v="2022-03-09T00:00:00"/>
    <x v="0"/>
    <m/>
    <m/>
    <m/>
    <x v="0"/>
    <x v="0"/>
    <s v="15128/SPP/008/PUSAT/ICON+/2021"/>
    <n v="4500015813"/>
    <m/>
    <m/>
    <m/>
    <m/>
    <m/>
    <m/>
    <m/>
    <m/>
    <m/>
    <m/>
    <m/>
    <m/>
    <m/>
  </r>
  <r>
    <n v="421"/>
    <x v="219"/>
    <x v="324"/>
    <s v="Jl M H Thamrin Kav 3"/>
    <m/>
    <m/>
    <s v="Sewa Tahunan"/>
    <x v="2"/>
    <x v="342"/>
    <m/>
    <m/>
    <m/>
    <m/>
    <n v="7500000"/>
    <x v="190"/>
    <m/>
    <n v="2000000"/>
    <x v="14"/>
    <m/>
    <x v="327"/>
    <d v="2022-04-21T00:00:00"/>
    <x v="0"/>
    <m/>
    <m/>
    <m/>
    <x v="0"/>
    <x v="0"/>
    <s v="15617/SPP/008/PUSAT/ICON+/2021"/>
    <n v="4500016006"/>
    <m/>
    <m/>
    <m/>
    <m/>
    <m/>
    <m/>
    <m/>
    <m/>
    <m/>
    <m/>
    <m/>
    <m/>
    <m/>
  </r>
  <r>
    <n v="422"/>
    <x v="217"/>
    <x v="325"/>
    <s v="WTP Building Jl Jababeka IV Blok B No 12 Jbbk"/>
    <m/>
    <m/>
    <s v="Sewa Tahunan"/>
    <x v="2"/>
    <x v="343"/>
    <m/>
    <m/>
    <m/>
    <m/>
    <n v="3500000"/>
    <x v="35"/>
    <m/>
    <s v="-"/>
    <x v="93"/>
    <m/>
    <x v="328"/>
    <d v="2022-04-04T00:00:00"/>
    <x v="0"/>
    <m/>
    <m/>
    <m/>
    <x v="0"/>
    <x v="0"/>
    <s v="15624/SPP/008/PUSAT/ICON+/2021"/>
    <n v="4500016007"/>
    <m/>
    <m/>
    <m/>
    <m/>
    <m/>
    <m/>
    <m/>
    <m/>
    <m/>
    <m/>
    <m/>
    <m/>
    <m/>
  </r>
  <r>
    <n v="423"/>
    <x v="220"/>
    <x v="326"/>
    <s v="Jl Jend Sudirman Kav 52-53"/>
    <m/>
    <m/>
    <s v="Sewa Tahunan"/>
    <x v="0"/>
    <x v="344"/>
    <m/>
    <m/>
    <m/>
    <m/>
    <n v="10500000"/>
    <x v="191"/>
    <m/>
    <n v="5000000"/>
    <x v="179"/>
    <m/>
    <x v="329"/>
    <d v="2024-03-31T00:00:00"/>
    <x v="0"/>
    <m/>
    <m/>
    <m/>
    <x v="0"/>
    <x v="0"/>
    <s v="15600/SPP/008/PUSAT/ICON+/2021"/>
    <n v="4500015965"/>
    <m/>
    <m/>
    <m/>
    <m/>
    <m/>
    <m/>
    <m/>
    <m/>
    <m/>
    <m/>
    <m/>
    <m/>
    <m/>
  </r>
  <r>
    <n v="424"/>
    <x v="35"/>
    <x v="327"/>
    <s v="Gd JITC Lt 7&amp;8 Jl Mangga Dua Jakarta"/>
    <m/>
    <m/>
    <s v="Sewa Tahunan"/>
    <x v="3"/>
    <x v="345"/>
    <m/>
    <m/>
    <m/>
    <m/>
    <s v="-"/>
    <x v="110"/>
    <m/>
    <s v="-"/>
    <x v="180"/>
    <m/>
    <x v="330"/>
    <d v="2022-01-26T00:00:00"/>
    <x v="0"/>
    <m/>
    <m/>
    <m/>
    <x v="0"/>
    <x v="0"/>
    <s v="15101/SPP/008/PUSAT/ICON+/2021"/>
    <n v="4500015779"/>
    <m/>
    <m/>
    <m/>
    <m/>
    <m/>
    <m/>
    <m/>
    <m/>
    <m/>
    <m/>
    <m/>
    <m/>
    <m/>
  </r>
  <r>
    <n v="425"/>
    <x v="42"/>
    <x v="328"/>
    <s v="Jl Rempoa Raya 11"/>
    <m/>
    <m/>
    <s v="Sewa Tahunan"/>
    <x v="0"/>
    <x v="346"/>
    <m/>
    <m/>
    <m/>
    <m/>
    <s v="-"/>
    <x v="192"/>
    <m/>
    <s v="-"/>
    <x v="145"/>
    <m/>
    <x v="331"/>
    <d v="2022-05-16T00:00:00"/>
    <x v="0"/>
    <m/>
    <m/>
    <m/>
    <x v="0"/>
    <x v="0"/>
    <m/>
    <n v="4500016258"/>
    <m/>
    <m/>
    <m/>
    <m/>
    <m/>
    <m/>
    <m/>
    <m/>
    <m/>
    <m/>
    <m/>
    <m/>
    <m/>
  </r>
  <r>
    <n v="426"/>
    <x v="180"/>
    <x v="329"/>
    <s v="Rukan Permata SEnayan Blok F 08-09 7fl #703"/>
    <m/>
    <m/>
    <s v="Sewa Tahunan"/>
    <x v="0"/>
    <x v="347"/>
    <m/>
    <m/>
    <m/>
    <m/>
    <s v="-"/>
    <x v="107"/>
    <m/>
    <s v="-"/>
    <x v="181"/>
    <m/>
    <x v="79"/>
    <d v="2021-12-31T00:00:00"/>
    <x v="0"/>
    <m/>
    <m/>
    <m/>
    <x v="0"/>
    <x v="0"/>
    <m/>
    <n v="4500015605"/>
    <m/>
    <m/>
    <m/>
    <m/>
    <m/>
    <m/>
    <m/>
    <m/>
    <m/>
    <m/>
    <m/>
    <m/>
    <m/>
  </r>
  <r>
    <n v="427"/>
    <x v="29"/>
    <x v="52"/>
    <s v="Jl Jend Sudirman Kav 52-53"/>
    <m/>
    <m/>
    <s v="Sewa Tahunan"/>
    <x v="2"/>
    <x v="55"/>
    <m/>
    <m/>
    <m/>
    <m/>
    <s v="-"/>
    <x v="40"/>
    <m/>
    <s v="-"/>
    <x v="18"/>
    <m/>
    <x v="332"/>
    <d v="2022-01-09T00:00:00"/>
    <x v="0"/>
    <m/>
    <m/>
    <m/>
    <x v="0"/>
    <x v="0"/>
    <m/>
    <n v="4500015702"/>
    <m/>
    <m/>
    <m/>
    <m/>
    <m/>
    <m/>
    <m/>
    <m/>
    <m/>
    <m/>
    <m/>
    <m/>
    <m/>
  </r>
  <r>
    <n v="428"/>
    <x v="32"/>
    <x v="330"/>
    <s v="Jl Mangga Dua Raya"/>
    <m/>
    <m/>
    <s v="Sewa Tahunan"/>
    <x v="3"/>
    <x v="348"/>
    <m/>
    <m/>
    <m/>
    <m/>
    <s v="-"/>
    <x v="11"/>
    <m/>
    <s v="-"/>
    <x v="29"/>
    <m/>
    <x v="79"/>
    <d v="2021-12-31T00:00:00"/>
    <x v="0"/>
    <m/>
    <m/>
    <m/>
    <x v="0"/>
    <x v="0"/>
    <m/>
    <n v="4500015423"/>
    <m/>
    <m/>
    <m/>
    <m/>
    <m/>
    <m/>
    <m/>
    <m/>
    <m/>
    <m/>
    <m/>
    <m/>
    <m/>
  </r>
  <r>
    <n v="429"/>
    <x v="221"/>
    <x v="331"/>
    <s v="Jl Gatot Subroto 79"/>
    <m/>
    <m/>
    <s v="Sewa Tahunan"/>
    <x v="3"/>
    <x v="349"/>
    <m/>
    <m/>
    <m/>
    <m/>
    <s v="-"/>
    <x v="193"/>
    <m/>
    <s v="-"/>
    <x v="51"/>
    <m/>
    <x v="333"/>
    <d v="2022-07-21T00:00:00"/>
    <x v="0"/>
    <m/>
    <m/>
    <m/>
    <x v="0"/>
    <x v="0"/>
    <m/>
    <n v="4500016266"/>
    <m/>
    <m/>
    <m/>
    <m/>
    <m/>
    <m/>
    <m/>
    <m/>
    <m/>
    <m/>
    <m/>
    <m/>
    <m/>
  </r>
  <r>
    <n v="430"/>
    <x v="222"/>
    <x v="157"/>
    <s v="Jl HR Rasuna Said Kav B-1"/>
    <m/>
    <m/>
    <s v="Sewa Tahunan"/>
    <x v="0"/>
    <x v="67"/>
    <m/>
    <m/>
    <m/>
    <m/>
    <s v="-"/>
    <x v="41"/>
    <m/>
    <s v="-"/>
    <x v="145"/>
    <m/>
    <x v="79"/>
    <d v="2021-12-31T00:00:00"/>
    <x v="0"/>
    <m/>
    <m/>
    <m/>
    <x v="0"/>
    <x v="0"/>
    <s v="14853/SPP/008/PUSAT/ICON+/2020"/>
    <n v="4500015486"/>
    <m/>
    <m/>
    <m/>
    <m/>
    <m/>
    <m/>
    <m/>
    <m/>
    <m/>
    <m/>
    <m/>
    <m/>
    <m/>
  </r>
  <r>
    <n v="431"/>
    <x v="223"/>
    <x v="332"/>
    <s v="Plaza Atrium Komplek Blok Adan C Lt Basement 1"/>
    <m/>
    <m/>
    <s v="Sewa Tahunan"/>
    <x v="3"/>
    <x v="350"/>
    <m/>
    <m/>
    <m/>
    <m/>
    <s v="-"/>
    <x v="35"/>
    <m/>
    <s v="-"/>
    <x v="182"/>
    <m/>
    <x v="334"/>
    <d v="2022-03-24T00:00:00"/>
    <x v="0"/>
    <m/>
    <m/>
    <m/>
    <x v="0"/>
    <x v="0"/>
    <m/>
    <n v="4500015760"/>
    <m/>
    <m/>
    <m/>
    <m/>
    <m/>
    <m/>
    <m/>
    <m/>
    <m/>
    <m/>
    <m/>
    <m/>
    <m/>
  </r>
  <r>
    <n v="432"/>
    <x v="224"/>
    <x v="333"/>
    <s v="Jl Mangga Dua Raya No 8 Jakarta Utara "/>
    <m/>
    <m/>
    <s v="Sewa Tahunan"/>
    <x v="3"/>
    <x v="351"/>
    <m/>
    <m/>
    <m/>
    <m/>
    <s v="-"/>
    <x v="194"/>
    <m/>
    <s v="-"/>
    <x v="29"/>
    <m/>
    <x v="79"/>
    <d v="2021-12-31T00:00:00"/>
    <x v="0"/>
    <m/>
    <m/>
    <m/>
    <x v="0"/>
    <x v="0"/>
    <m/>
    <n v="4500015614"/>
    <m/>
    <m/>
    <m/>
    <m/>
    <m/>
    <m/>
    <m/>
    <m/>
    <m/>
    <m/>
    <m/>
    <m/>
    <m/>
  </r>
  <r>
    <n v="433"/>
    <x v="221"/>
    <x v="62"/>
    <s v="Jl Gatot Subroto 79"/>
    <m/>
    <m/>
    <s v="Sewa Tahunan"/>
    <x v="3"/>
    <x v="67"/>
    <m/>
    <m/>
    <m/>
    <m/>
    <s v="-"/>
    <x v="41"/>
    <m/>
    <s v="-"/>
    <x v="183"/>
    <m/>
    <x v="335"/>
    <d v="2022-07-15T00:00:00"/>
    <x v="0"/>
    <m/>
    <m/>
    <m/>
    <x v="0"/>
    <x v="0"/>
    <m/>
    <n v="4500016268"/>
    <m/>
    <m/>
    <m/>
    <m/>
    <m/>
    <m/>
    <m/>
    <m/>
    <m/>
    <m/>
    <m/>
    <m/>
    <m/>
  </r>
  <r>
    <n v="434"/>
    <x v="225"/>
    <x v="334"/>
    <s v="Jl Gatot Subroto "/>
    <m/>
    <m/>
    <s v="Sewa Tahunan"/>
    <x v="0"/>
    <x v="352"/>
    <m/>
    <m/>
    <m/>
    <m/>
    <s v="-"/>
    <x v="10"/>
    <m/>
    <s v="-"/>
    <x v="184"/>
    <m/>
    <x v="79"/>
    <d v="2021-12-31T00:00:00"/>
    <x v="0"/>
    <m/>
    <m/>
    <m/>
    <x v="0"/>
    <x v="0"/>
    <m/>
    <n v="4500015617"/>
    <m/>
    <m/>
    <m/>
    <m/>
    <m/>
    <m/>
    <m/>
    <m/>
    <m/>
    <m/>
    <m/>
    <m/>
    <m/>
  </r>
  <r>
    <n v="435"/>
    <x v="36"/>
    <x v="335"/>
    <s v="Jl Kapt Subijanto DJ"/>
    <m/>
    <m/>
    <s v="Sewa Tahunan"/>
    <x v="2"/>
    <x v="353"/>
    <m/>
    <m/>
    <m/>
    <m/>
    <s v="-"/>
    <x v="44"/>
    <m/>
    <s v="-"/>
    <x v="89"/>
    <m/>
    <x v="266"/>
    <d v="2022-03-08T00:00:00"/>
    <x v="0"/>
    <m/>
    <m/>
    <m/>
    <x v="0"/>
    <x v="0"/>
    <s v="15550/SPP/008/PUSAT/ICON+/2021"/>
    <n v="4500016256"/>
    <m/>
    <m/>
    <m/>
    <m/>
    <m/>
    <m/>
    <m/>
    <m/>
    <m/>
    <m/>
    <m/>
    <m/>
    <m/>
  </r>
  <r>
    <n v="436"/>
    <x v="226"/>
    <x v="17"/>
    <s v="ITC Kuningan 10th floor, Jl Prof Satrio"/>
    <m/>
    <m/>
    <s v="Sewa Tahunan"/>
    <x v="3"/>
    <x v="354"/>
    <m/>
    <m/>
    <m/>
    <m/>
    <s v="-"/>
    <x v="110"/>
    <m/>
    <s v="-"/>
    <x v="45"/>
    <m/>
    <x v="270"/>
    <d v="2022-02-12T00:00:00"/>
    <x v="0"/>
    <m/>
    <m/>
    <m/>
    <x v="0"/>
    <x v="0"/>
    <m/>
    <n v="4500015748"/>
    <m/>
    <m/>
    <m/>
    <m/>
    <m/>
    <m/>
    <m/>
    <m/>
    <m/>
    <m/>
    <m/>
    <m/>
    <m/>
  </r>
  <r>
    <n v="437"/>
    <x v="221"/>
    <x v="62"/>
    <s v="Jl Gatot Subroto 79"/>
    <m/>
    <m/>
    <s v="Sewa Tahunan"/>
    <x v="3"/>
    <x v="67"/>
    <m/>
    <m/>
    <m/>
    <m/>
    <s v="-"/>
    <x v="41"/>
    <m/>
    <s v="-"/>
    <x v="25"/>
    <m/>
    <x v="333"/>
    <d v="2022-07-21T00:00:00"/>
    <x v="0"/>
    <m/>
    <m/>
    <m/>
    <x v="0"/>
    <x v="0"/>
    <m/>
    <n v="4500016267"/>
    <m/>
    <m/>
    <m/>
    <m/>
    <m/>
    <m/>
    <m/>
    <m/>
    <m/>
    <m/>
    <m/>
    <m/>
    <m/>
  </r>
  <r>
    <n v="438"/>
    <x v="227"/>
    <x v="336"/>
    <s v="Jl TB Simatupang Kav 1S"/>
    <m/>
    <m/>
    <s v="Sewa Tahunan"/>
    <x v="0"/>
    <x v="67"/>
    <s v=" "/>
    <m/>
    <m/>
    <m/>
    <s v="-"/>
    <x v="195"/>
    <m/>
    <s v="-"/>
    <x v="185"/>
    <m/>
    <x v="274"/>
    <d v="2022-06-30T00:00:00"/>
    <x v="0"/>
    <m/>
    <m/>
    <m/>
    <x v="0"/>
    <x v="0"/>
    <m/>
    <n v="4500016496"/>
    <m/>
    <m/>
    <m/>
    <m/>
    <m/>
    <m/>
    <m/>
    <m/>
    <m/>
    <m/>
    <m/>
    <m/>
    <m/>
  </r>
  <r>
    <n v="439"/>
    <x v="228"/>
    <x v="337"/>
    <s v="Jl Kuningan Barat 8"/>
    <m/>
    <m/>
    <s v="Sewa Tahunan"/>
    <x v="3"/>
    <x v="355"/>
    <m/>
    <m/>
    <m/>
    <m/>
    <s v="-"/>
    <x v="30"/>
    <m/>
    <s v="-"/>
    <x v="4"/>
    <m/>
    <x v="336"/>
    <d v="2022-07-28T00:00:00"/>
    <x v="0"/>
    <m/>
    <m/>
    <m/>
    <x v="0"/>
    <x v="0"/>
    <m/>
    <n v="4500016271"/>
    <m/>
    <m/>
    <m/>
    <m/>
    <m/>
    <m/>
    <m/>
    <m/>
    <m/>
    <m/>
    <m/>
    <m/>
    <m/>
  </r>
  <r>
    <n v="440"/>
    <x v="229"/>
    <x v="148"/>
    <s v="Gedung Kenari Mas Lt 6 No 101"/>
    <m/>
    <m/>
    <s v="Sewa Tahunan"/>
    <x v="0"/>
    <x v="157"/>
    <m/>
    <m/>
    <m/>
    <m/>
    <s v="-"/>
    <x v="27"/>
    <m/>
    <s v="-"/>
    <x v="186"/>
    <m/>
    <x v="329"/>
    <d v="2022-03-31T00:00:00"/>
    <x v="0"/>
    <m/>
    <m/>
    <m/>
    <x v="0"/>
    <x v="0"/>
    <m/>
    <n v="4500015749"/>
    <m/>
    <m/>
    <m/>
    <m/>
    <m/>
    <m/>
    <m/>
    <m/>
    <m/>
    <m/>
    <m/>
    <m/>
    <m/>
  </r>
  <r>
    <n v="441"/>
    <x v="62"/>
    <x v="338"/>
    <s v="Jl Kuningan Barat 8"/>
    <m/>
    <m/>
    <s v="Sewa Tahunan"/>
    <x v="2"/>
    <x v="67"/>
    <m/>
    <m/>
    <m/>
    <m/>
    <s v="-"/>
    <x v="61"/>
    <m/>
    <s v="-"/>
    <x v="187"/>
    <m/>
    <x v="335"/>
    <d v="2022-07-15T00:00:00"/>
    <x v="0"/>
    <m/>
    <m/>
    <m/>
    <x v="0"/>
    <x v="0"/>
    <s v="16238/SPP/008/PUSAT/ICON+/2021"/>
    <n v="4500016507"/>
    <m/>
    <m/>
    <m/>
    <m/>
    <m/>
    <m/>
    <m/>
    <m/>
    <m/>
    <m/>
    <m/>
    <m/>
    <m/>
  </r>
  <r>
    <n v="442"/>
    <x v="230"/>
    <x v="3"/>
    <s v="Jl Kebayoran Lama 12"/>
    <m/>
    <m/>
    <s v="Sewa Tahunan"/>
    <x v="3"/>
    <x v="356"/>
    <m/>
    <m/>
    <m/>
    <m/>
    <s v="-"/>
    <x v="7"/>
    <m/>
    <s v="-"/>
    <x v="188"/>
    <m/>
    <x v="337"/>
    <d v="2022-01-01T00:00:00"/>
    <x v="0"/>
    <m/>
    <m/>
    <m/>
    <x v="0"/>
    <x v="0"/>
    <m/>
    <n v="4500015632"/>
    <m/>
    <m/>
    <m/>
    <m/>
    <m/>
    <m/>
    <m/>
    <m/>
    <m/>
    <m/>
    <m/>
    <m/>
    <m/>
  </r>
  <r>
    <n v="443"/>
    <x v="29"/>
    <x v="339"/>
    <s v="Jl JEend Sudirman Kav 52-53"/>
    <m/>
    <m/>
    <s v="Sewa Tahunan"/>
    <x v="2"/>
    <x v="153"/>
    <m/>
    <m/>
    <m/>
    <m/>
    <s v="-"/>
    <x v="33"/>
    <m/>
    <s v="-"/>
    <x v="10"/>
    <m/>
    <x v="338"/>
    <d v="2022-08-15T00:00:00"/>
    <x v="0"/>
    <m/>
    <m/>
    <m/>
    <x v="0"/>
    <x v="0"/>
    <m/>
    <n v="4500016561"/>
    <m/>
    <m/>
    <m/>
    <m/>
    <m/>
    <m/>
    <m/>
    <m/>
    <m/>
    <m/>
    <m/>
    <m/>
    <m/>
  </r>
  <r>
    <n v="444"/>
    <x v="183"/>
    <x v="340"/>
    <s v="Citra Graha Lantai 4, Suite 403"/>
    <m/>
    <m/>
    <s v="Sewa Tahunan"/>
    <x v="0"/>
    <x v="357"/>
    <m/>
    <m/>
    <m/>
    <m/>
    <s v="-"/>
    <x v="196"/>
    <m/>
    <s v="-"/>
    <x v="189"/>
    <m/>
    <x v="274"/>
    <d v="2022-06-20T00:00:00"/>
    <x v="0"/>
    <m/>
    <m/>
    <m/>
    <x v="0"/>
    <x v="0"/>
    <m/>
    <n v="4500016541"/>
    <m/>
    <m/>
    <m/>
    <m/>
    <m/>
    <m/>
    <m/>
    <m/>
    <m/>
    <m/>
    <m/>
    <m/>
    <m/>
  </r>
  <r>
    <n v="445"/>
    <x v="175"/>
    <x v="117"/>
    <s v="Jl Jend Sudirman Kav 10-11"/>
    <m/>
    <m/>
    <s v="Sewa Tahunan"/>
    <x v="2"/>
    <x v="358"/>
    <m/>
    <m/>
    <m/>
    <m/>
    <s v="-"/>
    <x v="113"/>
    <m/>
    <s v="-"/>
    <x v="42"/>
    <m/>
    <x v="79"/>
    <d v="2021-12-31T00:00:00"/>
    <x v="0"/>
    <m/>
    <m/>
    <m/>
    <x v="0"/>
    <x v="0"/>
    <m/>
    <n v="4500015357"/>
    <m/>
    <m/>
    <m/>
    <m/>
    <m/>
    <m/>
    <m/>
    <m/>
    <m/>
    <m/>
    <m/>
    <m/>
    <m/>
  </r>
  <r>
    <n v="446"/>
    <x v="231"/>
    <x v="56"/>
    <s v="Jl HR Rasuna said x-5 Kav 2-3"/>
    <m/>
    <m/>
    <s v="Sewa Tahunan"/>
    <x v="0"/>
    <x v="359"/>
    <m/>
    <m/>
    <m/>
    <m/>
    <s v="-"/>
    <x v="197"/>
    <m/>
    <s v="-"/>
    <x v="145"/>
    <m/>
    <x v="339"/>
    <d v="2022-07-08T00:00:00"/>
    <x v="0"/>
    <m/>
    <m/>
    <m/>
    <x v="0"/>
    <x v="0"/>
    <s v="16322/SPP/008/PUSAT/ICON+/2021"/>
    <n v="4500016531"/>
    <m/>
    <m/>
    <m/>
    <m/>
    <m/>
    <m/>
    <m/>
    <m/>
    <m/>
    <m/>
    <m/>
    <m/>
    <m/>
  </r>
  <r>
    <n v="447"/>
    <x v="62"/>
    <x v="9"/>
    <s v="Jl Kuningan Barat 8"/>
    <m/>
    <m/>
    <s v="Sewa Tahunan"/>
    <x v="2"/>
    <x v="360"/>
    <m/>
    <m/>
    <m/>
    <m/>
    <s v="-"/>
    <x v="8"/>
    <m/>
    <s v="-"/>
    <x v="187"/>
    <m/>
    <x v="340"/>
    <d v="2022-07-05T00:00:00"/>
    <x v="0"/>
    <m/>
    <m/>
    <m/>
    <x v="0"/>
    <x v="0"/>
    <s v="16237/SPP/008/PUSAT/ICON+/2021"/>
    <n v="4500016506"/>
    <m/>
    <m/>
    <m/>
    <m/>
    <m/>
    <m/>
    <m/>
    <m/>
    <m/>
    <m/>
    <m/>
    <m/>
    <m/>
  </r>
  <r>
    <n v="448"/>
    <x v="217"/>
    <x v="341"/>
    <s v="Jl Jababeka IV Blok B No 12 Jbbk"/>
    <m/>
    <m/>
    <s v="Sewa Tahunan"/>
    <x v="2"/>
    <x v="361"/>
    <m/>
    <m/>
    <m/>
    <m/>
    <n v="1500000"/>
    <x v="27"/>
    <m/>
    <s v="-"/>
    <x v="190"/>
    <m/>
    <x v="341"/>
    <d v="2022-09-30T00:00:00"/>
    <x v="0"/>
    <m/>
    <m/>
    <m/>
    <x v="0"/>
    <x v="0"/>
    <s v="16310/SPP/008/PUSAT/ICON+/2021"/>
    <n v="4500016592"/>
    <m/>
    <m/>
    <m/>
    <m/>
    <m/>
    <m/>
    <m/>
    <m/>
    <m/>
    <m/>
    <m/>
    <m/>
    <m/>
  </r>
  <r>
    <n v="449"/>
    <x v="228"/>
    <x v="342"/>
    <s v="Jl Kuningan Barat 8"/>
    <m/>
    <m/>
    <s v="Sewa Tahunan"/>
    <x v="3"/>
    <x v="362"/>
    <m/>
    <m/>
    <m/>
    <m/>
    <s v="-"/>
    <x v="43"/>
    <m/>
    <s v="-"/>
    <x v="28"/>
    <m/>
    <x v="342"/>
    <d v="2022-03-01T00:00:00"/>
    <x v="0"/>
    <m/>
    <m/>
    <m/>
    <x v="0"/>
    <x v="0"/>
    <m/>
    <n v="4500016449"/>
    <m/>
    <m/>
    <m/>
    <m/>
    <m/>
    <m/>
    <m/>
    <m/>
    <m/>
    <m/>
    <m/>
    <m/>
    <m/>
  </r>
  <r>
    <n v="450"/>
    <x v="62"/>
    <x v="62"/>
    <s v="Jl Kuningan Barat 8"/>
    <m/>
    <m/>
    <s v="Sewa Tahunan"/>
    <x v="2"/>
    <x v="67"/>
    <m/>
    <m/>
    <m/>
    <m/>
    <s v="-"/>
    <x v="41"/>
    <m/>
    <s v="-"/>
    <x v="10"/>
    <m/>
    <x v="343"/>
    <d v="2022-10-05T00:00:00"/>
    <x v="0"/>
    <m/>
    <m/>
    <m/>
    <x v="0"/>
    <x v="0"/>
    <s v="16801/SPP/008/PUSAT/ICON+/2021"/>
    <n v="4500016817"/>
    <m/>
    <m/>
    <m/>
    <m/>
    <m/>
    <m/>
    <m/>
    <m/>
    <m/>
    <m/>
    <m/>
    <m/>
    <m/>
  </r>
  <r>
    <n v="451"/>
    <x v="36"/>
    <x v="343"/>
    <s v="Jl Kapt Subijanto DJ"/>
    <m/>
    <m/>
    <s v="Sewa Tahunan"/>
    <x v="2"/>
    <x v="363"/>
    <m/>
    <m/>
    <m/>
    <m/>
    <s v="-"/>
    <x v="161"/>
    <m/>
    <s v="-"/>
    <x v="35"/>
    <m/>
    <x v="344"/>
    <d v="2022-04-14T00:00:00"/>
    <x v="0"/>
    <m/>
    <m/>
    <m/>
    <x v="0"/>
    <x v="0"/>
    <s v="15795/SPP/008/PUSAT/ICON+/2021"/>
    <n v="4500016175"/>
    <m/>
    <m/>
    <m/>
    <m/>
    <m/>
    <m/>
    <m/>
    <m/>
    <m/>
    <m/>
    <m/>
    <m/>
    <m/>
  </r>
  <r>
    <n v="452"/>
    <x v="183"/>
    <x v="62"/>
    <s v="Citra Graha Lantai 4, Suite 403"/>
    <m/>
    <m/>
    <s v="Sewa Tahunan"/>
    <x v="0"/>
    <x v="67"/>
    <m/>
    <m/>
    <m/>
    <m/>
    <s v="-"/>
    <x v="41"/>
    <m/>
    <s v="-"/>
    <x v="191"/>
    <m/>
    <x v="274"/>
    <d v="2022-03-31T00:00:00"/>
    <x v="0"/>
    <m/>
    <m/>
    <m/>
    <x v="0"/>
    <x v="0"/>
    <s v="16173/SPP/008/PUSAT/ICON+/2021"/>
    <n v="4500016471"/>
    <m/>
    <m/>
    <m/>
    <m/>
    <m/>
    <m/>
    <m/>
    <m/>
    <m/>
    <m/>
    <m/>
    <m/>
    <m/>
  </r>
  <r>
    <n v="453"/>
    <x v="228"/>
    <x v="342"/>
    <s v="Jl Kuningan Barat 8"/>
    <m/>
    <m/>
    <s v="Sewa Tahunan"/>
    <x v="3"/>
    <x v="364"/>
    <m/>
    <m/>
    <m/>
    <m/>
    <s v="-"/>
    <x v="110"/>
    <m/>
    <s v="-"/>
    <x v="28"/>
    <m/>
    <x v="342"/>
    <d v="2022-03-01T00:00:00"/>
    <x v="0"/>
    <m/>
    <m/>
    <m/>
    <x v="0"/>
    <x v="0"/>
    <m/>
    <n v="4500016456"/>
    <m/>
    <m/>
    <m/>
    <m/>
    <m/>
    <m/>
    <m/>
    <m/>
    <m/>
    <m/>
    <m/>
    <m/>
    <m/>
  </r>
  <r>
    <n v="454"/>
    <x v="62"/>
    <x v="344"/>
    <s v="Jl Kuningan Barat 8"/>
    <m/>
    <m/>
    <s v="Sewa Tahunan"/>
    <x v="2"/>
    <x v="365"/>
    <m/>
    <m/>
    <m/>
    <m/>
    <s v="-"/>
    <x v="198"/>
    <m/>
    <s v="-"/>
    <x v="187"/>
    <m/>
    <x v="333"/>
    <d v="2022-07-21T00:00:00"/>
    <x v="0"/>
    <m/>
    <m/>
    <m/>
    <x v="0"/>
    <x v="0"/>
    <s v="16236/SPP/008/PUSAT/ICON+/2021"/>
    <n v="4500016505"/>
    <m/>
    <m/>
    <m/>
    <m/>
    <m/>
    <m/>
    <m/>
    <m/>
    <m/>
    <m/>
    <m/>
    <m/>
    <m/>
  </r>
  <r>
    <n v="455"/>
    <x v="232"/>
    <x v="241"/>
    <s v="Jl Boulevard Barat Raya,Kelapa Gading"/>
    <m/>
    <m/>
    <s v="Sewa Tahunan"/>
    <x v="3"/>
    <x v="270"/>
    <m/>
    <m/>
    <m/>
    <m/>
    <s v="-"/>
    <x v="157"/>
    <m/>
    <s v="-"/>
    <x v="192"/>
    <m/>
    <x v="345"/>
    <d v="2022-07-30T00:00:00"/>
    <x v="0"/>
    <m/>
    <m/>
    <m/>
    <x v="0"/>
    <x v="0"/>
    <m/>
    <n v="4500016272"/>
    <m/>
    <m/>
    <m/>
    <m/>
    <m/>
    <m/>
    <m/>
    <m/>
    <m/>
    <m/>
    <m/>
    <m/>
    <m/>
  </r>
  <r>
    <n v="456"/>
    <x v="233"/>
    <x v="59"/>
    <s v="Jl Gajah Mada 3 Blok C No 49-50"/>
    <m/>
    <m/>
    <s v="Sewa Tahunan"/>
    <x v="0"/>
    <x v="366"/>
    <m/>
    <m/>
    <m/>
    <m/>
    <s v="-"/>
    <x v="30"/>
    <m/>
    <s v="-"/>
    <x v="79"/>
    <m/>
    <x v="274"/>
    <d v="2022-06-30T00:00:00"/>
    <x v="0"/>
    <m/>
    <m/>
    <m/>
    <x v="0"/>
    <x v="0"/>
    <m/>
    <n v="4500016574"/>
    <m/>
    <m/>
    <m/>
    <m/>
    <m/>
    <m/>
    <m/>
    <m/>
    <m/>
    <m/>
    <m/>
    <m/>
    <m/>
  </r>
  <r>
    <n v="457"/>
    <x v="42"/>
    <x v="345"/>
    <s v="Jl Rempoa Raya 11"/>
    <m/>
    <m/>
    <s v="Sewa Tahunan"/>
    <x v="3"/>
    <x v="367"/>
    <m/>
    <m/>
    <m/>
    <m/>
    <s v="-"/>
    <x v="27"/>
    <m/>
    <s v="-"/>
    <x v="174"/>
    <m/>
    <x v="346"/>
    <d v="2022-06-07T00:00:00"/>
    <x v="0"/>
    <m/>
    <m/>
    <m/>
    <x v="0"/>
    <x v="0"/>
    <s v="15993/SPP/008/PUSAT/ICON+/2021"/>
    <n v="4500016455"/>
    <m/>
    <m/>
    <m/>
    <m/>
    <m/>
    <m/>
    <m/>
    <m/>
    <m/>
    <m/>
    <m/>
    <m/>
    <m/>
  </r>
  <r>
    <n v="458"/>
    <x v="228"/>
    <x v="346"/>
    <s v="Jl Kuningan Barat 8"/>
    <m/>
    <m/>
    <s v="Sewa Tahunan"/>
    <x v="3"/>
    <x v="368"/>
    <m/>
    <m/>
    <m/>
    <m/>
    <s v="-"/>
    <x v="60"/>
    <m/>
    <s v="-"/>
    <x v="4"/>
    <m/>
    <x v="347"/>
    <d v="2022-04-28T00:00:00"/>
    <x v="0"/>
    <m/>
    <m/>
    <m/>
    <x v="0"/>
    <x v="0"/>
    <s v="15788/SPP/008/PUSAT/ICON+/2021"/>
    <n v="4500016453"/>
    <m/>
    <m/>
    <m/>
    <m/>
    <m/>
    <m/>
    <m/>
    <m/>
    <m/>
    <m/>
    <m/>
    <m/>
    <m/>
  </r>
  <r>
    <n v="459"/>
    <x v="234"/>
    <x v="30"/>
    <s v="Jl Kemang Raya No 4"/>
    <m/>
    <m/>
    <s v="Sewa Tahunan"/>
    <x v="3"/>
    <x v="143"/>
    <m/>
    <m/>
    <m/>
    <m/>
    <s v="-"/>
    <x v="1"/>
    <m/>
    <s v="-"/>
    <x v="16"/>
    <m/>
    <x v="283"/>
    <d v="2022-06-17T00:00:00"/>
    <x v="0"/>
    <m/>
    <m/>
    <m/>
    <x v="0"/>
    <x v="0"/>
    <s v="15947/SPP/008/PUSAT/ICON+/2021"/>
    <n v="4500016468"/>
    <m/>
    <m/>
    <m/>
    <m/>
    <m/>
    <m/>
    <m/>
    <m/>
    <m/>
    <m/>
    <m/>
    <m/>
    <m/>
  </r>
  <r>
    <n v="460"/>
    <x v="235"/>
    <x v="347"/>
    <s v="Jl Kamal Raya Outer Ring Road No 11 "/>
    <m/>
    <m/>
    <s v="Sewa Tahunan"/>
    <x v="3"/>
    <x v="369"/>
    <m/>
    <m/>
    <m/>
    <m/>
    <s v="-"/>
    <x v="199"/>
    <m/>
    <s v="-"/>
    <x v="10"/>
    <m/>
    <x v="348"/>
    <d v="2022-07-19T00:00:00"/>
    <x v="0"/>
    <m/>
    <m/>
    <m/>
    <x v="0"/>
    <x v="0"/>
    <m/>
    <n v="4500016265"/>
    <m/>
    <m/>
    <m/>
    <m/>
    <m/>
    <m/>
    <m/>
    <m/>
    <m/>
    <m/>
    <m/>
    <m/>
    <m/>
  </r>
  <r>
    <n v="461"/>
    <x v="36"/>
    <x v="10"/>
    <s v="Jl Kapt Subijanto DJ"/>
    <m/>
    <m/>
    <s v="Sewa Tahunan"/>
    <x v="2"/>
    <x v="370"/>
    <m/>
    <m/>
    <m/>
    <m/>
    <s v="-"/>
    <x v="7"/>
    <m/>
    <s v="-"/>
    <x v="193"/>
    <m/>
    <x v="349"/>
    <d v="2022-06-25T00:00:00"/>
    <x v="0"/>
    <m/>
    <m/>
    <m/>
    <x v="0"/>
    <x v="0"/>
    <s v="16024/SPP/008/PUSAT/ICON+/2021"/>
    <n v="4500016337"/>
    <m/>
    <m/>
    <m/>
    <m/>
    <m/>
    <m/>
    <m/>
    <m/>
    <m/>
    <m/>
    <m/>
    <m/>
    <m/>
  </r>
  <r>
    <n v="462"/>
    <x v="36"/>
    <x v="348"/>
    <s v="Jl Kapt Subijanto DJ"/>
    <m/>
    <m/>
    <s v="Sewa Tahunan"/>
    <x v="2"/>
    <x v="158"/>
    <m/>
    <m/>
    <m/>
    <m/>
    <s v=";-"/>
    <x v="200"/>
    <m/>
    <s v="-"/>
    <x v="193"/>
    <m/>
    <x v="350"/>
    <d v="2022-06-04T00:00:00"/>
    <x v="0"/>
    <m/>
    <m/>
    <m/>
    <x v="0"/>
    <x v="0"/>
    <s v="16023/SPP/008/PUSAT/ICON+/2021"/>
    <n v="4500016336"/>
    <m/>
    <m/>
    <m/>
    <m/>
    <m/>
    <m/>
    <m/>
    <m/>
    <m/>
    <m/>
    <m/>
    <m/>
    <m/>
  </r>
  <r>
    <n v="463"/>
    <x v="29"/>
    <x v="4"/>
    <s v="Jl Jend Sudirman Kav 52-53"/>
    <m/>
    <m/>
    <s v="Sewa Tahunan"/>
    <x v="2"/>
    <x v="49"/>
    <m/>
    <m/>
    <m/>
    <m/>
    <s v="-"/>
    <x v="33"/>
    <m/>
    <s v="-"/>
    <x v="18"/>
    <m/>
    <x v="351"/>
    <d v="2022-09-28T00:00:00"/>
    <x v="0"/>
    <m/>
    <m/>
    <m/>
    <x v="0"/>
    <x v="0"/>
    <m/>
    <n v="4500016491"/>
    <m/>
    <m/>
    <m/>
    <m/>
    <m/>
    <m/>
    <m/>
    <m/>
    <m/>
    <m/>
    <m/>
    <m/>
    <m/>
  </r>
  <r>
    <n v="464"/>
    <x v="29"/>
    <x v="107"/>
    <s v="Jl Jend Sudirman Kav 52-53"/>
    <m/>
    <m/>
    <s v="Sewa Tahunan"/>
    <x v="2"/>
    <x v="371"/>
    <m/>
    <m/>
    <m/>
    <m/>
    <n v="19500000"/>
    <x v="16"/>
    <m/>
    <s v="-"/>
    <x v="79"/>
    <m/>
    <x v="352"/>
    <d v="2022-08-04T00:00:00"/>
    <x v="0"/>
    <m/>
    <m/>
    <m/>
    <x v="0"/>
    <x v="0"/>
    <m/>
    <n v="4500016492"/>
    <m/>
    <m/>
    <m/>
    <m/>
    <m/>
    <m/>
    <m/>
    <m/>
    <m/>
    <m/>
    <m/>
    <m/>
    <m/>
  </r>
  <r>
    <n v="465"/>
    <x v="236"/>
    <x v="153"/>
    <s v="Jl Mega Kuningan Lot E 4-7 1"/>
    <m/>
    <m/>
    <s v="Sewa Tahunan"/>
    <x v="0"/>
    <x v="174"/>
    <m/>
    <m/>
    <m/>
    <m/>
    <s v="-"/>
    <x v="115"/>
    <m/>
    <s v="-"/>
    <x v="194"/>
    <m/>
    <x v="353"/>
    <d v="2022-07-16T00:00:00"/>
    <x v="0"/>
    <m/>
    <m/>
    <m/>
    <x v="0"/>
    <x v="0"/>
    <s v="16105/SPP/008/PUSAT/ICON+/2021"/>
    <n v="4500016465"/>
    <m/>
    <m/>
    <m/>
    <m/>
    <m/>
    <m/>
    <m/>
    <m/>
    <m/>
    <m/>
    <m/>
    <m/>
    <m/>
  </r>
  <r>
    <n v="466"/>
    <x v="237"/>
    <x v="241"/>
    <s v="GRAHA MERAH PUTIH JL GATOT SUBROTO KAV 52"/>
    <m/>
    <m/>
    <s v="Sewa Tahunan"/>
    <x v="0"/>
    <x v="372"/>
    <m/>
    <m/>
    <m/>
    <m/>
    <n v="5000000"/>
    <x v="201"/>
    <m/>
    <n v="2500000"/>
    <x v="195"/>
    <m/>
    <x v="354"/>
    <d v="2022-09-29T00:00:00"/>
    <x v="0"/>
    <m/>
    <m/>
    <m/>
    <x v="0"/>
    <x v="0"/>
    <m/>
    <n v="4500016721"/>
    <m/>
    <m/>
    <m/>
    <m/>
    <m/>
    <m/>
    <m/>
    <m/>
    <m/>
    <m/>
    <m/>
    <m/>
    <m/>
  </r>
  <r>
    <n v="467"/>
    <x v="42"/>
    <x v="349"/>
    <s v="Jl Rempoa Raya 11"/>
    <m/>
    <m/>
    <s v="Sewa Tahunan"/>
    <x v="3"/>
    <x v="45"/>
    <m/>
    <m/>
    <m/>
    <m/>
    <s v="-"/>
    <x v="31"/>
    <m/>
    <s v="-"/>
    <x v="8"/>
    <m/>
    <x v="355"/>
    <d v="2022-03-02T00:00:00"/>
    <x v="0"/>
    <m/>
    <m/>
    <m/>
    <x v="0"/>
    <x v="0"/>
    <s v="19500/SPP/008/PUSAT/ICON+/2022"/>
    <n v="4500018687"/>
    <m/>
    <m/>
    <m/>
    <m/>
    <m/>
    <m/>
    <m/>
    <m/>
    <m/>
    <m/>
    <m/>
    <m/>
    <m/>
  </r>
  <r>
    <n v="468"/>
    <x v="92"/>
    <x v="92"/>
    <s v="Graha9 Lt 6 Jl Penataran 9"/>
    <m/>
    <m/>
    <s v="Sewa Tahunan"/>
    <x v="2"/>
    <x v="373"/>
    <m/>
    <m/>
    <m/>
    <m/>
    <s v="-"/>
    <x v="20"/>
    <m/>
    <s v="-"/>
    <x v="7"/>
    <m/>
    <x v="356"/>
    <d v="2022-10-21T00:00:00"/>
    <x v="0"/>
    <m/>
    <m/>
    <m/>
    <x v="0"/>
    <x v="0"/>
    <s v="18505/SPP/008/PUSAT/ICON+/2022"/>
    <n v="4500018133"/>
    <m/>
    <m/>
    <m/>
    <m/>
    <m/>
    <m/>
    <m/>
    <m/>
    <m/>
    <m/>
    <m/>
    <m/>
    <m/>
  </r>
  <r>
    <n v="469"/>
    <x v="42"/>
    <x v="350"/>
    <s v="Jl Rempoa Raya 11"/>
    <m/>
    <m/>
    <s v="Sewa Tahunan"/>
    <x v="0"/>
    <x v="374"/>
    <m/>
    <m/>
    <m/>
    <m/>
    <s v="-"/>
    <x v="33"/>
    <m/>
    <s v="-"/>
    <x v="14"/>
    <m/>
    <x v="79"/>
    <d v="2021-04-30T00:00:00"/>
    <x v="0"/>
    <m/>
    <m/>
    <m/>
    <x v="0"/>
    <x v="0"/>
    <s v="19588/SPP/008/PUSAT/ICON+/2022"/>
    <n v="4500018686"/>
    <m/>
    <m/>
    <m/>
    <m/>
    <m/>
    <m/>
    <m/>
    <m/>
    <m/>
    <m/>
    <m/>
    <m/>
    <m/>
  </r>
  <r>
    <n v="470"/>
    <x v="175"/>
    <x v="351"/>
    <s v="Jl Jend Sudirman Kav 10-11"/>
    <m/>
    <m/>
    <s v="Sewa Tahunan"/>
    <x v="3"/>
    <x v="375"/>
    <m/>
    <m/>
    <m/>
    <m/>
    <s v="-"/>
    <x v="119"/>
    <m/>
    <s v="-"/>
    <x v="5"/>
    <m/>
    <x v="357"/>
    <d v="2023-10-20T00:00:00"/>
    <x v="0"/>
    <m/>
    <m/>
    <m/>
    <x v="0"/>
    <x v="0"/>
    <s v="19416/SPP/008/PUSAT/ICON+/2022"/>
    <n v="4500018642"/>
    <m/>
    <m/>
    <m/>
    <m/>
    <m/>
    <m/>
    <m/>
    <m/>
    <m/>
    <m/>
    <m/>
    <m/>
    <m/>
  </r>
  <r>
    <n v="471"/>
    <x v="238"/>
    <x v="352"/>
    <s v="Gd TCC Batavia Tower One Lt 16"/>
    <m/>
    <m/>
    <s v="Sewa Tahunan"/>
    <x v="0"/>
    <x v="376"/>
    <m/>
    <m/>
    <m/>
    <m/>
    <s v="-"/>
    <x v="202"/>
    <m/>
    <s v="-"/>
    <x v="196"/>
    <m/>
    <x v="358"/>
    <d v="2023-10-29T00:00:00"/>
    <x v="0"/>
    <m/>
    <m/>
    <m/>
    <x v="0"/>
    <x v="0"/>
    <s v="19601/SPP/008/PUSAT/ICON+/2022"/>
    <n v="4500018695"/>
    <m/>
    <m/>
    <m/>
    <m/>
    <m/>
    <m/>
    <m/>
    <m/>
    <m/>
    <m/>
    <m/>
    <m/>
    <m/>
  </r>
  <r>
    <n v="472"/>
    <x v="187"/>
    <x v="353"/>
    <s v="Jl Kapt Subijanto DJ"/>
    <m/>
    <m/>
    <s v="Sewa Tahunan"/>
    <x v="2"/>
    <x v="377"/>
    <m/>
    <m/>
    <m/>
    <m/>
    <s v="-"/>
    <x v="41"/>
    <m/>
    <n v="3000000"/>
    <x v="5"/>
    <m/>
    <x v="359"/>
    <d v="2023-09-19T00:00:00"/>
    <x v="0"/>
    <m/>
    <m/>
    <m/>
    <x v="0"/>
    <x v="0"/>
    <s v="19702/SPP/008/PUSAT/ICON+/2022"/>
    <n v="4500018745"/>
    <m/>
    <m/>
    <m/>
    <m/>
    <m/>
    <m/>
    <m/>
    <m/>
    <m/>
    <m/>
    <m/>
    <m/>
    <m/>
  </r>
  <r>
    <n v="473"/>
    <x v="239"/>
    <x v="354"/>
    <s v="Gd Menara MTH LT 12"/>
    <m/>
    <m/>
    <s v="Sewa Tahunan"/>
    <x v="0"/>
    <x v="378"/>
    <m/>
    <m/>
    <m/>
    <m/>
    <n v="7318182"/>
    <x v="203"/>
    <m/>
    <n v="5000000"/>
    <x v="95"/>
    <m/>
    <x v="360"/>
    <d v="2023-08-17T00:00:00"/>
    <x v="0"/>
    <m/>
    <m/>
    <m/>
    <x v="0"/>
    <x v="0"/>
    <s v="19230/SPP/008/PUSAT/ICON+/2022"/>
    <n v="4500018499"/>
    <m/>
    <m/>
    <m/>
    <m/>
    <m/>
    <m/>
    <m/>
    <m/>
    <m/>
    <m/>
    <m/>
    <m/>
    <m/>
  </r>
  <r>
    <n v="474"/>
    <x v="240"/>
    <x v="355"/>
    <s v="RUKO Atrium Blok E No 12-13"/>
    <m/>
    <m/>
    <s v="Sewa Tahunan"/>
    <x v="3"/>
    <x v="379"/>
    <m/>
    <m/>
    <m/>
    <m/>
    <s v="-"/>
    <x v="204"/>
    <m/>
    <s v="-"/>
    <x v="197"/>
    <m/>
    <x v="361"/>
    <d v="2023-03-24T00:00:00"/>
    <x v="0"/>
    <m/>
    <m/>
    <m/>
    <x v="0"/>
    <x v="0"/>
    <s v="18234/SPP/008/PUSAT/ICON+/2022"/>
    <n v="4500017899"/>
    <m/>
    <m/>
    <m/>
    <m/>
    <m/>
    <m/>
    <m/>
    <m/>
    <m/>
    <m/>
    <m/>
    <m/>
    <m/>
  </r>
  <r>
    <n v="475"/>
    <x v="187"/>
    <x v="335"/>
    <s v="Jl Kapt Subijanto DJ"/>
    <m/>
    <m/>
    <s v="Sewa Tahunan"/>
    <x v="2"/>
    <x v="380"/>
    <m/>
    <m/>
    <m/>
    <m/>
    <s v="-"/>
    <x v="205"/>
    <m/>
    <s v="-"/>
    <x v="89"/>
    <m/>
    <x v="362"/>
    <d v="2023-03-08T00:00:00"/>
    <x v="0"/>
    <m/>
    <m/>
    <m/>
    <x v="0"/>
    <x v="0"/>
    <s v="18357/SPP/008/PUSAT/ICON+/2022"/>
    <n v="4500018102"/>
    <m/>
    <m/>
    <m/>
    <m/>
    <m/>
    <m/>
    <m/>
    <m/>
    <m/>
    <m/>
    <m/>
    <m/>
    <m/>
  </r>
  <r>
    <n v="476"/>
    <x v="219"/>
    <x v="356"/>
    <s v="Jl M H Thamrin Kav 3"/>
    <m/>
    <m/>
    <s v="Sewa Tahunan"/>
    <x v="0"/>
    <x v="381"/>
    <m/>
    <m/>
    <m/>
    <m/>
    <s v="-"/>
    <x v="206"/>
    <m/>
    <s v="-"/>
    <x v="110"/>
    <m/>
    <x v="363"/>
    <d v="2023-06-30T00:00:00"/>
    <x v="0"/>
    <m/>
    <m/>
    <m/>
    <x v="0"/>
    <x v="0"/>
    <s v="18842/SPP/008/PUSAT/ICON+/2022"/>
    <n v="4500018180"/>
    <m/>
    <m/>
    <m/>
    <m/>
    <m/>
    <m/>
    <m/>
    <m/>
    <m/>
    <m/>
    <m/>
    <m/>
    <m/>
  </r>
  <r>
    <n v="477"/>
    <x v="225"/>
    <x v="357"/>
    <s v="Jl Gatot Subroto"/>
    <m/>
    <m/>
    <s v="Sewa Tahunan"/>
    <x v="0"/>
    <x v="382"/>
    <m/>
    <m/>
    <m/>
    <m/>
    <s v="-"/>
    <x v="120"/>
    <m/>
    <s v="-"/>
    <x v="96"/>
    <m/>
    <x v="363"/>
    <d v="2023-06-30T00:00:00"/>
    <x v="0"/>
    <m/>
    <m/>
    <m/>
    <x v="0"/>
    <x v="0"/>
    <s v="18754/SPP/008/PUSAT/ICON+/2022"/>
    <n v="4500018114"/>
    <m/>
    <m/>
    <m/>
    <m/>
    <m/>
    <m/>
    <m/>
    <m/>
    <m/>
    <m/>
    <m/>
    <m/>
    <m/>
  </r>
  <r>
    <n v="478"/>
    <x v="241"/>
    <x v="358"/>
    <s v="Plaza Sentral Lt 21 Jl Jend Sudirman Kav 47"/>
    <m/>
    <m/>
    <s v="Sewa Tahunan"/>
    <x v="0"/>
    <x v="383"/>
    <m/>
    <m/>
    <m/>
    <m/>
    <s v="-"/>
    <x v="6"/>
    <m/>
    <s v="-"/>
    <x v="198"/>
    <m/>
    <x v="364"/>
    <d v="2023-06-15T00:00:00"/>
    <x v="0"/>
    <m/>
    <m/>
    <m/>
    <x v="0"/>
    <x v="0"/>
    <s v="18700/SPP/008/PUSAT/ICON+/2022"/>
    <n v="4500018129"/>
    <m/>
    <m/>
    <m/>
    <m/>
    <m/>
    <m/>
    <m/>
    <m/>
    <m/>
    <m/>
    <m/>
    <m/>
    <m/>
  </r>
  <r>
    <n v="479"/>
    <x v="217"/>
    <x v="359"/>
    <s v="Jl Jababeka IV Blok B No 12 Jbbk"/>
    <m/>
    <m/>
    <s v="Sewa Tahunan"/>
    <x v="2"/>
    <x v="384"/>
    <m/>
    <m/>
    <m/>
    <m/>
    <n v="2500000"/>
    <x v="20"/>
    <m/>
    <n v="1500000"/>
    <x v="199"/>
    <m/>
    <x v="365"/>
    <d v="2023-08-18T00:00:00"/>
    <x v="0"/>
    <m/>
    <m/>
    <m/>
    <x v="0"/>
    <x v="0"/>
    <s v="18863/SPP/008/PUSAT/ICON+/2022"/>
    <n v="4500018167"/>
    <m/>
    <m/>
    <m/>
    <m/>
    <m/>
    <m/>
    <m/>
    <m/>
    <m/>
    <m/>
    <m/>
    <m/>
    <m/>
  </r>
  <r>
    <n v="480"/>
    <x v="165"/>
    <x v="360"/>
    <s v="Jl MH Thamrin 1"/>
    <m/>
    <m/>
    <s v="Sewa Tahunan"/>
    <x v="0"/>
    <x v="385"/>
    <m/>
    <m/>
    <m/>
    <m/>
    <s v="-"/>
    <x v="16"/>
    <m/>
    <s v="-"/>
    <x v="85"/>
    <m/>
    <x v="366"/>
    <d v="2023-06-21T00:00:00"/>
    <x v="0"/>
    <m/>
    <m/>
    <m/>
    <x v="0"/>
    <x v="0"/>
    <s v="18763/SPP/008/PUSAT/ICON+/2022"/>
    <n v="4500018131"/>
    <m/>
    <m/>
    <m/>
    <m/>
    <m/>
    <m/>
    <m/>
    <m/>
    <m/>
    <m/>
    <m/>
    <m/>
    <m/>
  </r>
  <r>
    <n v="481"/>
    <x v="242"/>
    <x v="361"/>
    <s v="Jl M T Haryono Kav 15"/>
    <m/>
    <m/>
    <s v="Sewa Tahunan"/>
    <x v="3"/>
    <x v="386"/>
    <m/>
    <m/>
    <m/>
    <m/>
    <n v="3500000"/>
    <x v="207"/>
    <m/>
    <s v="-"/>
    <x v="39"/>
    <m/>
    <x v="367"/>
    <d v="2023-05-31T00:00:00"/>
    <x v="0"/>
    <m/>
    <m/>
    <m/>
    <x v="0"/>
    <x v="0"/>
    <s v="18870/SPP/008/PUSAT/ICON+/2022"/>
    <n v="4500018193"/>
    <m/>
    <m/>
    <m/>
    <m/>
    <m/>
    <m/>
    <m/>
    <m/>
    <m/>
    <m/>
    <m/>
    <m/>
    <m/>
  </r>
  <r>
    <n v="482"/>
    <x v="92"/>
    <x v="362"/>
    <s v="Graha9 lt 6 Jl Penataran 9"/>
    <m/>
    <m/>
    <s v="Sewa Tahunan"/>
    <x v="0"/>
    <x v="224"/>
    <m/>
    <m/>
    <m/>
    <m/>
    <s v="-"/>
    <x v="30"/>
    <m/>
    <s v="-"/>
    <x v="10"/>
    <m/>
    <x v="363"/>
    <d v="2023-06-30T00:00:00"/>
    <x v="0"/>
    <m/>
    <m/>
    <m/>
    <x v="0"/>
    <x v="0"/>
    <s v="18776/SPP/008/PUSAT/ICON+/2022"/>
    <n v="4500018213"/>
    <m/>
    <m/>
    <m/>
    <m/>
    <m/>
    <m/>
    <m/>
    <m/>
    <m/>
    <m/>
    <m/>
    <m/>
    <m/>
  </r>
  <r>
    <n v="483"/>
    <x v="237"/>
    <x v="240"/>
    <s v="GRAHA MERAH PUTIH Jl Gatot Subroto Kav 52"/>
    <m/>
    <m/>
    <s v="Sewa Tahunan"/>
    <x v="0"/>
    <x v="387"/>
    <m/>
    <m/>
    <m/>
    <m/>
    <n v="2000000"/>
    <x v="143"/>
    <m/>
    <n v="4000000"/>
    <x v="200"/>
    <m/>
    <x v="368"/>
    <d v="2023-06-07T00:00:00"/>
    <x v="0"/>
    <m/>
    <m/>
    <m/>
    <x v="0"/>
    <x v="0"/>
    <s v="18466/SPP/008/PUSAT/ICON+/2022"/>
    <n v="4500018165"/>
    <m/>
    <m/>
    <m/>
    <m/>
    <m/>
    <m/>
    <m/>
    <m/>
    <m/>
    <m/>
    <m/>
    <m/>
    <m/>
  </r>
  <r>
    <n v="484"/>
    <x v="243"/>
    <x v="363"/>
    <s v="Jl Pulobuaran V No 25"/>
    <m/>
    <m/>
    <s v="Sewa Tahunan"/>
    <x v="3"/>
    <x v="388"/>
    <m/>
    <m/>
    <m/>
    <m/>
    <s v="-"/>
    <x v="208"/>
    <m/>
    <s v="-"/>
    <x v="201"/>
    <m/>
    <x v="369"/>
    <d v="2023-09-04T00:00:00"/>
    <x v="0"/>
    <m/>
    <m/>
    <m/>
    <x v="0"/>
    <x v="0"/>
    <s v="20118/SPP/008/PUSAT/ICON+/2022"/>
    <n v="4500019264"/>
    <m/>
    <m/>
    <m/>
    <m/>
    <m/>
    <m/>
    <m/>
    <m/>
    <m/>
    <m/>
    <m/>
    <m/>
    <m/>
  </r>
  <r>
    <n v="485"/>
    <x v="243"/>
    <x v="364"/>
    <s v="Jl Pulobuaran V No 25"/>
    <m/>
    <m/>
    <s v="Sewa Tahunan"/>
    <x v="3"/>
    <x v="389"/>
    <m/>
    <m/>
    <m/>
    <m/>
    <s v="-"/>
    <x v="33"/>
    <m/>
    <s v="-"/>
    <x v="202"/>
    <m/>
    <x v="370"/>
    <d v="2023-02-18T00:00:00"/>
    <x v="0"/>
    <m/>
    <m/>
    <m/>
    <x v="0"/>
    <x v="0"/>
    <s v="20114/SPP/008/PUSAT/ICON+/2022"/>
    <n v="4500019262"/>
    <m/>
    <m/>
    <m/>
    <m/>
    <m/>
    <m/>
    <m/>
    <m/>
    <m/>
    <m/>
    <m/>
    <m/>
    <m/>
  </r>
  <r>
    <n v="486"/>
    <x v="243"/>
    <x v="365"/>
    <s v="Jl Pulobuaran V No 25"/>
    <m/>
    <m/>
    <s v="Sewa Tahunan"/>
    <x v="3"/>
    <x v="390"/>
    <m/>
    <m/>
    <m/>
    <m/>
    <n v="5000000"/>
    <x v="209"/>
    <m/>
    <s v="-"/>
    <x v="203"/>
    <m/>
    <x v="371"/>
    <d v="2023-09-25T00:00:00"/>
    <x v="0"/>
    <m/>
    <m/>
    <m/>
    <x v="0"/>
    <x v="0"/>
    <s v="20117/SPP/008/PUSAT/ICON+/2022"/>
    <n v="4500019260"/>
    <m/>
    <m/>
    <m/>
    <m/>
    <m/>
    <m/>
    <m/>
    <m/>
    <m/>
    <m/>
    <m/>
    <m/>
    <m/>
  </r>
  <r>
    <n v="487"/>
    <x v="9"/>
    <x v="124"/>
    <s v="Jl Jend Sudirman Kav 52-53"/>
    <m/>
    <m/>
    <s v="Sewa Tahunan"/>
    <x v="3"/>
    <x v="391"/>
    <m/>
    <m/>
    <m/>
    <m/>
    <s v="-"/>
    <x v="210"/>
    <m/>
    <s v="-"/>
    <x v="18"/>
    <m/>
    <x v="372"/>
    <d v="2023-11-11T00:00:00"/>
    <x v="0"/>
    <m/>
    <m/>
    <m/>
    <x v="0"/>
    <x v="0"/>
    <s v="19673/SPP/008/PUSAT/ICON+/2022"/>
    <n v="4500019163"/>
    <m/>
    <m/>
    <m/>
    <m/>
    <m/>
    <m/>
    <m/>
    <m/>
    <m/>
    <m/>
    <m/>
    <m/>
    <m/>
  </r>
  <r>
    <n v="488"/>
    <x v="9"/>
    <x v="107"/>
    <s v="Jl Jend Sudirman Kav 52-53"/>
    <m/>
    <m/>
    <s v="Sewa Tahunan"/>
    <x v="2"/>
    <x v="392"/>
    <m/>
    <m/>
    <m/>
    <m/>
    <n v="5000000"/>
    <x v="33"/>
    <m/>
    <s v="-"/>
    <x v="64"/>
    <m/>
    <x v="373"/>
    <d v="2023-11-29T00:00:00"/>
    <x v="0"/>
    <m/>
    <m/>
    <m/>
    <x v="0"/>
    <x v="0"/>
    <s v="20314/SPP/008/PUSAT/ICON+/2022"/>
    <n v="4500019501"/>
    <m/>
    <m/>
    <m/>
    <m/>
    <m/>
    <m/>
    <m/>
    <m/>
    <m/>
    <m/>
    <m/>
    <m/>
    <m/>
  </r>
  <r>
    <n v="489"/>
    <x v="9"/>
    <x v="366"/>
    <s v="Jl Jend Sudirman Kav 52-53"/>
    <m/>
    <m/>
    <s v="Sewa Tahunan"/>
    <x v="2"/>
    <x v="393"/>
    <m/>
    <m/>
    <m/>
    <m/>
    <n v="7000000"/>
    <x v="211"/>
    <m/>
    <n v="8000000"/>
    <x v="128"/>
    <m/>
    <x v="374"/>
    <d v="2023-11-30T00:00:00"/>
    <x v="0"/>
    <m/>
    <m/>
    <m/>
    <x v="0"/>
    <x v="0"/>
    <s v="20660/SPP/008/PUSAT/ICON+/2022"/>
    <n v="4500019532"/>
    <m/>
    <m/>
    <m/>
    <m/>
    <m/>
    <m/>
    <m/>
    <m/>
    <m/>
    <m/>
    <m/>
    <m/>
    <m/>
  </r>
  <r>
    <n v="490"/>
    <x v="42"/>
    <x v="367"/>
    <s v="Jl Rempoa Raya 11"/>
    <m/>
    <m/>
    <s v="Sewa Tahunan"/>
    <x v="0"/>
    <x v="320"/>
    <m/>
    <m/>
    <m/>
    <m/>
    <s v="-"/>
    <x v="2"/>
    <m/>
    <s v="-"/>
    <x v="160"/>
    <m/>
    <x v="375"/>
    <d v="2023-12-05T00:00:00"/>
    <x v="0"/>
    <m/>
    <m/>
    <m/>
    <x v="0"/>
    <x v="0"/>
    <s v="20488/SPP/008/PUSAT/ICON+/2022"/>
    <n v="4500019388"/>
    <m/>
    <m/>
    <m/>
    <m/>
    <m/>
    <m/>
    <m/>
    <m/>
    <m/>
    <m/>
    <m/>
    <m/>
    <m/>
  </r>
  <r>
    <n v="491"/>
    <x v="244"/>
    <x v="366"/>
    <s v="Jl Riau 23"/>
    <m/>
    <m/>
    <s v="Sewa Tahunan"/>
    <x v="0"/>
    <x v="394"/>
    <m/>
    <m/>
    <m/>
    <m/>
    <s v="-"/>
    <x v="10"/>
    <m/>
    <s v="-"/>
    <x v="79"/>
    <m/>
    <x v="374"/>
    <d v="2023-11-30T00:00:00"/>
    <x v="0"/>
    <m/>
    <m/>
    <m/>
    <x v="0"/>
    <x v="0"/>
    <s v="20261/SPP/008/PUSAT/ICON+/2022"/>
    <n v="4500019209"/>
    <m/>
    <m/>
    <m/>
    <m/>
    <m/>
    <m/>
    <m/>
    <m/>
    <m/>
    <m/>
    <m/>
    <m/>
    <m/>
  </r>
  <r>
    <n v="492"/>
    <x v="37"/>
    <x v="337"/>
    <s v="Jl Kuningan Barat 8"/>
    <m/>
    <m/>
    <s v="Sewa Tahunan"/>
    <x v="3"/>
    <x v="355"/>
    <m/>
    <m/>
    <m/>
    <m/>
    <s v="-"/>
    <x v="30"/>
    <m/>
    <s v="-"/>
    <x v="4"/>
    <m/>
    <x v="376"/>
    <d v="2023-07-28T00:00:00"/>
    <x v="0"/>
    <m/>
    <m/>
    <m/>
    <x v="0"/>
    <x v="0"/>
    <s v="19407/SPP/008/PUSAT/ICON+/2022"/>
    <n v="4500018856"/>
    <m/>
    <m/>
    <m/>
    <m/>
    <m/>
    <m/>
    <m/>
    <m/>
    <m/>
    <m/>
    <m/>
    <m/>
    <m/>
  </r>
  <r>
    <n v="493"/>
    <x v="226"/>
    <x v="368"/>
    <s v="ITC Kuningan 10th floor Jl Prof Satrio"/>
    <m/>
    <m/>
    <s v="Sewa Tahunan"/>
    <x v="3"/>
    <x v="395"/>
    <m/>
    <m/>
    <m/>
    <m/>
    <s v="-"/>
    <x v="123"/>
    <m/>
    <s v="-"/>
    <x v="204"/>
    <m/>
    <x v="357"/>
    <d v="2023-10-20T00:00:00"/>
    <x v="0"/>
    <m/>
    <m/>
    <m/>
    <x v="0"/>
    <x v="0"/>
    <s v="19779/SPP/008/PUSAT/ICON+/2022"/>
    <n v="4500019069"/>
    <m/>
    <m/>
    <m/>
    <m/>
    <m/>
    <m/>
    <m/>
    <m/>
    <m/>
    <m/>
    <m/>
    <m/>
    <m/>
  </r>
  <r>
    <n v="494"/>
    <x v="198"/>
    <x v="369"/>
    <s v="RUKO KEBAYORAN CENTRE BLOK A NO 5"/>
    <m/>
    <m/>
    <s v="Sewa Tahunan"/>
    <x v="0"/>
    <x v="396"/>
    <m/>
    <m/>
    <m/>
    <m/>
    <s v="-"/>
    <x v="15"/>
    <m/>
    <s v="-"/>
    <x v="16"/>
    <m/>
    <x v="377"/>
    <d v="2023-12-08T00:00:00"/>
    <x v="0"/>
    <m/>
    <m/>
    <m/>
    <x v="0"/>
    <x v="0"/>
    <s v="20176/SPP/008/PUSAT/ICON+/2022"/>
    <n v="4500019147"/>
    <m/>
    <m/>
    <m/>
    <m/>
    <m/>
    <m/>
    <m/>
    <m/>
    <m/>
    <m/>
    <m/>
    <m/>
    <m/>
  </r>
  <r>
    <n v="495"/>
    <x v="245"/>
    <x v="370"/>
    <s v="Jl Let Jend T B Simatupang Kav 88"/>
    <m/>
    <m/>
    <s v="Sewa Tahunan"/>
    <x v="3"/>
    <x v="397"/>
    <m/>
    <m/>
    <m/>
    <m/>
    <n v="5000000"/>
    <x v="5"/>
    <m/>
    <n v="1000000"/>
    <x v="14"/>
    <m/>
    <x v="378"/>
    <d v="2023-10-23T00:00:00"/>
    <x v="0"/>
    <m/>
    <m/>
    <m/>
    <x v="0"/>
    <x v="0"/>
    <s v="20242/SPP/008/PUSAT/ICON+/2022"/>
    <n v="4500019192"/>
    <m/>
    <m/>
    <m/>
    <m/>
    <m/>
    <m/>
    <m/>
    <m/>
    <m/>
    <m/>
    <m/>
    <m/>
    <m/>
  </r>
  <r>
    <n v="496"/>
    <x v="42"/>
    <x v="371"/>
    <s v="Jl Rempoa Raya 11"/>
    <m/>
    <m/>
    <s v="Sewa Tahunan"/>
    <x v="2"/>
    <x v="398"/>
    <m/>
    <m/>
    <m/>
    <m/>
    <s v="-"/>
    <x v="59"/>
    <m/>
    <s v="-"/>
    <x v="8"/>
    <m/>
    <x v="379"/>
    <d v="2023-04-22T00:00:00"/>
    <x v="0"/>
    <m/>
    <m/>
    <m/>
    <x v="0"/>
    <x v="0"/>
    <s v="19582/SPP/008/PUSAT/ICON+/2022"/>
    <n v="4500018929"/>
    <m/>
    <m/>
    <m/>
    <m/>
    <m/>
    <m/>
    <m/>
    <m/>
    <m/>
    <m/>
    <m/>
    <m/>
    <m/>
  </r>
  <r>
    <n v="497"/>
    <x v="92"/>
    <x v="372"/>
    <s v="GRHA9 lt 6 Jl Penataran 9"/>
    <m/>
    <m/>
    <s v="Sewa Tahunan"/>
    <x v="3"/>
    <x v="399"/>
    <m/>
    <m/>
    <m/>
    <m/>
    <s v="-"/>
    <x v="128"/>
    <m/>
    <s v="-"/>
    <x v="10"/>
    <m/>
    <x v="380"/>
    <d v="2023-09-30T00:00:00"/>
    <x v="0"/>
    <m/>
    <m/>
    <m/>
    <x v="0"/>
    <x v="0"/>
    <s v="19952/SPP/008/PUSAT/ICON+/2022"/>
    <n v="4500019772"/>
    <m/>
    <m/>
    <m/>
    <m/>
    <m/>
    <m/>
    <m/>
    <m/>
    <m/>
    <m/>
    <m/>
    <m/>
    <m/>
  </r>
  <r>
    <n v="498"/>
    <x v="246"/>
    <x v="200"/>
    <s v="Jl Rempoa Raya 11"/>
    <m/>
    <m/>
    <s v="Sewa Tahunan"/>
    <x v="3"/>
    <x v="367"/>
    <m/>
    <m/>
    <m/>
    <m/>
    <s v="-"/>
    <x v="27"/>
    <m/>
    <s v="-"/>
    <x v="174"/>
    <m/>
    <x v="381"/>
    <d v="2023-06-07T00:00:00"/>
    <x v="0"/>
    <m/>
    <m/>
    <m/>
    <x v="0"/>
    <x v="0"/>
    <s v="19223/SPP/008/PUSAT/ICON+/2022"/>
    <n v="4500018645"/>
    <m/>
    <m/>
    <m/>
    <m/>
    <m/>
    <m/>
    <m/>
    <m/>
    <m/>
    <m/>
    <m/>
    <m/>
    <m/>
  </r>
  <r>
    <n v="499"/>
    <x v="247"/>
    <x v="193"/>
    <s v="Jl Jend Gatot Subroto Kav 21"/>
    <m/>
    <m/>
    <s v="Sewa Tahunan"/>
    <x v="3"/>
    <x v="211"/>
    <m/>
    <m/>
    <m/>
    <m/>
    <s v="-"/>
    <x v="16"/>
    <m/>
    <s v="-"/>
    <x v="89"/>
    <m/>
    <x v="382"/>
    <d v="2023-03-09T00:00:00"/>
    <x v="0"/>
    <m/>
    <m/>
    <m/>
    <x v="0"/>
    <x v="0"/>
    <s v="18380/SPP/008/PUSAT/ICON+/2022"/>
    <n v="4500019627"/>
    <m/>
    <m/>
    <m/>
    <m/>
    <m/>
    <m/>
    <m/>
    <m/>
    <m/>
    <m/>
    <m/>
    <m/>
    <m/>
  </r>
  <r>
    <n v="500"/>
    <x v="62"/>
    <x v="62"/>
    <s v="Jl Kuningan Barat 8"/>
    <m/>
    <m/>
    <s v="Sewa Tahunan"/>
    <x v="2"/>
    <x v="400"/>
    <m/>
    <m/>
    <m/>
    <m/>
    <s v="-"/>
    <x v="41"/>
    <m/>
    <s v="-"/>
    <x v="10"/>
    <m/>
    <x v="383"/>
    <d v="2023-05-12T00:00:00"/>
    <x v="0"/>
    <m/>
    <m/>
    <m/>
    <x v="0"/>
    <x v="0"/>
    <s v="18720/SPP/008/PUSAT/ICON+/2022"/>
    <n v="4500018011"/>
    <m/>
    <m/>
    <m/>
    <m/>
    <m/>
    <m/>
    <m/>
    <m/>
    <m/>
    <m/>
    <m/>
    <m/>
    <m/>
  </r>
  <r>
    <n v="501"/>
    <x v="248"/>
    <x v="373"/>
    <s v="GEDUNG THAMRIN CITY Lt 1"/>
    <m/>
    <m/>
    <s v="Sewa Tahunan"/>
    <x v="3"/>
    <x v="67"/>
    <m/>
    <m/>
    <m/>
    <m/>
    <s v="-"/>
    <x v="41"/>
    <m/>
    <s v="-"/>
    <x v="205"/>
    <m/>
    <x v="384"/>
    <d v="2023-04-11T00:00:00"/>
    <x v="0"/>
    <m/>
    <m/>
    <m/>
    <x v="0"/>
    <x v="0"/>
    <s v="20061/SPP/008/PUSAT/ICON+/2022"/>
    <n v="4500019039"/>
    <m/>
    <m/>
    <m/>
    <m/>
    <m/>
    <m/>
    <m/>
    <m/>
    <m/>
    <m/>
    <m/>
    <m/>
    <m/>
  </r>
  <r>
    <n v="502"/>
    <x v="249"/>
    <x v="374"/>
    <s v="Jl.Gatot subroto 79"/>
    <m/>
    <m/>
    <s v="Sewa Tahunan"/>
    <x v="1"/>
    <x v="401"/>
    <m/>
    <m/>
    <m/>
    <m/>
    <s v="-"/>
    <x v="193"/>
    <m/>
    <s v="-"/>
    <x v="51"/>
    <m/>
    <x v="385"/>
    <s v="21-juni-2023"/>
    <x v="0"/>
    <m/>
    <m/>
    <m/>
    <x v="0"/>
    <x v="0"/>
    <s v="18778/SPP/008/PUSAT/ICON+/2022"/>
    <n v="4500018465"/>
    <m/>
    <m/>
    <m/>
    <m/>
    <m/>
    <m/>
    <m/>
    <m/>
    <m/>
    <m/>
    <m/>
    <m/>
    <m/>
  </r>
  <r>
    <n v="503"/>
    <x v="250"/>
    <x v="375"/>
    <s v="Gatoto subroto kav 38 38"/>
    <m/>
    <m/>
    <s v="Sewa Tahunan"/>
    <x v="1"/>
    <x v="67"/>
    <m/>
    <m/>
    <m/>
    <m/>
    <s v="-"/>
    <x v="41"/>
    <m/>
    <s v="-"/>
    <x v="183"/>
    <m/>
    <x v="386"/>
    <s v="15-juli-2023"/>
    <x v="0"/>
    <m/>
    <m/>
    <m/>
    <x v="0"/>
    <x v="0"/>
    <s v="19268/SPP/008/PUSAT/ICON+/2022"/>
    <n v="4500018605"/>
    <m/>
    <m/>
    <m/>
    <m/>
    <m/>
    <m/>
    <m/>
    <m/>
    <m/>
    <m/>
    <m/>
    <m/>
    <m/>
  </r>
  <r>
    <n v="504"/>
    <x v="201"/>
    <x v="376"/>
    <s v="Jl.Jend Sudirman kav.52-53"/>
    <m/>
    <m/>
    <s v="Sewa Tahunan"/>
    <x v="0"/>
    <x v="402"/>
    <m/>
    <m/>
    <m/>
    <m/>
    <s v="-"/>
    <x v="212"/>
    <m/>
    <s v="-"/>
    <x v="38"/>
    <m/>
    <x v="387"/>
    <s v="31-desember-2023"/>
    <x v="0"/>
    <m/>
    <m/>
    <m/>
    <x v="0"/>
    <x v="0"/>
    <s v="20220/SPP/008/PUSAT/ICON+/2022"/>
    <n v="4500019148"/>
    <m/>
    <m/>
    <m/>
    <m/>
    <m/>
    <m/>
    <m/>
    <m/>
    <m/>
    <m/>
    <m/>
    <m/>
    <m/>
  </r>
  <r>
    <n v="505"/>
    <x v="251"/>
    <x v="377"/>
    <s v="Jl.Raya pelabuhan No.9 Tanjung priok"/>
    <m/>
    <m/>
    <s v="Sewa Tahunan"/>
    <x v="1"/>
    <x v="403"/>
    <m/>
    <m/>
    <m/>
    <m/>
    <n v="0"/>
    <x v="4"/>
    <m/>
    <n v="0"/>
    <x v="206"/>
    <m/>
    <x v="388"/>
    <s v="31-agustus-2023"/>
    <x v="0"/>
    <m/>
    <m/>
    <m/>
    <x v="0"/>
    <x v="0"/>
    <s v="19116/SPP/008/PUSAT/ICON+/2022"/>
    <n v="4500018446"/>
    <m/>
    <m/>
    <m/>
    <m/>
    <m/>
    <m/>
    <m/>
    <m/>
    <m/>
    <m/>
    <m/>
    <m/>
    <m/>
  </r>
  <r>
    <n v="506"/>
    <x v="250"/>
    <x v="375"/>
    <s v="Gatoto subroto kav 38 38"/>
    <m/>
    <m/>
    <s v="Sewa Tahunan"/>
    <x v="1"/>
    <x v="67"/>
    <m/>
    <m/>
    <m/>
    <m/>
    <n v="0"/>
    <x v="56"/>
    <m/>
    <n v="0"/>
    <x v="207"/>
    <m/>
    <x v="389"/>
    <s v="21-juli-2023"/>
    <x v="0"/>
    <m/>
    <m/>
    <m/>
    <x v="0"/>
    <x v="0"/>
    <s v="19025/SPP/008/PUSAT/ICON+/2022"/>
    <n v="4500018604"/>
    <m/>
    <m/>
    <m/>
    <m/>
    <m/>
    <m/>
    <m/>
    <m/>
    <m/>
    <m/>
    <m/>
    <m/>
    <m/>
  </r>
  <r>
    <n v="507"/>
    <x v="29"/>
    <x v="378"/>
    <s v="Jl.Jend Sudirman kav.52-53"/>
    <m/>
    <m/>
    <s v="Sewa Tahunan"/>
    <x v="2"/>
    <x v="153"/>
    <m/>
    <m/>
    <m/>
    <m/>
    <s v="-"/>
    <x v="33"/>
    <m/>
    <n v="0"/>
    <x v="10"/>
    <m/>
    <x v="390"/>
    <s v="15-agustus-2023"/>
    <x v="0"/>
    <m/>
    <m/>
    <m/>
    <x v="0"/>
    <x v="0"/>
    <s v="19212/SPP/008/PUSAT/ICON+/2022"/>
    <n v="4500018447"/>
    <m/>
    <m/>
    <m/>
    <m/>
    <m/>
    <m/>
    <m/>
    <m/>
    <m/>
    <m/>
    <m/>
    <m/>
    <m/>
  </r>
  <r>
    <n v="508"/>
    <x v="203"/>
    <x v="379"/>
    <s v="Gd. JITC Lt. 7&amp;8 Jl.Mangga dua jakarta"/>
    <m/>
    <m/>
    <s v="Sewa Tahunan"/>
    <x v="1"/>
    <x v="51"/>
    <m/>
    <m/>
    <m/>
    <m/>
    <n v="0"/>
    <x v="183"/>
    <m/>
    <n v="0"/>
    <x v="16"/>
    <m/>
    <x v="391"/>
    <s v="18-agustus-2023"/>
    <x v="0"/>
    <m/>
    <m/>
    <m/>
    <x v="0"/>
    <x v="0"/>
    <s v="19141/SPP/008/PUSAT/ICON+/2022"/>
    <n v="4500018462"/>
    <m/>
    <m/>
    <m/>
    <m/>
    <m/>
    <m/>
    <m/>
    <m/>
    <m/>
    <m/>
    <m/>
    <m/>
    <m/>
  </r>
  <r>
    <n v="509"/>
    <x v="194"/>
    <x v="380"/>
    <s v="Jl.Kuningan Barat No.8 Cyber Building 1st &amp; 2nd"/>
    <m/>
    <m/>
    <s v="Sewa Tahunan"/>
    <x v="2"/>
    <x v="404"/>
    <m/>
    <m/>
    <m/>
    <m/>
    <n v="3000000"/>
    <x v="213"/>
    <m/>
    <n v="1500000"/>
    <x v="18"/>
    <m/>
    <x v="392"/>
    <s v="01-agustus-2023"/>
    <x v="0"/>
    <m/>
    <m/>
    <m/>
    <x v="0"/>
    <x v="0"/>
    <s v="194114/SPP/008/PUSAT/ICON+/2022"/>
    <n v="4500018501"/>
    <m/>
    <m/>
    <m/>
    <m/>
    <m/>
    <m/>
    <m/>
    <m/>
    <m/>
    <m/>
    <m/>
    <m/>
    <m/>
  </r>
  <r>
    <n v="510"/>
    <x v="28"/>
    <x v="381"/>
    <s v="Grha9 Lt.6 Jl.penataran 9"/>
    <m/>
    <m/>
    <s v="Sewa Tahunan"/>
    <x v="1"/>
    <x v="405"/>
    <m/>
    <m/>
    <m/>
    <m/>
    <n v="0"/>
    <x v="214"/>
    <m/>
    <n v="0"/>
    <x v="7"/>
    <m/>
    <x v="393"/>
    <d v="2023-04-17T00:00:00"/>
    <x v="0"/>
    <m/>
    <m/>
    <m/>
    <x v="0"/>
    <x v="0"/>
    <s v="19057/SPP/008/PUSAT/ICON+/2022"/>
    <n v="4500018395"/>
    <m/>
    <m/>
    <m/>
    <m/>
    <m/>
    <m/>
    <m/>
    <m/>
    <m/>
    <m/>
    <m/>
    <m/>
    <m/>
  </r>
  <r>
    <n v="511"/>
    <x v="252"/>
    <x v="382"/>
    <s v="Jl. Kebon sirih No. 12"/>
    <m/>
    <m/>
    <s v="Sewa Tahunan"/>
    <x v="2"/>
    <x v="406"/>
    <m/>
    <m/>
    <m/>
    <m/>
    <n v="3000000"/>
    <x v="86"/>
    <m/>
    <n v="2000000"/>
    <x v="208"/>
    <m/>
    <x v="394"/>
    <s v="14-agustus-2023"/>
    <x v="0"/>
    <m/>
    <m/>
    <m/>
    <x v="0"/>
    <x v="0"/>
    <s v="19359/SPP/008/PUSAT/ICON+/2022"/>
    <n v="4500018513"/>
    <m/>
    <m/>
    <m/>
    <m/>
    <m/>
    <m/>
    <m/>
    <m/>
    <m/>
    <m/>
    <m/>
    <m/>
    <m/>
  </r>
  <r>
    <n v="512"/>
    <x v="193"/>
    <x v="383"/>
    <s v="Jl.Jababeka IV Blok B No.12 Jbbk industrial Esta Cikarang"/>
    <m/>
    <m/>
    <s v="Sewa Tahunan"/>
    <x v="2"/>
    <x v="407"/>
    <m/>
    <m/>
    <m/>
    <m/>
    <n v="3500000"/>
    <x v="98"/>
    <m/>
    <n v="0"/>
    <x v="209"/>
    <m/>
    <x v="395"/>
    <s v="8-agustus-2023"/>
    <x v="0"/>
    <m/>
    <m/>
    <m/>
    <x v="0"/>
    <x v="0"/>
    <s v="19358/SPP/008/PUSAT/ICON+/2022"/>
    <n v="4500018571"/>
    <m/>
    <m/>
    <m/>
    <m/>
    <m/>
    <m/>
    <m/>
    <m/>
    <m/>
    <m/>
    <m/>
    <m/>
    <m/>
  </r>
  <r>
    <n v="513"/>
    <x v="253"/>
    <x v="384"/>
    <s v="Jl.raya Cakung cilincing"/>
    <m/>
    <m/>
    <s v="Sewa Tahunan"/>
    <x v="1"/>
    <x v="408"/>
    <m/>
    <m/>
    <m/>
    <m/>
    <n v="5000000"/>
    <x v="215"/>
    <m/>
    <n v="0"/>
    <x v="210"/>
    <m/>
    <x v="396"/>
    <s v="4-agustus-2023"/>
    <x v="0"/>
    <m/>
    <m/>
    <m/>
    <x v="0"/>
    <x v="0"/>
    <s v="19426/SPP/008/PUSAT/ICON+/2022"/>
    <n v="4500018591"/>
    <m/>
    <m/>
    <m/>
    <m/>
    <m/>
    <m/>
    <m/>
    <m/>
    <m/>
    <m/>
    <m/>
    <m/>
    <m/>
  </r>
  <r>
    <n v="514"/>
    <x v="194"/>
    <x v="385"/>
    <s v="Jl.Kuningan Barat No.8 Cyber Building 1st &amp; 2nd"/>
    <m/>
    <m/>
    <s v="Sewa Tahunan"/>
    <x v="2"/>
    <x v="409"/>
    <m/>
    <m/>
    <m/>
    <m/>
    <n v="0"/>
    <x v="56"/>
    <m/>
    <n v="1500000"/>
    <x v="99"/>
    <m/>
    <x v="397"/>
    <s v="10-oktober-2023"/>
    <x v="0"/>
    <m/>
    <m/>
    <m/>
    <x v="0"/>
    <x v="0"/>
    <s v="20010/SPP/008/PUSAT/ICON+/2022"/>
    <n v="4500019071"/>
    <m/>
    <m/>
    <m/>
    <m/>
    <m/>
    <m/>
    <m/>
    <m/>
    <m/>
    <m/>
    <m/>
    <m/>
    <m/>
  </r>
  <r>
    <n v="515"/>
    <x v="254"/>
    <x v="386"/>
    <s v="Jl.Pahlawan seribu lot 12A"/>
    <m/>
    <m/>
    <s v="Sewa Tahunan"/>
    <x v="2"/>
    <x v="410"/>
    <m/>
    <m/>
    <m/>
    <m/>
    <n v="0"/>
    <x v="41"/>
    <m/>
    <n v="0"/>
    <x v="211"/>
    <m/>
    <x v="398"/>
    <s v="6-juli-2023"/>
    <x v="0"/>
    <m/>
    <m/>
    <m/>
    <x v="0"/>
    <x v="0"/>
    <s v="19382/SPP/008/PUSAT/ICON+/2022"/>
    <n v="4500018509"/>
    <m/>
    <m/>
    <m/>
    <m/>
    <m/>
    <m/>
    <m/>
    <m/>
    <m/>
    <m/>
    <m/>
    <m/>
    <m/>
  </r>
  <r>
    <n v="516"/>
    <x v="254"/>
    <x v="387"/>
    <s v="Jl.Pahlawan seribu lot 12A"/>
    <m/>
    <m/>
    <s v="Sewa Tahunan"/>
    <x v="2"/>
    <x v="410"/>
    <m/>
    <m/>
    <m/>
    <m/>
    <n v="0"/>
    <x v="41"/>
    <m/>
    <s v="-"/>
    <x v="211"/>
    <m/>
    <x v="398"/>
    <s v="6-juli-2023"/>
    <x v="0"/>
    <m/>
    <m/>
    <m/>
    <x v="0"/>
    <x v="0"/>
    <s v="19384/SPP/008/PUSAT/ICON+/2022"/>
    <n v="4500018510"/>
    <m/>
    <m/>
    <m/>
    <m/>
    <m/>
    <m/>
    <m/>
    <m/>
    <m/>
    <m/>
    <m/>
    <m/>
    <m/>
  </r>
  <r>
    <n v="517"/>
    <x v="255"/>
    <x v="388"/>
    <s v="Jl.Sisingamangaraja No.1"/>
    <m/>
    <m/>
    <s v="Sewa Tahunan"/>
    <x v="1"/>
    <x v="411"/>
    <m/>
    <m/>
    <m/>
    <m/>
    <n v="0"/>
    <x v="56"/>
    <m/>
    <n v="0"/>
    <x v="212"/>
    <m/>
    <x v="399"/>
    <s v="28-febuari-2027"/>
    <x v="0"/>
    <m/>
    <m/>
    <m/>
    <x v="0"/>
    <x v="0"/>
    <s v="18674/SPP/008/PUSAT/ICON+/2022"/>
    <n v="4500018121"/>
    <m/>
    <m/>
    <m/>
    <m/>
    <m/>
    <m/>
    <m/>
    <m/>
    <m/>
    <m/>
    <m/>
    <m/>
    <m/>
  </r>
  <r>
    <n v="518"/>
    <x v="256"/>
    <x v="389"/>
    <s v="Jl.Gatot subroto "/>
    <m/>
    <m/>
    <s v="Sewa Tahunan"/>
    <x v="0"/>
    <x v="412"/>
    <m/>
    <m/>
    <m/>
    <m/>
    <n v="2500000"/>
    <x v="36"/>
    <m/>
    <n v="2000000"/>
    <x v="213"/>
    <m/>
    <x v="400"/>
    <s v="11-agustus-2024"/>
    <x v="0"/>
    <m/>
    <m/>
    <m/>
    <x v="0"/>
    <x v="0"/>
    <s v="18800/SPP/008/PUSAT/ICON+/2022"/>
    <n v="4500018182"/>
    <m/>
    <m/>
    <m/>
    <m/>
    <m/>
    <m/>
    <m/>
    <m/>
    <m/>
    <m/>
    <m/>
    <m/>
    <m/>
  </r>
  <r>
    <n v="519"/>
    <x v="257"/>
    <x v="390"/>
    <s v="Jl.pulobuaran V No.25"/>
    <m/>
    <m/>
    <s v="Sewa Tahunan"/>
    <x v="1"/>
    <x v="413"/>
    <m/>
    <m/>
    <m/>
    <m/>
    <n v="0"/>
    <x v="169"/>
    <m/>
    <n v="0"/>
    <x v="214"/>
    <m/>
    <x v="401"/>
    <s v="15-oktober-2023"/>
    <x v="0"/>
    <m/>
    <m/>
    <m/>
    <x v="0"/>
    <x v="0"/>
    <s v="20136/SPP/008/PUSAT/ICON+/2022"/>
    <n v="4500019265"/>
    <m/>
    <m/>
    <m/>
    <m/>
    <m/>
    <m/>
    <m/>
    <m/>
    <m/>
    <m/>
    <m/>
    <m/>
    <m/>
  </r>
  <r>
    <n v="520"/>
    <x v="257"/>
    <x v="391"/>
    <s v="Jl.pulobuaran V No.25"/>
    <m/>
    <m/>
    <s v="Sewa Tahunan"/>
    <x v="1"/>
    <x v="414"/>
    <m/>
    <m/>
    <m/>
    <m/>
    <n v="0"/>
    <x v="30"/>
    <m/>
    <n v="0"/>
    <x v="215"/>
    <m/>
    <x v="402"/>
    <s v="1-maret-2023"/>
    <x v="0"/>
    <m/>
    <m/>
    <m/>
    <x v="0"/>
    <x v="0"/>
    <s v="20116/SPP/008/PUSAT/ICON+/2022"/>
    <n v="4500019261"/>
    <m/>
    <m/>
    <m/>
    <m/>
    <m/>
    <m/>
    <m/>
    <m/>
    <m/>
    <m/>
    <m/>
    <m/>
    <m/>
  </r>
  <r>
    <n v="521"/>
    <x v="202"/>
    <x v="392"/>
    <s v="Jl.Jend Sudirman kav.10-11"/>
    <m/>
    <m/>
    <s v="Sewa Tahunan"/>
    <x v="2"/>
    <x v="415"/>
    <m/>
    <m/>
    <m/>
    <m/>
    <n v="5000000"/>
    <x v="33"/>
    <m/>
    <n v="0"/>
    <x v="80"/>
    <m/>
    <x v="403"/>
    <s v="31-oktober-2023"/>
    <x v="0"/>
    <m/>
    <m/>
    <m/>
    <x v="0"/>
    <x v="0"/>
    <s v="20335/SPP/008/PUSAT/ICON+/2022"/>
    <n v="4500019287"/>
    <m/>
    <m/>
    <m/>
    <m/>
    <m/>
    <m/>
    <m/>
    <m/>
    <m/>
    <m/>
    <m/>
    <m/>
    <m/>
  </r>
  <r>
    <n v="522"/>
    <x v="258"/>
    <x v="393"/>
    <s v="Jl.Embong Tanjung No.40 Surabaya"/>
    <m/>
    <m/>
    <s v="Sewa Tahunan"/>
    <x v="2"/>
    <x v="416"/>
    <m/>
    <m/>
    <m/>
    <m/>
    <n v="2318182"/>
    <x v="216"/>
    <m/>
    <n v="500000"/>
    <x v="216"/>
    <m/>
    <x v="404"/>
    <s v="30-oktober-2023"/>
    <x v="0"/>
    <m/>
    <m/>
    <m/>
    <x v="0"/>
    <x v="0"/>
    <s v="20275/SPP/008/PUSAT/ICON+/2022"/>
    <n v="4500019217"/>
    <m/>
    <m/>
    <m/>
    <m/>
    <m/>
    <m/>
    <m/>
    <m/>
    <m/>
    <m/>
    <m/>
    <m/>
    <m/>
  </r>
  <r>
    <n v="523"/>
    <x v="259"/>
    <x v="394"/>
    <s v="Jl.M.H Thamrin kav 3"/>
    <m/>
    <m/>
    <s v="Sewa Tahunan"/>
    <x v="2"/>
    <x v="417"/>
    <m/>
    <m/>
    <m/>
    <m/>
    <n v="0"/>
    <x v="217"/>
    <m/>
    <n v="0"/>
    <x v="61"/>
    <m/>
    <x v="405"/>
    <s v="12-desember-2023"/>
    <x v="0"/>
    <m/>
    <m/>
    <m/>
    <x v="0"/>
    <x v="0"/>
    <s v="20258/SPP/008/PUSAT/ICON+/2022"/>
    <n v="4500019240"/>
    <m/>
    <m/>
    <m/>
    <m/>
    <m/>
    <m/>
    <m/>
    <m/>
    <m/>
    <m/>
    <m/>
    <m/>
    <m/>
  </r>
  <r>
    <n v="524"/>
    <x v="194"/>
    <x v="395"/>
    <s v="Jl.Kuningan Barat No.8 Cyber Building 1st &amp; 2nd"/>
    <m/>
    <m/>
    <s v="Sewa Tahunan"/>
    <x v="2"/>
    <x v="67"/>
    <m/>
    <m/>
    <m/>
    <m/>
    <n v="0"/>
    <x v="56"/>
    <m/>
    <n v="0"/>
    <x v="8"/>
    <m/>
    <x v="406"/>
    <s v="13-agustus-2023"/>
    <x v="0"/>
    <m/>
    <m/>
    <m/>
    <x v="0"/>
    <x v="0"/>
    <s v="19810/SPP/008/PUSAT/ICON+/2022"/>
    <n v="4500019055"/>
    <m/>
    <m/>
    <m/>
    <m/>
    <m/>
    <m/>
    <m/>
    <m/>
    <m/>
    <m/>
    <m/>
    <m/>
    <m/>
  </r>
  <r>
    <n v="525"/>
    <x v="260"/>
    <x v="396"/>
    <s v="Gd.Perkantoran prudential centre kotakasablanka"/>
    <m/>
    <m/>
    <s v="Sewa Tahunan"/>
    <x v="0"/>
    <x v="418"/>
    <m/>
    <m/>
    <m/>
    <m/>
    <n v="4818182"/>
    <x v="218"/>
    <m/>
    <n v="0"/>
    <x v="217"/>
    <m/>
    <x v="407"/>
    <d v="2023-09-08T00:00:00"/>
    <x v="0"/>
    <m/>
    <m/>
    <m/>
    <x v="0"/>
    <x v="0"/>
    <s v="19251/SPP/008/PUSAT/ICON+/2022"/>
    <n v="4500018454"/>
    <m/>
    <m/>
    <m/>
    <m/>
    <m/>
    <m/>
    <m/>
    <m/>
    <m/>
    <m/>
    <m/>
    <m/>
    <m/>
  </r>
  <r>
    <n v="526"/>
    <x v="193"/>
    <x v="397"/>
    <s v="Jl.jababeka IV Blok B No.12 Jbbk "/>
    <m/>
    <m/>
    <s v="Sewa Tahunan"/>
    <x v="2"/>
    <x v="419"/>
    <m/>
    <m/>
    <m/>
    <m/>
    <n v="3000000"/>
    <x v="67"/>
    <m/>
    <n v="0"/>
    <x v="109"/>
    <m/>
    <x v="408"/>
    <d v="2023-11-03T00:00:00"/>
    <x v="0"/>
    <m/>
    <m/>
    <m/>
    <x v="0"/>
    <x v="0"/>
    <s v="20148/SPP/008/PUSAT/ICON+/2022"/>
    <n v="4500019286"/>
    <m/>
    <m/>
    <m/>
    <m/>
    <m/>
    <m/>
    <m/>
    <m/>
    <m/>
    <m/>
    <m/>
    <m/>
    <m/>
  </r>
  <r>
    <n v="527"/>
    <x v="258"/>
    <x v="398"/>
    <s v="Jl.Embong Tanjung No.40 Surabaya"/>
    <m/>
    <m/>
    <s v="Sewa Tahunan"/>
    <x v="2"/>
    <x v="420"/>
    <m/>
    <m/>
    <m/>
    <m/>
    <n v="2000000"/>
    <x v="59"/>
    <m/>
    <n v="0"/>
    <x v="218"/>
    <m/>
    <x v="409"/>
    <s v="19-oktober-2023"/>
    <x v="0"/>
    <m/>
    <m/>
    <m/>
    <x v="0"/>
    <x v="0"/>
    <s v="20270/SPP/008/PUSAT/ICON+/2027"/>
    <n v="4500019216"/>
    <m/>
    <m/>
    <m/>
    <m/>
    <m/>
    <m/>
    <m/>
    <m/>
    <m/>
    <m/>
    <m/>
    <m/>
    <m/>
  </r>
  <r>
    <n v="528"/>
    <x v="261"/>
    <x v="157"/>
    <s v="Jl.Kuningan Barat No.8 Cyber Building 1st &amp; 2nd"/>
    <m/>
    <m/>
    <s v="Sewa Tahunan"/>
    <x v="1"/>
    <x v="67"/>
    <m/>
    <m/>
    <m/>
    <m/>
    <n v="0"/>
    <x v="219"/>
    <m/>
    <n v="0"/>
    <x v="219"/>
    <m/>
    <x v="403"/>
    <s v="31-oktober-2023"/>
    <x v="0"/>
    <m/>
    <m/>
    <m/>
    <x v="0"/>
    <x v="0"/>
    <s v="19809/SPP/008/PUSAT/ICON+/2022"/>
    <n v="4500018920"/>
    <m/>
    <m/>
    <m/>
    <m/>
    <m/>
    <m/>
    <m/>
    <m/>
    <m/>
    <m/>
    <m/>
    <m/>
    <m/>
  </r>
  <r>
    <n v="529"/>
    <x v="262"/>
    <x v="399"/>
    <s v="Jl.Asia Afrika No.8"/>
    <m/>
    <m/>
    <s v="Sewa Tahunan"/>
    <x v="2"/>
    <x v="421"/>
    <m/>
    <m/>
    <m/>
    <m/>
    <n v="0"/>
    <x v="89"/>
    <m/>
    <n v="0"/>
    <x v="220"/>
    <m/>
    <x v="410"/>
    <s v="04-oktober-2023"/>
    <x v="0"/>
    <m/>
    <m/>
    <m/>
    <x v="0"/>
    <x v="0"/>
    <s v="19951/SPP/008/PUSAT/ICON+/2022"/>
    <n v="4500019201"/>
    <m/>
    <m/>
    <m/>
    <m/>
    <m/>
    <m/>
    <m/>
    <m/>
    <m/>
    <m/>
    <m/>
    <m/>
    <m/>
  </r>
  <r>
    <n v="530"/>
    <x v="88"/>
    <x v="400"/>
    <s v="Jl.Angkasa kemayoran "/>
    <m/>
    <m/>
    <s v="Sewa Tahunan"/>
    <x v="1"/>
    <x v="422"/>
    <m/>
    <m/>
    <m/>
    <m/>
    <n v="0"/>
    <x v="220"/>
    <m/>
    <n v="0"/>
    <x v="101"/>
    <m/>
    <x v="411"/>
    <s v="26-desember-2023"/>
    <x v="0"/>
    <m/>
    <m/>
    <m/>
    <x v="0"/>
    <x v="0"/>
    <s v="20466/SPP/008/PUSAT/ICON+/2022"/>
    <n v="4500019635"/>
    <m/>
    <m/>
    <m/>
    <m/>
    <m/>
    <m/>
    <m/>
    <m/>
    <m/>
    <m/>
    <m/>
    <m/>
    <m/>
  </r>
  <r>
    <n v="531"/>
    <x v="194"/>
    <x v="243"/>
    <s v="Jl.Kuningan Barat No.8 Cyber Building 1st &amp; 2nd"/>
    <m/>
    <m/>
    <s v="Sewa Tahunan"/>
    <x v="1"/>
    <x v="67"/>
    <m/>
    <m/>
    <m/>
    <m/>
    <n v="0"/>
    <x v="221"/>
    <m/>
    <n v="0"/>
    <x v="221"/>
    <m/>
    <x v="412"/>
    <s v="31-januari-2023"/>
    <x v="0"/>
    <m/>
    <m/>
    <m/>
    <x v="0"/>
    <x v="0"/>
    <s v="21014/SPP/008/PUSAT/ICON+/2022"/>
    <n v="4500019949"/>
    <m/>
    <m/>
    <m/>
    <m/>
    <m/>
    <m/>
    <m/>
    <m/>
    <m/>
    <m/>
    <m/>
    <m/>
    <m/>
  </r>
  <r>
    <n v="532"/>
    <x v="30"/>
    <x v="401"/>
    <s v="Jl.Rempoa raya 11"/>
    <m/>
    <m/>
    <s v="Sewa Tahunan"/>
    <x v="1"/>
    <x v="113"/>
    <m/>
    <m/>
    <m/>
    <m/>
    <n v="0"/>
    <x v="3"/>
    <m/>
    <n v="0"/>
    <x v="42"/>
    <m/>
    <x v="413"/>
    <s v="19-febuari-2023"/>
    <x v="0"/>
    <m/>
    <m/>
    <m/>
    <x v="0"/>
    <x v="0"/>
    <s v="19578/SPP/008/PUSAT/ICON+/2022"/>
    <n v="4500018934"/>
    <m/>
    <m/>
    <m/>
    <m/>
    <m/>
    <m/>
    <m/>
    <m/>
    <m/>
    <m/>
    <m/>
    <m/>
    <m/>
  </r>
  <r>
    <n v="533"/>
    <x v="263"/>
    <x v="402"/>
    <s v="Jl.TB SIMATUPANG RT.004 RW.001 KAV 15"/>
    <m/>
    <m/>
    <s v="Sewa Tahunan"/>
    <x v="1"/>
    <x v="423"/>
    <m/>
    <m/>
    <m/>
    <m/>
    <n v="0"/>
    <x v="222"/>
    <m/>
    <n v="0"/>
    <x v="222"/>
    <m/>
    <x v="414"/>
    <s v="31-desember-2023"/>
    <x v="0"/>
    <m/>
    <m/>
    <m/>
    <x v="0"/>
    <x v="0"/>
    <s v="20629/SPP/008/PUSAT/ICON+/2022"/>
    <n v="4500019626"/>
    <m/>
    <m/>
    <m/>
    <m/>
    <m/>
    <m/>
    <m/>
    <m/>
    <m/>
    <m/>
    <m/>
    <m/>
    <m/>
  </r>
  <r>
    <n v="534"/>
    <x v="253"/>
    <x v="403"/>
    <s v="Jl.raya Cakung cilincing"/>
    <m/>
    <m/>
    <s v="Sewa Tahunan"/>
    <x v="1"/>
    <x v="67"/>
    <m/>
    <m/>
    <m/>
    <m/>
    <n v="0"/>
    <x v="41"/>
    <m/>
    <s v="-"/>
    <x v="223"/>
    <m/>
    <x v="415"/>
    <s v="01-maret-2024"/>
    <x v="0"/>
    <m/>
    <m/>
    <m/>
    <x v="0"/>
    <x v="0"/>
    <s v="19468/SPP/008/PUSAT/ICON+/2022"/>
    <n v="4500018679"/>
    <m/>
    <m/>
    <m/>
    <m/>
    <m/>
    <m/>
    <m/>
    <m/>
    <m/>
    <m/>
    <m/>
    <m/>
    <m/>
  </r>
  <r>
    <n v="535"/>
    <x v="264"/>
    <x v="404"/>
    <s v="Jl. Tentara pelajar"/>
    <m/>
    <m/>
    <s v="Sewa Tahunan"/>
    <x v="0"/>
    <x v="238"/>
    <m/>
    <m/>
    <m/>
    <m/>
    <s v="-"/>
    <x v="143"/>
    <m/>
    <s v="-"/>
    <x v="124"/>
    <m/>
    <x v="416"/>
    <s v="09/10/2023"/>
    <x v="0"/>
    <m/>
    <m/>
    <m/>
    <x v="0"/>
    <x v="0"/>
    <s v="19724/SPP/008/PUSAT/ICON+/2022"/>
    <n v="4500018778"/>
    <m/>
    <m/>
    <m/>
    <m/>
    <m/>
    <m/>
    <m/>
    <m/>
    <m/>
    <m/>
    <m/>
    <m/>
    <m/>
  </r>
  <r>
    <n v="536"/>
    <x v="42"/>
    <x v="405"/>
    <s v="JL. Rempoa Raya 11"/>
    <m/>
    <m/>
    <s v="Sewa Tahunan"/>
    <x v="1"/>
    <x v="424"/>
    <m/>
    <m/>
    <m/>
    <m/>
    <s v="-"/>
    <x v="223"/>
    <m/>
    <s v="-"/>
    <x v="51"/>
    <m/>
    <x v="84"/>
    <s v="27/04/2022"/>
    <x v="0"/>
    <m/>
    <m/>
    <m/>
    <x v="0"/>
    <x v="0"/>
    <s v="19584/SPP/008/PUSAT/ICON+/2022"/>
    <n v="4500018685"/>
    <m/>
    <m/>
    <m/>
    <m/>
    <m/>
    <m/>
    <m/>
    <m/>
    <m/>
    <m/>
    <m/>
    <m/>
    <m/>
  </r>
  <r>
    <n v="537"/>
    <x v="265"/>
    <x v="406"/>
    <s v="Jl. Lingkar Mega Kuningan  Kav. E32 1 Jakarta 12950"/>
    <m/>
    <m/>
    <s v="Sewa Tahunan"/>
    <x v="1"/>
    <x v="425"/>
    <m/>
    <m/>
    <m/>
    <m/>
    <s v="-"/>
    <x v="224"/>
    <m/>
    <s v="-"/>
    <x v="76"/>
    <m/>
    <x v="417"/>
    <s v="31/07/2023"/>
    <x v="0"/>
    <m/>
    <m/>
    <m/>
    <x v="0"/>
    <x v="0"/>
    <s v="18539/SPP/008/PUSAT/ICON+/2022"/>
    <n v="4500018124"/>
    <m/>
    <m/>
    <m/>
    <m/>
    <m/>
    <m/>
    <m/>
    <m/>
    <m/>
    <m/>
    <m/>
    <m/>
    <m/>
  </r>
  <r>
    <n v="538"/>
    <x v="238"/>
    <x v="31"/>
    <s v="Gd. TCC Batavia Tower One Lt. 16"/>
    <m/>
    <m/>
    <s v="Sewa Tahunan"/>
    <x v="0"/>
    <x v="426"/>
    <m/>
    <m/>
    <m/>
    <m/>
    <s v="-"/>
    <x v="178"/>
    <m/>
    <s v="-"/>
    <x v="162"/>
    <m/>
    <x v="418"/>
    <s v="02/09/2023"/>
    <x v="0"/>
    <m/>
    <m/>
    <m/>
    <x v="0"/>
    <x v="0"/>
    <s v="19281/SPP/008/PUSAT/ICON+/2022"/>
    <n v="4500018498"/>
    <m/>
    <m/>
    <m/>
    <m/>
    <m/>
    <m/>
    <m/>
    <m/>
    <m/>
    <m/>
    <m/>
    <m/>
    <m/>
  </r>
  <r>
    <n v="539"/>
    <x v="266"/>
    <x v="407"/>
    <s v="Jl.Jend.Sudirman 52-53 Jakarta 12190"/>
    <m/>
    <m/>
    <s v="Sewa Tahunan"/>
    <x v="0"/>
    <x v="427"/>
    <m/>
    <m/>
    <m/>
    <m/>
    <s v="-"/>
    <x v="128"/>
    <m/>
    <s v="-"/>
    <x v="104"/>
    <m/>
    <x v="363"/>
    <s v="30/06/2023"/>
    <x v="0"/>
    <m/>
    <m/>
    <m/>
    <x v="0"/>
    <x v="0"/>
    <s v="18843/SPP/008/PUSAT/ICON+/2022"/>
    <n v="4500018211"/>
    <m/>
    <m/>
    <m/>
    <m/>
    <m/>
    <m/>
    <m/>
    <m/>
    <m/>
    <m/>
    <m/>
    <m/>
    <m/>
  </r>
  <r>
    <n v="540"/>
    <x v="267"/>
    <x v="198"/>
    <s v="Jl. Makaliwe Raya 24-24a Grogol, Petamburan, Jakarta Barat 11450"/>
    <m/>
    <m/>
    <s v="Sewa Tahunan"/>
    <x v="0"/>
    <x v="428"/>
    <m/>
    <m/>
    <m/>
    <m/>
    <s v="-"/>
    <x v="59"/>
    <m/>
    <s v="-"/>
    <x v="193"/>
    <m/>
    <x v="363"/>
    <s v="30/06/2023"/>
    <x v="0"/>
    <m/>
    <m/>
    <m/>
    <x v="0"/>
    <x v="0"/>
    <s v="18844/SPP/008/PUSAT/ICON+/2022"/>
    <n v="4500018212"/>
    <m/>
    <m/>
    <m/>
    <m/>
    <m/>
    <m/>
    <m/>
    <m/>
    <m/>
    <m/>
    <m/>
    <m/>
    <m/>
  </r>
  <r>
    <n v="541"/>
    <x v="268"/>
    <x v="408"/>
    <s v="Jl.Jend.Sudirman Kav. 10-11 Jakarta 10220"/>
    <m/>
    <m/>
    <s v="Sewa Tahunan"/>
    <x v="0"/>
    <x v="429"/>
    <m/>
    <m/>
    <m/>
    <m/>
    <n v="2500000"/>
    <x v="4"/>
    <m/>
    <n v="5000000"/>
    <x v="224"/>
    <m/>
    <x v="419"/>
    <s v="09/06/2023"/>
    <x v="0"/>
    <m/>
    <m/>
    <m/>
    <x v="0"/>
    <x v="0"/>
    <s v="18524/SPP/008/PUSAT/ICON+/2022"/>
    <n v="4500017931"/>
    <m/>
    <m/>
    <m/>
    <m/>
    <m/>
    <m/>
    <m/>
    <m/>
    <m/>
    <m/>
    <m/>
    <m/>
    <m/>
  </r>
  <r>
    <n v="542"/>
    <x v="225"/>
    <x v="409"/>
    <s v="Jl. Gatot Subroto Jakarta 10270"/>
    <m/>
    <m/>
    <s v="Sewa Tahunan"/>
    <x v="0"/>
    <x v="430"/>
    <m/>
    <m/>
    <m/>
    <m/>
    <s v="-"/>
    <x v="27"/>
    <m/>
    <s v="-"/>
    <x v="163"/>
    <m/>
    <x v="363"/>
    <s v="30/06/2023"/>
    <x v="0"/>
    <m/>
    <m/>
    <m/>
    <x v="0"/>
    <x v="0"/>
    <s v="18764/SPP/008/PUSAT/ICON+/2022"/>
    <n v="4500018132"/>
    <m/>
    <m/>
    <m/>
    <m/>
    <m/>
    <m/>
    <m/>
    <m/>
    <m/>
    <m/>
    <m/>
    <m/>
    <m/>
  </r>
  <r>
    <n v="543"/>
    <x v="62"/>
    <x v="410"/>
    <s v="Jl. Kuningan Barat No. 8 Cyber Building 1st&amp;2nd Jakarta Selatan 12710"/>
    <m/>
    <m/>
    <s v="Sewa Tahunan"/>
    <x v="2"/>
    <x v="431"/>
    <m/>
    <m/>
    <m/>
    <m/>
    <n v="3000000"/>
    <x v="225"/>
    <m/>
    <n v="1500000"/>
    <x v="18"/>
    <m/>
    <x v="420"/>
    <s v="12/06/2023"/>
    <x v="0"/>
    <m/>
    <m/>
    <m/>
    <x v="0"/>
    <x v="0"/>
    <s v="18859/SPP/008/PUSAT/ICON+/2022"/>
    <n v="4500018164"/>
    <m/>
    <m/>
    <m/>
    <m/>
    <m/>
    <m/>
    <m/>
    <m/>
    <m/>
    <m/>
    <m/>
    <m/>
    <m/>
  </r>
  <r>
    <n v="544"/>
    <x v="269"/>
    <x v="8"/>
    <s v="Jl. Kelapa Cengkir Timur II Blok EH 2, Kelapa Gading No.2 Jakarta 14250"/>
    <m/>
    <m/>
    <s v="Sewa Tahunan"/>
    <x v="0"/>
    <x v="432"/>
    <m/>
    <m/>
    <m/>
    <m/>
    <s v="-"/>
    <x v="123"/>
    <m/>
    <s v="-"/>
    <x v="170"/>
    <m/>
    <x v="363"/>
    <s v="30/06/2023"/>
    <x v="0"/>
    <m/>
    <m/>
    <m/>
    <x v="0"/>
    <x v="0"/>
    <s v="18897/SPP/008/PUSAT/ICON+/2022"/>
    <n v="4500018174"/>
    <m/>
    <m/>
    <m/>
    <m/>
    <m/>
    <m/>
    <m/>
    <m/>
    <m/>
    <m/>
    <m/>
    <m/>
    <m/>
  </r>
  <r>
    <n v="545"/>
    <x v="270"/>
    <x v="411"/>
    <s v="Jl. MH Thamrin  Kav 3 Jakarta 10250"/>
    <m/>
    <m/>
    <s v="Sewa Tahunan"/>
    <x v="1"/>
    <x v="433"/>
    <m/>
    <m/>
    <m/>
    <m/>
    <n v="5000000"/>
    <x v="143"/>
    <m/>
    <s v="-"/>
    <x v="32"/>
    <m/>
    <x v="421"/>
    <s v="10/04/2023"/>
    <x v="0"/>
    <m/>
    <m/>
    <m/>
    <x v="0"/>
    <x v="0"/>
    <s v="18437/SPP/008/PUSAT/ICON+/2022"/>
    <n v="4500018172"/>
    <m/>
    <m/>
    <m/>
    <m/>
    <m/>
    <m/>
    <m/>
    <m/>
    <m/>
    <m/>
    <m/>
    <m/>
    <m/>
  </r>
  <r>
    <n v="546"/>
    <x v="36"/>
    <x v="412"/>
    <s v="Jl.Kapt.Subijanto DJ Tanggerang 15321"/>
    <m/>
    <m/>
    <s v="Sewa Tahunan"/>
    <x v="1"/>
    <x v="434"/>
    <m/>
    <m/>
    <m/>
    <m/>
    <n v="34300000"/>
    <x v="226"/>
    <m/>
    <n v="25000000"/>
    <x v="225"/>
    <m/>
    <x v="422"/>
    <s v="16/06/2023"/>
    <x v="0"/>
    <m/>
    <m/>
    <m/>
    <x v="0"/>
    <x v="0"/>
    <s v="18928/SPP/008/PUSAT/ICON+/2022"/>
    <n v="4500018188"/>
    <m/>
    <m/>
    <m/>
    <m/>
    <m/>
    <m/>
    <m/>
    <m/>
    <m/>
    <m/>
    <m/>
    <m/>
    <m/>
  </r>
  <r>
    <n v="547"/>
    <x v="42"/>
    <x v="413"/>
    <s v="JL. Rempoa Raya 11"/>
    <m/>
    <m/>
    <s v="Sewa Tahunan"/>
    <x v="1"/>
    <x v="435"/>
    <m/>
    <m/>
    <m/>
    <m/>
    <s v="-"/>
    <x v="17"/>
    <m/>
    <s v="-"/>
    <x v="16"/>
    <m/>
    <x v="423"/>
    <s v="07/05/2023"/>
    <x v="0"/>
    <m/>
    <m/>
    <m/>
    <x v="0"/>
    <x v="0"/>
    <s v="18850/SPP/008/PUSAT/ICON+/2022"/>
    <n v="4500018610"/>
    <m/>
    <m/>
    <m/>
    <m/>
    <m/>
    <m/>
    <m/>
    <m/>
    <m/>
    <m/>
    <m/>
    <m/>
    <m/>
  </r>
  <r>
    <n v="548"/>
    <x v="42"/>
    <x v="39"/>
    <s v="JL. Rempoa Raya 11"/>
    <m/>
    <m/>
    <s v="Sewa Tahunan"/>
    <x v="1"/>
    <x v="65"/>
    <m/>
    <m/>
    <m/>
    <m/>
    <s v="-"/>
    <x v="30"/>
    <m/>
    <s v="-"/>
    <x v="8"/>
    <m/>
    <x v="424"/>
    <s v="13/04/2023"/>
    <x v="0"/>
    <m/>
    <m/>
    <m/>
    <x v="0"/>
    <x v="0"/>
    <s v="18718/SPP/008/PUSAT/ICON+/2022"/>
    <n v="4500018609"/>
    <m/>
    <m/>
    <m/>
    <m/>
    <m/>
    <m/>
    <m/>
    <m/>
    <m/>
    <m/>
    <m/>
    <m/>
    <m/>
  </r>
  <r>
    <n v="549"/>
    <x v="240"/>
    <x v="30"/>
    <s v="Jl. Senen Raya No. 135"/>
    <m/>
    <m/>
    <s v="Sewa Tahunan"/>
    <x v="1"/>
    <x v="337"/>
    <m/>
    <m/>
    <m/>
    <m/>
    <s v="-"/>
    <x v="1"/>
    <m/>
    <s v="-"/>
    <x v="226"/>
    <m/>
    <x v="425"/>
    <s v="24/11/2023"/>
    <x v="0"/>
    <m/>
    <m/>
    <m/>
    <x v="0"/>
    <x v="0"/>
    <m/>
    <n v="4500018970"/>
    <m/>
    <m/>
    <m/>
    <m/>
    <m/>
    <m/>
    <m/>
    <m/>
    <m/>
    <m/>
    <m/>
    <m/>
    <m/>
  </r>
  <r>
    <n v="550"/>
    <x v="36"/>
    <x v="208"/>
    <s v="Jl.Kapt.Subijanto DJ Tanggerang 15321"/>
    <m/>
    <m/>
    <s v="Sewa Tahunan"/>
    <x v="2"/>
    <x v="436"/>
    <m/>
    <m/>
    <m/>
    <m/>
    <s v="-"/>
    <x v="227"/>
    <m/>
    <s v="-"/>
    <x v="5"/>
    <m/>
    <x v="426"/>
    <s v="09/01/2023"/>
    <x v="0"/>
    <m/>
    <m/>
    <m/>
    <x v="0"/>
    <x v="0"/>
    <m/>
    <n v="4500018966"/>
    <m/>
    <m/>
    <m/>
    <m/>
    <m/>
    <m/>
    <m/>
    <m/>
    <m/>
    <m/>
    <m/>
    <m/>
    <m/>
  </r>
  <r>
    <n v="551"/>
    <x v="13"/>
    <x v="19"/>
    <s v="Jl. Pajajaran Lippo"/>
    <m/>
    <m/>
    <s v="Sewa Tahunan"/>
    <x v="1"/>
    <x v="437"/>
    <m/>
    <m/>
    <m/>
    <m/>
    <s v="-"/>
    <x v="10"/>
    <m/>
    <s v="-"/>
    <x v="119"/>
    <m/>
    <x v="380"/>
    <s v="30/09/2023"/>
    <x v="0"/>
    <m/>
    <m/>
    <m/>
    <x v="0"/>
    <x v="0"/>
    <m/>
    <n v="4500018953"/>
    <m/>
    <m/>
    <m/>
    <m/>
    <m/>
    <m/>
    <m/>
    <m/>
    <m/>
    <m/>
    <m/>
    <m/>
    <m/>
  </r>
  <r>
    <n v="552"/>
    <x v="42"/>
    <x v="414"/>
    <s v="JL. Rempoa Raya 11"/>
    <m/>
    <m/>
    <s v="Sewa Tahunan"/>
    <x v="1"/>
    <x v="172"/>
    <m/>
    <m/>
    <m/>
    <m/>
    <s v="-"/>
    <x v="11"/>
    <m/>
    <s v="-"/>
    <x v="28"/>
    <m/>
    <x v="427"/>
    <s v="22/09/2023"/>
    <x v="0"/>
    <m/>
    <m/>
    <m/>
    <x v="0"/>
    <x v="0"/>
    <m/>
    <n v="4500018971"/>
    <m/>
    <m/>
    <m/>
    <m/>
    <m/>
    <m/>
    <m/>
    <m/>
    <m/>
    <m/>
    <m/>
    <m/>
    <m/>
  </r>
  <r>
    <n v="553"/>
    <x v="219"/>
    <x v="415"/>
    <s v="Jl.M.H. Thamrin Kav 3"/>
    <m/>
    <m/>
    <s v="Sewa Tahunan"/>
    <x v="0"/>
    <x v="268"/>
    <m/>
    <m/>
    <m/>
    <m/>
    <s v="-"/>
    <x v="155"/>
    <m/>
    <s v="-"/>
    <x v="134"/>
    <m/>
    <x v="428"/>
    <s v="19/11/2023"/>
    <x v="0"/>
    <m/>
    <m/>
    <m/>
    <x v="0"/>
    <x v="0"/>
    <s v="20284/SPP/008/PUSAT/ICON+/2022"/>
    <n v="4500019208"/>
    <m/>
    <m/>
    <m/>
    <m/>
    <m/>
    <m/>
    <m/>
    <m/>
    <m/>
    <m/>
    <m/>
    <m/>
    <m/>
  </r>
  <r>
    <n v="554"/>
    <x v="62"/>
    <x v="416"/>
    <s v="Jl. Kuningan Barat No. 8 Cyber Building 1st&amp;2nd Jakarta Selatan 12710"/>
    <m/>
    <m/>
    <s v="Sewa Tahunan"/>
    <x v="2"/>
    <x v="438"/>
    <m/>
    <m/>
    <m/>
    <m/>
    <s v="-"/>
    <x v="228"/>
    <m/>
    <s v="-"/>
    <x v="174"/>
    <m/>
    <x v="429"/>
    <s v="02/06/2023"/>
    <x v="0"/>
    <m/>
    <m/>
    <m/>
    <x v="0"/>
    <x v="0"/>
    <s v="19418/SPP/008/PUSAT/ICON+/2022"/>
    <n v="4500019058"/>
    <m/>
    <m/>
    <m/>
    <m/>
    <m/>
    <m/>
    <m/>
    <m/>
    <m/>
    <m/>
    <m/>
    <m/>
    <m/>
  </r>
  <r>
    <n v="555"/>
    <x v="67"/>
    <x v="417"/>
    <s v="Gedung Cyber 1 No. 8 Jakarta Selatan 12710"/>
    <m/>
    <m/>
    <s v="Sewa Tahunan"/>
    <x v="2"/>
    <x v="439"/>
    <m/>
    <m/>
    <m/>
    <m/>
    <n v="5000000"/>
    <x v="229"/>
    <m/>
    <s v="-"/>
    <x v="18"/>
    <m/>
    <x v="430"/>
    <s v="31/10/2023"/>
    <x v="0"/>
    <m/>
    <m/>
    <m/>
    <x v="0"/>
    <x v="0"/>
    <s v="20313/SPP/008/PUSAT/ICON+/2022"/>
    <n v="4500019279"/>
    <m/>
    <m/>
    <m/>
    <m/>
    <m/>
    <m/>
    <m/>
    <m/>
    <m/>
    <m/>
    <m/>
    <m/>
    <m/>
  </r>
  <r>
    <n v="556"/>
    <x v="9"/>
    <x v="214"/>
    <s v="Jl. Jend Sudirman Kav 52-53 Jakarta 12190"/>
    <m/>
    <m/>
    <s v="Sewa Tahunan"/>
    <x v="2"/>
    <x v="239"/>
    <m/>
    <m/>
    <m/>
    <m/>
    <s v="-"/>
    <x v="145"/>
    <m/>
    <s v="-"/>
    <x v="18"/>
    <m/>
    <x v="431"/>
    <s v="08/06/2023"/>
    <x v="0"/>
    <m/>
    <m/>
    <m/>
    <x v="0"/>
    <x v="0"/>
    <s v="18914/SPP/008/PUSAT/ICON+/2022"/>
    <n v="4500018325"/>
    <m/>
    <m/>
    <m/>
    <m/>
    <m/>
    <m/>
    <m/>
    <m/>
    <m/>
    <m/>
    <m/>
    <m/>
    <m/>
  </r>
  <r>
    <n v="557"/>
    <x v="271"/>
    <x v="8"/>
    <s v="Jl. Margonda Raya 56 Depok 16431"/>
    <m/>
    <m/>
    <s v="Sewa Tahunan"/>
    <x v="1"/>
    <x v="149"/>
    <m/>
    <m/>
    <m/>
    <m/>
    <s v="-"/>
    <x v="7"/>
    <m/>
    <s v="-"/>
    <x v="227"/>
    <m/>
    <x v="432"/>
    <s v="11/09/2023"/>
    <x v="0"/>
    <m/>
    <m/>
    <m/>
    <x v="0"/>
    <x v="0"/>
    <m/>
    <n v="4500019049"/>
    <m/>
    <m/>
    <m/>
    <m/>
    <m/>
    <m/>
    <m/>
    <m/>
    <m/>
    <m/>
    <m/>
    <m/>
    <m/>
  </r>
  <r>
    <n v="558"/>
    <x v="272"/>
    <x v="220"/>
    <s v="Jl. Griya Hijau Kav. F "/>
    <m/>
    <m/>
    <s v="Sewa Tahunan"/>
    <x v="1"/>
    <x v="440"/>
    <m/>
    <m/>
    <m/>
    <m/>
    <s v="-"/>
    <x v="230"/>
    <m/>
    <s v="-"/>
    <x v="127"/>
    <m/>
    <x v="433"/>
    <s v="22/07/2023"/>
    <x v="0"/>
    <m/>
    <m/>
    <m/>
    <x v="0"/>
    <x v="0"/>
    <m/>
    <n v="4500018527"/>
    <m/>
    <m/>
    <m/>
    <m/>
    <m/>
    <m/>
    <m/>
    <m/>
    <m/>
    <m/>
    <m/>
    <m/>
    <m/>
  </r>
  <r>
    <n v="559"/>
    <x v="273"/>
    <x v="418"/>
    <s v="Jl. Buncit Raya Lt. Penthouse No.22 Jakarta Selatan 12510 "/>
    <m/>
    <m/>
    <s v="Sewa Tahunan"/>
    <x v="1"/>
    <x v="441"/>
    <m/>
    <m/>
    <m/>
    <m/>
    <s v="-"/>
    <x v="36"/>
    <m/>
    <s v="-"/>
    <x v="154"/>
    <m/>
    <x v="434"/>
    <s v="24/09/2023"/>
    <x v="0"/>
    <m/>
    <m/>
    <m/>
    <x v="0"/>
    <x v="0"/>
    <s v="19803/SPP/008/PUSAT/ICON+/2022"/>
    <n v="4500018869"/>
    <m/>
    <m/>
    <m/>
    <m/>
    <m/>
    <m/>
    <m/>
    <m/>
    <m/>
    <m/>
    <m/>
    <m/>
    <m/>
  </r>
  <r>
    <n v="560"/>
    <x v="88"/>
    <x v="419"/>
    <s v="Jl. Angkasa Kemayoran Jakarta 10610"/>
    <m/>
    <m/>
    <s v="Sewa Tahunan"/>
    <x v="1"/>
    <x v="442"/>
    <m/>
    <m/>
    <m/>
    <m/>
    <s v="-"/>
    <x v="58"/>
    <m/>
    <s v="-"/>
    <x v="228"/>
    <m/>
    <x v="435"/>
    <s v="16/12/2023"/>
    <x v="0"/>
    <m/>
    <m/>
    <m/>
    <x v="0"/>
    <x v="0"/>
    <s v="20468/SPP/008/PUSAT/ICON+/2022"/>
    <n v="4500019619"/>
    <m/>
    <m/>
    <m/>
    <m/>
    <m/>
    <m/>
    <m/>
    <m/>
    <m/>
    <m/>
    <m/>
    <m/>
    <m/>
  </r>
  <r>
    <n v="561"/>
    <x v="147"/>
    <x v="30"/>
    <s v="Ged. Jaya Jl.MH Thamrin"/>
    <m/>
    <m/>
    <s v="Sewa Tahunan"/>
    <x v="1"/>
    <x v="129"/>
    <m/>
    <m/>
    <m/>
    <m/>
    <s v="-"/>
    <x v="231"/>
    <m/>
    <s v="-"/>
    <x v="229"/>
    <m/>
    <x v="436"/>
    <d v="2024-01-31T00:00:00"/>
    <x v="0"/>
    <m/>
    <m/>
    <m/>
    <x v="0"/>
    <x v="0"/>
    <s v="20675/SPP/008/PUSAT/ICON+/2022"/>
    <n v="4500019683"/>
    <m/>
    <m/>
    <m/>
    <m/>
    <m/>
    <m/>
    <m/>
    <m/>
    <m/>
    <m/>
    <m/>
    <m/>
    <m/>
  </r>
  <r>
    <n v="562"/>
    <x v="274"/>
    <x v="420"/>
    <s v="JL. Embong Tanjung No. 40 Surabaya 60271"/>
    <m/>
    <m/>
    <s v="Sewa Tahunan"/>
    <x v="1"/>
    <x v="443"/>
    <m/>
    <m/>
    <m/>
    <m/>
    <s v="-"/>
    <x v="232"/>
    <m/>
    <s v="-"/>
    <x v="31"/>
    <m/>
    <x v="430"/>
    <s v="31/10/2023"/>
    <x v="0"/>
    <m/>
    <m/>
    <m/>
    <x v="0"/>
    <x v="0"/>
    <s v="20180/SPP/008/PUSAT/ICON+/2022"/>
    <n v="4500019570"/>
    <m/>
    <m/>
    <m/>
    <m/>
    <m/>
    <m/>
    <m/>
    <m/>
    <m/>
    <m/>
    <m/>
    <m/>
    <m/>
  </r>
  <r>
    <n v="563"/>
    <x v="164"/>
    <x v="236"/>
    <s v="Jl. Abdul Muis No. 46 Jakarta 10160"/>
    <m/>
    <m/>
    <s v="Sewa Tahunan"/>
    <x v="1"/>
    <x v="444"/>
    <m/>
    <m/>
    <m/>
    <m/>
    <s v="-"/>
    <x v="154"/>
    <m/>
    <s v="-"/>
    <x v="132"/>
    <m/>
    <x v="437"/>
    <d v="2023-01-31T00:00:00"/>
    <x v="0"/>
    <m/>
    <m/>
    <m/>
    <x v="0"/>
    <x v="0"/>
    <m/>
    <n v="4500017689"/>
    <m/>
    <m/>
    <m/>
    <m/>
    <m/>
    <m/>
    <m/>
    <m/>
    <m/>
    <m/>
    <m/>
    <m/>
    <m/>
  </r>
  <r>
    <n v="564"/>
    <x v="275"/>
    <x v="39"/>
    <s v="Jl.Makaliwe Raya 24-24a"/>
    <m/>
    <m/>
    <s v="Sewa Tahunan"/>
    <x v="0"/>
    <x v="341"/>
    <m/>
    <m/>
    <m/>
    <m/>
    <s v="-"/>
    <x v="30"/>
    <m/>
    <s v="-"/>
    <x v="79"/>
    <m/>
    <x v="438"/>
    <d v="2023-03-09T00:00:00"/>
    <x v="0"/>
    <m/>
    <m/>
    <m/>
    <x v="0"/>
    <x v="0"/>
    <m/>
    <n v="4500017677"/>
    <m/>
    <m/>
    <m/>
    <m/>
    <m/>
    <m/>
    <m/>
    <m/>
    <m/>
    <m/>
    <m/>
    <m/>
    <m/>
  </r>
  <r>
    <n v="565"/>
    <x v="276"/>
    <x v="267"/>
    <s v="Jl. Kapt. Tendean Kav 12-14A Jakarta Selatan 12790"/>
    <m/>
    <m/>
    <s v="Sewa Tahunan"/>
    <x v="0"/>
    <x v="297"/>
    <m/>
    <m/>
    <m/>
    <m/>
    <s v="-"/>
    <x v="171"/>
    <m/>
    <s v="-"/>
    <x v="61"/>
    <m/>
    <x v="439"/>
    <d v="2023-02-28T00:00:00"/>
    <x v="0"/>
    <m/>
    <m/>
    <m/>
    <x v="0"/>
    <x v="0"/>
    <m/>
    <n v="4500017681"/>
    <m/>
    <m/>
    <m/>
    <m/>
    <m/>
    <m/>
    <m/>
    <m/>
    <m/>
    <m/>
    <m/>
    <m/>
    <m/>
  </r>
  <r>
    <n v="566"/>
    <x v="0"/>
    <x v="227"/>
    <s v="Jl. Tentara Pelajar Jakarta 12210"/>
    <m/>
    <m/>
    <s v="Sewa Tahunan"/>
    <x v="0"/>
    <x v="253"/>
    <m/>
    <m/>
    <m/>
    <m/>
    <s v="-"/>
    <x v="148"/>
    <m/>
    <s v="-"/>
    <x v="18"/>
    <m/>
    <x v="440"/>
    <d v="2023-03-08T00:00:00"/>
    <x v="0"/>
    <m/>
    <m/>
    <m/>
    <x v="0"/>
    <x v="0"/>
    <m/>
    <n v="4500017680"/>
    <m/>
    <m/>
    <m/>
    <m/>
    <m/>
    <m/>
    <m/>
    <m/>
    <m/>
    <m/>
    <m/>
    <m/>
    <m/>
  </r>
  <r>
    <n v="567"/>
    <x v="75"/>
    <x v="254"/>
    <s v="Jl. Rempoa Raya 11 Ciputat 00000"/>
    <m/>
    <m/>
    <s v="Sewa Tahunan"/>
    <x v="0"/>
    <x v="285"/>
    <m/>
    <m/>
    <m/>
    <m/>
    <s v="-"/>
    <x v="42"/>
    <m/>
    <s v="-"/>
    <x v="135"/>
    <m/>
    <x v="441"/>
    <d v="2023-02-20T00:00:00"/>
    <x v="0"/>
    <m/>
    <m/>
    <m/>
    <x v="0"/>
    <x v="0"/>
    <m/>
    <n v="4500017679"/>
    <m/>
    <m/>
    <m/>
    <m/>
    <m/>
    <m/>
    <m/>
    <m/>
    <m/>
    <m/>
    <m/>
    <m/>
    <m/>
  </r>
  <r>
    <n v="568"/>
    <x v="95"/>
    <x v="229"/>
    <s v="Jl. Kuningan Barat 8 Jakarta 12710"/>
    <m/>
    <m/>
    <s v="Sewa Tahunan"/>
    <x v="1"/>
    <x v="67"/>
    <m/>
    <m/>
    <m/>
    <m/>
    <s v="-"/>
    <x v="41"/>
    <m/>
    <s v="-"/>
    <x v="16"/>
    <m/>
    <x v="442"/>
    <d v="2023-05-14T00:00:00"/>
    <x v="0"/>
    <m/>
    <m/>
    <m/>
    <x v="0"/>
    <x v="0"/>
    <m/>
    <n v="4500017676"/>
    <m/>
    <m/>
    <m/>
    <m/>
    <m/>
    <m/>
    <m/>
    <m/>
    <m/>
    <m/>
    <m/>
    <m/>
    <m/>
  </r>
  <r>
    <n v="569"/>
    <x v="75"/>
    <x v="225"/>
    <s v="Jl. Rempoa Raya 11 Ciputat 00000"/>
    <m/>
    <m/>
    <s v="Sewa Tahunan"/>
    <x v="0"/>
    <x v="256"/>
    <m/>
    <m/>
    <m/>
    <m/>
    <s v="-"/>
    <x v="35"/>
    <m/>
    <s v="-"/>
    <x v="14"/>
    <m/>
    <x v="443"/>
    <d v="2023-02-21T00:00:00"/>
    <x v="0"/>
    <m/>
    <m/>
    <m/>
    <x v="0"/>
    <x v="0"/>
    <m/>
    <n v="4500017678"/>
    <m/>
    <m/>
    <m/>
    <m/>
    <m/>
    <m/>
    <m/>
    <m/>
    <m/>
    <m/>
    <m/>
    <m/>
    <m/>
  </r>
  <r>
    <n v="570"/>
    <x v="158"/>
    <x v="421"/>
    <s v="Jl. Mangga Dua Raya Jakarta Pusat 10730"/>
    <m/>
    <m/>
    <s v="Sewa Tahunan"/>
    <x v="1"/>
    <x v="190"/>
    <m/>
    <m/>
    <m/>
    <m/>
    <s v="-"/>
    <x v="11"/>
    <m/>
    <s v="-"/>
    <x v="29"/>
    <m/>
    <x v="444"/>
    <d v="2023-05-29T00:00:00"/>
    <x v="0"/>
    <m/>
    <m/>
    <m/>
    <x v="0"/>
    <x v="0"/>
    <m/>
    <n v="4500017647"/>
    <m/>
    <m/>
    <m/>
    <m/>
    <m/>
    <m/>
    <m/>
    <m/>
    <m/>
    <m/>
    <m/>
    <m/>
    <m/>
  </r>
  <r>
    <n v="571"/>
    <x v="44"/>
    <x v="422"/>
    <s v="Jl. Kuningan Barat 8 Jakarta 12710"/>
    <m/>
    <m/>
    <s v="Sewa Tahunan"/>
    <x v="1"/>
    <x v="445"/>
    <m/>
    <m/>
    <m/>
    <m/>
    <s v="-"/>
    <x v="233"/>
    <m/>
    <s v="-"/>
    <x v="230"/>
    <m/>
    <x v="445"/>
    <d v="2023-01-03T00:00:00"/>
    <x v="0"/>
    <m/>
    <m/>
    <m/>
    <x v="0"/>
    <x v="0"/>
    <m/>
    <n v="4500017631"/>
    <m/>
    <m/>
    <m/>
    <m/>
    <m/>
    <m/>
    <m/>
    <m/>
    <m/>
    <m/>
    <m/>
    <m/>
    <m/>
  </r>
  <r>
    <n v="572"/>
    <x v="79"/>
    <x v="112"/>
    <s v="Jl.M. H. Thamrin Kav 3 Jakarta Pusat 10250"/>
    <m/>
    <m/>
    <s v="Sewa Tahunan"/>
    <x v="2"/>
    <x v="118"/>
    <m/>
    <m/>
    <m/>
    <m/>
    <s v="-"/>
    <x v="27"/>
    <m/>
    <s v="-"/>
    <x v="63"/>
    <m/>
    <x v="446"/>
    <d v="2023-05-09T00:00:00"/>
    <x v="0"/>
    <m/>
    <m/>
    <m/>
    <x v="0"/>
    <x v="0"/>
    <m/>
    <n v="4500017675"/>
    <m/>
    <m/>
    <m/>
    <m/>
    <m/>
    <m/>
    <m/>
    <m/>
    <m/>
    <m/>
    <m/>
    <m/>
    <m/>
  </r>
  <r>
    <n v="573"/>
    <x v="127"/>
    <x v="423"/>
    <s v="Jl. Riau 23 Jakarta Pusat 10350"/>
    <m/>
    <m/>
    <s v="Sewa Tahunan"/>
    <x v="0"/>
    <x v="446"/>
    <m/>
    <m/>
    <m/>
    <m/>
    <s v="-"/>
    <x v="27"/>
    <m/>
    <s v="-"/>
    <x v="89"/>
    <m/>
    <x v="447"/>
    <d v="2023-02-11T00:00:00"/>
    <x v="0"/>
    <m/>
    <m/>
    <m/>
    <x v="0"/>
    <x v="0"/>
    <s v="18080/SPP/008/PUSAT/ICON+/2022"/>
    <n v="4500017728"/>
    <m/>
    <m/>
    <m/>
    <m/>
    <m/>
    <m/>
    <m/>
    <m/>
    <m/>
    <m/>
    <m/>
    <m/>
    <m/>
  </r>
  <r>
    <n v="574"/>
    <x v="277"/>
    <x v="153"/>
    <s v="Jl. Mega Kuningan Lot. E4-7 1 Kuningan Timur, Setiabudi 00000"/>
    <m/>
    <m/>
    <s v="Sewa Tahunan"/>
    <x v="0"/>
    <x v="174"/>
    <m/>
    <m/>
    <m/>
    <m/>
    <s v="-"/>
    <x v="115"/>
    <m/>
    <s v="-"/>
    <x v="90"/>
    <m/>
    <x v="448"/>
    <d v="2023-01-27T00:00:00"/>
    <x v="0"/>
    <m/>
    <m/>
    <m/>
    <x v="0"/>
    <x v="0"/>
    <m/>
    <n v="4500017657"/>
    <m/>
    <m/>
    <m/>
    <m/>
    <m/>
    <m/>
    <m/>
    <m/>
    <m/>
    <m/>
    <m/>
    <m/>
    <m/>
  </r>
  <r>
    <n v="575"/>
    <x v="278"/>
    <x v="148"/>
    <s v="Gedung Kenari Mas Lt 6 No.101 Jakarta Pusat 10440"/>
    <m/>
    <m/>
    <s v="Sewa Tahunan"/>
    <x v="0"/>
    <x v="157"/>
    <m/>
    <m/>
    <m/>
    <m/>
    <s v="-"/>
    <x v="27"/>
    <m/>
    <s v="-"/>
    <x v="186"/>
    <m/>
    <x v="449"/>
    <d v="2023-03-31T00:00:00"/>
    <x v="0"/>
    <m/>
    <m/>
    <m/>
    <x v="0"/>
    <x v="0"/>
    <s v="18177/SPP/008/SPP/ICON+2022"/>
    <n v="4500017780"/>
    <m/>
    <m/>
    <m/>
    <m/>
    <m/>
    <m/>
    <m/>
    <m/>
    <m/>
    <m/>
    <m/>
    <m/>
    <m/>
  </r>
  <r>
    <n v="576"/>
    <x v="279"/>
    <x v="424"/>
    <s v="WTP Building Jl Jababeka IV Blok B No. 12 Jbbk Industria Esta Cikarang"/>
    <m/>
    <m/>
    <s v="Sewa Tahunan"/>
    <x v="2"/>
    <x v="447"/>
    <m/>
    <m/>
    <m/>
    <m/>
    <n v="3000000"/>
    <x v="234"/>
    <m/>
    <s v="-"/>
    <x v="114"/>
    <m/>
    <x v="450"/>
    <d v="2023-03-29T00:00:00"/>
    <x v="0"/>
    <m/>
    <m/>
    <m/>
    <x v="0"/>
    <x v="0"/>
    <s v="18316/SPP/008/PUSAT/ICON+/2022"/>
    <n v="4500017836"/>
    <m/>
    <m/>
    <m/>
    <m/>
    <m/>
    <m/>
    <m/>
    <m/>
    <m/>
    <m/>
    <m/>
    <m/>
    <m/>
  </r>
  <r>
    <n v="577"/>
    <x v="279"/>
    <x v="425"/>
    <s v="WTP Building Jl Jababeka IV Blok B No. 12 Jbbk Industria Esta Cikarang"/>
    <m/>
    <m/>
    <s v="Sewa Tahunan"/>
    <x v="2"/>
    <x v="448"/>
    <m/>
    <m/>
    <m/>
    <m/>
    <n v="3000000"/>
    <x v="234"/>
    <m/>
    <s v="-"/>
    <x v="114"/>
    <m/>
    <x v="450"/>
    <d v="2023-03-29T00:00:00"/>
    <x v="0"/>
    <m/>
    <m/>
    <m/>
    <x v="0"/>
    <x v="0"/>
    <s v="18318/SPP/008/PUSAT/ICON+/2022"/>
    <n v="4500017834"/>
    <m/>
    <m/>
    <m/>
    <m/>
    <m/>
    <m/>
    <m/>
    <m/>
    <m/>
    <m/>
    <m/>
    <m/>
    <m/>
  </r>
  <r>
    <n v="578"/>
    <x v="131"/>
    <x v="426"/>
    <s v="Jl. Jend Sudirman Kav 10-11 Jakarta Pusat 00000"/>
    <m/>
    <m/>
    <s v="Sewa Tahunan"/>
    <x v="2"/>
    <x v="449"/>
    <m/>
    <m/>
    <m/>
    <m/>
    <n v="5000000"/>
    <x v="75"/>
    <m/>
    <n v="6000000"/>
    <x v="17"/>
    <m/>
    <x v="451"/>
    <d v="2023-03-22T00:00:00"/>
    <x v="0"/>
    <m/>
    <m/>
    <m/>
    <x v="0"/>
    <x v="0"/>
    <s v="18301/SPP/008/PUSAT/ICON+/2022"/>
    <n v="4500017808"/>
    <m/>
    <m/>
    <m/>
    <m/>
    <m/>
    <m/>
    <m/>
    <m/>
    <m/>
    <m/>
    <m/>
    <m/>
    <m/>
  </r>
  <r>
    <n v="579"/>
    <x v="0"/>
    <x v="427"/>
    <s v="Jl. Tentara Pelajar Jakarta 12210"/>
    <m/>
    <m/>
    <s v="Sewa Tahunan"/>
    <x v="0"/>
    <x v="450"/>
    <m/>
    <m/>
    <m/>
    <m/>
    <n v="6000000"/>
    <x v="235"/>
    <m/>
    <n v="3000000"/>
    <x v="231"/>
    <m/>
    <x v="452"/>
    <d v="2023-03-07T00:00:00"/>
    <x v="0"/>
    <m/>
    <m/>
    <m/>
    <x v="0"/>
    <x v="0"/>
    <s v="18019/SPP/008/PUSAT/ICON+/2022"/>
    <n v="4500017663"/>
    <m/>
    <m/>
    <m/>
    <m/>
    <m/>
    <m/>
    <m/>
    <m/>
    <m/>
    <m/>
    <m/>
    <m/>
    <m/>
  </r>
  <r>
    <n v="580"/>
    <x v="280"/>
    <x v="428"/>
    <s v="Jl. H. R. Rasuna Said Blok X5 13 Jakarta 00000"/>
    <m/>
    <m/>
    <s v="Sewa Tahunan"/>
    <x v="2"/>
    <x v="451"/>
    <m/>
    <m/>
    <m/>
    <m/>
    <n v="5000000"/>
    <x v="11"/>
    <m/>
    <s v="-"/>
    <x v="16"/>
    <m/>
    <x v="453"/>
    <d v="2023-02-15T00:00:00"/>
    <x v="0"/>
    <m/>
    <m/>
    <m/>
    <x v="0"/>
    <x v="0"/>
    <s v="18158/SPP/008/PUSAT/ICON+/2022"/>
    <n v="4500017588"/>
    <m/>
    <m/>
    <m/>
    <m/>
    <m/>
    <m/>
    <m/>
    <m/>
    <m/>
    <m/>
    <m/>
    <m/>
    <m/>
  </r>
  <r>
    <n v="581"/>
    <x v="279"/>
    <x v="429"/>
    <s v="WTP Building Jl Jababeka IV Blok B No. 12 Jbbk Industria Esta Cikarang"/>
    <m/>
    <m/>
    <s v="Sewa Tahunan"/>
    <x v="2"/>
    <x v="452"/>
    <m/>
    <m/>
    <m/>
    <m/>
    <s v="-"/>
    <x v="107"/>
    <m/>
    <s v="-"/>
    <x v="149"/>
    <m/>
    <x v="449"/>
    <d v="2023-03-31T00:00:00"/>
    <x v="0"/>
    <m/>
    <m/>
    <m/>
    <x v="0"/>
    <x v="0"/>
    <s v="18273/SPP/008/PUSAT/ICON+/2022"/>
    <n v="4500017820"/>
    <m/>
    <m/>
    <m/>
    <m/>
    <m/>
    <m/>
    <m/>
    <m/>
    <m/>
    <m/>
    <m/>
    <m/>
    <m/>
  </r>
  <r>
    <n v="582"/>
    <x v="8"/>
    <x v="430"/>
    <s v="Jl. Kuningan Barat 8 Jakarta 12710"/>
    <m/>
    <m/>
    <s v="Sewa Tahunan"/>
    <x v="2"/>
    <x v="453"/>
    <m/>
    <m/>
    <m/>
    <m/>
    <n v="2300000"/>
    <x v="236"/>
    <m/>
    <n v="1500000"/>
    <x v="18"/>
    <m/>
    <x v="454"/>
    <d v="2023-11-28T00:00:00"/>
    <x v="0"/>
    <m/>
    <m/>
    <m/>
    <x v="0"/>
    <x v="0"/>
    <s v="20638/SPP/008/PUSAT/ICON+/2022"/>
    <n v="4500019491"/>
    <m/>
    <m/>
    <m/>
    <m/>
    <m/>
    <m/>
    <m/>
    <m/>
    <m/>
    <m/>
    <m/>
    <m/>
    <m/>
  </r>
  <r>
    <n v="583"/>
    <x v="159"/>
    <x v="431"/>
    <s v="Jl. Kapt. Subijanto DJ Tangerang 15321"/>
    <m/>
    <m/>
    <s v="Sewa Tahunan"/>
    <x v="2"/>
    <x v="454"/>
    <m/>
    <m/>
    <m/>
    <m/>
    <n v="5000000"/>
    <x v="237"/>
    <m/>
    <s v="-"/>
    <x v="63"/>
    <m/>
    <x v="455"/>
    <d v="2023-01-09T00:00:00"/>
    <x v="0"/>
    <m/>
    <m/>
    <m/>
    <x v="0"/>
    <x v="0"/>
    <s v="18264/SPP/008/PUSAT/ICON+/2022"/>
    <n v="4500018966"/>
    <m/>
    <m/>
    <m/>
    <m/>
    <m/>
    <m/>
    <m/>
    <m/>
    <m/>
    <m/>
    <m/>
    <m/>
    <m/>
  </r>
  <r>
    <n v="584"/>
    <x v="159"/>
    <x v="432"/>
    <s v="Jl. Kapt. Subijanto DJ Tangerang 15321"/>
    <m/>
    <m/>
    <s v="Sewa Tahunan"/>
    <x v="2"/>
    <x v="455"/>
    <m/>
    <m/>
    <m/>
    <m/>
    <n v="3000000"/>
    <x v="30"/>
    <m/>
    <n v="3000000"/>
    <x v="5"/>
    <m/>
    <x v="456"/>
    <d v="2023-04-04T00:00:00"/>
    <x v="0"/>
    <m/>
    <m/>
    <m/>
    <x v="0"/>
    <x v="0"/>
    <s v="18218/SPP/008/PUSAT/ICON+/2022"/>
    <n v="4500017772"/>
    <m/>
    <m/>
    <m/>
    <m/>
    <m/>
    <m/>
    <m/>
    <m/>
    <m/>
    <m/>
    <m/>
    <m/>
    <m/>
  </r>
  <r>
    <n v="585"/>
    <x v="12"/>
    <x v="433"/>
    <s v="Jl. HR Rasuna Said BLK X-2 Jakarta Selatan 00000"/>
    <m/>
    <m/>
    <s v="Sewa Tahunan"/>
    <x v="1"/>
    <x v="456"/>
    <m/>
    <m/>
    <m/>
    <m/>
    <s v="-"/>
    <x v="35"/>
    <m/>
    <s v="-"/>
    <x v="12"/>
    <m/>
    <x v="439"/>
    <d v="2023-02-28T00:00:00"/>
    <x v="0"/>
    <m/>
    <m/>
    <m/>
    <x v="0"/>
    <x v="0"/>
    <m/>
    <n v="4500017617"/>
    <m/>
    <m/>
    <m/>
    <m/>
    <m/>
    <m/>
    <m/>
    <m/>
    <m/>
    <m/>
    <m/>
    <m/>
    <m/>
  </r>
  <r>
    <n v="586"/>
    <x v="9"/>
    <x v="434"/>
    <s v="Jl. Jend Sudirman Kav 52-53"/>
    <m/>
    <m/>
    <s v="Sewa Tahunan"/>
    <x v="2"/>
    <x v="457"/>
    <m/>
    <m/>
    <m/>
    <m/>
    <s v="-"/>
    <x v="7"/>
    <m/>
    <s v="-"/>
    <x v="18"/>
    <m/>
    <x v="403"/>
    <d v="2023-12-31T00:00:00"/>
    <x v="0"/>
    <m/>
    <m/>
    <m/>
    <x v="0"/>
    <x v="0"/>
    <s v="17439/SPP/008/PUSAT/ICON+/2022"/>
    <n v="4500017314"/>
    <m/>
    <m/>
    <m/>
    <m/>
    <m/>
    <m/>
    <m/>
    <m/>
    <m/>
    <m/>
    <m/>
    <m/>
    <m/>
  </r>
  <r>
    <n v="587"/>
    <x v="163"/>
    <x v="235"/>
    <s v="Gd. Menara Kadin Lt. 11 "/>
    <m/>
    <m/>
    <s v="Sewa Tahunan"/>
    <x v="0"/>
    <x v="458"/>
    <m/>
    <m/>
    <m/>
    <m/>
    <s v="-"/>
    <x v="2"/>
    <m/>
    <s v="-"/>
    <x v="61"/>
    <m/>
    <x v="457"/>
    <d v="2023-04-12T00:00:00"/>
    <x v="0"/>
    <m/>
    <m/>
    <m/>
    <x v="0"/>
    <x v="0"/>
    <s v="18341/SPP/008/PUSAT/ICON+/2022"/>
    <n v="4500017846"/>
    <m/>
    <m/>
    <m/>
    <m/>
    <m/>
    <m/>
    <m/>
    <m/>
    <m/>
    <m/>
    <m/>
    <m/>
    <m/>
  </r>
  <r>
    <n v="588"/>
    <x v="279"/>
    <x v="435"/>
    <s v="WTP Building Jl Jababeka IV Blok B No. 12 Jbbk Industria Esta Cikarang"/>
    <m/>
    <m/>
    <s v="Sewa Tahunan"/>
    <x v="2"/>
    <x v="459"/>
    <m/>
    <m/>
    <m/>
    <m/>
    <n v="4000000"/>
    <x v="20"/>
    <m/>
    <s v="-"/>
    <x v="232"/>
    <m/>
    <x v="458"/>
    <d v="2023-06-15T00:00:00"/>
    <x v="0"/>
    <m/>
    <m/>
    <m/>
    <x v="0"/>
    <x v="0"/>
    <s v="18418/SPP/008/PUSAT/ICON+/2022"/>
    <n v="4500017900"/>
    <m/>
    <m/>
    <m/>
    <m/>
    <m/>
    <m/>
    <m/>
    <m/>
    <m/>
    <m/>
    <m/>
    <m/>
    <m/>
  </r>
  <r>
    <n v="589"/>
    <x v="0"/>
    <x v="144"/>
    <s v="Jl. Tentara Pelajar Jakarta 12210"/>
    <m/>
    <m/>
    <s v="Sewa Tahunan"/>
    <x v="0"/>
    <x v="238"/>
    <m/>
    <m/>
    <m/>
    <m/>
    <s v="-"/>
    <x v="143"/>
    <m/>
    <s v="-"/>
    <x v="233"/>
    <m/>
    <x v="459"/>
    <d v="2023-04-09T00:00:00"/>
    <x v="0"/>
    <m/>
    <m/>
    <m/>
    <x v="0"/>
    <x v="0"/>
    <s v="18292/SPP/008/PUSAT/ICON+/2022"/>
    <n v="4500017821"/>
    <m/>
    <m/>
    <m/>
    <m/>
    <m/>
    <m/>
    <m/>
    <m/>
    <m/>
    <m/>
    <m/>
    <m/>
    <m/>
  </r>
  <r>
    <n v="590"/>
    <x v="9"/>
    <x v="432"/>
    <s v="Jl. Jend Sudirman Kav 52-53 Jakarta 12190"/>
    <m/>
    <m/>
    <s v="Sewa Tahunan"/>
    <x v="2"/>
    <x v="455"/>
    <m/>
    <m/>
    <m/>
    <m/>
    <n v="6000000"/>
    <x v="30"/>
    <m/>
    <n v="1500000"/>
    <x v="18"/>
    <m/>
    <x v="460"/>
    <d v="2023-04-06T00:00:00"/>
    <x v="0"/>
    <m/>
    <m/>
    <m/>
    <x v="0"/>
    <x v="0"/>
    <s v="18398/SPP/008/PUSAT/ICON+/2022"/>
    <n v="4500017862"/>
    <m/>
    <m/>
    <m/>
    <m/>
    <m/>
    <m/>
    <m/>
    <m/>
    <m/>
    <m/>
    <m/>
    <m/>
    <m/>
  </r>
  <r>
    <n v="591"/>
    <x v="279"/>
    <x v="424"/>
    <s v="WTP Building Jl Jababeka IV Blok B No. 12 Jbbk Industria Esta Cikarang"/>
    <m/>
    <m/>
    <s v="Sewa Tahunan"/>
    <x v="2"/>
    <x v="460"/>
    <m/>
    <m/>
    <m/>
    <m/>
    <n v="3000000"/>
    <x v="238"/>
    <m/>
    <s v="-"/>
    <x v="177"/>
    <m/>
    <x v="461"/>
    <d v="2023-04-20T00:00:00"/>
    <x v="0"/>
    <m/>
    <m/>
    <m/>
    <x v="0"/>
    <x v="0"/>
    <s v="18538/SPP/008/PUSAT/ICON+/2022"/>
    <n v="4500018022"/>
    <m/>
    <m/>
    <m/>
    <m/>
    <m/>
    <m/>
    <m/>
    <m/>
    <m/>
    <m/>
    <m/>
    <m/>
    <m/>
  </r>
  <r>
    <n v="592"/>
    <x v="161"/>
    <x v="323"/>
    <s v="Citra Graha Lantai 4, Suite 403"/>
    <m/>
    <m/>
    <s v="Sewa Tahunan"/>
    <x v="0"/>
    <x v="461"/>
    <m/>
    <m/>
    <m/>
    <m/>
    <s v="-"/>
    <x v="239"/>
    <m/>
    <s v="-"/>
    <x v="234"/>
    <m/>
    <x v="462"/>
    <d v="2023-01-05T00:00:00"/>
    <x v="0"/>
    <m/>
    <m/>
    <m/>
    <x v="0"/>
    <x v="0"/>
    <s v="17680/SPP/008/PUSAT/ICON+/2022"/>
    <n v="4500017683"/>
    <m/>
    <m/>
    <m/>
    <m/>
    <m/>
    <m/>
    <m/>
    <m/>
    <m/>
    <m/>
    <m/>
    <m/>
    <m/>
  </r>
  <r>
    <n v="593"/>
    <x v="167"/>
    <x v="436"/>
    <s v="Ruko Kebayoran Centre Blok A No. 5 Jakarta Selatan 12240"/>
    <m/>
    <m/>
    <s v="Sewa Tahunan"/>
    <x v="0"/>
    <x v="462"/>
    <m/>
    <m/>
    <m/>
    <m/>
    <n v="2500000"/>
    <x v="10"/>
    <m/>
    <n v="4000000"/>
    <x v="163"/>
    <m/>
    <x v="463"/>
    <d v="2023-03-28T00:00:00"/>
    <x v="0"/>
    <m/>
    <m/>
    <m/>
    <x v="0"/>
    <x v="0"/>
    <s v="18419/SPP/008/PUSAT/ICON+/2022"/>
    <n v="4500017906"/>
    <m/>
    <m/>
    <m/>
    <m/>
    <m/>
    <m/>
    <m/>
    <m/>
    <m/>
    <m/>
    <m/>
    <m/>
    <m/>
  </r>
  <r>
    <n v="594"/>
    <x v="281"/>
    <x v="437"/>
    <s v="Jl. TB Simatupang Kav 1S Jakarta 00000"/>
    <m/>
    <m/>
    <s v="Sewa Tahunan"/>
    <x v="0"/>
    <x v="463"/>
    <m/>
    <m/>
    <m/>
    <m/>
    <s v="-"/>
    <x v="63"/>
    <m/>
    <n v="3000000"/>
    <x v="61"/>
    <m/>
    <x v="460"/>
    <d v="2023-04-06T00:00:00"/>
    <x v="0"/>
    <m/>
    <m/>
    <m/>
    <x v="0"/>
    <x v="0"/>
    <s v="18289/SPP/008/PUSAT/ICON+/2022"/>
    <n v="4500017818"/>
    <m/>
    <m/>
    <m/>
    <m/>
    <m/>
    <m/>
    <m/>
    <m/>
    <m/>
    <m/>
    <m/>
    <m/>
    <m/>
  </r>
  <r>
    <n v="595"/>
    <x v="133"/>
    <x v="438"/>
    <s v="Jl. Sunset Road Lingk abianbase 5 Bali 00000"/>
    <m/>
    <m/>
    <s v="Sewa Tahunan"/>
    <x v="2"/>
    <x v="210"/>
    <m/>
    <m/>
    <m/>
    <m/>
    <s v="-"/>
    <x v="2"/>
    <m/>
    <s v="-"/>
    <x v="110"/>
    <m/>
    <x v="464"/>
    <d v="2023-03-04T00:00:00"/>
    <x v="0"/>
    <m/>
    <m/>
    <m/>
    <x v="0"/>
    <x v="0"/>
    <s v="18161/SPP/008/PUSAT/ICON+/2022"/>
    <n v="4500017802"/>
    <m/>
    <m/>
    <m/>
    <m/>
    <m/>
    <m/>
    <m/>
    <m/>
    <m/>
    <m/>
    <m/>
    <m/>
    <m/>
  </r>
  <r>
    <n v="596"/>
    <x v="159"/>
    <x v="439"/>
    <s v="Jl. Kapt. Subijanto DJ Tangerang 15321"/>
    <m/>
    <m/>
    <s v="Sewa Tahunan"/>
    <x v="2"/>
    <x v="464"/>
    <m/>
    <m/>
    <m/>
    <m/>
    <s v="-"/>
    <x v="22"/>
    <m/>
    <s v="-"/>
    <x v="235"/>
    <m/>
    <x v="465"/>
    <d v="2023-04-14T00:00:00"/>
    <x v="0"/>
    <m/>
    <m/>
    <m/>
    <x v="0"/>
    <x v="0"/>
    <s v="18320/SPP/008/PUSAT/ICON+/2022"/>
    <n v="4500017853"/>
    <m/>
    <m/>
    <m/>
    <m/>
    <m/>
    <m/>
    <m/>
    <m/>
    <m/>
    <m/>
    <m/>
    <m/>
    <m/>
  </r>
  <r>
    <n v="597"/>
    <x v="282"/>
    <x v="440"/>
    <m/>
    <m/>
    <m/>
    <s v="Sewa Tahunan"/>
    <x v="0"/>
    <x v="465"/>
    <m/>
    <m/>
    <m/>
    <m/>
    <s v="-"/>
    <x v="240"/>
    <m/>
    <s v="-"/>
    <x v="236"/>
    <m/>
    <x v="201"/>
    <d v="2022-01-31T00:00:00"/>
    <x v="0"/>
    <m/>
    <m/>
    <m/>
    <x v="0"/>
    <x v="0"/>
    <s v="17585/SPP/008/PUSAT/ICON+/2022"/>
    <n v="4500017423"/>
    <m/>
    <m/>
    <m/>
    <m/>
    <m/>
    <m/>
    <m/>
    <m/>
    <m/>
    <m/>
    <m/>
    <m/>
    <m/>
  </r>
  <r>
    <n v="598"/>
    <x v="283"/>
    <x v="441"/>
    <s v="Jl. Yos Sudarso 88 Tj. Priok, Jakarta Utara 14350"/>
    <m/>
    <m/>
    <s v="Sewa Tahunan"/>
    <x v="1"/>
    <x v="466"/>
    <m/>
    <m/>
    <m/>
    <m/>
    <s v="-"/>
    <x v="241"/>
    <m/>
    <s v="-"/>
    <x v="237"/>
    <m/>
    <x v="466"/>
    <d v="2023-09-06T00:00:00"/>
    <x v="0"/>
    <m/>
    <m/>
    <m/>
    <x v="0"/>
    <x v="0"/>
    <s v="19758/SPP/008/PUSAT/ICON+/2022"/>
    <n v="4500018824"/>
    <m/>
    <m/>
    <m/>
    <m/>
    <m/>
    <m/>
    <m/>
    <m/>
    <m/>
    <m/>
    <m/>
    <m/>
    <m/>
  </r>
  <r>
    <n v="599"/>
    <x v="9"/>
    <x v="442"/>
    <s v="Jl. Jend Sudirman Kav 52-53 Jakarta 12190"/>
    <m/>
    <m/>
    <s v="Sewa Tahunan"/>
    <x v="1"/>
    <x v="467"/>
    <m/>
    <m/>
    <m/>
    <m/>
    <s v="-"/>
    <x v="2"/>
    <m/>
    <s v="-"/>
    <x v="18"/>
    <m/>
    <x v="467"/>
    <d v="2023-10-19T00:00:00"/>
    <x v="0"/>
    <m/>
    <m/>
    <m/>
    <x v="0"/>
    <x v="0"/>
    <s v="19624/SPP/008/PUSAT/ICON+/2022"/>
    <n v="4500018866"/>
    <m/>
    <m/>
    <m/>
    <m/>
    <m/>
    <m/>
    <m/>
    <m/>
    <m/>
    <m/>
    <m/>
    <m/>
    <m/>
  </r>
  <r>
    <n v="600"/>
    <x v="9"/>
    <x v="432"/>
    <s v="Jl. Jend Sudirman Kav 52-53 Jakarta 12190"/>
    <m/>
    <m/>
    <s v="Sewa Tahunan"/>
    <x v="2"/>
    <x v="468"/>
    <m/>
    <m/>
    <m/>
    <m/>
    <s v="-"/>
    <x v="35"/>
    <m/>
    <s v="-"/>
    <x v="18"/>
    <m/>
    <x v="468"/>
    <d v="2023-10-23T00:00:00"/>
    <x v="0"/>
    <m/>
    <m/>
    <m/>
    <x v="0"/>
    <x v="0"/>
    <m/>
    <n v="4500018867"/>
    <m/>
    <m/>
    <m/>
    <m/>
    <m/>
    <m/>
    <m/>
    <m/>
    <m/>
    <m/>
    <m/>
    <m/>
    <m/>
  </r>
  <r>
    <n v="601"/>
    <x v="284"/>
    <x v="443"/>
    <s v="Jl. Tomang Raya No. 43 Jakarta Barat 11440"/>
    <m/>
    <m/>
    <s v="Sewa Tahunan"/>
    <x v="0"/>
    <x v="276"/>
    <m/>
    <m/>
    <m/>
    <m/>
    <s v="-"/>
    <x v="161"/>
    <m/>
    <s v="-"/>
    <x v="61"/>
    <m/>
    <x v="403"/>
    <d v="2023-10-31T00:00:00"/>
    <x v="0"/>
    <m/>
    <m/>
    <m/>
    <x v="0"/>
    <x v="0"/>
    <s v="19926/SPP/008/PUSAT/ICON+/2022"/>
    <n v="4500018896"/>
    <m/>
    <m/>
    <m/>
    <m/>
    <m/>
    <m/>
    <m/>
    <m/>
    <m/>
    <m/>
    <m/>
    <m/>
    <m/>
  </r>
  <r>
    <n v="602"/>
    <x v="161"/>
    <x v="444"/>
    <s v="Citra Graha Lantai 4, Suite 403"/>
    <m/>
    <m/>
    <s v="Sewa Tahunan"/>
    <x v="0"/>
    <x v="469"/>
    <m/>
    <m/>
    <m/>
    <m/>
    <s v="-"/>
    <x v="10"/>
    <m/>
    <s v="-"/>
    <x v="10"/>
    <m/>
    <x v="469"/>
    <d v="2023-11-30T00:00:00"/>
    <x v="0"/>
    <m/>
    <m/>
    <m/>
    <x v="0"/>
    <x v="0"/>
    <s v="19940/SPP/008/PUSAT/ICON+/2022"/>
    <n v="4500018893"/>
    <m/>
    <m/>
    <m/>
    <m/>
    <m/>
    <m/>
    <m/>
    <m/>
    <m/>
    <m/>
    <m/>
    <m/>
    <m/>
  </r>
  <r>
    <n v="603"/>
    <x v="75"/>
    <x v="445"/>
    <s v="Jl. Rempoa Raya 11 Ciputat 00000"/>
    <m/>
    <m/>
    <s v="Sewa Tahunan"/>
    <x v="0"/>
    <x v="321"/>
    <m/>
    <m/>
    <m/>
    <m/>
    <s v="-"/>
    <x v="50"/>
    <m/>
    <s v="-"/>
    <x v="161"/>
    <m/>
    <x v="470"/>
    <d v="2023-10-15T00:00:00"/>
    <x v="0"/>
    <m/>
    <m/>
    <m/>
    <x v="0"/>
    <x v="0"/>
    <s v="19850/SPP/008/PUSAT/ICON+/2022"/>
    <n v="4500018886"/>
    <m/>
    <m/>
    <m/>
    <m/>
    <m/>
    <m/>
    <m/>
    <m/>
    <m/>
    <m/>
    <m/>
    <m/>
    <m/>
  </r>
  <r>
    <n v="604"/>
    <x v="9"/>
    <x v="24"/>
    <s v="Jl. Jend Sudirman Kav 52-53 Jakarta 12190"/>
    <m/>
    <m/>
    <s v="Sewa Tahunan"/>
    <x v="2"/>
    <x v="470"/>
    <m/>
    <m/>
    <m/>
    <m/>
    <n v="5000000"/>
    <x v="242"/>
    <m/>
    <n v="1500000"/>
    <x v="18"/>
    <m/>
    <x v="471"/>
    <d v="2023-09-19T00:00:00"/>
    <x v="0"/>
    <m/>
    <m/>
    <m/>
    <x v="0"/>
    <x v="0"/>
    <s v="19912/SPP/008/PUSAT/ICON+/2022"/>
    <n v="4500018909"/>
    <m/>
    <m/>
    <m/>
    <m/>
    <m/>
    <m/>
    <m/>
    <m/>
    <m/>
    <m/>
    <m/>
    <m/>
    <m/>
  </r>
  <r>
    <n v="605"/>
    <x v="285"/>
    <x v="355"/>
    <s v="Jl. Raden Saleh No 13-17 Jakarta Pusat 10430"/>
    <m/>
    <m/>
    <s v="Sewa Tahunan"/>
    <x v="1"/>
    <x v="471"/>
    <m/>
    <m/>
    <m/>
    <m/>
    <s v="-"/>
    <x v="35"/>
    <m/>
    <s v="-"/>
    <x v="238"/>
    <m/>
    <x v="469"/>
    <d v="2023-11-30T00:00:00"/>
    <x v="0"/>
    <m/>
    <m/>
    <m/>
    <x v="0"/>
    <x v="0"/>
    <s v="20462/SPP/008/PUSAT/ICON+/2022"/>
    <n v="4500019427"/>
    <m/>
    <m/>
    <m/>
    <m/>
    <m/>
    <m/>
    <m/>
    <m/>
    <m/>
    <m/>
    <m/>
    <m/>
    <m/>
  </r>
  <r>
    <n v="606"/>
    <x v="8"/>
    <x v="168"/>
    <s v="Jl. Kuningan Barat No. 8 Cyber Building 1st&amp;2nd Jakarta Selatan 12710"/>
    <m/>
    <m/>
    <s v="Sewa Tahunan"/>
    <x v="1"/>
    <x v="245"/>
    <m/>
    <m/>
    <m/>
    <m/>
    <s v="-"/>
    <x v="179"/>
    <m/>
    <s v="-"/>
    <x v="128"/>
    <m/>
    <x v="472"/>
    <d v="2023-08-02T00:00:00"/>
    <x v="0"/>
    <m/>
    <m/>
    <m/>
    <x v="0"/>
    <x v="0"/>
    <s v="19755/SPP/008/PUSAT/ICON+/2022"/>
    <n v="4500018766"/>
    <m/>
    <m/>
    <m/>
    <m/>
    <m/>
    <m/>
    <m/>
    <m/>
    <m/>
    <m/>
    <m/>
    <m/>
    <m/>
  </r>
  <r>
    <n v="607"/>
    <x v="8"/>
    <x v="168"/>
    <s v="Jl. Kuningan Barat No. 8 Cyber Building 1st&amp;2nd Jakarta Selatan 12710"/>
    <m/>
    <m/>
    <s v="Sewa Tahunan"/>
    <x v="2"/>
    <x v="472"/>
    <m/>
    <m/>
    <m/>
    <m/>
    <s v="-"/>
    <x v="16"/>
    <m/>
    <s v="-"/>
    <x v="10"/>
    <m/>
    <x v="473"/>
    <d v="2023-07-31T00:00:00"/>
    <x v="0"/>
    <m/>
    <m/>
    <m/>
    <x v="0"/>
    <x v="0"/>
    <s v="19406/SPP/008/PUSAT/ICON+/2022"/>
    <n v="4500018743"/>
    <m/>
    <m/>
    <m/>
    <m/>
    <m/>
    <m/>
    <m/>
    <m/>
    <m/>
    <m/>
    <m/>
    <m/>
    <m/>
  </r>
  <r>
    <n v="608"/>
    <x v="286"/>
    <x v="446"/>
    <s v="Plaza Sentral Lt. 21 Jend Sudirman Kav 47 Jakarta 12930"/>
    <m/>
    <m/>
    <s v="Sewa Tahunan"/>
    <x v="0"/>
    <x v="333"/>
    <m/>
    <m/>
    <m/>
    <m/>
    <s v="-"/>
    <x v="6"/>
    <m/>
    <s v="-"/>
    <x v="7"/>
    <m/>
    <x v="474"/>
    <d v="2023-07-06T00:00:00"/>
    <x v="0"/>
    <m/>
    <m/>
    <m/>
    <x v="0"/>
    <x v="0"/>
    <s v="19379/SPP/008/PUSAT/ICON+/2022"/>
    <n v="4500018640"/>
    <m/>
    <m/>
    <m/>
    <m/>
    <m/>
    <m/>
    <m/>
    <m/>
    <m/>
    <m/>
    <m/>
    <m/>
    <m/>
  </r>
  <r>
    <n v="609"/>
    <x v="287"/>
    <x v="447"/>
    <s v="Jl. Jend Gatot Subroto Kav. 71-73 Jakarta 12870"/>
    <m/>
    <m/>
    <s v="Sewa Tahunan"/>
    <x v="1"/>
    <x v="473"/>
    <m/>
    <m/>
    <m/>
    <m/>
    <s v="-"/>
    <x v="243"/>
    <m/>
    <s v="-"/>
    <x v="65"/>
    <m/>
    <x v="475"/>
    <d v="2023-08-26T00:00:00"/>
    <x v="0"/>
    <m/>
    <m/>
    <m/>
    <x v="0"/>
    <x v="0"/>
    <s v="19354/SPP/008/PUSAT/ICON+/2022"/>
    <n v="4500018794"/>
    <m/>
    <m/>
    <m/>
    <m/>
    <m/>
    <m/>
    <m/>
    <m/>
    <m/>
    <m/>
    <m/>
    <m/>
    <m/>
  </r>
  <r>
    <n v="610"/>
    <x v="288"/>
    <x v="448"/>
    <s v="Sinar Mas Land Plaza Tower III, B1 Jl. MH Thamrin No. 51 Jakarta 10350"/>
    <m/>
    <m/>
    <s v="Sewa Tahunan"/>
    <x v="1"/>
    <x v="164"/>
    <m/>
    <m/>
    <m/>
    <m/>
    <s v="-"/>
    <x v="16"/>
    <m/>
    <s v="-"/>
    <x v="85"/>
    <m/>
    <x v="476"/>
    <d v="2024-07-29T00:00:00"/>
    <x v="0"/>
    <m/>
    <m/>
    <m/>
    <x v="0"/>
    <x v="0"/>
    <s v="19215/SPP/008/PUSAT/ICON+/2022"/>
    <n v="4500018528"/>
    <m/>
    <m/>
    <m/>
    <m/>
    <m/>
    <m/>
    <m/>
    <m/>
    <m/>
    <m/>
    <m/>
    <m/>
    <m/>
  </r>
  <r>
    <n v="611"/>
    <x v="9"/>
    <x v="449"/>
    <s v="Jl. Jend Sudirman Kav 52-53 Jakarta 12190"/>
    <m/>
    <m/>
    <s v="Sewa Tahunan"/>
    <x v="2"/>
    <x v="474"/>
    <m/>
    <m/>
    <m/>
    <m/>
    <s v="-"/>
    <x v="165"/>
    <m/>
    <s v="-"/>
    <x v="18"/>
    <m/>
    <x v="477"/>
    <d v="2023-06-03T00:00:00"/>
    <x v="0"/>
    <m/>
    <m/>
    <m/>
    <x v="0"/>
    <x v="0"/>
    <s v="18913/SPP/008/PUSAT/ICON+/2022"/>
    <n v="4500018326"/>
    <m/>
    <m/>
    <m/>
    <m/>
    <m/>
    <m/>
    <m/>
    <m/>
    <m/>
    <m/>
    <m/>
    <m/>
    <m/>
  </r>
  <r>
    <n v="612"/>
    <x v="4"/>
    <x v="200"/>
    <s v="Jl. Kuningan Barat 8 Jakarta 12710"/>
    <m/>
    <m/>
    <s v="Sewa Tahunan"/>
    <x v="1"/>
    <x v="306"/>
    <m/>
    <m/>
    <m/>
    <m/>
    <s v="-"/>
    <x v="3"/>
    <m/>
    <s v="-"/>
    <x v="4"/>
    <m/>
    <x v="478"/>
    <d v="2023-05-03T00:00:00"/>
    <x v="0"/>
    <m/>
    <m/>
    <m/>
    <x v="0"/>
    <x v="0"/>
    <s v="18789/SPP/008/PUSAT/ICON+/2022"/>
    <n v="4500018381"/>
    <m/>
    <m/>
    <m/>
    <m/>
    <m/>
    <m/>
    <m/>
    <m/>
    <m/>
    <m/>
    <m/>
    <m/>
    <m/>
  </r>
  <r>
    <n v="613"/>
    <x v="4"/>
    <x v="346"/>
    <s v="Jl. Kuningan Barat 8 Jakarta 12710"/>
    <m/>
    <m/>
    <s v="Sewa Tahunan"/>
    <x v="1"/>
    <x v="368"/>
    <m/>
    <m/>
    <m/>
    <m/>
    <s v="-"/>
    <x v="41"/>
    <m/>
    <s v="-"/>
    <x v="4"/>
    <m/>
    <x v="479"/>
    <d v="2023-06-01T00:00:00"/>
    <x v="0"/>
    <m/>
    <m/>
    <m/>
    <x v="0"/>
    <x v="0"/>
    <s v="18997/SPP/008/PUSAT/ICON+/2022"/>
    <n v="4500018368"/>
    <m/>
    <m/>
    <m/>
    <m/>
    <m/>
    <m/>
    <m/>
    <m/>
    <m/>
    <m/>
    <m/>
    <m/>
    <m/>
  </r>
  <r>
    <n v="614"/>
    <x v="289"/>
    <x v="450"/>
    <s v="Tebet Raya 009 RT 009 RW 005 45d Tebet 00000"/>
    <m/>
    <m/>
    <s v="Sewa Tahunan"/>
    <x v="1"/>
    <x v="475"/>
    <m/>
    <m/>
    <m/>
    <m/>
    <s v="-"/>
    <x v="60"/>
    <m/>
    <s v="-"/>
    <x v="239"/>
    <m/>
    <x v="480"/>
    <d v="2023-09-09T00:00:00"/>
    <x v="0"/>
    <m/>
    <m/>
    <m/>
    <x v="0"/>
    <x v="0"/>
    <s v="19562/SPP/008/PUSAT/ICON+/2022"/>
    <n v="4500018692"/>
    <m/>
    <m/>
    <m/>
    <m/>
    <m/>
    <m/>
    <m/>
    <m/>
    <m/>
    <m/>
    <m/>
    <m/>
    <m/>
  </r>
  <r>
    <n v="615"/>
    <x v="290"/>
    <x v="451"/>
    <s v="Jl. Lingkar Luar Barat Kavling 88 Jakarta Barat 00000"/>
    <m/>
    <m/>
    <s v="Sewa Tahunan"/>
    <x v="1"/>
    <x v="476"/>
    <m/>
    <m/>
    <m/>
    <m/>
    <n v="3000000"/>
    <x v="2"/>
    <m/>
    <s v="-"/>
    <x v="14"/>
    <m/>
    <x v="481"/>
    <d v="2023-09-30T00:00:00"/>
    <x v="0"/>
    <m/>
    <m/>
    <m/>
    <x v="0"/>
    <x v="0"/>
    <s v="19787/SPP/008/PUSAT/ICON+/2022"/>
    <n v="4500018900"/>
    <m/>
    <m/>
    <m/>
    <m/>
    <m/>
    <m/>
    <m/>
    <m/>
    <m/>
    <m/>
    <m/>
    <m/>
    <m/>
  </r>
  <r>
    <n v="616"/>
    <x v="165"/>
    <x v="39"/>
    <s v="Jl. MH. Thamrin 1 Jakarta Pusat 10310"/>
    <m/>
    <m/>
    <s v="Sewa Tahunan"/>
    <x v="0"/>
    <x v="477"/>
    <m/>
    <m/>
    <m/>
    <m/>
    <s v="-"/>
    <x v="3"/>
    <m/>
    <s v="-"/>
    <x v="110"/>
    <m/>
    <x v="403"/>
    <d v="2023-10-31T00:00:00"/>
    <x v="0"/>
    <m/>
    <m/>
    <m/>
    <x v="0"/>
    <x v="0"/>
    <s v="19706/SPP/008/PUSAT/ICON+/2022"/>
    <n v="4500018817"/>
    <m/>
    <m/>
    <m/>
    <m/>
    <m/>
    <m/>
    <m/>
    <m/>
    <m/>
    <m/>
    <m/>
    <m/>
    <m/>
  </r>
  <r>
    <n v="617"/>
    <x v="291"/>
    <x v="452"/>
    <s v="Jl. Gatot Subroto Jakarta 10270"/>
    <m/>
    <m/>
    <s v="Sewa Tahunan"/>
    <x v="0"/>
    <x v="478"/>
    <m/>
    <m/>
    <m/>
    <m/>
    <s v="-"/>
    <x v="244"/>
    <m/>
    <s v="-"/>
    <x v="240"/>
    <m/>
    <x v="482"/>
    <d v="2023-09-07T00:00:00"/>
    <x v="0"/>
    <m/>
    <m/>
    <m/>
    <x v="0"/>
    <x v="0"/>
    <s v="19770/SPP/008/PUSAT/ICON+/2022"/>
    <n v="4500018772"/>
    <m/>
    <m/>
    <m/>
    <m/>
    <m/>
    <m/>
    <m/>
    <m/>
    <m/>
    <m/>
    <m/>
    <m/>
    <m/>
  </r>
  <r>
    <n v="618"/>
    <x v="292"/>
    <x v="26"/>
    <s v="Gd. TCC Batavia Tower One Lt. 16 Jakarta Pusat 00000"/>
    <m/>
    <m/>
    <s v="Sewa Tahunan"/>
    <x v="0"/>
    <x v="479"/>
    <m/>
    <m/>
    <m/>
    <m/>
    <s v="-"/>
    <x v="35"/>
    <m/>
    <s v="-"/>
    <x v="35"/>
    <m/>
    <x v="483"/>
    <d v="2023-10-09T00:00:00"/>
    <x v="0"/>
    <m/>
    <m/>
    <m/>
    <x v="0"/>
    <x v="0"/>
    <s v="19678/SPP/008/PUSAT/ICON+/2022"/>
    <n v="4500018777"/>
    <m/>
    <m/>
    <m/>
    <m/>
    <m/>
    <m/>
    <m/>
    <m/>
    <m/>
    <m/>
    <m/>
    <m/>
    <m/>
  </r>
  <r>
    <n v="619"/>
    <x v="161"/>
    <x v="45"/>
    <s v="Citra Graha Lantai 4, Suite 403 Jakarta 12950"/>
    <m/>
    <m/>
    <s v="Sewa Tahunan"/>
    <x v="0"/>
    <x v="480"/>
    <m/>
    <m/>
    <m/>
    <m/>
    <s v="-"/>
    <x v="245"/>
    <m/>
    <s v="-"/>
    <x v="241"/>
    <m/>
    <x v="484"/>
    <d v="2023-04-13T00:00:00"/>
    <x v="0"/>
    <m/>
    <m/>
    <m/>
    <x v="0"/>
    <x v="0"/>
    <s v="19712/SPP/008/PUSAT/ICON+/2022"/>
    <n v="4500018776"/>
    <m/>
    <m/>
    <m/>
    <m/>
    <m/>
    <m/>
    <m/>
    <m/>
    <m/>
    <m/>
    <m/>
    <m/>
    <m/>
  </r>
  <r>
    <n v="620"/>
    <x v="291"/>
    <x v="453"/>
    <s v="Jl. Gatot Subroto Jakarta 10270"/>
    <m/>
    <m/>
    <s v="Sewa Tahunan"/>
    <x v="0"/>
    <x v="216"/>
    <m/>
    <m/>
    <m/>
    <m/>
    <s v="-"/>
    <x v="246"/>
    <m/>
    <s v="-"/>
    <x v="242"/>
    <m/>
    <x v="485"/>
    <d v="2023-07-08T00:00:00"/>
    <x v="0"/>
    <m/>
    <m/>
    <m/>
    <x v="0"/>
    <x v="0"/>
    <s v="19107/SPP/008/PUSAT/ICON+/2022"/>
    <n v="4500018399"/>
    <m/>
    <m/>
    <m/>
    <m/>
    <m/>
    <m/>
    <m/>
    <m/>
    <m/>
    <m/>
    <m/>
    <m/>
    <m/>
  </r>
  <r>
    <n v="621"/>
    <x v="161"/>
    <x v="340"/>
    <s v="Citra Graha Lantai 4, Suite 403 Jakarta 12950"/>
    <m/>
    <m/>
    <s v="Sewa Tahunan"/>
    <x v="0"/>
    <x v="481"/>
    <m/>
    <m/>
    <m/>
    <m/>
    <s v="-"/>
    <x v="247"/>
    <m/>
    <s v="-"/>
    <x v="56"/>
    <m/>
    <x v="486"/>
    <d v="2023-06-30T00:00:00"/>
    <x v="0"/>
    <m/>
    <m/>
    <m/>
    <x v="0"/>
    <x v="0"/>
    <s v="19010/SPP/008/PUSAT/ICON+/2022"/>
    <n v="4500018397"/>
    <m/>
    <m/>
    <m/>
    <m/>
    <m/>
    <m/>
    <m/>
    <m/>
    <m/>
    <m/>
    <m/>
    <m/>
    <m/>
  </r>
  <r>
    <n v="622"/>
    <x v="293"/>
    <x v="454"/>
    <s v="Jl. Embong Tanjung No. 40 Surabaya 60271"/>
    <m/>
    <m/>
    <s v="Sewa Tahunan"/>
    <x v="2"/>
    <x v="482"/>
    <m/>
    <m/>
    <m/>
    <m/>
    <n v="2500000"/>
    <x v="59"/>
    <m/>
    <n v="500000"/>
    <x v="216"/>
    <m/>
    <x v="487"/>
    <d v="2023-07-26T00:00:00"/>
    <x v="0"/>
    <m/>
    <m/>
    <m/>
    <x v="0"/>
    <x v="0"/>
    <s v="19206/SPP/008/PUSAT/ICON+/2022"/>
    <n v="4500018439"/>
    <m/>
    <m/>
    <m/>
    <m/>
    <m/>
    <m/>
    <m/>
    <m/>
    <m/>
    <m/>
    <m/>
    <m/>
    <m/>
  </r>
  <r>
    <n v="623"/>
    <x v="240"/>
    <x v="355"/>
    <m/>
    <m/>
    <m/>
    <s v="Sewa Tahunan"/>
    <x v="1"/>
    <x v="483"/>
    <m/>
    <m/>
    <m/>
    <m/>
    <s v="-"/>
    <x v="204"/>
    <m/>
    <s v="-"/>
    <x v="243"/>
    <m/>
    <x v="488"/>
    <d v="2023-03-24T00:00:00"/>
    <x v="0"/>
    <m/>
    <m/>
    <m/>
    <x v="0"/>
    <x v="0"/>
    <s v="18234/SPP/008/PUSAT/ICON+/2022"/>
    <n v="4500017899"/>
    <m/>
    <m/>
    <m/>
    <m/>
    <m/>
    <m/>
    <m/>
    <m/>
    <m/>
    <m/>
    <m/>
    <m/>
    <m/>
  </r>
  <r>
    <n v="624"/>
    <x v="9"/>
    <x v="455"/>
    <s v="Jl. Jend Sudirman Kav 52-53 Jakarta 12190"/>
    <m/>
    <m/>
    <s v="Sewa Tahunan"/>
    <x v="1"/>
    <x v="56"/>
    <m/>
    <m/>
    <m/>
    <m/>
    <s v="-"/>
    <x v="35"/>
    <m/>
    <s v="-"/>
    <x v="18"/>
    <m/>
    <x v="255"/>
    <d v="2023-06-23T00:00:00"/>
    <x v="0"/>
    <m/>
    <m/>
    <m/>
    <x v="0"/>
    <x v="0"/>
    <m/>
    <n v="4500018254"/>
    <m/>
    <m/>
    <m/>
    <m/>
    <m/>
    <m/>
    <m/>
    <m/>
    <m/>
    <m/>
    <m/>
    <m/>
    <m/>
  </r>
  <r>
    <n v="625"/>
    <x v="9"/>
    <x v="455"/>
    <s v="Jl. Jend Sudirman Kav 52-53 Jakarta 12190"/>
    <m/>
    <m/>
    <s v="Sewa Tahunan"/>
    <x v="1"/>
    <x v="54"/>
    <m/>
    <m/>
    <m/>
    <m/>
    <s v="-"/>
    <x v="39"/>
    <m/>
    <s v="-"/>
    <x v="18"/>
    <m/>
    <x v="255"/>
    <d v="2023-06-23T00:00:00"/>
    <x v="0"/>
    <m/>
    <m/>
    <m/>
    <x v="0"/>
    <x v="0"/>
    <s v="18902/SPP/008/PUSAT/ICON+/2022"/>
    <n v="4500018225"/>
    <m/>
    <m/>
    <m/>
    <m/>
    <m/>
    <m/>
    <m/>
    <m/>
    <m/>
    <m/>
    <m/>
    <m/>
    <m/>
  </r>
  <r>
    <n v="626"/>
    <x v="9"/>
    <x v="432"/>
    <s v="Jl. Jend Sudirman Kav 52-53 Jakarta 12190"/>
    <m/>
    <m/>
    <s v="Sewa Tahunan"/>
    <x v="2"/>
    <x v="371"/>
    <m/>
    <m/>
    <m/>
    <m/>
    <n v="19500000"/>
    <x v="16"/>
    <m/>
    <s v="-"/>
    <x v="79"/>
    <m/>
    <x v="489"/>
    <d v="2023-05-04T00:00:00"/>
    <x v="0"/>
    <m/>
    <m/>
    <m/>
    <x v="0"/>
    <x v="0"/>
    <s v="18845/SPP/008/PUSAT/ICON+/2022"/>
    <n v="4500018256"/>
    <m/>
    <m/>
    <m/>
    <m/>
    <m/>
    <m/>
    <m/>
    <m/>
    <m/>
    <m/>
    <m/>
    <m/>
    <m/>
  </r>
  <r>
    <n v="627"/>
    <x v="44"/>
    <x v="456"/>
    <s v="Jl. Kuningan Barat 8 Jakarta 12710"/>
    <m/>
    <m/>
    <s v="Sewa Tahunan"/>
    <x v="2"/>
    <x v="67"/>
    <m/>
    <m/>
    <m/>
    <m/>
    <n v="208400000"/>
    <x v="248"/>
    <m/>
    <s v="-"/>
    <x v="130"/>
    <m/>
    <x v="449"/>
    <d v="2023-03-31T00:00:00"/>
    <x v="0"/>
    <m/>
    <m/>
    <m/>
    <x v="0"/>
    <x v="0"/>
    <s v="18423/SPP/008/PUSAT/ICON+/2022"/>
    <n v="4500018004"/>
    <m/>
    <m/>
    <m/>
    <m/>
    <m/>
    <m/>
    <m/>
    <m/>
    <m/>
    <m/>
    <m/>
    <m/>
    <m/>
  </r>
  <r>
    <n v="628"/>
    <x v="4"/>
    <x v="95"/>
    <s v="Jl. Kuningan Barat 8 Jakarta 12710"/>
    <m/>
    <m/>
    <s v="Sewa Tahunan"/>
    <x v="1"/>
    <x v="182"/>
    <m/>
    <m/>
    <m/>
    <m/>
    <s v="-"/>
    <x v="104"/>
    <m/>
    <s v="-"/>
    <x v="82"/>
    <m/>
    <x v="446"/>
    <d v="2023-05-09T00:00:00"/>
    <x v="0"/>
    <m/>
    <m/>
    <m/>
    <x v="0"/>
    <x v="0"/>
    <s v="18804/SPP/008/PUSAT/ICON+/2022"/>
    <n v="4500018222"/>
    <m/>
    <m/>
    <m/>
    <m/>
    <m/>
    <m/>
    <m/>
    <m/>
    <m/>
    <m/>
    <m/>
    <m/>
    <m/>
  </r>
  <r>
    <n v="629"/>
    <x v="294"/>
    <x v="30"/>
    <s v="Gd JITC Lt 7&amp;8 Jl. Mangga Dua Jakarta Utara 14430"/>
    <m/>
    <m/>
    <s v="Sewa Tahunan"/>
    <x v="1"/>
    <x v="484"/>
    <m/>
    <m/>
    <m/>
    <m/>
    <s v="-"/>
    <x v="1"/>
    <m/>
    <s v="-"/>
    <x v="244"/>
    <m/>
    <x v="490"/>
    <d v="2023-04-11T00:00:00"/>
    <x v="0"/>
    <m/>
    <m/>
    <m/>
    <x v="0"/>
    <x v="0"/>
    <s v="18242/SPP/008/PUSAT/ICON+/2022"/>
    <n v="4500017925"/>
    <m/>
    <m/>
    <m/>
    <m/>
    <m/>
    <m/>
    <m/>
    <m/>
    <m/>
    <m/>
    <m/>
    <m/>
    <m/>
  </r>
  <r>
    <n v="630"/>
    <x v="158"/>
    <x v="457"/>
    <s v="Jl. Mangga Dua Raya Jakarta Pusat 10730"/>
    <m/>
    <m/>
    <s v="Sewa Tahunan"/>
    <x v="1"/>
    <x v="485"/>
    <m/>
    <m/>
    <m/>
    <m/>
    <s v="-"/>
    <x v="249"/>
    <m/>
    <s v="-"/>
    <x v="29"/>
    <m/>
    <x v="491"/>
    <d v="2023-06-10T00:00:00"/>
    <x v="0"/>
    <m/>
    <m/>
    <m/>
    <x v="0"/>
    <x v="0"/>
    <s v="19009/SPP/008/PUSAT/ICON+/2022"/>
    <n v="4500018283"/>
    <m/>
    <m/>
    <m/>
    <m/>
    <m/>
    <m/>
    <m/>
    <m/>
    <m/>
    <m/>
    <m/>
    <m/>
    <m/>
  </r>
  <r>
    <n v="631"/>
    <x v="131"/>
    <x v="458"/>
    <s v="Jl. Jend Sudirman Kav 10-11 Jakarta Pusat 00000"/>
    <m/>
    <m/>
    <s v="Sewa Tahunan"/>
    <x v="2"/>
    <x v="159"/>
    <m/>
    <m/>
    <m/>
    <m/>
    <s v="-"/>
    <x v="106"/>
    <m/>
    <s v="-"/>
    <x v="16"/>
    <m/>
    <x v="442"/>
    <d v="2023-05-14T00:00:00"/>
    <x v="0"/>
    <m/>
    <m/>
    <m/>
    <x v="0"/>
    <x v="0"/>
    <s v="18807/SPP/008/PUSAT/ICON+/2022"/>
    <n v="4500018096"/>
    <m/>
    <m/>
    <m/>
    <m/>
    <m/>
    <m/>
    <m/>
    <m/>
    <m/>
    <m/>
    <m/>
    <m/>
    <m/>
  </r>
  <r>
    <n v="632"/>
    <x v="9"/>
    <x v="53"/>
    <s v="Jl. Jend Sudirman Kav 52-53 Jakarta 12190"/>
    <m/>
    <m/>
    <s v="Sewa Tahunan"/>
    <x v="1"/>
    <x v="56"/>
    <m/>
    <m/>
    <m/>
    <m/>
    <s v="-"/>
    <x v="35"/>
    <m/>
    <s v="-"/>
    <x v="18"/>
    <m/>
    <x v="458"/>
    <d v="2023-06-15T00:00:00"/>
    <x v="0"/>
    <m/>
    <m/>
    <m/>
    <x v="0"/>
    <x v="0"/>
    <s v="18904/SPP/008/PUSAT/ICON+/2022"/>
    <n v="4500018219"/>
    <m/>
    <m/>
    <m/>
    <m/>
    <m/>
    <m/>
    <m/>
    <m/>
    <m/>
    <m/>
    <m/>
    <m/>
    <m/>
  </r>
  <r>
    <n v="633"/>
    <x v="88"/>
    <x v="459"/>
    <s v="Jl. Angkasa Kemayoran Jakarta 10610"/>
    <m/>
    <m/>
    <s v="Sewa Tahunan"/>
    <x v="1"/>
    <x v="486"/>
    <m/>
    <m/>
    <m/>
    <m/>
    <s v="-"/>
    <x v="250"/>
    <m/>
    <s v="-"/>
    <x v="245"/>
    <m/>
    <x v="492"/>
    <d v="2023-05-15T00:00:00"/>
    <x v="0"/>
    <m/>
    <m/>
    <m/>
    <x v="0"/>
    <x v="0"/>
    <s v="17858/SPP/008/PUSAT/ICON+/2022"/>
    <n v="4500018014"/>
    <m/>
    <m/>
    <m/>
    <m/>
    <m/>
    <m/>
    <m/>
    <m/>
    <m/>
    <m/>
    <m/>
    <m/>
    <m/>
  </r>
  <r>
    <n v="634"/>
    <x v="190"/>
    <x v="275"/>
    <s v="Jl. Jend Sudirman Kav 58 Gedung Graha Niaga 1 Jakarta 12190"/>
    <m/>
    <m/>
    <s v="Sewa Tahunan"/>
    <x v="1"/>
    <x v="305"/>
    <m/>
    <m/>
    <m/>
    <m/>
    <s v="-"/>
    <x v="174"/>
    <m/>
    <s v="-"/>
    <x v="246"/>
    <m/>
    <x v="493"/>
    <d v="2023-07-20T00:00:00"/>
    <x v="0"/>
    <m/>
    <m/>
    <m/>
    <x v="0"/>
    <x v="0"/>
    <s v="18846/SPP/008/PUSAT/ICON+/2022"/>
    <n v="4500018224"/>
    <m/>
    <m/>
    <m/>
    <m/>
    <m/>
    <m/>
    <m/>
    <m/>
    <m/>
    <m/>
    <m/>
    <m/>
    <m/>
  </r>
  <r>
    <n v="635"/>
    <x v="295"/>
    <x v="460"/>
    <s v="Jl. Balirejo RT. 24 RW. 08 No. 12 Yogyakarta 55165"/>
    <m/>
    <m/>
    <s v="Sewa Tahunan"/>
    <x v="1"/>
    <x v="487"/>
    <m/>
    <m/>
    <m/>
    <m/>
    <s v="-"/>
    <x v="251"/>
    <m/>
    <s v="-"/>
    <x v="85"/>
    <m/>
    <x v="494"/>
    <d v="2023-05-07T00:00:00"/>
    <x v="0"/>
    <m/>
    <m/>
    <m/>
    <x v="0"/>
    <x v="0"/>
    <s v="18416/SPP/008/PUSAT/ICON+/2022"/>
    <n v="4500018073"/>
    <m/>
    <m/>
    <m/>
    <m/>
    <m/>
    <m/>
    <m/>
    <m/>
    <m/>
    <m/>
    <m/>
    <m/>
    <m/>
  </r>
  <r>
    <n v="636"/>
    <x v="296"/>
    <x v="461"/>
    <s v="Pangeran Antasari 18 A Jakarta 12410"/>
    <m/>
    <m/>
    <s v="Sewa Tahunan"/>
    <x v="0"/>
    <x v="488"/>
    <m/>
    <m/>
    <m/>
    <m/>
    <s v="-"/>
    <x v="252"/>
    <m/>
    <s v="-"/>
    <x v="88"/>
    <m/>
    <x v="495"/>
    <d v="2023-09-20T00:00:00"/>
    <x v="0"/>
    <m/>
    <m/>
    <m/>
    <x v="0"/>
    <x v="0"/>
    <s v="19743/SPP/008/PUSAT/ICON+/2022"/>
    <n v="4500018820"/>
    <m/>
    <m/>
    <m/>
    <m/>
    <m/>
    <m/>
    <m/>
    <m/>
    <m/>
    <m/>
    <m/>
    <m/>
    <m/>
  </r>
  <r>
    <n v="637"/>
    <x v="9"/>
    <x v="434"/>
    <s v="Jl. Jend Sudirman Kav 52-53 Jakarta 12190"/>
    <m/>
    <m/>
    <s v="Sewa Tahunan"/>
    <x v="2"/>
    <x v="457"/>
    <m/>
    <m/>
    <m/>
    <m/>
    <s v="-"/>
    <x v="7"/>
    <m/>
    <s v="-"/>
    <x v="18"/>
    <m/>
    <x v="403"/>
    <d v="2023-10-31T00:00:00"/>
    <x v="0"/>
    <m/>
    <m/>
    <m/>
    <x v="0"/>
    <x v="0"/>
    <s v="20182/SPP/008/PUSAT/ICON+/2022"/>
    <n v="4500019324"/>
    <m/>
    <m/>
    <m/>
    <m/>
    <m/>
    <m/>
    <m/>
    <m/>
    <m/>
    <m/>
    <m/>
    <m/>
    <m/>
  </r>
  <r>
    <n v="638"/>
    <x v="9"/>
    <x v="462"/>
    <s v="Jl. Jend Sudirman Kav 52-53 Jakarta 12190"/>
    <m/>
    <m/>
    <s v="Sewa Tahunan"/>
    <x v="2"/>
    <x v="489"/>
    <m/>
    <m/>
    <m/>
    <m/>
    <s v="-"/>
    <x v="118"/>
    <m/>
    <s v="-"/>
    <x v="10"/>
    <m/>
    <x v="496"/>
    <d v="2023-10-25T00:00:00"/>
    <x v="0"/>
    <m/>
    <m/>
    <m/>
    <x v="0"/>
    <x v="0"/>
    <s v="20239/SPP/008/PUSAT/ICON+/2022"/>
    <n v="4500019325"/>
    <m/>
    <m/>
    <m/>
    <m/>
    <m/>
    <m/>
    <m/>
    <m/>
    <m/>
    <m/>
    <m/>
    <m/>
    <m/>
  </r>
  <r>
    <n v="639"/>
    <x v="95"/>
    <x v="229"/>
    <s v="Jl. Kuningan Barat 8 Jakarta 12710"/>
    <m/>
    <m/>
    <s v="Sewa Tahunan"/>
    <x v="1"/>
    <x v="67"/>
    <m/>
    <m/>
    <m/>
    <m/>
    <s v="-"/>
    <x v="41"/>
    <m/>
    <s v="-"/>
    <x v="16"/>
    <m/>
    <x v="497"/>
    <d v="2023-10-28T00:00:00"/>
    <x v="0"/>
    <m/>
    <m/>
    <m/>
    <x v="0"/>
    <x v="0"/>
    <m/>
    <n v="4500019399"/>
    <m/>
    <m/>
    <m/>
    <m/>
    <m/>
    <m/>
    <m/>
    <m/>
    <m/>
    <m/>
    <m/>
    <m/>
    <m/>
  </r>
  <r>
    <n v="640"/>
    <x v="75"/>
    <x v="58"/>
    <s v="Jl. Rempoa Raya 11 Ciputat 00000"/>
    <m/>
    <m/>
    <s v="Sewa Tahunan"/>
    <x v="1"/>
    <x v="490"/>
    <m/>
    <m/>
    <m/>
    <m/>
    <s v="-"/>
    <x v="126"/>
    <m/>
    <s v="-"/>
    <x v="187"/>
    <m/>
    <x v="498"/>
    <d v="2023-11-18T00:00:00"/>
    <x v="0"/>
    <m/>
    <m/>
    <m/>
    <x v="0"/>
    <x v="0"/>
    <m/>
    <n v="4500019400"/>
    <m/>
    <m/>
    <m/>
    <m/>
    <m/>
    <m/>
    <m/>
    <m/>
    <m/>
    <m/>
    <m/>
    <m/>
    <m/>
  </r>
  <r>
    <n v="641"/>
    <x v="297"/>
    <x v="463"/>
    <s v="Jl. Gatot Subroto Kav 38 38 Jakarta Selatan 00000"/>
    <m/>
    <m/>
    <s v="Sewa Tahunan"/>
    <x v="1"/>
    <x v="491"/>
    <m/>
    <m/>
    <m/>
    <m/>
    <s v="-"/>
    <x v="216"/>
    <m/>
    <s v="-"/>
    <x v="4"/>
    <m/>
    <x v="469"/>
    <d v="2023-11-30T00:00:00"/>
    <x v="0"/>
    <m/>
    <m/>
    <m/>
    <x v="0"/>
    <x v="0"/>
    <s v="19356/SPP/008/PUSAT/ICON+/2022"/>
    <n v="4500019237"/>
    <m/>
    <m/>
    <m/>
    <m/>
    <m/>
    <m/>
    <m/>
    <m/>
    <m/>
    <m/>
    <m/>
    <m/>
    <m/>
  </r>
  <r>
    <n v="642"/>
    <x v="162"/>
    <x v="157"/>
    <s v="Jl. Kuningan Barat 8 Cyber Building 7 Jakarta Selatan 12170"/>
    <m/>
    <m/>
    <s v="Sewa Tahunan"/>
    <x v="1"/>
    <x v="67"/>
    <m/>
    <m/>
    <m/>
    <m/>
    <s v="-"/>
    <x v="41"/>
    <m/>
    <s v="-"/>
    <x v="247"/>
    <m/>
    <x v="499"/>
    <d v="2023-10-13T00:00:00"/>
    <x v="0"/>
    <m/>
    <m/>
    <m/>
    <x v="0"/>
    <x v="0"/>
    <s v="20204/SPP/008/PUSAT/ICON+/2022"/>
    <n v="4500019285"/>
    <m/>
    <m/>
    <m/>
    <m/>
    <m/>
    <m/>
    <m/>
    <m/>
    <m/>
    <m/>
    <m/>
    <m/>
    <m/>
  </r>
  <r>
    <n v="643"/>
    <x v="298"/>
    <x v="464"/>
    <s v="Jl. TB Simatupang No. 1 Jakarta Selatan 12530"/>
    <m/>
    <m/>
    <s v="Sewa Tahunan"/>
    <x v="1"/>
    <x v="492"/>
    <m/>
    <m/>
    <m/>
    <m/>
    <n v="1500000"/>
    <x v="231"/>
    <m/>
    <s v="-"/>
    <x v="248"/>
    <m/>
    <x v="500"/>
    <d v="2023-11-02T00:00:00"/>
    <x v="0"/>
    <m/>
    <m/>
    <m/>
    <x v="0"/>
    <x v="0"/>
    <s v="20511/SPP/008/PUSAT/ICON+/2022"/>
    <n v="4500019394"/>
    <m/>
    <m/>
    <m/>
    <m/>
    <m/>
    <m/>
    <m/>
    <m/>
    <m/>
    <m/>
    <m/>
    <m/>
    <m/>
  </r>
  <r>
    <n v="644"/>
    <x v="8"/>
    <x v="157"/>
    <s v="Jl.Kuningan Barat No. 8 Cyber Building 1st&amp;2nd Jakarta Selatan 12710"/>
    <m/>
    <m/>
    <s v="Sewa Tahunan"/>
    <x v="2"/>
    <x v="67"/>
    <m/>
    <m/>
    <m/>
    <m/>
    <s v="-"/>
    <x v="41"/>
    <m/>
    <s v="-"/>
    <x v="10"/>
    <m/>
    <x v="501"/>
    <d v="2023-10-05T00:00:00"/>
    <x v="0"/>
    <m/>
    <m/>
    <m/>
    <x v="0"/>
    <x v="0"/>
    <s v="20312/SPP/008/PUSAT/ICON+/2022"/>
    <n v="4500019391"/>
    <m/>
    <m/>
    <m/>
    <m/>
    <m/>
    <m/>
    <m/>
    <m/>
    <m/>
    <m/>
    <m/>
    <m/>
    <m/>
  </r>
  <r>
    <n v="645"/>
    <x v="8"/>
    <x v="182"/>
    <s v="Jl. Kuningan Barat No. 8 Cyber Building 1st&amp;2nd Jakarta Selatan 12710"/>
    <m/>
    <m/>
    <s v="Sewa Tahunan"/>
    <x v="2"/>
    <x v="493"/>
    <m/>
    <m/>
    <m/>
    <m/>
    <s v="-"/>
    <x v="5"/>
    <m/>
    <s v="-"/>
    <x v="10"/>
    <m/>
    <x v="499"/>
    <d v="2023-10-13T00:00:00"/>
    <x v="0"/>
    <m/>
    <m/>
    <m/>
    <x v="0"/>
    <x v="0"/>
    <s v="20306/SPP/008/PUSAT/ICON+/2022"/>
    <n v="4500019390"/>
    <m/>
    <m/>
    <m/>
    <m/>
    <m/>
    <m/>
    <m/>
    <m/>
    <m/>
    <m/>
    <m/>
    <m/>
    <m/>
  </r>
  <r>
    <n v="646"/>
    <x v="8"/>
    <x v="465"/>
    <m/>
    <m/>
    <m/>
    <s v="Sewa Tahunan"/>
    <x v="2"/>
    <x v="494"/>
    <m/>
    <m/>
    <m/>
    <m/>
    <n v="13000000"/>
    <x v="253"/>
    <m/>
    <s v="-"/>
    <x v="18"/>
    <m/>
    <x v="502"/>
    <d v="2023-11-15T00:00:00"/>
    <x v="0"/>
    <m/>
    <m/>
    <m/>
    <x v="0"/>
    <x v="0"/>
    <s v="20541/SPP/008/PUSAT/ICON+/2022"/>
    <n v="4500019440"/>
    <m/>
    <m/>
    <m/>
    <m/>
    <m/>
    <m/>
    <m/>
    <m/>
    <m/>
    <m/>
    <m/>
    <m/>
    <m/>
  </r>
  <r>
    <n v="647"/>
    <x v="8"/>
    <x v="157"/>
    <s v="Jl. Kuningan Barat No. 8 Cyber Building 1st&amp;2nd Jakarta Selatan 12710"/>
    <m/>
    <m/>
    <s v="Sewa Tahunan"/>
    <x v="2"/>
    <x v="67"/>
    <m/>
    <m/>
    <m/>
    <m/>
    <s v="-"/>
    <x v="41"/>
    <m/>
    <s v="-"/>
    <x v="18"/>
    <m/>
    <x v="503"/>
    <d v="2023-11-10T00:00:00"/>
    <x v="0"/>
    <m/>
    <m/>
    <m/>
    <x v="0"/>
    <x v="0"/>
    <s v="20518/SPP/008/PUSAT/ICON+/2022"/>
    <n v="4500019383"/>
    <m/>
    <m/>
    <m/>
    <m/>
    <m/>
    <m/>
    <m/>
    <m/>
    <m/>
    <m/>
    <m/>
    <m/>
    <m/>
  </r>
  <r>
    <n v="648"/>
    <x v="75"/>
    <x v="466"/>
    <s v="Jl Rempoa Raya 11 Ciputat 00000"/>
    <m/>
    <m/>
    <s v="Sewa Tahunan"/>
    <x v="0"/>
    <x v="68"/>
    <m/>
    <m/>
    <m/>
    <m/>
    <s v="-"/>
    <x v="229"/>
    <m/>
    <s v="-"/>
    <x v="38"/>
    <m/>
    <x v="483"/>
    <d v="2023-12-09T00:00:00"/>
    <x v="0"/>
    <m/>
    <m/>
    <m/>
    <x v="0"/>
    <x v="0"/>
    <s v="20498/SPP/008/PUSAT/ICON+/2022"/>
    <n v="4500019393"/>
    <m/>
    <m/>
    <m/>
    <m/>
    <m/>
    <m/>
    <m/>
    <m/>
    <m/>
    <m/>
    <m/>
    <m/>
    <m/>
  </r>
  <r>
    <n v="649"/>
    <x v="299"/>
    <x v="467"/>
    <s v="Gd. Menara BTPN Lt. 9 Jakarta Selatan 12950"/>
    <m/>
    <m/>
    <s v="Sewa Tahunan"/>
    <x v="1"/>
    <x v="495"/>
    <m/>
    <m/>
    <m/>
    <m/>
    <s v="-"/>
    <x v="224"/>
    <m/>
    <s v="-"/>
    <x v="249"/>
    <m/>
    <x v="504"/>
    <d v="2023-12-31T00:00:00"/>
    <x v="0"/>
    <m/>
    <m/>
    <m/>
    <x v="0"/>
    <x v="0"/>
    <s v="20281/SPP/008/PUSAT/ICON+/2022"/>
    <n v="4500019527"/>
    <m/>
    <m/>
    <m/>
    <m/>
    <m/>
    <m/>
    <m/>
    <m/>
    <m/>
    <m/>
    <m/>
    <m/>
    <m/>
  </r>
  <r>
    <n v="650"/>
    <x v="17"/>
    <x v="355"/>
    <s v="Jl. Jend Sudirman Kav. 52-53 Kebayoran Baru, Jakarta Selatan 12190"/>
    <m/>
    <m/>
    <s v="Sewa Tahunan"/>
    <x v="1"/>
    <x v="496"/>
    <m/>
    <m/>
    <m/>
    <m/>
    <s v="-"/>
    <x v="35"/>
    <m/>
    <s v="-"/>
    <x v="163"/>
    <m/>
    <x v="505"/>
    <d v="2023-10-10T00:00:00"/>
    <x v="0"/>
    <m/>
    <m/>
    <m/>
    <x v="0"/>
    <x v="0"/>
    <m/>
    <n v="4500019289"/>
    <m/>
    <m/>
    <m/>
    <m/>
    <m/>
    <m/>
    <m/>
    <m/>
    <m/>
    <m/>
    <m/>
    <m/>
    <m/>
  </r>
  <r>
    <n v="651"/>
    <x v="75"/>
    <x v="468"/>
    <s v="Jl. Rempoa Raya 11 Ciputat 00000"/>
    <m/>
    <m/>
    <s v="Sewa Tahunan"/>
    <x v="0"/>
    <x v="497"/>
    <m/>
    <m/>
    <m/>
    <m/>
    <s v="-"/>
    <x v="254"/>
    <m/>
    <s v="-"/>
    <x v="250"/>
    <m/>
    <x v="506"/>
    <d v="2023-12-05T00:00:00"/>
    <x v="0"/>
    <m/>
    <m/>
    <m/>
    <x v="0"/>
    <x v="0"/>
    <s v="20461/SPP/008/PUSAT/ICON+/2022"/>
    <n v="4500019380"/>
    <m/>
    <m/>
    <m/>
    <m/>
    <m/>
    <m/>
    <m/>
    <m/>
    <m/>
    <m/>
    <m/>
    <m/>
    <m/>
  </r>
  <r>
    <n v="652"/>
    <x v="75"/>
    <x v="469"/>
    <s v="Jl. Rempoa Raya 11 Ciputat 00000"/>
    <m/>
    <m/>
    <s v="Sewa Tahunan"/>
    <x v="0"/>
    <x v="287"/>
    <m/>
    <m/>
    <m/>
    <m/>
    <s v="-"/>
    <x v="166"/>
    <m/>
    <s v="-"/>
    <x v="145"/>
    <m/>
    <x v="201"/>
    <d v="2023-12-31T00:00:00"/>
    <x v="0"/>
    <m/>
    <m/>
    <m/>
    <x v="0"/>
    <x v="0"/>
    <s v="20485/SPP/008/PUSAT/ICON+/2022"/>
    <n v="4500019389"/>
    <m/>
    <m/>
    <m/>
    <m/>
    <m/>
    <m/>
    <m/>
    <m/>
    <m/>
    <m/>
    <m/>
    <m/>
    <m/>
  </r>
  <r>
    <n v="653"/>
    <x v="300"/>
    <x v="470"/>
    <s v="Jln Gatot Subroto Kav. 51-52 Jakarta 10260"/>
    <m/>
    <m/>
    <s v="Sewa Tahunan"/>
    <x v="1"/>
    <x v="498"/>
    <m/>
    <m/>
    <m/>
    <m/>
    <s v="-"/>
    <x v="11"/>
    <m/>
    <s v="-"/>
    <x v="251"/>
    <m/>
    <x v="507"/>
    <d v="2023-11-01T00:00:00"/>
    <x v="0"/>
    <m/>
    <m/>
    <m/>
    <x v="0"/>
    <x v="0"/>
    <s v="20287/SPP/008/PUSAT/ICON+/2022"/>
    <n v="4500019423"/>
    <m/>
    <m/>
    <m/>
    <m/>
    <m/>
    <m/>
    <m/>
    <m/>
    <m/>
    <m/>
    <m/>
    <m/>
    <m/>
  </r>
  <r>
    <n v="654"/>
    <x v="301"/>
    <x v="471"/>
    <s v="WTP Building Jl Jababeka IV Blok B No. 12 Jbbk Industria Esta Cikarang Bekasi 17530"/>
    <m/>
    <m/>
    <s v="Sewa Tahunan"/>
    <x v="2"/>
    <x v="499"/>
    <m/>
    <m/>
    <m/>
    <m/>
    <n v="3500000"/>
    <x v="51"/>
    <m/>
    <s v="-"/>
    <x v="252"/>
    <m/>
    <x v="508"/>
    <d v="2023-09-30T00:00:00"/>
    <x v="0"/>
    <m/>
    <m/>
    <m/>
    <x v="0"/>
    <x v="0"/>
    <s v="20455/SPP/008/PUSAT/ICON+/2022"/>
    <n v="4500019453"/>
    <m/>
    <m/>
    <m/>
    <m/>
    <m/>
    <m/>
    <m/>
    <m/>
    <m/>
    <m/>
    <m/>
    <m/>
    <m/>
  </r>
  <r>
    <n v="655"/>
    <x v="8"/>
    <x v="62"/>
    <s v="Jl. Kuningan Barat No. 8 Cyber Building 1st&amp;2nd Jakarta Selatan 12710"/>
    <m/>
    <m/>
    <s v="Sewa Tahunan"/>
    <x v="1"/>
    <x v="67"/>
    <m/>
    <m/>
    <m/>
    <m/>
    <s v="-"/>
    <x v="41"/>
    <m/>
    <s v="-"/>
    <x v="173"/>
    <m/>
    <x v="509"/>
    <d v="2023-07-10T00:00:00"/>
    <x v="0"/>
    <m/>
    <m/>
    <m/>
    <x v="0"/>
    <x v="0"/>
    <s v="19240/SPP/008/PUSAT/ICON+/2022"/>
    <n v="4500018490"/>
    <m/>
    <m/>
    <m/>
    <m/>
    <m/>
    <m/>
    <m/>
    <m/>
    <m/>
    <m/>
    <m/>
    <m/>
    <m/>
  </r>
  <r>
    <n v="656"/>
    <x v="4"/>
    <x v="157"/>
    <s v="Jl. Kuningan Barat 8 Jakarta 12710"/>
    <m/>
    <m/>
    <s v="Sewa Tahunan"/>
    <x v="1"/>
    <x v="67"/>
    <m/>
    <m/>
    <m/>
    <m/>
    <s v="-"/>
    <x v="41"/>
    <m/>
    <s v="-"/>
    <x v="253"/>
    <m/>
    <x v="510"/>
    <d v="2023-06-29T00:00:00"/>
    <x v="0"/>
    <m/>
    <m/>
    <m/>
    <x v="0"/>
    <x v="0"/>
    <s v="18959/SPP/008/PUSAT/ICON+/2022"/>
    <n v="4500018369"/>
    <m/>
    <m/>
    <m/>
    <m/>
    <m/>
    <m/>
    <m/>
    <m/>
    <m/>
    <m/>
    <m/>
    <m/>
    <m/>
  </r>
  <r>
    <n v="657"/>
    <x v="302"/>
    <x v="264"/>
    <s v="Jl.Kapt Tendean Kav 12-14A Jakarta Selatan 12790"/>
    <m/>
    <m/>
    <s v="Sewa Tahunan"/>
    <x v="0"/>
    <x v="500"/>
    <m/>
    <m/>
    <m/>
    <m/>
    <m/>
    <x v="169"/>
    <m/>
    <m/>
    <x v="14"/>
    <m/>
    <x v="201"/>
    <d v="2022-12-31T00:00:00"/>
    <x v="0"/>
    <m/>
    <m/>
    <m/>
    <x v="0"/>
    <x v="0"/>
    <s v="18745/SPP/008/PUSAT/ICON+/2022"/>
    <n v="4500018115"/>
    <m/>
    <m/>
    <m/>
    <m/>
    <m/>
    <m/>
    <m/>
    <m/>
    <m/>
    <m/>
    <m/>
    <m/>
    <m/>
  </r>
  <r>
    <n v="658"/>
    <x v="303"/>
    <x v="472"/>
    <s v="Jl.Jend Sudirman Kav 10-11 Jakarta 10220"/>
    <m/>
    <m/>
    <s v="Sewa Tahunan"/>
    <x v="0"/>
    <x v="501"/>
    <m/>
    <m/>
    <m/>
    <m/>
    <n v="2000000"/>
    <x v="255"/>
    <m/>
    <n v="5000000"/>
    <x v="254"/>
    <m/>
    <x v="393"/>
    <d v="2023-04-17T00:00:00"/>
    <x v="0"/>
    <m/>
    <m/>
    <m/>
    <x v="0"/>
    <x v="0"/>
    <m/>
    <n v="4500017961"/>
    <m/>
    <m/>
    <m/>
    <m/>
    <m/>
    <m/>
    <m/>
    <m/>
    <m/>
    <m/>
    <m/>
    <m/>
    <m/>
  </r>
  <r>
    <n v="659"/>
    <x v="9"/>
    <x v="473"/>
    <s v="Jl.Jend Sudirman Kav 52-53 Jakarta 12190"/>
    <m/>
    <m/>
    <s v="Sewa Tahunan"/>
    <x v="2"/>
    <x v="502"/>
    <m/>
    <m/>
    <m/>
    <m/>
    <n v="5000000"/>
    <x v="30"/>
    <m/>
    <n v="4000000"/>
    <x v="10"/>
    <m/>
    <x v="444"/>
    <d v="2023-05-29T00:00:00"/>
    <x v="0"/>
    <m/>
    <m/>
    <m/>
    <x v="0"/>
    <x v="0"/>
    <s v="18650/SPP/008/PUSAT/ICON+/2022"/>
    <n v="4500018058"/>
    <m/>
    <m/>
    <m/>
    <m/>
    <m/>
    <m/>
    <m/>
    <m/>
    <m/>
    <m/>
    <m/>
    <m/>
    <m/>
  </r>
  <r>
    <n v="660"/>
    <x v="243"/>
    <x v="474"/>
    <s v="Jakarta 00000"/>
    <m/>
    <m/>
    <s v="Sewa Tahunan"/>
    <x v="1"/>
    <x v="503"/>
    <m/>
    <m/>
    <m/>
    <m/>
    <n v="5000000"/>
    <x v="256"/>
    <m/>
    <m/>
    <x v="255"/>
    <m/>
    <x v="511"/>
    <d v="2023-05-22T00:00:00"/>
    <x v="0"/>
    <m/>
    <m/>
    <m/>
    <x v="0"/>
    <x v="0"/>
    <s v="18632/SPP/008/PUSAT/ICON+/2022"/>
    <n v="4500018065"/>
    <m/>
    <m/>
    <m/>
    <m/>
    <m/>
    <m/>
    <m/>
    <m/>
    <m/>
    <m/>
    <m/>
    <m/>
    <m/>
  </r>
  <r>
    <n v="661"/>
    <x v="121"/>
    <x v="39"/>
    <s v="Jakarta Selatan 12190"/>
    <m/>
    <m/>
    <s v="Sewa Tahunan"/>
    <x v="0"/>
    <x v="504"/>
    <m/>
    <m/>
    <m/>
    <m/>
    <n v="2000000"/>
    <x v="143"/>
    <m/>
    <n v="5000000"/>
    <x v="35"/>
    <m/>
    <x v="461"/>
    <d v="2023-04-20T00:00:00"/>
    <x v="0"/>
    <m/>
    <m/>
    <m/>
    <x v="0"/>
    <x v="0"/>
    <s v="18325/SPP/008/PUSAT/ICON+/2022"/>
    <n v="4500017837"/>
    <m/>
    <m/>
    <m/>
    <m/>
    <m/>
    <m/>
    <m/>
    <m/>
    <m/>
    <m/>
    <m/>
    <m/>
    <m/>
  </r>
  <r>
    <n v="662"/>
    <x v="9"/>
    <x v="475"/>
    <s v="Jl.Jend Sudirman Kav 52-53 Jakarta 12190"/>
    <m/>
    <m/>
    <s v="Sewa Tahunan"/>
    <x v="2"/>
    <x v="505"/>
    <m/>
    <m/>
    <m/>
    <m/>
    <m/>
    <x v="257"/>
    <m/>
    <n v="1500000"/>
    <x v="18"/>
    <m/>
    <x v="512"/>
    <d v="2023-05-12T00:00:00"/>
    <x v="0"/>
    <m/>
    <m/>
    <m/>
    <x v="0"/>
    <x v="0"/>
    <s v="18596/SPP/008/PUSAT/ICON+/2022"/>
    <n v="4500018020"/>
    <m/>
    <m/>
    <m/>
    <m/>
    <m/>
    <m/>
    <m/>
    <m/>
    <m/>
    <m/>
    <m/>
    <m/>
    <m/>
  </r>
  <r>
    <n v="663"/>
    <x v="103"/>
    <x v="146"/>
    <s v="Jakarta 00000"/>
    <m/>
    <m/>
    <s v="Sewa Tahunan"/>
    <x v="1"/>
    <x v="154"/>
    <m/>
    <m/>
    <m/>
    <m/>
    <m/>
    <x v="30"/>
    <m/>
    <m/>
    <x v="256"/>
    <m/>
    <x v="513"/>
    <d v="2023-02-02T00:00:00"/>
    <x v="0"/>
    <m/>
    <m/>
    <m/>
    <x v="0"/>
    <x v="0"/>
    <s v="17654/SPP/008/PUSAT/ICON+/2022"/>
    <n v="4500017749"/>
    <m/>
    <m/>
    <m/>
    <m/>
    <m/>
    <m/>
    <m/>
    <m/>
    <m/>
    <m/>
    <m/>
    <m/>
    <m/>
  </r>
  <r>
    <n v="664"/>
    <x v="119"/>
    <x v="476"/>
    <s v="l Kuningan Barat 8 Jakarta 12710"/>
    <m/>
    <m/>
    <s v="Sewa Tahunan"/>
    <x v="1"/>
    <x v="506"/>
    <m/>
    <m/>
    <m/>
    <m/>
    <m/>
    <x v="258"/>
    <m/>
    <m/>
    <x v="9"/>
    <m/>
    <x v="514"/>
    <d v="2023-09-06T00:00:00"/>
    <x v="0"/>
    <m/>
    <m/>
    <m/>
    <x v="0"/>
    <x v="0"/>
    <s v="18428/SPP/008/PUSAT/ICON+/2022"/>
    <n v="4500017892"/>
    <m/>
    <m/>
    <m/>
    <m/>
    <m/>
    <m/>
    <m/>
    <m/>
    <m/>
    <m/>
    <m/>
    <m/>
    <m/>
  </r>
  <r>
    <n v="665"/>
    <x v="304"/>
    <x v="107"/>
    <s v="Jl.Jend Sudirman Kav 10-11 Jakarta Pusat 00000"/>
    <m/>
    <m/>
    <s v="Sewa Tahunan"/>
    <x v="2"/>
    <x v="507"/>
    <m/>
    <m/>
    <m/>
    <m/>
    <n v="6000000"/>
    <x v="259"/>
    <m/>
    <n v="5000000"/>
    <x v="17"/>
    <m/>
    <x v="515"/>
    <d v="2023-01-20T00:00:00"/>
    <x v="0"/>
    <m/>
    <m/>
    <m/>
    <x v="0"/>
    <x v="0"/>
    <m/>
    <n v="4500017503"/>
    <m/>
    <m/>
    <m/>
    <m/>
    <m/>
    <m/>
    <m/>
    <m/>
    <m/>
    <m/>
    <m/>
    <m/>
    <m/>
  </r>
  <r>
    <n v="666"/>
    <x v="117"/>
    <x v="477"/>
    <s v="Jakarta 00000"/>
    <m/>
    <m/>
    <s v="Sewa Tahunan"/>
    <x v="1"/>
    <x v="508"/>
    <m/>
    <m/>
    <m/>
    <m/>
    <m/>
    <x v="260"/>
    <m/>
    <m/>
    <x v="71"/>
    <m/>
    <x v="201"/>
    <d v="2023-12-31T00:00:00"/>
    <x v="0"/>
    <m/>
    <m/>
    <m/>
    <x v="0"/>
    <x v="0"/>
    <m/>
    <n v="4500017131"/>
    <m/>
    <m/>
    <m/>
    <m/>
    <m/>
    <m/>
    <m/>
    <m/>
    <m/>
    <m/>
    <m/>
    <m/>
    <m/>
  </r>
  <r>
    <n v="667"/>
    <x v="106"/>
    <x v="30"/>
    <s v="Jakarta Pusat 10340"/>
    <m/>
    <m/>
    <s v="Sewa Tahunan"/>
    <x v="1"/>
    <x v="129"/>
    <m/>
    <m/>
    <m/>
    <m/>
    <m/>
    <x v="1"/>
    <m/>
    <m/>
    <x v="125"/>
    <m/>
    <x v="437"/>
    <d v="2023-01-31T00:00:00"/>
    <x v="0"/>
    <m/>
    <m/>
    <m/>
    <x v="0"/>
    <x v="0"/>
    <m/>
    <n v="4500017469"/>
    <m/>
    <m/>
    <m/>
    <m/>
    <m/>
    <m/>
    <m/>
    <m/>
    <m/>
    <m/>
    <m/>
    <m/>
    <m/>
  </r>
  <r>
    <n v="668"/>
    <x v="305"/>
    <x v="333"/>
    <s v="Jakarta Utara 14430"/>
    <m/>
    <m/>
    <s v="Sewa Tahunan"/>
    <x v="1"/>
    <x v="351"/>
    <m/>
    <m/>
    <m/>
    <m/>
    <m/>
    <x v="261"/>
    <m/>
    <m/>
    <x v="25"/>
    <m/>
    <x v="201"/>
    <d v="2022-12-31T00:00:00"/>
    <x v="0"/>
    <m/>
    <m/>
    <m/>
    <x v="0"/>
    <x v="0"/>
    <m/>
    <n v="4500017465"/>
    <m/>
    <m/>
    <m/>
    <m/>
    <m/>
    <m/>
    <m/>
    <m/>
    <m/>
    <m/>
    <m/>
    <m/>
    <m/>
  </r>
  <r>
    <n v="669"/>
    <x v="306"/>
    <x v="222"/>
    <s v="Jakarta 00000"/>
    <m/>
    <m/>
    <s v="Sewa Tahunan"/>
    <x v="1"/>
    <x v="249"/>
    <m/>
    <m/>
    <m/>
    <m/>
    <m/>
    <x v="262"/>
    <m/>
    <m/>
    <x v="129"/>
    <m/>
    <x v="201"/>
    <d v="2022-12-31T00:00:00"/>
    <x v="0"/>
    <m/>
    <m/>
    <m/>
    <x v="0"/>
    <x v="0"/>
    <m/>
    <n v="4500017441"/>
    <m/>
    <m/>
    <m/>
    <m/>
    <m/>
    <m/>
    <m/>
    <m/>
    <m/>
    <m/>
    <m/>
    <m/>
    <m/>
  </r>
  <r>
    <n v="670"/>
    <x v="307"/>
    <x v="478"/>
    <s v="Jakarta Selatan 00000"/>
    <m/>
    <m/>
    <s v="Sewa Tahunan"/>
    <x v="1"/>
    <x v="509"/>
    <m/>
    <m/>
    <m/>
    <m/>
    <n v="10000000"/>
    <x v="263"/>
    <m/>
    <m/>
    <x v="16"/>
    <m/>
    <x v="516"/>
    <d v="2023-01-19T00:00:00"/>
    <x v="0"/>
    <m/>
    <m/>
    <m/>
    <x v="0"/>
    <x v="0"/>
    <s v="17648/SPP/008/PUSAT/ICON+/2022"/>
    <n v="4500017472"/>
    <m/>
    <m/>
    <m/>
    <m/>
    <m/>
    <m/>
    <m/>
    <m/>
    <m/>
    <m/>
    <m/>
    <m/>
    <m/>
  </r>
  <r>
    <n v="671"/>
    <x v="308"/>
    <x v="479"/>
    <s v="Jakarta 14240"/>
    <m/>
    <m/>
    <s v="Sewa Tahunan"/>
    <x v="1"/>
    <x v="510"/>
    <m/>
    <m/>
    <m/>
    <m/>
    <m/>
    <x v="30"/>
    <m/>
    <m/>
    <x v="88"/>
    <m/>
    <x v="517"/>
    <d v="2023-03-05T00:00:00"/>
    <x v="0"/>
    <m/>
    <m/>
    <m/>
    <x v="0"/>
    <x v="0"/>
    <s v="18365/SPP/008/PUSAT/ICON+/2022"/>
    <n v="4500017915"/>
    <m/>
    <m/>
    <m/>
    <m/>
    <m/>
    <m/>
    <m/>
    <m/>
    <m/>
    <m/>
    <m/>
    <m/>
    <m/>
  </r>
  <r>
    <n v="672"/>
    <x v="130"/>
    <x v="480"/>
    <s v="Jakarta Pusat 10250"/>
    <m/>
    <m/>
    <s v="Sewa Tahunan"/>
    <x v="1"/>
    <x v="511"/>
    <m/>
    <m/>
    <m/>
    <m/>
    <m/>
    <x v="82"/>
    <m/>
    <m/>
    <x v="64"/>
    <m/>
    <x v="518"/>
    <d v="2023-05-30T00:00:00"/>
    <x v="0"/>
    <m/>
    <m/>
    <m/>
    <x v="0"/>
    <x v="0"/>
    <s v="18315/SPP/008/PUSAT/ICON+/2022"/>
    <n v="4500017916"/>
    <m/>
    <m/>
    <m/>
    <m/>
    <m/>
    <m/>
    <m/>
    <m/>
    <m/>
    <m/>
    <m/>
    <m/>
    <m/>
  </r>
  <r>
    <n v="673"/>
    <x v="10"/>
    <x v="481"/>
    <s v="Jakarta 00000"/>
    <m/>
    <m/>
    <s v="Sewa Tahunan"/>
    <x v="1"/>
    <x v="512"/>
    <m/>
    <m/>
    <m/>
    <m/>
    <m/>
    <x v="152"/>
    <m/>
    <m/>
    <x v="257"/>
    <m/>
    <x v="456"/>
    <d v="2023-04-04T00:00:00"/>
    <x v="0"/>
    <m/>
    <m/>
    <m/>
    <x v="0"/>
    <x v="0"/>
    <s v="18180/SPP/008/PUSAT/ICON+/2022"/>
    <n v="4500017867"/>
    <m/>
    <m/>
    <m/>
    <m/>
    <m/>
    <m/>
    <m/>
    <m/>
    <m/>
    <m/>
    <m/>
    <m/>
    <m/>
  </r>
  <r>
    <n v="674"/>
    <x v="309"/>
    <x v="482"/>
    <s v="Palembang 00000"/>
    <m/>
    <m/>
    <s v="Sewa Tahunan"/>
    <x v="1"/>
    <x v="513"/>
    <m/>
    <m/>
    <m/>
    <m/>
    <m/>
    <x v="59"/>
    <m/>
    <m/>
    <x v="20"/>
    <m/>
    <x v="519"/>
    <d v="2023-03-15T00:00:00"/>
    <x v="0"/>
    <m/>
    <m/>
    <m/>
    <x v="0"/>
    <x v="0"/>
    <s v="18281/SPP/008/PUSAT/ICON+/2022"/>
    <n v="4500017850"/>
    <m/>
    <m/>
    <m/>
    <m/>
    <m/>
    <m/>
    <m/>
    <m/>
    <m/>
    <m/>
    <m/>
    <m/>
    <m/>
  </r>
  <r>
    <n v="675"/>
    <x v="9"/>
    <x v="483"/>
    <s v="Jl.Jend Sudirman Kav 52-53 Jakarta 12190"/>
    <m/>
    <m/>
    <s v="Sewa Tahunan"/>
    <x v="2"/>
    <x v="514"/>
    <m/>
    <m/>
    <m/>
    <m/>
    <m/>
    <x v="10"/>
    <m/>
    <m/>
    <x v="10"/>
    <m/>
    <x v="520"/>
    <d v="2023-01-26T00:00:00"/>
    <x v="0"/>
    <m/>
    <m/>
    <m/>
    <x v="0"/>
    <x v="0"/>
    <s v="17624/SPP/008/PUSAT/ICON+/2022"/>
    <n v="4500017500"/>
    <m/>
    <m/>
    <m/>
    <m/>
    <m/>
    <m/>
    <m/>
    <m/>
    <m/>
    <m/>
    <m/>
    <m/>
    <m/>
  </r>
  <r>
    <n v="676"/>
    <x v="9"/>
    <x v="52"/>
    <s v="Jl.Jend Sudirman Kav 52-53 Jakarta 12190"/>
    <m/>
    <m/>
    <s v="Sewa Tahunan"/>
    <x v="2"/>
    <x v="55"/>
    <m/>
    <m/>
    <m/>
    <m/>
    <m/>
    <x v="40"/>
    <m/>
    <m/>
    <x v="18"/>
    <m/>
    <x v="455"/>
    <d v="2023-01-09T00:00:00"/>
    <x v="0"/>
    <m/>
    <m/>
    <m/>
    <x v="0"/>
    <x v="0"/>
    <m/>
    <n v="4500017501"/>
    <m/>
    <m/>
    <m/>
    <m/>
    <m/>
    <m/>
    <m/>
    <m/>
    <m/>
    <m/>
    <m/>
    <m/>
    <m/>
  </r>
  <r>
    <n v="677"/>
    <x v="310"/>
    <x v="198"/>
    <s v="Jakarta Selatan 00000"/>
    <m/>
    <m/>
    <s v="Sewa Tahunan"/>
    <x v="1"/>
    <x v="515"/>
    <m/>
    <m/>
    <m/>
    <m/>
    <m/>
    <x v="43"/>
    <m/>
    <m/>
    <x v="258"/>
    <m/>
    <x v="201"/>
    <d v="2022-12-31T00:00:00"/>
    <x v="0"/>
    <m/>
    <m/>
    <m/>
    <x v="0"/>
    <x v="0"/>
    <s v="17478/SPP/008/PUSAT/ICON+/2022"/>
    <n v="4500017871"/>
    <m/>
    <m/>
    <m/>
    <m/>
    <m/>
    <m/>
    <m/>
    <m/>
    <m/>
    <m/>
    <m/>
    <m/>
    <m/>
  </r>
  <r>
    <n v="678"/>
    <x v="14"/>
    <x v="42"/>
    <s v="Ciputat 00000"/>
    <m/>
    <m/>
    <s v="Sewa Tahunan"/>
    <x v="1"/>
    <x v="516"/>
    <m/>
    <m/>
    <m/>
    <m/>
    <m/>
    <x v="264"/>
    <m/>
    <m/>
    <x v="28"/>
    <m/>
    <x v="201"/>
    <d v="2022-12-31T00:00:00"/>
    <x v="0"/>
    <m/>
    <m/>
    <m/>
    <x v="0"/>
    <x v="0"/>
    <m/>
    <n v="4500017132"/>
    <m/>
    <m/>
    <m/>
    <m/>
    <m/>
    <m/>
    <m/>
    <m/>
    <m/>
    <m/>
    <m/>
    <m/>
    <m/>
  </r>
  <r>
    <n v="679"/>
    <x v="132"/>
    <x v="484"/>
    <s v="Jakarta 12950"/>
    <m/>
    <m/>
    <s v="Sewa Tahunan"/>
    <x v="0"/>
    <x v="327"/>
    <m/>
    <m/>
    <m/>
    <m/>
    <m/>
    <x v="99"/>
    <m/>
    <m/>
    <x v="168"/>
    <m/>
    <x v="437"/>
    <d v="2023-01-31T00:00:00"/>
    <x v="0"/>
    <m/>
    <m/>
    <m/>
    <x v="0"/>
    <x v="0"/>
    <s v="18079/SPP/008/PUSAT/ICON+/2022"/>
    <n v="4500017790"/>
    <m/>
    <m/>
    <m/>
    <m/>
    <m/>
    <m/>
    <m/>
    <m/>
    <m/>
    <m/>
    <m/>
    <m/>
    <m/>
  </r>
  <r>
    <n v="680"/>
    <x v="311"/>
    <x v="255"/>
    <s v="Jakarta Utara 14310"/>
    <m/>
    <m/>
    <s v="Sewa Tahunan"/>
    <x v="1"/>
    <x v="39"/>
    <m/>
    <m/>
    <m/>
    <m/>
    <m/>
    <x v="28"/>
    <m/>
    <m/>
    <x v="143"/>
    <m/>
    <x v="201"/>
    <d v="2022-12-31T00:00:00"/>
    <x v="0"/>
    <m/>
    <m/>
    <m/>
    <x v="0"/>
    <x v="0"/>
    <s v="17565/SPP/008/PUSAT/ICON+/2022"/>
    <n v="4500019109"/>
    <m/>
    <m/>
    <m/>
    <m/>
    <m/>
    <m/>
    <m/>
    <m/>
    <m/>
    <m/>
    <m/>
    <m/>
    <m/>
  </r>
  <r>
    <n v="681"/>
    <x v="312"/>
    <x v="485"/>
    <s v="Bogor 00000"/>
    <m/>
    <m/>
    <s v="Sewa Tahunan"/>
    <x v="2"/>
    <x v="517"/>
    <m/>
    <m/>
    <m/>
    <m/>
    <n v="5000000"/>
    <x v="265"/>
    <m/>
    <n v="2500000"/>
    <x v="16"/>
    <m/>
    <x v="521"/>
    <d v="2023-03-20T00:00:00"/>
    <x v="0"/>
    <m/>
    <m/>
    <m/>
    <x v="0"/>
    <x v="0"/>
    <s v="18233/SPP/008/PUSAT/ICON+/2022"/>
    <n v="4500017773"/>
    <m/>
    <m/>
    <m/>
    <m/>
    <m/>
    <m/>
    <m/>
    <m/>
    <m/>
    <m/>
    <m/>
    <m/>
    <m/>
  </r>
  <r>
    <n v="682"/>
    <x v="313"/>
    <x v="475"/>
    <s v="Jakarta Selata 12710"/>
    <m/>
    <m/>
    <s v="Sewa Tahunan"/>
    <x v="2"/>
    <x v="518"/>
    <m/>
    <m/>
    <m/>
    <m/>
    <n v="5000000"/>
    <x v="266"/>
    <m/>
    <m/>
    <x v="16"/>
    <m/>
    <x v="437"/>
    <d v="2023-01-31T00:00:00"/>
    <x v="0"/>
    <m/>
    <m/>
    <m/>
    <x v="0"/>
    <x v="0"/>
    <s v="17759/SPP/008/PUSAT/ICON+/2022"/>
    <n v="4500017597"/>
    <m/>
    <m/>
    <m/>
    <m/>
    <m/>
    <m/>
    <m/>
    <m/>
    <m/>
    <m/>
    <m/>
    <m/>
    <m/>
  </r>
  <r>
    <n v="683"/>
    <x v="243"/>
    <x v="486"/>
    <s v="Jakarta 00000"/>
    <m/>
    <m/>
    <s v="Sewa Tahunan"/>
    <x v="1"/>
    <x v="519"/>
    <m/>
    <m/>
    <m/>
    <m/>
    <n v="4000000"/>
    <x v="267"/>
    <m/>
    <m/>
    <x v="259"/>
    <m/>
    <x v="522"/>
    <d v="2023-02-22T00:00:00"/>
    <x v="0"/>
    <m/>
    <m/>
    <m/>
    <x v="0"/>
    <x v="0"/>
    <s v="18026/SPP/008/PUSAT/ICON+/2022"/>
    <n v="4500017659"/>
    <m/>
    <m/>
    <m/>
    <m/>
    <m/>
    <m/>
    <m/>
    <m/>
    <m/>
    <m/>
    <m/>
    <m/>
    <m/>
  </r>
  <r>
    <n v="684"/>
    <x v="314"/>
    <x v="487"/>
    <s v="Jakarta Utara 14440"/>
    <m/>
    <m/>
    <s v="Sewa Tahunan"/>
    <x v="2"/>
    <x v="520"/>
    <m/>
    <m/>
    <m/>
    <m/>
    <m/>
    <x v="109"/>
    <m/>
    <m/>
    <x v="6"/>
    <m/>
    <x v="439"/>
    <d v="2023-02-28T00:00:00"/>
    <x v="0"/>
    <m/>
    <m/>
    <m/>
    <x v="0"/>
    <x v="0"/>
    <s v="18116/SPP/008/PUSAT/ICON+/2022"/>
    <n v="4500017682"/>
    <m/>
    <m/>
    <m/>
    <m/>
    <m/>
    <m/>
    <m/>
    <m/>
    <m/>
    <m/>
    <m/>
    <m/>
    <m/>
  </r>
  <r>
    <n v="685"/>
    <x v="315"/>
    <x v="488"/>
    <s v="Jakarta Selatan 00000"/>
    <m/>
    <m/>
    <s v="Sewa Tahunan"/>
    <x v="1"/>
    <x v="521"/>
    <m/>
    <m/>
    <m/>
    <m/>
    <n v="5000000"/>
    <x v="268"/>
    <m/>
    <m/>
    <x v="51"/>
    <m/>
    <x v="439"/>
    <d v="2023-02-28T00:00:00"/>
    <x v="0"/>
    <m/>
    <m/>
    <m/>
    <x v="0"/>
    <x v="0"/>
    <s v="18070/SPP/008/PUSAT/ICON+/2022"/>
    <n v="4500018001"/>
    <m/>
    <m/>
    <m/>
    <m/>
    <m/>
    <m/>
    <m/>
    <m/>
    <m/>
    <m/>
    <m/>
    <m/>
    <m/>
  </r>
  <r>
    <n v="686"/>
    <x v="316"/>
    <x v="155"/>
    <s v="Bekasi 17530"/>
    <m/>
    <m/>
    <s v="Sewa Tahunan"/>
    <x v="2"/>
    <x v="522"/>
    <m/>
    <m/>
    <m/>
    <m/>
    <m/>
    <x v="269"/>
    <m/>
    <m/>
    <x v="260"/>
    <m/>
    <x v="439"/>
    <d v="2023-02-28T00:00:00"/>
    <x v="0"/>
    <m/>
    <m/>
    <m/>
    <x v="0"/>
    <x v="0"/>
    <s v="18064/SPP/008/PUSAT/ICON+/2022"/>
    <n v="4500017658"/>
    <m/>
    <m/>
    <m/>
    <m/>
    <m/>
    <m/>
    <m/>
    <m/>
    <m/>
    <m/>
    <m/>
    <m/>
    <m/>
  </r>
  <r>
    <n v="687"/>
    <x v="302"/>
    <x v="489"/>
    <s v="Jakarta Selatan 12790"/>
    <m/>
    <m/>
    <s v="Sewa Tahunan"/>
    <x v="0"/>
    <x v="523"/>
    <m/>
    <m/>
    <m/>
    <m/>
    <n v="3000000"/>
    <x v="34"/>
    <m/>
    <n v="2500000"/>
    <x v="261"/>
    <m/>
    <x v="523"/>
    <d v="2023-02-03T00:00:00"/>
    <x v="0"/>
    <m/>
    <m/>
    <m/>
    <x v="0"/>
    <x v="0"/>
    <s v="17695/SPP/008/PUSAT/ICON+/2022"/>
    <n v="4500017527"/>
    <m/>
    <m/>
    <m/>
    <m/>
    <m/>
    <m/>
    <m/>
    <m/>
    <m/>
    <m/>
    <m/>
    <m/>
    <m/>
  </r>
  <r>
    <n v="688"/>
    <x v="136"/>
    <x v="206"/>
    <s v="Grogol Pertamburan Jakarta Barat 11450"/>
    <m/>
    <m/>
    <s v="Sewa Tahunan"/>
    <x v="0"/>
    <x v="524"/>
    <m/>
    <m/>
    <m/>
    <m/>
    <m/>
    <x v="270"/>
    <m/>
    <m/>
    <x v="262"/>
    <m/>
    <x v="201"/>
    <d v="2022-12-31T00:00:00"/>
    <x v="0"/>
    <m/>
    <m/>
    <m/>
    <x v="0"/>
    <x v="0"/>
    <s v="17562/SPP/008/PUSAT/ICON+/2022"/>
    <n v="4500017364"/>
    <m/>
    <m/>
    <m/>
    <m/>
    <m/>
    <m/>
    <m/>
    <m/>
    <m/>
    <m/>
    <m/>
    <m/>
    <m/>
  </r>
  <r>
    <n v="689"/>
    <x v="136"/>
    <x v="206"/>
    <s v="Grogol Pertamburan Jakarta Barat 11450"/>
    <m/>
    <m/>
    <s v="Sewa Bulanan"/>
    <x v="0"/>
    <x v="525"/>
    <m/>
    <m/>
    <m/>
    <m/>
    <m/>
    <x v="271"/>
    <m/>
    <m/>
    <x v="263"/>
    <m/>
    <x v="437"/>
    <d v="2023-02-28T00:00:00"/>
    <x v="0"/>
    <m/>
    <m/>
    <m/>
    <x v="0"/>
    <x v="0"/>
    <s v="17840/SPP/008/PUSAT/ICON+/2022"/>
    <n v="4500017628"/>
    <m/>
    <m/>
    <m/>
    <m/>
    <m/>
    <m/>
    <m/>
    <m/>
    <m/>
    <m/>
    <m/>
    <m/>
    <m/>
  </r>
  <r>
    <n v="690"/>
    <x v="143"/>
    <x v="490"/>
    <s v="Tanggerang 15321"/>
    <m/>
    <m/>
    <s v="Sewa Tahunan"/>
    <x v="2"/>
    <x v="526"/>
    <m/>
    <m/>
    <m/>
    <m/>
    <n v="2500000"/>
    <x v="27"/>
    <m/>
    <n v="3000000"/>
    <x v="5"/>
    <m/>
    <x v="524"/>
    <d v="2023-02-13T00:00:00"/>
    <x v="0"/>
    <m/>
    <m/>
    <m/>
    <x v="0"/>
    <x v="0"/>
    <s v="17688/SPP/008/PUSAT/ICON+/2022"/>
    <n v="4500017502"/>
    <m/>
    <m/>
    <m/>
    <m/>
    <m/>
    <m/>
    <m/>
    <m/>
    <m/>
    <m/>
    <m/>
    <m/>
    <m/>
  </r>
  <r>
    <n v="691"/>
    <x v="304"/>
    <x v="491"/>
    <s v="Jl.Jend Sudirman Kav 10-11 Jakarta Pusat 00000"/>
    <m/>
    <m/>
    <s v="Sewa Tahunan"/>
    <x v="2"/>
    <x v="527"/>
    <m/>
    <m/>
    <m/>
    <m/>
    <n v="12000000"/>
    <x v="30"/>
    <m/>
    <n v="3000000"/>
    <x v="16"/>
    <m/>
    <x v="525"/>
    <d v="2023-02-09T00:00:00"/>
    <x v="0"/>
    <m/>
    <m/>
    <m/>
    <x v="0"/>
    <x v="0"/>
    <s v="17921/SPP/008/PUSAT/ICON+/2022"/>
    <n v="4500017633"/>
    <m/>
    <m/>
    <m/>
    <m/>
    <m/>
    <m/>
    <m/>
    <m/>
    <m/>
    <m/>
    <m/>
    <m/>
    <m/>
  </r>
  <r>
    <n v="692"/>
    <x v="9"/>
    <x v="475"/>
    <s v="Jl.Jend Sudirman Kav 52-53 Jakarta 12190"/>
    <m/>
    <m/>
    <s v="Sewa Tahunan"/>
    <x v="2"/>
    <x v="528"/>
    <m/>
    <m/>
    <m/>
    <m/>
    <n v="5000000"/>
    <x v="272"/>
    <m/>
    <n v="1500000"/>
    <x v="18"/>
    <m/>
    <x v="526"/>
    <d v="2023-02-07T00:00:00"/>
    <x v="0"/>
    <m/>
    <m/>
    <m/>
    <x v="0"/>
    <x v="0"/>
    <m/>
    <n v="4500017576"/>
    <m/>
    <m/>
    <m/>
    <m/>
    <m/>
    <m/>
    <m/>
    <m/>
    <m/>
    <m/>
    <m/>
    <m/>
    <m/>
  </r>
  <r>
    <n v="693"/>
    <x v="317"/>
    <x v="206"/>
    <s v="Jakarta Selatan 12760"/>
    <m/>
    <m/>
    <s v="Sewa Tahunan"/>
    <x v="0"/>
    <x v="226"/>
    <m/>
    <m/>
    <m/>
    <m/>
    <m/>
    <x v="137"/>
    <m/>
    <m/>
    <x v="63"/>
    <m/>
    <x v="201"/>
    <d v="2022-12-31T00:00:00"/>
    <x v="0"/>
    <m/>
    <m/>
    <m/>
    <x v="0"/>
    <x v="0"/>
    <s v="17603/SPP/008/PUSAT/ICON+/2021"/>
    <n v="4500017424"/>
    <m/>
    <m/>
    <m/>
    <m/>
    <m/>
    <m/>
    <m/>
    <m/>
    <m/>
    <m/>
    <m/>
    <m/>
    <m/>
  </r>
  <r>
    <n v="694"/>
    <x v="9"/>
    <x v="492"/>
    <s v="Jakarta 12190"/>
    <m/>
    <m/>
    <s v="Sewa Tahunan"/>
    <x v="2"/>
    <x v="529"/>
    <m/>
    <m/>
    <m/>
    <m/>
    <n v="3500000"/>
    <x v="7"/>
    <m/>
    <n v="1500000"/>
    <x v="18"/>
    <m/>
    <x v="527"/>
    <d v="2023-01-25T00:00:00"/>
    <x v="0"/>
    <m/>
    <m/>
    <m/>
    <x v="0"/>
    <x v="0"/>
    <s v="17615/SPP/008/PUSAT/ICON+/2022"/>
    <n v="4500017451"/>
    <m/>
    <m/>
    <m/>
    <m/>
    <m/>
    <m/>
    <m/>
    <m/>
    <m/>
    <m/>
    <m/>
    <m/>
    <m/>
  </r>
  <r>
    <n v="695"/>
    <x v="23"/>
    <x v="493"/>
    <s v="Jakarta Selatan 12710"/>
    <m/>
    <m/>
    <s v="Sewa Tahunan"/>
    <x v="2"/>
    <x v="530"/>
    <m/>
    <m/>
    <m/>
    <m/>
    <n v="5000000"/>
    <x v="225"/>
    <m/>
    <n v="1500000"/>
    <x v="18"/>
    <m/>
    <x v="528"/>
    <d v="2023-01-16T00:00:00"/>
    <x v="0"/>
    <m/>
    <m/>
    <m/>
    <x v="0"/>
    <x v="0"/>
    <s v="17672/SPP/008/PUSAT/ICON+/2022"/>
    <n v="4500017499"/>
    <m/>
    <m/>
    <m/>
    <m/>
    <m/>
    <m/>
    <m/>
    <m/>
    <m/>
    <m/>
    <m/>
    <m/>
    <m/>
  </r>
  <r>
    <n v="696"/>
    <x v="130"/>
    <x v="206"/>
    <s v="Jakarta Pusat 10250"/>
    <m/>
    <m/>
    <s v="Sewa Bulanan"/>
    <x v="0"/>
    <x v="531"/>
    <m/>
    <m/>
    <m/>
    <m/>
    <m/>
    <x v="273"/>
    <m/>
    <m/>
    <x v="50"/>
    <m/>
    <x v="201"/>
    <d v="2022-01-31T00:00:00"/>
    <x v="0"/>
    <m/>
    <m/>
    <m/>
    <x v="0"/>
    <x v="0"/>
    <s v="17604/SPP/008/PUSAT/ICON+/2022"/>
    <n v="4500017422"/>
    <m/>
    <m/>
    <m/>
    <m/>
    <m/>
    <m/>
    <m/>
    <m/>
    <m/>
    <m/>
    <m/>
    <m/>
    <m/>
  </r>
  <r>
    <n v="697"/>
    <x v="139"/>
    <x v="30"/>
    <s v="Depok 16431"/>
    <m/>
    <m/>
    <s v="Sewa Tahunan"/>
    <x v="1"/>
    <x v="31"/>
    <m/>
    <m/>
    <m/>
    <m/>
    <m/>
    <x v="1"/>
    <m/>
    <m/>
    <x v="115"/>
    <m/>
    <x v="529"/>
    <d v="2023-01-07T00:00:00"/>
    <x v="0"/>
    <m/>
    <m/>
    <m/>
    <x v="0"/>
    <x v="0"/>
    <m/>
    <n v="4500017487"/>
    <m/>
    <m/>
    <m/>
    <m/>
    <m/>
    <m/>
    <m/>
    <m/>
    <m/>
    <m/>
    <m/>
    <m/>
    <m/>
  </r>
  <r>
    <n v="698"/>
    <x v="23"/>
    <x v="494"/>
    <s v="Jakarta Selatan 12710"/>
    <m/>
    <m/>
    <s v="Sewa Tahunan"/>
    <x v="2"/>
    <x v="67"/>
    <m/>
    <m/>
    <m/>
    <m/>
    <m/>
    <x v="112"/>
    <m/>
    <m/>
    <x v="18"/>
    <m/>
    <x v="530"/>
    <d v="2023-02-01T00:00:00"/>
    <x v="0"/>
    <m/>
    <m/>
    <m/>
    <x v="0"/>
    <x v="0"/>
    <s v="17719/SPP/008/PUSAT/ICON+/2022"/>
    <n v="4500017575"/>
    <m/>
    <m/>
    <m/>
    <m/>
    <m/>
    <m/>
    <m/>
    <m/>
    <m/>
    <m/>
    <m/>
    <m/>
    <m/>
  </r>
  <r>
    <n v="699"/>
    <x v="118"/>
    <x v="65"/>
    <s v="Jakarta 12210"/>
    <m/>
    <m/>
    <s v="Sewa Bulanan"/>
    <x v="0"/>
    <x v="532"/>
    <m/>
    <m/>
    <m/>
    <m/>
    <m/>
    <x v="274"/>
    <m/>
    <m/>
    <x v="264"/>
    <m/>
    <x v="531"/>
    <d v="2023-07-21T00:00:00"/>
    <x v="0"/>
    <m/>
    <m/>
    <m/>
    <x v="0"/>
    <x v="0"/>
    <s v="18228/SPP/008/PUSAT/ICON+/2022"/>
    <n v="4500017771"/>
    <m/>
    <m/>
    <m/>
    <m/>
    <m/>
    <m/>
    <m/>
    <m/>
    <m/>
    <m/>
    <m/>
    <m/>
    <m/>
  </r>
  <r>
    <n v="700"/>
    <x v="318"/>
    <x v="495"/>
    <s v="Jakarta 15345"/>
    <m/>
    <m/>
    <s v="Sewa Tahunan"/>
    <x v="0"/>
    <x v="61"/>
    <m/>
    <m/>
    <m/>
    <m/>
    <m/>
    <x v="45"/>
    <m/>
    <m/>
    <x v="34"/>
    <m/>
    <x v="250"/>
    <d v="2022-11-30T00:00:00"/>
    <x v="0"/>
    <m/>
    <m/>
    <m/>
    <x v="0"/>
    <x v="0"/>
    <s v="16831/SPP/008/PUSAT/ICON+/2022"/>
    <n v="4500017490"/>
    <m/>
    <m/>
    <m/>
    <m/>
    <m/>
    <m/>
    <m/>
    <m/>
    <m/>
    <m/>
    <m/>
    <m/>
    <m/>
  </r>
  <r>
    <n v="701"/>
    <x v="319"/>
    <x v="24"/>
    <s v="Jakarta 10250"/>
    <m/>
    <m/>
    <s v="Sewa Tahunan"/>
    <x v="1"/>
    <x v="533"/>
    <m/>
    <m/>
    <m/>
    <m/>
    <m/>
    <x v="118"/>
    <m/>
    <m/>
    <x v="265"/>
    <m/>
    <x v="532"/>
    <d v="2022-05-13T00:00:00"/>
    <x v="0"/>
    <m/>
    <m/>
    <m/>
    <x v="0"/>
    <x v="0"/>
    <s v="15439/SPP/008/PUSAT/ICON+/2021"/>
    <n v="4500016004"/>
    <m/>
    <m/>
    <m/>
    <m/>
    <m/>
    <m/>
    <m/>
    <m/>
    <m/>
    <m/>
    <m/>
    <m/>
    <m/>
  </r>
  <r>
    <n v="702"/>
    <x v="150"/>
    <x v="217"/>
    <s v="Jakarta 10340"/>
    <m/>
    <m/>
    <s v="Sewa Bulanan"/>
    <x v="0"/>
    <x v="534"/>
    <m/>
    <m/>
    <m/>
    <m/>
    <m/>
    <x v="11"/>
    <m/>
    <m/>
    <x v="266"/>
    <m/>
    <x v="533"/>
    <d v="2022-08-31T00:00:00"/>
    <x v="0"/>
    <m/>
    <m/>
    <m/>
    <x v="0"/>
    <x v="0"/>
    <s v="18353/SPP/008/PUSAT/ICON+/2022"/>
    <n v="4500017897"/>
    <m/>
    <m/>
    <m/>
    <m/>
    <m/>
    <m/>
    <m/>
    <m/>
    <m/>
    <m/>
    <m/>
    <m/>
    <m/>
  </r>
  <r>
    <n v="703"/>
    <x v="320"/>
    <x v="496"/>
    <s v="Jakarta 12710"/>
    <m/>
    <m/>
    <s v="Sewa Tahunan"/>
    <x v="1"/>
    <x v="535"/>
    <m/>
    <m/>
    <m/>
    <m/>
    <m/>
    <x v="113"/>
    <m/>
    <m/>
    <x v="95"/>
    <m/>
    <x v="450"/>
    <d v="2023-03-29T00:00:00"/>
    <x v="0"/>
    <m/>
    <m/>
    <m/>
    <x v="0"/>
    <x v="0"/>
    <s v="18271/SPP/008/PUSAT/ICON+/2022"/>
    <n v="4500017801"/>
    <m/>
    <m/>
    <m/>
    <m/>
    <m/>
    <m/>
    <m/>
    <m/>
    <m/>
    <m/>
    <m/>
    <m/>
    <m/>
  </r>
  <r>
    <n v="704"/>
    <x v="143"/>
    <x v="497"/>
    <s v="Tanggerang 15321"/>
    <m/>
    <m/>
    <s v="Sewa Tahunan"/>
    <x v="2"/>
    <x v="85"/>
    <m/>
    <m/>
    <m/>
    <m/>
    <m/>
    <x v="182"/>
    <m/>
    <m/>
    <x v="5"/>
    <m/>
    <x v="534"/>
    <d v="2023-04-15T00:00:00"/>
    <x v="0"/>
    <m/>
    <m/>
    <m/>
    <x v="0"/>
    <x v="0"/>
    <s v="18324/SPP/008/PUSAT/ICON+/2022"/>
    <n v="4500017852"/>
    <m/>
    <m/>
    <m/>
    <m/>
    <m/>
    <m/>
    <m/>
    <m/>
    <m/>
    <m/>
    <m/>
    <m/>
    <m/>
  </r>
  <r>
    <n v="705"/>
    <x v="321"/>
    <x v="185"/>
    <s v="Jakarta Pusat 00000"/>
    <m/>
    <m/>
    <s v="Sewa Tahunan"/>
    <x v="1"/>
    <x v="67"/>
    <m/>
    <m/>
    <m/>
    <m/>
    <m/>
    <x v="112"/>
    <m/>
    <m/>
    <x v="267"/>
    <m/>
    <x v="160"/>
    <d v="2024-07-28T00:00:00"/>
    <x v="0"/>
    <m/>
    <m/>
    <m/>
    <x v="0"/>
    <x v="0"/>
    <s v="18036/SPP/008/PUSAT/ICON+/2022"/>
    <n v="4500017709"/>
    <m/>
    <m/>
    <m/>
    <m/>
    <m/>
    <m/>
    <m/>
    <m/>
    <m/>
    <m/>
    <m/>
    <m/>
    <m/>
  </r>
  <r>
    <n v="706"/>
    <x v="321"/>
    <x v="185"/>
    <s v="Jakarta Pusat 00000"/>
    <m/>
    <m/>
    <s v="Sewa Tahunan"/>
    <x v="1"/>
    <x v="67"/>
    <m/>
    <m/>
    <m/>
    <m/>
    <m/>
    <x v="112"/>
    <m/>
    <m/>
    <x v="267"/>
    <m/>
    <x v="535"/>
    <d v="2024-10-20T00:00:00"/>
    <x v="0"/>
    <m/>
    <m/>
    <m/>
    <x v="0"/>
    <x v="0"/>
    <s v="18034/SPP/008/PUSAT/ICON+/2022"/>
    <n v="4500017708"/>
    <m/>
    <m/>
    <m/>
    <m/>
    <m/>
    <m/>
    <m/>
    <m/>
    <m/>
    <m/>
    <m/>
    <m/>
    <m/>
  </r>
  <r>
    <n v="707"/>
    <x v="294"/>
    <x v="369"/>
    <s v="Jakarta Utara 14430"/>
    <m/>
    <m/>
    <s v="Sewa Tahunan"/>
    <x v="1"/>
    <x v="345"/>
    <m/>
    <m/>
    <m/>
    <m/>
    <m/>
    <x v="275"/>
    <m/>
    <m/>
    <x v="268"/>
    <m/>
    <x v="520"/>
    <d v="2023-01-26T00:00:00"/>
    <x v="0"/>
    <m/>
    <m/>
    <m/>
    <x v="0"/>
    <x v="0"/>
    <s v="17742/SPP/008/PUSAT/ICON+/2022"/>
    <n v="4500017587"/>
    <m/>
    <m/>
    <m/>
    <m/>
    <m/>
    <m/>
    <m/>
    <m/>
    <m/>
    <m/>
    <m/>
    <m/>
    <m/>
  </r>
  <r>
    <n v="708"/>
    <x v="117"/>
    <x v="150"/>
    <s v="Jakarta 00000"/>
    <m/>
    <m/>
    <s v="Sewa Tahunan"/>
    <x v="1"/>
    <x v="536"/>
    <m/>
    <m/>
    <m/>
    <m/>
    <m/>
    <x v="75"/>
    <m/>
    <m/>
    <x v="31"/>
    <m/>
    <x v="536"/>
    <d v="2022-11-09T00:00:00"/>
    <x v="0"/>
    <m/>
    <m/>
    <m/>
    <x v="0"/>
    <x v="0"/>
    <m/>
    <n v="4500018400"/>
    <m/>
    <m/>
    <m/>
    <m/>
    <m/>
    <m/>
    <m/>
    <m/>
    <m/>
    <m/>
    <m/>
    <m/>
    <m/>
  </r>
  <r>
    <n v="709"/>
    <x v="294"/>
    <x v="8"/>
    <s v="Jakarta Utara 14430"/>
    <m/>
    <m/>
    <s v="Sewa Tahunan"/>
    <x v="1"/>
    <x v="8"/>
    <m/>
    <m/>
    <m/>
    <m/>
    <m/>
    <x v="7"/>
    <m/>
    <m/>
    <x v="22"/>
    <m/>
    <x v="475"/>
    <d v="2023-08-26T00:00:00"/>
    <x v="0"/>
    <m/>
    <m/>
    <m/>
    <x v="0"/>
    <x v="0"/>
    <m/>
    <n v="4500018257"/>
    <m/>
    <m/>
    <m/>
    <m/>
    <m/>
    <m/>
    <m/>
    <m/>
    <m/>
    <m/>
    <m/>
    <m/>
    <m/>
  </r>
  <r>
    <n v="710"/>
    <x v="118"/>
    <x v="65"/>
    <s v="Jakarta 12210"/>
    <m/>
    <m/>
    <s v="Sewa Tahunan"/>
    <x v="0"/>
    <x v="537"/>
    <m/>
    <m/>
    <m/>
    <m/>
    <m/>
    <x v="0"/>
    <m/>
    <m/>
    <x v="145"/>
    <m/>
    <x v="165"/>
    <d v="2023-07-21T00:00:00"/>
    <x v="0"/>
    <m/>
    <m/>
    <m/>
    <x v="0"/>
    <x v="0"/>
    <s v="19175/SPP/008/PUSAT/ICON+/2022"/>
    <n v="4500018443"/>
    <m/>
    <m/>
    <m/>
    <m/>
    <m/>
    <m/>
    <m/>
    <m/>
    <m/>
    <m/>
    <m/>
    <m/>
    <m/>
  </r>
  <r>
    <n v="711"/>
    <x v="316"/>
    <x v="498"/>
    <s v="Bekasi 17530"/>
    <m/>
    <m/>
    <s v="Sewa Tahunan"/>
    <x v="2"/>
    <x v="538"/>
    <m/>
    <m/>
    <m/>
    <m/>
    <n v="3500000"/>
    <x v="59"/>
    <m/>
    <m/>
    <x v="109"/>
    <m/>
    <x v="537"/>
    <d v="2023-07-25T00:00:00"/>
    <x v="0"/>
    <m/>
    <m/>
    <m/>
    <x v="0"/>
    <x v="0"/>
    <s v="19312/SPP/008/PUSAT/ICON+/2022"/>
    <n v="4500018458"/>
    <m/>
    <m/>
    <m/>
    <m/>
    <m/>
    <m/>
    <m/>
    <m/>
    <m/>
    <m/>
    <m/>
    <m/>
    <m/>
  </r>
  <r>
    <n v="712"/>
    <x v="318"/>
    <x v="499"/>
    <s v="Jakarta 15345"/>
    <m/>
    <m/>
    <s v="Sewa Tahunan"/>
    <x v="0"/>
    <x v="539"/>
    <m/>
    <m/>
    <m/>
    <m/>
    <n v="5000000"/>
    <x v="63"/>
    <m/>
    <n v="3000000"/>
    <x v="269"/>
    <m/>
    <x v="495"/>
    <d v="2023-09-20T00:00:00"/>
    <x v="0"/>
    <m/>
    <m/>
    <m/>
    <x v="0"/>
    <x v="0"/>
    <s v="19448/SPP/008/PUSAT/ICON+/2022"/>
    <n v="4500018568"/>
    <m/>
    <m/>
    <m/>
    <m/>
    <m/>
    <m/>
    <m/>
    <m/>
    <m/>
    <m/>
    <m/>
    <m/>
    <m/>
  </r>
  <r>
    <n v="713"/>
    <x v="150"/>
    <x v="217"/>
    <s v="Jakarta 10340"/>
    <m/>
    <m/>
    <s v="Sewa Tahunan"/>
    <x v="0"/>
    <x v="534"/>
    <m/>
    <m/>
    <m/>
    <m/>
    <m/>
    <x v="2"/>
    <m/>
    <m/>
    <x v="270"/>
    <m/>
    <x v="388"/>
    <d v="2023-08-31T00:00:00"/>
    <x v="0"/>
    <m/>
    <m/>
    <m/>
    <x v="0"/>
    <x v="0"/>
    <s v="19245/SPP/008/PUSAT/ICON+/2022"/>
    <n v="4500018424"/>
    <m/>
    <m/>
    <m/>
    <m/>
    <m/>
    <m/>
    <m/>
    <m/>
    <m/>
    <m/>
    <m/>
    <m/>
    <m/>
  </r>
  <r>
    <n v="714"/>
    <x v="14"/>
    <x v="500"/>
    <s v="Ciputat 00000"/>
    <m/>
    <m/>
    <s v="Sewa Tahunan"/>
    <x v="0"/>
    <x v="540"/>
    <m/>
    <m/>
    <m/>
    <m/>
    <m/>
    <x v="2"/>
    <m/>
    <m/>
    <x v="95"/>
    <m/>
    <x v="473"/>
    <d v="2023-07-31T00:00:00"/>
    <x v="0"/>
    <m/>
    <m/>
    <m/>
    <x v="0"/>
    <x v="0"/>
    <s v="19191/SPP/008/PUSAT/ICON+/2022"/>
    <n v="4500018422"/>
    <m/>
    <m/>
    <m/>
    <m/>
    <m/>
    <m/>
    <m/>
    <m/>
    <m/>
    <m/>
    <m/>
    <m/>
    <m/>
  </r>
  <r>
    <n v="715"/>
    <x v="118"/>
    <x v="501"/>
    <s v="Jakarta 12210"/>
    <m/>
    <m/>
    <s v="Sewa Tahunan"/>
    <x v="0"/>
    <x v="541"/>
    <m/>
    <m/>
    <m/>
    <m/>
    <m/>
    <x v="52"/>
    <m/>
    <m/>
    <x v="17"/>
    <m/>
    <x v="538"/>
    <d v="2023-07-28T00:00:00"/>
    <x v="0"/>
    <m/>
    <m/>
    <m/>
    <x v="0"/>
    <x v="0"/>
    <s v="19189/SPP/008/PUSAT/ICON+/2022"/>
    <n v="4500018421"/>
    <m/>
    <m/>
    <m/>
    <m/>
    <m/>
    <m/>
    <m/>
    <m/>
    <m/>
    <m/>
    <m/>
    <m/>
    <m/>
  </r>
  <r>
    <n v="716"/>
    <x v="23"/>
    <x v="282"/>
    <s v="Jakarta Selatan 12710"/>
    <m/>
    <m/>
    <s v="Sewa Tahunan"/>
    <x v="2"/>
    <x v="315"/>
    <m/>
    <m/>
    <m/>
    <m/>
    <m/>
    <x v="8"/>
    <m/>
    <m/>
    <x v="10"/>
    <m/>
    <x v="539"/>
    <d v="2023-04-28T00:00:00"/>
    <x v="0"/>
    <m/>
    <m/>
    <m/>
    <x v="0"/>
    <x v="0"/>
    <s v="18706/SPP/008/PUSAT/ICON+/2022"/>
    <n v="4500018118"/>
    <m/>
    <m/>
    <m/>
    <m/>
    <m/>
    <m/>
    <m/>
    <m/>
    <m/>
    <m/>
    <m/>
    <m/>
    <m/>
  </r>
  <r>
    <n v="717"/>
    <x v="318"/>
    <x v="168"/>
    <s v="Jakarta 15345"/>
    <m/>
    <m/>
    <s v="Sewa Tahunan"/>
    <x v="0"/>
    <x v="542"/>
    <m/>
    <m/>
    <m/>
    <m/>
    <n v="5000000"/>
    <x v="276"/>
    <m/>
    <n v="3000000"/>
    <x v="271"/>
    <m/>
    <x v="540"/>
    <d v="2023-07-19T00:00:00"/>
    <x v="0"/>
    <m/>
    <m/>
    <m/>
    <x v="0"/>
    <x v="0"/>
    <s v="19023/SPP/008/PUSAT/ICON+/2022"/>
    <n v="4500018282"/>
    <m/>
    <m/>
    <m/>
    <m/>
    <m/>
    <m/>
    <m/>
    <m/>
    <m/>
    <m/>
    <m/>
    <m/>
    <m/>
  </r>
  <r>
    <n v="718"/>
    <x v="302"/>
    <x v="264"/>
    <s v="Jakarta Selatan 12790"/>
    <m/>
    <m/>
    <s v="Sewa Tahunan"/>
    <x v="0"/>
    <x v="543"/>
    <m/>
    <m/>
    <m/>
    <m/>
    <m/>
    <x v="277"/>
    <m/>
    <m/>
    <x v="16"/>
    <m/>
    <x v="541"/>
    <d v="2023-09-01T00:00:00"/>
    <x v="0"/>
    <m/>
    <m/>
    <m/>
    <x v="0"/>
    <x v="0"/>
    <s v="19534/SPP/008/PUSAT/ICON+/2022"/>
    <n v="4500018651"/>
    <m/>
    <m/>
    <m/>
    <m/>
    <m/>
    <m/>
    <m/>
    <m/>
    <m/>
    <m/>
    <m/>
    <m/>
    <m/>
  </r>
  <r>
    <n v="719"/>
    <x v="322"/>
    <x v="502"/>
    <s v="Jakarta Selatan 12930"/>
    <m/>
    <m/>
    <s v="Sewa Tahunan"/>
    <x v="1"/>
    <x v="544"/>
    <m/>
    <m/>
    <m/>
    <m/>
    <m/>
    <x v="16"/>
    <m/>
    <m/>
    <x v="21"/>
    <m/>
    <x v="542"/>
    <d v="2023-04-30T00:00:00"/>
    <x v="0"/>
    <m/>
    <m/>
    <m/>
    <x v="0"/>
    <x v="0"/>
    <s v="17858/SPP/008/PUSAT/ICON+/2022"/>
    <n v="4500017828"/>
    <m/>
    <m/>
    <m/>
    <m/>
    <m/>
    <m/>
    <m/>
    <m/>
    <m/>
    <m/>
    <m/>
    <m/>
    <m/>
  </r>
  <r>
    <n v="720"/>
    <x v="323"/>
    <x v="503"/>
    <s v="Jakarta Utara 14140"/>
    <m/>
    <m/>
    <s v="Sewa Tahunan"/>
    <x v="1"/>
    <x v="545"/>
    <m/>
    <m/>
    <m/>
    <m/>
    <n v="5000000"/>
    <x v="30"/>
    <m/>
    <m/>
    <x v="210"/>
    <m/>
    <x v="543"/>
    <d v="2023-08-14T00:00:00"/>
    <x v="0"/>
    <m/>
    <m/>
    <m/>
    <x v="0"/>
    <x v="0"/>
    <s v="19547/SPP/008/PUSAT/ICON+/2022"/>
    <n v="4500018666"/>
    <m/>
    <m/>
    <m/>
    <m/>
    <m/>
    <m/>
    <m/>
    <m/>
    <m/>
    <m/>
    <m/>
    <m/>
    <m/>
  </r>
  <r>
    <n v="721"/>
    <x v="318"/>
    <x v="504"/>
    <s v="Jakarta 15345"/>
    <m/>
    <m/>
    <s v="Sewa Tahunan"/>
    <x v="0"/>
    <x v="546"/>
    <m/>
    <m/>
    <m/>
    <m/>
    <m/>
    <x v="278"/>
    <m/>
    <m/>
    <x v="272"/>
    <m/>
    <x v="544"/>
    <d v="2023-09-28T00:00:00"/>
    <x v="0"/>
    <m/>
    <m/>
    <m/>
    <x v="0"/>
    <x v="0"/>
    <s v="19480/SPP/008/PUSAT/ICON+/2022"/>
    <n v="4500018573"/>
    <m/>
    <m/>
    <m/>
    <m/>
    <m/>
    <m/>
    <m/>
    <m/>
    <m/>
    <m/>
    <m/>
    <m/>
    <m/>
  </r>
  <r>
    <n v="722"/>
    <x v="324"/>
    <x v="505"/>
    <s v="Jakarta Selatan 00000"/>
    <m/>
    <m/>
    <s v="Sewa Tahunan"/>
    <x v="0"/>
    <x v="547"/>
    <m/>
    <m/>
    <m/>
    <m/>
    <n v="3500000"/>
    <x v="239"/>
    <m/>
    <n v="1000000"/>
    <x v="16"/>
    <m/>
    <x v="545"/>
    <d v="2023-07-22T00:00:00"/>
    <x v="0"/>
    <m/>
    <m/>
    <m/>
    <x v="0"/>
    <x v="0"/>
    <s v="19385/SPP/008/PUSAT/ICON+/2022"/>
    <n v="4500018546"/>
    <m/>
    <m/>
    <m/>
    <m/>
    <m/>
    <m/>
    <m/>
    <m/>
    <m/>
    <m/>
    <m/>
    <m/>
    <m/>
  </r>
  <r>
    <n v="723"/>
    <x v="325"/>
    <x v="506"/>
    <s v="Cawang 2 13630"/>
    <m/>
    <m/>
    <s v="Sewa Tahunan"/>
    <x v="1"/>
    <x v="548"/>
    <m/>
    <m/>
    <m/>
    <m/>
    <n v="390000000"/>
    <x v="279"/>
    <m/>
    <m/>
    <x v="17"/>
    <m/>
    <x v="489"/>
    <d v="2023-08-04T00:00:00"/>
    <x v="0"/>
    <m/>
    <m/>
    <m/>
    <x v="0"/>
    <x v="0"/>
    <s v="19515/SPP/008/PUSAT/ICON+/2022"/>
    <n v="4500018572"/>
    <m/>
    <m/>
    <m/>
    <m/>
    <m/>
    <m/>
    <m/>
    <m/>
    <m/>
    <m/>
    <m/>
    <m/>
    <m/>
  </r>
  <r>
    <n v="724"/>
    <x v="294"/>
    <x v="507"/>
    <s v="Jakarta Utara 14430"/>
    <m/>
    <m/>
    <s v="Sewa Tahunan"/>
    <x v="1"/>
    <x v="549"/>
    <m/>
    <m/>
    <m/>
    <m/>
    <n v="2318184"/>
    <x v="252"/>
    <m/>
    <m/>
    <x v="273"/>
    <m/>
    <x v="546"/>
    <d v="2023-08-29T00:00:00"/>
    <x v="0"/>
    <m/>
    <m/>
    <m/>
    <x v="0"/>
    <x v="0"/>
    <s v="19429/SPP/008/PUSAT/ICON+/2022"/>
    <n v="4500018593"/>
    <m/>
    <m/>
    <m/>
    <m/>
    <m/>
    <m/>
    <m/>
    <m/>
    <m/>
    <m/>
    <m/>
    <m/>
    <m/>
  </r>
  <r>
    <n v="725"/>
    <x v="119"/>
    <x v="127"/>
    <s v="Jakarta 12710"/>
    <m/>
    <m/>
    <s v="Sewa Tahunan"/>
    <x v="1"/>
    <x v="550"/>
    <m/>
    <m/>
    <m/>
    <m/>
    <m/>
    <x v="39"/>
    <m/>
    <m/>
    <x v="222"/>
    <m/>
    <x v="514"/>
    <d v="2023-09-05T00:00:00"/>
    <x v="0"/>
    <m/>
    <m/>
    <m/>
    <x v="0"/>
    <x v="0"/>
    <s v="19241/SPP/008/PUSAT/ICON+/2022"/>
    <n v="4500018456"/>
    <m/>
    <m/>
    <m/>
    <m/>
    <m/>
    <m/>
    <m/>
    <m/>
    <m/>
    <m/>
    <m/>
    <m/>
    <m/>
  </r>
  <r>
    <n v="726"/>
    <x v="326"/>
    <x v="508"/>
    <s v="Jakarta Barat 00000"/>
    <m/>
    <m/>
    <s v="Sewa Tahunan"/>
    <x v="0"/>
    <x v="551"/>
    <m/>
    <m/>
    <m/>
    <m/>
    <n v="5000"/>
    <x v="280"/>
    <m/>
    <n v="4000000"/>
    <x v="274"/>
    <m/>
    <x v="547"/>
    <d v="2023-08-21T00:00:00"/>
    <x v="0"/>
    <m/>
    <m/>
    <m/>
    <x v="0"/>
    <x v="0"/>
    <s v="19560/SPP/008/PUSAT/ICON+/2022"/>
    <n v="4500018763"/>
    <m/>
    <m/>
    <m/>
    <m/>
    <m/>
    <m/>
    <m/>
    <m/>
    <m/>
    <m/>
    <m/>
    <m/>
    <m/>
  </r>
  <r>
    <n v="727"/>
    <x v="302"/>
    <x v="264"/>
    <s v="Jakarta Selatan 12790"/>
    <m/>
    <m/>
    <s v="Sewa Tahunan"/>
    <x v="0"/>
    <x v="552"/>
    <m/>
    <m/>
    <m/>
    <m/>
    <n v="4000000"/>
    <x v="281"/>
    <m/>
    <n v="2500000"/>
    <x v="133"/>
    <m/>
    <x v="541"/>
    <d v="2023-09-01T00:00:00"/>
    <x v="0"/>
    <m/>
    <m/>
    <m/>
    <x v="0"/>
    <x v="0"/>
    <s v="19447/SPP/008/PUSAT/ICON+/2022"/>
    <n v="4500018575"/>
    <m/>
    <m/>
    <m/>
    <m/>
    <m/>
    <m/>
    <m/>
    <m/>
    <m/>
    <m/>
    <m/>
    <m/>
    <m/>
  </r>
  <r>
    <n v="728"/>
    <x v="327"/>
    <x v="509"/>
    <s v="Jakarta 10730"/>
    <m/>
    <m/>
    <s v="Sewa Tahunan"/>
    <x v="1"/>
    <x v="67"/>
    <m/>
    <m/>
    <m/>
    <m/>
    <m/>
    <x v="112"/>
    <m/>
    <m/>
    <x v="275"/>
    <m/>
    <x v="250"/>
    <d v="2022-11-30T00:00:00"/>
    <x v="0"/>
    <m/>
    <m/>
    <m/>
    <x v="0"/>
    <x v="0"/>
    <s v="17133/SPP/008/PUSAT/ICON+/2022"/>
    <n v="4500018727"/>
    <m/>
    <m/>
    <m/>
    <m/>
    <m/>
    <m/>
    <m/>
    <m/>
    <m/>
    <m/>
    <m/>
    <m/>
    <m/>
  </r>
  <r>
    <n v="729"/>
    <x v="119"/>
    <x v="510"/>
    <s v="Jakarta 12710"/>
    <m/>
    <m/>
    <s v="Sewa Tahunan"/>
    <x v="1"/>
    <x v="553"/>
    <m/>
    <m/>
    <m/>
    <m/>
    <m/>
    <x v="282"/>
    <m/>
    <m/>
    <x v="6"/>
    <m/>
    <x v="548"/>
    <d v="2023-05-27T00:00:00"/>
    <x v="0"/>
    <m/>
    <m/>
    <m/>
    <x v="0"/>
    <x v="0"/>
    <s v="18803/SPP/008/PUSAT/ICON+/2022"/>
    <n v="4500018233"/>
    <m/>
    <m/>
    <m/>
    <m/>
    <m/>
    <m/>
    <m/>
    <m/>
    <m/>
    <m/>
    <m/>
    <m/>
    <m/>
  </r>
  <r>
    <n v="730"/>
    <x v="143"/>
    <x v="511"/>
    <s v="Tanggerang 15321"/>
    <m/>
    <m/>
    <s v="Sewa Tahunan"/>
    <x v="2"/>
    <x v="554"/>
    <m/>
    <m/>
    <m/>
    <m/>
    <m/>
    <x v="265"/>
    <m/>
    <m/>
    <x v="5"/>
    <m/>
    <x v="510"/>
    <d v="2023-06-29T00:00:00"/>
    <x v="0"/>
    <m/>
    <m/>
    <m/>
    <x v="0"/>
    <x v="0"/>
    <s v="18847/SPP/008/PUSAT/ICON+/2022"/>
    <n v="4500018223"/>
    <m/>
    <m/>
    <m/>
    <m/>
    <m/>
    <m/>
    <m/>
    <m/>
    <m/>
    <m/>
    <m/>
    <m/>
    <m/>
  </r>
  <r>
    <n v="731"/>
    <x v="117"/>
    <x v="512"/>
    <s v="Jakarta 00000"/>
    <m/>
    <m/>
    <s v="Sewa Tahunan"/>
    <x v="2"/>
    <x v="555"/>
    <m/>
    <m/>
    <m/>
    <m/>
    <n v="6600000"/>
    <x v="283"/>
    <m/>
    <n v="4000000"/>
    <x v="276"/>
    <m/>
    <x v="549"/>
    <d v="2023-07-14T00:00:00"/>
    <x v="0"/>
    <m/>
    <m/>
    <m/>
    <x v="0"/>
    <x v="0"/>
    <s v="19156/SPP/008/PUSAT/ICON+/2022"/>
    <n v="4500018379"/>
    <m/>
    <m/>
    <m/>
    <m/>
    <m/>
    <m/>
    <m/>
    <m/>
    <m/>
    <m/>
    <m/>
    <m/>
    <m/>
  </r>
  <r>
    <n v="732"/>
    <x v="328"/>
    <x v="513"/>
    <s v="Bekasi 00000 "/>
    <m/>
    <m/>
    <s v="Sewa Tahunan"/>
    <x v="2"/>
    <x v="556"/>
    <m/>
    <m/>
    <m/>
    <m/>
    <n v="5000000"/>
    <x v="284"/>
    <m/>
    <n v="1500000"/>
    <x v="277"/>
    <m/>
    <x v="550"/>
    <d v="2023-06-07T00:00:00"/>
    <x v="0"/>
    <m/>
    <m/>
    <m/>
    <x v="0"/>
    <x v="0"/>
    <s v="18719/SPP/008/PUSAT/ICON+/2022"/>
    <n v="4500018075"/>
    <m/>
    <m/>
    <m/>
    <m/>
    <m/>
    <m/>
    <m/>
    <m/>
    <m/>
    <m/>
    <m/>
    <m/>
    <m/>
  </r>
  <r>
    <n v="733"/>
    <x v="329"/>
    <x v="336"/>
    <s v="Jakarta 00000"/>
    <m/>
    <m/>
    <s v="Sewa Tahunan"/>
    <x v="0"/>
    <x v="557"/>
    <m/>
    <m/>
    <m/>
    <m/>
    <m/>
    <x v="285"/>
    <m/>
    <m/>
    <x v="79"/>
    <m/>
    <x v="486"/>
    <d v="2023-06-30T00:00:00"/>
    <x v="0"/>
    <m/>
    <m/>
    <m/>
    <x v="0"/>
    <x v="0"/>
    <s v="19052/SPP/008/PUSAT/ICON+/2022"/>
    <n v="4500018322"/>
    <m/>
    <m/>
    <m/>
    <m/>
    <m/>
    <m/>
    <m/>
    <m/>
    <m/>
    <m/>
    <m/>
    <m/>
    <m/>
  </r>
  <r>
    <n v="734"/>
    <x v="141"/>
    <x v="514"/>
    <s v="Jakarta Selatan 12017"/>
    <m/>
    <m/>
    <s v="Sewa Tahunan"/>
    <x v="2"/>
    <x v="558"/>
    <m/>
    <m/>
    <m/>
    <m/>
    <m/>
    <x v="286"/>
    <m/>
    <m/>
    <x v="278"/>
    <m/>
    <x v="538"/>
    <d v="2023-07-28T00:00:00"/>
    <x v="0"/>
    <m/>
    <m/>
    <m/>
    <x v="0"/>
    <x v="0"/>
    <s v="19115/SPP/008/PUSAT/ICON+/2022"/>
    <n v="4500018401"/>
    <m/>
    <m/>
    <m/>
    <m/>
    <m/>
    <m/>
    <m/>
    <m/>
    <m/>
    <m/>
    <m/>
    <m/>
    <m/>
  </r>
  <r>
    <n v="735"/>
    <x v="121"/>
    <x v="45"/>
    <s v="Jakarta Selatan 12190"/>
    <m/>
    <m/>
    <s v="Sewa Tahunan"/>
    <x v="0"/>
    <x v="559"/>
    <m/>
    <m/>
    <m/>
    <m/>
    <m/>
    <x v="119"/>
    <m/>
    <m/>
    <x v="230"/>
    <m/>
    <x v="486"/>
    <d v="2023-06-30T00:00:00"/>
    <x v="0"/>
    <m/>
    <m/>
    <m/>
    <x v="0"/>
    <x v="0"/>
    <s v="19011/SPP/008/PUSAT/ICON+/2022"/>
    <n v="4500018287"/>
    <m/>
    <m/>
    <m/>
    <m/>
    <m/>
    <m/>
    <m/>
    <m/>
    <m/>
    <m/>
    <m/>
    <m/>
    <m/>
  </r>
  <r>
    <n v="736"/>
    <x v="321"/>
    <x v="185"/>
    <s v="Jakarta Pusat 00000"/>
    <m/>
    <m/>
    <s v="Sewa Tahunan"/>
    <x v="1"/>
    <x v="67"/>
    <m/>
    <m/>
    <m/>
    <m/>
    <m/>
    <x v="112"/>
    <m/>
    <m/>
    <x v="95"/>
    <m/>
    <x v="201"/>
    <d v="2022-12-31T00:00:00"/>
    <x v="0"/>
    <m/>
    <m/>
    <m/>
    <x v="0"/>
    <x v="0"/>
    <s v="19055/SPP/008/PUSAT/ICON+/2022"/>
    <n v="4500018320"/>
    <m/>
    <m/>
    <m/>
    <m/>
    <m/>
    <m/>
    <m/>
    <m/>
    <m/>
    <m/>
    <m/>
    <m/>
    <m/>
  </r>
  <r>
    <n v="737"/>
    <x v="141"/>
    <x v="8"/>
    <s v="Jakarta Pusat 10110"/>
    <m/>
    <m/>
    <s v="Sewa Tahunan"/>
    <x v="0"/>
    <x v="560"/>
    <m/>
    <m/>
    <m/>
    <m/>
    <m/>
    <x v="187"/>
    <m/>
    <m/>
    <x v="35"/>
    <m/>
    <x v="486"/>
    <d v="2023-06-30T00:00:00"/>
    <x v="0"/>
    <m/>
    <m/>
    <m/>
    <x v="0"/>
    <x v="0"/>
    <s v="18896/SPP/008/PUSAT/ICON+/2022"/>
    <n v="4500018239"/>
    <m/>
    <m/>
    <m/>
    <m/>
    <m/>
    <m/>
    <m/>
    <m/>
    <m/>
    <m/>
    <m/>
    <m/>
    <m/>
  </r>
  <r>
    <n v="738"/>
    <x v="117"/>
    <x v="195"/>
    <s v="Jakarta 00000"/>
    <m/>
    <m/>
    <s v="Sewa Bulanan"/>
    <x v="2"/>
    <x v="215"/>
    <m/>
    <m/>
    <m/>
    <m/>
    <m/>
    <x v="287"/>
    <m/>
    <m/>
    <x v="279"/>
    <m/>
    <x v="442"/>
    <d v="2022-06-30T00:00:00"/>
    <x v="0"/>
    <m/>
    <m/>
    <m/>
    <x v="0"/>
    <x v="0"/>
    <m/>
    <n v="4500018963"/>
    <m/>
    <m/>
    <m/>
    <m/>
    <m/>
    <m/>
    <m/>
    <m/>
    <m/>
    <m/>
    <m/>
    <m/>
    <m/>
  </r>
  <r>
    <n v="739"/>
    <x v="143"/>
    <x v="153"/>
    <s v="Tanggerang 15321"/>
    <m/>
    <m/>
    <s v="Sewa Tahunan"/>
    <x v="2"/>
    <x v="173"/>
    <m/>
    <m/>
    <m/>
    <m/>
    <m/>
    <x v="288"/>
    <m/>
    <m/>
    <x v="5"/>
    <m/>
    <x v="407"/>
    <d v="2023-09-08T00:00:00"/>
    <x v="0"/>
    <m/>
    <m/>
    <m/>
    <x v="0"/>
    <x v="0"/>
    <s v="17740/SPP/008/PUSAT/ICON+/2022"/>
    <n v="4500018959"/>
    <m/>
    <m/>
    <m/>
    <m/>
    <m/>
    <m/>
    <m/>
    <m/>
    <m/>
    <m/>
    <m/>
    <m/>
    <m/>
  </r>
  <r>
    <n v="740"/>
    <x v="88"/>
    <x v="515"/>
    <s v="Jakarta 10610"/>
    <m/>
    <m/>
    <s v="Sewa Tahunan"/>
    <x v="1"/>
    <x v="561"/>
    <m/>
    <m/>
    <m/>
    <m/>
    <m/>
    <x v="134"/>
    <m/>
    <m/>
    <x v="280"/>
    <m/>
    <x v="551"/>
    <d v="2023-09-02T00:00:00"/>
    <x v="0"/>
    <m/>
    <m/>
    <m/>
    <x v="0"/>
    <x v="0"/>
    <m/>
    <n v="4500018968"/>
    <m/>
    <m/>
    <m/>
    <m/>
    <m/>
    <m/>
    <m/>
    <m/>
    <m/>
    <m/>
    <m/>
    <m/>
    <m/>
  </r>
  <r>
    <n v="741"/>
    <x v="143"/>
    <x v="153"/>
    <s v="Tanggerang 15321"/>
    <m/>
    <m/>
    <s v="Sewa Tahunan"/>
    <x v="1"/>
    <x v="562"/>
    <m/>
    <m/>
    <m/>
    <m/>
    <m/>
    <x v="288"/>
    <m/>
    <m/>
    <x v="281"/>
    <m/>
    <x v="514"/>
    <d v="2023-09-05T00:00:00"/>
    <x v="0"/>
    <m/>
    <m/>
    <m/>
    <x v="0"/>
    <x v="0"/>
    <m/>
    <n v="4500018961"/>
    <m/>
    <m/>
    <m/>
    <m/>
    <m/>
    <m/>
    <m/>
    <m/>
    <m/>
    <m/>
    <m/>
    <m/>
    <m/>
  </r>
  <r>
    <n v="742"/>
    <x v="143"/>
    <x v="153"/>
    <s v="Tanggerang 15321"/>
    <m/>
    <m/>
    <s v="Sewa Tahunan"/>
    <x v="2"/>
    <x v="67"/>
    <m/>
    <m/>
    <m/>
    <m/>
    <m/>
    <x v="112"/>
    <m/>
    <m/>
    <x v="18"/>
    <m/>
    <x v="407"/>
    <d v="2023-09-08T00:00:00"/>
    <x v="0"/>
    <m/>
    <m/>
    <m/>
    <x v="0"/>
    <x v="0"/>
    <m/>
    <n v="4500018960"/>
    <m/>
    <m/>
    <m/>
    <m/>
    <m/>
    <m/>
    <m/>
    <m/>
    <m/>
    <m/>
    <m/>
    <m/>
    <m/>
  </r>
  <r>
    <n v="743"/>
    <x v="330"/>
    <x v="516"/>
    <s v="Jakarta Selatan 00000"/>
    <m/>
    <m/>
    <s v="Sewa Tahunan"/>
    <x v="0"/>
    <x v="563"/>
    <m/>
    <m/>
    <m/>
    <m/>
    <n v="5000000"/>
    <x v="113"/>
    <m/>
    <n v="2000000"/>
    <x v="168"/>
    <m/>
    <x v="407"/>
    <d v="2023-09-08T00:00:00"/>
    <x v="0"/>
    <m/>
    <m/>
    <m/>
    <x v="0"/>
    <x v="0"/>
    <s v="18099/SPP/008/PUSAT/ICON+/2022"/>
    <n v="4500017711"/>
    <m/>
    <m/>
    <m/>
    <m/>
    <m/>
    <m/>
    <m/>
    <m/>
    <m/>
    <m/>
    <m/>
    <m/>
    <m/>
  </r>
  <r>
    <n v="744"/>
    <x v="318"/>
    <x v="39"/>
    <s v="Jakarta 15345"/>
    <m/>
    <m/>
    <s v="Sewa Tahunan"/>
    <x v="0"/>
    <x v="564"/>
    <m/>
    <m/>
    <m/>
    <m/>
    <n v="2000000"/>
    <x v="3"/>
    <m/>
    <n v="5000000"/>
    <x v="282"/>
    <m/>
    <x v="388"/>
    <d v="2023-08-31T00:00:00"/>
    <x v="0"/>
    <m/>
    <m/>
    <m/>
    <x v="0"/>
    <x v="0"/>
    <s v="18593/SPP/008/PUSAT/ICON+/2022"/>
    <n v="4500018085"/>
    <m/>
    <m/>
    <m/>
    <m/>
    <m/>
    <m/>
    <m/>
    <m/>
    <m/>
    <m/>
    <m/>
    <m/>
    <m/>
  </r>
  <r>
    <n v="745"/>
    <x v="126"/>
    <x v="222"/>
    <s v="Jakarta 12190"/>
    <m/>
    <m/>
    <s v="Sewa Tahunan"/>
    <x v="0"/>
    <x v="565"/>
    <m/>
    <m/>
    <m/>
    <m/>
    <n v="10000000"/>
    <x v="289"/>
    <m/>
    <n v="10000000"/>
    <x v="283"/>
    <m/>
    <x v="552"/>
    <d v="2023-10-03T00:00:00"/>
    <x v="0"/>
    <m/>
    <m/>
    <m/>
    <x v="0"/>
    <x v="0"/>
    <s v="20022/SPP/008/PUSAT/ICON+/2022"/>
    <n v="4500019012"/>
    <m/>
    <m/>
    <m/>
    <m/>
    <m/>
    <m/>
    <m/>
    <m/>
    <m/>
    <m/>
    <m/>
    <m/>
    <m/>
  </r>
  <r>
    <n v="746"/>
    <x v="121"/>
    <x v="517"/>
    <s v="Jakarta Selatan 12190"/>
    <m/>
    <m/>
    <s v="Sewa Tahunan"/>
    <x v="0"/>
    <x v="566"/>
    <m/>
    <m/>
    <m/>
    <m/>
    <m/>
    <x v="7"/>
    <m/>
    <m/>
    <x v="128"/>
    <m/>
    <x v="470"/>
    <d v="2023-10-15T00:00:00"/>
    <x v="0"/>
    <m/>
    <m/>
    <m/>
    <x v="0"/>
    <x v="0"/>
    <s v="19788/SPP/008/PUSAT/ICON+/2022"/>
    <n v="4500019004"/>
    <m/>
    <m/>
    <m/>
    <m/>
    <m/>
    <m/>
    <m/>
    <m/>
    <m/>
    <m/>
    <m/>
    <m/>
    <m/>
  </r>
  <r>
    <n v="747"/>
    <x v="23"/>
    <x v="370"/>
    <s v="Jakarta Selatan 12710"/>
    <m/>
    <m/>
    <s v="Sewa Tahunan"/>
    <x v="2"/>
    <x v="567"/>
    <m/>
    <m/>
    <m/>
    <m/>
    <n v="5000000"/>
    <x v="5"/>
    <m/>
    <n v="1500000"/>
    <x v="18"/>
    <m/>
    <x v="553"/>
    <d v="2023-09-27T00:00:00"/>
    <x v="0"/>
    <m/>
    <m/>
    <m/>
    <x v="0"/>
    <x v="0"/>
    <s v="20006/SPP/008/PUSAT/ICON+/2022"/>
    <n v="4500018983"/>
    <m/>
    <m/>
    <m/>
    <m/>
    <m/>
    <m/>
    <m/>
    <m/>
    <m/>
    <m/>
    <m/>
    <m/>
    <m/>
  </r>
  <r>
    <n v="748"/>
    <x v="9"/>
    <x v="518"/>
    <s v="Jakarta Selatan 12710"/>
    <m/>
    <m/>
    <s v="Sewa Tahunan"/>
    <x v="2"/>
    <x v="568"/>
    <m/>
    <m/>
    <m/>
    <m/>
    <m/>
    <x v="6"/>
    <m/>
    <m/>
    <x v="10"/>
    <m/>
    <x v="388"/>
    <d v="2023-08-31T00:00:00"/>
    <x v="0"/>
    <m/>
    <m/>
    <m/>
    <x v="0"/>
    <x v="0"/>
    <s v="19863/SPP/008/PUSAT/ICON+/2022"/>
    <n v="4500018868"/>
    <m/>
    <m/>
    <m/>
    <m/>
    <m/>
    <m/>
    <m/>
    <m/>
    <m/>
    <m/>
    <m/>
    <m/>
    <m/>
  </r>
  <r>
    <n v="749"/>
    <x v="130"/>
    <x v="519"/>
    <s v="Jakarta Pusat 10250"/>
    <m/>
    <m/>
    <s v="Sewa Tahunan"/>
    <x v="2"/>
    <x v="569"/>
    <m/>
    <m/>
    <m/>
    <m/>
    <n v="3500000"/>
    <x v="290"/>
    <m/>
    <n v="2500000"/>
    <x v="14"/>
    <m/>
    <x v="554"/>
    <d v="2023-12-20T00:00:00"/>
    <x v="0"/>
    <m/>
    <m/>
    <m/>
    <x v="0"/>
    <x v="0"/>
    <s v="20500/SPP/008/PUSAT/ICON+/2022"/>
    <n v="4500019384"/>
    <m/>
    <m/>
    <m/>
    <m/>
    <m/>
    <m/>
    <m/>
    <m/>
    <m/>
    <m/>
    <m/>
    <m/>
    <m/>
  </r>
  <r>
    <n v="750"/>
    <x v="128"/>
    <x v="157"/>
    <s v="Jakarta 12710"/>
    <m/>
    <m/>
    <s v="Sewa Tahunan"/>
    <x v="1"/>
    <x v="67"/>
    <m/>
    <m/>
    <m/>
    <m/>
    <m/>
    <x v="112"/>
    <m/>
    <m/>
    <x v="145"/>
    <m/>
    <x v="503"/>
    <d v="2023-11-10T00:00:00"/>
    <x v="0"/>
    <m/>
    <m/>
    <m/>
    <x v="0"/>
    <x v="0"/>
    <s v="20252/SPP/008/PUSAT/ICON+/2022"/>
    <n v="4500019251"/>
    <m/>
    <m/>
    <m/>
    <m/>
    <m/>
    <m/>
    <m/>
    <m/>
    <m/>
    <m/>
    <m/>
    <m/>
    <m/>
  </r>
  <r>
    <n v="751"/>
    <x v="243"/>
    <x v="520"/>
    <s v="Jakarta 00000"/>
    <m/>
    <m/>
    <s v="Sewa Tahunan"/>
    <x v="1"/>
    <x v="570"/>
    <m/>
    <m/>
    <m/>
    <m/>
    <m/>
    <x v="156"/>
    <m/>
    <m/>
    <x v="284"/>
    <m/>
    <x v="555"/>
    <d v="2023-10-18T00:00:00"/>
    <x v="0"/>
    <m/>
    <m/>
    <m/>
    <x v="0"/>
    <x v="0"/>
    <s v="20209/SPP/008/PUSAT/ICON+/2022"/>
    <n v="4500019280"/>
    <m/>
    <m/>
    <m/>
    <m/>
    <m/>
    <m/>
    <m/>
    <m/>
    <m/>
    <m/>
    <m/>
    <m/>
    <m/>
  </r>
  <r>
    <n v="752"/>
    <x v="243"/>
    <x v="521"/>
    <s v="Jakarta 00000"/>
    <m/>
    <m/>
    <s v="Sewa Tahunan"/>
    <x v="1"/>
    <x v="571"/>
    <m/>
    <m/>
    <m/>
    <m/>
    <n v="5000000"/>
    <x v="291"/>
    <m/>
    <m/>
    <x v="285"/>
    <m/>
    <x v="470"/>
    <d v="2023-10-15T00:00:00"/>
    <x v="0"/>
    <m/>
    <m/>
    <m/>
    <x v="0"/>
    <x v="0"/>
    <s v="20167/SPP/008/PUSAT/ICON+/2022"/>
    <n v="4500019283"/>
    <m/>
    <m/>
    <m/>
    <m/>
    <m/>
    <m/>
    <m/>
    <m/>
    <m/>
    <m/>
    <m/>
    <m/>
    <m/>
  </r>
  <r>
    <n v="753"/>
    <x v="243"/>
    <x v="522"/>
    <s v="Jakarta 00000"/>
    <m/>
    <m/>
    <s v="Sewa Tahunan"/>
    <x v="1"/>
    <x v="572"/>
    <m/>
    <m/>
    <m/>
    <m/>
    <m/>
    <x v="292"/>
    <m/>
    <m/>
    <x v="202"/>
    <m/>
    <x v="556"/>
    <d v="2023-06-04T00:00:00"/>
    <x v="0"/>
    <m/>
    <m/>
    <m/>
    <x v="0"/>
    <x v="0"/>
    <s v="20178/SPP/008/PUSAT/ICON+/2022"/>
    <n v="4500019274"/>
    <m/>
    <m/>
    <m/>
    <m/>
    <m/>
    <m/>
    <m/>
    <m/>
    <m/>
    <m/>
    <m/>
    <m/>
    <m/>
  </r>
  <r>
    <n v="754"/>
    <x v="243"/>
    <x v="24"/>
    <s v="Jakarta 00000"/>
    <m/>
    <m/>
    <s v="Sewa Tahunan"/>
    <x v="1"/>
    <x v="573"/>
    <m/>
    <m/>
    <m/>
    <m/>
    <m/>
    <x v="11"/>
    <m/>
    <m/>
    <x v="286"/>
    <m/>
    <x v="546"/>
    <d v="2023-08-29T00:00:00"/>
    <x v="0"/>
    <m/>
    <m/>
    <m/>
    <x v="0"/>
    <x v="0"/>
    <s v="20159/SPP/008/PUSAT/ICON+/2022"/>
    <n v="4500019273"/>
    <m/>
    <m/>
    <m/>
    <m/>
    <m/>
    <m/>
    <m/>
    <m/>
    <m/>
    <m/>
    <m/>
    <m/>
    <m/>
  </r>
  <r>
    <n v="755"/>
    <x v="243"/>
    <x v="523"/>
    <s v="Jakarta 00000"/>
    <m/>
    <m/>
    <s v="Sewa Tahunan"/>
    <x v="1"/>
    <x v="574"/>
    <m/>
    <m/>
    <m/>
    <m/>
    <m/>
    <x v="293"/>
    <m/>
    <m/>
    <x v="287"/>
    <m/>
    <x v="557"/>
    <d v="2023-09-26T00:00:00"/>
    <x v="0"/>
    <m/>
    <m/>
    <m/>
    <x v="0"/>
    <x v="0"/>
    <s v="20161/SPP/008/PUSAT/ICON+/2022"/>
    <n v="4500019271"/>
    <m/>
    <m/>
    <m/>
    <m/>
    <m/>
    <m/>
    <m/>
    <m/>
    <m/>
    <m/>
    <m/>
    <m/>
    <m/>
  </r>
  <r>
    <n v="756"/>
    <x v="243"/>
    <x v="524"/>
    <s v="Jakarta 00000"/>
    <m/>
    <m/>
    <s v="Sewa Tahunan"/>
    <x v="1"/>
    <x v="575"/>
    <m/>
    <m/>
    <m/>
    <m/>
    <m/>
    <x v="97"/>
    <m/>
    <m/>
    <x v="288"/>
    <m/>
    <x v="457"/>
    <d v="2023-04-12T00:00:00"/>
    <x v="0"/>
    <m/>
    <m/>
    <m/>
    <x v="0"/>
    <x v="0"/>
    <s v="20149/SPP/008/PUSAT/ICON+/2022"/>
    <n v="4500019269"/>
    <m/>
    <m/>
    <m/>
    <m/>
    <m/>
    <m/>
    <m/>
    <m/>
    <m/>
    <m/>
    <m/>
    <m/>
    <m/>
  </r>
  <r>
    <n v="757"/>
    <x v="243"/>
    <x v="525"/>
    <s v="Jakarta 00000"/>
    <m/>
    <m/>
    <s v="Sewa Tahunan"/>
    <x v="1"/>
    <x v="576"/>
    <m/>
    <m/>
    <m/>
    <m/>
    <n v="5000000"/>
    <x v="30"/>
    <m/>
    <m/>
    <x v="289"/>
    <m/>
    <x v="558"/>
    <d v="2023-08-24T00:00:00"/>
    <x v="0"/>
    <m/>
    <m/>
    <m/>
    <x v="0"/>
    <x v="0"/>
    <s v="20151/SPP/008/PUSAT/ICON+/2022"/>
    <n v="4500019267"/>
    <m/>
    <m/>
    <m/>
    <m/>
    <m/>
    <m/>
    <m/>
    <m/>
    <m/>
    <m/>
    <m/>
    <m/>
    <m/>
  </r>
  <r>
    <n v="758"/>
    <x v="243"/>
    <x v="526"/>
    <s v="Jakarta 00000"/>
    <m/>
    <m/>
    <s v="Sewa Tahunan"/>
    <x v="1"/>
    <x v="577"/>
    <m/>
    <m/>
    <m/>
    <m/>
    <n v="2300000"/>
    <x v="51"/>
    <m/>
    <m/>
    <x v="290"/>
    <m/>
    <x v="559"/>
    <d v="2023-06-18T00:00:00"/>
    <x v="0"/>
    <m/>
    <m/>
    <m/>
    <x v="0"/>
    <x v="0"/>
    <s v="20137/SPP/008/PUSAT/ICON+/2022"/>
    <n v="4500019266"/>
    <m/>
    <m/>
    <m/>
    <m/>
    <m/>
    <m/>
    <m/>
    <m/>
    <m/>
    <m/>
    <m/>
    <m/>
    <m/>
  </r>
  <r>
    <n v="759"/>
    <x v="331"/>
    <x v="527"/>
    <s v="Jakarta Selatan 12560"/>
    <m/>
    <m/>
    <s v="Sewa Tahunan"/>
    <x v="0"/>
    <x v="578"/>
    <m/>
    <m/>
    <m/>
    <m/>
    <n v="5000000"/>
    <x v="3"/>
    <m/>
    <n v="1500000"/>
    <x v="17"/>
    <m/>
    <x v="560"/>
    <d v="2023-12-19T00:00:00"/>
    <x v="0"/>
    <m/>
    <m/>
    <m/>
    <x v="0"/>
    <x v="0"/>
    <s v="20565/SPP/008/PUSAT/ICON+/2022"/>
    <n v="4500019474"/>
    <m/>
    <m/>
    <m/>
    <m/>
    <m/>
    <m/>
    <m/>
    <m/>
    <m/>
    <m/>
    <m/>
    <m/>
    <m/>
  </r>
  <r>
    <n v="760"/>
    <x v="326"/>
    <x v="65"/>
    <s v="Jakarta Barat 00000"/>
    <m/>
    <m/>
    <s v="Sewa Tahunan"/>
    <x v="1"/>
    <x v="579"/>
    <m/>
    <m/>
    <m/>
    <m/>
    <n v="10000000"/>
    <x v="294"/>
    <m/>
    <m/>
    <x v="291"/>
    <m/>
    <x v="509"/>
    <d v="2023-07-19T00:00:00"/>
    <x v="0"/>
    <m/>
    <m/>
    <m/>
    <x v="0"/>
    <x v="0"/>
    <s v="19081/SPP/008/PUSAT/ICON+/2022"/>
    <n v="4500019499"/>
    <m/>
    <m/>
    <m/>
    <m/>
    <m/>
    <m/>
    <m/>
    <m/>
    <m/>
    <m/>
    <m/>
    <m/>
    <m/>
  </r>
  <r>
    <n v="761"/>
    <x v="92"/>
    <x v="519"/>
    <s v="Jakarta Pusat 10320"/>
    <m/>
    <m/>
    <s v="Sewa Tahunan"/>
    <x v="0"/>
    <x v="580"/>
    <m/>
    <m/>
    <m/>
    <m/>
    <n v="3500000"/>
    <x v="290"/>
    <m/>
    <n v="2500000"/>
    <x v="16"/>
    <m/>
    <x v="561"/>
    <d v="2023-11-16T00:00:00"/>
    <x v="0"/>
    <m/>
    <m/>
    <m/>
    <x v="0"/>
    <x v="0"/>
    <s v="20513/SPP/008/PUSAT/ICON+/2022"/>
    <n v="4500019444"/>
    <m/>
    <m/>
    <m/>
    <m/>
    <m/>
    <m/>
    <m/>
    <m/>
    <m/>
    <m/>
    <m/>
    <m/>
    <m/>
  </r>
  <r>
    <n v="762"/>
    <x v="332"/>
    <x v="483"/>
    <s v="Jakarta Selatan 00000"/>
    <m/>
    <m/>
    <s v="Sewa Tahunan"/>
    <x v="2"/>
    <x v="581"/>
    <m/>
    <m/>
    <m/>
    <m/>
    <n v="5000000"/>
    <x v="7"/>
    <m/>
    <n v="1500000"/>
    <x v="17"/>
    <m/>
    <x v="562"/>
    <d v="2023-12-29T00:00:00"/>
    <x v="0"/>
    <m/>
    <m/>
    <m/>
    <x v="0"/>
    <x v="0"/>
    <s v="20901/SPP/008/PUSAT/ICON+/2022"/>
    <n v="4500019781"/>
    <m/>
    <m/>
    <m/>
    <m/>
    <m/>
    <m/>
    <m/>
    <m/>
    <m/>
    <m/>
    <m/>
    <m/>
    <m/>
  </r>
  <r>
    <n v="763"/>
    <x v="316"/>
    <x v="157"/>
    <s v="Bekasi 17530"/>
    <m/>
    <m/>
    <s v="Sewa Tahunan"/>
    <x v="2"/>
    <x v="67"/>
    <m/>
    <m/>
    <m/>
    <m/>
    <m/>
    <x v="112"/>
    <m/>
    <m/>
    <x v="292"/>
    <m/>
    <x v="481"/>
    <d v="2023-09-30T00:00:00"/>
    <x v="0"/>
    <m/>
    <m/>
    <m/>
    <x v="0"/>
    <x v="0"/>
    <s v="20373/SPP/008/PUSAT/ICON+/2022"/>
    <n v="4500019523"/>
    <m/>
    <m/>
    <m/>
    <m/>
    <m/>
    <m/>
    <m/>
    <m/>
    <m/>
    <m/>
    <m/>
    <m/>
    <m/>
  </r>
  <r>
    <n v="764"/>
    <x v="333"/>
    <x v="528"/>
    <s v="Jakarta Selatan 00000"/>
    <m/>
    <m/>
    <s v="Sewa Tahunan"/>
    <x v="1"/>
    <x v="491"/>
    <m/>
    <m/>
    <m/>
    <m/>
    <m/>
    <x v="216"/>
    <m/>
    <m/>
    <x v="51"/>
    <m/>
    <x v="469"/>
    <d v="2023-11-30T00:00:00"/>
    <x v="0"/>
    <m/>
    <m/>
    <m/>
    <x v="0"/>
    <x v="0"/>
    <s v="19355/SPP/008/PUSAT/ICON+/2022"/>
    <n v="4500018689"/>
    <m/>
    <m/>
    <m/>
    <m/>
    <m/>
    <m/>
    <m/>
    <m/>
    <m/>
    <m/>
    <m/>
    <m/>
    <m/>
  </r>
  <r>
    <n v="765"/>
    <x v="127"/>
    <x v="529"/>
    <s v="Jakarta Pusat 10350"/>
    <m/>
    <m/>
    <s v="Sewa Tahunan"/>
    <x v="2"/>
    <x v="582"/>
    <m/>
    <m/>
    <m/>
    <m/>
    <m/>
    <x v="7"/>
    <m/>
    <m/>
    <x v="293"/>
    <m/>
    <x v="563"/>
    <d v="2023-10-27T00:00:00"/>
    <x v="0"/>
    <m/>
    <m/>
    <m/>
    <x v="0"/>
    <x v="0"/>
    <s v="20631/SPP/008/PUSAT/ICON+/2022"/>
    <n v="4500019559"/>
    <m/>
    <m/>
    <m/>
    <m/>
    <m/>
    <m/>
    <m/>
    <m/>
    <m/>
    <m/>
    <m/>
    <m/>
    <m/>
  </r>
  <r>
    <n v="766"/>
    <x v="127"/>
    <x v="530"/>
    <s v="Jakarta Pusat 10350"/>
    <m/>
    <m/>
    <s v="Sewa Tahunan"/>
    <x v="2"/>
    <x v="583"/>
    <m/>
    <m/>
    <m/>
    <m/>
    <m/>
    <x v="27"/>
    <m/>
    <m/>
    <x v="294"/>
    <m/>
    <x v="564"/>
    <d v="2023-10-22T00:00:00"/>
    <x v="0"/>
    <m/>
    <m/>
    <m/>
    <x v="0"/>
    <x v="0"/>
    <m/>
    <n v="4500019561"/>
    <m/>
    <m/>
    <m/>
    <m/>
    <m/>
    <m/>
    <m/>
    <m/>
    <m/>
    <m/>
    <m/>
    <m/>
    <m/>
  </r>
  <r>
    <n v="767"/>
    <x v="316"/>
    <x v="531"/>
    <s v="Bekasi 17530"/>
    <m/>
    <m/>
    <s v="Sewa Bulanan"/>
    <x v="2"/>
    <x v="584"/>
    <m/>
    <m/>
    <m/>
    <m/>
    <n v="7000000"/>
    <x v="295"/>
    <m/>
    <m/>
    <x v="295"/>
    <m/>
    <x v="565"/>
    <d v="2023-09-30T00:00:00"/>
    <x v="0"/>
    <m/>
    <m/>
    <m/>
    <x v="0"/>
    <x v="0"/>
    <m/>
    <n v="4500019509"/>
    <m/>
    <m/>
    <m/>
    <m/>
    <m/>
    <m/>
    <m/>
    <m/>
    <m/>
    <m/>
    <m/>
    <m/>
    <m/>
  </r>
  <r>
    <n v="768"/>
    <x v="23"/>
    <x v="532"/>
    <s v="Jakarta Selatan 12710"/>
    <m/>
    <m/>
    <s v="Sewa Tahunan"/>
    <x v="2"/>
    <x v="67"/>
    <m/>
    <m/>
    <m/>
    <m/>
    <m/>
    <x v="112"/>
    <m/>
    <m/>
    <x v="18"/>
    <m/>
    <x v="566"/>
    <d v="2023-12-15T00:00:00"/>
    <x v="0"/>
    <m/>
    <m/>
    <m/>
    <x v="0"/>
    <x v="0"/>
    <s v="20857/SPP/008/PUSAT/ICON+/2022"/>
    <n v="4500019747"/>
    <m/>
    <m/>
    <m/>
    <m/>
    <m/>
    <m/>
    <m/>
    <m/>
    <m/>
    <m/>
    <m/>
    <m/>
    <m/>
  </r>
  <r>
    <n v="769"/>
    <x v="119"/>
    <x v="517"/>
    <s v="Jakarta 12710"/>
    <m/>
    <m/>
    <s v="Sewa Tahunan"/>
    <x v="1"/>
    <x v="273"/>
    <m/>
    <m/>
    <m/>
    <m/>
    <m/>
    <x v="23"/>
    <m/>
    <m/>
    <x v="4"/>
    <m/>
    <x v="468"/>
    <d v="2023-10-23T00:00:00"/>
    <x v="0"/>
    <m/>
    <m/>
    <m/>
    <x v="0"/>
    <x v="0"/>
    <s v="20389/SPP/008/PUSAT/ICON+/2022"/>
    <n v="4500019535"/>
    <m/>
    <m/>
    <m/>
    <m/>
    <m/>
    <m/>
    <m/>
    <m/>
    <m/>
    <m/>
    <m/>
    <m/>
    <m/>
  </r>
  <r>
    <n v="770"/>
    <x v="334"/>
    <x v="533"/>
    <s v="Jakarta 12190"/>
    <m/>
    <m/>
    <s v="Sewa Tahunan"/>
    <x v="1"/>
    <x v="585"/>
    <m/>
    <m/>
    <m/>
    <m/>
    <m/>
    <x v="5"/>
    <m/>
    <m/>
    <x v="6"/>
    <m/>
    <x v="504"/>
    <d v="2023-12-31T00:00:00"/>
    <x v="0"/>
    <m/>
    <m/>
    <m/>
    <x v="0"/>
    <x v="0"/>
    <s v="20800/SPP/008/PUSAT/ICON+/2022"/>
    <n v="4500019756"/>
    <m/>
    <m/>
    <m/>
    <m/>
    <m/>
    <m/>
    <m/>
    <m/>
    <m/>
    <m/>
    <m/>
    <m/>
    <m/>
  </r>
  <r>
    <n v="771"/>
    <x v="146"/>
    <x v="534"/>
    <s v="Jakarta 10110"/>
    <m/>
    <m/>
    <s v="Sewa Tahunan"/>
    <x v="0"/>
    <x v="586"/>
    <m/>
    <m/>
    <m/>
    <m/>
    <m/>
    <x v="296"/>
    <m/>
    <m/>
    <x v="296"/>
    <m/>
    <x v="201"/>
    <d v="2022-12-31T00:00:00"/>
    <x v="0"/>
    <m/>
    <m/>
    <m/>
    <x v="0"/>
    <x v="0"/>
    <s v="17339/SPP/008/PUSAT/ICON+/2021"/>
    <n v="4500019430"/>
    <m/>
    <m/>
    <m/>
    <m/>
    <m/>
    <m/>
    <m/>
    <m/>
    <m/>
    <m/>
    <m/>
    <m/>
    <m/>
  </r>
  <r>
    <n v="772"/>
    <x v="323"/>
    <x v="535"/>
    <s v="Jakarta Utara 14140"/>
    <m/>
    <m/>
    <s v="Sewa Tahunan"/>
    <x v="1"/>
    <x v="587"/>
    <m/>
    <m/>
    <m/>
    <m/>
    <n v="3000000"/>
    <x v="2"/>
    <m/>
    <m/>
    <x v="297"/>
    <m/>
    <x v="567"/>
    <d v="2024-12-08T00:00:00"/>
    <x v="0"/>
    <m/>
    <m/>
    <m/>
    <x v="0"/>
    <x v="0"/>
    <s v="20720/SPP/008/PUSAT/ICON+/2022"/>
    <n v="4500019557"/>
    <m/>
    <m/>
    <m/>
    <m/>
    <m/>
    <m/>
    <m/>
    <m/>
    <m/>
    <m/>
    <m/>
    <m/>
    <m/>
  </r>
  <r>
    <n v="773"/>
    <x v="23"/>
    <x v="410"/>
    <s v="Jakarta Selatan 12710"/>
    <m/>
    <m/>
    <s v="Sewa Tahunan"/>
    <x v="2"/>
    <x v="588"/>
    <m/>
    <m/>
    <m/>
    <m/>
    <m/>
    <x v="297"/>
    <m/>
    <n v="1500000"/>
    <x v="18"/>
    <m/>
    <x v="568"/>
    <d v="2023-11-29T00:00:00"/>
    <x v="0"/>
    <m/>
    <m/>
    <m/>
    <x v="0"/>
    <x v="0"/>
    <s v="20696/SPP/008/PUSAT/ICON+/2022"/>
    <n v="4500019548"/>
    <m/>
    <m/>
    <m/>
    <m/>
    <m/>
    <m/>
    <m/>
    <m/>
    <m/>
    <m/>
    <m/>
    <m/>
    <m/>
  </r>
  <r>
    <n v="774"/>
    <x v="117"/>
    <x v="168"/>
    <s v="Jakarta 00000"/>
    <m/>
    <m/>
    <s v="Sewa Tahunan"/>
    <x v="2"/>
    <x v="589"/>
    <m/>
    <m/>
    <m/>
    <m/>
    <n v="5000000"/>
    <x v="82"/>
    <m/>
    <n v="4000000"/>
    <x v="31"/>
    <m/>
    <x v="569"/>
    <d v="2023-12-06T00:00:00"/>
    <x v="0"/>
    <m/>
    <m/>
    <m/>
    <x v="0"/>
    <x v="0"/>
    <s v="20656/SPP/008/PUSAT/ICON+/2022"/>
    <n v="4500019496"/>
    <m/>
    <m/>
    <m/>
    <m/>
    <m/>
    <m/>
    <m/>
    <m/>
    <m/>
    <m/>
    <m/>
    <m/>
    <m/>
  </r>
  <r>
    <n v="775"/>
    <x v="88"/>
    <x v="495"/>
    <s v="Jakarta 10610"/>
    <m/>
    <m/>
    <s v="Sewa Tahunan"/>
    <x v="1"/>
    <x v="232"/>
    <m/>
    <m/>
    <m/>
    <m/>
    <m/>
    <x v="139"/>
    <m/>
    <m/>
    <x v="298"/>
    <m/>
    <x v="570"/>
    <d v="2023-09-23T00:00:00"/>
    <x v="0"/>
    <m/>
    <m/>
    <m/>
    <x v="0"/>
    <x v="0"/>
    <s v="19708/SPP/008/PUSAT/ICON+/2022"/>
    <n v="4500018841"/>
    <m/>
    <m/>
    <m/>
    <m/>
    <m/>
    <m/>
    <m/>
    <m/>
    <m/>
    <m/>
    <m/>
    <m/>
    <m/>
  </r>
  <r>
    <n v="776"/>
    <x v="128"/>
    <x v="157"/>
    <s v="Jakarta 12710"/>
    <m/>
    <m/>
    <s v="Sewa Tahunan"/>
    <x v="1"/>
    <x v="67"/>
    <m/>
    <m/>
    <m/>
    <m/>
    <m/>
    <x v="112"/>
    <m/>
    <m/>
    <x v="16"/>
    <m/>
    <x v="497"/>
    <d v="2023-10-28T00:00:00"/>
    <x v="0"/>
    <m/>
    <m/>
    <m/>
    <x v="0"/>
    <x v="0"/>
    <s v="20402/SPP/008/PUSAT/ICON+/2022"/>
    <n v="4500019399"/>
    <m/>
    <m/>
    <m/>
    <m/>
    <m/>
    <m/>
    <m/>
    <m/>
    <m/>
    <m/>
    <m/>
    <m/>
    <m/>
  </r>
  <r>
    <n v="777"/>
    <x v="14"/>
    <x v="259"/>
    <s v="Ciputat 00000"/>
    <m/>
    <m/>
    <s v="Sewa Tahunan"/>
    <x v="0"/>
    <x v="590"/>
    <m/>
    <m/>
    <m/>
    <m/>
    <m/>
    <x v="39"/>
    <m/>
    <m/>
    <x v="95"/>
    <m/>
    <x v="504"/>
    <d v="2023-12-31T00:00:00"/>
    <x v="0"/>
    <m/>
    <m/>
    <m/>
    <x v="0"/>
    <x v="0"/>
    <s v="20572/SPP/008/PUSAT/ICON+/2022"/>
    <n v="4500019445"/>
    <m/>
    <m/>
    <m/>
    <m/>
    <m/>
    <m/>
    <m/>
    <m/>
    <m/>
    <m/>
    <m/>
    <m/>
    <m/>
  </r>
  <r>
    <n v="778"/>
    <x v="335"/>
    <x v="241"/>
    <s v="Jl.Margonda Raya Kav 525A Depok 16424"/>
    <s v="[UID JAYA - UP2D] DCC GAMBIR"/>
    <s v="APARTEMEN TAMAN MELATI , JLN. MARGONDA RAYA NO. 525A, Pondok Cina, Kota Administrasi Jakarta Selatan, Banten, Indonesia,"/>
    <s v="Sewa Tahunan"/>
    <x v="1"/>
    <x v="591"/>
    <m/>
    <m/>
    <m/>
    <m/>
    <m/>
    <x v="298"/>
    <m/>
    <m/>
    <x v="41"/>
    <m/>
    <x v="571"/>
    <d v="2024-07-31T00:00:00"/>
    <x v="1"/>
    <m/>
    <d v="2024-09-06T00:00:00"/>
    <n v="-37"/>
    <x v="1"/>
    <x v="1"/>
    <s v="08942/SPP/008/PUSAT/ICON+/2018 | 4500011693 | 11019/SPP/008/PUSAT/ICON+/2019 | 4500013340 | 13776/SPP/008/PUSAT/ICON+/2020 | 4500014713"/>
    <s v="1560/SPP/SBU/ICON+/2023_x0009_"/>
    <n v="4500021624"/>
    <s v="Fajar Paramita"/>
    <m/>
    <m/>
    <m/>
    <m/>
    <s v="C246"/>
    <s v="D353"/>
    <m/>
    <m/>
    <s v="G317"/>
    <m/>
    <s v="Terkonfirmasi dengan pihak sales terkait tidak di perpanjang"/>
  </r>
  <r>
    <n v="779"/>
    <x v="336"/>
    <x v="536"/>
    <s v="Gedung Pusat Komputer dan Elektronik Lt. Basement Jl. Mangga Dua Raya Jakarta 10730"/>
    <s v="Jalan Diponegoro No 28 Bandung"/>
    <s v="Komp. Agung Sedayu Harco Elektronik Jl. Mangga Dua Raya Blok E No.1, Sawah Besar, Jakarta Pusat, DKI Jakarta, Indonesia, 10730"/>
    <s v="Sewa Tahunan"/>
    <x v="1"/>
    <x v="592"/>
    <m/>
    <m/>
    <m/>
    <m/>
    <m/>
    <x v="86"/>
    <m/>
    <m/>
    <x v="29"/>
    <m/>
    <x v="572"/>
    <d v="2022-11-29T00:00:00"/>
    <x v="1"/>
    <m/>
    <d v="2024-09-06T00:00:00"/>
    <n v="-647"/>
    <x v="2"/>
    <x v="2"/>
    <s v="baru"/>
    <s v="17246/SPP/008/PUSAT/ICON+/2021"/>
    <n v="4500017255"/>
    <s v="Fajar Paramita"/>
    <s v="Fika Ririn"/>
    <s v="021-6129329-30-31"/>
    <m/>
    <m/>
    <m/>
    <m/>
    <s v="E336"/>
    <m/>
    <m/>
    <m/>
    <m/>
  </r>
  <r>
    <n v="780"/>
    <x v="336"/>
    <x v="537"/>
    <s v="Gedung Pusat Komputer dan Elektronik Lt. Basement Jl. Mangga Dua Raya Jakarta 10730"/>
    <s v="Jl. Panglima Sudirman 23-25 Surabaya"/>
    <s v="Komplek Ruko Agung Sedayu (Harco Mangga Dua) Blok L No. 05 (Bank Woori Saudara So No. ICON-00/ACT/1605/0538)"/>
    <s v="Sewa Tahunan"/>
    <x v="1"/>
    <x v="593"/>
    <m/>
    <m/>
    <m/>
    <m/>
    <m/>
    <x v="101"/>
    <m/>
    <m/>
    <x v="29"/>
    <m/>
    <x v="573"/>
    <d v="2025-06-10T00:00:00"/>
    <x v="2"/>
    <m/>
    <d v="2024-09-06T00:00:00"/>
    <n v="277"/>
    <x v="3"/>
    <x v="3"/>
    <s v="4500009583 |062413/SPR/008/PUSAT/ICON+/2016 | 06895/SPP/008/PUSAT/ICON+/2017 | 4500010558 | 08839/SPP/008/PUSAT/ICON+/2018 | 4500011650 | 450001290410756/SPP/008/PUSAT/ICON+/2019 | 13596/SPP/008/PUSAT/ICON+/2020 | 4500014585| 15951/SPP/008/PUSAT/ICON+/2021| 4500016262 | 19009/SPP/008/PUSAT/ICON+/2022 | 4500018283 | 21648 | 4500020637"/>
    <n v="2939"/>
    <n v="4500022458"/>
    <s v="Fajar Paramita"/>
    <s v="Fika Ririn"/>
    <s v="021-6129329-30-31"/>
    <n v="44"/>
    <s v="B80"/>
    <s v="C121"/>
    <s v="D142"/>
    <s v="E138"/>
    <s v="F205"/>
    <s v="G129"/>
    <m/>
    <s v="1.Jaminan Sewa Rp3.000.000_x000a_2.Jaminan Pekerjaan Rp2.000.000_x000a_3. Biaya Kebersihan 20% dari jaminan Pekerjaan Rp400.000,- (OTC)"/>
  </r>
  <r>
    <n v="781"/>
    <x v="336"/>
    <x v="538"/>
    <s v="Gedung Pusat Komputer dan Elektronik Lt. Basement Jl. Mangga Dua Raya Jakarta 10730"/>
    <s v="-"/>
    <s v="Komplek Ruko Agung Sedayu (Harco Mangga Dua) Jl. Mangga Dua Raya Blok E No. 4-5 Jakarta 10730 (PT Platinum Ceramic)"/>
    <s v="Sewa Tahunan"/>
    <x v="1"/>
    <x v="594"/>
    <m/>
    <m/>
    <m/>
    <m/>
    <m/>
    <x v="7"/>
    <m/>
    <m/>
    <x v="29"/>
    <m/>
    <x v="574"/>
    <d v="2024-05-29T00:00:00"/>
    <x v="1"/>
    <m/>
    <d v="2024-09-06T00:00:00"/>
    <n v="-100"/>
    <x v="4"/>
    <x v="1"/>
    <s v="4500009477 | 06885/SPP/008/PUSAT/ICON+/2017 | 45000010480 | 08560/SPP/008/PUSAT/ICON+/2018 | 4500011462 | 10619/SPP/008/PUSAT/ICON+/2019 | 4500012743|15733/SPP/008/PUSAT/ICON+/2021|4500016170 | 17912/SPP/008/PUSAT/ICON+/2022 | 4500017674"/>
    <s v="21605/SPP/008/PUSAT/ICON+/2023"/>
    <n v="4500020636"/>
    <s v="Fajar Paramita"/>
    <s v="Fika Ririn"/>
    <s v="021-6129329-30-31"/>
    <n v="29"/>
    <s v="B124"/>
    <s v="C81"/>
    <m/>
    <m/>
    <s v="F73"/>
    <s v="G137"/>
    <m/>
    <s v="1.Jaminan Sewa Rp3.000.000_x000a_2.Jaminan Pekerjaan Rp2.000.000_x000a_3. Biaya Kebersihan 20% dari jaminan Pekerjaan Rp400.000,- (OTC)"/>
  </r>
  <r>
    <n v="782"/>
    <x v="336"/>
    <x v="330"/>
    <s v="Gedung Pusat Komputer dan Elektronik Lt. Basement Jl. Mangga Dua Raya Jakarta 10730"/>
    <s v="-"/>
    <s v="PT Berdikari Prima Mandiri, Harco Mangga Dua Blok P No. 28-29 Mangga Dua Selatan Sawah Besar Jakarta Pusat"/>
    <s v="Sewa Tahunan"/>
    <x v="1"/>
    <x v="348"/>
    <m/>
    <m/>
    <m/>
    <m/>
    <m/>
    <x v="11"/>
    <m/>
    <m/>
    <x v="29"/>
    <m/>
    <x v="201"/>
    <d v="2022-12-31T00:00:00"/>
    <x v="1"/>
    <m/>
    <d v="2024-09-06T00:00:00"/>
    <n v="-615"/>
    <x v="5"/>
    <x v="2"/>
    <s v="09984/SPP/008/PUSAT/ICON+/2018 | 4500012350 | 11981/SPP/008/PUSAT/ICON+/2019 | 4500013549 | 14779/SPP/008/PUSAT/ICON+/2020 | 4500015423"/>
    <s v="17123/SPP/008/PUSAT/ICON+/2021"/>
    <n v="4500017086"/>
    <s v="Fajar Paramita"/>
    <s v="Fika Ririn"/>
    <s v="021-6129329-30-31"/>
    <m/>
    <m/>
    <s v="C291"/>
    <s v="E217"/>
    <s v="E339"/>
    <m/>
    <m/>
    <m/>
    <m/>
  </r>
  <r>
    <n v="783"/>
    <x v="336"/>
    <x v="539"/>
    <s v="Gedung Pusat Komputer dan Elektronik Lt. Basement Jl. Mangga Dua Raya Jakarta 10730"/>
    <s v="KANTOR PUSAT JATINEGARA ( BACKHAUL ) :JL. JATINEGARA TIMUR NO. 72 – JAKARTA TIMUR 13310,- ,- ,- ,Indonesia ,-"/>
    <s v="Ruko Agung Sedayu (Harco Mangga Dua) dari Gerbang Utama HMD ke Ruko Blok E No. 26 Jl. Mangga Dua Raya Jakarta 10730 (BCA Syariah)"/>
    <s v="Sewa Tahunan"/>
    <x v="1"/>
    <x v="595"/>
    <m/>
    <m/>
    <m/>
    <m/>
    <m/>
    <x v="46"/>
    <m/>
    <m/>
    <x v="29"/>
    <m/>
    <x v="575"/>
    <d v="2024-12-21T00:00:00"/>
    <x v="2"/>
    <m/>
    <d v="2024-09-06T00:00:00"/>
    <n v="106"/>
    <x v="5"/>
    <x v="1"/>
    <s v="5351116/SPR/ICON+/2016 |07551/SPP/008/PUSAT/ICON+/2017 | 4500010882 | 09604/SPP/008/PUSAT/ICON+/2018 | 4500012116 | 11912/SPP/008/PUSAT/ICON+/2019 |4500013561 | 14778/SPP/008/PUSAT/ICON+/2020 | 17189/SPP/008/PUSAT/ICON+/2021 | 4500017117 | 20560/SPP/008/PUSAT/ICON+/2022 | 4500019549"/>
    <s v="21320/SPP/008/PUSAT/ICON+/2023"/>
    <n v="4500021959"/>
    <s v="Fajar Paramita"/>
    <s v="Fika Ririn"/>
    <s v="021-6129329-30-31"/>
    <m/>
    <m/>
    <s v="C292"/>
    <s v="E216"/>
    <s v="F434"/>
    <m/>
    <s v="G392"/>
    <m/>
    <s v="1.Jaminan Sewa Rp3.000.000_x000a_2.Jaminan Pekerjaan Rp2.000.000_x000a_3.Biaya Kebersihan 20% dari jaminan Rp400.000,- (OTC)"/>
  </r>
  <r>
    <n v="784"/>
    <x v="337"/>
    <x v="540"/>
    <s v="The Tower, (Lt. 11) Jl. Gatot Subroto No.27, RT.2/RW.4, Karet Semanggi, Kec. Setiabudi, Jakarta Selatan, DKI Jakarta, Indonesia, 12930"/>
    <s v="-"/>
    <s v="The Tower, (Lt. 11) Jl. Gatot Subroto No.27, RT.2/RW.4, Karet Semanggi, Kec. Setiabudi, Jakarta Selatan, DKI Jakarta, Indonesia, 12930"/>
    <s v="Sewa Tahunan"/>
    <x v="1"/>
    <x v="244"/>
    <m/>
    <m/>
    <m/>
    <m/>
    <m/>
    <x v="136"/>
    <m/>
    <m/>
    <x v="299"/>
    <m/>
    <x v="576"/>
    <d v="2025-07-22T00:00:00"/>
    <x v="2"/>
    <m/>
    <d v="2024-09-06T00:00:00"/>
    <n v="319"/>
    <x v="1"/>
    <x v="3"/>
    <s v="16260/SPP/008/PUSAT/ICON+/2021| 4500016461 | 19271/SPP/008/PUSAT/ICON+/2022 | 4500018527 | 797/SPP/SBU/ICON+/2023 | 4500020981"/>
    <s v="3750/SPP/SBU/PLNICONPLUS/2024"/>
    <n v="4500023029"/>
    <s v="Fajar Paramita"/>
    <m/>
    <m/>
    <m/>
    <m/>
    <m/>
    <m/>
    <s v="E160"/>
    <s v="D347"/>
    <s v="G268"/>
    <m/>
    <m/>
  </r>
  <r>
    <n v="785"/>
    <x v="338"/>
    <x v="541"/>
    <s v="Jalan Selaparang Blok B-15 Kav.9 Jakarta 10610"/>
    <s v="-"/>
    <s v="Gedung Datascrip Kemayoran"/>
    <s v="Sewa Tahunan"/>
    <x v="1"/>
    <x v="596"/>
    <m/>
    <m/>
    <m/>
    <m/>
    <m/>
    <x v="93"/>
    <m/>
    <m/>
    <x v="300"/>
    <m/>
    <x v="113"/>
    <d v="2021-10-31T00:00:00"/>
    <x v="0"/>
    <m/>
    <d v="2024-09-06T00:00:00"/>
    <n v="-1041"/>
    <x v="6"/>
    <x v="4"/>
    <s v="4500012039 | 09503/SPP/008/PUSAT/ICON+/2018 | 4500015273"/>
    <s v="14563/SPP/008/PUSAT/ICON+/2020"/>
    <m/>
    <s v="Fajar Paramita"/>
    <m/>
    <m/>
    <m/>
    <m/>
    <m/>
    <m/>
    <m/>
    <m/>
    <m/>
    <m/>
    <s v="Konfirmasi to Sales"/>
  </r>
  <r>
    <n v="786"/>
    <x v="339"/>
    <x v="540"/>
    <s v="Wisma Antara 2nd Floor Jl. Merdeka Selatan 17 Jakarta 10110"/>
    <s v="Plaza Mandiri Lt. 4 Jl. Jend. Gatot Subroto,- ,- ,- ,Indonesia ,-"/>
    <s v="Gedung Wisma Antara"/>
    <s v="Sewa Tahunan"/>
    <x v="1"/>
    <x v="597"/>
    <m/>
    <m/>
    <m/>
    <m/>
    <m/>
    <x v="36"/>
    <m/>
    <m/>
    <x v="22"/>
    <m/>
    <x v="163"/>
    <d v="2022-06-30T00:00:00"/>
    <x v="1"/>
    <m/>
    <d v="2024-09-06T00:00:00"/>
    <n v="-799"/>
    <x v="3"/>
    <x v="2"/>
    <s v="062316/MI/004/PUSAT/ICON+/2016 | 06620/SPP/008/PUSAT/ICON+/2017 |4500010297 | 08426/SPP/008/PUSAT/ICON+/2018 | 4500011410 | 10681/SPP/008/PUSAT/ICON+/2019 | 4500012719 | 13599/SPP/008/PUSAT/ICON+/2020 | 4500014595"/>
    <s v="15958/SPP/008/PUSAT/ICON+/2021"/>
    <n v="4500016269"/>
    <s v="Fajar Paramita"/>
    <s v="Kania"/>
    <s v="021–3847824"/>
    <n v="52"/>
    <s v="B67"/>
    <s v="C78"/>
    <s v="D144"/>
    <s v="E126"/>
    <m/>
    <m/>
    <m/>
    <s v="Sewa Shaft Kabel Rp18.500.000,-/tahun_x000a_ Biaya Jaminan senilai 3 bulan dari harga sewa (existing USD 300 dan tambahan 2015 Rp661.700)"/>
  </r>
  <r>
    <n v="787"/>
    <x v="340"/>
    <x v="112"/>
    <s v="Gedung Menara Thamrin Lt. 19_x000a_ Jl. MH Thamrin kav. 3 Jakarta Pusat"/>
    <s v="(Backhaul) DC Lintas Artha Taman Tekno. Kav C/09A, Jl. Tekno Widya No.9 A, Setu, Tangerang, Banten"/>
    <s v="-"/>
    <s v="Sewa Tahunan"/>
    <x v="2"/>
    <x v="598"/>
    <m/>
    <m/>
    <m/>
    <m/>
    <m/>
    <x v="27"/>
    <m/>
    <m/>
    <x v="63"/>
    <m/>
    <x v="577"/>
    <d v="2024-05-09T00:00:00"/>
    <x v="0"/>
    <m/>
    <d v="2024-09-06T00:00:00"/>
    <n v="-120"/>
    <x v="4"/>
    <x v="1"/>
    <s v="10870/SPP/008/PUSAT/ICON+/2019 | 4500012828|13128/SPP/008/PUSAT/ICON+/2020|4500014207 | 17935 | 4500017675"/>
    <s v="395/SPP/SBU/PLNICONPLUS/2023"/>
    <n v="4500023008"/>
    <s v="Livia Indraswati"/>
    <s v="Syarifah"/>
    <s v="021-2302346"/>
    <m/>
    <m/>
    <s v="C104"/>
    <s v="D126"/>
    <m/>
    <s v="F70"/>
    <s v="H273"/>
    <m/>
    <m/>
  </r>
  <r>
    <n v="788"/>
    <x v="340"/>
    <x v="112"/>
    <s v="Gedung Menara Thamrin Lt. 19_x000a_ Jl. MH Thamrin kav. 3 Jakarta Pusat"/>
    <s v="(Backhaul) DC Lintas Artha Taman Tekno. Kav C/09A, Jl. Tekno Widya No.9 A, Setu, Tangerang, Banten"/>
    <m/>
    <s v="Sewa Tahunan"/>
    <x v="2"/>
    <x v="598"/>
    <m/>
    <m/>
    <m/>
    <m/>
    <m/>
    <x v="27"/>
    <m/>
    <m/>
    <x v="63"/>
    <m/>
    <x v="578"/>
    <d v="2025-05-09T00:00:00"/>
    <x v="2"/>
    <m/>
    <d v="2024-09-06T00:00:00"/>
    <n v="245"/>
    <x v="4"/>
    <x v="3"/>
    <m/>
    <s v="3935/SPP/SBU/PLNICONPLUS/2024"/>
    <n v="4500023187"/>
    <s v="Livia Indraswati"/>
    <m/>
    <m/>
    <m/>
    <m/>
    <m/>
    <m/>
    <m/>
    <m/>
    <m/>
    <s v="H272"/>
    <m/>
  </r>
  <r>
    <n v="789"/>
    <x v="340"/>
    <x v="542"/>
    <s v="Gedung Menara Thamrin Lt. 19_x000a_ Jl. MH Thamrin kav. 3 Jakarta Pusat"/>
    <s v="MNC Vision Tower, Jalan Panjang Z / III, RT.14/RW.8, Kedoya Utara, Kb. Jeruk, Jakarta Barat"/>
    <s v="Data Center lt.3, Gedung Lintasarta, Jalan T.B. Simatupang Kav. 10, Kebayoran Lama, RT.16/RW.6, Cilandak Barat, Jakarta Selatan"/>
    <s v="Sewa Tahunan"/>
    <x v="2"/>
    <x v="599"/>
    <m/>
    <m/>
    <m/>
    <m/>
    <m/>
    <x v="51"/>
    <m/>
    <m/>
    <x v="63"/>
    <m/>
    <x v="579"/>
    <d v="2021-09-23T00:00:00"/>
    <x v="1"/>
    <m/>
    <d v="2024-09-06T00:00:00"/>
    <n v="-1079"/>
    <x v="7"/>
    <x v="4"/>
    <s v="4500013323 | 11666"/>
    <n v="14277"/>
    <n v="4500016790"/>
    <s v="Fajar Paramita"/>
    <s v="Syarifah"/>
    <s v="021-2302346"/>
    <m/>
    <m/>
    <s v="C209"/>
    <m/>
    <m/>
    <m/>
    <m/>
    <m/>
    <s v="Konfirmasi to Sales"/>
  </r>
  <r>
    <n v="790"/>
    <x v="340"/>
    <x v="543"/>
    <s v="Gedung Menara Thamrin Lt. 19_x000a_ Jl. MH Thamrin kav. 3 Jakarta Pusat"/>
    <s v="PT. Telkom Satelit Indonesia Jl. Sholeh Iskandar RT.01/RW.01, Cibadak, Bogor, Jawa Barat"/>
    <s v="Data Center lt.3, Gedung Lintasarta, Jalan T.B. Simatupang Kav. 10, Kebayoran Lama, RT.16/RW.6, Cilandak Barat, Jakarta Selatan"/>
    <s v="Sewa Tahunan"/>
    <x v="2"/>
    <x v="600"/>
    <m/>
    <m/>
    <m/>
    <m/>
    <m/>
    <x v="5"/>
    <m/>
    <m/>
    <x v="17"/>
    <m/>
    <x v="580"/>
    <d v="2021-07-29T00:00:00"/>
    <x v="0"/>
    <m/>
    <d v="2024-09-06T00:00:00"/>
    <n v="-1135"/>
    <x v="1"/>
    <x v="4"/>
    <s v="4500014792 | 13940"/>
    <n v="16400"/>
    <n v="4500018489"/>
    <s v="Fajar Paramita"/>
    <s v="Syarifah"/>
    <s v="021-2302346"/>
    <m/>
    <m/>
    <m/>
    <s v="D164"/>
    <m/>
    <m/>
    <m/>
    <m/>
    <s v="Konfirmasi to Sales"/>
  </r>
  <r>
    <n v="791"/>
    <x v="340"/>
    <x v="544"/>
    <s v="Gedung Menara Thamrin Lt. 19_x000a_ Jl. MH Thamrin kav. 3 Jakarta Pusat"/>
    <m/>
    <s v="Datacenter Lintas Arta, Komplek Pergudangan Taman Tekno Blok D No.8, BSD, Tangerang, Banten"/>
    <s v="Sewa Tahunan"/>
    <x v="2"/>
    <x v="601"/>
    <m/>
    <m/>
    <m/>
    <m/>
    <m/>
    <x v="5"/>
    <m/>
    <m/>
    <x v="63"/>
    <m/>
    <x v="581"/>
    <d v="2022-03-17T00:00:00"/>
    <x v="0"/>
    <m/>
    <d v="2024-09-06T00:00:00"/>
    <n v="-904"/>
    <x v="8"/>
    <x v="2"/>
    <s v="12931/SPP/008/PUSAT/ICON+/2020 | 4500014077"/>
    <s v="17736/SPP/008/PUSAT/ICON+/2022"/>
    <n v="4500019179"/>
    <s v="Fajar Paramita"/>
    <s v="Syarifah"/>
    <s v="021-2302346"/>
    <m/>
    <m/>
    <m/>
    <s v="D80"/>
    <m/>
    <s v="F417"/>
    <m/>
    <m/>
    <s v="Konfirmasi to Sales"/>
  </r>
  <r>
    <n v="792"/>
    <x v="340"/>
    <x v="545"/>
    <s v="Gedung Menara Thamrin Lt. 19_x000a_ Jl. MH Thamrin kav. 3 Jakarta Pusat"/>
    <s v="-"/>
    <s v="DC LA Taman Tekno lantai 1 ruangan DH1C, Cage W18, rak nomor W13,  -,  Kota Tangerang Selatan,  Banten,  Indonesia, "/>
    <s v="Sewa Tahunan"/>
    <x v="2"/>
    <x v="602"/>
    <m/>
    <m/>
    <m/>
    <m/>
    <m/>
    <x v="299"/>
    <m/>
    <s v="2.500.000"/>
    <x v="17"/>
    <m/>
    <x v="582"/>
    <d v="2024-02-12T00:00:00"/>
    <x v="2"/>
    <m/>
    <d v="2024-09-06T00:00:00"/>
    <n v="-207"/>
    <x v="9"/>
    <x v="1"/>
    <s v="baru"/>
    <s v="21026/SPP/008/PUSAT/ICON+/2023"/>
    <n v="4500019898"/>
    <s v="Fajar Paramita"/>
    <s v="Syarifah"/>
    <s v="021-2302346"/>
    <m/>
    <m/>
    <m/>
    <m/>
    <m/>
    <m/>
    <s v="G9"/>
    <m/>
    <s v="OTC Rp.2.500.000"/>
  </r>
  <r>
    <n v="793"/>
    <x v="340"/>
    <x v="56"/>
    <s v="Gedung Menara Thamrin Lt. 19_x000a_ Jl. MH Thamrin kav. 3 Jakarta Pusat"/>
    <s v="BACKHAUL MITRA - Jl.Ancol Barat No.9-10, Jakarta Utara,- ,- ,- ,Indonesia ,-"/>
    <s v="Gedung Lintasarta Ruang Meet Me Room Jl. TB Simatupang kav. 10 Jakarta (Indomarco Prismatama PT)"/>
    <s v="Sewa Tahunan"/>
    <x v="1"/>
    <x v="603"/>
    <m/>
    <m/>
    <m/>
    <m/>
    <m/>
    <x v="63"/>
    <m/>
    <m/>
    <x v="18"/>
    <m/>
    <x v="583"/>
    <d v="2020-05-31T00:00:00"/>
    <x v="1"/>
    <m/>
    <d v="2024-09-06T00:00:00"/>
    <n v="-1559"/>
    <x v="4"/>
    <x v="5"/>
    <s v="4500009650 |06882/SPP/008/PUSAT/ICON+/2017 | 4500010543 | 08533/SPP/008/PUSAT/ICON+/2018 | 4500011441"/>
    <s v="10540/SPP/008/PUSAT/ICON+/2019"/>
    <n v="4500013206"/>
    <s v="Fajar Paramita"/>
    <s v="Syarifah"/>
    <s v="021-2302345"/>
    <n v="168"/>
    <s v="B139"/>
    <s v="C174"/>
    <m/>
    <m/>
    <m/>
    <m/>
    <m/>
    <s v="DER/1908/0816"/>
  </r>
  <r>
    <n v="794"/>
    <x v="340"/>
    <x v="124"/>
    <s v="Gedung Menara Thamrin Lt. 19_x000a_ Jl. MH Thamrin kav. 3 Jakarta Pusat"/>
    <s v="Server Jatelindo, Ged.Lintasarta Lt.2 Jl.TB Simatupang Jaksel,- ,- ,- ,Indonesia ,-"/>
    <s v="Gedung Lintasarta Ruang Meet Me Room Jl. TB Simatupang kav. 10 Jakarta (Jatelindo Perkasa Abadi PT)"/>
    <s v="Sewa Tahunan"/>
    <x v="1"/>
    <x v="604"/>
    <m/>
    <m/>
    <m/>
    <m/>
    <m/>
    <x v="10"/>
    <m/>
    <m/>
    <x v="64"/>
    <m/>
    <x v="518"/>
    <d v="2023-05-30T00:00:00"/>
    <x v="0"/>
    <m/>
    <d v="2024-09-06T00:00:00"/>
    <n v="-465"/>
    <x v="4"/>
    <x v="6"/>
    <s v="4500009649 | 07930/SPP/008/PUSAT/ICON+/2018 | 4500011155 | 08501/SPP/008/PUSAT/ICON+/2018 |4500011422 | 10539/SPP/008/PUSAT/ICON+/2019 | 4500012781 | 13406/SPP/008/PUSAT/ICON+/2020 | 4500014397| 15418/SPP/008/PUSAT/ICON+/2021| 4500016052"/>
    <s v="18240/SPP/008/PUSAT/ICON+/2022"/>
    <n v="4500017916"/>
    <s v="Fajar Paramita"/>
    <s v="Syarifah"/>
    <s v="021-2302345"/>
    <s v="B14"/>
    <s v="B146"/>
    <s v="C101"/>
    <s v="D124"/>
    <s v="E81"/>
    <s v="F137"/>
    <m/>
    <m/>
    <s v="OTC Rp 2.000.000,-"/>
  </r>
  <r>
    <n v="795"/>
    <x v="340"/>
    <x v="546"/>
    <s v="Gedung Menara Thamrin Lt. 19_x000a_ Jl. MH Thamrin kav. 3 Jakarta Pusat"/>
    <s v="Jalan T.B. Simatupang Kav. 10, Kebayoran Lama, RT.16/RW.6, Cilandak Barat,  Kec. Cilandak,  Jakarta Selatan,  DKI Jakarta,  Indonesia,  12430"/>
    <s v="Jalan TB Simatupang, RT.3/RW.2, Tanjung Barat, Kec. Jagakarsa, Jakarta Selatan, DKI Jakarta, Indonesia, 12530"/>
    <s v="Sewa Tahunan"/>
    <x v="2"/>
    <x v="605"/>
    <m/>
    <m/>
    <m/>
    <m/>
    <m/>
    <x v="190"/>
    <m/>
    <m/>
    <x v="265"/>
    <m/>
    <x v="584"/>
    <d v="2022-04-21T00:00:00"/>
    <x v="0"/>
    <m/>
    <d v="2024-09-06T00:00:00"/>
    <n v="-869"/>
    <x v="10"/>
    <x v="2"/>
    <s v="baru"/>
    <s v="15617/SPP/008/PUSAT/ICON+/2021"/>
    <n v="4500016006"/>
    <s v="Fajar Paramita"/>
    <s v="Syarifah"/>
    <s v="021-2302346"/>
    <m/>
    <m/>
    <m/>
    <m/>
    <s v="E28"/>
    <m/>
    <m/>
    <m/>
    <s v="Konfirmasi to Sales"/>
  </r>
  <r>
    <n v="796"/>
    <x v="340"/>
    <x v="547"/>
    <s v="Gedung Menara Thamrin Lt. 19_x000a_ Jl. MH Thamrin kav. 3 Jakarta Pusat"/>
    <s v="PT Rintis Sejahtera, Komplek Pergudangan Taman Tekno Blok D No.8, BSD Lintasarta Technopark Data Center"/>
    <s v="PT Rintis Sejahtera, Komplek Pergudangan Taman Tekno Blok D No.8, BSD Lintasarta Technopark Data Center"/>
    <s v="Sewa Tahunan"/>
    <x v="2"/>
    <x v="231"/>
    <m/>
    <m/>
    <m/>
    <m/>
    <m/>
    <x v="59"/>
    <m/>
    <m/>
    <x v="12"/>
    <m/>
    <x v="480"/>
    <d v="2023-09-09T00:00:00"/>
    <x v="0"/>
    <m/>
    <d v="2024-09-06T00:00:00"/>
    <n v="-363"/>
    <x v="7"/>
    <x v="6"/>
    <s v="4500016617 | 16538"/>
    <n v="20065"/>
    <n v="4500019200"/>
    <s v="Fajar Paramita"/>
    <s v="Syarifah"/>
    <s v="021-2302346"/>
    <m/>
    <m/>
    <m/>
    <m/>
    <s v="E288"/>
    <m/>
    <m/>
    <m/>
    <m/>
  </r>
  <r>
    <n v="797"/>
    <x v="340"/>
    <x v="548"/>
    <s v="Gedung Menara Thamrin Lt. 19_x000a_ Jl. MH Thamrin kav. 3 Jakarta Pusat"/>
    <m/>
    <s v="PT. Gemilang Sarana Mandiri, Komplek Pergudangan Taman Tekno Blok D No. 8, BSD, Setu,"/>
    <s v="Sewa Tahunan"/>
    <x v="2"/>
    <x v="569"/>
    <m/>
    <m/>
    <m/>
    <m/>
    <m/>
    <x v="290"/>
    <m/>
    <m/>
    <x v="301"/>
    <m/>
    <x v="554"/>
    <d v="2023-12-20T00:00:00"/>
    <x v="1"/>
    <m/>
    <d v="2024-09-06T00:00:00"/>
    <n v="-261"/>
    <x v="5"/>
    <x v="6"/>
    <s v="baru"/>
    <s v="20500/SPP/008/PUSAT/ICON+/2022"/>
    <n v="4500019384"/>
    <s v="Fajar Paramita"/>
    <s v="Syarifah"/>
    <s v="021-2302346"/>
    <m/>
    <m/>
    <m/>
    <m/>
    <m/>
    <s v="F400"/>
    <m/>
    <m/>
    <m/>
  </r>
  <r>
    <n v="798"/>
    <x v="340"/>
    <x v="549"/>
    <s v="Gedung Menara Thamrin Lt. 19_x000a_ Jl. MH Thamrin kav. 3 Jakarta Pusat"/>
    <m/>
    <s v="LINTASARTA TECHNOPARK DATA CENTER, KOMPLEK PERGUDANGAN TAMAN TEKNO BLOK D NO.8"/>
    <s v="Sewa Tahunan"/>
    <x v="2"/>
    <x v="606"/>
    <m/>
    <m/>
    <m/>
    <m/>
    <m/>
    <x v="82"/>
    <m/>
    <m/>
    <x v="17"/>
    <m/>
    <x v="585"/>
    <d v="2024-09-11T00:00:00"/>
    <x v="0"/>
    <m/>
    <d v="2024-09-06T00:00:00"/>
    <n v="5"/>
    <x v="7"/>
    <x v="1"/>
    <s v="baru"/>
    <s v="1019/SPP/SBU/ICON+/2023"/>
    <n v="4500021071"/>
    <s v="Fajar Paramita"/>
    <s v="Syarifah"/>
    <s v="021-2302346"/>
    <m/>
    <m/>
    <m/>
    <m/>
    <m/>
    <m/>
    <s v="G159"/>
    <m/>
    <m/>
  </r>
  <r>
    <n v="799"/>
    <x v="341"/>
    <x v="550"/>
    <s v="Jl. Raya Telaga Gading Serpong Cihuni Tangerang 15810_x000a_ _x000a_ Graha BIP 3rd Floor Jl. Jend. Gatot Subroto Kav. 23 Jakarta 12930"/>
    <s v="GRAHA ANABATIC LT.4 JL. SCIENTA BOULEVARD KAV U2 SUMARECON SERPONG BANTEN"/>
    <s v="Gading Serpong (Data Center Graha Anabatic Lt.4 Gading Serpong Building Office Building Nearby Cities Tangerang Selatan Tangerang Jakarta - PT Sriwijaya Lintas Raya dan PT Puma Energy Indonesia)"/>
    <s v="Sewa Tahunan"/>
    <x v="1"/>
    <x v="607"/>
    <m/>
    <m/>
    <m/>
    <m/>
    <m/>
    <x v="300"/>
    <m/>
    <m/>
    <x v="49"/>
    <m/>
    <x v="586"/>
    <d v="2021-10-05T00:00:00"/>
    <x v="1"/>
    <m/>
    <d v="2024-09-06T00:00:00"/>
    <n v="-1067"/>
    <x v="6"/>
    <x v="4"/>
    <s v="4500009959 | 07883/SPP/008/PUSAT/ICON+/2017 | 4500011116 (PO BELUM DIPRINT)"/>
    <s v="09163/SPP/008/PUSAT/ICON+/2018"/>
    <n v="4500011849"/>
    <s v="Fajar Paramita"/>
    <s v="Eka Agus H._x000a_ Anang Maruf_x000a_ Panji Lesmana_x000a_ Raditya Anggara (Data Center Aristi)"/>
    <s v="021-5376050_x000a_ 021-5225295 (Aristi)"/>
    <s v="B6"/>
    <m/>
    <m/>
    <m/>
    <m/>
    <m/>
    <m/>
    <m/>
    <s v="1. Ijin Penarikan kabel FO One Time Charged Rp2.000.000,- s/d Rp10.000.000 _x000a_ 2. Jasa Man Hour One Time Charged Rp3.000.000_x000a_ 3. Biaya Perbaikan Penarikan Kabel FO dengan rincian sebagai berikut :_x000a_ a. Perbaikan akibat galian dan perapian rumput gajah Rp32.875/titik _x000a_ b.Perbaikan akibat galian dan perapian semak perdu Rp105.700/titik_x000a_ c. Perbaikan akibat galian dan perapian paving bloc Rp207.000/titik_x000a_ d. Biaya perapian dan kebersihan Rp500.000/ls_x000a_ 4. Biaya supervisi Rp2.500.000_x000a_ 5. Biaya Jaminan bervariasi dari Rp5.000.000,- s/d Rp20.000.000,-_x000a_ di Data Center Aristi Jasadata_x000a_ 1. Biaya Sewa UTP Rp2.180.000/bulan_x000a_ 2. Sewa Tahunan Rp5.500.000/tarikan kabel/tahun_x000a_ 3. Jasa Penarikan kabel UTP Rp5000.000,-/intalasi"/>
  </r>
  <r>
    <n v="800"/>
    <x v="342"/>
    <x v="551"/>
    <s v="Gedung Cyber Lt.11 Jl. Kuningan Barat No.8 Kuningan Barat Jakarta"/>
    <s v="Balai Karantina Pertanian kelas II Cilegon Jl.Transit Cikuasa,Pantai Gerem Cilegon Banten 424389"/>
    <s v="APJII BANTEN Jl. Trip Jamaksari Ruko Inti, Jl. Cinanggung, Sumurpecung, Kec. Serang,"/>
    <s v="Sewa Tahunan"/>
    <x v="1"/>
    <x v="608"/>
    <m/>
    <m/>
    <m/>
    <m/>
    <m/>
    <x v="2"/>
    <m/>
    <m/>
    <x v="16"/>
    <m/>
    <x v="587"/>
    <d v="2024-12-31T00:00:00"/>
    <x v="2"/>
    <m/>
    <d v="2024-09-06T00:00:00"/>
    <n v="116"/>
    <x v="5"/>
    <x v="1"/>
    <s v="21068 | 4500019926"/>
    <n v="2445"/>
    <n v="4500022104"/>
    <s v="Fajar Paramita"/>
    <s v="Fatmah"/>
    <s v="815 8436 3772"/>
    <m/>
    <m/>
    <m/>
    <m/>
    <m/>
    <m/>
    <s v="G15"/>
    <s v="H27"/>
    <s v="-"/>
  </r>
  <r>
    <n v="801"/>
    <x v="342"/>
    <x v="552"/>
    <s v="Gedung Cyber Lt.11 Jl. Kuningan Barat No.8 Kuningan Barat Jakarta"/>
    <s v="Gedung Cyber Lt.1 (APJII), Jakarta Selatan"/>
    <s v="Dusun Kp. Baru, Jajag, Gambiran, Banyuwangi Regency, East Java 68486, Banyuwangi, Kabupaten Banyuwangi, Jawa Timur, Indonesia"/>
    <s v="Sewa Tahunan"/>
    <x v="1"/>
    <x v="144"/>
    <m/>
    <m/>
    <m/>
    <m/>
    <m/>
    <x v="301"/>
    <m/>
    <m/>
    <x v="16"/>
    <m/>
    <x v="588"/>
    <d v="2025-01-11T00:00:00"/>
    <x v="2"/>
    <m/>
    <d v="2024-09-06T00:00:00"/>
    <n v="127"/>
    <x v="11"/>
    <x v="3"/>
    <s v="14166/SPP/008/PUSAT/ICON+/2020 | 4500015137 | 16784/SPP/008/PUSAT/ICON+/2021 | 4500017302 | 2445- | 4500019921"/>
    <n v="2372"/>
    <n v="4500022067"/>
    <s v="Fajar Paramita"/>
    <s v="Fatmah"/>
    <s v="814 8436 3772"/>
    <m/>
    <m/>
    <m/>
    <s v="D232"/>
    <s v="E410"/>
    <m/>
    <s v="G35"/>
    <s v="H14"/>
    <s v="-"/>
  </r>
  <r>
    <n v="802"/>
    <x v="342"/>
    <x v="553"/>
    <s v="Gedung Cyber Lt.11 Jl. Kuningan Barat No.8 Kuningan Barat Jakarta"/>
    <s v="Gedung Cyber Lt.1 (APJII), Jakarta Selatan"/>
    <s v="Gedung Cyber 1"/>
    <s v="Sewa Tahunan"/>
    <x v="1"/>
    <x v="609"/>
    <m/>
    <m/>
    <m/>
    <m/>
    <m/>
    <x v="302"/>
    <m/>
    <m/>
    <x v="145"/>
    <m/>
    <x v="589"/>
    <d v="2024-11-10T00:00:00"/>
    <x v="2"/>
    <m/>
    <d v="2024-09-06T00:00:00"/>
    <n v="65"/>
    <x v="2"/>
    <x v="1"/>
    <s v="4500009930 |07468/SPP/008/PUSAT/ICON+/2017 | 4500010848 | 09418/SPP/008/PUSAT/ICON+/2018 | 4500011976 | 11887/SPP/008/PUSAT/ICON+/2019 | 4500013462 | 14410/SPP/008/PUSAT/ICON+/2020 | 4500015215 | 20376/SPP/008/PUSAT/ICON+/2022 | 4500019251"/>
    <s v="1733/SPP/SBU/ICON+/2023"/>
    <n v="4500021498"/>
    <s v="Fajar Paramita"/>
    <s v="Fatmah"/>
    <s v="021-52960634"/>
    <n v="120"/>
    <s v="B222"/>
    <s v="C243"/>
    <s v="D302"/>
    <m/>
    <s v="F395"/>
    <s v="G352"/>
    <m/>
    <s v="-"/>
  </r>
  <r>
    <n v="803"/>
    <x v="342"/>
    <x v="554"/>
    <s v="Gedung Cyber Lt.11 Jl. Kuningan Barat No.8 Kuningan Barat Jakarta"/>
    <s v="Gedung Cyber Lt.1 (APJII), Jakarta Selatan"/>
    <s v="Gedung Cyber 1"/>
    <s v="Sewa Tahunan"/>
    <x v="1"/>
    <x v="610"/>
    <m/>
    <m/>
    <m/>
    <m/>
    <m/>
    <x v="303"/>
    <m/>
    <m/>
    <x v="16"/>
    <m/>
    <x v="590"/>
    <d v="2024-10-28T00:00:00"/>
    <x v="2"/>
    <m/>
    <d v="2024-09-06T00:00:00"/>
    <n v="52"/>
    <x v="6"/>
    <x v="1"/>
    <s v="0340317/SPR/ICON+/2017 07603/SPP/008/PUSAT/ICON+/2017 4500010952 | 09156/SPP/008/PUSAT/ICON+/2018 | 4500011820 | 11645/SPP/008/PUSAT/ICON+/2019 | 4500013462 | 14316/SPP/008/PUSAT/ICON+/2020 | 4500015112 | 16690/SPP/008/PUSAT/ICON+/2021 | 4500016735 | 20252/SPP/008/PUSAT/ICON+/2022 | 4500019399"/>
    <s v="1503/SPP/SBU/ICON+/2023"/>
    <n v="4500021491"/>
    <s v="Fajar Paramita"/>
    <s v="Fatmah"/>
    <s v="021-52960634"/>
    <n v="147"/>
    <s v="B211"/>
    <s v="C195"/>
    <s v="D34"/>
    <s v="E295"/>
    <s v="F423"/>
    <s v="G322"/>
    <m/>
    <s v="-"/>
  </r>
  <r>
    <n v="804"/>
    <x v="342"/>
    <x v="555"/>
    <s v="Gedung Cyber Lt.11 Jl. Kuningan Barat No.8 Kuningan Barat Jakarta"/>
    <s v="Gedung Cyber Lt.1 (APJII), Jakarta Selatan"/>
    <s v="Gedung Cyber 1"/>
    <s v="Sewa Tahunan"/>
    <x v="1"/>
    <x v="611"/>
    <m/>
    <m/>
    <m/>
    <m/>
    <m/>
    <x v="304"/>
    <m/>
    <m/>
    <x v="17"/>
    <m/>
    <x v="591"/>
    <d v="2025-01-26T00:00:00"/>
    <x v="2"/>
    <m/>
    <d v="2024-09-06T00:00:00"/>
    <n v="142"/>
    <x v="11"/>
    <x v="3"/>
    <s v="1821216/SPR/ICON+/2016 | 07080/SPP/008/PUSAT/ICON+/2017 &amp; 07773/SPP/008/PUSAT/ICON+/2017 | 4500010584 &amp; 4500011048 | 09838/SPP/008/PUSAT/ICON+/2018 | 45000123024500012302 | 4500013746 | 14972/SPP/008/PUSAT/ICON+/2020 | 4500015512 | 21017 | 4500019901"/>
    <n v="2443"/>
    <n v="4500022116"/>
    <s v="Fajar Paramita"/>
    <s v="Fatmah"/>
    <s v="0812 8436 3772"/>
    <s v="-"/>
    <n v="172"/>
    <s v="B277"/>
    <s v="D321"/>
    <m/>
    <m/>
    <s v="G37"/>
    <s v="H27"/>
    <s v="-"/>
  </r>
  <r>
    <n v="805"/>
    <x v="342"/>
    <x v="556"/>
    <s v="Gedung Cyber Lt.11 Jl. Kuningan Barat No.8 Kuningan Barat Jakarta"/>
    <m/>
    <s v="Gedung Cyber 1"/>
    <s v="Sewa Tahunan"/>
    <x v="1"/>
    <x v="612"/>
    <m/>
    <m/>
    <m/>
    <m/>
    <m/>
    <x v="56"/>
    <m/>
    <m/>
    <x v="17"/>
    <m/>
    <x v="592"/>
    <d v="2025-05-14T00:00:00"/>
    <x v="2"/>
    <m/>
    <d v="2024-09-06T00:00:00"/>
    <n v="250"/>
    <x v="4"/>
    <x v="3"/>
    <s v="10695/SPP/008/PUSAT/ICON+/2019 | 4500012710| 15667/SPP/008/PUSAT/ICON+/2021 | 4500016104 | 17906/SPP/008/PUSAT/ICON+/2022 | 4500017676  | 17906/SPP/008/PUSAT/ICON+/2023 | 4500020426"/>
    <s v="3288/SPP/SBU/PLNICONPLUS/2024"/>
    <n v="4500022601"/>
    <s v="Fajar Paramita"/>
    <s v="Fatmah"/>
    <s v="813 8436 3772"/>
    <m/>
    <m/>
    <s v="C76"/>
    <m/>
    <s v="E73"/>
    <s v="F75"/>
    <s v="G36"/>
    <m/>
    <s v="-"/>
  </r>
  <r>
    <n v="806"/>
    <x v="342"/>
    <x v="557"/>
    <s v="Gedung Cyber Lt.11 Jl. Kuningan Barat No.8 Kuningan Barat Jakarta"/>
    <m/>
    <s v="Serang, Unyur, Kec. Serang, Kota Serang, Banten 42111"/>
    <s v="Sewa Tahunan"/>
    <x v="1"/>
    <x v="613"/>
    <m/>
    <m/>
    <m/>
    <m/>
    <m/>
    <x v="109"/>
    <m/>
    <m/>
    <x v="17"/>
    <m/>
    <x v="593"/>
    <d v="2024-08-20T00:00:00"/>
    <x v="2"/>
    <m/>
    <d v="2024-09-06T00:00:00"/>
    <n v="-17"/>
    <x v="12"/>
    <x v="1"/>
    <s v="baru"/>
    <s v="1014/SPP/SBU/ICON+/2023"/>
    <n v="4500021055"/>
    <s v="Fajar Paramita"/>
    <s v="Fatmah"/>
    <s v="813 8436 3772"/>
    <m/>
    <m/>
    <m/>
    <m/>
    <m/>
    <m/>
    <s v="G126"/>
    <m/>
    <s v="-"/>
  </r>
  <r>
    <n v="807"/>
    <x v="343"/>
    <x v="558"/>
    <s v="JL.HR Rasuna Said BLK X-2 Jakarta Selatan"/>
    <s v="Sudirman Plaza, Indofood Tower Lt.27 Jl.Jend Sudirman Kav.76-78 Jakarta 12910, -, Jakarta Selatan, DKI Jakarta, Indonesia, -"/>
    <s v="Gedung Ariobimo Sentral Lt. 5 Jl. HR Rasuna Said Blok X2 Kav 5 Jakarta Selatan, DKI Jakarta 12950"/>
    <s v="Sewa Tahunan"/>
    <x v="1"/>
    <x v="614"/>
    <m/>
    <m/>
    <m/>
    <m/>
    <m/>
    <x v="8"/>
    <m/>
    <m/>
    <x v="12"/>
    <m/>
    <x v="594"/>
    <d v="2025-02-28T00:00:00"/>
    <x v="2"/>
    <m/>
    <d v="2024-09-06T00:00:00"/>
    <n v="175"/>
    <x v="9"/>
    <x v="3"/>
    <s v="10434/SPP/008/PUSAT/ICON+/2019 | 4500012522 | 12586/SPP/008/PUSAT/ICON+/2020 | 4500013907| 15417/SPP/008/PUSAT/ICON+/2021| 4500015907 | 17632/SPP/008/PUSAT/ICON+/2022 | 4500017617 | 21102 | 4500019955"/>
    <n v="2455"/>
    <n v="4500022264"/>
    <s v="Fajar Paramita"/>
    <s v="Yadi"/>
    <m/>
    <m/>
    <m/>
    <s v="C41"/>
    <s v="D33"/>
    <s v="E171"/>
    <s v="F84"/>
    <s v="G130"/>
    <s v="H79"/>
    <m/>
  </r>
  <r>
    <n v="808"/>
    <x v="344"/>
    <x v="559"/>
    <s v="Kalimantan, CA2 1&amp;2 Gandasari Kab Bekasi 17842"/>
    <s v="Gd Cyber lantai 1 Jl. Kuningan Barat Raya No.8, RW.3, Kuningan Bar., Kec. Mampang Prpt., Kota Jakarta Selatan, Daerah Khusus Ibukota Jakarta 12710"/>
    <s v="PT. Solusi Rekatama Makmur MM2100, Jl. Kw. Industri No.1, Mekarwangi, Kec. Cikarang Barat, Kab. Bekasi, Jawa Barat 17530"/>
    <s v="Sewa Tahunan"/>
    <x v="1"/>
    <x v="615"/>
    <m/>
    <m/>
    <m/>
    <m/>
    <m/>
    <x v="112"/>
    <m/>
    <m/>
    <x v="161"/>
    <m/>
    <x v="595"/>
    <d v="2025-02-27T00:00:00"/>
    <x v="2"/>
    <m/>
    <d v="2024-09-06T00:00:00"/>
    <n v="174"/>
    <x v="9"/>
    <x v="3"/>
    <s v="baru"/>
    <n v="2184"/>
    <n v="4500022060"/>
    <s v="Syifa Fauziyah"/>
    <m/>
    <m/>
    <m/>
    <m/>
    <m/>
    <m/>
    <m/>
    <m/>
    <m/>
    <s v="H74"/>
    <m/>
  </r>
  <r>
    <n v="809"/>
    <x v="345"/>
    <x v="560"/>
    <s v="Menara BTPN 9th Floor. JL DR Ide Anak Agung Gde Agung Kav 5.5-5.6 Kawasan mega kuningan, jakarta selatan 12950"/>
    <s v="Backup Backhaul BTPN, Data Center IBM (Telkom Sigma) Sentul JL. IR Haji Juanda No. F3, Sentul City, Citeureup-Bogor Indonesia,- ,- ,- ,Indonesia  "/>
    <s v="Gedung Bahana Tower"/>
    <s v="Sewa Tahunan"/>
    <x v="1"/>
    <x v="616"/>
    <m/>
    <m/>
    <m/>
    <m/>
    <m/>
    <x v="11"/>
    <m/>
    <m/>
    <x v="249"/>
    <m/>
    <x v="587"/>
    <d v="2024-12-31T00:00:00"/>
    <x v="2"/>
    <m/>
    <d v="2024-09-06T00:00:00"/>
    <n v="116"/>
    <x v="5"/>
    <x v="1"/>
    <s v="07951/SPP/008/PUSAT/ICON+/2018 4500011230 | 09707/SPP/008/PUSAT/ICON+/2018 | 4500012171 | 11990/SPP/008/PUSAT/ICON+/2019 | 4500013647 | 14744/SPP/008/PUSAT/ICON+/2020 | 4500015366| 17124/SPP/008/PUSAT/ICON+/2021 | 4500017085 | 20281/SPP/008/PUSAT/ICON+/2022 | 4500019257"/>
    <s v="2038/SPP/SBU/ICON+/2023"/>
    <n v="4500021696"/>
    <s v="Fajar Paramita"/>
    <m/>
    <m/>
    <s v="B35"/>
    <s v="B251"/>
    <s v="C288"/>
    <s v="D366"/>
    <s v="E342"/>
    <m/>
    <s v="G325"/>
    <m/>
    <m/>
  </r>
  <r>
    <n v="810"/>
    <x v="346"/>
    <x v="157"/>
    <s v="Balai Sidang Jakarta Convention Center Gedung Jakarta Convention Center Jl. Jend. Gatot Soebroto Jakarta 12310"/>
    <s v="Jakarta Convention Center (JCC) Jl. Jend. Gatot Soebroto "/>
    <s v="Jakarta Convention Center (JCC) Jl. Jend. Gatot Soebroto (PT Indonesia Comnets Plus - Mahkamah Agung)"/>
    <s v="Sewa Tahunan"/>
    <x v="1"/>
    <x v="617"/>
    <m/>
    <m/>
    <m/>
    <m/>
    <m/>
    <x v="41"/>
    <m/>
    <m/>
    <x v="302"/>
    <m/>
    <x v="596"/>
    <d v="2025-01-12T00:00:00"/>
    <x v="2"/>
    <m/>
    <d v="2024-09-06T00:00:00"/>
    <n v="128"/>
    <x v="11"/>
    <x v="3"/>
    <s v="022411/SPR/008/PUSAT/ICON+/2016 053112/SPR/008/PUSAT/ICON+/2016(Vsat Cancel )_x000a_ 061315/SPR/008/PUSAT/ICON+/2016 (Vsat Cancel) | 08382/SPP/008/PUSAT/ICON+/2018 | 4500011445 | 4500012418 | 10026"/>
    <n v="2746"/>
    <m/>
    <s v="Fajar Paramita"/>
    <s v="Salis/Sita/Prima"/>
    <s v="021-5276000"/>
    <m/>
    <m/>
    <m/>
    <m/>
    <m/>
    <m/>
    <m/>
    <m/>
    <m/>
  </r>
  <r>
    <n v="811"/>
    <x v="347"/>
    <x v="561"/>
    <s v="Jl.Sunses Road Lingkabianbase 5"/>
    <s v="(Backhaul) Gedung DC Bali Tower JI. Batu Ceper No- 53 RT.15/RW.1 Kebon Kelapa, Jakarta Pusat"/>
    <s v="-"/>
    <s v="Sewa Tahunan"/>
    <x v="2"/>
    <x v="210"/>
    <m/>
    <m/>
    <m/>
    <m/>
    <m/>
    <x v="2"/>
    <m/>
    <m/>
    <x v="110"/>
    <m/>
    <x v="597"/>
    <d v="2025-03-04T00:00:00"/>
    <x v="2"/>
    <m/>
    <d v="2024-09-06T00:00:00"/>
    <n v="179"/>
    <x v="8"/>
    <x v="3"/>
    <s v="4500015834 | 18161/SPP/008/PUSAT/ICON+/2022 | 4500017802 | 21276 | 4500020006"/>
    <n v="2456"/>
    <n v="4500022200"/>
    <s v="Fajar Paramita"/>
    <m/>
    <s v="Meri"/>
    <m/>
    <m/>
    <m/>
    <m/>
    <m/>
    <s v="F114"/>
    <s v="G51"/>
    <s v="H36"/>
    <s v="1.Biaya Sewa Metro-E MMR DC Bacep 10 Mbps Rp.24.000.000 | 2.Biaya Sewa Space MMR 2U Rp.48.000.000 | 3.Biaya Sewa Crossconnect UTP Rp.6.000.000"/>
  </r>
  <r>
    <n v="812"/>
    <x v="348"/>
    <x v="562"/>
    <s v="Mutiara Taman Palem_x000a_ Perumahan Mutiara Taman Palem Blok B 6 No. 1 Jl. Kamal Raya Outering Road Cengkareng Jakarta Barat"/>
    <s v="ID0010363 - GD. BSM, JL. MH THAMRIN II 9 NO.5 JAKARTA,- ,- ,- "/>
    <s v="Mall Taman Palem"/>
    <s v="Sewa Tahunan"/>
    <x v="1"/>
    <x v="618"/>
    <m/>
    <m/>
    <m/>
    <m/>
    <m/>
    <x v="10"/>
    <m/>
    <m/>
    <x v="18"/>
    <m/>
    <x v="598"/>
    <d v="2022-07-20T00:00:00"/>
    <x v="1"/>
    <m/>
    <d v="2024-09-06T00:00:00"/>
    <n v="-779"/>
    <x v="1"/>
    <x v="2"/>
    <s v="4500010607 | 09419/SPP/008/PUSAT/ICON+/2018 | 4500012027 | 11134/SPP/008/PUSAT/ICON+/2019 | 4500013529 | 13693/SPP/008/PUSAT/ICON+/2020 | 4500014720"/>
    <s v="16751/SPP/008/PUSAT/ICON+/2021"/>
    <n v="4500016923"/>
    <s v="Fajar Paramita"/>
    <s v="Arfian"/>
    <m/>
    <n v="161"/>
    <s v="B163"/>
    <s v="C298"/>
    <s v="D295"/>
    <s v="E405"/>
    <m/>
    <m/>
    <m/>
    <m/>
  </r>
  <r>
    <n v="813"/>
    <x v="349"/>
    <x v="62"/>
    <s v="Gedung menara Selatan Lt.9 Jl. Jend. Gatot Subroto No. 38 Jakarta 12712"/>
    <m/>
    <s v=" ICON+ Jamsostek"/>
    <s v="Sewa Tahunan"/>
    <x v="1"/>
    <x v="619"/>
    <m/>
    <m/>
    <m/>
    <m/>
    <m/>
    <x v="305"/>
    <m/>
    <m/>
    <x v="25"/>
    <m/>
    <x v="599"/>
    <d v="2024-10-29T00:00:00"/>
    <x v="2"/>
    <m/>
    <d v="2024-09-06T00:00:00"/>
    <n v="53"/>
    <x v="6"/>
    <x v="1"/>
    <s v="baru"/>
    <s v="1888/SPP/SBU/ICON+/2023_x0009_"/>
    <n v="4500021582"/>
    <s v="Fajar Paramita"/>
    <s v="Tri"/>
    <s v="021-5279317_x000a_ 021-52961504_x000a_ 021-52961511"/>
    <m/>
    <m/>
    <m/>
    <m/>
    <m/>
    <m/>
    <s v="G307"/>
    <m/>
    <s v="1. Shaft sebesar Rp.10.000.000 | 2.Supervisi Rp.440.000 | 3.Biaya Perbaikan Firestop Rp.900.000"/>
  </r>
  <r>
    <n v="814"/>
    <x v="350"/>
    <x v="563"/>
    <s v="The Vida Lt.9 Jakarta Barat "/>
    <s v="-"/>
    <s v="Jl. Raya Perjuangan No. 8 Kebun Jeruk"/>
    <s v="Sewa Tahunan"/>
    <x v="1"/>
    <x v="620"/>
    <m/>
    <m/>
    <m/>
    <m/>
    <m/>
    <x v="7"/>
    <m/>
    <m/>
    <x v="31"/>
    <m/>
    <x v="600"/>
    <d v="2023-05-31T00:00:00"/>
    <x v="1"/>
    <m/>
    <d v="2024-09-06T00:00:00"/>
    <n v="-464"/>
    <x v="4"/>
    <x v="6"/>
    <s v="baru"/>
    <s v="18613/SPP/008/PUSAT/ICON+/2022"/>
    <n v="4500018062"/>
    <s v="Fajar Paramita"/>
    <m/>
    <m/>
    <m/>
    <m/>
    <m/>
    <m/>
    <m/>
    <s v="F149"/>
    <m/>
    <m/>
    <s v="Skema kerja sama berubah menjadi revenue sharing dengan pengelola The Vida (PT Binapratama Saktojaya)"/>
  </r>
  <r>
    <n v="815"/>
    <x v="351"/>
    <x v="564"/>
    <s v="Jl. Lingkar Luar Barat Kavling 88"/>
    <s v="-"/>
    <s v="PT Samchem Prasandha - The Blugreen Boutique Office Tower A-Blue Lantai 2 Unit AB-0, 2, Jl. Lkr. Luar Barat, RT.6/RW.1"/>
    <s v="Sewa Tahunan"/>
    <x v="3"/>
    <x v="476"/>
    <m/>
    <m/>
    <m/>
    <m/>
    <m/>
    <x v="35"/>
    <m/>
    <m/>
    <x v="63"/>
    <m/>
    <x v="481"/>
    <d v="2024-09-30T00:00:00"/>
    <x v="0"/>
    <m/>
    <d v="2024-09-06T00:00:00"/>
    <n v="24"/>
    <x v="7"/>
    <x v="1"/>
    <s v="baru"/>
    <s v="19787/SPP/008/PUSAT/ICON+/2022"/>
    <n v="4500018900"/>
    <s v="Livia Indraswati"/>
    <m/>
    <m/>
    <m/>
    <m/>
    <m/>
    <m/>
    <m/>
    <s v="F297"/>
    <m/>
    <m/>
    <m/>
  </r>
  <r>
    <n v="816"/>
    <x v="352"/>
    <x v="144"/>
    <s v="Jl Tentara Pelajar Jakarta 12215"/>
    <s v="-"/>
    <s v="A000 - AIHO, Mini Data Center Astra International Head Office Lantai 59, Menara Astra, Jl. Jend. Sudirman No. Kav 5, RT. 10/RW. 11 Karet Tengsin, Tanah Abang, Jakarta Pusat"/>
    <s v="Sewa Tahunan"/>
    <x v="1"/>
    <x v="152"/>
    <m/>
    <m/>
    <m/>
    <m/>
    <m/>
    <x v="44"/>
    <m/>
    <m/>
    <x v="18"/>
    <m/>
    <x v="601"/>
    <d v="2024-08-31T00:00:00"/>
    <x v="2"/>
    <m/>
    <d v="2024-09-06T00:00:00"/>
    <n v="-6"/>
    <x v="12"/>
    <x v="1"/>
    <s v="13316/SPP/008/PUSAT/ICON+/2020 | 4500014387- | 20057 | 4500019558 | 4500022096"/>
    <s v="1267/SPP/SBU/ICON+/2024"/>
    <n v="4500022096"/>
    <s v="Fajar Paramita"/>
    <m/>
    <m/>
    <m/>
    <m/>
    <m/>
    <s v="D191"/>
    <m/>
    <s v="F442"/>
    <s v="H81"/>
    <m/>
    <m/>
  </r>
  <r>
    <n v="817"/>
    <x v="352"/>
    <x v="565"/>
    <s v="Jl Tentara Pelajar Jakarta 12215"/>
    <s v="(backhaul) Jln Mitra Sunter Boulevard Blok C2 Kav 9, Sunter Jaya-JAKARTA 14350"/>
    <s v="Menara Astra Lt.12, Jl. Jend. Sudirman No.Kav 5-6, RT.10/RW.11, Karet Tengsin, Tanahabang, Kota Jakarta Pusat"/>
    <s v="Sewa Tahunan"/>
    <x v="1"/>
    <x v="181"/>
    <m/>
    <m/>
    <m/>
    <m/>
    <m/>
    <x v="52"/>
    <m/>
    <m/>
    <x v="17"/>
    <m/>
    <x v="602"/>
    <d v="2021-07-28T00:00:00"/>
    <x v="1"/>
    <m/>
    <d v="2024-09-06T00:00:00"/>
    <n v="-1136"/>
    <x v="1"/>
    <x v="4"/>
    <s v="11380/SPP/008/PUSAT/ICON+/2019 | 4500013133"/>
    <s v="13772/SPP/008/PUSAT/ICON+/2020"/>
    <n v="4500014675"/>
    <s v="Fajar Paramita"/>
    <s v="Indah"/>
    <s v="0812-1097-4826"/>
    <m/>
    <m/>
    <s v="C163"/>
    <s v="D157"/>
    <m/>
    <m/>
    <m/>
    <m/>
    <m/>
  </r>
  <r>
    <n v="818"/>
    <x v="353"/>
    <x v="566"/>
    <s v="Jl.Turonggongsari Blok III , Jl Perumnas No.50 NGROPOH Condongcatur Kec.Depok Yogyakarta"/>
    <m/>
    <s v="Ditjen Imigrasi - JL H.R Rasuna Said Kav. X-6 no 8, Kuningan, Jakarta Selatan, DKI Jakarta, Indonesia,"/>
    <s v="Sewa Tahunan"/>
    <x v="1"/>
    <x v="621"/>
    <m/>
    <m/>
    <s v="Aplikasi"/>
    <m/>
    <m/>
    <x v="41"/>
    <m/>
    <m/>
    <x v="303"/>
    <m/>
    <x v="603"/>
    <d v="2023-12-31T00:00:00"/>
    <x v="1"/>
    <m/>
    <d v="2024-09-06T00:00:00"/>
    <n v="-250"/>
    <x v="5"/>
    <x v="6"/>
    <s v="15723/SPP/008/PUSAT/ICON+/2021| 4500016287 | 18416/SPP/008/PUSAT/ICON+/2022 | 4500018073"/>
    <s v="397/SPP/SBU/ICON+/2023"/>
    <n v="4500021004"/>
    <s v="Fajar Paramita"/>
    <m/>
    <m/>
    <m/>
    <m/>
    <m/>
    <m/>
    <s v="E110"/>
    <s v="F210"/>
    <s v="G185"/>
    <m/>
    <s v="1.chatbot setup  Rp.20.000.000 | monthly commitment subscription chatbot Rp.60.000.000 | 3.monthly commitment subscription omnichannel 8.000.000"/>
  </r>
  <r>
    <n v="819"/>
    <x v="354"/>
    <x v="567"/>
    <s v="Jl.Pluit Selatan Raya 1 Jakarta Utara 14440"/>
    <m/>
    <s v="Gedung The Honey Lady Lantai 16, Jl. Pluit Selatan Raya No.1, Penjaringan, Jakarta Utara, DKI Jakarta,"/>
    <s v="Sewa Tahunan"/>
    <x v="2"/>
    <x v="520"/>
    <m/>
    <m/>
    <m/>
    <m/>
    <m/>
    <x v="109"/>
    <m/>
    <m/>
    <x v="6"/>
    <m/>
    <x v="439"/>
    <d v="2023-02-28T00:00:00"/>
    <x v="1"/>
    <m/>
    <d v="2024-09-06T00:00:00"/>
    <n v="-556"/>
    <x v="9"/>
    <x v="6"/>
    <s v="baru"/>
    <s v="18116/SPP/008/PUSAT/ICON+/2022"/>
    <n v="4500017682"/>
    <s v="Fajar Paramita"/>
    <m/>
    <m/>
    <m/>
    <m/>
    <m/>
    <m/>
    <m/>
    <s v="F48"/>
    <m/>
    <m/>
    <s v="1.Biaya Sewa tahunan 35.000.000"/>
  </r>
  <r>
    <n v="820"/>
    <x v="355"/>
    <x v="222"/>
    <s v="Sinar Mas Land Plaza _x000a_ Jalan Grand Boulevard BSD Green Office Park BSD City Tangerang 15345"/>
    <s v="-"/>
    <s v="Bank Fama International, KCP BSD - BSD Junction Ruko Blok A No. 45, Jalan Pahlawan Seribu, Tangerang, 15322"/>
    <s v="Sewa Tahunan"/>
    <x v="1"/>
    <x v="622"/>
    <m/>
    <m/>
    <m/>
    <m/>
    <m/>
    <x v="262"/>
    <m/>
    <m/>
    <x v="129"/>
    <m/>
    <x v="201"/>
    <d v="2022-12-31T00:00:00"/>
    <x v="1"/>
    <m/>
    <d v="2024-09-06T00:00:00"/>
    <n v="-615"/>
    <x v="5"/>
    <x v="2"/>
    <s v="09959/SPP/008/PUSAT/ICON+/2018 | 4500012329 | 12160/SPP/008/PUSAT/ICON+/2019 | 4500013748| 14748/SPP/008/PUSAT/ICON+/2020| 4500015365"/>
    <s v="17343/SPP/008/PUSAT/ICON+/2021"/>
    <n v="4500017441"/>
    <s v="Fajar Paramita"/>
    <s v="Hendra/Hans"/>
    <s v="021-50368368"/>
    <m/>
    <m/>
    <s v="B267"/>
    <s v="D16"/>
    <s v="E153"/>
    <s v="F7"/>
    <m/>
    <m/>
    <s v="Biaya sewa tahunan sebesar Rp.48.015.000,-"/>
  </r>
  <r>
    <n v="821"/>
    <x v="355"/>
    <x v="8"/>
    <s v="Sinar Mas Land Plaza _x000a_ Jalan Grand Boulevard BSD Green Office Park BSD City Tangerang 15345"/>
    <s v="-"/>
    <s v="Bumi Serpong Damai (BSD) (ITC BSD Taman Perkantoran I BSD, Jl. Pahlawan Seribu , Tangerang-Trans Retail)"/>
    <s v="Sewa Tahunan"/>
    <x v="1"/>
    <x v="623"/>
    <m/>
    <m/>
    <m/>
    <m/>
    <m/>
    <x v="306"/>
    <m/>
    <m/>
    <x v="304"/>
    <m/>
    <x v="302"/>
    <d v="2022-08-31T00:00:00"/>
    <x v="1"/>
    <m/>
    <d v="2024-09-06T00:00:00"/>
    <n v="-737"/>
    <x v="12"/>
    <x v="2"/>
    <s v="4080916/SPR/ICON+/2016 | 08843/SPP/008/PUSAT/ICON+/2018 | Note : PO belum di TTD (4500011651 &amp; 4500011760 ) | 09021/SPP/008/PUSAT/ICON+/2018"/>
    <s v="09021/SPP/008/PUSAT/ICON+/2018 |16285/SPP/008/PUSAT/ICON+/2021"/>
    <n v="4500016488"/>
    <s v="Fajar Paramita"/>
    <s v="Hendra/Hans"/>
    <s v="021-50368368"/>
    <m/>
    <m/>
    <m/>
    <m/>
    <m/>
    <m/>
    <m/>
    <m/>
    <s v="Indoor ITC BSD:_x000a_ Dikenakan biaya sewa shaft per meter total untuk 185 meter Update tahun 2016 Rp60.000/meter_x000a_ Outdoor Lahan BSD:_x000a_ 1. Biaya Perbaikan dan Perapihan (tergantung panjang galian dan jalur-Bervariasi) mulai dari Rp3.500.000,- s/d Rp3.600.000 One Time Charged_x000a_ 2. Tarif Jaminan :_x000a_ a. Galian Boring : panjang galian 0 s/d 200 m Rp4.800.000_x000a_ b. Galian Boring : panjang galian 201 s/d 1000 m Rp14.400.000_x000a_ c. Galian Boring : panjang galian 1001 s/d 5000 m Rp42.000.000_x000a_ d. Galian Boring : panjang galian 5001 s/d 10000 m Rp54.000.000_x000a_ e. Galian Boring : panjang galian &gt; 10000m Rp90.000.000_x000a_ f. Galian Open : Panjang Galian 0 s/d 200 m Rp6.000.000_x000a_ g. Galian Open : Panjang Galian 201 s/d 1000 m Rp18.000.000_x000a_ h. Galian Open : Panjang Galian 1001 s/d 5000 m Rp54.000.000_x000a_ i. Galian Open : Panjang Galian 5001 s/d 10000 m Rp72.000.000_x000a_ j. Galian Open : Panjang Galian &gt; 10000 m Rp120.000.000"/>
  </r>
  <r>
    <n v="822"/>
    <x v="356"/>
    <x v="568"/>
    <s v="Centenial Tower Lt.6 Jakarta 12930"/>
    <s v="-"/>
    <s v="Centennial Tower Lt 6 Jl. Gatot Subroto Kav 24 &amp; 25 Jakarta 12930"/>
    <s v="Sewa Tahunan"/>
    <x v="1"/>
    <x v="624"/>
    <m/>
    <m/>
    <m/>
    <m/>
    <m/>
    <x v="307"/>
    <m/>
    <m/>
    <x v="305"/>
    <m/>
    <x v="604"/>
    <d v="2021-07-15T00:00:00"/>
    <x v="1"/>
    <m/>
    <d v="2024-09-06T00:00:00"/>
    <n v="-1149"/>
    <x v="1"/>
    <x v="4"/>
    <s v="08877/SPP/008/PUSAT/ICON+/2018 | 4500011672"/>
    <s v="11130/SPP/008/PUSAT/ICON+/2019"/>
    <n v="4500012998"/>
    <s v="Fajar Paramita"/>
    <s v="Aya"/>
    <m/>
    <m/>
    <s v="B110"/>
    <s v="C142"/>
    <m/>
    <m/>
    <m/>
    <m/>
    <m/>
    <s v="1.Biaya sewa tahunan Rp.96.000.000"/>
  </r>
  <r>
    <n v="823"/>
    <x v="356"/>
    <x v="569"/>
    <s v="Centenial Tower Lt.6 Jakarta 12930"/>
    <s v="-"/>
    <s v="PT Indopower, Centennial Tower Lt.8, Jl. Gatot Subroto No Kav. 24-25, Karet Semanggi, Kec. Setiabudi, Jakarta Selatan, DKI Jakarta, 12710"/>
    <s v="Sewa Tahunan"/>
    <x v="1"/>
    <x v="624"/>
    <m/>
    <m/>
    <m/>
    <m/>
    <m/>
    <x v="112"/>
    <m/>
    <m/>
    <x v="85"/>
    <m/>
    <x v="102"/>
    <d v="2021-02-28T00:00:00"/>
    <x v="1"/>
    <m/>
    <d v="2024-09-06T00:00:00"/>
    <n v="-1286"/>
    <x v="9"/>
    <x v="4"/>
    <s v="10211/SPP/008/PUSAT/ICON+/2019 | 4500012469"/>
    <s v="11130/SPP/008/PUSAT/ICON+/2019"/>
    <n v="4500013910"/>
    <s v="Fajar Paramita"/>
    <m/>
    <m/>
    <m/>
    <m/>
    <s v="C15"/>
    <s v="D118"/>
    <m/>
    <m/>
    <m/>
    <m/>
    <s v="1.Biaya sewa tahunan Rp.96.000.000"/>
  </r>
  <r>
    <n v="824"/>
    <x v="278"/>
    <x v="570"/>
    <s v="Gedung Kenari Mas Lt.6 Np.101 Jakarta Pusat 10440"/>
    <s v="-"/>
    <s v="Krisbow Indonesia, Plaza Kenari Mas, Jl. Kramat Raya No.101, RT.18/RW.1, Paseban, Senen, Kota Jakarta Pusat, Daerah Khusus Ibukota Jakarta (Gedung kenari mas Lantai Dasar Blok C no 2), Senen, Jakarta Pusat, DKI Jakarta, Indonesia, 10440"/>
    <s v="Sewa Tahunan"/>
    <x v="2"/>
    <x v="157"/>
    <m/>
    <m/>
    <m/>
    <m/>
    <m/>
    <x v="27"/>
    <m/>
    <m/>
    <x v="18"/>
    <m/>
    <x v="605"/>
    <d v="2025-03-31T00:00:00"/>
    <x v="2"/>
    <m/>
    <d v="2024-09-06T00:00:00"/>
    <n v="206"/>
    <x v="8"/>
    <x v="3"/>
    <s v="10701/SPP/008/PUSAT/ICON+/2019| 4500012715 | 12631/SPP/008/PUSAT/ICON+/2020 | 4500013903| 15169/SPP/008/PUSAT/ICON+/2021| 4500015749 | 18177/SPP/008/PUSAT/ICON+/2022 | 4500017780 | 21757 | 4500020389"/>
    <n v="2457"/>
    <n v="4500020389"/>
    <s v="Fajar Paramita"/>
    <s v="Fitry Juni"/>
    <s v="021 3984 2777"/>
    <m/>
    <m/>
    <s v="C50"/>
    <s v="D203"/>
    <s v="E221"/>
    <s v="F99"/>
    <s v="G96"/>
    <s v="H35"/>
    <m/>
  </r>
  <r>
    <n v="825"/>
    <x v="278"/>
    <x v="26"/>
    <s v="Gedung Kenari Mas Lt.6 Np.101 Jakarta Pusat 10440"/>
    <s v="-"/>
    <s v="TBK KCP KAS Plaza Kenari Mas (KPK) Plaza Kenari Mas"/>
    <s v="Sewa Tahunan"/>
    <x v="2"/>
    <x v="625"/>
    <m/>
    <m/>
    <m/>
    <m/>
    <m/>
    <x v="308"/>
    <m/>
    <m/>
    <x v="306"/>
    <m/>
    <x v="606"/>
    <d v="2026-12-10T00:00:00"/>
    <x v="2"/>
    <m/>
    <d v="2024-09-06T00:00:00"/>
    <n v="825"/>
    <x v="5"/>
    <x v="7"/>
    <s v="baru"/>
    <s v="1849/SPP/SBU/ICON+/2023"/>
    <n v="4500021645"/>
    <s v="Fajar Paramita"/>
    <s v="Hana"/>
    <s v="0812-9035-7435"/>
    <m/>
    <m/>
    <m/>
    <m/>
    <m/>
    <m/>
    <s v="G308"/>
    <m/>
    <m/>
  </r>
  <r>
    <n v="826"/>
    <x v="280"/>
    <x v="571"/>
    <s v="Jl. HR. Rasuna Said Blok X5 No. 13_x000a_ Kuningan Timur Jakarta"/>
    <s v="-"/>
    <s v="(PT. Adaro Indonesia site KM 35) Jl. Hauling Road KM 35. Pasar Panas, Benua Lima, Kabupaten Barito Timur, Kalimantan Tengah, Indonesia, 73661"/>
    <s v="Sewa Tahunan"/>
    <x v="1"/>
    <x v="626"/>
    <m/>
    <m/>
    <m/>
    <m/>
    <m/>
    <x v="39"/>
    <m/>
    <m/>
    <x v="31"/>
    <m/>
    <x v="607"/>
    <d v="2024-05-24T00:00:00"/>
    <x v="2"/>
    <m/>
    <d v="2024-09-06T00:00:00"/>
    <n v="-105"/>
    <x v="4"/>
    <x v="1"/>
    <s v="baru"/>
    <s v="278/SPP/SBU/ICON+/2023"/>
    <n v="4500020540"/>
    <s v="Fajar Paramita"/>
    <s v="Erni Monalena / Helvi Susanti"/>
    <s v="0856 9322 1320 (Erni)"/>
    <m/>
    <m/>
    <m/>
    <m/>
    <m/>
    <m/>
    <s v="G108"/>
    <m/>
    <s v="1.Biaya Instalasi Rp.2.000.000 | 2.Material Support Cost Rp.2.000.000"/>
  </r>
  <r>
    <n v="827"/>
    <x v="280"/>
    <x v="572"/>
    <s v="Jl. HR. Rasuna Said Blok X5 No. 13_x000a_ Kuningan Timur Jakarta"/>
    <s v="-"/>
    <s v="Bank Mandiri Gedung Mandiri Sentra Rempoa 1, Jl. Ir. H. Juanda Komp. Mandiri Griya Rempoa, Ciputat – Rempoa , Tangerang Selatan 15412"/>
    <s v="Sewa Tahunan"/>
    <x v="1"/>
    <x v="627"/>
    <m/>
    <m/>
    <m/>
    <m/>
    <m/>
    <x v="309"/>
    <m/>
    <m/>
    <x v="16"/>
    <m/>
    <x v="113"/>
    <d v="2021-10-31T00:00:00"/>
    <x v="1"/>
    <m/>
    <d v="2024-09-06T00:00:00"/>
    <n v="-1041"/>
    <x v="6"/>
    <x v="4"/>
    <m/>
    <s v="14680/SPP/008/PUSAT/ICON+/2020"/>
    <n v="4500015336"/>
    <s v="Fajar Paramita"/>
    <s v="Erni Monalena / Helvi Susanti"/>
    <s v="858 9322 1320 (Erni)"/>
    <m/>
    <m/>
    <s v="C235"/>
    <s v="D389"/>
    <m/>
    <m/>
    <m/>
    <m/>
    <m/>
  </r>
  <r>
    <n v="828"/>
    <x v="280"/>
    <x v="150"/>
    <s v="Jl. HR. Rasuna Said Blok X5 No. 13_x000a_ Kuningan Timur Jakarta"/>
    <s v="Cyber2 Tower, Kuningan, East Kuningan, Setiabudi, South Jakarta City, Jakarta,  Kuningan,  Jakarta Selatan,  DKI Jakarta,  Indonesia,  "/>
    <s v="CBN Bali Istana Kuta Galeria  Blok PM 3 No. 7 Jl. Patih Jelantik,  Kuta,  Kabupaten Badung,  Bali,  Indonesia,  80361"/>
    <s v="Sewa Tahunan"/>
    <x v="1"/>
    <x v="628"/>
    <m/>
    <m/>
    <m/>
    <m/>
    <m/>
    <x v="310"/>
    <m/>
    <m/>
    <x v="31"/>
    <m/>
    <x v="608"/>
    <d v="2025-03-01T00:00:00"/>
    <x v="2"/>
    <m/>
    <d v="2024-09-06T00:00:00"/>
    <n v="176"/>
    <x v="8"/>
    <x v="3"/>
    <s v="21127/SPP/008/PUSAT/ICON+/2023 | 4500020016"/>
    <s v="3385/SPP/SBU/PLNICONPLUS/2024"/>
    <n v="4500022887"/>
    <s v="Fajar Paramita"/>
    <s v="Erni Monalena / Helvi Susanti"/>
    <s v="0856 9322 1320 (Erni)"/>
    <m/>
    <m/>
    <m/>
    <m/>
    <m/>
    <m/>
    <s v="G29"/>
    <m/>
    <s v="1.Biaya Instalasi Rp.2.000.000 | 2.Material Support Cost Rp.2.000.000"/>
  </r>
  <r>
    <n v="829"/>
    <x v="280"/>
    <x v="573"/>
    <s v="Jl. HR. Rasuna Said Blok X5 No. 13_x000a_ Kuningan Timur Jakarta"/>
    <s v="-"/>
    <s v="CBN Nusantara Next Data Center Cyber2 Tower, 2nd Floor - Jl. H.R Rasuna Said Blok X-5 No. 13 Jakarta"/>
    <s v="Sewa Tahunan"/>
    <x v="1"/>
    <x v="629"/>
    <m/>
    <m/>
    <m/>
    <m/>
    <m/>
    <x v="311"/>
    <m/>
    <m/>
    <x v="31"/>
    <m/>
    <x v="609"/>
    <d v="2025-04-09T00:00:00"/>
    <x v="2"/>
    <m/>
    <d v="2024-09-06T00:00:00"/>
    <n v="215"/>
    <x v="10"/>
    <x v="3"/>
    <s v="21885/SPP/008/PUSAT/ICON+/2023 | 4500020327"/>
    <s v="3215/SPP/SBU/PLNICONPLUS/2024"/>
    <n v="4500022801"/>
    <s v="Livia Indraswati"/>
    <s v="Erni Monalena / Helvi Susanti"/>
    <s v="857 9322 1320 (Erni)"/>
    <m/>
    <m/>
    <m/>
    <m/>
    <m/>
    <m/>
    <s v="G72"/>
    <s v="H172"/>
    <s v="1.Biaya Instalasi Rp.2.000.000 | 2.Material Support Cost Rp.2.000.001"/>
  </r>
  <r>
    <n v="830"/>
    <x v="280"/>
    <x v="574"/>
    <s v="Jl. HR. Rasuna Said Blok X5 No. 13_x000a_ Kuningan Timur Jakarta"/>
    <s v="-"/>
    <s v="Cyber 2 - JL H. Rasuna Said X5 No 13, Kuningan, Jakarta Selatan"/>
    <s v="Sewa Tahunan"/>
    <x v="1"/>
    <x v="215"/>
    <m/>
    <m/>
    <m/>
    <m/>
    <m/>
    <x v="35"/>
    <m/>
    <m/>
    <x v="31"/>
    <m/>
    <x v="442"/>
    <d v="2022-06-30T00:00:00"/>
    <x v="1"/>
    <m/>
    <d v="2024-09-06T00:00:00"/>
    <n v="-799"/>
    <x v="3"/>
    <x v="2"/>
    <s v="10821/SPP/008/PUSAT/ICON+/2019 |4500014444 | 4500012790| 15921/SPP/008/PUSAT/ICON+/2021| 4500016427"/>
    <s v="18322/SPP/008/PUSAT/ICON+/2022"/>
    <n v="4500018963"/>
    <s v="Fajar Paramita"/>
    <s v="Erni Monalena / Helvi Susanti"/>
    <s v="857 9322 1320 (Erni)"/>
    <m/>
    <m/>
    <s v="C103"/>
    <m/>
    <s v="E119"/>
    <s v="F340"/>
    <m/>
    <m/>
    <s v="1.Biaya sewa tahunan Rp.12.000.000"/>
  </r>
  <r>
    <n v="831"/>
    <x v="280"/>
    <x v="228"/>
    <s v="Jl. HR. Rasuna Said Blok X5 No. 13_x000a_ Kuningan Timur Jakarta"/>
    <s v="CYBER 2 RAK STI (BACKHAUL),  -,  -,  -,  Indonesia,  -"/>
    <s v="Cyber 2 Tower, 2nd Floor – JL. HR Rasuna Said Blok X-5 No. 13 – Jakarta 12950"/>
    <s v="Sewa Tahunan"/>
    <x v="1"/>
    <x v="77"/>
    <m/>
    <m/>
    <m/>
    <m/>
    <m/>
    <x v="167"/>
    <m/>
    <m/>
    <x v="31"/>
    <m/>
    <x v="233"/>
    <d v="2022-01-02T00:00:00"/>
    <x v="1"/>
    <m/>
    <d v="2024-09-06T00:00:00"/>
    <n v="-978"/>
    <x v="11"/>
    <x v="2"/>
    <s v="08013/SPP/008/PUSAT/ICON+/2018 | 4500011185 | 09877/SPP/008/PUSAT/ICON+/2018 | 12627/SPP/008/PUSAT/ICON+/2020 | 4500013964"/>
    <s v="15132/SPP/008/PUSAT/ICON+/2021"/>
    <n v="4500015718"/>
    <s v="Fajar Paramita"/>
    <s v="Erni Monalena / Helvi Susanti"/>
    <s v="0856 9322 1320 (Erni)"/>
    <s v="-"/>
    <s v="B9"/>
    <s v="B291"/>
    <s v="D34"/>
    <s v="E141"/>
    <m/>
    <m/>
    <m/>
    <m/>
  </r>
  <r>
    <n v="832"/>
    <x v="280"/>
    <x v="47"/>
    <s v="Jl. HR. Rasuna Said Blok X5 No. 13_x000a_ Kuningan Timur Jakarta"/>
    <s v="Data Center CBN Nusantara Cyber 2 Tower, 2nd floor | Jl. H.R. Rasuna Said Blok X5 No. 13 Jakarta Selatan - 12950. lokasi rak N2C1-05-02)"/>
    <s v="Cyber 2 Tower, 2nd Floor – JL. HR Rasuna Said Blok X-5 No. 13 – Jakarta 12950"/>
    <s v="Sewa Tahunan"/>
    <x v="1"/>
    <x v="227"/>
    <m/>
    <m/>
    <m/>
    <m/>
    <m/>
    <x v="30"/>
    <m/>
    <m/>
    <x v="5"/>
    <m/>
    <x v="610"/>
    <d v="2024-12-17T00:00:00"/>
    <x v="2"/>
    <m/>
    <d v="2024-09-06T00:00:00"/>
    <n v="102"/>
    <x v="5"/>
    <x v="1"/>
    <s v="08041/SPP/008/PUSAT/ICON+/2018 | 4500011282 | Note : PO belum di Print | 09709/SPP/008/PUSAT/ICON+/2018 | 4500012173 | 12176/SPP/008/PUSAT/ICON+/2019 | 4500013738 | 14753/SPP/008/PUSAT/ICON+/2020 | 4500015367 | 17489/SPP/008/PUSAT/ICON+/2021 | 4500017405 | 18911 | 4500021250"/>
    <n v="18911"/>
    <n v="4500021919"/>
    <s v="Fajar Paramita"/>
    <s v="Erni Monalena / Helvi Susanti"/>
    <s v="0856 9322 1320 (Erni)"/>
    <m/>
    <s v="C150"/>
    <s v="D7"/>
    <s v="D390"/>
    <s v="F15"/>
    <s v="G244"/>
    <m/>
    <m/>
    <m/>
  </r>
  <r>
    <n v="833"/>
    <x v="280"/>
    <x v="228"/>
    <s v="Jl. HR. Rasuna Said Blok X5 No. 13_x000a_ Kuningan Timur Jakarta"/>
    <s v=" CYBER 2 RAK STI (BACKHAUL"/>
    <s v="Cyber 2 Tower, 2nd Floor – JL. HR Rasuna Said Blok X-5 No. 13 – Jakarta 12950"/>
    <s v="Sewa Tahunan"/>
    <x v="1"/>
    <x v="77"/>
    <m/>
    <m/>
    <m/>
    <m/>
    <m/>
    <x v="222"/>
    <m/>
    <m/>
    <x v="31"/>
    <m/>
    <x v="611"/>
    <d v="2021-11-30T00:00:00"/>
    <x v="0"/>
    <m/>
    <d v="2024-09-06T00:00:00"/>
    <n v="-1011"/>
    <x v="2"/>
    <x v="4"/>
    <s v="08223/SPP/008/PUSAT/ICON+/2018 |09535/SPP/008/PUSAT/ICON+/2018 | 4500012060 | 12088/SPP/008/PUSAT/ICON+/2019 | 4500013739"/>
    <s v="12088/SPP/008/PUSAT/ICON+/2019"/>
    <n v="4500015270"/>
    <s v="Fajar Paramita"/>
    <s v="Erni Monalena / Helvi Susanti"/>
    <s v="0856 9322 1320 (Erni)"/>
    <s v="B9"/>
    <s v="C250"/>
    <s v="D6"/>
    <m/>
    <m/>
    <m/>
    <m/>
    <m/>
    <m/>
  </r>
  <r>
    <n v="834"/>
    <x v="280"/>
    <x v="575"/>
    <s v="Jl. HR. Rasuna Said Blok X5 No. 13_x000a_ Kuningan Timur Jakarta"/>
    <s v="-"/>
    <s v="Cyber 2, Jl. H. R. Rasuna Said No.5 No.13, RT.7/RW.2, Kuningan, Kuningan Tim, Kec. Setiabudi"/>
    <s v="Sewa Tahunan"/>
    <x v="1"/>
    <x v="309"/>
    <m/>
    <m/>
    <m/>
    <m/>
    <m/>
    <x v="59"/>
    <m/>
    <m/>
    <x v="31"/>
    <m/>
    <x v="612"/>
    <d v="2022-09-30T00:00:00"/>
    <x v="0"/>
    <m/>
    <d v="2024-09-06T00:00:00"/>
    <n v="-707"/>
    <x v="7"/>
    <x v="2"/>
    <s v="baru"/>
    <s v="16811/SPP/008/PUSAT/ICON+/2021"/>
    <n v="4500016821"/>
    <s v="Fajar Paramita"/>
    <s v="Erni Monalena / Helvi Susanti"/>
    <s v="0856 9322 1320 (Erni)"/>
    <m/>
    <m/>
    <m/>
    <m/>
    <s v="E277"/>
    <m/>
    <m/>
    <m/>
    <m/>
  </r>
  <r>
    <n v="835"/>
    <x v="280"/>
    <x v="576"/>
    <s v="Jl. HR. Rasuna Said Blok X5 No. 13_x000a_ Kuningan Timur Jakarta"/>
    <s v="Data Center CBN Nusantara Cyber 2 Tower, 2nd floor | Jl. H.R. Rasuna Said Blok X5 No. 13 Jakarta Selatan - 12950. lokasi rak N2C1-05-02)"/>
    <s v="-"/>
    <s v="Sewa Tahunan"/>
    <x v="1"/>
    <x v="194"/>
    <m/>
    <m/>
    <m/>
    <m/>
    <m/>
    <x v="27"/>
    <m/>
    <m/>
    <x v="31"/>
    <m/>
    <x v="610"/>
    <d v="2024-12-17T00:00:00"/>
    <x v="2"/>
    <m/>
    <d v="2024-09-06T00:00:00"/>
    <n v="102"/>
    <x v="5"/>
    <x v="1"/>
    <s v="12254/SPP/008/PUSAT/ICON+/2019 | 4500013660 | 14754/SPP/008/PUSAT/ICON+/2020 | 4500015359 | 17488/SPP/008/PUSAT/ICON+/2021 | 4500017404"/>
    <s v="1977/SPP/SBU/ICON+/2023"/>
    <n v="4500021919"/>
    <s v="Fajar Paramita"/>
    <s v="Erni Monalena / Helvi Susanti"/>
    <s v="858 9322 1320 (Erni)"/>
    <m/>
    <m/>
    <s v="C265"/>
    <s v="D382"/>
    <s v="F14"/>
    <m/>
    <s v="G389"/>
    <m/>
    <m/>
  </r>
  <r>
    <n v="836"/>
    <x v="280"/>
    <x v="226"/>
    <s v="Jl. HR. Rasuna Said Blok X5 No. 13_x000a_ Kuningan Timur Jakarta"/>
    <s v="-"/>
    <s v="PT KIS, Nex Datacenter Cyber2 Tower 2nd Floor, Jl. HR Rasuna Said X5 No.13, Cage (ND2-N2C1-05-01) rak pertama,  Setiabudi,  Jakarta Selatan,  DKI Jakarta,  Indonesia,  12950"/>
    <s v="Sewa Tahunan"/>
    <x v="1"/>
    <x v="60"/>
    <m/>
    <m/>
    <m/>
    <m/>
    <m/>
    <x v="44"/>
    <m/>
    <m/>
    <x v="5"/>
    <m/>
    <x v="439"/>
    <d v="2023-02-28T00:00:00"/>
    <x v="0"/>
    <m/>
    <d v="2024-09-06T00:00:00"/>
    <n v="-556"/>
    <x v="9"/>
    <x v="6"/>
    <s v="cm_icon-indomarco03 | baru | 10570/SPP/008/PUSAT/ICON+/2019 | 4500012620 | 15119/SPP/008/PUSAT/ICON+/2021 | 4500015717"/>
    <s v="17656/SPP/008/PUSAT/ICON+/2022"/>
    <n v="4500019966"/>
    <s v="Fajar Paramita"/>
    <s v="Erni Monalena / Helvi Susanti"/>
    <s v="858 9322 1320 (Erni)"/>
    <m/>
    <m/>
    <s v="C61"/>
    <s v="E218"/>
    <s v="E145"/>
    <s v="G49"/>
    <m/>
    <m/>
    <m/>
  </r>
  <r>
    <n v="837"/>
    <x v="280"/>
    <x v="576"/>
    <s v="Jl. HR. Rasuna Said Blok X5 No. 13_x000a_ Kuningan Timur Jakarta"/>
    <m/>
    <s v="DC CBN, Cyber 2 Tower, lantai 2 Jl HR Rasuna Said Blok X5 no 13 (Rack N2C1-05-02), Kuningan, Jakarta Selatan."/>
    <s v="Sewa Tahunan"/>
    <x v="1"/>
    <x v="50"/>
    <m/>
    <m/>
    <m/>
    <m/>
    <m/>
    <x v="4"/>
    <m/>
    <m/>
    <x v="31"/>
    <m/>
    <x v="601"/>
    <d v="2024-08-31T00:00:00"/>
    <x v="0"/>
    <m/>
    <d v="2024-09-06T00:00:00"/>
    <n v="-6"/>
    <x v="12"/>
    <x v="1"/>
    <s v="11468/SPP/008/PUSAT/ICON+/2019| 4500013155 | 13842/SPP/008/PUSAT/ICON+/2020 | 4500014745| 16300/SPP/008/PUSAT/ICON+/2021| 4500016490 | 18911/SPP/008/PUSAT/ICON+/2022 | 4500018221"/>
    <m/>
    <n v="4500020934"/>
    <s v="Fajar Paramita"/>
    <s v="Erni Monalena / Helvi Susanti"/>
    <s v="858 9322 1320 (Erni)"/>
    <m/>
    <m/>
    <s v="C167"/>
    <s v="D189"/>
    <s v="E188"/>
    <s v="F199"/>
    <s v="G194"/>
    <m/>
    <m/>
  </r>
  <r>
    <n v="838"/>
    <x v="280"/>
    <x v="576"/>
    <s v="Jl. HR. Rasuna Said Blok X5 No. 13_x000a_ Kuningan Timur Jakarta"/>
    <m/>
    <s v="DC CBN, Cyber 2 Tower, lantai 2 Jl HR Rasuna Said Blok X5 no 13 (Rack N2C1-05-02), Kuningan, Jakarta Selatan."/>
    <s v="Sewa Tahunan"/>
    <x v="1"/>
    <x v="50"/>
    <m/>
    <m/>
    <m/>
    <m/>
    <m/>
    <x v="36"/>
    <m/>
    <m/>
    <x v="31"/>
    <m/>
    <x v="613"/>
    <d v="2025-08-31T00:00:00"/>
    <x v="2"/>
    <m/>
    <d v="2024-09-06T00:00:00"/>
    <n v="359"/>
    <x v="12"/>
    <x v="3"/>
    <m/>
    <s v="3827/SPP/SBU/PLNICONPLUS/2024"/>
    <n v="4500023035"/>
    <s v="Livia Indraswati"/>
    <s v="Erni Monalena / Helvi Susanti"/>
    <s v="858 9322 1320 (Erni)"/>
    <m/>
    <m/>
    <m/>
    <m/>
    <m/>
    <m/>
    <m/>
    <s v="H207"/>
    <m/>
  </r>
  <r>
    <n v="839"/>
    <x v="280"/>
    <x v="577"/>
    <s v="Jl. HR. Rasuna Said Blok X5 No. 13_x000a_ Kuningan Timur Jakarta"/>
    <m/>
    <s v="Ged. Cyber Two/dua Data Center Lt. 2 (Suzuki Finance So No.ICON-00/ACT/1408/0226)"/>
    <s v="Sewa Tahunan"/>
    <x v="1"/>
    <x v="630"/>
    <m/>
    <m/>
    <m/>
    <m/>
    <m/>
    <x v="128"/>
    <m/>
    <m/>
    <x v="42"/>
    <m/>
    <x v="614"/>
    <d v="2021-10-16T00:00:00"/>
    <x v="0"/>
    <m/>
    <d v="2024-09-06T00:00:00"/>
    <n v="-1056"/>
    <x v="6"/>
    <x v="4"/>
    <s v="072904/SPR/008/PUSAT/ICON+/2016 |_x000a_ 060105/SPR/008/PUSAT/ICON+/2016 |_x000a_ 060104/SPR/008/PUSAT/ICON+/2016 | 07441/SPP/008/PUSAT/ICON+/2017 |Note : PO 4500010827 belum di print | 09172/SPP/008/PUSAT/ICON+/2018 | 4500011855"/>
    <s v="14305/SPP/008/PUSAT/ICON+/2020"/>
    <n v="4500015110"/>
    <s v="Fajar Paramita"/>
    <s v="Erni Monalena / Helvi Susanti"/>
    <s v="0856 9322 1320 (Erni)"/>
    <m/>
    <m/>
    <s v="D197"/>
    <s v="D355"/>
    <m/>
    <m/>
    <m/>
    <m/>
    <s v="1. Sewa Berlangganan Data Center di CBN Nusantara (Cyber 2) berupa 1 unit full rack 19 inci-45U Rp9.000.000,-/bulan atau total Rp108.000.000/tahun_x000a_  Fasilitas sewa rack terdiri dari 1 (satu) rak penuh 19 inci – 45 U, milik rekanan dengan fasilitas :_x000a_ a. 3 (tiga) buah koneksi UTP cat 5e atau 1 (satu) buah koneksi FO dan rak ICON+ menuju MMR;_x000a_ b. Toleransi grounding listrik 0,1 -0,5 ohm;_x000a_ c. Ruang ber AC dengan temperatur ruang 23° C - 25° C;_x000a_ d. Sistem pendingin presisi dan redundan;_x000a_ e. Perforated raised floor;_x000a_ f. Uninterruptible Power Supply (UPS) redundant;_x000a_ g. Sistem monitoring 24 jam;_x000a_ h. Sensor panas dan asap yang dilengkapi dengan system pemadam kebakaran pyrogen._x000a_ 2.Biaya Instalasi _x000a_ a.Instalasi Kabel FO Rp2.000.000/intalasi (dari handhole Ged. Cyber 2 menuju Rg MMR di Lt.2) (harga Instalasi Backbone FO) update th 2015 Rp.5.500.000,-_x000a_ b.Instalasi Rp1.300.000/Core FO/aktivasi (Rg MMR di Lt.2 menuju tenant) (harga aktivasi bacbone core FO) update th 2015 Rp2.500.000,-_x000a_ c. Instalasi Rp750.000/link fO/Instalasi (antar tenant) (harga Instalasi MMR-DC) update th 2015 Rp2.000.000,- s/d Rp3.500.000,-_x000a_ d. Instalasi Rp500.000/kabel UTP/Instalasi (Ruang MMR di Lt.2 menuju rak ICON+ di Rg dt Center CBN) (Harga Instalasi MMR-DC) update th 2015 Rp1.500.000,-_x000a_ e. Instalasi Rp1000.000/Link UTP/Instalasi (Instalasi kabel dari ruang MMR di Lt.2 Menuju tenant) (Harga Instalasi MMR-Tenant) update th 2015 Rp1.750.000,-_x000a_ f. Instalasi Rp1000.000/Kabel UTP/Instalasi (Instalasi kabel dari ruang MMR di Lt.2 Menuju pelanggan rack) (Harga Instalasi MMR-Tenant) update tahun 2015 Rp2.000.000/kabel/UTP/Instalasi_x000a_ g. Instalasi UTP antar 2 pelanggan di Gedung Cyber update tahun 2015 Rp2.000.000/kabel/UTP/Instalasi_x000a_ 3. Sewa Infrastruktur :_x000a_ a. Sewa Kabel FO Rp3.000.000/Link FO/Tahun (dari Rg MMR di Lt. 2 menuju rak ICON+ di Rg Data Center CBN) (Sw Interkoneksi FO MMR-DC) update th 2015 Rp4.000.000,-/tahun_x000a_ b. Sewa Kabel UTP Rp1.500.000/Kabel UTP/tahun (dr Rg MMR di Lt.2 menuju rak ICON+ di Gedung Cyber 2) (Sw Interkoneksi UTP MMR-DC) update harga tahun 2015 Rp2.000.000/kabel UTP/tahun_x000a_ c. Sewa Rp5.000.000/link fo/tahun (Kabel dari Rg MMR di Lt.2 menuju pelanggan ICON+ di Gedung Cyber 2) (Sw Interkoneksi FO MMR-Tenant) update th 2015 Rp6.000.000,-/tahun_x000a_ d. Sewa Rp2.500.000/kabel UTP/Tahun (Kabel UTP dari Rg MMR di Lt.2 menuju Pelanggan ICON+ di gedung Cyber 2) (Sw Interkoneksi UTP MMR-Tenant) update th 2015 Rp4.000.000,-/tahun_x000a_ e. Sewa UTP dari MMR to Data Center Room update th 2015 Rp3.000.000,-/Tahun_x000a_ f. Sewa UTP antara 2 tenant di ged. Cyber 2 update th 2015 Rp4.500.000,-/Tahun_x000a_ g. Sewa FO antara 2 tenant di ged. Cyber 2 update th 2015 Rp7.000.000,-/Tahun"/>
  </r>
  <r>
    <n v="840"/>
    <x v="280"/>
    <x v="56"/>
    <s v="Jl. HR. Rasuna Said Blok X5 No. 13_x000a_ Kuningan Timur Jakarta"/>
    <m/>
    <s v="Ged. Cyber Two/dua Data Center Lt. 2 (UTP dari ke ICON+ ke RaCk Indomarco) (PT Indomarco Prismatama So No. ICON-00/ACT/1502/0384)"/>
    <s v="Sewa Tahunan"/>
    <x v="1"/>
    <x v="60"/>
    <m/>
    <m/>
    <m/>
    <m/>
    <m/>
    <x v="63"/>
    <m/>
    <m/>
    <x v="42"/>
    <m/>
    <x v="615"/>
    <d v="2023-04-27T00:00:00"/>
    <x v="0"/>
    <m/>
    <d v="2024-09-06T00:00:00"/>
    <n v="-498"/>
    <x v="10"/>
    <x v="6"/>
    <s v="03303/SPR/008/PUSAT/ICON+/2016| 06600/SPP/008/PUSAT/ICON+/2017| 4500010295 | 08963/SPP/008/PUSAT/ICON+/2018 | 4500011371 | 10289/SPP/008/PUSAT/ICON+/2019 | 4500012495 | 12658/SPP/008/PUSAT/ICON+/2020 | 4500013996"/>
    <s v="15790/SPP/008/PUSAT/ICON+/2021"/>
    <n v="4500016837"/>
    <s v="Fajar Paramita"/>
    <s v="Erni Monalena / Helvi Susanti"/>
    <s v="0856 9322 1320 (Erni)"/>
    <m/>
    <s v="B186"/>
    <s v="C45"/>
    <s v="D64"/>
    <s v="E302"/>
    <m/>
    <m/>
    <m/>
    <s v="1. Sewa Berlangganan Data Center di CBN Nusantara (Cyber 2) berupa 1 unit full rack 19 inci-45U Rp9.000.000,-/bulan atau total Rp108.000.000/tahun_x000a_  Fasilitas sewa rack terdiri dari 1 (satu) rak penuh 19 inci – 45 U, milik rekanan dengan fasilitas :_x000a_ a. 3 (tiga) buah koneksi UTP cat 5e atau 1 (satu) buah koneksi FO dan rak ICON+ menuju MMR;_x000a_ b. Toleransi grounding listrik 0,1 -0,5 ohm;_x000a_ c. Ruang ber AC dengan temperatur ruang 23° C - 25° C;_x000a_ d. Sistem pendingin presisi dan redundan;_x000a_ e. Perforated raised floor;_x000a_ f. Uninterruptible Power Supply (UPS) redundant;_x000a_ g. Sistem monitoring 24 jam;_x000a_ h. Sensor panas dan asap yang dilengkapi dengan system pemadam kebakaran pyrogen._x000a_ 2.Biaya Instalasi _x000a_ a.Instalasi Kabel FO Rp2.000.000/intalasi (dari handhole Ged. Cyber 2 menuju Rg MMR di Lt.2) (harga Instalasi Backbone FO) update th 2015 Rp.5.500.000,-_x000a_ b.Instalasi Rp1.300.000/Core FO/aktivasi (Rg MMR di Lt.2 menuju tenant) (harga aktivasi bacbone core FO) update th 2015 Rp2.500.000,-_x000a_ c. Instalasi Rp750.000/link fO/Instalasi (antar tenant) (harga Instalasi MMR-DC) update th 2015 Rp2.000.000,- s/d Rp3.500.000,-_x000a_ d. Instalasi Rp500.000/kabel UTP/Instalasi (Ruang MMR di Lt.2 menuju rak ICON+ di Rg dt Center CBN) (Harga Instalasi MMR-DC) update th 2015 Rp1.500.000,-_x000a_ e. Instalasi Rp1000.000/Link UTP/Instalasi (Instalasi kabel dari ruang MMR di Lt.2 Menuju tenant) (Harga Instalasi MMR-Tenant) update th 2015 Rp1.750.000,-_x000a_ f. Instalasi Rp1000.000/Kabel UTP/Instalasi (Instalasi kabel dari ruang MMR di Lt.2 Menuju pelanggan rack) (Harga Instalasi MMR-Tenant) update tahun 2015 Rp2.000.000/kabel/UTP/Instalasi_x000a_ g. Instalasi UTP antar 2 pelanggan di Gedung Cyber update tahun 2015 Rp2.000.000/kabel/UTP/Instalasi_x000a_ 3. Sewa Infrastruktur :_x000a_ a. Sewa Kabel FO Rp3.000.000/Link FO/Tahun (dari Rg MMR di Lt. 2 menuju rak ICON+ di Rg Data Center CBN) (Sw Interkoneksi FO MMR-DC) update th 2015 Rp4.000.000,-/tahun_x000a_ b. Sewa Kabel UTP Rp1.500.000/Kabel UTP/tahun (dr Rg MMR di Lt.2 menuju rak ICON+ di Gedung Cyber 2) (Sw Interkoneksi UTP MMR-DC) update harga tahun 2015 Rp2.000.000/kabel UTP/tahun_x000a_ c. Sewa Rp5.000.000/link fo/tahun (Kabel dari Rg MMR di Lt.2 menuju pelanggan ICON+ di Gedung Cyber 2) (Sw Interkoneksi FO MMR-Tenant) update th 2015 Rp6.000.000,-/tahun_x000a_ d. Sewa Rp2.500.000/kabel UTP/Tahun (Kabel UTP dari Rg MMR di Lt.2 menuju Pelanggan ICON+ di gedung Cyber 2) (Sw Interkoneksi UTP MMR-Tenant) update th 2015 Rp4.000.000,-/tahun_x000a_ e. Sewa UTP dari MMR to Data Center Room update th 2015 Rp3.000.000,-/Tahun_x000a_ f. Sewa UTP antara 2 tenant di ged. Cyber 2 update th 2015 Rp4.500.000,-/Tahun_x000a_ g. Sewa FO antara 2 tenant di ged. Cyber 2 update th 2015 Rp7.000.000,-/Tahun"/>
  </r>
  <r>
    <n v="841"/>
    <x v="280"/>
    <x v="168"/>
    <s v="Jl. HR. Rasuna Said Blok X5 No. 13_x000a_ Kuningan Timur Jakarta"/>
    <m/>
    <s v="Ged. Cyber Two/dua Data Center Lt. 2 Ruang Meet Me Room - 2 kabel (fo dari Rack CBN (CRF1-05) ke MMR dan dari rack ICON+ (NF1-01-06) ke MMR (PT Cyberindo Aditama So No. ICON-00/ACT/1610/0722)"/>
    <s v="Sewa Tahunan"/>
    <x v="1"/>
    <x v="536"/>
    <m/>
    <m/>
    <m/>
    <m/>
    <m/>
    <x v="109"/>
    <m/>
    <m/>
    <x v="31"/>
    <m/>
    <x v="616"/>
    <d v="2023-11-09T00:00:00"/>
    <x v="0"/>
    <m/>
    <d v="2024-09-06T00:00:00"/>
    <n v="-302"/>
    <x v="2"/>
    <x v="6"/>
    <s v="username : cm_icon_cbn01 |2711116/SPR/ICON+/2016 |_x000a_ 5551116/SPR/ICON+/2016 |_x000a_ Letter of Acknowledgment No. 0121/CN/DIOICP/CH/BA/XI/2016 | 07966/SPP/008/PUSAT/ICON+/2018 | 4500011166| 09443/SPP/008/PUSAT/ICON+/2018 | 4500012008 | 11799/SPP/008/PUSAT/ICON+/2019 | 4500013406| 11799/SPP/008/PUSAT/ICON+/2019 | 14461/SPP/008/PUSAT/ICON+/2020| 4500015269"/>
    <s v="17043/SPP/008/PUSAT/ICON+/2021"/>
    <n v="4500018400"/>
    <s v="Fajar Paramita"/>
    <s v="Erni Monalena / Helvi Susanti"/>
    <s v="0856 9322 1320 (Erni)"/>
    <s v="B10"/>
    <s v="B294"/>
    <s v="C222"/>
    <s v="D309"/>
    <s v="F240"/>
    <m/>
    <m/>
    <m/>
    <s v="1. Sewa Berlangganan Data Center di CBN Nusantara (Cyber 2) berupa 1 unit full rack 19 inci-45U Rp9.000.000,-/bulan atau total Rp108.000.000/tahun_x000a_  Fasilitas sewa rack terdiri dari 1 (satu) rak penuh 19 inci – 45 U, milik rekanan dengan fasilitas :_x000a_ a. 3 (tiga) buah koneksi UTP cat 5e atau 1 (satu) buah koneksi FO dan rak ICON+ menuju MMR;_x000a_ b. Toleransi grounding listrik 0,1 -0,5 ohm;_x000a_ c. Ruang ber AC dengan temperatur ruang 23° C - 25° C;_x000a_ d. Sistem pendingin presisi dan redundan;_x000a_ e. Perforated raised floor;_x000a_ f. Uninterruptible Power Supply (UPS) redundant;_x000a_ g. Sistem monitoring 24 jam;_x000a_ h. Sensor panas dan asap yang dilengkapi dengan system pemadam kebakaran pyrogen._x000a_ 2.Biaya Instalasi _x000a_ a.Instalasi Kabel FO Rp2.000.000/intalasi (dari handhole Ged. Cyber 2 menuju Rg MMR di Lt.2) (harga Instalasi Backbone FO) update th 2015 Rp.5.500.000,-_x000a_ b.Instalasi Rp1.300.000/Core FO/aktivasi (Rg MMR di Lt.2 menuju tenant) (harga aktivasi bacbone core FO) update th 2015 Rp2.500.000,-_x000a_ c. Instalasi Rp750.000/link fO/Instalasi (antar tenant) (harga Instalasi MMR-DC) update th 2015 Rp2.000.000,- s/d Rp3.500.000,-_x000a_ d. Instalasi Rp500.000/kabel UTP/Instalasi (Ruang MMR di Lt.2 menuju rak ICON+ di Rg dt Center CBN) (Harga Instalasi MMR-DC) update th 2015 Rp1.500.000,-_x000a_ e. Instalasi Rp1000.000/Link UTP/Instalasi (Instalasi kabel dari ruang MMR di Lt.2 Menuju tenant) (Harga Instalasi MMR-Tenant) update th 2015 Rp1.750.000,-_x000a_ f. Instalasi Rp1000.000/Kabel UTP/Instalasi (Instalasi kabel dari ruang MMR di Lt.2 Menuju pelanggan rack) (Harga Instalasi MMR-Tenant) update tahun 2015 Rp2.000.000/kabel/UTP/Instalasi_x000a_ g. Instalasi UTP antar 2 pelanggan di Gedung Cyber update tahun 2015 Rp2.000.000/kabel/UTP/Instalasi_x000a_ 3. Sewa Infrastruktur :_x000a_ a. Sewa Kabel FO Rp3.000.000/Link FO/Tahun (dari Rg MMR di Lt. 2 menuju rak ICON+ di Rg Data Center CBN) (Sw Interkoneksi FO MMR-DC) update th 2015 Rp4.000.000,-/tahun_x000a_ b. Sewa Kabel UTP Rp1.500.000/Kabel UTP/tahun (dr Rg MMR di Lt.2 menuju rak ICON+ di Gedung Cyber 2) (Sw Interkoneksi UTP MMR-DC) update harga tahun 2015 Rp2.000.000/kabel UTP/tahun_x000a_ c. Sewa Rp5.000.000/link fo/tahun (Kabel dari Rg MMR di Lt.2 menuju pelanggan ICON+ di Gedung Cyber 2) (Sw Interkoneksi FO MMR-Tenant) update th 2015 Rp6.000.000,-/tahun_x000a_ d. Sewa Rp2.500.000/kabel UTP/Tahun (Kabel UTP dari Rg MMR di Lt.2 menuju Pelanggan ICON+ di gedung Cyber 2) (Sw Interkoneksi UTP MMR-Tenant) update th 2015 Rp4.000.000,-/tahun_x000a_ e. Sewa UTP dari MMR to Data Center Room update th 2015 Rp3.000.000,-/Tahun_x000a_ f. Sewa UTP antara 2 tenant di ged. Cyber 2 update th 2015 Rp4.500.000,-/Tahun_x000a_ g. Sewa FO antara 2 tenant di ged. Cyber 2 update th 2015 Rp7.000.000,-/Tahun"/>
  </r>
  <r>
    <n v="842"/>
    <x v="280"/>
    <x v="578"/>
    <s v="Jl. HR. Rasuna Said Blok X5 No. 13_x000a_ Kuningan Timur Jakarta"/>
    <m/>
    <s v="Ged. Cyber Two/dua Lt. 2 -"/>
    <s v="Sewa Tahunan"/>
    <x v="1"/>
    <x v="631"/>
    <m/>
    <m/>
    <m/>
    <m/>
    <m/>
    <x v="312"/>
    <m/>
    <m/>
    <x v="71"/>
    <m/>
    <x v="587"/>
    <d v="2024-12-31T00:00:00"/>
    <x v="2"/>
    <m/>
    <d v="2024-09-06T00:00:00"/>
    <n v="116"/>
    <x v="5"/>
    <x v="1"/>
    <s v="4500010017_x000a_ 100538/MI/008/PUSAT/ICON+/2016 | 07935/SPP/008/PUSAT/ICON+/2018 | 4500011141 | 09791/SPP/008/PUSAT/ICON+/2018 | 4500012276 | 12224/SPP/008/PUSAT/ICON+/2019 | 4500013664 | 14749/SPP/008/PUSAT/ICON+/2020| 4500015428 | 17136/SPP/008/PUSAT/ICON+/2021 | 4500017131 | 21020/SPP/008/PUSAT/ICON+/2023 | 4500019902"/>
    <s v="2589/SPP/SBU/ICON+/2024"/>
    <s v="4500022248"/>
    <s v="Fajar Paramita"/>
    <s v="Erni Monalena / Helvi Susanti"/>
    <s v="0856 9322 1320 (Erni)"/>
    <n v="130"/>
    <s v="B5"/>
    <s v="B282"/>
    <s v="C297"/>
    <s v="E143"/>
    <s v="F17"/>
    <s v="G31"/>
    <s v="H72"/>
    <s v="Biaya Sewa Berlangganan sebesat Rp.108.000.000,-"/>
  </r>
  <r>
    <n v="843"/>
    <x v="280"/>
    <x v="523"/>
    <s v="Jl. HR. Rasuna Said Blok X5 No. 13_x000a_ Kuningan Timur Jakarta"/>
    <m/>
    <s v="Ged. Cyber Two/dua Lt. 2 (PT Indosat link PT Danone)"/>
    <s v="Sewa Tahunan"/>
    <x v="1"/>
    <x v="632"/>
    <m/>
    <m/>
    <m/>
    <m/>
    <m/>
    <x v="313"/>
    <m/>
    <m/>
    <x v="51"/>
    <m/>
    <x v="617"/>
    <d v="2020-05-25T00:00:00"/>
    <x v="1"/>
    <m/>
    <d v="2024-09-06T00:00:00"/>
    <n v="-1565"/>
    <x v="4"/>
    <x v="5"/>
    <s v="052308/SPR/008/PUSAT/ICON+/2016 |07072/SPP/008/PUSAT/ICON+/2017 | 4500010563 | 08503/SPP/008/PUSAT/ICON+/2018 | 4500011726"/>
    <s v="10632/SPP/008/PUSAT/ICON+/2019"/>
    <n v="4500012896"/>
    <s v="Fajar Paramita"/>
    <s v="Erni Monalena / Helvi Susanti"/>
    <s v="0856 9322 1320 (Erni)"/>
    <n v="47"/>
    <s v="B171"/>
    <s v="C120"/>
    <m/>
    <m/>
    <m/>
    <m/>
    <m/>
    <s v="1. Sewa Berlangganan Data Center di CBN Nusantara (Cyber 2) berupa 1 unit full rack 19 inci-45U Rp9.000.000,-/bulan atau total Rp108.000.000/tahun_x000a_  Fasilitas sewa rack terdiri dari 1 (satu) rak penuh 19 inci – 45 U, milik rekanan dengan fasilitas :_x000a_ a. 3 (tiga) buah koneksi UTP cat 5e atau 1 (satu) buah koneksi FO dan rak ICON+ menuju MMR;_x000a_ b. Toleransi grounding listrik 0,1 -0,5 ohm;_x000a_ c. Ruang ber AC dengan temperatur ruang 23° C - 25° C;_x000a_ d. Sistem pendingin presisi dan redundan;_x000a_ e. Perforated raised floor;_x000a_ f. Uninterruptible Power Supply (UPS) redundant;_x000a_ g. Sistem monitoring 24 jam;_x000a_ h. Sensor panas dan asap yang dilengkapi dengan system pemadam kebakaran pyrogen._x000a_ 2.Biaya Instalasi _x000a_ a.Instalasi Kabel FO Rp2.000.000/intalasi (dari handhole Ged. Cyber 2 menuju Rg MMR di Lt.2) (harga Instalasi Backbone FO) update th 2015 Rp.5.500.000,-_x000a_ b.Instalasi Rp1.300.000/Core FO/aktivasi (Rg MMR di Lt.2 menuju tenant) (harga aktivasi bacbone core FO) update th 2015 Rp2.500.000,-_x000a_ c. Instalasi Rp750.000/link fO/Instalasi (antar tenant) (harga Instalasi MMR-DC) update th 2015 Rp3.500.000,-_x000a_ d. Instalasi Rp500.000/kabel UTP/Instalasi (Ruang MMR di Lt.2 menuju rak ICON+ di Rg dt Center CBN) (Harga Instalasi MMR-DC) update th 2015 Rp1.500.000,-_x000a_ e. Instalasi Rp1000.000/Link UTP/Instalasi (Instalasi kabel dari ruang MMR di Lt.2 Menuju tenant) (Harga Instalasi MMR-Tenant) update th 2015 Rp1.750.000,-_x000a_ f. Instalasi Rp1000.000/Kabel UTP/Instalasi (Instalasi kabel dari ruang MMR di Lt.2 Menuju pelanggan rack) (Harga Instalasi MMR-Tenant) update tahun 2015 Rp2.000.000/kabel/UTP/Instalasi_x000a_ g. Instalasi UTP antar 2 pelanggan di Gedung Cyber update tahun 2015 Rp2.000.000/kabel/UTP/Instalasi_x000a_ 3. Sewa Infrastruktur :_x000a_ a. Sewa Kabel FO Rp3.000.000/Link FO/Tahun (dari Rg MMR di Lt. 2 menuju rak ICON+ di Rg Data Center CBN) (Sw Interkoneksi FO MMR-DC) update th 2015 Rp4.000.000,-/tahun_x000a_ b. Sewa Kabel UTP Rp1.500.000/Kabel UTP/tahun (dr Rg MMR di Lt.2 menuju rak ICON+ di Gedung Cyber 2) (Sw Interkoneksi UTP MMR-DC) update harga tahun 2014 Rp2.000.000/kabel UTP/tahun_x000a_ c. Sewa Rp5.000.000/link fo/tahun (Kabel dari Rg MMR di Lt.2 menuju pelanggan ICON+ di Gedung Cyber 2) (Sw Interkoneksi FO MMR-Tenant) update th 2015 Rp6.000.000,-/tahun_x000a_ d. Sewa Rp2.500.000/kabel UTP/Tahun (Kabel UTP dari Rg MMR di Lt.2 menuju Pelanggan ICON+ di gedung Cyber 2) (Sw Interkoneksi UTP MMR-Tenant) update th 2015 Rp4.000.000,-/tahun_x000a_ e. Sewa UTP dari MMR to Data Center Room update th 2015 Rp3.000.000,-/Tahun_x000a_ f. Sewa UTP antara 2 tenant di ged. Cyber 2 update th 2015 Rp4.500.000,-/Tahun_x000a_ g. Sewa FO antara 2 tenant di ged. Cyber 2 update th 2015 Rp7.000.000,-/Tahun"/>
  </r>
  <r>
    <n v="844"/>
    <x v="280"/>
    <x v="579"/>
    <s v="Jl. HR. Rasuna Said Blok X5 No. 13_x000a_ Kuningan Timur Jakarta"/>
    <m/>
    <s v="Gedung Cyber 2 2nd floor_x000a_ Jl. HR Rasuna said Blok X5 No. 13_x000a_ Kuningan Timur, Jakarta 12950"/>
    <s v="Sewa Tahunan"/>
    <x v="1"/>
    <x v="633"/>
    <m/>
    <m/>
    <m/>
    <m/>
    <m/>
    <x v="314"/>
    <m/>
    <m/>
    <x v="31"/>
    <m/>
    <x v="618"/>
    <d v="2020-04-26T00:00:00"/>
    <x v="1"/>
    <m/>
    <d v="2024-09-06T00:00:00"/>
    <n v="-1594"/>
    <x v="10"/>
    <x v="5"/>
    <s v="4500010436 | 08429/SPP/008/PUSAT/ICON+/2018 | 4500011416"/>
    <s v="10310/SPP/008/PUSAT/ICON+/2019"/>
    <n v="4500012505"/>
    <s v="Fajar Paramita"/>
    <s v="Erni Monalena / Helvi Susanti"/>
    <s v="0856 9322 1320 (Erni)"/>
    <n v="138"/>
    <s v="B131"/>
    <s v="C47"/>
    <m/>
    <m/>
    <m/>
    <m/>
    <m/>
    <s v="1.Biaya Sewa tahunan Rp.8.000.000"/>
  </r>
  <r>
    <n v="845"/>
    <x v="280"/>
    <x v="580"/>
    <s v="Jl. HR. Rasuna Said Blok X5 No. 13_x000a_ Kuningan Timur Jakarta"/>
    <m/>
    <s v="Gedung Cyber 2 CBN"/>
    <s v="Sewa Tahunan"/>
    <x v="1"/>
    <x v="634"/>
    <m/>
    <m/>
    <m/>
    <m/>
    <m/>
    <x v="315"/>
    <m/>
    <m/>
    <x v="5"/>
    <m/>
    <x v="449"/>
    <d v="2023-03-31T00:00:00"/>
    <x v="0"/>
    <m/>
    <d v="2024-09-06T00:00:00"/>
    <n v="-525"/>
    <x v="8"/>
    <x v="6"/>
    <s v="08412/SPP/008/PUSAT/ICON+/2018 | 4500011354 | 10206/SPP/008/PUSAT/ICON+/2019 | 4500012451 | 15419/SPP/008/PUSAT/ICON+/2021 | 4500015888| 4500020008"/>
    <s v="18350/SPP/008/PUSAT/ICON+/2022"/>
    <m/>
    <s v="Fajar Paramita"/>
    <s v="Erni Monalena / Helvi Susanti"/>
    <s v="0856 9322 1320 (Erni)"/>
    <m/>
    <s v="B55"/>
    <s v="C29"/>
    <m/>
    <s v="E154"/>
    <s v="G180"/>
    <m/>
    <m/>
    <s v="1.Biaya Sewa Tahunan(2 link) sebesar 8.000.000/tahun 2.Biaya Instalasi Kabel Gedung sebesar 3.000.000"/>
  </r>
  <r>
    <n v="846"/>
    <x v="280"/>
    <x v="56"/>
    <s v="Jl. HR. Rasuna Said Blok X5 No. 13_x000a_ Kuningan Timur Jakarta"/>
    <m/>
    <s v="Gedung Cyber 2 CBN"/>
    <s v="Sewa Tahunan"/>
    <x v="1"/>
    <x v="635"/>
    <m/>
    <m/>
    <m/>
    <m/>
    <m/>
    <x v="11"/>
    <m/>
    <m/>
    <x v="5"/>
    <m/>
    <x v="619"/>
    <d v="2022-11-04T00:00:00"/>
    <x v="0"/>
    <m/>
    <d v="2024-09-06T00:00:00"/>
    <n v="-672"/>
    <x v="2"/>
    <x v="2"/>
    <s v="11918/SPP/008/PUSAT/ICON+/2019 | 4500013477 | 14699 | 4500015358"/>
    <n v="17170"/>
    <m/>
    <s v="Fajar Paramita"/>
    <s v="Erni Monalena / Helvi Susanti"/>
    <m/>
    <m/>
    <m/>
    <s v="C232"/>
    <s v="D394"/>
    <m/>
    <m/>
    <m/>
    <m/>
    <s v="1.Biaya Sewa Tahunan(2 link) sebesar 8.000.000/tahun 2.Biaya Instalasi Kabel Gedung sebesar 9.000.000"/>
  </r>
  <r>
    <n v="847"/>
    <x v="280"/>
    <x v="581"/>
    <s v="Jl. HR. Rasuna Said Blok X5 No. 13_x000a_ Kuningan Timur Jakarta"/>
    <m/>
    <s v="Gedung Cyber 2 Lantai.23 Jl. Hr Rasuna Said Blok X-5 Kav.1-2 Kuningan Timur, Kec. Setiabudi, Jakarta Selatan, DKI Jakarta, Indonesia, 70244"/>
    <s v="Sewa Tahunan"/>
    <x v="1"/>
    <x v="451"/>
    <m/>
    <m/>
    <m/>
    <m/>
    <m/>
    <x v="11"/>
    <m/>
    <m/>
    <x v="31"/>
    <m/>
    <x v="620"/>
    <d v="2024-02-15T00:00:00"/>
    <x v="2"/>
    <m/>
    <d v="2024-09-06T00:00:00"/>
    <n v="-204"/>
    <x v="9"/>
    <x v="1"/>
    <s v="4500017588 | 17855"/>
    <n v="21353"/>
    <m/>
    <s v="Fajar Paramita"/>
    <s v="Erni Monalena / Helvi Susanti"/>
    <s v="0856 9322 1320 (Erni)"/>
    <m/>
    <m/>
    <m/>
    <m/>
    <m/>
    <s v="F89"/>
    <m/>
    <m/>
    <s v="Installation Cost Rp.4.000.000 | Material Support Cost 4.000.000"/>
  </r>
  <r>
    <n v="848"/>
    <x v="280"/>
    <x v="582"/>
    <s v="Jl. HR. Rasuna Said Blok X5 No. 13_x000a_ Kuningan Timur Jakarta"/>
    <m/>
    <s v="Gedung Cyber 2, Lt. 2 Jl. H. R. Rasuna Said No.13, Kuningan, Jakarta, Kuningan, Jakarta Selatan,"/>
    <s v="Sewa Tahunan"/>
    <x v="1"/>
    <x v="248"/>
    <m/>
    <m/>
    <m/>
    <m/>
    <m/>
    <x v="4"/>
    <m/>
    <m/>
    <x v="5"/>
    <m/>
    <x v="304"/>
    <d v="2022-11-10T00:00:00"/>
    <x v="0"/>
    <m/>
    <d v="2024-09-06T00:00:00"/>
    <n v="-666"/>
    <x v="2"/>
    <x v="2"/>
    <s v="11957/SPP/008/PUSAT/ICON+/2019 | 4500013513 | 14459 | 4500015335"/>
    <n v="17040"/>
    <n v="4500019565"/>
    <s v="Fajar Paramita"/>
    <s v="Erni Monalena / Helvi Susanti"/>
    <s v="0856 9322 1320 (Erni)"/>
    <m/>
    <s v="C236"/>
    <m/>
    <s v="D392"/>
    <m/>
    <m/>
    <m/>
    <m/>
    <m/>
  </r>
  <r>
    <n v="849"/>
    <x v="280"/>
    <x v="5"/>
    <s v="Jl. HR. Rasuna Said Blok X5 No. 13_x000a_ Kuningan Timur Jakarta"/>
    <m/>
    <s v="Gedung Cyber 2, Lt. 2 Jl. H. R. Rasuna Said No.13, Kuningan, Jakarta, Kuningan, Jakarta Selatan, DKI Jakarta"/>
    <s v="Sewa Tahunan"/>
    <x v="1"/>
    <x v="636"/>
    <m/>
    <m/>
    <m/>
    <m/>
    <m/>
    <x v="112"/>
    <m/>
    <m/>
    <x v="5"/>
    <m/>
    <x v="541"/>
    <d v="2023-09-01T00:00:00"/>
    <x v="0"/>
    <m/>
    <d v="2024-09-06T00:00:00"/>
    <n v="-371"/>
    <x v="7"/>
    <x v="6"/>
    <s v="11548/SPP/008/PUSAT/ICON+/2019| 4500013227 | 4500015119 | 14315/SPP/008/PUSAT/ICON+/2020| 16287/SPP/008/PUSAT/ICON+/2021| 4500016957"/>
    <s v="19750/SPP/008/PUSAT/ICON+/2022"/>
    <n v="4500018972"/>
    <s v="Fajar Paramita"/>
    <s v="Erni Monalena / Helvi Susanti"/>
    <s v="858 9322 1320 (Erni)"/>
    <m/>
    <m/>
    <s v="C181"/>
    <s v="D356"/>
    <s v="E345"/>
    <s v="F337"/>
    <m/>
    <m/>
    <s v="Activation Fee sebesar 2.000.000 3.Material Support Fee sebesar 1.000.000"/>
  </r>
  <r>
    <n v="850"/>
    <x v="280"/>
    <x v="583"/>
    <s v="Jl. HR. Rasuna Said Blok X5 No. 13_x000a_ Kuningan Timur Jakarta"/>
    <m/>
    <s v="Gedung Cyber lantai 2 Jalan Kuningan Barat Raya Nomor 8, RT/RW 001/003, Kuningan Barat, Kecamata  Mampang Prapatan"/>
    <s v="Sewa Tahunan"/>
    <x v="1"/>
    <x v="637"/>
    <m/>
    <m/>
    <m/>
    <m/>
    <m/>
    <x v="283"/>
    <m/>
    <m/>
    <x v="31"/>
    <m/>
    <x v="621"/>
    <d v="2024-07-14T00:00:00"/>
    <x v="2"/>
    <m/>
    <d v="2024-09-06T00:00:00"/>
    <n v="-54"/>
    <x v="1"/>
    <x v="1"/>
    <s v="19156 | 4500018379"/>
    <n v="1339"/>
    <m/>
    <s v="Fajar Paramita"/>
    <s v="Erni Monalena / Helvi Susanti"/>
    <s v="0856 9322 1320 (Erni)"/>
    <m/>
    <m/>
    <m/>
    <m/>
    <m/>
    <s v="F193"/>
    <m/>
    <m/>
    <s v="1.Instalasi Cost CAT6 - UTP CAT 6 FROM MMR TO RACK - cm_icon-netone Rp.4.000.000 | 2.Material Support Cost CAT6 - UTP CAT 6 FROM MMR TO RACK - cm_icon-netone Rp.4.000.000"/>
  </r>
  <r>
    <n v="851"/>
    <x v="280"/>
    <x v="583"/>
    <s v="Jl. HR. Rasuna Said Blok X5 No. 13_x000a_ Kuningan Timur Jakarta"/>
    <m/>
    <s v="Gedung Cyber lantai 2 Jalan Kuningan Barat Raya Nomor 8, RT/RW 001/003, Kuningan Barat, Kecamata  Mampang Prapatan"/>
    <s v="Sewa Tahunan"/>
    <x v="1"/>
    <x v="637"/>
    <m/>
    <m/>
    <m/>
    <m/>
    <m/>
    <x v="316"/>
    <m/>
    <m/>
    <x v="307"/>
    <m/>
    <x v="622"/>
    <d v="2025-05-11T00:00:00"/>
    <x v="2"/>
    <m/>
    <d v="2024-09-06T00:00:00"/>
    <n v="247"/>
    <x v="4"/>
    <x v="3"/>
    <s v="baru"/>
    <s v="3367/SPP/SBU/PLNICONPLUS/2024"/>
    <n v="4500022779"/>
    <s v="Fajar Paramita"/>
    <s v="Erni Monalena / Helvi Susanti"/>
    <s v="0856 9322 1320 (Erni)"/>
    <m/>
    <m/>
    <m/>
    <m/>
    <m/>
    <m/>
    <s v="G101"/>
    <s v="H220"/>
    <s v="1.Biaya Instalasi Rp.2.000.000 | 2.Material Support Cost Rp.2.000.000"/>
  </r>
  <r>
    <n v="852"/>
    <x v="280"/>
    <x v="584"/>
    <s v="Jl. HR. Rasuna Said Blok X5 No. 13_x000a_ Kuningan Timur Jakarta"/>
    <m/>
    <s v="Jl HR. Rasuna Said Blok X-5 No.13, Setiabudi, RT.7/RW.2, Kota Jakarta Selatan, DKI Jakarta, Kec.Setiabudi, Jakarta Selatan, DKI Jakarta, 12920"/>
    <s v="Sewa Tahunan"/>
    <x v="1"/>
    <x v="638"/>
    <m/>
    <m/>
    <m/>
    <m/>
    <m/>
    <x v="255"/>
    <m/>
    <m/>
    <x v="31"/>
    <m/>
    <x v="623"/>
    <d v="2020-02-29T00:00:00"/>
    <x v="1"/>
    <m/>
    <d v="2024-09-06T00:00:00"/>
    <n v="-1651"/>
    <x v="9"/>
    <x v="5"/>
    <s v="cm_icon-hcid05 | baru"/>
    <s v="10272/SPP/008/PUSAT/ICON+/2019"/>
    <n v="4500012496"/>
    <s v="Fajar Paramita"/>
    <s v="Erni Monalena / Helvi Susanti"/>
    <s v="857 9322 1320 (Erni)"/>
    <m/>
    <m/>
    <s v="C38"/>
    <m/>
    <m/>
    <m/>
    <m/>
    <m/>
    <m/>
  </r>
  <r>
    <n v="853"/>
    <x v="280"/>
    <x v="585"/>
    <s v="Jl. HR. Rasuna Said Blok X5 No. 13_x000a_ Kuningan Timur Jakarta"/>
    <m/>
    <s v="Nex Data Center, Cyber 2 Tower 2nd Floor Jl. HR Rasuna Said Blok X-5 No. 13 Jakarta 12950"/>
    <s v="Sewa Tahunan"/>
    <x v="1"/>
    <x v="180"/>
    <m/>
    <m/>
    <m/>
    <m/>
    <m/>
    <x v="118"/>
    <m/>
    <m/>
    <x v="31"/>
    <m/>
    <x v="541"/>
    <d v="2023-08-01T00:00:00"/>
    <x v="0"/>
    <m/>
    <d v="2024-09-06T00:00:00"/>
    <n v="-402"/>
    <x v="12"/>
    <x v="6"/>
    <s v="4500015766 | 15221"/>
    <n v="18321"/>
    <n v="4500018964"/>
    <s v="Fajar Paramita"/>
    <s v="Erni Monalena / Helvi Susanti"/>
    <s v="0856 9322 1320 (Erni)"/>
    <m/>
    <m/>
    <m/>
    <m/>
    <s v="E4"/>
    <m/>
    <m/>
    <m/>
    <m/>
  </r>
  <r>
    <n v="854"/>
    <x v="280"/>
    <x v="582"/>
    <s v="Jl. HR. Rasuna Said Blok X5 No. 13_x000a_ Kuningan Timur Jakarta"/>
    <m/>
    <s v="Nex Data Center, Cyber 2 Tower, 2nd Floor-Jl HR Rasuna Said Blok X-5 No. 13 Jakarta 12950"/>
    <s v="Sewa Tahunan"/>
    <x v="1"/>
    <x v="248"/>
    <m/>
    <m/>
    <m/>
    <m/>
    <m/>
    <x v="4"/>
    <m/>
    <m/>
    <x v="5"/>
    <m/>
    <x v="624"/>
    <d v="2022-07-17T00:00:00"/>
    <x v="0"/>
    <m/>
    <d v="2024-09-06T00:00:00"/>
    <n v="-782"/>
    <x v="1"/>
    <x v="2"/>
    <s v="08896/SPP/008/PUSAT/ICON+/2018 | 4500011702 | 10910/SPP/008/PUSAT/ICON+/2019 | 4500012894 | 4500014714 | 13930"/>
    <n v="16166"/>
    <n v="4500018487"/>
    <s v="Fajar Paramita"/>
    <s v="Erni Monalena / Helvi Susanti"/>
    <s v="0856 9322 1320 (Erni)"/>
    <m/>
    <s v="B20"/>
    <s v="C117"/>
    <s v="D208"/>
    <m/>
    <m/>
    <m/>
    <m/>
    <s v="Biaya Aktivasi sebesar 2.000.000 3.Material Support Fee sebesar 1.000.000"/>
  </r>
  <r>
    <n v="855"/>
    <x v="280"/>
    <x v="584"/>
    <s v="Jl. HR. Rasuna Said Blok X5 No. 13_x000a_ Kuningan Timur Jakarta"/>
    <m/>
    <s v="Next Data Center Gedung Cyber 2 Tower,2nd Floor Jl. HR. Rasuna said Kav X-5 No.13 Jakarta 12950"/>
    <s v="Sewa Tahunan"/>
    <x v="1"/>
    <x v="639"/>
    <m/>
    <m/>
    <m/>
    <m/>
    <m/>
    <x v="317"/>
    <m/>
    <m/>
    <x v="5"/>
    <m/>
    <x v="625"/>
    <d v="2020-06-01T00:00:00"/>
    <x v="1"/>
    <m/>
    <d v="2024-09-06T00:00:00"/>
    <n v="-1558"/>
    <x v="3"/>
    <x v="5"/>
    <s v="06890/SPP/008/PUSAT/ICON+/2017 |4500010591 |08693/SPP/008/PUSAT/ICON+/2018 | 4500011553"/>
    <s v="10658/SPP/008/PUSAT/ICON+/2019"/>
    <n v="4500012762"/>
    <s v="Fajar Paramita"/>
    <s v="Erni Monalena / Helvi Susanti"/>
    <s v="0856 9322 1320 (Erni)"/>
    <n v="137"/>
    <s v="B107"/>
    <s v="C83"/>
    <m/>
    <m/>
    <m/>
    <m/>
    <m/>
    <m/>
  </r>
  <r>
    <n v="856"/>
    <x v="280"/>
    <x v="585"/>
    <s v="Jl. HR. Rasuna Said Blok X5 No. 13_x000a_ Kuningan Timur Jakarta"/>
    <m/>
    <s v="Nex Data Center, Cyber 2 Tower 2nd Floor Jl. HR Rasuna Said Blok X-5 No. 13 Jakarta 12950"/>
    <s v="Sewa Tahunan"/>
    <x v="1"/>
    <x v="180"/>
    <m/>
    <m/>
    <m/>
    <m/>
    <m/>
    <x v="118"/>
    <m/>
    <m/>
    <x v="31"/>
    <m/>
    <x v="626"/>
    <d v="2024-09-01T00:00:00"/>
    <x v="2"/>
    <m/>
    <d v="2024-09-06T00:00:00"/>
    <n v="-5"/>
    <x v="7"/>
    <x v="1"/>
    <n v="4500018964"/>
    <n v="717"/>
    <n v="4500020935"/>
    <s v="Fajar Paramita"/>
    <s v="Erni Monalena / Helvi Susanti"/>
    <s v="0856 9322 1320 (Erni)"/>
    <m/>
    <m/>
    <m/>
    <m/>
    <m/>
    <m/>
    <m/>
    <m/>
    <m/>
  </r>
  <r>
    <n v="857"/>
    <x v="280"/>
    <x v="116"/>
    <s v="Jl. HR. Rasuna Said Blok X5 No. 13_x000a_ Kuningan Timur Jakarta"/>
    <m/>
    <s v="Plaza Mandiri, Jl. Gatot Subroto No.Kav 36-38, RT.7/RW.3, Senayan,Kby Baru ,Jakarta Selatan ,DKI Jakarta"/>
    <s v="Sewa Tahunan"/>
    <x v="1"/>
    <x v="640"/>
    <m/>
    <m/>
    <m/>
    <m/>
    <m/>
    <x v="36"/>
    <m/>
    <m/>
    <x v="5"/>
    <m/>
    <x v="403"/>
    <d v="2023-10-31T00:00:00"/>
    <x v="1"/>
    <m/>
    <d v="2024-09-06T00:00:00"/>
    <n v="-311"/>
    <x v="6"/>
    <x v="6"/>
    <s v="11917/SPP/008/PUSAT/ICON+/2019 | 4500013479 | 14558/SPP/008/PUSAT/ICON+/2020 | 4500015276"/>
    <s v="20687/SPP/008/PUSAT/ICON+/2022"/>
    <n v="4500021427"/>
    <s v="Fajar Paramita"/>
    <s v="Erni Monalena / Helvi Susanti"/>
    <s v="857 9322 1320 (Erni)"/>
    <m/>
    <m/>
    <s v="C234"/>
    <s v="D185"/>
    <m/>
    <s v="G353"/>
    <m/>
    <m/>
    <m/>
  </r>
  <r>
    <n v="858"/>
    <x v="280"/>
    <x v="586"/>
    <s v="Jl. HR. Rasuna Said Blok X5 No. 13_x000a_ Kuningan Timur Jakarta"/>
    <m/>
    <s v="PT CBN Nusantara, Gedung Cyber 2 Lt 2, Jl HR Rasuna Said Blok C3 No 22-23 dan X5 No 13 Kuningan , rak ND4 (STI)"/>
    <s v="Sewa Tahunan"/>
    <x v="1"/>
    <x v="641"/>
    <m/>
    <m/>
    <m/>
    <m/>
    <m/>
    <x v="318"/>
    <m/>
    <m/>
    <x v="31"/>
    <m/>
    <x v="612"/>
    <d v="2022-09-30T00:00:00"/>
    <x v="1"/>
    <m/>
    <d v="2024-09-06T00:00:00"/>
    <n v="-707"/>
    <x v="7"/>
    <x v="2"/>
    <s v="07259/SPP/008/PUSAT/ICON+/2017 |4500010773 | 08933/SPP/008/PUSAT/ICON+/2018 | 4500011700 | 11466/SPP/008/PUSAT/ICON+/2019 | 45000132421 | 13980/SPP/008/PUSAT/ICON+/2020 | 4500014891"/>
    <s v="16286/SPP/008/PUSAT/ICON+/2021"/>
    <n v="4500016489"/>
    <s v="Fajar Paramita"/>
    <s v="Erni Monalena / Helvi Susanti"/>
    <s v="0856 9322 1320 (Erni)"/>
    <n v="136"/>
    <s v="B173"/>
    <s v="C183"/>
    <m/>
    <s v="E187"/>
    <m/>
    <m/>
    <m/>
    <m/>
  </r>
  <r>
    <n v="859"/>
    <x v="280"/>
    <x v="587"/>
    <s v="Jl. HR. Rasuna Said Blok X5 No. 13_x000a_ Kuningan Timur Jakarta"/>
    <m/>
    <s v="PT CBN Nusantara, Gedung Cyber 2 Lt 2, Jl HR Rasuna Said Blok X5 No 13 Kuningan"/>
    <s v="Sewa Tahunan"/>
    <x v="1"/>
    <x v="642"/>
    <m/>
    <m/>
    <m/>
    <m/>
    <m/>
    <x v="10"/>
    <m/>
    <m/>
    <x v="5"/>
    <m/>
    <x v="627"/>
    <d v="2021-09-13T00:00:00"/>
    <x v="1"/>
    <m/>
    <d v="2024-09-06T00:00:00"/>
    <n v="-1089"/>
    <x v="7"/>
    <x v="4"/>
    <s v="07366/SPP/008/PUSAT/ICON+/2017 | 4500010774 | 09018/SPP/008/PUSAT/ICON+/2018 | 4500011749 | 11416/SPP/008/PUSAT/ICON+/2019| 4500013147"/>
    <s v="13981/SPP/008/PUSAT/ICON+/2020"/>
    <n v="4500014893"/>
    <s v="Fajar Paramita"/>
    <s v="Erni Monalena / Helvi Susanti"/>
    <s v="0856 9322 1320 (Erni)"/>
    <n v="84"/>
    <s v="B187"/>
    <s v="C166"/>
    <s v="D184"/>
    <m/>
    <m/>
    <m/>
    <m/>
    <s v="1.Rack 1U di Ner utk ODF lt Basement Gd Cyber : •OTB 1 U di NER CDCI basement Rp 2.000.000/bulan •Installasi Rp 1.500.000/OTC 2.Biaya Splcing core : Biaya splicing adalah biaya terminasi yaitu sebesar Rp100.000/core/OTC - 6 x 100.000 : 600.000 (OTC) 3.Biaya Interkoneksi dari Ner ke MMR •Fiber Optik (2 core) Rp 1.500.000/tahun 4.Colocation di Data center CDC 1U •Collocation 1 U switch manageable Rp 2.500.000/bulan •Installasi Rp 1.500.000/OTC Total OTC : 3.600.000 Per Bulan : 4.500.000 x 12 Bulan : 54.000.000 Per Tahun : 1.500.000"/>
  </r>
  <r>
    <n v="860"/>
    <x v="280"/>
    <x v="588"/>
    <s v="Jl. HR. Rasuna Said Blok X5 No. 13_x000a_ Kuningan Timur Jakarta"/>
    <m/>
    <s v="PT. Abimanyu Bangkit Mandiri, Area Sawah/Kebun, Ketapangkuning,  Kec. Ngusikan,  Kabupaten Jombang,  Jawa Timur,  Indonesia,  "/>
    <s v="Sewa Tahunan"/>
    <x v="1"/>
    <x v="643"/>
    <m/>
    <m/>
    <m/>
    <m/>
    <m/>
    <x v="5"/>
    <m/>
    <m/>
    <x v="16"/>
    <m/>
    <x v="628"/>
    <d v="2024-01-24T00:00:00"/>
    <x v="1"/>
    <m/>
    <d v="2024-09-06T00:00:00"/>
    <n v="-226"/>
    <x v="11"/>
    <x v="1"/>
    <s v="Baru"/>
    <s v="21081/SPP/008/PUSAT/ICON+/2023"/>
    <n v="4500019947"/>
    <s v="Fajar Paramita"/>
    <s v="Erni Monalena / Helvi Susanti"/>
    <s v="0856 9322 1320 (Erni)"/>
    <m/>
    <m/>
    <m/>
    <m/>
    <m/>
    <m/>
    <s v="G23"/>
    <m/>
    <s v="1.Biaya Instalasi Rp.2.000.000 | 2.Material Support Cost Rp.2.000.000"/>
  </r>
  <r>
    <n v="861"/>
    <x v="280"/>
    <x v="124"/>
    <s v="Jl. HR. Rasuna Said Blok X5 No. 13_x000a_ Kuningan Timur Jakarta"/>
    <m/>
    <s v="PT. Jatelindo Perkasa Abadi, data center indonet, Jl. Rempoa Raya No. 11, Ciputat, Kota Tangerang Selatan, Banten, Indonesia, 15412"/>
    <s v="Sewa Tahunan"/>
    <x v="1"/>
    <x v="132"/>
    <m/>
    <m/>
    <m/>
    <m/>
    <m/>
    <x v="2"/>
    <m/>
    <m/>
    <x v="5"/>
    <m/>
    <x v="119"/>
    <d v="2021-05-31T00:00:00"/>
    <x v="1"/>
    <m/>
    <d v="2024-09-06T00:00:00"/>
    <n v="-1194"/>
    <x v="4"/>
    <x v="4"/>
    <s v="10926/SPP/008/PUSAT/ICON+/2019 | 4500012889"/>
    <s v="13394/SPP/008/PUSAT/ICON+/2020"/>
    <n v="4500014363"/>
    <s v="Fajar Paramita"/>
    <s v="Erni Monalena / Helvi Susanti"/>
    <s v="859 9322 1320 (Erni)"/>
    <m/>
    <m/>
    <s v="C109"/>
    <s v="D168"/>
    <m/>
    <m/>
    <m/>
    <m/>
    <m/>
  </r>
  <r>
    <n v="862"/>
    <x v="280"/>
    <x v="589"/>
    <s v="Jl. HR. Rasuna Said Blok X5 No. 13_x000a_ Kuningan Timur Jakarta"/>
    <m/>
    <s v="PT. Multi Adiprakasa Manunggal, Cyber 2 Tower, Floor 2, Jl. HR. Rasuna Said X-5/13, Kuningan, Setiabudi,"/>
    <s v="Sewa Tahunan"/>
    <x v="1"/>
    <x v="52"/>
    <m/>
    <m/>
    <m/>
    <m/>
    <m/>
    <x v="23"/>
    <m/>
    <m/>
    <x v="5"/>
    <m/>
    <x v="629"/>
    <d v="2022-07-23T00:00:00"/>
    <x v="0"/>
    <m/>
    <d v="2024-09-06T00:00:00"/>
    <n v="-776"/>
    <x v="1"/>
    <x v="2"/>
    <s v="11092/SPP/008/PUSAT/ICON+/2019 | 4500014567 | 13721 | 4500014715"/>
    <n v="16253"/>
    <m/>
    <s v="Fajar Paramita"/>
    <s v="Erni Monalena / Helvi Susanti"/>
    <s v="859 9322 1320 (Erni)"/>
    <m/>
    <m/>
    <s v="D342"/>
    <s v="D201"/>
    <m/>
    <m/>
    <m/>
    <m/>
    <s v="Sewa Shaft Kabel sebesar Rp.6.000.000"/>
  </r>
  <r>
    <n v="863"/>
    <x v="280"/>
    <x v="590"/>
    <s v="Jl. HR. Rasuna Said Blok X5 No. 13_x000a_ Kuningan Timur Jakarta"/>
    <m/>
    <s v="Universitas Pelita Bangsa Jl. Inspeksi Kalimalang No.9, Cibatu,  Kec. Cikarang Sel.,,  Kabupaten Bekasi,  Jawa Barat,  Indonesia,  17530"/>
    <s v="Sewa Tahunan"/>
    <x v="1"/>
    <x v="589"/>
    <m/>
    <m/>
    <m/>
    <m/>
    <m/>
    <x v="82"/>
    <m/>
    <m/>
    <x v="31"/>
    <m/>
    <x v="630"/>
    <d v="2024-12-06T00:00:00"/>
    <x v="2"/>
    <m/>
    <d v="2024-09-06T00:00:00"/>
    <n v="91"/>
    <x v="5"/>
    <x v="1"/>
    <s v="baru"/>
    <s v="20656/SPP/008/PUSAT/ICON+/2022"/>
    <n v="4500019496"/>
    <s v="Fajar Paramita"/>
    <s v="Erni Monalena / Helvi Susanti"/>
    <s v="859 9322 1320 (Erni)"/>
    <m/>
    <m/>
    <m/>
    <m/>
    <m/>
    <s v="F425"/>
    <m/>
    <m/>
    <s v="1.Material Support Cost Rp.2.000.000 | 2.Installation Cost  Rp.2.000.000 | 3.Annual Cost Rp.8.000.000"/>
  </r>
  <r>
    <n v="864"/>
    <x v="280"/>
    <x v="591"/>
    <s v="Jl. HR. Rasuna Said Blok X5 No. 13_x000a_ Kuningan Timur Jakarta"/>
    <s v="Telkomsel TBS, Jalan TB Simatupang, RT.3/RW.2, Tanjung Barat, Jagakarsa, RT.3/RW.2, Tj. Barat, Jagakarsa, Jakarta Selatan"/>
    <s v="Cyber 2 Tower, Jl. H. R. Rasuna Said No.13, RT.7/RW.2, Kuningan, Kuningan Timur, Setiabudi, Jakarta Selatan"/>
    <s v="Sewa Tahunan"/>
    <x v="1"/>
    <x v="90"/>
    <m/>
    <m/>
    <m/>
    <m/>
    <m/>
    <x v="51"/>
    <m/>
    <m/>
    <x v="31"/>
    <m/>
    <x v="631"/>
    <d v="2025-02-12T00:00:00"/>
    <x v="2"/>
    <m/>
    <d v="2024-09-06T00:00:00"/>
    <n v="159"/>
    <x v="9"/>
    <x v="3"/>
    <s v="12666/SPP/008/PUSAT/ICON+/2020 | 4500013948 | 15120/SPP/008/PUSAT/ICON+/2021 | 4500015716"/>
    <s v="17657/SPP/008/PUSAT/ICON+/2022"/>
    <n v="4500019967"/>
    <s v="Fajar Paramita"/>
    <s v="Erni Monalena / Helvi Susanti"/>
    <s v="859 9322 1320 (Erni)"/>
    <m/>
    <m/>
    <m/>
    <s v="D27"/>
    <s v="E178"/>
    <s v="G50"/>
    <m/>
    <s v="H12"/>
    <s v="1.Biaya Material Support Crossconnect DC Nex Rp.2.000.000,- 2.Biaya Instalasi Crossconnect DC Nex Rp.2.000.000,- 3.Biaya Sewa Crossconnect DC Nex Rp.8.000.000,-"/>
  </r>
  <r>
    <n v="865"/>
    <x v="280"/>
    <x v="150"/>
    <s v="JL.Rasuna Said Blok X5 13 Jakarta"/>
    <m/>
    <s v="CBN Bali Istana Kuta Galeria  Blok PM 3 No. 7 Jl. Patih Jelantik,  Kuta,  Kabupaten Badung,  Bali,  Indonesia,  80361"/>
    <s v="Sewa Tahunan"/>
    <x v="1"/>
    <x v="628"/>
    <m/>
    <m/>
    <m/>
    <m/>
    <m/>
    <x v="310"/>
    <m/>
    <m/>
    <x v="31"/>
    <m/>
    <x v="632"/>
    <d v="2024-06-22T00:00:00"/>
    <x v="2"/>
    <m/>
    <d v="2024-09-06T00:00:00"/>
    <n v="-76"/>
    <x v="3"/>
    <x v="1"/>
    <s v="baru"/>
    <s v="635/SPP/SBU/ICON+/2023"/>
    <n v="4500020820"/>
    <s v="Fajar Paramita"/>
    <s v="Erni Monalena / Helvi Susanti"/>
    <s v="859 9322 1320 (Erni)"/>
    <m/>
    <m/>
    <m/>
    <m/>
    <m/>
    <m/>
    <s v="G122"/>
    <m/>
    <s v="1.Biaya Material Support Crossconnect DC Nex Rp.2.000.000,- 2.Biaya Instalasi Crossconnect DC Nex Rp.2.000.000,- 3.Biaya Sewa Crossconnect DC Nex Rp.8.000.000,-"/>
  </r>
  <r>
    <n v="866"/>
    <x v="280"/>
    <x v="168"/>
    <s v="JL.Rasuna Said Blok X5 13 Jakarta"/>
    <m/>
    <s v="PT Amanda Komunika ciherang Rt6 Rw2,kecamata banjarsari Kabupaten Ciamis Jawa Barat Bandung"/>
    <s v="Sewa Tahunan"/>
    <x v="1"/>
    <x v="644"/>
    <m/>
    <m/>
    <m/>
    <m/>
    <m/>
    <x v="44"/>
    <m/>
    <m/>
    <x v="31"/>
    <m/>
    <x v="633"/>
    <d v="2024-06-18T00:00:00"/>
    <x v="2"/>
    <m/>
    <d v="2024-09-06T00:00:00"/>
    <n v="-80"/>
    <x v="3"/>
    <x v="1"/>
    <s v="baru"/>
    <s v="564/SPP/SBU/ICON+/2023_x0009_"/>
    <n v="4500020661"/>
    <s v="Fajar Paramita"/>
    <s v="Erni Monalena / Helvi Susanti"/>
    <s v="859 9322 1320 (Erni)"/>
    <m/>
    <m/>
    <m/>
    <m/>
    <m/>
    <m/>
    <s v="G121"/>
    <m/>
    <s v="1.Biaya Material Support Crossconnect DC Nex Rp.2.000.000,- 2.Biaya Instalasi Crossconnect DC Nex Rp.2.000.000,- 3.Biaya Sewa Crossconnect DC Nex Rp.8.000.000,-"/>
  </r>
  <r>
    <n v="867"/>
    <x v="357"/>
    <x v="24"/>
    <s v="Indonesia Stock Exchange Building, Penthouse Tower I, 31 st Floor Jl. Jend. Sudirman Kav. 52-53 Jakarta 12910"/>
    <m/>
    <s v="Indonesia stock exchange building , penthouse tower II,28th Floor Suite 2804 Jl.Jend Sudirman Kav.52-53 Jakarta 12190"/>
    <s v="Sewa Tahunan"/>
    <x v="1"/>
    <x v="645"/>
    <m/>
    <m/>
    <m/>
    <m/>
    <m/>
    <x v="59"/>
    <m/>
    <m/>
    <x v="16"/>
    <m/>
    <x v="226"/>
    <d v="2022-03-31T00:00:00"/>
    <x v="1"/>
    <m/>
    <d v="2024-09-06T00:00:00"/>
    <n v="-890"/>
    <x v="8"/>
    <x v="2"/>
    <s v="08493/SPP/008/PUSAT/ICON+/2018 | 4500011420 | 10469/SPP/008/PUSAT/ICON+/2019 | 4500012617 | 12988/SPP/008/PUSAT/ICON+/2020 | 4500014234"/>
    <s v="15472/SPP/008/PUSAT/ICON+/2021"/>
    <n v="4500015912"/>
    <s v="Fajar Paramita"/>
    <s v="Chaula Balqis/Niken/M. Yacub"/>
    <s v="(021) 5155555"/>
    <m/>
    <s v="B47"/>
    <s v="C66"/>
    <s v="D129"/>
    <s v="E85"/>
    <m/>
    <m/>
    <m/>
    <s v="1.Biaya sekali bayar 5.000.000"/>
  </r>
  <r>
    <n v="868"/>
    <x v="357"/>
    <x v="8"/>
    <s v="Komplek Ruko Sunter Permai Indah Blok B.7 Jakarta Utara"/>
    <m/>
    <s v="Mall of Indonesia (MOI) Jl. Raya Boulevard Barat Raya No. 1 kelapa Gading (Carrefour -PT Trans Retail Indonesia) (exclusive pengelola infrastruktur telekomunikasi Namun pemilik Lahan adalah PT Makmur Jaya Serasi)"/>
    <s v="Sewa Tahunan"/>
    <x v="1"/>
    <x v="122"/>
    <m/>
    <m/>
    <m/>
    <m/>
    <m/>
    <x v="7"/>
    <m/>
    <m/>
    <x v="66"/>
    <m/>
    <x v="114"/>
    <d v="2021-09-29T00:00:00"/>
    <x v="1"/>
    <m/>
    <d v="2024-09-06T00:00:00"/>
    <n v="-1073"/>
    <x v="7"/>
    <x v="4"/>
    <s v="5091116/SPR/ICON+/2016 |121930/MI/008/PUSAT/ICON+/2016 |08283/SPP/008/PUSAT/ICON+/2018 | 4500011292 | 08914/SPP/008/PUSAT/ICON+/2018 | 4500011682 | 11258/SPP/008/PUSAT/ICON+/2019 | 4500013042"/>
    <s v="13979/SPP/008/PUSAT/ICON+/2020"/>
    <n v="4500014934"/>
    <s v="Fajar Paramita"/>
    <s v="Lusi"/>
    <s v="021-65832518"/>
    <s v="B50"/>
    <s v="B155"/>
    <s v="C153"/>
    <s v="D186"/>
    <m/>
    <m/>
    <m/>
    <m/>
    <s v="1. Update sewa shaft tahun 2015 di RukanKelapa Gading Square Rp14.400.000,-/Tahun (karena FO dan jaraknya jauh), jika (STP dan jaraknya dekat) Biaya Sewa Rp7.200.000/tahun _x000a_ 2. Biaya Instalasi di unit apartemen max 100m Rp500.000 (incl. kabel RJ 45 dan bhn perbaikan bangunan) update thn 2014 Rp550.000_x000a_ 3. Biaya Instalasi di Mall of Indonesia max 100m Rp750.000 (incl. kabel RJ 45 dan bhn perbaikan bangunan) update thn 2014 Rp825.000_x000a_ 4. Biaya Instalasi di Ruko dan kompleks The Villas max 100m Rp1000.000 (incl. kabel RJ 45 dan bhn perbaikan bangunan) update thn 2014 Rp1.100.000_x000a_ 5. Biaya Supervisi bervariasi untuk 2 hari Rp1000.000,-/One Time Charged s/d Rp2.750.000/One Time Charged _x000a_ 6. Biaya Set Up Aktivasi Rp2.750.000 s/d Rp3.500.000 (One Time Charged)_x000a_ 7. Biaya Admin Rp300.000"/>
  </r>
  <r>
    <n v="869"/>
    <x v="357"/>
    <x v="517"/>
    <s v="Indonesia Stock Exchange Building, Penthouse Tower I, 31 st Floor Jl. Jend. Sudirman Kav. 52-53 Jakarta 12910"/>
    <m/>
    <s v="Rukan Kelapa Gading Square (MOI) - BCA, Mall of Indonesia"/>
    <s v="Sewa Tahunan"/>
    <x v="1"/>
    <x v="496"/>
    <m/>
    <m/>
    <m/>
    <m/>
    <m/>
    <x v="35"/>
    <m/>
    <m/>
    <x v="163"/>
    <m/>
    <x v="505"/>
    <d v="2023-10-10T00:00:00"/>
    <x v="0"/>
    <m/>
    <d v="2024-09-06T00:00:00"/>
    <n v="-332"/>
    <x v="6"/>
    <x v="6"/>
    <s v="09141/SPP/008/PUSAT/ICON+/2018 | 4500011814 | 11833/SPP/008/PUSAT/ICON+/2019 | 4500013417 | 14310/SPP/008/PUSAT/ICON+/2020 | 4500015176| 4500016880"/>
    <s v="20174/SPP/008/PUSAT/ICON+/2022"/>
    <n v="4500019289"/>
    <s v="Fajar Paramita"/>
    <s v="Chaula Balqis/Niken/M. Yacub"/>
    <s v="(021) 5155555"/>
    <s v="B52"/>
    <s v="B200"/>
    <s v="C226"/>
    <s v="D286"/>
    <s v="E312"/>
    <s v="F406"/>
    <m/>
    <m/>
    <m/>
  </r>
  <r>
    <n v="870"/>
    <x v="357"/>
    <x v="45"/>
    <s v="Indonesia Stock Exchange Building, Penthouse Tower I, 31 st Floor Jl. Jend. Sudirman Kav. 52-53 Jakarta 12910"/>
    <m/>
    <s v="Ruko Mall of Indonesia (MOI) Blok I No.15 Jl. Boulevard Barat Raya, kel. Kelapa Gading Barat (Bank Woori Saudara)"/>
    <s v="Sewa Tahunan"/>
    <x v="1"/>
    <x v="130"/>
    <m/>
    <m/>
    <m/>
    <m/>
    <m/>
    <x v="319"/>
    <m/>
    <m/>
    <x v="16"/>
    <m/>
    <x v="229"/>
    <d v="2022-03-26T00:00:00"/>
    <x v="1"/>
    <m/>
    <d v="2024-09-06T00:00:00"/>
    <n v="-895"/>
    <x v="8"/>
    <x v="2"/>
    <s v="4500009269 | 06776/SPP/008/PUSAT/ICON+/2017 | 4500010381 | 09141/SPP/008/PUSAT/ICON+/2018 | 4500011279 | 10337/SPP/008/PUSAT/ICON+/2019 | 4500012499 | 12668/SPP/008/PUSAT/ICON+/2020 | 4500013963"/>
    <s v="16055/SPP/008/PUSAT/ICON+/2021"/>
    <n v="4500015719"/>
    <s v="Fajar Paramita"/>
    <s v="Chaula Balqis/Niken/M. Yacub"/>
    <s v="(021) 5155555"/>
    <n v="23"/>
    <s v="B51"/>
    <s v="C49"/>
    <s v="D39"/>
    <s v="E149"/>
    <m/>
    <m/>
    <m/>
    <s v="1. Update sewa shaft Rp12.000.000/tahun_x000a_ 2. Instalasi Rp2.500.000,-"/>
  </r>
  <r>
    <n v="871"/>
    <x v="358"/>
    <x v="592"/>
    <s v="Jl.Raya Naronggong KM 23,8 Bogor"/>
    <m/>
    <m/>
    <s v="Sewa Tahunan"/>
    <x v="2"/>
    <x v="222"/>
    <m/>
    <m/>
    <m/>
    <m/>
    <m/>
    <x v="112"/>
    <m/>
    <m/>
    <x v="14"/>
    <m/>
    <x v="634"/>
    <d v="2026-06-29T00:00:00"/>
    <x v="2"/>
    <m/>
    <d v="2024-09-06T00:00:00"/>
    <n v="661"/>
    <x v="3"/>
    <x v="7"/>
    <s v="baru"/>
    <s v="16149/SPP/008/PUSAT/ICON+/2021"/>
    <s v="4500016364"/>
    <s v="Fajar Paramita"/>
    <m/>
    <m/>
    <m/>
    <m/>
    <m/>
    <m/>
    <s v="E102"/>
    <m/>
    <m/>
    <m/>
    <m/>
  </r>
  <r>
    <n v="872"/>
    <x v="286"/>
    <x v="7"/>
    <s v="APL Tower 39 Floor T1 Jl. Letjen Suparman"/>
    <s v="Dusun 2 Gunung Raja Kelurahan Rambang Dangku Muara Enim, Sumatera Selatan"/>
    <s v="APL Tower 39 Floor T1 Jl. Letjen Suparman"/>
    <s v="Sewa Tahunan"/>
    <x v="1"/>
    <x v="333"/>
    <m/>
    <m/>
    <m/>
    <m/>
    <m/>
    <x v="6"/>
    <m/>
    <m/>
    <x v="7"/>
    <m/>
    <x v="635"/>
    <d v="2025-07-06T00:00:00"/>
    <x v="2"/>
    <m/>
    <d v="2024-09-06T00:00:00"/>
    <n v="303"/>
    <x v="1"/>
    <x v="3"/>
    <m/>
    <s v="3947/SPP/SBU/PLNICONPLUS/2024"/>
    <s v="4500023158"/>
    <s v="Fajar Paramita"/>
    <m/>
    <m/>
    <m/>
    <m/>
    <m/>
    <m/>
    <m/>
    <m/>
    <m/>
    <s v="H323"/>
    <m/>
  </r>
  <r>
    <n v="873"/>
    <x v="359"/>
    <x v="593"/>
    <s v="Fatmawati Festival Blok D/11 Jl. RS. Fatmawati Ruko Fatmawati Blok A1 Kav.112"/>
    <m/>
    <s v="BNI Securitas - DC Elitery Jl. Cilandak 1 No. 14 Cilandak Barat Rt. 01/09 Cilandak Barat, Cilandak, Jakarta Selatan, 12430"/>
    <s v="Sewa Tahunan"/>
    <x v="2"/>
    <x v="646"/>
    <m/>
    <m/>
    <m/>
    <m/>
    <m/>
    <x v="320"/>
    <m/>
    <m/>
    <x v="308"/>
    <m/>
    <x v="583"/>
    <d v="2020-06-30T00:00:00"/>
    <x v="1"/>
    <m/>
    <d v="2024-09-06T00:00:00"/>
    <n v="-1529"/>
    <x v="3"/>
    <x v="5"/>
    <s v="baru"/>
    <s v="10925/SPP/008/PUSAT/ICON+/2019"/>
    <n v="4500012891"/>
    <s v="Fajar Paramita"/>
    <s v="Nuriza"/>
    <s v="021-7511005"/>
    <m/>
    <m/>
    <s v="C110"/>
    <m/>
    <m/>
    <m/>
    <m/>
    <m/>
    <m/>
  </r>
  <r>
    <n v="874"/>
    <x v="359"/>
    <x v="594"/>
    <s v="Fatmawati Festival Blok D/11 Jl. RS. Fatmawati Ruko Fatmawati Blok A1 Kav.113"/>
    <m/>
    <s v="Elitery Recovery Data Center, Jalan Padjajaran No.17 Sanggar Ksatria 5 Lantai 5, Bogor, Jawa Barat"/>
    <s v="Sewa Tahunan"/>
    <x v="2"/>
    <x v="647"/>
    <m/>
    <m/>
    <m/>
    <m/>
    <m/>
    <x v="321"/>
    <m/>
    <m/>
    <x v="308"/>
    <m/>
    <x v="636"/>
    <d v="2020-06-30T00:00:00"/>
    <x v="1"/>
    <m/>
    <d v="2024-09-06T00:00:00"/>
    <n v="-1529"/>
    <x v="3"/>
    <x v="5"/>
    <s v="baru"/>
    <s v="11068/SPP/008/PUSAT/ICON+/2019"/>
    <n v="4500012979"/>
    <s v="Fajar Paramita"/>
    <s v="Nuriza"/>
    <s v="021-7511006"/>
    <m/>
    <m/>
    <s v="C126"/>
    <m/>
    <m/>
    <m/>
    <m/>
    <m/>
    <s v="Perubahan Sekema Kerjasama (Revenue Sharing 15%) Proses Konfirmasi "/>
  </r>
  <r>
    <n v="875"/>
    <x v="359"/>
    <x v="595"/>
    <s v="Fatmawati Festival Blok D/11 Jl. RS. Fatmawati Ruko Fatmawati Blok A1 Kav.114"/>
    <m/>
    <s v="H2H Bank Mandiri GD. Plaza Mandiri Jl. Jend. Gatot Subroto Kav.36-38., Jakarta, Jakarta Selatan, DKI Jakarta, Indonesia, 12190"/>
    <s v="Sewa Tahunan"/>
    <x v="2"/>
    <x v="648"/>
    <m/>
    <m/>
    <m/>
    <m/>
    <m/>
    <x v="322"/>
    <m/>
    <m/>
    <x v="53"/>
    <m/>
    <x v="637"/>
    <d v="2020-09-24T00:00:00"/>
    <x v="0"/>
    <m/>
    <d v="2024-09-06T00:00:00"/>
    <n v="-1443"/>
    <x v="7"/>
    <x v="5"/>
    <s v="baru"/>
    <s v="11714/SPP/008/PUSAT/ICON+/2019"/>
    <n v="4500013317"/>
    <s v="Fajar Paramita"/>
    <s v="Nuriza"/>
    <s v="021-7511006"/>
    <m/>
    <m/>
    <s v="C201"/>
    <m/>
    <m/>
    <m/>
    <m/>
    <m/>
    <m/>
  </r>
  <r>
    <n v="876"/>
    <x v="359"/>
    <x v="596"/>
    <s v="Fatmawati Festival Blok D/11 Jl. RS. Fatmawati Ruko Fatmawati Blok A1 Kav.114"/>
    <m/>
    <s v="H2H BCA Elitery Data Center; Jl. Raya Pajajaran No.61, RT.06/RW.13, Baranangsiang, Bogor, Jawa Barat"/>
    <s v="Sewa Tahunan"/>
    <x v="2"/>
    <x v="93"/>
    <m/>
    <m/>
    <m/>
    <m/>
    <m/>
    <x v="35"/>
    <m/>
    <m/>
    <x v="53"/>
    <m/>
    <x v="638"/>
    <d v="2021-12-17T00:00:00"/>
    <x v="0"/>
    <m/>
    <d v="2024-09-06T00:00:00"/>
    <n v="-994"/>
    <x v="5"/>
    <x v="4"/>
    <s v="baru"/>
    <s v="14861/SPP/008/PUSAT/ICON+/2020"/>
    <n v="4500015466"/>
    <s v="Fajar Paramita"/>
    <s v="Nuriza"/>
    <s v="021-7511006"/>
    <m/>
    <m/>
    <m/>
    <s v="D278"/>
    <m/>
    <m/>
    <m/>
    <m/>
    <s v="Biaya Instalasi Crossconnect MMR to Softorb Rack Elitery Data Center Rp.1.500.000"/>
  </r>
  <r>
    <n v="877"/>
    <x v="359"/>
    <x v="597"/>
    <s v="Fatmawati Festival Blok D/11 Jl. RS. Fatmawati Ruko Fatmawati Blok A1 Kav.111"/>
    <m/>
    <s v="Rak No 22A Ruang Server Lantai 5_x000a_ Data Center Elitery _x000a_ Jl Raya Pajajaran No 17, Bogor"/>
    <s v="Sewa Tahunan"/>
    <x v="1"/>
    <x v="649"/>
    <m/>
    <m/>
    <m/>
    <m/>
    <m/>
    <x v="89"/>
    <m/>
    <m/>
    <x v="53"/>
    <m/>
    <x v="639"/>
    <d v="2020-01-29T00:00:00"/>
    <x v="0"/>
    <m/>
    <d v="2024-09-06T00:00:00"/>
    <n v="-1682"/>
    <x v="11"/>
    <x v="5"/>
    <s v="07516/SPP/008/PUSAT/ICON+/2017 |4500010883|08398/SPP/008/PUSAT/ICON+/2018|4500012221"/>
    <s v="09876/SPP/008/PUSAT/ICON+/2018"/>
    <n v="4500012332"/>
    <s v="Fajar Paramita"/>
    <s v="Nuriza"/>
    <s v="021-7511004"/>
    <n v="146"/>
    <s v="B266"/>
    <s v="B290"/>
    <m/>
    <m/>
    <m/>
    <m/>
    <m/>
    <m/>
  </r>
  <r>
    <n v="878"/>
    <x v="29"/>
    <x v="598"/>
    <s v="Equity Tower 17th floor suiteF SCBD lot_x000a_ Jl Jend Sudirman Kav 52-53 Jakarta 12196"/>
    <s v="-"/>
    <s v="Backhaul WAN DCI Indonesia, Kawasan Industri MM2100, Jl. Jawa Blok GGS No. 1, Gd. JK 3 Lt. 4, Cikarang Barat, Kabupaten Bekasi, Jawa Barat, Indonesia"/>
    <s v="Sewa Tahunan"/>
    <x v="2"/>
    <x v="650"/>
    <m/>
    <m/>
    <m/>
    <m/>
    <m/>
    <x v="41"/>
    <m/>
    <m/>
    <x v="10"/>
    <m/>
    <x v="640"/>
    <d v="2024-12-13T00:00:00"/>
    <x v="2"/>
    <m/>
    <d v="2024-09-06T00:00:00"/>
    <n v="98"/>
    <x v="5"/>
    <x v="1"/>
    <s v="17248 | 4500017299"/>
    <n v="1927"/>
    <n v="4500022049"/>
    <s v="Fajar Paramita"/>
    <s v="Fenny Intani Dewi"/>
    <s v="021-29037500"/>
    <m/>
    <m/>
    <m/>
    <m/>
    <s v="E371"/>
    <m/>
    <s v="H26"/>
    <m/>
    <s v="Biaya OTC Rp.1.500.000"/>
  </r>
  <r>
    <n v="879"/>
    <x v="9"/>
    <x v="214"/>
    <s v="Equity Tower 17th floor suiteF SCBD lot_x000a_ Jl Jend Sudirman Kav 52-53 Jakarta 12196"/>
    <m/>
    <s v="BNC Alicloud JL Irian, GG 5-1, Kawasan Industri MM 2100, Cikarang Barat, Bekasi, Jawa Barat, Indonesia, 17530"/>
    <s v="Sewa Tahunan"/>
    <x v="2"/>
    <x v="265"/>
    <m/>
    <m/>
    <m/>
    <m/>
    <m/>
    <x v="145"/>
    <m/>
    <m/>
    <x v="18"/>
    <m/>
    <x v="240"/>
    <d v="2022-05-19T00:00:00"/>
    <x v="1"/>
    <m/>
    <d v="2024-09-06T00:00:00"/>
    <n v="-841"/>
    <x v="4"/>
    <x v="2"/>
    <s v="baru"/>
    <s v="15872/SPP/008/PUSAT/ICON+/2021"/>
    <n v="4500016201"/>
    <s v="Fajar Paramita"/>
    <s v="Fenny Intani Dewi"/>
    <s v="021-29037500"/>
    <m/>
    <m/>
    <m/>
    <m/>
    <s v="E52"/>
    <m/>
    <m/>
    <m/>
    <s v="Biaya OTC Rp.1.500.000"/>
  </r>
  <r>
    <n v="880"/>
    <x v="9"/>
    <x v="124"/>
    <s v="Equity Tower 17th floor suiteF SCBD lot_x000a_ Jl Jend Sudirman Kav 52-53 Jakarta 12190"/>
    <s v="PT DCI Indonesia. Rack Jatelindo. MM2100 Industrial Town. Jl. Irian 1 Blok GG5-1 Cikarang Barat, 17520"/>
    <s v="Data Center Infrastructure Indonesia_x000a_ Rack Jatelindo menuju perangkat ICON+_x000a_ Jalan Irian 1 Blok GG5-1_x000a_ Kawasan MM2100 Industrial Town_x000a_ Cikarang Barat 17520"/>
    <s v="Sewa Tahunan"/>
    <x v="1"/>
    <x v="651"/>
    <m/>
    <m/>
    <m/>
    <m/>
    <m/>
    <x v="210"/>
    <m/>
    <m/>
    <x v="18"/>
    <m/>
    <x v="641"/>
    <d v="2024-11-11T00:00:00"/>
    <x v="2"/>
    <m/>
    <d v="2024-09-06T00:00:00"/>
    <n v="66"/>
    <x v="2"/>
    <x v="1"/>
    <s v="1811016/SPR/ICON+/2016 | 07683/SPP/008/PUSAT/ICON+/2017 | 4500010982 | 09435/SPP/008/PUSAT/ICON+/2018 | 4500012003 | 11965/SPP/008/PUSAT/ICON+/2019 | 4500013536 | 14462/SPP/008/PUSAT/ICON+/2020 | 4500015221 | 19673 | 4500019163"/>
    <m/>
    <s v="4500021614"/>
    <s v="Fajar Paramita"/>
    <s v="Fenny Intani Dewi"/>
    <s v="021-29037500"/>
    <n v="129"/>
    <s v="B154"/>
    <s v="C252"/>
    <s v="D287"/>
    <m/>
    <s v="F375"/>
    <m/>
    <s v="H28"/>
    <s v="Biaya OTC Rp.1.500.000"/>
  </r>
  <r>
    <n v="881"/>
    <x v="9"/>
    <x v="599"/>
    <s v="Equity Tower 17th floor suiteF SCBD lot_x000a_ Jl Jend Sudirman Kav 52-53 Jakarta 12190"/>
    <m/>
    <s v="Data Center Infrastructure Indonesia_x000a_ Rack Sprint Asia menuju perangkat ICON+_x000a_ Jalan Irian 1 Blok GG5-1_x000a_ Kawasan MM2100 Industrial Town_x000a_ Cikarang Barat 17520"/>
    <s v="Sewa Tahunan"/>
    <x v="1"/>
    <x v="652"/>
    <m/>
    <m/>
    <m/>
    <m/>
    <m/>
    <x v="59"/>
    <m/>
    <m/>
    <x v="10"/>
    <m/>
    <x v="642"/>
    <d v="2022-11-11T00:00:00"/>
    <x v="1"/>
    <m/>
    <d v="2024-09-06T00:00:00"/>
    <n v="-665"/>
    <x v="2"/>
    <x v="2"/>
    <s v="4500009904 07676/SPP/008/PUSAT/ICON+/2017 4500010981 | 09441/SPP/008/PUSAT/ICON+/2018 | 4500012017 | 11810/SPP/008/PUSAT/ICON+/2019 | 4500013405 | 14607/SPP/008/PUSAT/ICON+/2020 | 4500015229"/>
    <s v="16793/SPP/008/PUSAT/ICON+/2021"/>
    <n v="4500017127"/>
    <s v="Fajar Paramita"/>
    <s v="Feeny Intani Dewi"/>
    <s v="021-29037500"/>
    <n v="127"/>
    <s v="B198"/>
    <s v="C224"/>
    <s v="D281"/>
    <s v="E344"/>
    <m/>
    <m/>
    <m/>
    <s v="Biaya OTC Rp.1.500.000"/>
  </r>
  <r>
    <n v="882"/>
    <x v="9"/>
    <x v="24"/>
    <s v="Equity Tower 17th floor suiteF SCBD lot_x000a_ Jl Jend Sudirman Kav 52-53 Jakarta 12190"/>
    <m/>
    <s v="Data Center Infrastructure Indonesia - (Pelanggan PT Aplikanusa Lintasarta SO No. ICON-00/ACT/1606/0069)_x000a_ Jalan Irian 1 Blok GG5-1_x000a_ Kawasan MM2100 Industrial Town_x000a_ Cikarang Barat 17520"/>
    <s v="Sewa Tahunan"/>
    <x v="1"/>
    <x v="653"/>
    <m/>
    <m/>
    <m/>
    <m/>
    <m/>
    <x v="174"/>
    <m/>
    <m/>
    <x v="18"/>
    <m/>
    <x v="643"/>
    <d v="2024-06-15T00:00:00"/>
    <x v="0"/>
    <m/>
    <d v="2024-09-06T00:00:00"/>
    <n v="-83"/>
    <x v="3"/>
    <x v="1"/>
    <s v="4500009601 |043/DCI/SO/VI/2016 | 06897/SPP/008/PUSAT/ICON+/2017 |4500010542 | 08778/SPP/008/PUSAT/ICON+/2018 | 4500011628| 10685/SPP/008/PUSAT/ICON+/2019 | 4500012766 | 4500014433 | 13456/SPP/008/PUSAT/ICON+/2020| 16065/SPP/008/PUSAT/ICON+/2021| 4500016261 | 18904/SPP/008/PUSAT/ICON+/2022 | 4500018219"/>
    <s v="21734/SPP/008/PUSAT/ICON+/2023"/>
    <n v="4500020591"/>
    <s v="Fajar Paramita"/>
    <s v="Fenny Intani Dewi"/>
    <s v="021-29037500"/>
    <n v="45"/>
    <s v="B121"/>
    <s v="C92"/>
    <s v="D130"/>
    <s v="E140"/>
    <s v="F203"/>
    <s v="G135"/>
    <m/>
    <s v="Biaya OTC Rp.1.500.000"/>
  </r>
  <r>
    <n v="883"/>
    <x v="9"/>
    <x v="24"/>
    <s v="Equity Tower 17th floor suiteF SCBD lot_x000a_ Jl Jend Sudirman Kav 52-53 Jakarta 12190"/>
    <s v="POP Lintasarta, Gedung Lintasarta Jl. TB. Simatupang Kav.10, Jakarta, Indonesia"/>
    <s v="Artajasa Pembayaran Elektronis, DCI Kawasan MM2100 Jl. Halmahera Blok F1 NO. 1 Danau Indah, Cikarang Barat, Kabupaten Bekasi, Jawa Barat, Indonesia, 17530"/>
    <s v="Sewa Tahunan"/>
    <x v="1"/>
    <x v="56"/>
    <m/>
    <m/>
    <m/>
    <m/>
    <m/>
    <x v="7"/>
    <m/>
    <m/>
    <x v="18"/>
    <m/>
    <x v="644"/>
    <d v="2025-06-15T00:00:00"/>
    <x v="2"/>
    <m/>
    <d v="2024-09-06T00:00:00"/>
    <n v="282"/>
    <x v="3"/>
    <x v="3"/>
    <m/>
    <s v="3138/SPP/SBU/PLNICONPLUS/2024"/>
    <n v="4500022660"/>
    <s v="Fajar Paramita"/>
    <s v="Fenny Intani Dewi"/>
    <s v="021-29037500"/>
    <m/>
    <m/>
    <m/>
    <m/>
    <m/>
    <m/>
    <m/>
    <s v="H160"/>
    <m/>
  </r>
  <r>
    <n v="884"/>
    <x v="9"/>
    <x v="442"/>
    <s v="Equity Tower 17th floor suiteF SCBD lot_x000a_ Jl Jend Sudirman Kav 52-53 Jakarta 12190"/>
    <m/>
    <s v="Data Center Infrastructure Indonesia - (Pelanggan PT Magna Karsa Mulya SO No. ICON-00/ACT/1609/0670)_x000a_ Jalan Irian 1 Blok GG5-1_x000a_ Kawasan MM2100 Industrial Town_x000a_ Cikarang Barat 17520"/>
    <s v="Sewa Tahunan"/>
    <x v="1"/>
    <x v="654"/>
    <m/>
    <m/>
    <m/>
    <m/>
    <m/>
    <x v="2"/>
    <m/>
    <m/>
    <x v="18"/>
    <m/>
    <x v="645"/>
    <d v="2024-10-19T00:00:00"/>
    <x v="2"/>
    <m/>
    <d v="2024-09-06T00:00:00"/>
    <n v="43"/>
    <x v="6"/>
    <x v="1"/>
    <s v="3321016/SPR/ICON+/2016_x000a_ 104/DCI/SO/X/2016 07588/SPP/008/PUSAT/ICON+/2017 4500010948 | 09118/SPP/008/PUSAT/ICON+/2018 | 4500011803 | 11832/SPP/008/PUSAT/ICON+/2019 | 4500013404 | 14311/SPP/008/PUSAT/ICON+/2020 | 4500015118 | 16796/SPP/008/PUSAT/ICON+/2021| 4500016899 | 19624/SPP/008/PUSAT/ICON+/2022 | 4500018866"/>
    <s v="1978/SPP/SBU/ICON+/2023"/>
    <n v="4500021710"/>
    <s v="Fajar Paramita"/>
    <s v="Fenny Intani Dewi"/>
    <s v="021-29037500"/>
    <m/>
    <s v="B180"/>
    <s v="C225"/>
    <s v="D328"/>
    <s v="E318"/>
    <s v="F319"/>
    <s v="G327"/>
    <m/>
    <s v="Biaya OTC Rp.1.500.000"/>
  </r>
  <r>
    <n v="885"/>
    <x v="9"/>
    <x v="200"/>
    <s v="Equity Tower 17th floor suiteF SCBD lot_x000a_ Jl Jend Sudirman Kav 52-53 Jakarta 12190"/>
    <m/>
    <s v="Data Center Infrastructure Indonesia - (Pelanggan PT Primacom Link Bank Sahabat)_x000a_ Jalan Irian 1 Blok GG5-1_x000a_ Kawasan MM2100 Industrial Town_x000a_ Cikarang Barat 17520"/>
    <s v="Sewa Tahunan"/>
    <x v="2"/>
    <x v="655"/>
    <m/>
    <m/>
    <m/>
    <m/>
    <m/>
    <x v="20"/>
    <m/>
    <m/>
    <x v="18"/>
    <m/>
    <x v="220"/>
    <d v="2022-05-31T00:00:00"/>
    <x v="1"/>
    <m/>
    <d v="2024-09-06T00:00:00"/>
    <n v="-829"/>
    <x v="4"/>
    <x v="2"/>
    <s v="071803/SPR/008/PUSAT/ICON+/2016 | 080913/MI/008/PUSAT/ICON+/2016 |07073/SPP/008/PUSAT/ICON+/2017 |4500010581 | 08505/SPP/008/PUSAT/ICON+/2018 | 4500011425 | || 10547/SPP/008/PUSAT/ICON+/2019 | 4500012586 | 13441/SPP/008/PUSAT/ICON+/2020 | 4500014432"/>
    <s v="15564/SPP/008/PUSAT/ICON+/2021"/>
    <n v="4500016057"/>
    <s v="Fajar Paramita"/>
    <s v="Feeny Intani Dewi"/>
    <s v="021-29037500"/>
    <n v="49"/>
    <s v="B101"/>
    <s v="C118"/>
    <s v="D132"/>
    <s v="E76"/>
    <m/>
    <m/>
    <m/>
    <s v="Biaya OTC Rp.1.500.000"/>
  </r>
  <r>
    <n v="886"/>
    <x v="9"/>
    <x v="0"/>
    <s v="Equity Tower 17th floor suiteF SCBD lot_x000a_ Jl Jend Sudirman Kav 52-53 Jakarta 12190"/>
    <m/>
    <s v="Data Center Infrastructure Indonesia - Bank Mizuho (Pelanggan PT Mora Telematika Indonesia SO No. ICON-00/ACT/1605/0529)_x000a_ Jalan Irian 1 Blok GG5-1_x000a_ Kawasan MM2100 Industrial Town_x000a_ Cikarang Barat 17520"/>
    <s v="Sewa Tahunan"/>
    <x v="1"/>
    <x v="656"/>
    <m/>
    <m/>
    <m/>
    <m/>
    <m/>
    <x v="89"/>
    <m/>
    <m/>
    <x v="18"/>
    <m/>
    <x v="646"/>
    <d v="2024-06-23T00:00:00"/>
    <x v="0"/>
    <m/>
    <d v="2024-09-06T00:00:00"/>
    <n v="-75"/>
    <x v="3"/>
    <x v="1"/>
    <s v="05661/SPP/008/PUSAT/ICON+/2016 | 4500009541 |042/DCI/SO/VI/2016 |06889/SPP/008/PUSAT/ICON+/2017 | 4500010486 | 08652/SPP/008/PUSAT/ICON+/2018 | 4500011539 | 10660/SPP/008/PUSAT/ICON+/2019 | 4500012768 | 13455/SPP/008/PUSAT/ICON+/2020 | 4500014435| 15927/SPP/008/PUSAT/ICON+/2021| 4500016260 | 18902/SPP/008/PUSAT/ICON+/2022 | 4500018255"/>
    <s v="21737/SPP/008/PUSAT/ICON+/2023"/>
    <n v="4500020593"/>
    <s v="Fajar Paramita"/>
    <s v="Fenny Intani Dewi"/>
    <s v="021-29037500"/>
    <m/>
    <s v="B78"/>
    <s v="C97"/>
    <s v="D128"/>
    <s v="E127"/>
    <s v="F212"/>
    <s v="G134"/>
    <m/>
    <s v="Biaya OTC Rp.1.500.000"/>
  </r>
  <r>
    <n v="887"/>
    <x v="9"/>
    <x v="0"/>
    <s v="Equity Tower 17th floor suiteF SCBD lot_x000a_ Jl Jend Sudirman Kav 52-53 Jakarta 12190"/>
    <m/>
    <s v="Data Center Infrastructure Indonesia - Bank Mizuho (Pelanggan PT Mora Telematika Indonesia SO No. ICON-00/ACT/1605/0529)_x000a_ Jalan Irian 1 Blok GG5-1_x000a_ Kawasan MM2100 Industrial Town_x000a_ Cikarang Barat 17520"/>
    <s v="Sewa Tahunan"/>
    <x v="1"/>
    <x v="656"/>
    <m/>
    <m/>
    <m/>
    <m/>
    <m/>
    <x v="39"/>
    <m/>
    <m/>
    <x v="18"/>
    <m/>
    <x v="647"/>
    <d v="2025-06-23T00:00:00"/>
    <x v="2"/>
    <m/>
    <d v="2024-09-06T00:00:00"/>
    <n v="290"/>
    <x v="3"/>
    <x v="3"/>
    <m/>
    <s v="3829/SPP/SBU/PLNICONPLUS/2024"/>
    <n v="4500023034"/>
    <s v="Livia Indraswati"/>
    <s v="Fenny Intani Dewi"/>
    <s v="021-29037500"/>
    <m/>
    <m/>
    <m/>
    <m/>
    <m/>
    <m/>
    <m/>
    <s v="H208"/>
    <m/>
  </r>
  <r>
    <n v="888"/>
    <x v="9"/>
    <x v="0"/>
    <s v="Equity Tower 17th floor suiteF SCBD lot_x000a_ Jl Jend Sudirman Kav 52-53 Jakarta 12190"/>
    <m/>
    <s v="Data Center Infrastructure Indonesia - Bank Mizuho (Second Cable)(Pelanggan PT NTT Indonesia SO No. ICON-00/ACT/1605/0719)_x000a_ Jalan Irian 1 Blok GG5-1_x000a_ Kawasan MM2100 Industrial Town_x000a_ Cikarang Barat 17520"/>
    <s v="Sewa Tahunan"/>
    <x v="1"/>
    <x v="54"/>
    <m/>
    <m/>
    <m/>
    <m/>
    <m/>
    <x v="323"/>
    <m/>
    <m/>
    <x v="78"/>
    <m/>
    <x v="646"/>
    <d v="2025-06-23T00:00:00"/>
    <x v="2"/>
    <m/>
    <d v="2024-09-06T00:00:00"/>
    <n v="290"/>
    <x v="3"/>
    <x v="3"/>
    <s v="4500009599 |044/DCI/SO/VI/2016 |06889/SPP/008/PUSAT/ICON+/2017 |4500010486 |08666/SPP/008/PUSAT/ICON+/2018 | 4500011542 | 10699/SPP/008/PUSAT/ICON+/2019 | 4500012767 | 13452/SPP/008/PUSAT/ICON+/2020 | 4500014434| 18902/SPP/008/PUSAT/ICON+/2022| 4500016259 | 18903/SPP/008/PUSAT/ICON+/2022 | 4500018254"/>
    <s v="3139/SPP/SBU/PUSATICONPLUS/2024        "/>
    <n v="4500020592"/>
    <s v="Fajar Paramita"/>
    <s v="Fenny Intani Dewi"/>
    <s v="021-29037500"/>
    <m/>
    <s v="B106"/>
    <s v="C95"/>
    <s v="D131"/>
    <s v="E139"/>
    <s v="F213"/>
    <s v="G136"/>
    <m/>
    <s v="Biaya OTC Rp.1.500.000"/>
  </r>
  <r>
    <n v="889"/>
    <x v="9"/>
    <x v="46"/>
    <s v="Equity Tower 17th floor suiteF SCBD lot_x000a_ Jl Jend Sudirman Kav 52-53 Jakarta 12190"/>
    <m/>
    <s v="DBS (Development Bank Singapore ) MM 2100 Industri town jalan Irian 1 Blok GG5-1 Kawasan Cibitung.DCI Indonesia"/>
    <s v="Sewa Tahunan"/>
    <x v="1"/>
    <x v="657"/>
    <m/>
    <m/>
    <m/>
    <m/>
    <m/>
    <x v="2"/>
    <m/>
    <m/>
    <x v="18"/>
    <m/>
    <x v="648"/>
    <d v="2020-07-18T00:00:00"/>
    <x v="1"/>
    <m/>
    <d v="2024-09-06T00:00:00"/>
    <n v="-1511"/>
    <x v="1"/>
    <x v="5"/>
    <s v="07201/SPP/008/PUSAT/ICON+/2017 |4500010758 | 08703/SPP/008/PUSAT/ICON+/2018 | 4500011554"/>
    <s v="11288/SPP/008/PUSAT/ICON+/2019"/>
    <n v="4500013041"/>
    <s v="Fajar Paramita"/>
    <s v="Feeny Intani Dewi"/>
    <s v="021-29037500"/>
    <n v="63"/>
    <s v="B108"/>
    <s v="C151"/>
    <m/>
    <m/>
    <m/>
    <m/>
    <m/>
    <s v="Biaya OTC Rp.1.500.000"/>
  </r>
  <r>
    <n v="890"/>
    <x v="9"/>
    <x v="600"/>
    <s v="Equity Tower 17th floor suiteF SCBD lot_x000a_ Jl Jend Sudirman Kav 52-53 Jakarta 12196"/>
    <m/>
    <s v="DC Telkomsigma BSD - PT Sarana Yukti Bandhana, Jl.Pahlawan Seribu No.1, Lengkong Wetan,"/>
    <s v="Sewa Tahunan"/>
    <x v="2"/>
    <x v="455"/>
    <m/>
    <m/>
    <m/>
    <m/>
    <m/>
    <x v="30"/>
    <m/>
    <m/>
    <x v="18"/>
    <m/>
    <x v="649"/>
    <d v="2024-04-06T00:00:00"/>
    <x v="1"/>
    <m/>
    <d v="2024-09-06T00:00:00"/>
    <n v="-153"/>
    <x v="10"/>
    <x v="1"/>
    <s v="18398/SPP/008/PUSAT/ICON+/2022 | 4500017862"/>
    <m/>
    <n v="4500020737"/>
    <s v="Fajar Paramita"/>
    <s v="Fenny Intani Dewi"/>
    <s v="021-29037501"/>
    <m/>
    <m/>
    <m/>
    <m/>
    <m/>
    <s v="F105"/>
    <s v="G224"/>
    <m/>
    <s v="Biaya OTC Rp.1.500.000"/>
  </r>
  <r>
    <n v="891"/>
    <x v="9"/>
    <x v="601"/>
    <s v="Equity Tower 17th floor suiteF SCBD lot_x000a_ Jl Jend Sudirman Kav 52-53 Jakarta 12196"/>
    <m/>
    <s v="DCI - Jl. Halmahera Blok F1 No.1, Danau Indah, Cikarang Barat, Kab. Bekasi"/>
    <s v="Sewa Tahunan"/>
    <x v="2"/>
    <x v="658"/>
    <m/>
    <m/>
    <m/>
    <m/>
    <m/>
    <x v="324"/>
    <m/>
    <m/>
    <x v="18"/>
    <m/>
    <x v="650"/>
    <d v="2020-05-26T00:00:00"/>
    <x v="1"/>
    <m/>
    <d v="2024-09-06T00:00:00"/>
    <n v="-1564"/>
    <x v="4"/>
    <x v="5"/>
    <s v="Baru"/>
    <s v="10952/SPP/008/PUSAT/ICON+/2019"/>
    <s v="4500012890"/>
    <s v="Fajar Paramita"/>
    <m/>
    <m/>
    <m/>
    <m/>
    <s v="C114"/>
    <m/>
    <m/>
    <m/>
    <m/>
    <m/>
    <s v="Biaya OTC Rp.1.500.000"/>
  </r>
  <r>
    <n v="892"/>
    <x v="9"/>
    <x v="602"/>
    <s v="Equity Tower 17th floor suiteF SCBD lot_x000a_ Jl Jend Sudirman Kav 52-53 Jakarta 12196"/>
    <m/>
    <s v="DCI Cibitung Akulaku Alicloud Jl. Irian, GG 5-1, Kawasan Industri MM 2100, Cikarang Barat, Bekasi, Jawa Barat, Indonesia, 17530"/>
    <s v="Sewa Tahunan"/>
    <x v="2"/>
    <x v="239"/>
    <m/>
    <m/>
    <m/>
    <m/>
    <m/>
    <x v="145"/>
    <m/>
    <m/>
    <x v="18"/>
    <m/>
    <x v="651"/>
    <d v="2023-06-08T00:00:00"/>
    <x v="1"/>
    <m/>
    <d v="2024-09-06T00:00:00"/>
    <n v="-456"/>
    <x v="3"/>
    <x v="6"/>
    <s v="15970/SPP/008/PUSAT/ICON+/2021| 4500016290"/>
    <s v="18914/SPP/008/PUSAT/ICON+/2022"/>
    <n v="4500018325"/>
    <s v="Fajar Paramita"/>
    <s v="Fenny Intani Dewi"/>
    <s v="021-29037500"/>
    <m/>
    <m/>
    <m/>
    <m/>
    <s v="E64"/>
    <s v="F349"/>
    <m/>
    <m/>
    <s v="Biaya OTC Rp.1.500.000"/>
  </r>
  <r>
    <n v="893"/>
    <x v="9"/>
    <x v="214"/>
    <s v="Equity Tower 17th floor suiteF SCBD lot_x000a_ Jl Jend Sudirman Kav 52-53 Jakarta 12196"/>
    <m/>
    <s v="DCI Cibitung Akulaku Alicloud Jl. Irian, GG 5-1, Kawasan Industri MM 2100, Cikarang Barat, Bekasi, Jawa Barat, Indonesia, 17530"/>
    <s v="Sewa Tahunan"/>
    <x v="2"/>
    <x v="659"/>
    <m/>
    <m/>
    <m/>
    <m/>
    <m/>
    <x v="6"/>
    <m/>
    <m/>
    <x v="18"/>
    <m/>
    <x v="573"/>
    <d v="2025-06-10T00:00:00"/>
    <x v="2"/>
    <m/>
    <d v="2024-09-06T00:00:00"/>
    <n v="277"/>
    <x v="3"/>
    <x v="3"/>
    <s v="15998/SPP/008/PUSAT/ICON+/2021 | 4500016291 | 19120/SPP/008/PUSAT/ICON+/2022 | 4500018823 | 651/SPP/SBU/ICON+/2023 | 4500020748"/>
    <s v="3140/SPP/SBU/PLNICONPLUS/2024"/>
    <n v="4500022663"/>
    <s v="Fajar Paramita"/>
    <s v="Livia Indraswati"/>
    <s v="021-29037500"/>
    <m/>
    <m/>
    <m/>
    <m/>
    <s v="E97"/>
    <s v="F321"/>
    <s v="G220"/>
    <s v="H162"/>
    <s v="Biaya OTC Rp.1.500.000"/>
  </r>
  <r>
    <n v="894"/>
    <x v="9"/>
    <x v="603"/>
    <s v="Equity Tower 17th floor suiteF SCBD lot_x000a_ Jl Jend Sudirman Kav 52-53 Jakarta 12196"/>
    <m/>
    <s v="DCI Cibitung Gd. JK 1 Jl. Halmahera Blok. F1 No. 1, Danau Indah, Cikarang Barat, Bekasi"/>
    <s v="Sewa Tahunan"/>
    <x v="2"/>
    <x v="660"/>
    <m/>
    <m/>
    <m/>
    <m/>
    <m/>
    <x v="272"/>
    <m/>
    <m/>
    <x v="18"/>
    <m/>
    <x v="652"/>
    <d v="2025-02-07T00:00:00"/>
    <x v="2"/>
    <m/>
    <d v="2024-09-06T00:00:00"/>
    <n v="154"/>
    <x v="9"/>
    <x v="3"/>
    <s v="17765/SPP/008/PUSAT/ICON+/2022 | 4500017576 | 21497 | 4500020355"/>
    <n v="2661"/>
    <n v="4500022260"/>
    <s v="Fajar Paramita"/>
    <s v="Fenny Intani Dewi"/>
    <s v="021-29037500"/>
    <m/>
    <m/>
    <m/>
    <m/>
    <m/>
    <s v="F32"/>
    <s v="G212"/>
    <s v="H73"/>
    <s v="Biaya OTC Rp.1.500.000"/>
  </r>
  <r>
    <n v="895"/>
    <x v="9"/>
    <x v="603"/>
    <s v="Equity Tower 17th floor suiteF SCBD lot_x000a_ Jl Jend Sudirman Kav 52-53 Jakarta 12196"/>
    <m/>
    <s v="DCI Cibitung Gd. JK 1 JL. Halmahera Blok. F1 No.1 Danau Indah, Cikarang Barat, Bekasi"/>
    <s v="Sewa Tahunan"/>
    <x v="2"/>
    <x v="661"/>
    <m/>
    <m/>
    <m/>
    <m/>
    <m/>
    <x v="325"/>
    <m/>
    <m/>
    <x v="309"/>
    <m/>
    <x v="653"/>
    <d v="2025-05-12T00:00:00"/>
    <x v="2"/>
    <m/>
    <d v="2024-09-06T00:00:00"/>
    <n v="248"/>
    <x v="4"/>
    <x v="3"/>
    <s v="18596/SPP/008/PUSAT/ICON+/2022 | 4500018020"/>
    <s v="3542/SPP/SBU/PLNICONPLUS/2024"/>
    <n v="4500022942"/>
    <s v="Fajar Paramita"/>
    <s v="Fenny Intani Dewi"/>
    <s v="021-29037501"/>
    <m/>
    <m/>
    <m/>
    <m/>
    <m/>
    <s v="F146"/>
    <s v="G221"/>
    <s v="H227"/>
    <s v="Biaya OTC Rp.1.500.000"/>
  </r>
  <r>
    <n v="896"/>
    <x v="9"/>
    <x v="604"/>
    <s v="Equity Tower 17th floor suiteF SCBD lot_x000a_ Jl Jend Sudirman Kav 52-53 Jakarta 12196"/>
    <m/>
    <s v="DCI Cibitung gedung JK 1, Jl. Halmahera Blok F1 No.1, Danau Indah, Kec. Cikarang Bar., Bekasi, Jawa Barat"/>
    <s v="Sewa Tahunan"/>
    <x v="2"/>
    <x v="112"/>
    <m/>
    <m/>
    <m/>
    <m/>
    <m/>
    <x v="17"/>
    <m/>
    <m/>
    <x v="310"/>
    <m/>
    <x v="654"/>
    <d v="2025-03-22T00:00:00"/>
    <x v="2"/>
    <m/>
    <d v="2024-09-06T00:00:00"/>
    <n v="197"/>
    <x v="8"/>
    <x v="3"/>
    <s v="12942/SPP/008/PUSAT/ICON+/2020 | 4500014094|15766/SPP/008/PUSAT/ICON+/2021|4500015880- | 18426/SPP/008/PUSAT/ICON+/2022 | 4500017893"/>
    <s v="3246/SPP/SBU/PLNICON/2024"/>
    <n v="4500022624"/>
    <s v="Fajar Paramita"/>
    <s v="Fenny Intani Dewi"/>
    <s v="021-29037500"/>
    <m/>
    <m/>
    <m/>
    <s v="D79"/>
    <s v="E55"/>
    <s v="F200"/>
    <s v="G210"/>
    <s v="H223"/>
    <s v="Biaya OTC Rp.1.500.000"/>
  </r>
  <r>
    <n v="897"/>
    <x v="9"/>
    <x v="188"/>
    <s v="Equity Tower 17th floor suiteF SCBD lot_x000a_ Jl Jend Sudirman Kav 52-53 Jakarta 12196"/>
    <s v="-"/>
    <s v="DCI Cikarang Gedung JKT2 lantai 3 Rack 13 - Jl. Halmahera Blok F1 No.1, Danau Indah, Cikarang Barat, Kabupaten Bekasi, Jawa Barat, Indonesia, 17530"/>
    <s v="Sewa Tahunan"/>
    <x v="2"/>
    <x v="662"/>
    <m/>
    <m/>
    <m/>
    <m/>
    <m/>
    <x v="326"/>
    <m/>
    <m/>
    <x v="10"/>
    <m/>
    <x v="655"/>
    <d v="2024-09-26T00:00:00"/>
    <x v="2"/>
    <m/>
    <d v="2024-09-06T00:00:00"/>
    <n v="20"/>
    <x v="7"/>
    <x v="1"/>
    <s v="16780/SPP/008/PUSAT/ICON+/2021 | 4500016819 | 19757 | 4500018825"/>
    <n v="1959"/>
    <n v="4500018825"/>
    <s v="Fajar Paramita"/>
    <s v="Fenny Intani Dewi"/>
    <s v="021-29037500"/>
    <m/>
    <m/>
    <m/>
    <m/>
    <s v="E279"/>
    <s v="F323"/>
    <s v="H15"/>
    <m/>
    <s v="Biaya OTC Rp.1.500.000"/>
  </r>
  <r>
    <n v="898"/>
    <x v="9"/>
    <x v="605"/>
    <s v="Equity Tower 17th floor suiteF SCBD lot_x000a_ Jl Jend Sudirman Kav 52-53 Jakarta 12196"/>
    <m/>
    <s v="DCI Equinix (Cibitung), JL Halmahera blok F1 no 1, Danau indah"/>
    <s v="Sewa Tahunan"/>
    <x v="2"/>
    <x v="84"/>
    <m/>
    <m/>
    <m/>
    <m/>
    <m/>
    <x v="165"/>
    <m/>
    <m/>
    <x v="18"/>
    <m/>
    <x v="656"/>
    <d v="2025-03-18T00:00:00"/>
    <x v="2"/>
    <m/>
    <d v="2024-09-06T00:00:00"/>
    <n v="193"/>
    <x v="8"/>
    <x v="3"/>
    <s v="08454/SPP/008/PUSAT/ICON+/2018 | 4500011385 | 10203/SPP/008/PUSAT/ICON+/2019 | 4500012491 | 12773/SPP/008/PUSAT/ICON+/2020 | 4500014092 | 15461/SPP/008/PUSAT/ICON+/2021 | 4500015870 | 21410 | 4500020023"/>
    <m/>
    <n v="4500022158"/>
    <s v="Fajar Paramita"/>
    <s v="Fenny Intani Dewi"/>
    <s v="021-29037500"/>
    <m/>
    <m/>
    <s v="C53"/>
    <s v="D72"/>
    <s v="E43"/>
    <m/>
    <s v="G75"/>
    <s v="H42"/>
    <s v="Biaya OTC Rp.1.500.000"/>
  </r>
  <r>
    <n v="899"/>
    <x v="9"/>
    <x v="39"/>
    <s v="Equity Tower 17th floor suiteF SCBD lot_x000a_ Jl Jend Sudirman Kav 52-53 Jakarta 12196"/>
    <m/>
    <s v="Equity Tower 17th Floor Suite F Jl. Jend Sudirman Kav. 52-53 Jakarta"/>
    <s v="Sewa Tahunan"/>
    <x v="1"/>
    <x v="663"/>
    <m/>
    <m/>
    <m/>
    <m/>
    <m/>
    <x v="36"/>
    <m/>
    <m/>
    <x v="7"/>
    <m/>
    <x v="657"/>
    <d v="2025-03-08T00:00:00"/>
    <x v="2"/>
    <m/>
    <d v="2024-09-06T00:00:00"/>
    <n v="183"/>
    <x v="8"/>
    <x v="3"/>
    <s v="08492/SPP/008/PUSAT/ICON+/2018 | 4500011419 | 10325/SPP/008/PUSAT/ICON+/2019 | 4500012484 | 12832/SPP/008/PUSAT/ICON+/2020 | 4500014090| 4500015871 | 18354/SPP/008/PUSAT/ICON+/2022 | 4500017870"/>
    <s v="3210/SPP/SBU/PLNICONPLUS/2024_x0009_"/>
    <n v="4500022623"/>
    <s v="Fajar Paramita"/>
    <s v="Fenny Intani Dewi"/>
    <s v="021-29037500"/>
    <m/>
    <s v="B53"/>
    <s v="C51"/>
    <s v="D73"/>
    <s v="E57"/>
    <s v="F197"/>
    <s v="G74"/>
    <s v="H217"/>
    <s v="Biaya OTC Rp.1.500.000"/>
  </r>
  <r>
    <n v="900"/>
    <x v="9"/>
    <x v="606"/>
    <s v="Equity Tower 17th floor suiteF SCBD lot_x000a_ Jl Jend Sudirman Kav 52-53 Jakarta 12196"/>
    <m/>
    <s v="Equity Tower 17th Floor Suite F Jl. Jend Sudirman Kav. 52-53 Jakarta"/>
    <s v="Sewa Tahunan"/>
    <x v="1"/>
    <x v="664"/>
    <m/>
    <m/>
    <m/>
    <m/>
    <m/>
    <x v="327"/>
    <m/>
    <m/>
    <x v="237"/>
    <m/>
    <x v="658"/>
    <d v="2024-09-06T00:00:00"/>
    <x v="2"/>
    <m/>
    <d v="2024-09-06T00:00:00"/>
    <n v="0"/>
    <x v="7"/>
    <x v="1"/>
    <s v="09058/SPP/008/PUSAT/ICON+/2018 | 4500011816 | 11547/SPP/008/PUSAT/ICON+/2019 | 4500013288 | 4500015126| 16578//SPP/008/PUSAT/ICON+/2021| 4500016755 | 4500018824"/>
    <s v="1441/SPP/SBU/ICON+/2023"/>
    <n v="4500021341"/>
    <s v="Fajar Paramita"/>
    <s v="Fenny Intani Dewi"/>
    <s v="021-29037500"/>
    <m/>
    <s v="B195"/>
    <s v="C242"/>
    <s v="D339"/>
    <s v="E308"/>
    <s v="F320"/>
    <s v="G313"/>
    <m/>
    <s v="Biaya OTC Rp.1.500.000"/>
  </r>
  <r>
    <n v="901"/>
    <x v="9"/>
    <x v="607"/>
    <s v="Equity Tower 17th floor suiteF SCBD lot_x000a_ Jl Jend Sudirman Kav 52-53 Jakarta 12191"/>
    <m/>
    <s v="Gedung Equity Tower 17th Floor Suite F, SCBD Lot. 9 Jl. Jend Sudirman Kav 52 - 53"/>
    <s v="Sewa Tahunan"/>
    <x v="1"/>
    <x v="101"/>
    <m/>
    <m/>
    <m/>
    <m/>
    <m/>
    <x v="70"/>
    <m/>
    <m/>
    <x v="18"/>
    <m/>
    <x v="659"/>
    <d v="2021-12-02T00:00:00"/>
    <x v="1"/>
    <m/>
    <d v="2024-09-06T00:00:00"/>
    <n v="-1009"/>
    <x v="5"/>
    <x v="4"/>
    <s v="07722/SPP/008/PUSAT/ICON+/2017 4500011011 | 09436/SPP/008/PUSAT/ICON+/2018 | 4500012009 | 12161/SPP/008/PUSAT/ICON+/2019 | 4500013642 | 14933/SPP/008/PUSAT/ICON+/2020 | 4500015482"/>
    <s v="14933/SPP/008/PUSAT/ICON+/2020"/>
    <n v="4500015482"/>
    <s v="Fajar Paramita"/>
    <s v="Feeny Intani Dewi"/>
    <s v="021-29037500"/>
    <n v="164"/>
    <s v="B275"/>
    <s v="C289"/>
    <s v="D391"/>
    <s v="E180"/>
    <m/>
    <m/>
    <m/>
    <s v="Biaya OTC Rp.1.500.000"/>
  </r>
  <r>
    <n v="902"/>
    <x v="9"/>
    <x v="53"/>
    <s v="Equity Tower 17th floor suiteF SCBD lot_x000a_ Jl Jend Sudirman Kav 52-53 Jakarta 12196"/>
    <m/>
    <s v="Gedung Equity Tower 17th Floor Suite F, SCBD Lot. 9 Jl. Jend Sudirman Kav 52 - 53"/>
    <s v="Sewa Tahunan"/>
    <x v="1"/>
    <x v="121"/>
    <m/>
    <m/>
    <m/>
    <m/>
    <m/>
    <x v="35"/>
    <m/>
    <m/>
    <x v="18"/>
    <m/>
    <x v="660"/>
    <d v="2024-10-31T00:00:00"/>
    <x v="2"/>
    <m/>
    <d v="2024-09-06T00:00:00"/>
    <n v="55"/>
    <x v="6"/>
    <x v="1"/>
    <s v="09554/SPP/008/PUSAT/ICON+/2018 | 4500012070 | 11673/SPP/008/PUSAT/ICON+/2019| 4500013535| 14022/SPP/008/PUSAT/ICON+/2020| 4500014890 | 17439/SPP/008/PUSAT/ICON+/2021 | 4500017314 | 20182/SPP/008/PUSAT/ICON+/2022 | 4500019324"/>
    <s v="1504/SPP/SBU/ICON+/2023_x0009_"/>
    <n v="4500021367"/>
    <s v="Fajar Paramita"/>
    <s v="Fenny Intani Dewi"/>
    <s v="021-29037500"/>
    <s v="-"/>
    <s v="B243"/>
    <s v="C300"/>
    <s v="D187"/>
    <s v="F83"/>
    <s v="F420"/>
    <s v="G343"/>
    <m/>
    <s v="Biaya OTC Rp.1.500.000"/>
  </r>
  <r>
    <n v="903"/>
    <x v="9"/>
    <x v="608"/>
    <s v="Equity Tower 17th floor suiteF SCBD lot_x000a_ Jl Jend Sudirman Kav 52-53 Jakarta 12190"/>
    <m/>
    <s v="Gedung Equity Tower 17th Floor Suite F, SCBD Lot. 9 Jl. Jend Sudirman Kav 52 – 53"/>
    <s v="Sewa Tahunan"/>
    <x v="1"/>
    <x v="665"/>
    <m/>
    <m/>
    <m/>
    <m/>
    <m/>
    <x v="328"/>
    <m/>
    <m/>
    <x v="18"/>
    <m/>
    <x v="661"/>
    <d v="2022-09-28T00:00:00"/>
    <x v="1"/>
    <m/>
    <d v="2024-09-06T00:00:00"/>
    <n v="-709"/>
    <x v="7"/>
    <x v="2"/>
    <s v="071803/SPR/008/PUSAT/ICON+/2016 | 080913/MI/008/PUSAT/ICON+/2016 | 07628/SPP/008/PUSAT/ICON+/2017 | 4500010941 | 08939/SPP/008/PUSAT/ICON+/2018 | 4500011696 | | 11451/SPP/008/PUSAT/ICON+/2019 |13714/SPP/008/PUSAT/ICON+/2020 | 4500013192 | 4500014632"/>
    <s v="16303/SPP/008/PUSAT/ICON+/2021"/>
    <n v="4500016491"/>
    <s v="Fajar Paramita"/>
    <s v="Feeny Intani Dewi"/>
    <s v="021-29037500"/>
    <m/>
    <s v="B170"/>
    <s v="C176"/>
    <s v="D149"/>
    <s v="E252"/>
    <m/>
    <m/>
    <m/>
    <s v="Biaya OTC Rp.1.500.000"/>
  </r>
  <r>
    <n v="904"/>
    <x v="9"/>
    <x v="609"/>
    <s v="Equity Tower 17th floor suiteF SCBD lot_x000a_ Jl Jend Sudirman Kav 52-53 Jakarta 12196"/>
    <m/>
    <s v="Gedung JK 3, Jl. Irian I Blok GG 5-1, Kawasan MM 2100, Cibitung, Kabupaten Bekasi, Jawa Barat, Indonesia,"/>
    <s v="Sewa Tahunan"/>
    <x v="2"/>
    <x v="489"/>
    <m/>
    <m/>
    <m/>
    <m/>
    <m/>
    <x v="118"/>
    <m/>
    <m/>
    <x v="10"/>
    <m/>
    <x v="662"/>
    <d v="2024-10-25T00:00:00"/>
    <x v="2"/>
    <m/>
    <d v="2024-09-06T00:00:00"/>
    <n v="49"/>
    <x v="6"/>
    <x v="1"/>
    <s v="17052/SPP/008/PUSAT/ICON+/2021 | 4500017113 | 20239/SPP/008/PUSAT/ICON+/2022  | 4500019325"/>
    <s v="1677/SPP/SBU/ICON+/2023_x0009_"/>
    <n v="4500021694"/>
    <s v="Fajar Paramita"/>
    <s v="Fenny Intani Dewi"/>
    <s v="021-29037500"/>
    <m/>
    <m/>
    <m/>
    <m/>
    <s v="E330"/>
    <s v="F419"/>
    <s v="G319"/>
    <m/>
    <s v="Biaya OTC Rp.1.500.000"/>
  </r>
  <r>
    <n v="905"/>
    <x v="9"/>
    <x v="610"/>
    <s v="Equity Tower 17th floor suiteF SCBD lot_x000a_ Jl Jend Sudirman Kav 52-53 Jakarta 12196"/>
    <m/>
    <s v="Gedung JK 3, Jl. IRIAN I Blok GG 5-1, Kawasan MM 2100,Cibitung"/>
    <s v="Sewa Tahunan"/>
    <x v="2"/>
    <x v="393"/>
    <m/>
    <m/>
    <m/>
    <m/>
    <m/>
    <x v="211"/>
    <m/>
    <m/>
    <x v="128"/>
    <m/>
    <x v="630"/>
    <d v="2024-11-30T00:00:00"/>
    <x v="2"/>
    <m/>
    <d v="2024-09-06T00:00:00"/>
    <n v="85"/>
    <x v="2"/>
    <x v="1"/>
    <s v="20660/SPP/008/PUSAT/ICON+/2022 | 4500019532"/>
    <s v="1678/SPP/SBU/ICON+/2023"/>
    <n v="4500021708"/>
    <s v="Fajar Paramita"/>
    <s v="Fenny Intani Dewi"/>
    <s v="021-29037501"/>
    <m/>
    <m/>
    <m/>
    <m/>
    <m/>
    <s v="F365"/>
    <s v="G328"/>
    <m/>
    <s v="Biaya OTC Rp.1.500.000"/>
  </r>
  <r>
    <n v="906"/>
    <x v="9"/>
    <x v="600"/>
    <s v="Equity Tower 17th floor suiteF SCBD lot_x000a_ Jl Jend Sudirman Kav 52-53 Jakarta 12194"/>
    <m/>
    <s v="H2H - Data Center KAI Bandung, Jl. Perintis Kemerdekaan No. 1 Babakan Ciamis, Kec. Sumur Bandung, Kota Bandung, Jawa Barat,"/>
    <s v="Sewa Tahunan"/>
    <x v="2"/>
    <x v="468"/>
    <m/>
    <m/>
    <m/>
    <m/>
    <m/>
    <x v="35"/>
    <m/>
    <m/>
    <x v="18"/>
    <m/>
    <x v="663"/>
    <d v="2024-10-23T00:00:00"/>
    <x v="1"/>
    <m/>
    <d v="2024-09-06T00:00:00"/>
    <n v="47"/>
    <x v="6"/>
    <x v="1"/>
    <s v="11881/SPP/008/PUSAT/ICON+/2019 | 4500013473| 14313/SPP/008/PUSAT/ICON+/2020| 4500015107 | 4500015107 | 19674/SPP/008/PUSAT/ICON+/2022 | 4500018867"/>
    <s v="2111/SPP/SBU/ICON+/2023"/>
    <n v="4500021962"/>
    <s v="Fajar Paramita"/>
    <s v="Fenny Intani Dewi"/>
    <s v="021-29037503"/>
    <m/>
    <m/>
    <s v="C233"/>
    <s v="D341"/>
    <m/>
    <s v="F318"/>
    <s v="G391"/>
    <m/>
    <s v="Biaya OTC Rp.1.500.000"/>
  </r>
  <r>
    <n v="907"/>
    <x v="9"/>
    <x v="600"/>
    <s v="Equity Tower 17th floor suiteF SCBD lot_x000a_ Jl Jend Sudirman Kav 52-53 Jakarta 12196"/>
    <m/>
    <s v="H2H Kantor Pusat Direktorat Jenderal Pajak Jl. Gatot Subroto No. Kav 40-42, RT.7/RW.1 Senayan, Kec. Kebayoran Baru, Jakarta Selatan"/>
    <s v="Sewa Tahunan"/>
    <x v="2"/>
    <x v="111"/>
    <m/>
    <m/>
    <m/>
    <m/>
    <m/>
    <x v="35"/>
    <m/>
    <m/>
    <x v="18"/>
    <m/>
    <x v="664"/>
    <d v="2024-03-08T00:00:00"/>
    <x v="1"/>
    <m/>
    <d v="2024-09-06T00:00:00"/>
    <n v="-182"/>
    <x v="8"/>
    <x v="1"/>
    <s v="12820/SPP/008/PUSAT/ICON+/2020 | 4500014027| 15123/SPP/008/PUSAT/ICON+/2021| 4500015715 | 18179/SPP/008/PUSAT/ICON+/2022 | 4500017798"/>
    <m/>
    <n v="4500020437"/>
    <s v="Fajar Paramita"/>
    <s v="Fenny Intani Dewi"/>
    <s v="021-29037503"/>
    <m/>
    <m/>
    <m/>
    <s v="D50"/>
    <s v="E169"/>
    <s v="F121"/>
    <s v="G112"/>
    <m/>
    <s v="Biaya OTC Rp.1.500.000"/>
  </r>
  <r>
    <n v="908"/>
    <x v="9"/>
    <x v="611"/>
    <s v="Equity Tower 17th floor suiteF SCBD lot_x000a_ Jl Jend Sudirman Kav 52-53 Jakarta 12192"/>
    <m/>
    <s v="H2H PT DCI Indonesia, Gedung JK2, Jl. Irian I Blok GG 5-1, Kawasan MM 2100, Cibitung, Bekasi, Jawa Barat"/>
    <s v="Sewa Tahunan"/>
    <x v="2"/>
    <x v="153"/>
    <m/>
    <m/>
    <m/>
    <m/>
    <m/>
    <x v="33"/>
    <m/>
    <m/>
    <x v="10"/>
    <m/>
    <x v="665"/>
    <d v="2024-08-15T00:00:00"/>
    <x v="2"/>
    <m/>
    <d v="2024-09-06T00:00:00"/>
    <n v="-22"/>
    <x v="12"/>
    <x v="1"/>
    <s v="11462/SPP/008/PUSAT/ICON+/2019 | 4500013141| 16438/SPP/008/PUSAT/ICON+/2021| 4500016561 | 19212/SPP/008/PUSAT/ICON+/2022 | 4500018447"/>
    <s v="487/SPP/SBU/ICON+/2023"/>
    <n v="4500020734"/>
    <s v="Fajar Paramita"/>
    <s v="Fenny Intani Dewi"/>
    <s v="021-29037501"/>
    <m/>
    <m/>
    <s v="C165"/>
    <m/>
    <s v="E228"/>
    <s v="F256"/>
    <s v="G169"/>
    <m/>
    <s v="Biaya OTC Rp.1.500.000"/>
  </r>
  <r>
    <n v="909"/>
    <x v="9"/>
    <x v="611"/>
    <s v="Equity Tower 17th floor suiteF SCBD lot_x000a_ Jl Jend Sudirman Kav 52-53 Jakarta 12195"/>
    <m/>
    <s v="H2H PT DCI Indonesia, Gedung JK2, Jl. Irian I Blok GG 5-1, Kawasan MM 2100, Cibitung, Bekasi, Jawa Barat"/>
    <s v="Sewa Tahunan"/>
    <x v="2"/>
    <x v="666"/>
    <m/>
    <m/>
    <m/>
    <m/>
    <m/>
    <x v="10"/>
    <m/>
    <m/>
    <x v="10"/>
    <m/>
    <x v="591"/>
    <d v="2025-01-26T00:00:00"/>
    <x v="2"/>
    <m/>
    <d v="2024-09-06T00:00:00"/>
    <n v="142"/>
    <x v="11"/>
    <x v="3"/>
    <s v="12521/SPP/008/PUSAT/ICON+/2020 | 4500013824| 15140/SPP/008/PUSAT/ICON+/2021| 4500015714 | 17624/SPP/008/PUSAT/ICON+/2022 | 4500017500 | 21077 | 4500019996"/>
    <n v="2579"/>
    <n v="4500022244"/>
    <s v="Fajar Paramita"/>
    <s v="Fenny Intani Dewi"/>
    <m/>
    <m/>
    <m/>
    <m/>
    <s v="D14"/>
    <s v="E152"/>
    <s v="F126"/>
    <s v="G53"/>
    <s v="H70"/>
    <s v="Biaya OTC Rp.1.500.000"/>
  </r>
  <r>
    <n v="910"/>
    <x v="9"/>
    <x v="600"/>
    <s v="Equity Tower 17th floor suiteF SCBD lot_x000a_ Jl Jend Sudirman Kav 52-53 Jakarta 12193"/>
    <m/>
    <s v="H2H, (Backhaul) DCI Data Center Jl. Halmahera Blok F1 No.1, Danau Indah, Kec. Cikarang Barat, Kota Bekasi, Jawa Barat"/>
    <s v="Sewa Tahunan"/>
    <x v="2"/>
    <x v="667"/>
    <m/>
    <m/>
    <m/>
    <m/>
    <m/>
    <x v="16"/>
    <m/>
    <m/>
    <x v="79"/>
    <m/>
    <x v="666"/>
    <d v="2024-08-04T00:00:00"/>
    <x v="1"/>
    <m/>
    <d v="2024-09-06T00:00:00"/>
    <n v="-33"/>
    <x v="12"/>
    <x v="1"/>
    <s v="11382/SPP/008/PUSAT/ICON+/2019| 4500013131 | 13890/SPP/008/PUSAT/ICON+/2020 | 4500014837| 16288/SPP/008/PUSAT/ICON+/2021| 4500016492 | 18845/SPP/008/PUSAT/ICON+/2022 | 4500018256"/>
    <s v="941/SPP/SBU/ICON+/2023_x0009_"/>
    <n v="4500021185"/>
    <s v="Fajar Paramita"/>
    <s v="Fenny Intani Dewi"/>
    <s v="021-29037502"/>
    <m/>
    <m/>
    <s v="C161"/>
    <s v="D177"/>
    <s v="E254"/>
    <s v="F211"/>
    <s v="G236"/>
    <m/>
    <s v="Biaya OTC Rp.1.500.000"/>
  </r>
  <r>
    <n v="911"/>
    <x v="9"/>
    <x v="612"/>
    <s v="Equity Tower 17th floor suiteF SCBD lot_x000a_ Jl Jend Sudirman Kav 52-53 Jakarta 12196"/>
    <s v="DCI Cibitung, Jl. Halmahera No.1, danau Indah,  Kecamatan Cikarang Barat,  Bekasi,  Jawa Barat,  Indonesia,  17530"/>
    <s v="Jl. Gatot Subroto No.Kav 36-38, Kecamatan Kebayoran baru, Jakarta Selatan, DKI Jakarta, Indonesia, 12190"/>
    <s v="Sewa Tahunan"/>
    <x v="2"/>
    <x v="529"/>
    <m/>
    <m/>
    <m/>
    <m/>
    <m/>
    <x v="7"/>
    <m/>
    <m/>
    <x v="18"/>
    <m/>
    <x v="667"/>
    <d v="2025-01-25T00:00:00"/>
    <x v="2"/>
    <m/>
    <d v="2024-09-06T00:00:00"/>
    <n v="141"/>
    <x v="11"/>
    <x v="3"/>
    <n v="17615"/>
    <n v="2452"/>
    <n v="4500022159"/>
    <s v="Fajar Paramita"/>
    <s v="Fenny Intani Dewi"/>
    <s v="021-29037501"/>
    <m/>
    <m/>
    <m/>
    <m/>
    <m/>
    <s v="F27"/>
    <m/>
    <s v="H45"/>
    <s v="Biaya OTC Rp.1.500.000"/>
  </r>
  <r>
    <n v="912"/>
    <x v="9"/>
    <x v="613"/>
    <s v="Equity Tower 17th floor suiteF SCBD lot_x000a_ Jl Jend Sudirman Kav 52-53 Jakarta 12196"/>
    <m/>
    <s v="Jl. Halmahera Kawasan Industri MM2100"/>
    <s v="Sewa Tahunan"/>
    <x v="2"/>
    <x v="502"/>
    <m/>
    <m/>
    <m/>
    <m/>
    <m/>
    <x v="30"/>
    <m/>
    <m/>
    <x v="10"/>
    <m/>
    <x v="574"/>
    <d v="2024-05-29T00:00:00"/>
    <x v="0"/>
    <m/>
    <d v="2024-09-06T00:00:00"/>
    <n v="-100"/>
    <x v="4"/>
    <x v="1"/>
    <s v="18650/SPP/008/PUSAT/ICON+/2022 | 4500018058 | 638/SPP/SBU/ICON+/2023 | 4500020746"/>
    <s v="638/SPP/SBU/ICON+/2023"/>
    <n v="4500020746"/>
    <s v="Fajar Paramita"/>
    <s v="Fenny Intani Dewi"/>
    <s v="021-29037501"/>
    <m/>
    <m/>
    <m/>
    <m/>
    <m/>
    <s v="F153"/>
    <s v="G222"/>
    <m/>
    <s v="Biaya OTC Rp.1.500.000"/>
  </r>
  <r>
    <n v="913"/>
    <x v="9"/>
    <x v="613"/>
    <s v="Equity Tower 17th floor suiteF SCBD lot_x000a_ Jl Jend Sudirman Kav 52-53 Jakarta 12196"/>
    <m/>
    <s v="Jl. Halmahera Kawasan Industri MM2100"/>
    <s v="Sewa Tahunan"/>
    <x v="2"/>
    <x v="502"/>
    <m/>
    <m/>
    <m/>
    <m/>
    <m/>
    <x v="30"/>
    <m/>
    <m/>
    <x v="10"/>
    <m/>
    <x v="668"/>
    <d v="2025-05-29T00:00:00"/>
    <x v="2"/>
    <m/>
    <d v="2024-09-06T00:00:00"/>
    <n v="265"/>
    <x v="4"/>
    <x v="3"/>
    <m/>
    <s v="3205/SPP/SBU/PLNICONPLUS/2024"/>
    <n v="4500022698"/>
    <s v="Fajar Paramita"/>
    <s v="Fenny Intani Dewi"/>
    <s v="021-29037501"/>
    <m/>
    <m/>
    <m/>
    <m/>
    <m/>
    <m/>
    <m/>
    <s v="H256"/>
    <m/>
  </r>
  <r>
    <n v="914"/>
    <x v="9"/>
    <x v="614"/>
    <s v="Equity Tower 17th floor suiteF SCBD lot_x000a_ Jl Jend Sudirman Kav 52-53 Jakarta 12196"/>
    <m/>
    <s v="Jl. Halmahera No.1, Danau Indah_x000a_DC ALFA CILEUNGSI Ktr. Cab Cileungsi, Dayeuh"/>
    <s v="Sewa Tahunan"/>
    <x v="2"/>
    <x v="470"/>
    <m/>
    <m/>
    <m/>
    <m/>
    <m/>
    <x v="242"/>
    <m/>
    <m/>
    <x v="18"/>
    <m/>
    <x v="669"/>
    <d v="2024-09-19T00:00:00"/>
    <x v="2"/>
    <m/>
    <d v="2024-09-06T00:00:00"/>
    <n v="13"/>
    <x v="7"/>
    <x v="1"/>
    <s v="19912/SPP/008/PUSAT/ICON+/2022 | 4500018909"/>
    <s v="1590/SPP/SBU/ICON+/2023"/>
    <n v="4500021634"/>
    <s v="Fajar Paramita"/>
    <s v="Fenny Intani Dewi"/>
    <s v="021-29037501"/>
    <m/>
    <m/>
    <m/>
    <m/>
    <m/>
    <s v="F313"/>
    <s v="G379"/>
    <m/>
    <s v="Biaya OTC Rp.1.500.000"/>
  </r>
  <r>
    <n v="915"/>
    <x v="9"/>
    <x v="615"/>
    <s v="Equity Tower 17th floor suiteF SCBD lot_x000a_ Jl Jend Sudirman Kav 52-53 Jakarta 12196"/>
    <m/>
    <s v="Jl. Irian Blok GG5/1, Kawasan Industri MM2100, Danau Indah, Bekasi, Jawa Barat"/>
    <s v="Sewa Tahunan"/>
    <x v="2"/>
    <x v="162"/>
    <m/>
    <m/>
    <m/>
    <m/>
    <m/>
    <x v="107"/>
    <m/>
    <m/>
    <x v="18"/>
    <m/>
    <x v="63"/>
    <d v="2021-11-22T00:00:00"/>
    <x v="1"/>
    <m/>
    <d v="2024-09-06T00:00:00"/>
    <n v="-1019"/>
    <x v="2"/>
    <x v="4"/>
    <s v="baru"/>
    <s v="14734/SPP/008/PUSAT/ICON+/2020"/>
    <n v="4500015378"/>
    <s v="Fajar Paramita"/>
    <s v="Feeny Intani Dewi"/>
    <s v="021-29037500"/>
    <m/>
    <m/>
    <m/>
    <s v="D272"/>
    <m/>
    <m/>
    <m/>
    <m/>
    <s v="Biaya OTC Rp.1.500.000"/>
  </r>
  <r>
    <n v="916"/>
    <x v="9"/>
    <x v="600"/>
    <s v="Equity Tower 17th floor suiteF SCBD lot_x000a_ Jl Jend Sudirman Kav 52-53 Jakarta 12196"/>
    <m/>
    <s v="Primary Link H2H DC Tokopedia (DCI Cibitung) - Jl. Halmahera Blok F1 No.1, Danau Indah"/>
    <s v="Sewa Tahunan"/>
    <x v="2"/>
    <x v="392"/>
    <m/>
    <m/>
    <m/>
    <m/>
    <m/>
    <x v="33"/>
    <m/>
    <m/>
    <x v="18"/>
    <m/>
    <x v="670"/>
    <d v="2024-11-29T00:00:00"/>
    <x v="1"/>
    <m/>
    <d v="2024-09-06T00:00:00"/>
    <n v="84"/>
    <x v="2"/>
    <x v="1"/>
    <s v="20314/SPP/008/PUSAT/ICON+/2022 | 4500019501"/>
    <s v="2110/SPP/SBU/ICON+/2023"/>
    <n v="4500021960"/>
    <s v="Fajar Paramita"/>
    <s v="Fenny Intani Dewi"/>
    <s v="021-29037501"/>
    <m/>
    <m/>
    <m/>
    <m/>
    <m/>
    <s v="F370"/>
    <s v="G390"/>
    <m/>
    <s v="Biaya OTC Rp.1.500.000"/>
  </r>
  <r>
    <n v="917"/>
    <x v="9"/>
    <x v="616"/>
    <s v="Equity Tower 17th floor suiteF SCBD lot_x000a_ Jl Jend Sudirman Kav 52-53 Jakarta 12190"/>
    <m/>
    <s v="PT Cigna Corporate Verizon Business Cigna Corporate DCI Equinix MM2100"/>
    <s v="Sewa Tahunan"/>
    <x v="1"/>
    <x v="73"/>
    <m/>
    <m/>
    <m/>
    <m/>
    <m/>
    <x v="51"/>
    <m/>
    <m/>
    <x v="18"/>
    <m/>
    <x v="671"/>
    <d v="2024-05-10T00:00:00"/>
    <x v="1"/>
    <m/>
    <d v="2024-09-06T00:00:00"/>
    <n v="-119"/>
    <x v="4"/>
    <x v="1"/>
    <s v="4500010732 |07288/SPP/008/PUSAT/ICON+/2017 | 08534/SPP/008/PUSAT/ICON+/2018 | 4500011440 | 10543/SPP/008/PUSAT/ICON+/2019 | 4500012745 | 13126/SPP/008/PUSAT/ICON+/2020 | 4500014317| 15565/SPP/008/PUSAT/ICON+/2021| 4500016044 | 18178/SPP/008/PUSAT/ICON+/2022 | 4500017881"/>
    <s v="21732/SPP/008/PUSAT/ICON+/2023"/>
    <n v="4500020436"/>
    <s v="Fajar Paramita"/>
    <s v="Fenny Intani Dewi"/>
    <s v="021-29037500"/>
    <n v="75"/>
    <s v="B89"/>
    <s v="C85"/>
    <s v="D125"/>
    <s v="E68"/>
    <s v="F196"/>
    <s v="G111"/>
    <m/>
    <s v="Biaya OTC Rp.1.500.000"/>
  </r>
  <r>
    <n v="918"/>
    <x v="9"/>
    <x v="617"/>
    <s v="Equity Tower 17th floor suiteF SCBD lot_x000a_ Jl Jend Sudirman Kav 52-53 Jakarta 12196"/>
    <s v="Data Center Lintasarta - Jl. Ciungwanara No. 6, Lb. Siliwangi"/>
    <s v="PT DCI Indonesia Cibitung - Jl. Halmahera No.1, Danau Indah"/>
    <s v="Sewa Tahunan"/>
    <x v="2"/>
    <x v="668"/>
    <m/>
    <m/>
    <m/>
    <m/>
    <m/>
    <x v="329"/>
    <m/>
    <m/>
    <x v="311"/>
    <m/>
    <x v="672"/>
    <d v="2025-03-14T00:00:00"/>
    <x v="2"/>
    <m/>
    <d v="2024-09-06T00:00:00"/>
    <n v="189"/>
    <x v="8"/>
    <x v="3"/>
    <s v="baru"/>
    <s v="3208/SPP/SBU/PLNICONPLUS/2024"/>
    <n v="4500022626"/>
    <s v="Fajar Paramita"/>
    <s v="Fenny Intani Dewi"/>
    <s v="021-29037501"/>
    <m/>
    <m/>
    <m/>
    <m/>
    <m/>
    <m/>
    <s v="G55"/>
    <s v="H222"/>
    <s v="Biaya OTC Rp.1.500.000"/>
  </r>
  <r>
    <n v="919"/>
    <x v="9"/>
    <x v="618"/>
    <s v="Equity Tower 17th floor suiteF SCBD lot_x000a_ Jl Jend Sudirman Kav 52-53 Jakarta 12196"/>
    <m/>
    <s v="PT DCI INDONESIA Jalan Jawa Blok GG-5-1. Kawasan Industri MM 2100 Lantai 3 JK2, rack 13"/>
    <s v="Sewa Tahunan"/>
    <x v="1"/>
    <x v="669"/>
    <m/>
    <m/>
    <m/>
    <m/>
    <m/>
    <x v="330"/>
    <m/>
    <m/>
    <x v="18"/>
    <m/>
    <x v="491"/>
    <d v="2022-12-31T00:00:00"/>
    <x v="0"/>
    <m/>
    <d v="2024-09-06T00:00:00"/>
    <n v="-615"/>
    <x v="5"/>
    <x v="2"/>
    <s v="09092/SPP/008/PUSAT/ICON+/2018 | 4500011799 | 11174/SPP/008/PUSAT/ICON+/2019 | 4500013013 | 14099/SPP/008/PUSAT/ICON+/2020 | 4500015127| 16582/SPP/008/PUSAT/ICON+/2021| 4500016754 |"/>
    <s v="19863/SPP/008/PUSAT/ICON+/2022"/>
    <n v="4500018823"/>
    <s v="Fajar Paramita"/>
    <s v="Fenny Intani Dewi"/>
    <s v="021-29037500"/>
    <s v="-"/>
    <s v="B197"/>
    <s v="C147"/>
    <s v="D333"/>
    <s v="E303"/>
    <s v="F322"/>
    <m/>
    <m/>
    <s v="Biaya OTC Rp.1.500.000"/>
  </r>
  <r>
    <n v="920"/>
    <x v="9"/>
    <x v="449"/>
    <s v="Equity Tower 17th floor suiteF SCBD lot_x000a_ Jl Jend Sudirman Kav 52-53 Jakarta 12196"/>
    <m/>
    <s v="PT DCI Indonesia, Gedung JK2, Jl. Irian I Blok GG 5-1, Kawasan MM 2100, Cibitung (Jatelindo di DCI Cibitung ID Rack: jk1-rck-1b-009-002), Cikarang, Kabupaten Bekasi, Jawa Barat, Indonesia"/>
    <s v="Sewa Tahunan"/>
    <x v="2"/>
    <x v="474"/>
    <m/>
    <m/>
    <m/>
    <m/>
    <m/>
    <x v="165"/>
    <m/>
    <m/>
    <x v="18"/>
    <m/>
    <x v="673"/>
    <d v="2025-06-03T00:00:00"/>
    <x v="2"/>
    <m/>
    <d v="2024-09-06T00:00:00"/>
    <n v="270"/>
    <x v="3"/>
    <x v="3"/>
    <s v="15956/SPP/008/PUSAT/ICON+/2021| 4500016289 | 18913/SPP/008/PUSAT/ICON+/2022 | 4500018326 | 719/SPP/SBU/ICON+/2023 | 4500018326"/>
    <s v="3206/SPP/SBU/PLNICONPLUS/2024"/>
    <n v="4500022998"/>
    <s v="Fajar Paramita"/>
    <s v="Fenny Intani Dewi"/>
    <s v="021-29037500"/>
    <m/>
    <m/>
    <m/>
    <m/>
    <s v="E58"/>
    <s v="F303"/>
    <s v="G204"/>
    <s v="H176"/>
    <s v="Biaya OTC Rp.1.500.000"/>
  </r>
  <r>
    <n v="921"/>
    <x v="9"/>
    <x v="616"/>
    <s v="Equity Tower 17th floor suiteF SCBD lot_x000a_ Jl Jend Sudirman Kav 52-53 Jakarta 12190"/>
    <m/>
    <s v="PT IPC Network DCI Equinix MM2100"/>
    <s v="Sewa Tahunan"/>
    <x v="1"/>
    <x v="46"/>
    <m/>
    <m/>
    <m/>
    <m/>
    <m/>
    <x v="7"/>
    <m/>
    <m/>
    <x v="18"/>
    <m/>
    <x v="674"/>
    <d v="2021-07-16T00:00:00"/>
    <x v="1"/>
    <m/>
    <d v="2024-09-06T00:00:00"/>
    <n v="-1148"/>
    <x v="1"/>
    <x v="4"/>
    <s v="07291/SPP/008/PUSAT/ICON+/2017 |4500010733 | 08682/SPP/008/PUSAT/ICON+/2018 | 4500011545 | 11166/SPP/008/PUSAT/ICON+/2019 | 4500012983"/>
    <s v="13546/SPP/008/PUSAT/ICON+/2020"/>
    <n v="4500014528"/>
    <s v="Fajar Paramita"/>
    <s v="Feeny Intani Dewi"/>
    <s v="021-29037500"/>
    <n v="74"/>
    <s v="B88"/>
    <s v="C141"/>
    <s v="D140"/>
    <m/>
    <m/>
    <m/>
    <m/>
    <s v="Biaya OTC Rp.1.500.000"/>
  </r>
  <r>
    <n v="922"/>
    <x v="9"/>
    <x v="257"/>
    <s v="Equity Tower 17th floor suiteF SCBD lot_x000a_ Jl Jend Sudirman Kav 52-53 Jakarta 12196"/>
    <m/>
    <s v="PT. Data Center Infrastruktur Indonesia (Dci) Kawasan Industri MM2100 Cibitung, Jl Irian, Cikarang, Jawa Barat, Indonesia,"/>
    <s v="Sewa Tahunan"/>
    <x v="2"/>
    <x v="670"/>
    <m/>
    <m/>
    <m/>
    <m/>
    <m/>
    <x v="331"/>
    <m/>
    <m/>
    <x v="18"/>
    <m/>
    <x v="675"/>
    <d v="2025-05-19T00:00:00"/>
    <x v="2"/>
    <m/>
    <d v="2024-09-06T00:00:00"/>
    <n v="255"/>
    <x v="4"/>
    <x v="3"/>
    <s v="15873/SPP/008/PUSAT/ICON+/2021 | 4500016200"/>
    <s v="3541/SPP/SBU/PLNICONPLUS/2024"/>
    <n v="4500022926"/>
    <s v="Fajar Paramita"/>
    <s v="Fenny Intani Dewi"/>
    <s v="021-29037500"/>
    <m/>
    <m/>
    <m/>
    <m/>
    <s v="E51"/>
    <m/>
    <s v="G223"/>
    <s v="H228"/>
    <s v="Biaya OTC Rp.1.500.000"/>
  </r>
  <r>
    <n v="923"/>
    <x v="9"/>
    <x v="619"/>
    <s v="Equity Tower 17th floor suiteF SCBD lot_x000a_ Jl Jend Sudirman Kav 52-53 Jakarta 12196"/>
    <s v="DCI Data Center, Jl. Halmahera Blok F1 No.1, Danau Indah,  Cikarang Barat,  Kabupaten Bekasi,  Jawa Barat,  Indonesia,  "/>
    <s v="Sokonindo JL. Raya Industri Modern Cikande Kav. 30-C Desa Barangkok, -, Kabupaten Serang, Banten,"/>
    <s v="Sewa Tahunan"/>
    <x v="2"/>
    <x v="671"/>
    <m/>
    <m/>
    <m/>
    <m/>
    <m/>
    <x v="40"/>
    <m/>
    <m/>
    <x v="18"/>
    <m/>
    <x v="676"/>
    <d v="2025-01-09T00:00:00"/>
    <x v="2"/>
    <m/>
    <d v="2024-09-06T00:00:00"/>
    <n v="125"/>
    <x v="11"/>
    <x v="3"/>
    <s v="10049/SPP/008/PUSAT/ICON+/2019 | 4500012384 | 10049/SPP/008/PUSAT/ICON+/2019 | 4500013953| 15108/SPP/008/PUSAT/ICON+/2021| 4500015702 | 17675 | 4500017501"/>
    <m/>
    <n v="4500022157"/>
    <s v="Fajar Paramita"/>
    <s v="Fenny Intani Dewi"/>
    <s v="021-29037500"/>
    <m/>
    <m/>
    <s v="C2"/>
    <s v="D86"/>
    <s v="E219"/>
    <s v="F124"/>
    <m/>
    <s v="H44"/>
    <s v="Biaya OTC Rp.1.500.000"/>
  </r>
  <r>
    <n v="924"/>
    <x v="9"/>
    <x v="157"/>
    <s v="Equity Tower 17th floor suiteF SCBD lot_x000a_ Jl Jend Sudirman Kav 52-53 Jakarta 12196"/>
    <m/>
    <m/>
    <s v="Sewa Tahunan"/>
    <x v="2"/>
    <x v="67"/>
    <m/>
    <m/>
    <m/>
    <m/>
    <m/>
    <x v="112"/>
    <m/>
    <m/>
    <x v="18"/>
    <m/>
    <x v="403"/>
    <d v="2023-10-31T00:00:00"/>
    <x v="0"/>
    <m/>
    <d v="2024-09-06T00:00:00"/>
    <n v="-311"/>
    <x v="6"/>
    <x v="6"/>
    <s v="baru"/>
    <s v="20182/SPP/008/PUSAT/ICON+/2022"/>
    <m/>
    <s v="Fajar Paramita"/>
    <s v="Fenny Intani Dewi"/>
    <s v="021-29037500"/>
    <m/>
    <m/>
    <m/>
    <m/>
    <m/>
    <m/>
    <m/>
    <m/>
    <s v="Biaya OTC Rp.1.500.000"/>
  </r>
  <r>
    <n v="925"/>
    <x v="9"/>
    <x v="620"/>
    <s v="Equity Tower 17th floor suiteF SCBD lot_x000a_ Jl Jend Sudirman Kav 52-53 Jakarta 12196"/>
    <m/>
    <s v="DATA CENTER INDONESIA (DCI) JK1, CIBITUNG, JL. HALMAHERA NO.1, DANAU INDAH, KEC. CIKARANG BAR., KABUPATEN BEKASI, JAWA BARAT 17530)"/>
    <s v="Sewa Tahunan"/>
    <x v="2"/>
    <x v="672"/>
    <m/>
    <m/>
    <m/>
    <m/>
    <m/>
    <x v="35"/>
    <m/>
    <m/>
    <x v="18"/>
    <m/>
    <x v="677"/>
    <d v="2024-07-19T00:00:00"/>
    <x v="2"/>
    <m/>
    <d v="2024-09-06T00:00:00"/>
    <n v="-49"/>
    <x v="1"/>
    <x v="1"/>
    <s v="baru"/>
    <s v="764/SPP/SBU/ICON+/2023"/>
    <n v="4500020890"/>
    <s v="Fajar Paramita"/>
    <s v="Fenny Intani Dewi"/>
    <s v="021-29037500"/>
    <m/>
    <m/>
    <m/>
    <m/>
    <m/>
    <m/>
    <s v="G127"/>
    <m/>
    <s v="Biaya OTC Rp.1.500.000"/>
  </r>
  <r>
    <n v="926"/>
    <x v="9"/>
    <x v="621"/>
    <s v="Equity Tower 17th floor suiteF SCBD lot_x000a_ Jl Jend Sudirman Kav 52-53 Jakarta 12196"/>
    <m/>
    <s v="DATA CENTER INDONESIA (DCI) JK1, CIBITUNG, JL. HALMAHERA NO.1, DANAU INDAH, KEC. CIKARANG BAR., KABUPATEN BEKASI, JAWA BARAT 17530)"/>
    <s v="Sewa Tahunan"/>
    <x v="2"/>
    <x v="673"/>
    <m/>
    <m/>
    <m/>
    <m/>
    <m/>
    <x v="128"/>
    <m/>
    <m/>
    <x v="10"/>
    <m/>
    <x v="678"/>
    <d v="2024-08-23T00:00:00"/>
    <x v="0"/>
    <m/>
    <d v="2024-09-06T00:00:00"/>
    <n v="-14"/>
    <x v="12"/>
    <x v="1"/>
    <s v="baru"/>
    <s v="1054/SPP/SBU/ICON+/2023"/>
    <n v="4500021056"/>
    <s v="Fajar Paramita"/>
    <s v="Fenny Intani Dewi"/>
    <s v="021-29037500"/>
    <m/>
    <m/>
    <m/>
    <m/>
    <m/>
    <m/>
    <s v="G164"/>
    <m/>
    <s v="Biaya OTC Rp.1.500.000"/>
  </r>
  <r>
    <n v="927"/>
    <x v="9"/>
    <x v="621"/>
    <s v="Equity Tower 17th floor suiteF SCBD lot_x000a_ Jl Jend Sudirman Kav 52-53 Jakarta 12196"/>
    <m/>
    <s v="DATA CENTER INDONESIA (DCI) JK1, CIBITUNG, JL. HALMAHERA NO.1, DANAU INDAH, KEC. CIKARANG BAR., KABUPATEN BEKASI, JAWA BARAT 17530)"/>
    <s v="Sewa Tahunan"/>
    <x v="2"/>
    <x v="673"/>
    <m/>
    <m/>
    <m/>
    <m/>
    <m/>
    <x v="128"/>
    <m/>
    <m/>
    <x v="10"/>
    <m/>
    <x v="679"/>
    <d v="2025-08-23T00:00:00"/>
    <x v="2"/>
    <m/>
    <d v="2024-09-06T00:00:00"/>
    <n v="351"/>
    <x v="12"/>
    <x v="3"/>
    <m/>
    <s v="3828/SPP/SBU/PLNICONPLUS/2024"/>
    <n v="4500023036"/>
    <s v="Livia Indraswati"/>
    <s v="Fenny Intani Dewi"/>
    <s v="021-29037500"/>
    <m/>
    <m/>
    <m/>
    <m/>
    <m/>
    <m/>
    <m/>
    <s v="H209"/>
    <m/>
  </r>
  <r>
    <n v="928"/>
    <x v="9"/>
    <x v="598"/>
    <s v="Equity Tower 17th floor suiteF SCBD lot_x000a_ Jl Jend Sudirman Kav 52-53 Jakarta 12196"/>
    <m/>
    <s v="DATA CENTER INDONESIA (DCI) JK1, CIBITUNG)"/>
    <s v="Sewa Tahunan"/>
    <x v="2"/>
    <x v="674"/>
    <m/>
    <m/>
    <m/>
    <m/>
    <m/>
    <x v="112"/>
    <m/>
    <m/>
    <x v="10"/>
    <m/>
    <x v="571"/>
    <d v="2024-07-31T00:00:00"/>
    <x v="0"/>
    <m/>
    <d v="2024-09-06T00:00:00"/>
    <n v="-37"/>
    <x v="1"/>
    <x v="1"/>
    <s v="baru"/>
    <s v="826/SPP/SBU/ICON+/2023"/>
    <n v="4500020993"/>
    <s v="Fajar Paramita"/>
    <s v="Fenny Intani Dewi"/>
    <s v="021-29037500"/>
    <m/>
    <m/>
    <m/>
    <m/>
    <m/>
    <m/>
    <s v="G174"/>
    <m/>
    <s v="Biaya OTC Rp.4.000.000"/>
  </r>
  <r>
    <n v="929"/>
    <x v="9"/>
    <x v="598"/>
    <s v="Equity Tower 17th floor suiteF SCBD lot_x000a_ Jl Jend Sudirman Kav 52-53 Jakarta 12196"/>
    <m/>
    <s v="DATA CENTER INDONESIA (DCI) JK1, CIBITUNG)"/>
    <s v="Sewa Tahunan"/>
    <x v="2"/>
    <x v="674"/>
    <m/>
    <m/>
    <m/>
    <m/>
    <m/>
    <x v="112"/>
    <m/>
    <m/>
    <x v="10"/>
    <m/>
    <x v="680"/>
    <d v="2025-07-31T00:00:00"/>
    <x v="2"/>
    <m/>
    <d v="2024-09-06T00:00:00"/>
    <n v="328"/>
    <x v="1"/>
    <x v="3"/>
    <m/>
    <s v="4048/SPP/SBU/PLNICONPLUS/2024"/>
    <n v="4500023228"/>
    <s v="Livia Indraswati"/>
    <s v="Fenny Intani Dewi"/>
    <s v="021-29037500"/>
    <m/>
    <m/>
    <m/>
    <m/>
    <m/>
    <m/>
    <m/>
    <s v="H285"/>
    <m/>
  </r>
  <r>
    <n v="930"/>
    <x v="9"/>
    <x v="214"/>
    <s v="Equity Tower 17th floor suiteF SCBD lot_x000a_ Jl Jend Sudirman Kav 52-53 Jakarta 12196"/>
    <m/>
    <s v="DCI CIBITUNG AKULAKU ALICLOUD JL. IRIAN, GG 5-1, KAWASAN INDUSTRI MM 2100, CIKARANG BARAT, BEKASI, JAWA BARAT, INDONESIA, 17530."/>
    <s v="Sewa Tahunan"/>
    <x v="2"/>
    <x v="675"/>
    <m/>
    <m/>
    <m/>
    <m/>
    <m/>
    <x v="6"/>
    <m/>
    <m/>
    <x v="18"/>
    <m/>
    <x v="681"/>
    <d v="2024-07-08T00:00:00"/>
    <x v="0"/>
    <m/>
    <d v="2024-09-06T00:00:00"/>
    <n v="-60"/>
    <x v="1"/>
    <x v="1"/>
    <s v="baru"/>
    <s v="1227/SPP/SBU/ICON+/2023"/>
    <n v="4500021202"/>
    <s v="Fajar Paramita"/>
    <s v="Fenny Intani Dewi"/>
    <s v="021-29037500"/>
    <m/>
    <m/>
    <m/>
    <m/>
    <m/>
    <m/>
    <s v="G192"/>
    <m/>
    <s v="Biaya OTC Rp.1.500.000"/>
  </r>
  <r>
    <n v="931"/>
    <x v="9"/>
    <x v="214"/>
    <s v="Equity Tower 17th floor suiteF SCBD lot_x000a_ Jl Jend Sudirman Kav 52-53 Jakarta 12196"/>
    <m/>
    <s v="DCI CIBITUNG AKULAKU ALICLOUD JL. IRIAN, GG 5-1, KAWASAN INDUSTRI MM 2100, CIKARANG BARAT, BEKASI, JAWA BARAT, INDONESIA, 17530."/>
    <s v="Sewa Tahunan"/>
    <x v="2"/>
    <x v="675"/>
    <m/>
    <m/>
    <m/>
    <m/>
    <m/>
    <x v="6"/>
    <m/>
    <m/>
    <x v="18"/>
    <m/>
    <x v="682"/>
    <d v="2025-07-08T00:00:00"/>
    <x v="2"/>
    <m/>
    <d v="2024-09-06T00:00:00"/>
    <n v="305"/>
    <x v="1"/>
    <x v="3"/>
    <m/>
    <s v="3891/SPP/SBU/PLNICONPLUS/2024"/>
    <n v="4500023106"/>
    <s v="Livia Indraswati"/>
    <s v="Fenny Intani Dewi"/>
    <s v="021-29037500"/>
    <m/>
    <m/>
    <m/>
    <m/>
    <m/>
    <m/>
    <m/>
    <s v="H257"/>
    <m/>
  </r>
  <r>
    <n v="932"/>
    <x v="9"/>
    <x v="622"/>
    <s v="Equity Tower 17th floor suiteF SCBD lot_x000a_ Jl Jend Sudirman Kav 52-53 Jakarta 12196"/>
    <m/>
    <s v="PT DCI INDONESIA  Jalan Jawa Blok GG-5-1. Kawasan Industri MM 2100,  Cikarang,  Kota Bekasi,  Jawa Barat,  Indonesia,  17520"/>
    <s v="Sewa Tahunan"/>
    <x v="2"/>
    <x v="676"/>
    <m/>
    <m/>
    <m/>
    <m/>
    <m/>
    <x v="5"/>
    <m/>
    <m/>
    <x v="10"/>
    <m/>
    <x v="601"/>
    <d v="2024-08-31T00:00:00"/>
    <x v="0"/>
    <m/>
    <d v="2024-09-06T00:00:00"/>
    <n v="-6"/>
    <x v="12"/>
    <x v="1"/>
    <s v="-"/>
    <s v="1922/SPP/SBU/ICON+/2023"/>
    <n v="4500021707"/>
    <s v="Fajar Paramita"/>
    <s v="Fenny Intani Dewi"/>
    <s v="021-29037500"/>
    <m/>
    <m/>
    <m/>
    <m/>
    <m/>
    <m/>
    <s v="G326"/>
    <m/>
    <s v="Biaya OTC Rp.1.500.000"/>
  </r>
  <r>
    <n v="933"/>
    <x v="9"/>
    <x v="622"/>
    <s v="Equity Tower 17th floor suiteF SCBD lot_x000a_ Jl Jend Sudirman Kav 52-53 Jakarta 12196"/>
    <m/>
    <s v="PT DCI INDONESIA  Jalan Jawa Blok GG-5-1. Kawasan Industri MM 2100,  Cikarang,  Kota Bekasi,  Jawa Barat,  Indonesia,  17520"/>
    <s v="Sewa Tahunan"/>
    <x v="2"/>
    <x v="676"/>
    <m/>
    <m/>
    <m/>
    <m/>
    <m/>
    <x v="5"/>
    <m/>
    <m/>
    <x v="10"/>
    <m/>
    <x v="613"/>
    <d v="2025-08-31T00:00:00"/>
    <x v="2"/>
    <m/>
    <d v="2024-09-06T00:00:00"/>
    <n v="359"/>
    <x v="12"/>
    <x v="3"/>
    <m/>
    <s v="3861/SPP/SBU/PLNICONPLUS/2024"/>
    <n v="4500023104"/>
    <s v="Livia Indraswati"/>
    <s v="Fenny Intani Dewi"/>
    <s v="021-29037500"/>
    <m/>
    <m/>
    <m/>
    <m/>
    <m/>
    <m/>
    <m/>
    <s v="H261"/>
    <m/>
  </r>
  <r>
    <n v="934"/>
    <x v="9"/>
    <x v="623"/>
    <s v="Equity Tower 17th floor suiteF SCBD lot_x000a_ Jl Jend Sudirman Kav 52-53 Jakarta 12196"/>
    <s v="DCI Cibitung Jl. Halmahera No.1, Danau Indah, Kec. Cikarang Bar. Kabupaten Bekasi, Jawa Barat 17530"/>
    <s v="BNI DC Slipi Jl. Anggrek Neli Murni VI No.14, RT.13/RW.1, Kemanggisan, Kec. Palmerah, Kota Jakarta Barat, Daerah Khusus Ibukota Jakarta 11480"/>
    <s v="Sewa Tahunan"/>
    <x v="2"/>
    <x v="677"/>
    <m/>
    <m/>
    <m/>
    <m/>
    <m/>
    <x v="332"/>
    <m/>
    <m/>
    <x v="10"/>
    <m/>
    <x v="683"/>
    <d v="2024-10-05T00:00:00"/>
    <x v="2"/>
    <m/>
    <d v="2024-09-06T00:00:00"/>
    <n v="29"/>
    <x v="6"/>
    <x v="1"/>
    <s v="baru"/>
    <s v="1651/SPP/SBU/ICON+/2023"/>
    <n v="4500021509"/>
    <s v="Fajar Paramita"/>
    <s v="Fenny Intani Dewi"/>
    <s v="021-29037500"/>
    <m/>
    <m/>
    <m/>
    <m/>
    <m/>
    <m/>
    <s v="G276"/>
    <m/>
    <s v="Biaya OTC Rp.1.500.000"/>
  </r>
  <r>
    <n v="935"/>
    <x v="9"/>
    <x v="624"/>
    <s v="Equity Tower 17th floor suiteF SCBD lot_x000a_ Jl Jend Sudirman Kav 52-53 Jakarta 12196"/>
    <s v="(DCI) JL. HALMAHERA NO.1, DANAU INDAH, KEC. CIKARANG BAR., KABUPATEN BEKASI, JAWA BARAT 17530"/>
    <s v="ELITERY) JL. RAYA PAJAJARAN NO.17, RT.06/RW.13, BARANANGSIANG, KEC. BOGOR TIM., KOTA BOGOR, JAWA BARAT 16143"/>
    <s v="Sewa Tahunan"/>
    <x v="2"/>
    <x v="678"/>
    <m/>
    <m/>
    <m/>
    <m/>
    <m/>
    <x v="333"/>
    <m/>
    <m/>
    <x v="10"/>
    <m/>
    <x v="684"/>
    <d v="2024-11-07T00:00:00"/>
    <x v="2"/>
    <m/>
    <d v="2024-09-06T00:00:00"/>
    <n v="62"/>
    <x v="2"/>
    <x v="1"/>
    <s v="baru"/>
    <s v="1994/SPP/SBU/ICON+/2023"/>
    <n v="4500021659"/>
    <s v="Fajar Paramita"/>
    <s v="Fenny Intani Dewi"/>
    <s v="021-29037500"/>
    <m/>
    <m/>
    <m/>
    <m/>
    <m/>
    <m/>
    <s v="G309"/>
    <m/>
    <s v="Biaya OTC Rp.1.500.000"/>
  </r>
  <r>
    <n v="936"/>
    <x v="9"/>
    <x v="625"/>
    <s v="Equity Tower 17th floor suiteF SCBD lot_x000a_ Jl Jend Sudirman Kav 52-53 Jakarta 12196"/>
    <s v="KCP Baturiti, Jl. Gunung Agung No.23, Baturiti, Kec._x000a_Baturiti, Kabupaten Tabanan, Bali 82191 (-_x000a_8.328644978535914, 115.18610477301344)"/>
    <s v="PT DCI INDONESIA CIBITUNG, JL. HALMAHERA NO.1, DANAU_x000a_INDAH, KEC. CIKARANG BAR., KABUPATEN BEKASI, JAWA BARAT_x000a_17530"/>
    <s v="Sewa Tahunan"/>
    <x v="2"/>
    <x v="679"/>
    <m/>
    <m/>
    <m/>
    <m/>
    <m/>
    <x v="33"/>
    <m/>
    <m/>
    <x v="18"/>
    <m/>
    <x v="685"/>
    <d v="2024-11-26T00:00:00"/>
    <x v="2"/>
    <m/>
    <d v="2024-09-06T00:00:00"/>
    <n v="81"/>
    <x v="2"/>
    <x v="1"/>
    <s v="baru"/>
    <n v="2159"/>
    <n v="4500021969"/>
    <s v="Fajar Paramita"/>
    <s v="Fenny Intani Dewi"/>
    <s v="021-29037500"/>
    <m/>
    <m/>
    <m/>
    <m/>
    <m/>
    <m/>
    <s v="G356"/>
    <m/>
    <s v="Biaya OTC Rp.1.500.000"/>
  </r>
  <r>
    <n v="937"/>
    <x v="9"/>
    <x v="626"/>
    <s v="Equity Tower 17th floor suiteF SCBD lot_x000a_ Jl Jend Sudirman Kav 52-53 Jakarta 12196"/>
    <s v="PT. Tangara Mitrakom JL. RP Soeroso No. 37"/>
    <s v="PT Abadi Tambah Mulia Internasional, DCI Cibitung Jl. Halmahera No.1, Danau Indah"/>
    <s v="Sewa Tahunan"/>
    <x v="2"/>
    <x v="680"/>
    <m/>
    <m/>
    <m/>
    <m/>
    <m/>
    <x v="7"/>
    <m/>
    <m/>
    <x v="18"/>
    <m/>
    <x v="686"/>
    <d v="2025-02-09T00:00:00"/>
    <x v="2"/>
    <m/>
    <d v="2024-09-06T00:00:00"/>
    <n v="156"/>
    <x v="9"/>
    <x v="3"/>
    <s v="21509 | 4500020077"/>
    <n v="2736"/>
    <n v="4500022291"/>
    <s v="Fajar Paramita"/>
    <s v="Fenny Intani Dewi"/>
    <s v="021-29037500"/>
    <m/>
    <m/>
    <m/>
    <m/>
    <m/>
    <m/>
    <m/>
    <s v="H78"/>
    <s v="Biaya OTC Rp.1.500.000"/>
  </r>
  <r>
    <n v="938"/>
    <x v="155"/>
    <x v="627"/>
    <s v="MidPlaza 2 Lt. 8 Jl Jend. Sudirman 10-11 Jakarta 10223"/>
    <m/>
    <s v=" Graha Baramulti Komp. Harmoni Blok A-8, Jl. Suryapranoto No.2, RT.2/RW.8,"/>
    <s v="Sewa Tahunan"/>
    <x v="2"/>
    <x v="681"/>
    <m/>
    <m/>
    <m/>
    <m/>
    <m/>
    <x v="75"/>
    <m/>
    <m/>
    <x v="17"/>
    <m/>
    <x v="451"/>
    <d v="2022-03-22T00:00:00"/>
    <x v="1"/>
    <m/>
    <d v="2024-09-06T00:00:00"/>
    <n v="-899"/>
    <x v="8"/>
    <x v="2"/>
    <s v="baru"/>
    <s v="18301/SPP/008/PUSAT/ICON+/2022"/>
    <n v="4500017808"/>
    <s v="Fajar Paramita"/>
    <s v="Marissa"/>
    <s v="021-57998891"/>
    <m/>
    <m/>
    <m/>
    <m/>
    <m/>
    <s v="F95"/>
    <m/>
    <m/>
    <s v="1.Biaya OTC Rp.6.000.000 "/>
  </r>
  <r>
    <n v="939"/>
    <x v="131"/>
    <x v="628"/>
    <s v="MidPlaza 2 Lt. 8 Jl Jend. Sudirman 10-11 Jakarta 10220"/>
    <m/>
    <s v="(Relokasi Rack dan masih satu gedung) H2H BSM-Bukalapak, Data Center Biznet, Biznet Technovillage, PT. Dinamika Raya Prima (Relokasi lantai 3), Jl. Riverside Golf Club No. 1, Bojong Nangka"/>
    <s v="Sewa Tahunan"/>
    <x v="2"/>
    <x v="682"/>
    <m/>
    <m/>
    <m/>
    <m/>
    <m/>
    <x v="89"/>
    <m/>
    <m/>
    <x v="17"/>
    <m/>
    <x v="687"/>
    <d v="2025-03-27T00:00:00"/>
    <x v="2"/>
    <m/>
    <d v="2024-09-06T00:00:00"/>
    <n v="202"/>
    <x v="8"/>
    <x v="3"/>
    <s v="21807/SPP/008/PUSAT/ICON+/2023 | 4500020329"/>
    <s v="3093/SPP/SBU/PLNICONPLUS/2024"/>
    <n v="4500022851"/>
    <s v="Fajar Paramita"/>
    <s v="Marissa"/>
    <s v="021-57998891"/>
    <m/>
    <m/>
    <m/>
    <m/>
    <m/>
    <m/>
    <s v="G82"/>
    <s v="H212"/>
    <s v="Instalasi Biznet Rp.5.000.000"/>
  </r>
  <r>
    <n v="940"/>
    <x v="131"/>
    <x v="629"/>
    <s v="MidPlaza 2 Lt. 8 Jl Jend. Sudirman 10-11 Jakarta 10222"/>
    <m/>
    <s v="Biznet Technovillage - Jl. Riverside Golf Club No.1, Bojong Nangka, Kec. Gn. Putri, Kabupaten Bogor"/>
    <s v="Sewa Tahunan"/>
    <x v="2"/>
    <x v="683"/>
    <m/>
    <m/>
    <m/>
    <m/>
    <m/>
    <x v="33"/>
    <m/>
    <s v="Rp.5.000.000"/>
    <x v="17"/>
    <m/>
    <x v="688"/>
    <d v="2023-02-17T00:00:00"/>
    <x v="0"/>
    <m/>
    <d v="2024-09-06T00:00:00"/>
    <n v="-567"/>
    <x v="9"/>
    <x v="6"/>
    <s v="17920/SPP/008/PUSAT/ICON+/2022 | 4500017626"/>
    <s v="21265/SPP/008/PUSAT/ICON+/2023"/>
    <m/>
    <s v="Fajar Paramita"/>
    <s v="Marissa"/>
    <s v="021-57998891"/>
    <m/>
    <m/>
    <m/>
    <m/>
    <m/>
    <s v="F33"/>
    <m/>
    <m/>
    <s v="Konfirm to Sales"/>
  </r>
  <r>
    <n v="941"/>
    <x v="131"/>
    <x v="629"/>
    <s v="MidPlaza 2 Lt. 8 Jl Jend. Sudirman 10-11 Jakarta 10222"/>
    <m/>
    <s v="Biznet Technovillage - Jl. Riverside Golf Club No.1, Bojong Nangka, Kec. Gn. Putri, Kabupaten Bogor"/>
    <s v="Sewa Tahunan"/>
    <x v="2"/>
    <x v="683"/>
    <m/>
    <m/>
    <m/>
    <m/>
    <m/>
    <x v="33"/>
    <m/>
    <m/>
    <x v="17"/>
    <m/>
    <x v="689"/>
    <d v="2025-02-17T00:00:00"/>
    <x v="2"/>
    <m/>
    <d v="2024-09-06T00:00:00"/>
    <n v="164"/>
    <x v="9"/>
    <x v="3"/>
    <m/>
    <m/>
    <m/>
    <m/>
    <m/>
    <m/>
    <m/>
    <m/>
    <m/>
    <m/>
    <m/>
    <m/>
    <m/>
    <m/>
    <m/>
  </r>
  <r>
    <n v="942"/>
    <x v="131"/>
    <x v="630"/>
    <s v="MidPlaza 2 Lt. 8 Jl Jend. Sudirman 10-11 Jakarta 10220"/>
    <m/>
    <s v="Biznet Technovillage Bukit Riverside Golf Jl. Biznet Technovillage No. Cimanggis ( BUT The Bank of Tokyo SO No. ICON-00/ACT/1501/0184)"/>
    <s v="Sewa Tahunan"/>
    <x v="1"/>
    <x v="160"/>
    <m/>
    <m/>
    <m/>
    <m/>
    <m/>
    <x v="10"/>
    <m/>
    <s v="Rp1.500.000 "/>
    <x v="42"/>
    <m/>
    <x v="142"/>
    <d v="2021-04-05T00:00:00"/>
    <x v="0"/>
    <m/>
    <d v="2024-09-06T00:00:00"/>
    <n v="-1250"/>
    <x v="10"/>
    <x v="4"/>
    <s v="070317/MI/008/PUSAT/ICON+/2015 | 10579/SPP/008/PUSAT/ICON+/2019 | 4500012925"/>
    <s v="12694/SPP/008/PUSAT/ICON+/2020"/>
    <n v="4500014194"/>
    <s v="Fajar Paramita"/>
    <s v="Marissa"/>
    <s v="021-57998891"/>
    <m/>
    <m/>
    <s v="C305"/>
    <s v="D91"/>
    <m/>
    <m/>
    <m/>
    <m/>
    <s v="Konfirm to Sales"/>
  </r>
  <r>
    <n v="943"/>
    <x v="131"/>
    <x v="631"/>
    <s v="MidPlaza 2 Lt. 8 Jl Jend. Sudirman 10-11 Jakarta 10220"/>
    <m/>
    <s v="Biznet Technovillage Bukit Riverside Golf Jl. Biznet Technovillage No. Cimanggis ( PT Rekso Nasional Food No. ICON-00/ACT/1604/0047)"/>
    <s v="Sewa Tahunan"/>
    <x v="1"/>
    <x v="72"/>
    <m/>
    <m/>
    <m/>
    <m/>
    <m/>
    <x v="10"/>
    <m/>
    <m/>
    <x v="42"/>
    <m/>
    <x v="690"/>
    <d v="2022-04-19T00:00:00"/>
    <x v="1"/>
    <m/>
    <d v="2024-09-06T00:00:00"/>
    <n v="-871"/>
    <x v="10"/>
    <x v="2"/>
    <s v="04184/MI/008/PUSAT/ICON+/2016 | 06869/SPP/008/PUSAT/ICON+/2017 |_x000a_ 053104/MI/000/PUSAT/ICON+/2016 |08427/SPP/008/PUSAT/ICON+/2018 | 4500011377_x000a_ 042010/SPR/008/PUSAT/ICON+/2016 | 4500010484 | 10429/SPP/008/PUSAT/ICON+/2019 | 4500012722 | 12698/SPP/008/PUSAT/ICON+/2020 | 4500013998"/>
    <s v="15559/SPP/008/PUSAT/ICON+/2021"/>
    <n v="4500016056"/>
    <s v="Fajar Paramita"/>
    <s v="Marissa"/>
    <s v="021-57998891"/>
    <m/>
    <s v="B80"/>
    <s v="C79"/>
    <s v="D70"/>
    <s v="E79"/>
    <m/>
    <m/>
    <m/>
    <s v="1. Biaya Instalasi UTP Rp1.000.000 _x000a_ 2. Biaya sewa Rp2.000.000,-/tahun"/>
  </r>
  <r>
    <n v="944"/>
    <x v="131"/>
    <x v="351"/>
    <s v="MidPlaza 2 Lt. 8 Jl Jend. Sudirman 10-11 Jakarta 10220"/>
    <m/>
    <s v="Biznet Technovillage Bukit Riverside Golf Jl. Biznet Technovillage No. Cimanggis ( PT Tangara Mitrakom No. ICON-00/ACT/1609/0747, ICON-00/ACT/1609/0746, ICON-00/ACT/1609/0592)"/>
    <s v="Sewa Tahunan"/>
    <x v="1"/>
    <x v="684"/>
    <m/>
    <m/>
    <m/>
    <m/>
    <m/>
    <x v="334"/>
    <m/>
    <m/>
    <x v="5"/>
    <m/>
    <x v="691"/>
    <d v="2023-10-20T00:00:00"/>
    <x v="0"/>
    <m/>
    <d v="2024-09-06T00:00:00"/>
    <n v="-322"/>
    <x v="6"/>
    <x v="6"/>
    <s v="3271016/SPR/ICON+/2016_x000a_ 1251016/SPR/ICON+/2016 07627/SPP/008/PUSAT/ICON+/2017 |4500010956 |09321/SPP/008/PUSAT/ICON+/2018 | 4500011893 | 11687/SPP/008/PUSAT/ICON+/2019 | 4500013316 | 14312/SPP/008/PUSAT/ICON+/2020 | 4500015117|16792/SPP/008/PUSAT/ICON+/2021| 4500016958"/>
    <s v="19416/SPP/008/PUSAT/ICON+/2022"/>
    <n v="4500018642"/>
    <s v="Fajar Paramita"/>
    <s v="Marissa"/>
    <s v="021-57998891"/>
    <n v="119"/>
    <s v="B201"/>
    <s v="C203"/>
    <s v="D338"/>
    <s v="E311"/>
    <s v="F289"/>
    <m/>
    <m/>
    <s v="1. Biaya Instalasi UTP Rp1.000.000 total untuk 3 kabel Rp3.000.000,-_x000a_ 2. Biaya sewa Rp2.000.000,-/tahun total untuk 3 kabel Rp6.000.000,-"/>
  </r>
  <r>
    <n v="945"/>
    <x v="131"/>
    <x v="351"/>
    <s v="MidPlaza 2 Lt. 8 Jl Jend. Sudirman 10-11 Jakarta 10220"/>
    <m/>
    <s v="Biznet Technovillage Bukit Riverside Golf Jl. Biznet Technovillage No. Cimanggis ( PT Tangara Mitrakom No. ICON-00/ACT/1609/0747, ICON-00/ACT/1609/0746, ICON-00/ACT/1609/0592)"/>
    <s v="Sewa Tahunan"/>
    <x v="1"/>
    <x v="684"/>
    <m/>
    <m/>
    <m/>
    <m/>
    <m/>
    <x v="171"/>
    <m/>
    <m/>
    <x v="5"/>
    <m/>
    <x v="692"/>
    <d v="2025-10-20T00:00:00"/>
    <x v="2"/>
    <m/>
    <d v="2024-09-06T00:00:00"/>
    <n v="409"/>
    <x v="6"/>
    <x v="3"/>
    <m/>
    <s v="4117/SPP/SBU/PLNICONPLUS/2024"/>
    <n v="4500023246"/>
    <s v="Livia Indraswati"/>
    <s v="Marissa"/>
    <s v="021-57998892"/>
    <m/>
    <m/>
    <m/>
    <m/>
    <m/>
    <m/>
    <m/>
    <s v="H300"/>
    <m/>
  </r>
  <r>
    <n v="946"/>
    <x v="131"/>
    <x v="632"/>
    <s v="MidPlaza 2 Lt. 8 Jl Jend. Sudirman 10-11 Jakarta 10220"/>
    <m/>
    <s v="Biznet Technovillage Bukit Riverside Golf Jl. Biznet Technovillage No. Cimanggis (PT Bahana Sysfo Utama)"/>
    <s v="Sewa Tahunan"/>
    <x v="2"/>
    <x v="685"/>
    <m/>
    <m/>
    <m/>
    <m/>
    <m/>
    <x v="5"/>
    <m/>
    <m/>
    <x v="42"/>
    <m/>
    <x v="693"/>
    <d v="2025-01-31T00:00:00"/>
    <x v="2"/>
    <m/>
    <d v="2024-09-06T00:00:00"/>
    <n v="147"/>
    <x v="11"/>
    <x v="3"/>
    <s v="0670317/SPR/ICON+/2017 | 08010/SPP/008/PUSAT/ICON+/2018 | 4500011246 | 09839/SPP/008/PUSAT/ICON+/2018 | 4500012301 | 12450/SPP/008/PUSAT/ICON+/2019 | 4500013745 | 17621/SPP/008/PUSAT/ICON+/2022 | 4500017804 | |21082/SPP/008/PUSAT/ICON+/2023 | 4500019974"/>
    <s v="3143/SPP/SBU/PLNICONPLUS/2024_x0009_"/>
    <n v="4500022911"/>
    <s v="Livia Indraswati"/>
    <s v="Marissa"/>
    <s v="021-57998891"/>
    <s v="-"/>
    <s v="B38"/>
    <s v="B288"/>
    <s v="D5"/>
    <s v="E156"/>
    <m/>
    <s v="G81"/>
    <s v="H179"/>
    <s v="1. Biaya collocation Crossconect MMR Cable UTP @Rp2.000.000/tahun _x000a_ 2. Biaya Instalasi Rp1.000.000 one time charge"/>
  </r>
  <r>
    <n v="947"/>
    <x v="131"/>
    <x v="633"/>
    <s v="MidPlaza 2 Lt. 8 Jl Jend. Sudirman 10-11 Jakarta 10221"/>
    <m/>
    <s v="Biznet Technovillage Jl. Riverside Golf Club No.1, Bojong Nangka"/>
    <s v="Sewa Tahunan"/>
    <x v="2"/>
    <x v="527"/>
    <m/>
    <m/>
    <m/>
    <m/>
    <m/>
    <x v="30"/>
    <m/>
    <s v="Rp 3.000.000"/>
    <x v="16"/>
    <m/>
    <x v="525"/>
    <d v="2023-02-09T00:00:00"/>
    <x v="1"/>
    <m/>
    <d v="2024-09-06T00:00:00"/>
    <n v="-575"/>
    <x v="9"/>
    <x v="6"/>
    <s v="baru"/>
    <s v="17921/SPP/008/PUSAT/ICON+/2022"/>
    <n v="4500017633"/>
    <s v="Fajar Paramita"/>
    <s v="Marissa"/>
    <s v="021-57998891"/>
    <m/>
    <m/>
    <m/>
    <m/>
    <m/>
    <s v="F34"/>
    <m/>
    <m/>
    <s v="Konfirm to Sales"/>
  </r>
  <r>
    <n v="948"/>
    <x v="131"/>
    <x v="540"/>
    <s v="MidPlaza 2 Lt. 8 Jl Jend. Sudirman 10-11 Jakarta 10220"/>
    <m/>
    <s v="Bukalapak, Data Center Biznet, Biznet Technovillage, PT. Dinamika Raya Prima, Jl. Riverside Golf Club No. 1, Bojong Nangka, Gunung Putri, Kabupaten Bogor, Jawa Barat, Indonesia, 16965"/>
    <s v="Sewa Tahunan"/>
    <x v="2"/>
    <x v="686"/>
    <m/>
    <m/>
    <m/>
    <m/>
    <m/>
    <x v="11"/>
    <m/>
    <m/>
    <x v="5"/>
    <m/>
    <x v="403"/>
    <d v="2023-10-31T00:00:00"/>
    <x v="0"/>
    <m/>
    <d v="2024-09-06T00:00:00"/>
    <n v="-311"/>
    <x v="6"/>
    <x v="6"/>
    <s v="09478/SPP/008/PUSAT/ICON+/2018 | 4500012020 | 14564/SPP/008/PUSAT/ICON+/2020 | 4500015396 | 17172/SPP/008/PUSAT/ICON+/2021 | 4500017286"/>
    <s v="20198/SPP/008/PUSAT/ICON+/2022"/>
    <m/>
    <s v="Fajar Paramita"/>
    <s v="Marissa"/>
    <s v="021-57998891"/>
    <m/>
    <s v="B228"/>
    <m/>
    <s v="D297"/>
    <m/>
    <m/>
    <m/>
    <m/>
    <s v="Konfirm to Sales"/>
  </r>
  <r>
    <n v="949"/>
    <x v="131"/>
    <x v="634"/>
    <s v="MidPlaza 2 Lt. 8 Jl Jend. Sudirman 10-11 Jakarta 10221"/>
    <m/>
    <s v="CBN - Biznet Technovillage, Jl. Riverside Golf Club No.1, Bojong Nangka, Gn. Putri, Kabupaten Bogor, Jawa Barat, Indonesia, 16965"/>
    <s v="Sewa Tahunan"/>
    <x v="2"/>
    <x v="687"/>
    <m/>
    <m/>
    <m/>
    <m/>
    <m/>
    <x v="106"/>
    <m/>
    <m/>
    <x v="16"/>
    <m/>
    <x v="442"/>
    <d v="2023-05-14T00:00:00"/>
    <x v="0"/>
    <m/>
    <d v="2024-09-06T00:00:00"/>
    <n v="-481"/>
    <x v="4"/>
    <x v="6"/>
    <s v="10816/SPP/008/PUSAT/ICON+/2019 | 4500012818 | 13124/SPP/008/PUSAT/ICON+/2020 | 4500014192| 15560/SPP/008/PUSAT/ICON+/2021| 4500016050"/>
    <s v="18807/SPP/008/PUSAT/ICON+/2022"/>
    <n v="4500018096"/>
    <s v="Fajar Paramita"/>
    <s v="Marissa"/>
    <s v="021-57998891"/>
    <m/>
    <m/>
    <s v="C102"/>
    <s v="D92"/>
    <s v="E78"/>
    <s v="F204"/>
    <m/>
    <m/>
    <s v="Konfirm to Sales"/>
  </r>
  <r>
    <n v="950"/>
    <x v="131"/>
    <x v="634"/>
    <s v="MidPlaza 2 Lt. 8 Jl Jend. Sudirman 10-11 Jakarta 10221"/>
    <m/>
    <s v="CBN - Biznet Technovillage, Jl. Riverside Golf Club No.1, Bojong Nangka, Gn. Putri, Kabupaten Bogor, Jawa Barat, Indonesia, 16965"/>
    <s v="Sewa Tahunan"/>
    <x v="2"/>
    <x v="687"/>
    <m/>
    <m/>
    <m/>
    <m/>
    <m/>
    <x v="106"/>
    <m/>
    <m/>
    <x v="16"/>
    <m/>
    <x v="694"/>
    <d v="2024-05-14T00:00:00"/>
    <x v="0"/>
    <m/>
    <d v="2024-09-06T00:00:00"/>
    <n v="-115"/>
    <x v="4"/>
    <x v="1"/>
    <m/>
    <s v="398/SPP/SBU/ICON+/2023"/>
    <n v="4500023013"/>
    <s v="Livia Indraswati"/>
    <s v="Marissa"/>
    <s v="021-57998892"/>
    <m/>
    <m/>
    <m/>
    <m/>
    <m/>
    <m/>
    <m/>
    <m/>
    <m/>
  </r>
  <r>
    <n v="951"/>
    <x v="131"/>
    <x v="634"/>
    <s v="MidPlaza 2 Lt. 8 Jl Jend. Sudirman 10-11 Jakarta 10221"/>
    <m/>
    <s v="CBN - Biznet Technovillage, Jl. Riverside Golf Club No.1, Bojong Nangka, Gn. Putri, Kabupaten Bogor, Jawa Barat, Indonesia, 16965"/>
    <s v="Sewa Tahunan"/>
    <x v="2"/>
    <x v="687"/>
    <m/>
    <m/>
    <m/>
    <m/>
    <m/>
    <x v="106"/>
    <m/>
    <m/>
    <x v="16"/>
    <m/>
    <x v="592"/>
    <d v="2025-05-14T00:00:00"/>
    <x v="2"/>
    <m/>
    <d v="2024-09-06T00:00:00"/>
    <n v="250"/>
    <x v="4"/>
    <x v="3"/>
    <m/>
    <m/>
    <m/>
    <s v="Livia Indraswati"/>
    <s v="Marissa"/>
    <s v="021-57998893"/>
    <m/>
    <m/>
    <m/>
    <m/>
    <m/>
    <m/>
    <m/>
    <m/>
    <m/>
  </r>
  <r>
    <n v="952"/>
    <x v="131"/>
    <x v="635"/>
    <s v="MidPlaza 2 Lt. 8 Jl Jend. Sudirman 10-11 Jakarta 10220"/>
    <m/>
    <s v="Data Center Biznet Technovillage_x000a_ Jl.BiznetTechnovillageNo1_x000a_ Cimanggis, Jawa Barat"/>
    <s v="Sewa Tahunan"/>
    <x v="1"/>
    <x v="124"/>
    <m/>
    <m/>
    <m/>
    <m/>
    <m/>
    <x v="113"/>
    <m/>
    <m/>
    <x v="42"/>
    <m/>
    <x v="504"/>
    <d v="2023-12-31T00:00:00"/>
    <x v="0"/>
    <m/>
    <d v="2024-09-06T00:00:00"/>
    <n v="-250"/>
    <x v="5"/>
    <x v="6"/>
    <s v="08011/SPP/008/PUSAT/ICON+/2018 | 4500011192 | 09794/SPP/008/PUSAT/ICON+/2018 | 4500012290 | 09794/SPP/008/PUSAT/ICON+/2018 | 4500013734 | 14745/SPP/008/PUSAT/ICON+/2020 | 4500015357| 17205/SPP/008/PUSAT/ICON+/2021 | 4500017129"/>
    <s v="20571/SPP/008/PUSAT/ICON+/2022"/>
    <n v="4500019550"/>
    <s v="Fajar Paramita"/>
    <s v="Marissa"/>
    <s v="021-57998891"/>
    <m/>
    <s v="B32"/>
    <s v="B269"/>
    <s v="D8"/>
    <s v="E230"/>
    <s v="E389"/>
    <s v="F435"/>
    <m/>
    <s v="Konfirm to Sales"/>
  </r>
  <r>
    <n v="953"/>
    <x v="131"/>
    <x v="327"/>
    <s v="MidPlaza 2 Lt. 8 Jl Jend. Sudirman 10-11 Jakarta 10221"/>
    <m/>
    <s v="Data Center Biznet Technovillage_x000a_ Jl.BiznetTechnovillageNo1_x000a_ Cimanggis, Jawa Barat"/>
    <s v="Sewa Tahunan"/>
    <x v="1"/>
    <x v="688"/>
    <m/>
    <m/>
    <m/>
    <m/>
    <m/>
    <x v="75"/>
    <m/>
    <m/>
    <x v="42"/>
    <m/>
    <x v="439"/>
    <d v="2023-02-28T00:00:00"/>
    <x v="0"/>
    <m/>
    <d v="2024-09-06T00:00:00"/>
    <n v="-556"/>
    <x v="9"/>
    <x v="6"/>
    <s v="Collocation Cross Connect - UTP (Rack ICONPLUS &lt;&gt; RACK BEPS|4500010296| CID 1988 berubah menjadi CID 5008 | 08395/SPP/008/PUSAT/ICON+/2018 | 4500011372 | 10556/SPP/008/PUSAT/ICON+/2019 | 4500012664 | 12587/SPP/008/PUSAT/ICON+/2020 | 4500014038 | 15084/SPP/008/PUSAT/ICON+/2021 | 4500015683"/>
    <s v="17647/SPP/008/PUSAT/ICON+/2022"/>
    <n v="4500019958"/>
    <s v="Fajar Paramita"/>
    <s v="Marissa"/>
    <s v="021-57998891"/>
    <n v="58"/>
    <s v="B184"/>
    <s v="C70"/>
    <s v="D61"/>
    <s v="E157"/>
    <m/>
    <m/>
    <m/>
    <s v="Konfirm to Sales"/>
  </r>
  <r>
    <n v="954"/>
    <x v="131"/>
    <x v="85"/>
    <s v="MidPlaza 2 Lt. 8 Jl Jend. Sudirman 10-11 Jakarta 10220"/>
    <m/>
    <s v="Data Center Biznet Technovillage_x000a_ Jl.BiznetTechnovillageNo1_x000a_ Cimanggis, Jawa Barat"/>
    <s v="Sewa Tahunan"/>
    <x v="2"/>
    <x v="86"/>
    <m/>
    <m/>
    <m/>
    <m/>
    <m/>
    <x v="5"/>
    <m/>
    <m/>
    <x v="42"/>
    <m/>
    <x v="504"/>
    <d v="2024-12-31T00:00:00"/>
    <x v="2"/>
    <m/>
    <d v="2024-09-06T00:00:00"/>
    <n v="116"/>
    <x v="5"/>
    <x v="1"/>
    <s v="08054/SPP/008/PUSAT/ICON+/2018 | 4500011242| 09712/SPP/008/PUSAT/ICON+/2018 | 4500012193 | 12181/SPP/008/PUSAT/ICON+/2019 | 4500013733 | 14770/SPP/008/PUSAT/ICON+/2020| 4500015646 | 17134/SPP/008/PUSAT/ICON+/2021 | 4500017369"/>
    <s v="20748/SPP/008/PUSAT/ICON+/2022"/>
    <n v="4500019924"/>
    <s v="Fajar Paramita"/>
    <s v="Marissa"/>
    <s v="021-57998891"/>
    <m/>
    <s v="B295"/>
    <m/>
    <s v="D9"/>
    <s v="E165"/>
    <m/>
    <s v="G32"/>
    <m/>
    <m/>
  </r>
  <r>
    <n v="955"/>
    <x v="131"/>
    <x v="107"/>
    <s v="MidPlaza 2 Lt. 8 Jl Jend. Sudirman 10-11 Jakarta 10220"/>
    <m/>
    <s v="DRC Tokopedia, Biznet Technovillage, Jl. Riverside Golf No. 1, Bojong Nangka, Kec. Gunung Putri, Kabupaten Bogor, Jawa Barat, Indonesia, 16965"/>
    <s v="Sewa Tahunan"/>
    <x v="2"/>
    <x v="507"/>
    <m/>
    <m/>
    <m/>
    <m/>
    <m/>
    <x v="33"/>
    <m/>
    <m/>
    <x v="17"/>
    <m/>
    <x v="515"/>
    <d v="2023-01-20T00:00:00"/>
    <x v="1"/>
    <m/>
    <d v="2024-09-06T00:00:00"/>
    <n v="-595"/>
    <x v="11"/>
    <x v="6"/>
    <s v="baru"/>
    <s v="17683/SPP/008/PUSAT/ICON+/2022"/>
    <n v="4500017503"/>
    <s v="Fajar Paramita"/>
    <s v="Marissa"/>
    <s v="021-57998891"/>
    <m/>
    <m/>
    <m/>
    <m/>
    <m/>
    <s v="F20"/>
    <m/>
    <m/>
    <s v="Biaya Set Up Rp.4.000.000"/>
  </r>
  <r>
    <n v="956"/>
    <x v="131"/>
    <x v="629"/>
    <s v="MidPlaza 2 Lt. 8 Jl Jend. Sudirman 10-11 Jakarta 10220"/>
    <m/>
    <s v="Graha Telkom Sigma, Lengkong Gudang, BSD"/>
    <s v="Sewa Tahunan"/>
    <x v="2"/>
    <x v="108"/>
    <m/>
    <m/>
    <m/>
    <m/>
    <m/>
    <x v="76"/>
    <m/>
    <m/>
    <x v="12"/>
    <m/>
    <x v="104"/>
    <d v="2021-03-03T00:00:00"/>
    <x v="0"/>
    <m/>
    <d v="2024-09-06T00:00:00"/>
    <n v="-1283"/>
    <x v="8"/>
    <x v="4"/>
    <s v="baru"/>
    <s v="12681/SPP/008/PUSAT/ICON+/2020"/>
    <n v="4500014024"/>
    <s v="Fajar Paramita"/>
    <s v="Marissa"/>
    <s v="021-57998891"/>
    <m/>
    <m/>
    <m/>
    <s v="D54"/>
    <m/>
    <m/>
    <m/>
    <m/>
    <m/>
  </r>
  <r>
    <n v="957"/>
    <x v="131"/>
    <x v="507"/>
    <s v="MidPlaza 2 Lt. 8 Jl Jend. Sudirman 10-11 Jakarta 10220"/>
    <m/>
    <s v="H2H Bukalapak, Biznet Technovillage Lt.3 Open Space, Rack DC-JK2-095 Jl. Riverside Golf Club No.1, Bojong Nangka,  Kec. Gn Putri,  Kota Bogor,  Jawa Barat,  Indonesia,  16965"/>
    <s v="Sewa Tahunan"/>
    <x v="2"/>
    <x v="689"/>
    <m/>
    <m/>
    <m/>
    <m/>
    <m/>
    <x v="62"/>
    <m/>
    <m/>
    <x v="17"/>
    <m/>
    <x v="695"/>
    <d v="2024-03-16T00:00:00"/>
    <x v="2"/>
    <m/>
    <d v="2024-09-06T00:00:00"/>
    <n v="-174"/>
    <x v="8"/>
    <x v="1"/>
    <s v="baru"/>
    <s v="21710/SPP/008/PUSAT/ICON+/2023"/>
    <n v="4500020243"/>
    <s v="Fajar Paramita"/>
    <s v="Marissa"/>
    <s v="021-57998891"/>
    <m/>
    <m/>
    <m/>
    <m/>
    <m/>
    <m/>
    <s v="G78"/>
    <m/>
    <s v="Instalasi Biznet Rp.5.000.000"/>
  </r>
  <r>
    <n v="958"/>
    <x v="131"/>
    <x v="107"/>
    <s v="MidPlaza 2 Lt. 8 Jl Jend. Sudirman 10-11 Jakarta 10223"/>
    <m/>
    <s v="H2H DRC Tokopedia (Biznet Technovillage) Jl. Riverside Golf No. 1, Bojong Nangka"/>
    <s v="Sewa Tahunan"/>
    <x v="2"/>
    <x v="690"/>
    <m/>
    <m/>
    <m/>
    <m/>
    <m/>
    <x v="33"/>
    <m/>
    <m/>
    <x v="17"/>
    <m/>
    <x v="403"/>
    <d v="2023-10-31T00:00:00"/>
    <x v="1"/>
    <m/>
    <d v="2024-09-06T00:00:00"/>
    <n v="-311"/>
    <x v="6"/>
    <x v="6"/>
    <s v="baru"/>
    <s v="20335/SPP/008/PUSAT/ICON+/2022"/>
    <n v="4500019287"/>
    <s v="Fajar Paramita"/>
    <s v="Marissa"/>
    <s v="021-57998891"/>
    <m/>
    <m/>
    <m/>
    <m/>
    <m/>
    <s v="F371"/>
    <m/>
    <m/>
    <s v="Biaya Instalasi Cross Connect Fiber Optic_x000a_from Icon+ rack to Tokopedia Rack  Rp.5.000.000"/>
  </r>
  <r>
    <n v="959"/>
    <x v="131"/>
    <x v="44"/>
    <s v="MidPlaza 2 Lt. 8 Jl Jend. Sudirman 10-11 Jakarta 10220"/>
    <m/>
    <s v="Jakarta Future Exchange, Data Center Biznet, Biznet Technovillage, , Jl. Riverside Golf Club No. 1, Bojong Nangka, Gunung Putri, Kabupaten Bogor, Jawa Barat, Indonesia, 16965"/>
    <s v="Sewa Tahunan"/>
    <x v="2"/>
    <x v="691"/>
    <m/>
    <m/>
    <m/>
    <m/>
    <m/>
    <x v="335"/>
    <m/>
    <m/>
    <x v="5"/>
    <m/>
    <x v="246"/>
    <d v="2022-10-31T00:00:00"/>
    <x v="0"/>
    <m/>
    <d v="2024-09-06T00:00:00"/>
    <n v="-676"/>
    <x v="6"/>
    <x v="2"/>
    <s v="baru"/>
    <s v="09559/SPP/008/PUSAT/ICON+/2018"/>
    <n v="4500019436"/>
    <s v="Fajar Paramita"/>
    <s v="Marissa"/>
    <s v="021-57998891"/>
    <m/>
    <s v="B253"/>
    <m/>
    <m/>
    <m/>
    <m/>
    <m/>
    <m/>
    <s v="Konfirm to Sales"/>
  </r>
  <r>
    <n v="960"/>
    <x v="131"/>
    <x v="44"/>
    <s v="MidPlaza 2 Lt. 8 Jl Jend. Sudirman 10-11 Jakarta 10220"/>
    <m/>
    <s v="Jakarta Future Exchange, Data Center Biznet, Biznet Technovillage, , Jl. Riverside Golf Club No. 1, Bojong Nangka, Gunung Putri, Kabupaten Bogor, Jawa Barat, Indonesia, 16965"/>
    <s v="Sewa Tahunan"/>
    <x v="2"/>
    <x v="691"/>
    <m/>
    <m/>
    <m/>
    <m/>
    <m/>
    <x v="11"/>
    <m/>
    <m/>
    <x v="5"/>
    <m/>
    <x v="403"/>
    <d v="2025-10-31T00:00:00"/>
    <x v="2"/>
    <m/>
    <d v="2024-09-06T00:00:00"/>
    <n v="420"/>
    <x v="6"/>
    <x v="3"/>
    <m/>
    <s v="3944/SPP/SBU/PLNICONPLUS/2024"/>
    <n v="4500023248"/>
    <s v="Livia Indraswati"/>
    <s v="Marissa"/>
    <s v="021-57998891"/>
    <m/>
    <m/>
    <m/>
    <m/>
    <m/>
    <m/>
    <m/>
    <s v="H301"/>
    <m/>
  </r>
  <r>
    <n v="961"/>
    <x v="131"/>
    <x v="636"/>
    <s v="MidPlaza 2 Lt. 8 Jl Jend. Sudirman 10-11 Jakarta 10220"/>
    <m/>
    <s v="Jl. Dr. Wahidin Raya No.1"/>
    <s v="Sewa Tahunan"/>
    <x v="2"/>
    <x v="692"/>
    <m/>
    <m/>
    <m/>
    <m/>
    <m/>
    <x v="128"/>
    <m/>
    <m/>
    <x v="17"/>
    <m/>
    <x v="672"/>
    <d v="2025-03-14T00:00:00"/>
    <x v="2"/>
    <m/>
    <d v="2024-09-06T00:00:00"/>
    <n v="189"/>
    <x v="8"/>
    <x v="3"/>
    <s v="21667/SPP/008/PUSAT/ICON+/2023 | 4500020115"/>
    <s v="3095/SPP/SBU/PLNICONPLUS/2024"/>
    <n v="4500022685"/>
    <s v="Fajar Paramita"/>
    <s v="Marissa"/>
    <s v="021-57998891"/>
    <m/>
    <m/>
    <m/>
    <m/>
    <m/>
    <m/>
    <s v="G66"/>
    <s v="H182"/>
    <s v="Instalasi Biznet Rp.5.000.000"/>
  </r>
  <r>
    <n v="962"/>
    <x v="131"/>
    <x v="637"/>
    <s v="MidPlaza 2 Lt. 8 Jl Jend. Sudirman 10-11 Jakarta 10221"/>
    <m/>
    <s v="Jl. Riverside Golf Club No. 1, Bojong Nangka, Biznet Technovillage, Kabupaten Bogor, Jawa Barat, Indonesia, 16965"/>
    <s v="Sewa Tahunan"/>
    <x v="1"/>
    <x v="79"/>
    <m/>
    <m/>
    <m/>
    <m/>
    <m/>
    <x v="33"/>
    <m/>
    <m/>
    <x v="16"/>
    <m/>
    <x v="696"/>
    <d v="2023-03-20T00:00:00"/>
    <x v="0"/>
    <m/>
    <d v="2024-09-06T00:00:00"/>
    <n v="-536"/>
    <x v="8"/>
    <x v="6"/>
    <s v="11608/SPP/008/PUSAT/ICON+/2019 | 4500013255| 12634/SPP/008/PUSAT/ICON+/2020| 4500014041"/>
    <s v="18368/SPP/008/PUSAT/ICON+/2022"/>
    <n v="4500017891"/>
    <s v="Fajar Paramita"/>
    <s v="Marissa"/>
    <s v="021-57998891"/>
    <m/>
    <m/>
    <s v="C186"/>
    <s v="D65"/>
    <m/>
    <s v="F132"/>
    <m/>
    <m/>
    <m/>
  </r>
  <r>
    <n v="963"/>
    <x v="131"/>
    <x v="636"/>
    <s v="MidPlaza 2 Lt. 8 Jl Jend. Sudirman 10-11 Jakarta 10220"/>
    <m/>
    <s v="Jl. Riverside Golf Club No.1"/>
    <s v="Sewa Tahunan"/>
    <x v="2"/>
    <x v="693"/>
    <m/>
    <m/>
    <m/>
    <m/>
    <m/>
    <x v="86"/>
    <m/>
    <m/>
    <x v="17"/>
    <m/>
    <x v="248"/>
    <d v="2022-12-28T00:00:00"/>
    <x v="0"/>
    <m/>
    <d v="2024-09-06T00:00:00"/>
    <n v="-618"/>
    <x v="5"/>
    <x v="2"/>
    <s v="baru"/>
    <s v="17566/SPP/008/PUSAT/ICON+/2021"/>
    <n v="4500017371"/>
    <s v="Fajar Paramita"/>
    <s v="Marissa"/>
    <s v="021-57998891"/>
    <m/>
    <m/>
    <m/>
    <m/>
    <s v="E376"/>
    <m/>
    <m/>
    <m/>
    <s v="OTC Sebesar Rp.5.000.000"/>
  </r>
  <r>
    <n v="964"/>
    <x v="131"/>
    <x v="629"/>
    <s v="MidPlaza 2 Lt. 8 Jl Jend. Sudirman 10-11 Jakarta 10220"/>
    <m/>
    <s v="Lengkong Gudang, Kec. Serpong, Kota Tangerang Selatan, Banten, Indonesia, 15321"/>
    <s v="Sewa Tahunan"/>
    <x v="2"/>
    <x v="108"/>
    <m/>
    <m/>
    <m/>
    <m/>
    <m/>
    <x v="76"/>
    <m/>
    <m/>
    <x v="17"/>
    <m/>
    <x v="104"/>
    <d v="2021-03-03T00:00:00"/>
    <x v="0"/>
    <m/>
    <d v="2024-09-06T00:00:00"/>
    <n v="-1283"/>
    <x v="8"/>
    <x v="4"/>
    <s v="baru"/>
    <s v="12681/SPP/008/PUSAT/ICON+/2020"/>
    <n v="4500014024"/>
    <s v="Fajar Paramita"/>
    <s v="Marissa"/>
    <s v="021-57998891"/>
    <m/>
    <m/>
    <m/>
    <s v="D54"/>
    <m/>
    <m/>
    <m/>
    <m/>
    <s v="1.Biaya Instalasi PA/ACT/2001/3966/TER (crossconnect Telkomsigma BSD) Rp.3.000.000,- 2.Biaya Sewa PA/ACT/2001/3966/TER (crossconnect Telkomsigma BSD) Rp.6.000.000,- 3.Biaya Instalasi PA/ACT/2001/3966/ORI (crossconnect UTP Biznet DC) Rp.2.000.000,- 4.Biaya Sewa PA/ACT/2001/3966/ORI (crossconnect UTP Biznet DC) Rp.6.000.000,- 5.Biaya Sewa PA/ACT/2001/3966/ORI (crossconnect FO Biznet DC) Rp.12.000.000,-"/>
  </r>
  <r>
    <n v="965"/>
    <x v="131"/>
    <x v="638"/>
    <s v="MidPlaza 2 Lt. 8 Jl Jend. Sudirman 10-11 Jakarta 10220"/>
    <m/>
    <s v="MidPlaza 2, 8th Floor Jl. Jend. Sudirman 10-11 Jakarta 10220"/>
    <s v="Sewa Tahunan"/>
    <x v="1"/>
    <x v="694"/>
    <m/>
    <m/>
    <m/>
    <m/>
    <m/>
    <x v="95"/>
    <m/>
    <m/>
    <x v="312"/>
    <m/>
    <x v="697"/>
    <d v="2020-03-09T00:00:00"/>
    <x v="0"/>
    <m/>
    <d v="2024-09-06T00:00:00"/>
    <n v="-1642"/>
    <x v="8"/>
    <x v="5"/>
    <s v="0660317 SPR [CID : 2845 berubah menjadi 5009] | 08366/SPP/008/PUSAT/ICON+/2018 | 4500011351"/>
    <s v="10604/SPP/008/PUSAT/ICON+/2019"/>
    <n v="4500012732"/>
    <s v="Fajar Paramita"/>
    <s v="Marissa"/>
    <s v="021-57998891"/>
    <m/>
    <s v="B183"/>
    <s v="C32"/>
    <m/>
    <m/>
    <m/>
    <m/>
    <m/>
    <s v="1.Biaya Sewa Tahunan sebesar Rp.4.000.000,-"/>
  </r>
  <r>
    <n v="966"/>
    <x v="131"/>
    <x v="639"/>
    <s v="MidPlaza 2 Lt. 8 Jl Jend. Sudirman 10-11 Jakarta 10222"/>
    <m/>
    <s v="PT Dipo Star Finance DRC Biznet Technovillage, Jl. Riverside Golf Club No.1, Bojong Nangka, Gn. Putri, Kabupaten Bogor, Jawa Barat, Indonesia, 16965"/>
    <s v="Sewa Tahunan"/>
    <x v="2"/>
    <x v="78"/>
    <m/>
    <m/>
    <m/>
    <m/>
    <m/>
    <x v="55"/>
    <m/>
    <m/>
    <x v="5"/>
    <m/>
    <x v="698"/>
    <d v="2022-03-12T00:00:00"/>
    <x v="1"/>
    <m/>
    <d v="2024-09-06T00:00:00"/>
    <n v="-909"/>
    <x v="8"/>
    <x v="2"/>
    <s v="10531/SPP/008/PUSAT/ICON+/2019 | 4500012672 | 12630/SPP/008/PUSAT/ICON+/2020 | 4500014042"/>
    <s v="15170/SPP/008/PUSAT/ICON+/2021"/>
    <n v="4500015823"/>
    <s v="Fajar Paramita"/>
    <s v="Marissa"/>
    <s v="021-57998891"/>
    <m/>
    <m/>
    <s v="C62"/>
    <s v="D63"/>
    <s v="E44"/>
    <m/>
    <m/>
    <m/>
    <m/>
  </r>
  <r>
    <n v="967"/>
    <x v="131"/>
    <x v="640"/>
    <s v="MidPlaza 2 Lt. 8 Jl Jend. Sudirman 10-11 Jakarta 10220"/>
    <m/>
    <s v="PT SUPRA PRIMA TAMA, RUKO PANDANARAN KAV. 8 JL. PANDANARAN NO. 2-6"/>
    <s v="Sewa Tahunan"/>
    <x v="2"/>
    <x v="695"/>
    <m/>
    <m/>
    <m/>
    <m/>
    <m/>
    <x v="336"/>
    <m/>
    <m/>
    <x v="16"/>
    <m/>
    <x v="699"/>
    <d v="2023-01-30T00:00:00"/>
    <x v="1"/>
    <m/>
    <d v="2024-09-06T00:00:00"/>
    <n v="-585"/>
    <x v="11"/>
    <x v="6"/>
    <s v="11680/SPP/008/PUSAT/ICON+/2019 | 4500013932| 15103/SPP/008/PUSAT/ICON+/2021| 4500015889"/>
    <s v="17748/SPP/008/PUSAT/ICON+/2022"/>
    <n v="4500017693"/>
    <s v="Fajar Paramita"/>
    <s v="Marissa"/>
    <s v="021-57998891"/>
    <m/>
    <m/>
    <m/>
    <s v="D32"/>
    <s v="E198"/>
    <s v="F127"/>
    <m/>
    <m/>
    <m/>
  </r>
  <r>
    <n v="968"/>
    <x v="131"/>
    <x v="641"/>
    <s v="MidPlaza 2 Lt. 8 Jl Jend. Sudirman 10-11 Jakarta 10220"/>
    <m/>
    <s v="PT. Graha Informatika Nusantara, Biznet Technovillage Jl. Riverside Golf Club No.1, Bojong Nangka"/>
    <s v="Sewa Tahunan"/>
    <x v="2"/>
    <x v="696"/>
    <m/>
    <m/>
    <m/>
    <m/>
    <m/>
    <x v="36"/>
    <m/>
    <m/>
    <x v="17"/>
    <m/>
    <x v="591"/>
    <d v="2025-01-26T00:00:00"/>
    <x v="2"/>
    <m/>
    <d v="2024-09-06T00:00:00"/>
    <n v="142"/>
    <x v="11"/>
    <x v="3"/>
    <s v="17689/SPP/008/PUSAT/ICON+/2022 | 4500017531 | 21091/SPP/008/PUSAT/ICON+/2023 | 4500022793"/>
    <s v="3666/SPP/SBU/PLNICONPLUS/2024"/>
    <n v="4500022793"/>
    <s v="Fajar Paramita"/>
    <s v="Marissa"/>
    <s v="021-57998891"/>
    <m/>
    <m/>
    <m/>
    <m/>
    <m/>
    <s v="F22"/>
    <m/>
    <s v="H175"/>
    <s v="Biaya Set Up Rp.4.000.000"/>
  </r>
  <r>
    <n v="969"/>
    <x v="131"/>
    <x v="642"/>
    <s v="MidPlaza 2 Lt. 8 Jl Jend. Sudirman 10-11 Jakarta 10220"/>
    <m/>
    <s v="(Jl. Riverside Golf Club No.1, Bojong Nangka, Kec. Gn. Putri, Kabupaten Bogor, Jawa Barat 16965)"/>
    <s v="Sewa Tahunan"/>
    <x v="2"/>
    <x v="697"/>
    <m/>
    <m/>
    <m/>
    <m/>
    <m/>
    <x v="98"/>
    <m/>
    <m/>
    <x v="35"/>
    <m/>
    <x v="700"/>
    <d v="2024-08-09T00:00:00"/>
    <x v="2"/>
    <m/>
    <d v="2024-09-06T00:00:00"/>
    <n v="-28"/>
    <x v="12"/>
    <x v="1"/>
    <s v="baru"/>
    <s v="1400/SPP/SBU/ICON+/2023"/>
    <n v="4500021318"/>
    <s v="Fajar Paramita"/>
    <s v="anggun"/>
    <s v="021-57998891"/>
    <m/>
    <m/>
    <m/>
    <m/>
    <m/>
    <m/>
    <s v="G238"/>
    <m/>
    <s v="1.Biaya Sewa Xconnect 2 item @ 1 Tahun Rp.48.000.000 | 2.OTC Rp.10.000.000"/>
  </r>
  <r>
    <n v="970"/>
    <x v="131"/>
    <x v="346"/>
    <s v="MidPlaza 2 Lt. 8 Jl Jend. Sudirman 10-11 Jakarta 10220"/>
    <m/>
    <s v="LJN TECHNO VILLAGE JL. RIVERSIDE GOLF CLUB NO.1, BOJONG NANGKA, KEC. GN. PUTRI, KABUPATEN BOGOR, JAWA BARAT 16965"/>
    <s v="Sewa Tahunan"/>
    <x v="2"/>
    <x v="698"/>
    <m/>
    <m/>
    <m/>
    <m/>
    <m/>
    <x v="101"/>
    <m/>
    <m/>
    <x v="16"/>
    <m/>
    <x v="701"/>
    <d v="2024-12-09T00:00:00"/>
    <x v="2"/>
    <m/>
    <d v="2024-09-06T00:00:00"/>
    <n v="94"/>
    <x v="5"/>
    <x v="1"/>
    <s v="baru"/>
    <s v="1403/SPP/SBU/ICON+/2023"/>
    <n v="4500021319"/>
    <s v="Fajar Paramita"/>
    <s v="Marissa"/>
    <s v="021-57998891"/>
    <m/>
    <m/>
    <m/>
    <m/>
    <m/>
    <m/>
    <s v="G237"/>
    <m/>
    <s v="1.MRC Cross Connect Services to MMR (UTP/FO)  @1 tahun  Rp.12.000.000 | Biaya Instalasi OTC Rp.3.000.000"/>
  </r>
  <r>
    <n v="971"/>
    <x v="360"/>
    <x v="643"/>
    <s v="Jl.Embong Tanjung No.40 Surabaya"/>
    <s v="-"/>
    <s v="H2H e-mobile BMRI, (Data Center TIfa Building), Jalan Kuningan barat 1 No.26"/>
    <s v="Sewa Tahunan"/>
    <x v="2"/>
    <x v="416"/>
    <m/>
    <m/>
    <m/>
    <m/>
    <m/>
    <x v="216"/>
    <m/>
    <m/>
    <x v="218"/>
    <m/>
    <x v="702"/>
    <d v="2024-10-30T00:00:00"/>
    <x v="2"/>
    <m/>
    <d v="2024-09-06T00:00:00"/>
    <n v="54"/>
    <x v="6"/>
    <x v="1"/>
    <s v="20275 | 4500019217"/>
    <n v="1679"/>
    <n v="4500022148"/>
    <s v="Fajar Paramita"/>
    <m/>
    <m/>
    <m/>
    <m/>
    <m/>
    <m/>
    <m/>
    <s v="F361"/>
    <m/>
    <s v="H25"/>
    <s v="OTC Rp.500.000"/>
  </r>
  <r>
    <n v="972"/>
    <x v="360"/>
    <x v="644"/>
    <s v="Jl.Embong Tanjung No.40 Surabaya"/>
    <s v="-"/>
    <s v="Jl. Margonda Raya No.525A, Pondok Cina"/>
    <s v="Sewa Tahunan"/>
    <x v="2"/>
    <x v="420"/>
    <m/>
    <m/>
    <m/>
    <m/>
    <m/>
    <x v="59"/>
    <m/>
    <m/>
    <x v="218"/>
    <m/>
    <x v="645"/>
    <d v="2024-10-19T00:00:00"/>
    <x v="2"/>
    <m/>
    <d v="2024-09-06T00:00:00"/>
    <n v="43"/>
    <x v="6"/>
    <x v="1"/>
    <s v="20270 | 4500019216"/>
    <n v="1680"/>
    <n v="4500022147"/>
    <s v="Fajar Paramita"/>
    <m/>
    <m/>
    <m/>
    <m/>
    <m/>
    <m/>
    <m/>
    <s v="F359"/>
    <m/>
    <s v="H23"/>
    <s v="OTC Rp.500.000"/>
  </r>
  <r>
    <n v="973"/>
    <x v="360"/>
    <x v="644"/>
    <s v="Jl.Embong Tanjung No.40 Surabaya"/>
    <m/>
    <s v="Pollux Mall Chadstone: Jl. Raya Cikarang - Cibarusah"/>
    <s v="Sewa Tahunan"/>
    <x v="2"/>
    <x v="482"/>
    <m/>
    <m/>
    <m/>
    <m/>
    <m/>
    <x v="59"/>
    <m/>
    <m/>
    <x v="216"/>
    <m/>
    <x v="703"/>
    <d v="2024-07-26T00:00:00"/>
    <x v="2"/>
    <m/>
    <d v="2024-09-06T00:00:00"/>
    <n v="-42"/>
    <x v="1"/>
    <x v="1"/>
    <s v="19206 | 4500018439"/>
    <n v="2667"/>
    <n v="4500022316"/>
    <s v="Fajar Paramita"/>
    <m/>
    <m/>
    <m/>
    <m/>
    <m/>
    <m/>
    <m/>
    <s v="F215"/>
    <m/>
    <s v="H82"/>
    <s v="OTC Rp.500.000"/>
  </r>
  <r>
    <n v="974"/>
    <x v="360"/>
    <x v="645"/>
    <s v="Jl.Embong Tanjung No.40 Surabaya"/>
    <s v="Server CPS – Data Center DTP Ged. Tifa, Kuningan Barat Jaksel"/>
    <s v="Server CPS – Data Center DTP Ged. Tifa, Kuningan Barat Jaksel"/>
    <s v="Sewa Tahunan"/>
    <x v="1"/>
    <x v="699"/>
    <m/>
    <m/>
    <m/>
    <m/>
    <m/>
    <x v="35"/>
    <m/>
    <m/>
    <x v="31"/>
    <m/>
    <x v="660"/>
    <d v="2024-10-31T00:00:00"/>
    <x v="2"/>
    <m/>
    <d v="2024-09-06T00:00:00"/>
    <n v="55"/>
    <x v="6"/>
    <x v="1"/>
    <s v="09573/SPP/008/PUSAT/ICON+/2018 | 4500012134 | 11813/SPP/008/PUSAT/ICON+/2019| 4500013869| 14304/SPP/008/PUSAT/ICON+/2020 | 4500015106 |  17646/SPP/008/PUSAT/ICON+/2022 | 4500017616 | 20180/SPP/008/PUSAT/ICON+/2022 | 4500019570"/>
    <n v="2161"/>
    <n v="4500022146"/>
    <s v="Fajar Paramita"/>
    <s v="Jaka"/>
    <s v="021 526 0626"/>
    <m/>
    <s v="B242"/>
    <m/>
    <s v="D330"/>
    <m/>
    <s v="F82"/>
    <s v="G474"/>
    <s v="H24"/>
    <s v="-"/>
  </r>
  <r>
    <n v="975"/>
    <x v="361"/>
    <x v="8"/>
    <s v="Kantor Pusat Gedung Harco Electronic Superstore Lt.IV Jl. Arteri Mangga Dua Jakarta Pusat 10730_x000a_ Kantor Representatif :_x000a_ Graha Gramala Komplek Duta Merlin Blok H No. 1-3 Jl. Gajah Mada No. 3-5 Jakarta 10130"/>
    <m/>
    <s v="Duta Merlin_x000a_ Rukan Blok C s/d Rukan Blok D_x000a_ Jl. Gajah Mada No.3-5_x000a_ Jakarta_x000a_ (Trans Retail Indonesia)"/>
    <s v="Sewa Tahunan"/>
    <x v="1"/>
    <x v="700"/>
    <m/>
    <m/>
    <m/>
    <m/>
    <m/>
    <x v="35"/>
    <m/>
    <m/>
    <x v="313"/>
    <m/>
    <x v="214"/>
    <d v="2022-10-09T00:00:00"/>
    <x v="1"/>
    <m/>
    <d v="2024-09-06T00:00:00"/>
    <n v="-698"/>
    <x v="6"/>
    <x v="2"/>
    <s v="4500009722 |07415/SPP/008/PUSAT/ICON+/2017 |4500010811 | 09194/SPP/008/PUSAT/ICON+/2018 | 4500011856 | 11745/SPP/008/PUSAT/ICON+/2019 | 4500013371 | 14314/SPP/008/PUSAT/ICON+/2020 | 4500015175"/>
    <s v="16759/SPP/008/PUSAT/ICON+/2021"/>
    <s v="4500016854"/>
    <s v="Fajar Paramita"/>
    <s v="Wilda Wildiana"/>
    <s v="021-6127122,6127155_x000a_ 021-63867676"/>
    <n v="110"/>
    <s v="B215"/>
    <s v="C205"/>
    <s v="D329"/>
    <s v="E319"/>
    <m/>
    <m/>
    <m/>
    <s v="1. Sewa Shaft Kabel Rp16.500.000/tahun update tahun 2016 Rp19.000.000 (karena tarikan kabel lebih panjang di banding OCBC NISP)_x000a_ 2. Jaminan Sewa Rp5.000.000_x000a_ 3. Biaya Supervisi Rp300.000,- (OTC)_x000a_ 4. Jaminan Pekerjaan Rp1.500.000 update tahun 2016 Rp3.000.000,-"/>
  </r>
  <r>
    <n v="976"/>
    <x v="362"/>
    <x v="646"/>
    <s v="Menara Citibank Gallery Suite 7-02_x000a_ Jl. Metro Pondok Indah Kav. II BA No. 2_x000a_ Jakarta 12310"/>
    <m/>
    <s v="Menara Citibank Lantai 1, Jalan Metro Pondok Indah Kav II BA No 2, Jakarta Selatan"/>
    <s v="Sewa Tahunan"/>
    <x v="1"/>
    <x v="701"/>
    <m/>
    <m/>
    <m/>
    <m/>
    <m/>
    <x v="35"/>
    <m/>
    <m/>
    <x v="12"/>
    <m/>
    <x v="704"/>
    <d v="2024-09-14T00:00:00"/>
    <x v="2"/>
    <m/>
    <d v="2024-09-06T00:00:00"/>
    <n v="8"/>
    <x v="7"/>
    <x v="1"/>
    <s v="13791/SPP/008/PUSAT/ICON+/2020 | 4500014766"/>
    <s v="776/SPP/SBU/ICON+/2023"/>
    <n v="4500020937"/>
    <s v="Fajar Paramita"/>
    <m/>
    <m/>
    <m/>
    <m/>
    <m/>
    <s v="D148"/>
    <m/>
    <m/>
    <s v="G195"/>
    <m/>
    <s v="biaya sewa pertahuna 75.000.000"/>
  </r>
  <r>
    <n v="977"/>
    <x v="363"/>
    <x v="643"/>
    <s v="ITC Cempaka Mas Mega Grosir Lt. 5 Jl. Letjen Suprapto kav. 1 Jakarta 10640"/>
    <m/>
    <s v="12710 Jakarta ITC Fatmawati, Pertokoan Duta Mas Blok A Jl. Fatmawati No.17-18, RT.3/RW.5"/>
    <s v="Sewa Tahunan"/>
    <x v="1"/>
    <x v="549"/>
    <m/>
    <m/>
    <m/>
    <m/>
    <m/>
    <x v="252"/>
    <m/>
    <m/>
    <x v="314"/>
    <m/>
    <x v="705"/>
    <d v="2025-08-29T00:00:00"/>
    <x v="2"/>
    <m/>
    <d v="2024-09-06T00:00:00"/>
    <n v="357"/>
    <x v="12"/>
    <x v="3"/>
    <s v="19492/SPP/008/PUSAT/ICON+/2022 | 4500018593 | 1161/SPP/SBU/ICON+/2023 | 4500021286"/>
    <s v="3669/SPP/SBU/PLNICONPLUS/2024"/>
    <n v="4500022947"/>
    <s v="Livia Indraswati"/>
    <m/>
    <m/>
    <m/>
    <m/>
    <m/>
    <m/>
    <m/>
    <s v="F266"/>
    <s v="G360"/>
    <s v="H173"/>
    <s v="Biaya Perizinan Sewa selama 1 tahun  (85 ribu x 56.67 meter) Rp.4.816.950"/>
  </r>
  <r>
    <n v="978"/>
    <x v="363"/>
    <x v="647"/>
    <s v="Gd.JITC Lt.7&amp;8 Jl Mangga dua raya Jakarta Utara"/>
    <m/>
    <s v="BTN Jl. RS. Fatmawati Komp. Pertokoan Duta Mas, Blok A1 No. 19, Fatmawati, Jakarta Selatan, DKI Jakarta"/>
    <s v="Sewa Tahunan"/>
    <x v="1"/>
    <x v="702"/>
    <m/>
    <m/>
    <m/>
    <m/>
    <m/>
    <x v="112"/>
    <m/>
    <m/>
    <x v="16"/>
    <m/>
    <x v="706"/>
    <d v="2023-08-18T00:00:00"/>
    <x v="1"/>
    <m/>
    <d v="2024-09-06T00:00:00"/>
    <n v="-385"/>
    <x v="12"/>
    <x v="6"/>
    <s v="11254/SPP/008/PUSAT/ICON+/2019 | 4500013032 | 13829/SPP/008/PUSAT/ICON+/2020 | 4500014744| 16290/SPP/008/PUSAT/ICON+/2021| 4500016494"/>
    <s v="19141/SPP/008/PUSAT/ICON+/2022        "/>
    <n v="4500018462"/>
    <s v="Fajar Paramita"/>
    <s v="Lela Tobing/Bram"/>
    <s v="021-42878833 ext 418"/>
    <m/>
    <m/>
    <m/>
    <s v="D171"/>
    <s v="E192"/>
    <s v="F253"/>
    <m/>
    <m/>
    <s v="Biaya sewa tahunan sebesar 10.500.000"/>
  </r>
  <r>
    <n v="979"/>
    <x v="363"/>
    <x v="534"/>
    <s v="ITC Cempaka Mas Mega Grosir Lt. 5 Jl. Letjen Suprapto kav. 1 Jakarta 10640"/>
    <m/>
    <s v="ITC Cempaka Mas Mega Grosir Lt. 5 Jl. Letjen Suprapto kav. 1 Jakarta 10640"/>
    <s v="Sewa Tahunan"/>
    <x v="1"/>
    <x v="8"/>
    <m/>
    <m/>
    <m/>
    <m/>
    <m/>
    <x v="7"/>
    <m/>
    <m/>
    <x v="315"/>
    <m/>
    <x v="475"/>
    <d v="2023-08-26T00:00:00"/>
    <x v="0"/>
    <m/>
    <d v="2024-09-06T00:00:00"/>
    <n v="-377"/>
    <x v="12"/>
    <x v="6"/>
    <s v="4500009754 | 06996/SPP/008/PUSAT/ICON+/2017 |4500010559 | 08858/SPP/008/PUSAT/ICON+/2018 | 450001168 | 11020/SPP/008/PUSAT/ICON+/2019 | 4500012942 | 13725/SPP/008/PUSAT/ICON+/2020 | 4500014634| 16289/SPP/008/PUSAT/ICON+/2021| 4500016493"/>
    <s v="18910/SPP/008/PUSAT/ICON+/2022"/>
    <n v="4500018257"/>
    <s v="Fajar Paramita"/>
    <s v="Lela Tobing/Bram"/>
    <s v="021-42878833 ext 418"/>
    <n v="66"/>
    <s v="B156"/>
    <s v="C119"/>
    <s v="D150"/>
    <s v="E195"/>
    <s v="F239"/>
    <m/>
    <m/>
    <s v="Sewa Cable Shaft sepanjang 500 meter dari Lantai Ground Floor ke Lantai Lower Ground (Kantor PLN Gambir I Cempaka Mas ke Kantor Carrefour) sebesar Rp55.000/meter/tahun"/>
  </r>
  <r>
    <n v="980"/>
    <x v="363"/>
    <x v="30"/>
    <s v="Gd.JITC Lt.7&amp;8 Jl Mangga dua raya Jakarta Utara"/>
    <m/>
    <s v="Komplek Pertokoan Duta Mas Fatmawati Blok B1 No. 6 Jl. RS Fatmawati No. 39 12150"/>
    <s v="Sewa Tahunan"/>
    <x v="1"/>
    <x v="703"/>
    <m/>
    <m/>
    <m/>
    <m/>
    <m/>
    <x v="27"/>
    <m/>
    <m/>
    <x v="165"/>
    <m/>
    <x v="707"/>
    <d v="2025-04-11T00:00:00"/>
    <x v="2"/>
    <m/>
    <d v="2024-09-06T00:00:00"/>
    <n v="217"/>
    <x v="10"/>
    <x v="3"/>
    <s v="08160/SPP/008/PUSAT/ICON+/2018 | 4500011262 | 10041/SPP/008/PUSAT/ICON+/2019 | 4500012436 | 12635/SPP/008/PUSAT/ICON+/2020 | 4500014316| 15566/SPP/008/PUSAT/ICON+/2021| 4500016054 | 18242/SPP/008/PUSAT/ICON+/2022 | 4500017925 | 21147 | 4500020068"/>
    <n v="3091"/>
    <n v="4500022562"/>
    <s v="Fajar Paramita"/>
    <s v="Lela Tobing/Bram"/>
    <s v="021-42878833 ext 418"/>
    <m/>
    <n v="148"/>
    <s v="C27"/>
    <s v="D155"/>
    <s v="E125"/>
    <s v="F206"/>
    <s v="G64"/>
    <s v="G146"/>
    <s v=" Deposit sebesar 1.000.000"/>
  </r>
  <r>
    <n v="981"/>
    <x v="363"/>
    <x v="648"/>
    <s v="Gd.JITC Lt.7&amp;8 Jl Mangga dua raya Jakarta Utara"/>
    <m/>
    <s v="Ruko Cempaka Mas Blok E No. 5-6, Jalan Letjen Suprapto, Sumur Batu, Kemayoran, Jakarta Pusat"/>
    <s v="Sewa Tahunan"/>
    <x v="1"/>
    <x v="704"/>
    <m/>
    <m/>
    <m/>
    <m/>
    <m/>
    <x v="7"/>
    <m/>
    <m/>
    <x v="316"/>
    <m/>
    <x v="591"/>
    <d v="2025-01-26T00:00:00"/>
    <x v="2"/>
    <m/>
    <d v="2024-09-06T00:00:00"/>
    <n v="142"/>
    <x v="11"/>
    <x v="3"/>
    <s v="12151/SPP/008/PUSAT/ICON+/2019 | 4500013731 | 15235/SPP/008/PUSAT/ICON+/2021| 4500015779 | 17742/SPP/008/PUSAT/ICON+/2022 | 4500017587 | 20966 | 4500020106"/>
    <n v="2573"/>
    <n v="4500022247"/>
    <s v="Fajar Paramita"/>
    <s v="Lela Tobing/Bram"/>
    <s v="021-42878833 ext 418"/>
    <m/>
    <m/>
    <m/>
    <s v="C262"/>
    <s v="E134"/>
    <s v="F24"/>
    <s v="G217"/>
    <s v="H66"/>
    <s v="2.Biaya Perijinan PU Jakarta Utara sebesar Rp.10.000.000"/>
  </r>
  <r>
    <n v="982"/>
    <x v="363"/>
    <x v="649"/>
    <s v="ITC Cempaka Mas Mega Grosir Lt. 5 Jl. Letjen Suprapto kav. 1 Jakarta 10640"/>
    <m/>
    <s v="Tri Mandiri Selaras, Jl. Ruko Cempaka Mas Blok J31 - 33, Komplek Ruko Cempaka Mas, Sumur Batu"/>
    <s v="Sewa Tahunan"/>
    <x v="1"/>
    <x v="705"/>
    <m/>
    <m/>
    <m/>
    <m/>
    <m/>
    <x v="18"/>
    <m/>
    <m/>
    <x v="317"/>
    <m/>
    <x v="605"/>
    <d v="2025-03-31T00:00:00"/>
    <x v="2"/>
    <m/>
    <d v="2024-09-06T00:00:00"/>
    <n v="206"/>
    <x v="8"/>
    <x v="3"/>
    <s v="18071/SPP/008/PUSAT/ICON+/2022 | 4500017710 | 21489 | 4500020124"/>
    <n v="2849"/>
    <n v="4500022472"/>
    <s v="Fajar Paramita"/>
    <s v="brahmono"/>
    <m/>
    <m/>
    <m/>
    <m/>
    <m/>
    <m/>
    <s v="F47"/>
    <s v="G73"/>
    <s v="H39"/>
    <m/>
  </r>
  <r>
    <n v="983"/>
    <x v="363"/>
    <x v="650"/>
    <s v="ITC Cempaka Mas Mega Grosir Lt. 5 Jl. Letjen Suprapto kav. 1 Jakarta 10640"/>
    <s v="-"/>
    <s v="(SOF Cempaka Mas + Oto Pec) Ruko Mega Grosir Cempaka Mas Blok E 11-12, Kemayoran, Jakarta Pusat, DKI Jakarta, Indonesia, 10640"/>
    <s v="Sewa Tahunan"/>
    <x v="1"/>
    <x v="706"/>
    <m/>
    <m/>
    <m/>
    <m/>
    <m/>
    <x v="337"/>
    <m/>
    <m/>
    <x v="318"/>
    <m/>
    <x v="630"/>
    <d v="2024-11-30T00:00:00"/>
    <x v="2"/>
    <m/>
    <d v="2024-09-06T00:00:00"/>
    <n v="85"/>
    <x v="2"/>
    <x v="1"/>
    <s v="baru"/>
    <s v="2180/SPP/SBU/ICON+/2023"/>
    <n v="4500021830"/>
    <s v="Fajar Paramita"/>
    <s v="Chandra"/>
    <s v="0819-0566-0781"/>
    <m/>
    <m/>
    <m/>
    <m/>
    <m/>
    <m/>
    <s v="G354"/>
    <m/>
    <s v="Biaya Perizinan Sewa selama 1 tahun  (90 ribu x 430 meter) Rp.38.700.000"/>
  </r>
  <r>
    <n v="984"/>
    <x v="363"/>
    <x v="651"/>
    <s v="ITC Cempaka Mas Mega Grosir Lt. 5 Jl. Letjen Suprapto kav. 1 Jakarta 10640"/>
    <s v="-"/>
    <s v="(Sub HO Ard Cemas) Ruko Mega Grosir Cempaka Mas Blok I No. 48-50, Jl. Letjend Soeprapto, Jakarta Pusat, DKI Jakarta, Indonesia"/>
    <s v="Sewa Tahunan"/>
    <x v="1"/>
    <x v="707"/>
    <m/>
    <m/>
    <m/>
    <m/>
    <m/>
    <x v="337"/>
    <m/>
    <m/>
    <x v="56"/>
    <m/>
    <x v="630"/>
    <d v="2024-11-30T00:00:00"/>
    <x v="2"/>
    <m/>
    <d v="2024-09-06T00:00:00"/>
    <n v="85"/>
    <x v="2"/>
    <x v="1"/>
    <s v="baru"/>
    <s v="2178/SPP/SBU/ICON+/2023"/>
    <n v="4500021829"/>
    <s v="Fajar Paramita"/>
    <s v="Chandra"/>
    <s v="0819-0566-0781"/>
    <m/>
    <m/>
    <m/>
    <m/>
    <m/>
    <m/>
    <s v="G355"/>
    <m/>
    <s v="Biaya Perizinan Sewa selama 1 tahun  (90 ribu x 280 meter) Rp.25.200.000"/>
  </r>
  <r>
    <n v="985"/>
    <x v="363"/>
    <x v="652"/>
    <s v="ITC Cempaka Mas Mega Grosir Lt. 5 Jl. Letjen Suprapto kav. 1 Jakarta 10640"/>
    <s v="-"/>
    <s v="(SUB HO Cempaka Mas) Ruko Cempaka Mas Blok Q No. 12-14 Jl. Letjend Soeprapto, Jakarta Pusat, DKI Jakarta, Indonesia"/>
    <s v="Sewa Tahunan"/>
    <x v="1"/>
    <x v="708"/>
    <m/>
    <m/>
    <m/>
    <m/>
    <m/>
    <x v="337"/>
    <m/>
    <m/>
    <x v="249"/>
    <m/>
    <x v="630"/>
    <d v="2024-11-30T00:00:00"/>
    <x v="2"/>
    <m/>
    <d v="2024-09-06T00:00:00"/>
    <n v="85"/>
    <x v="2"/>
    <x v="1"/>
    <s v="baru"/>
    <s v="2182/SPP/SBU/ICON+/2023"/>
    <n v="4500021850"/>
    <s v="Fajar Paramita"/>
    <s v="Chandra"/>
    <s v="0819-0566-0781"/>
    <m/>
    <m/>
    <m/>
    <m/>
    <m/>
    <m/>
    <s v="G358"/>
    <m/>
    <s v="Biaya Perizinan Sewa selama 1 tahun  (90 ribu x 300 meter) Rp.27.000.000"/>
  </r>
  <r>
    <n v="986"/>
    <x v="363"/>
    <x v="653"/>
    <s v="ITC Cempaka Mas Mega Grosir Lt. 5 Jl. Letjen Suprapto kav. 1 Jakarta 10640"/>
    <s v="Jl. Harsono RM No.26, RT.6/RW.7, Ragunan, Ps. Minggu, Kota Jakarta Selatan, Daerah Khusus Ibukota Jakarta 12550"/>
    <s v="Jl Ruko Cempaka Mas No.27, Sumur Batu, Kec. Kemayoran, Kota Jakarta Pusat, DKI Jakarta 10640"/>
    <s v="Sewa Tahunan"/>
    <x v="1"/>
    <x v="709"/>
    <m/>
    <m/>
    <m/>
    <m/>
    <m/>
    <x v="338"/>
    <m/>
    <m/>
    <x v="319"/>
    <m/>
    <x v="630"/>
    <d v="2024-11-30T00:00:00"/>
    <x v="2"/>
    <m/>
    <d v="2024-09-06T00:00:00"/>
    <n v="85"/>
    <x v="2"/>
    <x v="1"/>
    <s v="baru"/>
    <s v="2040/SPP/SBU/ICON+/2023"/>
    <n v="4500021685"/>
    <s v="Fajar Paramita"/>
    <s v="Chandra"/>
    <s v="0819-0566-0781"/>
    <m/>
    <m/>
    <m/>
    <m/>
    <m/>
    <m/>
    <s v="G25"/>
    <m/>
    <s v="Biaya Perizinan Sewa selama 1 tahun  (90 ribu x 517 meter) Rp.46.530.000"/>
  </r>
  <r>
    <n v="987"/>
    <x v="364"/>
    <x v="13"/>
    <s v="Gedung Menara Tendean Lt.22 No.21"/>
    <m/>
    <s v="H2H Gedung Menara BCA Grand Indonesia, Jl. MH Thamrin No.1, Menteng, RT.1/RW.5, Menteng,  Menteng,  Jakarta Pusat,  DKI Jakarta,  Indonesia,  10310"/>
    <s v="Sewa Tahunan"/>
    <x v="2"/>
    <x v="581"/>
    <m/>
    <m/>
    <m/>
    <m/>
    <m/>
    <x v="7"/>
    <m/>
    <m/>
    <x v="17"/>
    <m/>
    <x v="708"/>
    <d v="2024-12-29T00:00:00"/>
    <x v="2"/>
    <m/>
    <d v="2024-09-06T00:00:00"/>
    <n v="114"/>
    <x v="5"/>
    <x v="1"/>
    <s v="20901/SPP/008/PUSAT/ICON+/2022 | 4500019781"/>
    <s v="1867/SPP/SBU/ICON+/2023"/>
    <n v="4500021746"/>
    <s v="Fajar Paramita"/>
    <m/>
    <m/>
    <m/>
    <m/>
    <m/>
    <m/>
    <m/>
    <s v="f450"/>
    <s v="."/>
    <m/>
    <s v="Biaya OTC Rp.1.500.000"/>
  </r>
  <r>
    <n v="988"/>
    <x v="364"/>
    <x v="654"/>
    <s v="Gedung Menara Tendean Lt.22 No.20 "/>
    <m/>
    <s v="H2H Shopee, Gedung Edge Lantai 3, Jl. Kuningan Barat Raya No. 59, RT.1/RW.3, Kuningan Barat, Jakarta, Indonesia"/>
    <s v="Sewa Tahunan"/>
    <x v="2"/>
    <x v="710"/>
    <m/>
    <m/>
    <m/>
    <m/>
    <m/>
    <x v="339"/>
    <m/>
    <m/>
    <x v="17"/>
    <m/>
    <x v="575"/>
    <d v="2024-12-21T00:00:00"/>
    <x v="2"/>
    <m/>
    <d v="2024-09-06T00:00:00"/>
    <n v="106"/>
    <x v="5"/>
    <x v="1"/>
    <s v="20808/SPP/008/PUSAT/ICON+/2022 | 4500019676"/>
    <s v="1868/SPP/SBU/ICON+/2023"/>
    <n v="4500021747"/>
    <s v="Fajar Paramita"/>
    <m/>
    <m/>
    <m/>
    <m/>
    <m/>
    <m/>
    <m/>
    <s v="F432"/>
    <s v="G384"/>
    <m/>
    <s v="Biaya OTC Rp.2.500.000"/>
  </r>
  <r>
    <n v="989"/>
    <x v="365"/>
    <x v="655"/>
    <s v="Lahan Gandaria 8 Unit 6-H Kebayoran Lama Jakarta Selatan 12240"/>
    <m/>
    <s v="Gandaria Unit 6H Jakarta 12240"/>
    <s v="Sewa Tahunan"/>
    <x v="1"/>
    <x v="131"/>
    <m/>
    <m/>
    <m/>
    <m/>
    <m/>
    <x v="59"/>
    <m/>
    <m/>
    <x v="10"/>
    <m/>
    <x v="163"/>
    <d v="2022-06-30T00:00:00"/>
    <x v="1"/>
    <m/>
    <d v="2024-09-06T00:00:00"/>
    <n v="-799"/>
    <x v="3"/>
    <x v="2"/>
    <s v="08956/SPP/008/PUSAT/ICON+/2018 | 4500011707 | 13715/SPP/008/PUSAT/ICON+/2020 | 4500014680"/>
    <s v="16155/SPP/008/PUSAT/ICON+/2021"/>
    <n v="4500016524"/>
    <s v="Fajar Paramita"/>
    <s v="Dinda"/>
    <s v="81519819883_x000a_ 021-29052905"/>
    <m/>
    <m/>
    <m/>
    <s v="D161"/>
    <s v="E413"/>
    <m/>
    <m/>
    <m/>
    <s v="1.Sewa Shaft Rp.36.000.000"/>
  </r>
  <r>
    <n v="990"/>
    <x v="365"/>
    <x v="452"/>
    <s v="Lahan Gandaria 8 Unit 6-H Kebayoran Lama Jakarta Selatan 12240"/>
    <m/>
    <s v="Perkantoran Gandaria Kebayoran Baru/Mall Gandaria City (exclusive penyedia jasa telekomunikasi adalah PT Envision namun pemilik gedung adalah PT Artisan Wahyu)"/>
    <s v="Sewa Tahunan"/>
    <x v="1"/>
    <x v="711"/>
    <m/>
    <m/>
    <m/>
    <m/>
    <m/>
    <x v="195"/>
    <m/>
    <m/>
    <x v="88"/>
    <m/>
    <x v="65"/>
    <d v="2021-04-19T00:00:00"/>
    <x v="1"/>
    <m/>
    <d v="2024-09-06T00:00:00"/>
    <n v="-1236"/>
    <x v="10"/>
    <x v="4"/>
    <s v="4500009374 |06884/SPP/008/PUSAT/ICON+/2017 |4500010489 | 08524/SPP/008/PUSAT/ICON+/2018 | 4500011443 | 10463/SPP/008/PUSAT/ICON+/2019 | 4500012808"/>
    <s v="12975/SPP/008/PUSAT/ICON+/2020"/>
    <n v="4500014155"/>
    <s v="Fajar Paramita"/>
    <s v="Dinda"/>
    <s v="81519819883_x000a_ 021-29052905"/>
    <m/>
    <s v="B83"/>
    <s v="C99"/>
    <s v="D76"/>
    <m/>
    <m/>
    <m/>
    <m/>
    <s v="1. Sewa Shaft untuk Penempatan 2 Core Kabel FO (PT Envision)_x000a_ 2. Link Local Loop Rp2.500.000,-/bulan (PT Envision)_x000a_ 3. Instalasi Rp2.500.000 (PT Envision)_x000a_ 4. Jaminan Rp5.000.000 (PT Artisan Wahyu)"/>
  </r>
  <r>
    <n v="991"/>
    <x v="366"/>
    <x v="418"/>
    <s v="Jl Buncit Raya Lt Penthouse No.22 Jakarta 12510"/>
    <m/>
    <s v="Jl. Warung Jati Barat No.22, RT.2/RW.7, Pejaten Bar., Ps. Minggu, Kota Jakarta Selatan, Daerah Khusus Ibukota Jakarta 12510"/>
    <s v="Sewa Tahunan"/>
    <x v="1"/>
    <x v="712"/>
    <m/>
    <m/>
    <m/>
    <m/>
    <m/>
    <x v="190"/>
    <m/>
    <m/>
    <x v="2"/>
    <m/>
    <x v="709"/>
    <d v="2024-09-24T00:00:00"/>
    <x v="2"/>
    <m/>
    <d v="2024-09-06T00:00:00"/>
    <n v="18"/>
    <x v="7"/>
    <x v="1"/>
    <s v="09347/SPP/008/PUSAT/ICON+/2018 | | 11768/SPP/008/PUSAT/ICON+/2019| 4500013449 | 14227/SPP/008/PUSAT/ICON+/2020 | 4500015016|4500016628 16417/SPP/008/PUSAT/ICON+/2021 | 19803/SPP/008/PUSAT/ICON+/2022 | 4500018896"/>
    <s v="716/SPP/SBU/ICON+/2023"/>
    <n v="4500020905"/>
    <s v="Fajar Paramita"/>
    <s v="Magdalena Novita"/>
    <s v="021-7918 2222"/>
    <m/>
    <m/>
    <s v="C251"/>
    <s v="D214"/>
    <s v="E266"/>
    <s v="F346"/>
    <s v="G170"/>
    <m/>
    <s v="1.Biaya Sewa Tahunan Rp.70.000.000,- 2.Biaya PKB sebesar Rp.8.652.573,-"/>
  </r>
  <r>
    <n v="992"/>
    <x v="367"/>
    <x v="656"/>
    <s v="Jl.MT Haryono Kav 58-60 Pancoran 12830"/>
    <m/>
    <s v="Mulia Business Park, Jl. Letjen M.T. Haryono No.Kav. 58 - 60, Pancoran, Kec. Pancoran"/>
    <s v="Sewa Tahunan"/>
    <x v="2"/>
    <x v="713"/>
    <m/>
    <m/>
    <m/>
    <m/>
    <m/>
    <x v="36"/>
    <m/>
    <m/>
    <x v="320"/>
    <m/>
    <x v="600"/>
    <d v="2025-05-31T00:00:00"/>
    <x v="2"/>
    <m/>
    <d v="2024-09-06T00:00:00"/>
    <n v="267"/>
    <x v="4"/>
    <x v="3"/>
    <s v="baru"/>
    <s v="18786/SPP/008/PUSAT/ICON+/2022"/>
    <n v="4500018200"/>
    <s v="Fajar Paramita"/>
    <m/>
    <m/>
    <m/>
    <m/>
    <m/>
    <m/>
    <m/>
    <s v="F159"/>
    <m/>
    <m/>
    <s v="1.Biaya sewa tahunan Rp.63.000.000 2.Biaya Jaminan setara Sewa selama 3 Bulan  Rp.15.750.000 "/>
  </r>
  <r>
    <n v="993"/>
    <x v="368"/>
    <x v="657"/>
    <s v="Jl.TB Simatupang Kav.36 Jakarta Selatan"/>
    <m/>
    <s v="Sovereign Plaza, Lt.16 Unit D-E, Jl. TB Simatupang No.36, RT.1/RW.2, Cilandak Barat, Jakarta Selatan, DKI Jakarta, Indonesia, 12430"/>
    <s v="Sewa Tahunan"/>
    <x v="1"/>
    <x v="714"/>
    <m/>
    <m/>
    <m/>
    <m/>
    <m/>
    <x v="16"/>
    <m/>
    <m/>
    <x v="38"/>
    <m/>
    <x v="528"/>
    <d v="2025-01-16T00:00:00"/>
    <x v="2"/>
    <m/>
    <d v="2024-09-06T00:00:00"/>
    <n v="132"/>
    <x v="11"/>
    <x v="3"/>
    <s v="baru"/>
    <s v="17660/SPP/008/PUSAT/ICON+/2022"/>
    <n v="4500017485"/>
    <s v="Fajar Paramita"/>
    <m/>
    <m/>
    <m/>
    <m/>
    <m/>
    <m/>
    <m/>
    <s v="F4"/>
    <m/>
    <m/>
    <s v="1.Biaya Sewa 3 tahun RFp.180.000.000"/>
  </r>
  <r>
    <n v="994"/>
    <x v="369"/>
    <x v="658"/>
    <s v="Gedung The East Building Lt. 32 Jl. Lingkar Mega Kuningan / Gedung The East Jl. DR.Ide Anak Agung Gde Agung Kav. E3.2 No. 1 Jakarta 12950_x000a_ _x000a_ Jl. Pedurenan Masjid 1 No. 18"/>
    <m/>
    <s v="Gedung The East Kawasan Mega Kuningan Jl. DR.Ide Anak Agung Gde Agung Kav. E3.2 No. 1 Jakarta 12950"/>
    <s v="Sewa Tahunan"/>
    <x v="1"/>
    <x v="715"/>
    <m/>
    <m/>
    <m/>
    <m/>
    <m/>
    <x v="259"/>
    <m/>
    <m/>
    <x v="38"/>
    <m/>
    <x v="571"/>
    <d v="2025-07-31T00:00:00"/>
    <x v="2"/>
    <m/>
    <d v="2024-09-06T00:00:00"/>
    <n v="328"/>
    <x v="1"/>
    <x v="3"/>
    <s v="4500009957_x000a_ Amandemen IV_x000a_ 02031/AMDIV/061/ICON+/2017 07170/SPP/008/PUSAT/ICON+/2017 4500010668 | 08824/SPP/008/PUSAT/ICON+/2018 | 4500011647 | 11206/SPP/008/PUSAT/ICON+/2019 | 4500014577 | 13888/SPP/008/PUSAT/ICON+/2020 | 4500014817| 15962/SPP/008/PUSAT/ICON+/2021| 4500016264 | 18539/SPP/008/PUSAT/ICON+/2022 | 4500018124"/>
    <s v="442/SPP/SBU/ICON+/2023"/>
    <s v="4500020733"/>
    <s v="Fajar Paramita"/>
    <s v="Retno_x000a_ Jamaludin_x000a_ Endang"/>
    <s v="021-57900690_x000a_ 08129233394"/>
    <m/>
    <m/>
    <s v="C139"/>
    <s v="b"/>
    <s v="E123"/>
    <s v="F284"/>
    <s v="G177"/>
    <m/>
    <s v="1. Sewa Shaft Kabel Rp50.000.000,-/Tahun update tahun 2016 Rp73.000.000,-/tahun _x000a_ 3. Ijin Penarikan Rp4.400.000/One Time Charged_x000a_ 4. Jasa Man Hour Rp3.000.000/One Time Charged"/>
  </r>
  <r>
    <n v="995"/>
    <x v="78"/>
    <x v="659"/>
    <s v="Jl.Gatot Subroto Kav 51-52 JAKARTA 102660"/>
    <m/>
    <s v="Gedung Dipo Tower lt 10 Jl Gatot Subroto kav 50-52 Jakarta 10260"/>
    <s v="Sewa Tahunan"/>
    <x v="1"/>
    <x v="716"/>
    <m/>
    <m/>
    <m/>
    <m/>
    <m/>
    <x v="80"/>
    <m/>
    <m/>
    <x v="63"/>
    <m/>
    <x v="108"/>
    <d v="2021-05-24T00:00:00"/>
    <x v="1"/>
    <m/>
    <d v="2024-09-06T00:00:00"/>
    <n v="-1201"/>
    <x v="4"/>
    <x v="4"/>
    <s v="4500010328 |06669/SPP/008/PUSAT/ICON+/2017 | 08425/SPP/008/PUSAT/ICON+/2018 | 4500011375 | 10394/SPP/008/PUSAT/ICON+/2019 | 4500012621"/>
    <n v="13395"/>
    <n v="4500014396"/>
    <s v="Fajar Paramita"/>
    <s v="Dina Rofiana"/>
    <m/>
    <n v="56"/>
    <s v="B76"/>
    <s v="C36"/>
    <s v="D205"/>
    <m/>
    <m/>
    <m/>
    <m/>
    <s v="-"/>
  </r>
  <r>
    <n v="996"/>
    <x v="78"/>
    <x v="660"/>
    <s v="Jl.Gatot Subroto Kav 51-52 JAKARTA 102660"/>
    <s v="-"/>
    <s v="PT. Dipo Star Finance, Gedung Dipo Tower lantai 8, Jl. Jendral Gatot Subroto Kav. 52-53, Tanah Abang, Jakarta Pusat."/>
    <s v="Sewa Tahunan"/>
    <x v="1"/>
    <x v="717"/>
    <m/>
    <m/>
    <m/>
    <m/>
    <m/>
    <x v="11"/>
    <m/>
    <m/>
    <x v="63"/>
    <m/>
    <x v="710"/>
    <d v="2024-11-01T00:00:00"/>
    <x v="2"/>
    <m/>
    <d v="2024-09-06T00:00:00"/>
    <n v="56"/>
    <x v="2"/>
    <x v="1"/>
    <s v="11659/SPP/008/PUSAT/ICON+/2019 | 4500013278 | 14019/SPP/008/PUSAT/ICON+/2020| 4500014888 | 17155/SPP/008/PUSAT/ICON+/2021 | 4500017142 | 20287 | 4500019423"/>
    <n v="1953"/>
    <n v="45000221000"/>
    <s v="Fajar Paramita"/>
    <s v="Dina Rofiana"/>
    <m/>
    <m/>
    <m/>
    <s v="C202"/>
    <s v="D179"/>
    <s v="E397"/>
    <s v="F402"/>
    <m/>
    <s v="H29"/>
    <s v="-"/>
  </r>
  <r>
    <n v="997"/>
    <x v="370"/>
    <x v="661"/>
    <s v="Lahan Industri Cibitung (Jl. Dewi Sartika No. 14 Cawang II Jakarta Timur 13630)"/>
    <m/>
    <s v="McD Cibitung"/>
    <s v="Sewa Tahunan"/>
    <x v="1"/>
    <x v="548"/>
    <m/>
    <m/>
    <m/>
    <m/>
    <m/>
    <x v="340"/>
    <m/>
    <m/>
    <x v="17"/>
    <m/>
    <x v="666"/>
    <d v="2024-08-04T00:00:00"/>
    <x v="2"/>
    <m/>
    <d v="2024-09-06T00:00:00"/>
    <n v="-33"/>
    <x v="12"/>
    <x v="1"/>
    <s v="19515/SPP/008/PUSAT/ICON+/2022 | 4500018572"/>
    <s v="831/SPP/SBU/ICON+/2023"/>
    <n v="4500021426"/>
    <s v="Fajar Paramita"/>
    <s v="Agus Purwanto"/>
    <s v="021-8015666 Ext 265"/>
    <m/>
    <m/>
    <m/>
    <m/>
    <m/>
    <s v="F267"/>
    <s v="G341"/>
    <m/>
    <s v="Sewa lahan Rp24.000.000/tarikan kabel/tahun"/>
  </r>
  <r>
    <n v="998"/>
    <x v="98"/>
    <x v="662"/>
    <s v="Gedung Graha Niaga Lantai 1 Jl. Jendral Sudirman Kav. 58 Jakarta 12190"/>
    <m/>
    <s v="Gedung Graha Niaga"/>
    <s v="Sewa Tahunan"/>
    <x v="1"/>
    <x v="718"/>
    <m/>
    <m/>
    <m/>
    <m/>
    <m/>
    <x v="174"/>
    <m/>
    <m/>
    <x v="321"/>
    <m/>
    <x v="711"/>
    <d v="2024-07-20T00:00:00"/>
    <x v="0"/>
    <m/>
    <d v="2024-09-06T00:00:00"/>
    <n v="-48"/>
    <x v="1"/>
    <x v="1"/>
    <s v="4500009588 |Addendum Ke Tujuh 07234/SPP/008/PUSAT/ICON+/2017| 4500010667 | 08854/SPP/008/PUSAT/ICON+/2018 | 4500011661 | 11207/SPP/008/PUSAT/ICON+/2019 | 4500013023 | 13595/SPP/008/PUSAT/ICON+/2020 | 4500014584| 16737/SPP/008/PUSAT/ICON+/2021| 4500016619 | 18846/SPP/008/PUSAT/ICON+/2022 | 4500018224"/>
    <m/>
    <n v="4500020938"/>
    <s v="Fajar Paramita"/>
    <s v="Hetmi"/>
    <s v="021-2505250"/>
    <n v="83"/>
    <s v="B127"/>
    <s v="C143"/>
    <s v="D141"/>
    <s v="E271"/>
    <s v="F201"/>
    <s v="G181"/>
    <m/>
    <s v="Sewa Shaft Kabel"/>
  </r>
  <r>
    <n v="999"/>
    <x v="371"/>
    <x v="3"/>
    <s v="Jl. Raya Kebayoran Lama No. 12_x000a_ Jakarta 12210"/>
    <s v="Jl. Sumengko Wringinanom Gresik"/>
    <s v="Graha Pena Jawa Pos Jakarta _x000a_ Ruang Roof Top Lt.11_x000a_ Jl. Kebayoran Lama No. 12 Jakarta Selatan 12210"/>
    <s v="Sewa Tahunan"/>
    <x v="1"/>
    <x v="3"/>
    <m/>
    <m/>
    <m/>
    <m/>
    <m/>
    <x v="341"/>
    <m/>
    <m/>
    <x v="322"/>
    <m/>
    <x v="712"/>
    <d v="2025-01-01T00:00:00"/>
    <x v="2"/>
    <m/>
    <d v="2024-09-06T00:00:00"/>
    <n v="117"/>
    <x v="11"/>
    <x v="3"/>
    <s v="4500010058 | 07709/SPP/008/PUSAT/ICON+/2017 | 4500011003 | 09908/SPP/008/PUSAT/ICON+/2018 | 4500012357 | 12451/SPP/008/PUSAT/ICON+/2019 | 4500013795 | 15074/SPP/008/PUSAT/ICON+/2020 | 4500015632 | 17614/SPP/008/PUSAT/ICON+/2022 | 4500017429 | 20990"/>
    <n v="2459"/>
    <n v="4500022171"/>
    <s v="Fajar Paramita"/>
    <s v="Putri"/>
    <s v="021-53699542-3"/>
    <m/>
    <n v="171"/>
    <s v="C16"/>
    <s v="D15"/>
    <s v="E223"/>
    <s v="F18"/>
    <s v="G13"/>
    <s v="H43"/>
    <m/>
  </r>
  <r>
    <n v="1000"/>
    <x v="33"/>
    <x v="46"/>
    <s v="Badan Kerjasama Graha Pratama Jl. M.T. Haryono Kav.15 Jakarta 12810"/>
    <m/>
    <s v="Gedung Graha Pratama Jl. M.T. Haryono Kav. 15 Jakarta (PT Circlecom Nusantara Indonesia SO No. ICON-00/ACT/1609/0121)"/>
    <s v="Sewa Tahunan"/>
    <x v="1"/>
    <x v="48"/>
    <m/>
    <m/>
    <m/>
    <m/>
    <m/>
    <x v="35"/>
    <m/>
    <m/>
    <x v="152"/>
    <m/>
    <x v="183"/>
    <d v="2022-09-26T00:00:00"/>
    <x v="1"/>
    <m/>
    <d v="2024-09-06T00:00:00"/>
    <n v="-711"/>
    <x v="7"/>
    <x v="2"/>
    <s v="4500007412 | 061521/MI/004/PUSAT/ICON+/2015 | 05297/SKU/008/PUSAT/ICON+/2015 | 07396/SPP/008/PUSAT/ICON+/2017 | 4500010777 | 08950/SPP/008/PUSAT/ICON+/2018 | 4500011706 | 11311/SPP/008/PUSAT/ICON+/2019 | 4500013066 | 13989/SPP/008/PUSAT/ICON+/2020 | 4500014889"/>
    <s v="16302/SPP/008/PUSAT/ICON+/2021"/>
    <s v="4500016589"/>
    <s v="Fajar Paramita"/>
    <s v="Hesti"/>
    <s v="021-83790777"/>
    <n v="100"/>
    <s v="B175"/>
    <s v="C158"/>
    <s v="D180"/>
    <s v="E238"/>
    <m/>
    <m/>
    <m/>
    <s v="1. Sewa shaft Rp5.000.000/tahun_x000a_ 2. Biaya Supervisi Rp50.000,-/jam"/>
  </r>
  <r>
    <n v="1001"/>
    <x v="33"/>
    <x v="663"/>
    <s v="Badan Kerjasama Graha Pratama Jl. M.T. Haryono Kav.15 Jakarta 12810"/>
    <m/>
    <s v="Graha Pratama RT.11/RW.5, Tebet Bar., Kec. Tebet, Kota Jakarta Selatan, Daerah Khusus Ibukota Jakart,Graha Pratama RT.11/RW.5, Tebet Bar., Kec. Tebet, Kota Jakarta "/>
    <s v="Sewa Tahunan"/>
    <x v="1"/>
    <x v="542"/>
    <m/>
    <m/>
    <m/>
    <m/>
    <m/>
    <x v="207"/>
    <m/>
    <m/>
    <x v="39"/>
    <m/>
    <x v="713"/>
    <d v="2024-05-31T00:00:00"/>
    <x v="1"/>
    <m/>
    <d v="2024-09-06T00:00:00"/>
    <n v="-98"/>
    <x v="4"/>
    <x v="1"/>
    <s v="18870/SPP/008/PUSAT/ICON+/2022 | 4500018193"/>
    <s v="515/SPP/SBU/ICON+/2023_x0009_"/>
    <n v="4500020827"/>
    <s v="Fajar Paramita"/>
    <s v="Hesti"/>
    <s v="021-83790777"/>
    <m/>
    <m/>
    <m/>
    <m/>
    <m/>
    <s v="F169"/>
    <s v="G227"/>
    <m/>
    <s v="1.Biaya Sewa Shaft pertahun Rp.7.000.000,-"/>
  </r>
  <r>
    <n v="1002"/>
    <x v="372"/>
    <x v="664"/>
    <s v="Talavera Office Park Jl. TB Simatupang Kav. 22 - 26 Cilandak, Jakarta - 12430"/>
    <m/>
    <s v="Gedung Talavera Jl. TB Simatupang Kav. 22 - 26 Cilandak, Jakarta - 12430"/>
    <s v="Sewa Tahunan"/>
    <x v="1"/>
    <x v="719"/>
    <m/>
    <m/>
    <m/>
    <m/>
    <m/>
    <x v="342"/>
    <m/>
    <m/>
    <x v="95"/>
    <m/>
    <x v="450"/>
    <d v="2023-03-29T00:00:00"/>
    <x v="1"/>
    <m/>
    <d v="2024-09-06T00:00:00"/>
    <n v="-527"/>
    <x v="8"/>
    <x v="6"/>
    <s v="4500010184 | 08286/SPP/008/PUSAT/ICON+/2018 | 4500011335 | 10406/SPP/008/PUSAT/ICON+/2019 | 4500012527 | 12628/SPP/008/PUSAT/ICON+/2020 | 4500013906| 15124/SPP/008/PUSAT/ICON+/2021| 4500015726"/>
    <s v="18271/SPP/008/PUSAT/ICON+/2022"/>
    <n v="4500017801"/>
    <s v="Fajar Paramita"/>
    <s v="Froleen"/>
    <s v="021-75 900 911"/>
    <m/>
    <s v="B40"/>
    <s v="C46"/>
    <s v="D35"/>
    <s v="E164"/>
    <s v="F120"/>
    <m/>
    <m/>
    <s v="1. Sewa Collo dan Shaft Kabel Rp84.000.000,-/tahun_x000a_ 2. Biaya Instalasi Rp1.000.000,-/instalasi_x000a_ 3. Jaminan Pekerjaan Rp2.000.000,-/instalasi_x000a_ 4. Biaya firestop Rp250.000,-"/>
  </r>
  <r>
    <n v="1003"/>
    <x v="372"/>
    <x v="665"/>
    <s v="Talavera Office Park Jl. TB Simatupang Kav. 22 - 26 Cilandak, Jakarta - 12430"/>
    <m/>
    <s v="Gedung Talavera Jl. TB Simatupang Kav. 22 - 26 Cilandak, Jakarta - 12430"/>
    <s v="Sewa Tahunan"/>
    <x v="1"/>
    <x v="720"/>
    <m/>
    <m/>
    <m/>
    <m/>
    <m/>
    <x v="343"/>
    <m/>
    <m/>
    <x v="323"/>
    <m/>
    <x v="714"/>
    <d v="2025-03-29T00:00:00"/>
    <x v="2"/>
    <m/>
    <d v="2024-09-06T00:00:00"/>
    <n v="204"/>
    <x v="8"/>
    <x v="3"/>
    <s v="baru"/>
    <s v="21103/SPP/008/PUSAT/ICON+/2023"/>
    <n v="4500020015"/>
    <s v="Fajar Paramita"/>
    <s v="Froleen"/>
    <s v="021-75 900 911"/>
    <m/>
    <m/>
    <m/>
    <m/>
    <m/>
    <m/>
    <s v="G21"/>
    <m/>
    <s v="Biaya Sewa Shaft Perangkat Selama 2 Tahun Rp.250.000.000 | Jaminan Sewa Rp.25.000.000 | Biaya Pergantian Firestopper (OTC) RP.20.000.000"/>
  </r>
  <r>
    <n v="1004"/>
    <x v="373"/>
    <x v="666"/>
    <s v="Jl. Boulevard Raya No. 1 Kelapa Gading Jakarta"/>
    <m/>
    <s v="Kirana Boutique Kelapa Gading (PT BCA Finance SO No. ICON-00/ACT/1605/0532 dan PT Hanasta Dakara SO No. ICON-00/ACT/1606/0018)"/>
    <s v="Sewa Tahunan"/>
    <x v="1"/>
    <x v="721"/>
    <m/>
    <m/>
    <m/>
    <m/>
    <m/>
    <x v="193"/>
    <m/>
    <m/>
    <x v="324"/>
    <m/>
    <x v="715"/>
    <d v="2022-09-21T00:00:00"/>
    <x v="0"/>
    <m/>
    <d v="2024-09-06T00:00:00"/>
    <n v="-716"/>
    <x v="7"/>
    <x v="2"/>
    <s v="092317/MI/004/PUSAT/ICON+/2016_x000a_ 4108916/SPR/ICON+/2016_x000a_ 4320916/SPR/ICON+/2016_x000a_ 5001016/SPR/ICON+/2016 07405/SPP/008/PUSAT/ICON+/2017 4500010806 | 08938/SPP/008/PUSAT/ICON+/2018 | 4500012109 | 11402/SPP/008/PUSAT/ICON+/2019 | 4500013331 | 14253/SPP/008/PUSAT/ICON+/2020 | 4500015142"/>
    <s v="16575/SPP/008/PUSAT/ICON+/2021"/>
    <n v="4500016827"/>
    <s v="Fajar Paramita"/>
    <s v="Agus Sunarto"/>
    <s v="021-29375657"/>
    <n v="101"/>
    <s v="B151"/>
    <s v="C218"/>
    <s v="D296"/>
    <s v="E320"/>
    <m/>
    <m/>
    <m/>
    <s v="1 Jaminan Rp5.000.000,-_x000a_ 2. Pembayaran Terminasi Rp2.500.000/pelanggan_x000a_ 3. Biaya Administrasi Rp150.000,-_x000a_ 4. Biaya sewa Rp23.000.000,-"/>
  </r>
  <r>
    <n v="1005"/>
    <x v="374"/>
    <x v="236"/>
    <s v="Jl. Abdul Muis No. 46 Jakarta 10160"/>
    <m/>
    <s v="JL. Abdul Muis No. 50 Gambir, Jakarta Pusat, DKI Jakarta, Indonesia"/>
    <s v="Sewa Tahunan"/>
    <x v="1"/>
    <x v="266"/>
    <m/>
    <m/>
    <m/>
    <m/>
    <m/>
    <x v="154"/>
    <m/>
    <m/>
    <x v="325"/>
    <m/>
    <x v="693"/>
    <d v="2025-01-31T00:00:00"/>
    <x v="2"/>
    <m/>
    <d v="2024-09-06T00:00:00"/>
    <n v="147"/>
    <x v="11"/>
    <x v="3"/>
    <s v="15824/SPP/008/PUSAT/ICON+/2021 | 4500016197 | 17690/SPP/008/PUSAT/ICON+/2022 | 4500017689 | 21042 | 4500019932"/>
    <n v="2449"/>
    <n v="4500022205"/>
    <s v="Fajar Paramita"/>
    <s v="Lia Simorangkir"/>
    <s v="021-3505350"/>
    <m/>
    <m/>
    <m/>
    <m/>
    <s v="E59"/>
    <s v="F80"/>
    <s v="G54"/>
    <s v="H38"/>
    <m/>
  </r>
  <r>
    <n v="1006"/>
    <x v="375"/>
    <x v="155"/>
    <s v="Jl Abdul Muis No.46 Jakarta Pusat 10160"/>
    <m/>
    <s v="Jl. Abdul Muis No. 46, Petojo Selatan, Gambir, Jakarta"/>
    <s v="Sewa Tahunan"/>
    <x v="1"/>
    <x v="722"/>
    <m/>
    <m/>
    <m/>
    <m/>
    <m/>
    <x v="344"/>
    <m/>
    <m/>
    <x v="238"/>
    <m/>
    <x v="716"/>
    <d v="2020-04-04T00:00:00"/>
    <x v="0"/>
    <m/>
    <d v="2024-09-06T00:00:00"/>
    <n v="-1616"/>
    <x v="10"/>
    <x v="5"/>
    <s v="08161/SPP/008/PUSAT/ICON+/2018 | 4500011289"/>
    <s v="10492/SPP/008/PUSAT/ICON+/2019"/>
    <n v="4500012662"/>
    <s v="Fajar Paramita"/>
    <s v="Roni Saputra &lt;roni.saputra@gkabadi.com&gt;"/>
    <m/>
    <m/>
    <s v="B28"/>
    <s v="C69"/>
    <m/>
    <m/>
    <m/>
    <m/>
    <m/>
    <m/>
  </r>
  <r>
    <n v="1007"/>
    <x v="376"/>
    <x v="139"/>
    <s v="Gedung Graha Kencana Sejahtera Jl. Raya Perjuangan No. 88 Jakarta Barat 11530"/>
    <m/>
    <s v="Gedung Graha Kencana"/>
    <s v="Sewa Tahunan"/>
    <x v="1"/>
    <x v="723"/>
    <m/>
    <m/>
    <m/>
    <m/>
    <m/>
    <x v="79"/>
    <m/>
    <m/>
    <x v="167"/>
    <m/>
    <x v="107"/>
    <d v="2021-04-30T00:00:00"/>
    <x v="1"/>
    <m/>
    <d v="2024-09-06T00:00:00"/>
    <n v="-1225"/>
    <x v="10"/>
    <x v="4"/>
    <s v="4500009406 | Addendum VI |06887/SPP/008/PUSAT/ICON+/2017 |4500010479 |08554/SPP/008/PUSAT/ICON+/2018 | 4500011461 | 10710/SPP/008/PUSAT/ICON+/2019 | 4500012926"/>
    <s v="12648/SPP/008/PUSAT/ICON+/2020"/>
    <n v="4500014608"/>
    <s v="Fajar Paramita"/>
    <s v="Bapak Iwan dan Ibu Neli"/>
    <s v="53679658 ext 323(iwan) Neli (305)"/>
    <n v="25"/>
    <s v="B82"/>
    <s v="C127"/>
    <s v="D206"/>
    <m/>
    <m/>
    <m/>
    <m/>
    <s v="1. Sewa Shaft Cable Rp33.000.000/tahun_x000a_ 2. Jaminan sebesar 30% dari biaya sewa Rp7.200.000,-"/>
  </r>
  <r>
    <n v="1008"/>
    <x v="377"/>
    <x v="667"/>
    <s v="Jalan Batan Lebak Bulus Raya No. Z8 Lebak Bulus, Cilandak"/>
    <m/>
    <s v="MMR Building Pasaraya Blok M Gedung B Lt. 6"/>
    <s v="Sewa Tahunan"/>
    <x v="1"/>
    <x v="724"/>
    <m/>
    <m/>
    <m/>
    <m/>
    <m/>
    <x v="345"/>
    <m/>
    <m/>
    <x v="128"/>
    <m/>
    <x v="717"/>
    <d v="2025-07-10T00:00:00"/>
    <x v="2"/>
    <m/>
    <d v="2024-09-06T00:00:00"/>
    <n v="307"/>
    <x v="1"/>
    <x v="3"/>
    <m/>
    <s v="3767/SPP/SBU/PLNICONPLUS/2024"/>
    <n v="4500022945"/>
    <s v="Fajar Paramita"/>
    <s v="Ibu Soraya"/>
    <m/>
    <m/>
    <m/>
    <m/>
    <m/>
    <m/>
    <m/>
    <m/>
    <s v="H317"/>
    <m/>
  </r>
  <r>
    <n v="1009"/>
    <x v="378"/>
    <x v="668"/>
    <s v="Rukan Duren Tiga No. 7H_x000a_ Jl. Duren Tiga Raya No. 7 Jakarta Selatan 12760"/>
    <m/>
    <s v="-"/>
    <s v="Sewa Tahunan"/>
    <x v="1"/>
    <x v="725"/>
    <m/>
    <m/>
    <m/>
    <m/>
    <m/>
    <x v="41"/>
    <m/>
    <m/>
    <x v="230"/>
    <m/>
    <x v="718"/>
    <d v="2024-01-03T00:00:00"/>
    <x v="2"/>
    <m/>
    <d v="2024-09-06T00:00:00"/>
    <n v="-247"/>
    <x v="11"/>
    <x v="1"/>
    <s v="15034/SPP/008/PUSAT/ICON+/2020|4500015580 | 17627/SPP/008/PUSAT/ICON+/2022 | 4500017631"/>
    <s v="21067/SPP/008/PUSAT/ICON+/2023        "/>
    <n v="4500019952"/>
    <s v="Fajar Paramita"/>
    <s v="Rahmat_x000a_ Galih / Nopita"/>
    <m/>
    <m/>
    <m/>
    <m/>
    <m/>
    <s v="D357"/>
    <s v="F71"/>
    <s v="G131"/>
    <m/>
    <m/>
  </r>
  <r>
    <n v="1010"/>
    <x v="378"/>
    <x v="669"/>
    <s v="Rukan Duren Tiga No. 7H_x000a_ Jl. Duren Tiga Raya No. 7 Jakarta Selatan 12760"/>
    <m/>
    <s v="Cyber Building Jakarta Gedung Cyber, Lantai 7 Jl. Kuningan Barat No.8, -, Jakarta Selatan, DKI Jakarta, Indonesia, 12710"/>
    <s v="Sewa Tahunan"/>
    <x v="2"/>
    <x v="57"/>
    <m/>
    <m/>
    <m/>
    <m/>
    <m/>
    <x v="248"/>
    <m/>
    <m/>
    <x v="326"/>
    <m/>
    <x v="719"/>
    <d v="2024-03-31T00:00:00"/>
    <x v="2"/>
    <m/>
    <d v="2024-09-06T00:00:00"/>
    <n v="-159"/>
    <x v="8"/>
    <x v="1"/>
    <s v="15660/SPP/008/PUSAT/ICON+/2021| 4500016114 | 18423/SPP/008/PUSAT/ICON+/2022 | 4500018004"/>
    <s v="325/SPP/PUSAT/ICON+/2023"/>
    <n v="4500021016"/>
    <s v="Fajar Paramita"/>
    <s v="Rahmat_x000a_ Galih / Nopita"/>
    <m/>
    <m/>
    <m/>
    <m/>
    <m/>
    <s v="E29"/>
    <s v="F209"/>
    <s v="G260"/>
    <m/>
    <s v="1.Pembayaran sewa cross connect Rp.1.164.000.000"/>
  </r>
  <r>
    <n v="1011"/>
    <x v="378"/>
    <x v="670"/>
    <s v="Rukan Duren Tiga No. 7H_x000a_ Jl. Duren Tiga Raya No. 7 Jakarta Selatan 12760"/>
    <m/>
    <s v="Gedung IDC 3D Jl.Duren Tiga raya 7 Jakarta selatan"/>
    <s v="Sewa Tahunan"/>
    <x v="2"/>
    <x v="57"/>
    <m/>
    <m/>
    <m/>
    <m/>
    <m/>
    <x v="346"/>
    <m/>
    <m/>
    <x v="327"/>
    <m/>
    <x v="587"/>
    <d v="2024-12-31T00:00:00"/>
    <x v="2"/>
    <m/>
    <d v="2024-09-06T00:00:00"/>
    <n v="116"/>
    <x v="5"/>
    <x v="1"/>
    <s v="baru"/>
    <s v="3370/SPP/SBU/PLNICONPLUS/2024"/>
    <n v="4500022774"/>
    <s v="Fajar Paramita"/>
    <s v="Rahmat_x000a_ Galih / Nopita"/>
    <m/>
    <m/>
    <m/>
    <m/>
    <m/>
    <m/>
    <s v="F154"/>
    <m/>
    <s v="H219"/>
    <s v="1.Pembayaran sewa collocation Rp.928.800.000"/>
  </r>
  <r>
    <n v="1012"/>
    <x v="378"/>
    <x v="671"/>
    <s v="Rukan Duren Tiga No. 7H_x000a_ Jl. Duren Tiga Raya No. 7 Jakarta Selatan 12760"/>
    <m/>
    <s v="Gedung IDC 3D Lt.2_x000a_ IDC Rack Centre No. Winter WI 275"/>
    <s v="Sewa Tahunan"/>
    <x v="1"/>
    <x v="726"/>
    <m/>
    <m/>
    <m/>
    <m/>
    <m/>
    <x v="347"/>
    <m/>
    <m/>
    <x v="219"/>
    <m/>
    <x v="660"/>
    <d v="2024-10-31T00:00:00"/>
    <x v="2"/>
    <m/>
    <d v="2024-09-06T00:00:00"/>
    <n v="55"/>
    <x v="6"/>
    <x v="1"/>
    <s v="4500009931|07901/SPP/008/PUSAT/ICON+/2018 | 4500011117 | 09589/SPP/008/PUSAT/ICON+/2018 | 4500012153 | 11787/SPP/008/PUSAT/ICON+/2019 | 4500013407 | 14449/SPP/008/PUSAT/ICON+/2020 | 4500015278| 4500016857 | 19809/SPP/008/PUSAT/ICON+/2022 | 4500018921"/>
    <s v="1979/SPP/SBU/ICON+/2023"/>
    <n v="4500021750"/>
    <s v="Fajar Paramita"/>
    <s v="Rahmat_x000a_ Galih / Nopita"/>
    <s v="021-7987982"/>
    <m/>
    <s v="B4"/>
    <s v="C227"/>
    <s v="E229"/>
    <s v="E386"/>
    <s v="F352"/>
    <s v="G388"/>
    <m/>
    <s v="Sewa Shaft Kabel dan Collo"/>
  </r>
  <r>
    <n v="1013"/>
    <x v="378"/>
    <x v="668"/>
    <s v="Rukan Duren Tiga No. 7H_x000a_ Jl. Duren Tiga Raya No. 7 Jakarta Selatan 12760"/>
    <m/>
    <s v="Gedung IDC 3D Lt.2_x000a_ IDC Rack Centre No. Winter WI 275"/>
    <s v="Sewa Tahunan"/>
    <x v="1"/>
    <x v="57"/>
    <m/>
    <m/>
    <m/>
    <m/>
    <m/>
    <x v="112"/>
    <m/>
    <m/>
    <x v="328"/>
    <m/>
    <x v="645"/>
    <d v="2024-10-19T00:00:00"/>
    <x v="2"/>
    <m/>
    <d v="2024-09-06T00:00:00"/>
    <n v="43"/>
    <x v="6"/>
    <x v="1"/>
    <s v="20204/SPP/008/PUSAT/ICON+/2022 | 4500019285"/>
    <s v="2049/SPP/SBU/ICON+/2023"/>
    <n v="4500021743"/>
    <s v="Fajar Paramita"/>
    <s v="Rahmat_x000a_ Galih / Nopita"/>
    <m/>
    <m/>
    <m/>
    <m/>
    <m/>
    <m/>
    <s v="F414"/>
    <s v="G347"/>
    <m/>
    <s v="1.Pembayaran sewa collocation Rp.145.825.000"/>
  </r>
  <r>
    <n v="1014"/>
    <x v="378"/>
    <x v="672"/>
    <s v="Rukan Duren Tiga No. 7H_x000a_ Jl. Duren Tiga Raya No. 7 Jakarta Selatan 12760"/>
    <m/>
    <s v="PT Internetindo Data Centra Indonesia, Gedung IDC 3D Duren Tiga, Jakarta"/>
    <s v="Sewa Tahunan"/>
    <x v="1"/>
    <x v="57"/>
    <m/>
    <m/>
    <m/>
    <m/>
    <m/>
    <x v="348"/>
    <m/>
    <m/>
    <x v="219"/>
    <m/>
    <x v="720"/>
    <d v="2025-03-30T00:00:00"/>
    <x v="2"/>
    <m/>
    <d v="2024-09-06T00:00:00"/>
    <n v="205"/>
    <x v="8"/>
    <x v="3"/>
    <s v="21579/SPP/008//PUSAT/ICON+/2023 | 4500020250"/>
    <s v="3212/SPP/SBU/PLNICONPLUS/2024"/>
    <n v="4500022668"/>
    <s v="Fajar Paramita"/>
    <s v="Rahmat_x000a_ Galih / Nopita"/>
    <m/>
    <m/>
    <m/>
    <m/>
    <m/>
    <m/>
    <m/>
    <s v="G57"/>
    <s v="H226"/>
    <s v="1.pembayaran sewa collocation Rp.246.050.000"/>
  </r>
  <r>
    <n v="1015"/>
    <x v="378"/>
    <x v="673"/>
    <s v="Rukan Duren Tiga No. 7H_x000a_ Jl. Duren Tiga Raya No. 7 Jakarta Selatan 12760"/>
    <m/>
    <m/>
    <s v="Sewa Tahunan"/>
    <x v="1"/>
    <x v="57"/>
    <m/>
    <m/>
    <m/>
    <m/>
    <m/>
    <x v="41"/>
    <m/>
    <m/>
    <x v="219"/>
    <m/>
    <x v="640"/>
    <d v="2024-12-13T00:00:00"/>
    <x v="2"/>
    <m/>
    <d v="2024-09-06T00:00:00"/>
    <n v="98"/>
    <x v="5"/>
    <x v="1"/>
    <s v="15097/SPP/008/PUSAT/ICON+/2021 | 4500015736 | 20819/SPP/008/PUSAT/ICON+/2022 | 4500019851"/>
    <s v="1980/SPP/SBU/ICON+/2023"/>
    <n v="4500021742"/>
    <s v="Fajar Paramita"/>
    <s v="Rahmat_x000a_ Galih / Nopita"/>
    <m/>
    <m/>
    <m/>
    <m/>
    <m/>
    <s v="E5"/>
    <s v="F460"/>
    <s v="G349"/>
    <m/>
    <m/>
  </r>
  <r>
    <n v="1016"/>
    <x v="379"/>
    <x v="674"/>
    <s v="Jl. Rempoa Raya No. 11 Ciputat Tangerang Selatan Banten 15412, Indonesia"/>
    <s v="(H2H) (INDONET) Jl. Rempoa Raya No.11, Rempoa, Ciputat Timur, Tangerang, Banten"/>
    <s v="(H2H) Plaza Mandiri, Jl. Gatot Subroto No.Kav 36-38, RT.7/RW.3, Senayan, Kebayoran Baru, Jakarta Selatan"/>
    <s v="Sewa Tahunan"/>
    <x v="1"/>
    <x v="251"/>
    <m/>
    <m/>
    <m/>
    <m/>
    <m/>
    <x v="27"/>
    <m/>
    <m/>
    <x v="8"/>
    <m/>
    <x v="721"/>
    <d v="2025-01-17T00:00:00"/>
    <x v="2"/>
    <m/>
    <d v="2024-09-06T00:00:00"/>
    <n v="133"/>
    <x v="11"/>
    <x v="3"/>
    <s v="12413/SPP/008/PUSAT/ICON+/2019 | 4500013714 | 14772/SPP/008/PUSAT/ICON+/2020 | 4500015691 | 4500020210"/>
    <n v="2450"/>
    <n v="4500022160"/>
    <s v="Fajar Paramita"/>
    <s v="Sugiharti &lt;sugiharti@indonet.co.id&gt;"/>
    <s v="021-73882525"/>
    <m/>
    <m/>
    <s v="C270"/>
    <m/>
    <s v="E150"/>
    <m/>
    <s v="G205"/>
    <s v="H40"/>
    <s v="1.Biaya sewa pertahun sebesar Rp.2.500.000"/>
  </r>
  <r>
    <n v="1017"/>
    <x v="379"/>
    <x v="675"/>
    <s v="Jl. Rempoa Raya No. 11 Ciputat Tangerang Selatan Banten 15412, Indonesia"/>
    <m/>
    <s v="(Open Port) DRC IPVPN Jl. Rempoa Raya No. 11"/>
    <s v="Sewa Tahunan"/>
    <x v="1"/>
    <x v="727"/>
    <m/>
    <m/>
    <m/>
    <m/>
    <m/>
    <x v="349"/>
    <m/>
    <m/>
    <x v="16"/>
    <m/>
    <x v="722"/>
    <d v="2024-10-06T00:00:00"/>
    <x v="2"/>
    <m/>
    <d v="2024-09-06T00:00:00"/>
    <n v="30"/>
    <x v="6"/>
    <x v="1"/>
    <s v="20069/SPP/008/PUSAT/ICON+/2022 | 4500019045"/>
    <s v="2112/SPP/SBU/ICON+/2023"/>
    <n v="4500021841"/>
    <s v="Fajar Paramita"/>
    <s v="Sugiharti &lt;sugiharti@indonet.co.id&gt;"/>
    <s v="021-73882525"/>
    <m/>
    <m/>
    <m/>
    <m/>
    <m/>
    <s v="F332"/>
    <s v="G378"/>
    <m/>
    <s v="1.Biaya Sewa Pertahun sebesar Rp.12.000.000,- 2. OTC Rp.1.000.000,-"/>
  </r>
  <r>
    <n v="1018"/>
    <x v="379"/>
    <x v="676"/>
    <s v="Jl. Rempoa Raya No. 11 Ciputat Tangerang Selatan Banten 15412, Indonesia"/>
    <m/>
    <s v="Bank Harda lnternational (DC) Rumah lndonet Rempoa Jl. Rempoa Raya No, 11, Bintaro, Kota Administrasi Jakarta Selatan, DKI Jakarta, Indonesia,"/>
    <s v="Sewa Tahunan"/>
    <x v="1"/>
    <x v="728"/>
    <m/>
    <m/>
    <m/>
    <m/>
    <m/>
    <x v="27"/>
    <m/>
    <m/>
    <x v="8"/>
    <m/>
    <x v="550"/>
    <d v="2023-06-07T00:00:00"/>
    <x v="1"/>
    <m/>
    <d v="2024-09-06T00:00:00"/>
    <n v="-457"/>
    <x v="3"/>
    <x v="6"/>
    <s v="13706/SPP/008/PUSAT/ICON+/2020 | 4500014679"/>
    <s v="19223/SPP/008/PUSAT/ICON+/2022"/>
    <n v="4500018645"/>
    <s v="Fajar Paramita"/>
    <s v="Sugiharti &lt;sugiharti@indonet.co.id&gt;"/>
    <s v="021-73882525"/>
    <m/>
    <m/>
    <m/>
    <s v="D162"/>
    <m/>
    <s v="F470"/>
    <m/>
    <m/>
    <s v="1.Biaya Sewa Pertahun sebesar Rp.2.500.000,-"/>
  </r>
  <r>
    <n v="1019"/>
    <x v="379"/>
    <x v="677"/>
    <s v="Jl. Rempoa Raya No. 11 Ciputat Tangerang Selatan Banten 15412, Indonesia"/>
    <m/>
    <s v="Bank Ina Perdana (DRC) Indonet Jl. Rempoa Raya No.11, Rempoa, Ciputat Tim., Kota Tangerang Selatan, Banten 15412"/>
    <s v="Sewa Tahunan"/>
    <x v="1"/>
    <x v="113"/>
    <m/>
    <m/>
    <m/>
    <m/>
    <m/>
    <x v="3"/>
    <m/>
    <m/>
    <x v="42"/>
    <m/>
    <x v="723"/>
    <d v="2023-02-19T00:00:00"/>
    <x v="1"/>
    <m/>
    <d v="2024-09-06T00:00:00"/>
    <n v="-565"/>
    <x v="9"/>
    <x v="6"/>
    <s v="10136/SPP/008/PUSAT/ICON+/2019 | 4500012440 | 12655/SPP/008/PUSAT/ICON+/2020 | 4500014170 | 15269/SPP/008/PUSAT/ICON+/2021 | 4500015778"/>
    <s v="19578/SPP/008/PUSAT/ICON+/2022"/>
    <n v="4500018934"/>
    <s v="Fajar Paramita"/>
    <s v="Sugiharti &lt;sugiharti@indonet.co.id&gt;"/>
    <s v="021-73882525"/>
    <m/>
    <m/>
    <s v="C12"/>
    <s v="D78"/>
    <s v="E41"/>
    <s v="F469"/>
    <m/>
    <m/>
    <s v="1.Biaya Sewa Tahunan 2.000.000"/>
  </r>
  <r>
    <n v="1020"/>
    <x v="379"/>
    <x v="200"/>
    <s v="Jl. Rempoa Raya No. 11 Ciputat Tangerang Selatan Banten 15412, Indonesia"/>
    <m/>
    <s v="Cyber Building Jl. Kuningan Barat No. 8 Jakarta 12710"/>
    <s v="Sewa Tahunan"/>
    <x v="1"/>
    <x v="729"/>
    <m/>
    <m/>
    <m/>
    <m/>
    <m/>
    <x v="3"/>
    <m/>
    <m/>
    <x v="8"/>
    <m/>
    <x v="724"/>
    <d v="2020-05-15T00:00:00"/>
    <x v="1"/>
    <m/>
    <d v="2024-09-06T00:00:00"/>
    <n v="-1575"/>
    <x v="4"/>
    <x v="5"/>
    <s v="08706/SPP/008/PUSAT/ICON+/2018 | 4500011569"/>
    <s v="10598/SPP/008/PUSAT/ICON+/2019"/>
    <n v="4500012779"/>
    <s v="Fajar Paramita"/>
    <s v="Sugiharti &lt;sugiharti@indonet.co.id&gt;"/>
    <s v="021-73882525"/>
    <m/>
    <s v="B91"/>
    <s v="C154"/>
    <m/>
    <m/>
    <m/>
    <m/>
    <m/>
    <s v="1.Biaya Sekali Bayar Rp.3.500.000,- 2.Biaya PKB (Aktivasi )Rp.8,577.508,-"/>
  </r>
  <r>
    <n v="1021"/>
    <x v="379"/>
    <x v="678"/>
    <s v="Jl. Rempoa Raya No. 11 Ciputat Tangerang Selatan Banten 15412, Indonesia"/>
    <m/>
    <s v="Data Center Indonet Jalan Rempoa Raya No. 11 Ciputat Tanggerang - Interkoneksi dari rack ICON+ menuju (BCA Syariah) No. Pel :005900053210845"/>
    <s v="Sewa Tahunan"/>
    <x v="1"/>
    <x v="730"/>
    <m/>
    <m/>
    <m/>
    <m/>
    <m/>
    <x v="10"/>
    <m/>
    <m/>
    <x v="8"/>
    <m/>
    <x v="498"/>
    <d v="2023-11-18T00:00:00"/>
    <x v="0"/>
    <m/>
    <d v="2024-09-06T00:00:00"/>
    <n v="-293"/>
    <x v="2"/>
    <x v="6"/>
    <s v="0811216/SPR/ICON+/2016 07728/SPP/008/PUSAT/ICON+/2017 4500011022 | 09439/SPP/008/PUSAT/ICON+/2018 | 4500012005 | 11785/SPP/008/PUSAT/ICON+/2019 | 4500013416| 14464/SPP/008/PUSAT/ICON+/2020| 4500015272 | 17323/SPP/008/PUSAT/ICON+/2021 | 4500017890"/>
    <s v="19751/SPP/008/PUSAT/ICON+/2022"/>
    <n v="4500019400"/>
    <s v="Fajar Paramita"/>
    <s v="Sugiharti &lt;sugiharti@indonet.co.id&gt;"/>
    <s v="021-73882525"/>
    <n v="165"/>
    <s v="B247"/>
    <s v="C223"/>
    <s v="D319"/>
    <s v="F131"/>
    <s v="F416"/>
    <m/>
    <m/>
    <s v="1. colocation perangkat ICON+ (1/2 rack) dan akses masuk Rp48.000.000 update harga 2015 Rp58.200.000/tahun_x000a_ 2. Sewa Shaft Kabel Rp2.500.000/tahun update tahun 2014 Rp2.500.000/tahun_x000a_ 3. Layanan Koneksi VPN Rp2.500.000/bulan harga tahun 2012"/>
  </r>
  <r>
    <n v="1022"/>
    <x v="379"/>
    <x v="124"/>
    <s v="Jl. Rempoa Raya No. 11 Ciputat Tangerang Selatan Banten 15412, Indonesia"/>
    <m/>
    <s v="Data Center Indonet Jalan Rempoa Raya No. 11 Ciputat Tanggerang - Interkoneksi dari rack ICON+ menuju (Pelanggan PT Jatelindo Perkasa Abadi)No. Pel : 0053210845"/>
    <s v="Sewa Tahunan"/>
    <x v="1"/>
    <x v="731"/>
    <m/>
    <m/>
    <m/>
    <m/>
    <m/>
    <x v="210"/>
    <m/>
    <m/>
    <x v="8"/>
    <m/>
    <x v="151"/>
    <d v="2022-01-31T00:00:00"/>
    <x v="1"/>
    <m/>
    <d v="2024-09-06T00:00:00"/>
    <n v="-949"/>
    <x v="11"/>
    <x v="2"/>
    <s v="2520217/SPR/ICON+/2017 | 08034/SPP/008/PUSAT/ICON+/2018 | 4500011195| 10068/SPP/008/PUSAT/ICON+/2019| 4500012411"/>
    <s v="19594/SPP/008/PUSAT/ICON+/2022"/>
    <n v="4500018688"/>
    <s v="Fajar Paramita"/>
    <s v="Sugiharti &lt;sugiharti@indonet.co.id&gt;"/>
    <s v="021-73882525"/>
    <m/>
    <s v="B26"/>
    <s v="C57"/>
    <m/>
    <s v="F286"/>
    <m/>
    <m/>
    <m/>
    <s v="1. colocation perangkat ICON+ (1/2 rack) dan akses masuk Rp48.000.000 update harga 2015 Rp58.200.000/tahun_x000a_ 2. Sewa Shaft Kabel Rp2.500.000/tahun update tahun 2014 Rp2.750.000/tahun_x000a_ 3. Layanan Koneksi VPN Rp2.500.000/bulan harga tahun 2012"/>
  </r>
  <r>
    <n v="1023"/>
    <x v="379"/>
    <x v="405"/>
    <s v="Jl. Rempoa Raya No. 11 Ciputat Tangerang Selatan Banten 15412, Indonesia"/>
    <m/>
    <s v="Data Center Indonet Jalan Rempoa Raya No. 11 Ciputat Tanggerang - Interkoneksi dari rack ICON+ menuju Bank Chinatrust (Pelanggan PT Citra Sari Makmur) No. Pel : 0053210845 [ Note : ICON+ To Pactindo)"/>
    <s v="Sewa Tahunan"/>
    <x v="1"/>
    <x v="424"/>
    <m/>
    <m/>
    <m/>
    <m/>
    <m/>
    <x v="23"/>
    <m/>
    <m/>
    <x v="8"/>
    <m/>
    <x v="725"/>
    <d v="2022-04-27T00:00:00"/>
    <x v="1"/>
    <m/>
    <d v="2024-09-06T00:00:00"/>
    <n v="-863"/>
    <x v="10"/>
    <x v="2"/>
    <s v="032420/SPR/008/PUSAT/ICON+/2016 | 07726/SPP/008/PUSAT/ICON+/2017 | 4500011000 | 07726/SPP/008/PUSAT/ICON+/2017 | 4500011383| 10300/SPP/008/PUSAT/ICON+/2019| 4500012487"/>
    <s v="19584/SPP/008/PUSAT/ICON+/2022"/>
    <n v="4500018685"/>
    <s v="Fajar Paramita"/>
    <s v="Sugiharti &lt;sugiharti@indonet.co.id&gt;"/>
    <s v="021-73882525"/>
    <n v="160"/>
    <s v="B147"/>
    <s v="C37"/>
    <m/>
    <s v="F287"/>
    <m/>
    <m/>
    <m/>
    <s v="1. colocation perangkat ICON+ (1/2 rack) dan akses masuk Rp48.000.000 update harga 2015 Rp58.200.000/tahun_x000a_ 2. Sewa Shaft Kabel Rp2.500.000/tahun update tahun 2014 Rp2.750.000/tahun_x000a_ 3. Layanan Koneksi VPN Rp2.500.000/bulan harga tahun 2012"/>
  </r>
  <r>
    <n v="1024"/>
    <x v="379"/>
    <x v="679"/>
    <s v="Jl. Rempoa Raya No. 11 Ciputat Tangerang Selatan Banten 15412, Indonesia"/>
    <m/>
    <s v="Data Center Indonet Rempoa_x000a_ Jl. Rempoa Raya No 11 Ciputat Tangerang Selatan 15412"/>
    <s v="Sewa Tahunan"/>
    <x v="1"/>
    <x v="267"/>
    <m/>
    <m/>
    <m/>
    <m/>
    <m/>
    <x v="43"/>
    <m/>
    <m/>
    <x v="8"/>
    <m/>
    <x v="124"/>
    <d v="2022-04-02T00:00:00"/>
    <x v="1"/>
    <m/>
    <d v="2024-09-06T00:00:00"/>
    <n v="-888"/>
    <x v="10"/>
    <x v="2"/>
    <s v="08456/SPP/008/PUSAT/ICON+/2018 | 4500011386 | 10377/SPP/008/PUSAT/ICON+/2019 | 4500012490"/>
    <s v="15685/SPP/008/PUSAT/ICON+/2021"/>
    <n v="4500016185"/>
    <s v="Fajar Paramita"/>
    <s v="Sugiharti &lt;sugiharti@indonet.co.id&gt;"/>
    <s v="021-73882525"/>
    <m/>
    <s v="B98"/>
    <s v="C54"/>
    <m/>
    <s v="E136"/>
    <m/>
    <m/>
    <m/>
    <s v="1.OTC Rp.3.500.000,- 2.Biaya Sewa Tahunan Rp.2.500.000,-"/>
  </r>
  <r>
    <n v="1025"/>
    <x v="75"/>
    <x v="39"/>
    <s v="Jl. Rempoa Raya No. 11 Ciputat Tangerang Selatan Banten 15412, Indonesia"/>
    <m/>
    <s v="Data Center Indonet Rempoa_x000a_ Jl. Rempoa Raya No 11 Ciputat Tangerang Selatan 15412"/>
    <s v="Sewa Tahunan"/>
    <x v="1"/>
    <x v="65"/>
    <n v="72000000"/>
    <m/>
    <m/>
    <m/>
    <m/>
    <x v="112"/>
    <m/>
    <m/>
    <x v="60"/>
    <m/>
    <x v="726"/>
    <m/>
    <x v="0"/>
    <m/>
    <m/>
    <m/>
    <x v="0"/>
    <x v="0"/>
    <m/>
    <s v="21846/SPP/008/PUSAT/ICON+/2023"/>
    <n v="4500018609"/>
    <m/>
    <m/>
    <m/>
    <m/>
    <m/>
    <m/>
    <m/>
    <m/>
    <m/>
    <m/>
    <m/>
    <m/>
  </r>
  <r>
    <n v="1026"/>
    <x v="379"/>
    <x v="258"/>
    <s v="Jl. Rempoa Raya No. 11 Ciputat Tangerang Selatan Banten 15412, Indonesia"/>
    <m/>
    <s v="Data Center Indonet Rempoa_x000a_ Jl. Rempoa Raya No 11 Ciputat Tangerang Selatan 15412"/>
    <s v="Sewa Tahunan"/>
    <x v="1"/>
    <x v="65"/>
    <m/>
    <m/>
    <m/>
    <m/>
    <m/>
    <x v="30"/>
    <m/>
    <m/>
    <x v="8"/>
    <m/>
    <x v="727"/>
    <d v="2025-04-13T00:00:00"/>
    <x v="2"/>
    <m/>
    <d v="2024-09-06T00:00:00"/>
    <n v="219"/>
    <x v="10"/>
    <x v="3"/>
    <s v="08458/SPP/008/PUSAT/ICON+/2018 | 4500011387 | 10941/SPP/008/PUSAT/ICON+/2019 | 4500013033| 13050/SPP/008/PUSAT/ICON+/2020| 4500014248 | 18718/SPP/008/PUSAT/ICON+/2022| 4500018609 |  21846/SPP/008/PUSAT/ICON+/2023 | 4500020390"/>
    <s v="3094/SPP/SBU/PLNICONPLUS/2024"/>
    <n v="4500022686"/>
    <s v="Fajar Paramita"/>
    <s v="Sugiharti &lt;sugiharti@indonet.co.id&gt;"/>
    <s v="021-73882525"/>
    <m/>
    <s v="B97"/>
    <s v="C149"/>
    <s v="E224"/>
    <m/>
    <s v="F345"/>
    <s v="G98"/>
    <s v="H167"/>
    <s v="1.Biaya Sewa Tahunan Rp.2.500.000,-"/>
  </r>
  <r>
    <n v="1027"/>
    <x v="379"/>
    <x v="680"/>
    <s v="Jl. Rempoa Raya No. 11 Ciputat Tangerang Selatan Banten 15412, Indonesia"/>
    <m/>
    <s v="Data Center Indonet Rempoa_x000a_ Jl. Rempoa Raya No 11 Ciputat Tangerang Selatan 15412"/>
    <s v="Sewa Tahunan"/>
    <x v="1"/>
    <x v="732"/>
    <m/>
    <m/>
    <m/>
    <m/>
    <m/>
    <x v="27"/>
    <m/>
    <m/>
    <x v="8"/>
    <m/>
    <x v="728"/>
    <d v="2020-04-23T00:00:00"/>
    <x v="1"/>
    <m/>
    <d v="2024-09-06T00:00:00"/>
    <n v="-1597"/>
    <x v="10"/>
    <x v="5"/>
    <s v="08544/SPP/008/PUSAT/ICON+/2018 | 4500011467"/>
    <s v="10908/SPP/008/PUSAT/ICON+/2019"/>
    <n v="4500013309"/>
    <s v="Fajar Paramita"/>
    <s v="Sugiharti &lt;sugiharti@indonet.co.id&gt;"/>
    <s v="021-73882525"/>
    <m/>
    <m/>
    <s v="C247"/>
    <m/>
    <m/>
    <m/>
    <m/>
    <m/>
    <s v="1.Biaya Sewa Tahunan Rp.2.500.000,-"/>
  </r>
  <r>
    <n v="1028"/>
    <x v="379"/>
    <x v="681"/>
    <s v="Jl. Rempoa Raya No. 11 Ciputat Tangerang Selatan Banten 15412, Indonesia"/>
    <m/>
    <s v="Data Center Indonet Rempoa_x000a_ Jl. Rempoa Raya No 11 Ciputat Tangerang Selatan 15412"/>
    <s v="Sewa Tahunan"/>
    <x v="1"/>
    <x v="398"/>
    <m/>
    <m/>
    <m/>
    <m/>
    <m/>
    <x v="59"/>
    <m/>
    <m/>
    <x v="8"/>
    <m/>
    <x v="729"/>
    <d v="2020-04-22T00:00:00"/>
    <x v="1"/>
    <m/>
    <d v="2024-09-06T00:00:00"/>
    <n v="-1598"/>
    <x v="10"/>
    <x v="5"/>
    <s v="08578/SPP/008/PUSAT/ICON+/2018 | 4500011486"/>
    <s v="19582/SPP/008/PUSAT/ICON+/2022"/>
    <n v="4500018929"/>
    <s v="Fajar Paramita"/>
    <s v="Sugiharti &lt;sugiharti@indonet.co.id&gt;"/>
    <s v="021-73882525"/>
    <m/>
    <m/>
    <m/>
    <m/>
    <m/>
    <s v="F471"/>
    <m/>
    <m/>
    <s v="1.Biaya OTC Rp 5.000.000,- 2.Biaya Sewa Tahunan Rp.2.500.000,-"/>
  </r>
  <r>
    <n v="1029"/>
    <x v="379"/>
    <x v="321"/>
    <s v="Jl. Rempoa Raya No. 11 Ciputat Tangerang Selatan Banten 15412, Indonesia"/>
    <m/>
    <s v="Data Center Indonet Rempoa_x000a_ Jl. Rempoa Raya No 11 Ciputat Tangerang Selatan 15412"/>
    <s v="Sewa Tahunan"/>
    <x v="1"/>
    <x v="733"/>
    <m/>
    <m/>
    <m/>
    <m/>
    <m/>
    <x v="112"/>
    <m/>
    <m/>
    <x v="8"/>
    <m/>
    <x v="730"/>
    <d v="2023-02-14T00:00:00"/>
    <x v="1"/>
    <m/>
    <d v="2024-09-06T00:00:00"/>
    <n v="-570"/>
    <x v="9"/>
    <x v="6"/>
    <s v="08955/SPP/008/PUSAT/ICON+/2018 4500011692 | 12656/SPP/008/PUSAT/ICON+/2020 | 4500014171 | 15268/SPP/008/PUSAT/ICON+/2021 | 4500015812"/>
    <s v="19579/SPP/008/PUSAT/ICON+/2022"/>
    <n v="4500018935"/>
    <s v="Fajar Paramita"/>
    <s v="Sugiharti &lt;sugiharti@indonet.co.id&gt;"/>
    <s v="021-73882525"/>
    <m/>
    <m/>
    <m/>
    <s v="D75"/>
    <s v="E40"/>
    <s v="F427"/>
    <m/>
    <m/>
    <m/>
  </r>
  <r>
    <n v="1030"/>
    <x v="379"/>
    <x v="682"/>
    <s v="Jl. Rempoa Raya No. 11 Ciputat Tangerang Selatan Banten 15412, Indonesia"/>
    <s v="Primary Link H2H DC Tokopedia (DCI Cibitung) - Jl. Halmahera Blok F1 No.1, Danau Indah"/>
    <s v="DC Rempoa Rack A03 - Lantai 1, Jl. Rempoa Raya No.11, Rempoa"/>
    <s v="Sewa Tahunan"/>
    <x v="1"/>
    <x v="734"/>
    <m/>
    <m/>
    <m/>
    <m/>
    <m/>
    <x v="28"/>
    <m/>
    <m/>
    <x v="16"/>
    <m/>
    <x v="654"/>
    <d v="2025-03-22T00:00:00"/>
    <x v="2"/>
    <m/>
    <d v="2024-09-06T00:00:00"/>
    <n v="197"/>
    <x v="8"/>
    <x v="3"/>
    <s v="21673 | 4500020166"/>
    <n v="2461"/>
    <n v="4500022253"/>
    <s v="Fajar Paramita"/>
    <s v="Sugiharti &lt;sugiharti@indonet.co.id&gt;"/>
    <s v="021-73882525"/>
    <m/>
    <m/>
    <m/>
    <m/>
    <m/>
    <m/>
    <s v="G65"/>
    <s v="H65"/>
    <s v="OTC Rp.1.000.000"/>
  </r>
  <r>
    <n v="1031"/>
    <x v="379"/>
    <x v="414"/>
    <s v="Jl. Rempoa Raya No. 11 Ciputat Tangerang Selatan Banten 15412, Indonesia"/>
    <m/>
    <s v="Gedung Cyber Lt.8 (Data Center Indonet-Rack Pactindo)-(Pelanggan PT Pratama Link So No. ICON-00/ACT/1608/0127) R A05 No. Pelanggan 0054981024"/>
    <s v="Sewa Tahunan"/>
    <x v="1"/>
    <x v="735"/>
    <m/>
    <m/>
    <m/>
    <m/>
    <m/>
    <x v="11"/>
    <m/>
    <m/>
    <x v="28"/>
    <m/>
    <x v="731"/>
    <d v="2023-09-22T00:00:00"/>
    <x v="1"/>
    <m/>
    <d v="2024-09-06T00:00:00"/>
    <n v="-350"/>
    <x v="7"/>
    <x v="6"/>
    <s v="0801216/MI/004/PUSAT/ICON+/2016 | 08946/SPP/008/PUSAT/ICON+/2018 | 11627/SPP/008/PUSAT/ICON+/2019| 4500013296_x000a_ 0801216/SPR/ICON+/2016 07727/SPP/008/PUSAT/ICON+/2017 4500010999 | 4500011705 | 13982/SPP/008/PUSAT/ICON+/2020 | 4500014894| 16542/SPP/008/PUSAT/ICON+/2021"/>
    <s v="19752/SPP/008/PUSAT/ICON+/2022"/>
    <n v="4500018971"/>
    <s v="Fajar Paramita"/>
    <s v="Sugiharti &lt;sugiharti@indonet.co.id&gt;"/>
    <s v="021-73882525"/>
    <n v="155"/>
    <s v="B152"/>
    <s v="C198"/>
    <s v="D183"/>
    <s v="E306"/>
    <s v="F341"/>
    <m/>
    <m/>
    <s v="1. colocation perangkat ICON+ (1/2 rack) dan akses masuk Rp48.000.000 update harga 2015 Rp58.200.000/tahun_x000a_ 2. Sewa Shaft Kabel Rp3.500.000_x000a_ 3. Layanan Koneksi VPN Rp2.500.000/bulan harga tahun 2012"/>
  </r>
  <r>
    <n v="1032"/>
    <x v="379"/>
    <x v="45"/>
    <s v="Jl. Rempoa Raya No. 11 Ciputat Tangerang Selatan Banten 15412, Indonesia"/>
    <m/>
    <s v="Gedung Cyber Lt.8 (Data Center Indonet)-(Pelanggan Bank Woori Saudara terminating PT Sarana Pactindo Jl. Rempoa Raya No. 11 Ciputat Tangerang Selatan So No. ICON-00/ACT/1603/0285) No. Pel : 0053210845"/>
    <s v="Sewa Tahunan"/>
    <x v="1"/>
    <x v="736"/>
    <m/>
    <m/>
    <m/>
    <m/>
    <m/>
    <x v="350"/>
    <m/>
    <m/>
    <x v="8"/>
    <m/>
    <x v="732"/>
    <d v="2024-04-20T00:00:00"/>
    <x v="2"/>
    <m/>
    <d v="2024-09-06T00:00:00"/>
    <n v="-139"/>
    <x v="10"/>
    <x v="1"/>
    <s v="083011/MI/004/PUSAT/ICON+/2016 | 07724/SPP/008/PUSAT/ICON+/2017 | 4500011001 | 08449/SPP/008/PUSAT/ICON+/2018 | 4500011394 | 10336/SPP/008/PUSAT/ICON+/2019 | 4500012503 | 13123/SPP/008/PUSAT/ICON+/2020 | 4500014203| 15568/SPP/008/PUSAT/ICON+/2021| 4500016055 | 18314/SPP/008/PUSAT/ICON+/2022 | 4500017880"/>
    <s v="99/SPP/SBU/ICON+/2023"/>
    <n v="4500020428"/>
    <s v="Fajar Paramita"/>
    <s v="Sugiharti &lt;sugiharti@indonet.co.id&gt;"/>
    <s v="021-73882525"/>
    <n v="149"/>
    <s v="B104"/>
    <s v="C48"/>
    <s v="D93"/>
    <s v="E74"/>
    <s v="F130"/>
    <m/>
    <m/>
    <m/>
  </r>
  <r>
    <n v="1033"/>
    <x v="379"/>
    <x v="200"/>
    <s v="Jl. Rempoa Raya No. 11 Ciputat Tangerang Selatan Banten 15412, Indonesia"/>
    <m/>
    <s v="Gedung Cyber Lt.8 (Data Center Indonet)-(Pelanggan PT Primacom Interbuana- Bank Agris ACTIVE sejak tanggal 04 Feb 2015 dan periode sewa 2015 belum ditagihkan) No. Pel : 0053210845"/>
    <s v="Sewa Tahunan"/>
    <x v="1"/>
    <x v="45"/>
    <m/>
    <m/>
    <m/>
    <m/>
    <m/>
    <x v="31"/>
    <m/>
    <m/>
    <x v="8"/>
    <m/>
    <x v="186"/>
    <d v="2022-03-02T00:00:00"/>
    <x v="0"/>
    <m/>
    <d v="2024-09-06T00:00:00"/>
    <n v="-919"/>
    <x v="8"/>
    <x v="2"/>
    <s v="0630317/SPR/ICON+/2017 | 08296/SPP/008/PUSAT/ICON+/2018 | 4500011350 | 10045/SPP/008/PUSAT/ICON+/2019 | 4500012382| 12706/SPP/008/PUSAT/ICON+/2020| 4500013985"/>
    <s v="19500/SPP/008/PUSAT/ICON+/2022"/>
    <n v="4500018687"/>
    <s v="Fajar Paramita"/>
    <s v="Sugiharti &lt;sugiharti@indonet.co.id&gt;"/>
    <s v="021-73882525"/>
    <s v="-"/>
    <s v="B56"/>
    <s v="C22"/>
    <s v="D68"/>
    <m/>
    <s v="F290"/>
    <m/>
    <m/>
    <s v="1. colocation perangkat ICON+ (1/2 rack) dan akses masuk Rp48.000.000 update harga 2015 Rp58.200.000/tahun_x000a_ 2. Sewa Shaft Kabel Rp2.500.000/tahun update tahun 2014 Rp2.750.000/tahun_x000a_ 3. Layanan Koneksi VPN Rp2.500.000/bulan harga tahun 2012"/>
  </r>
  <r>
    <n v="1034"/>
    <x v="379"/>
    <x v="40"/>
    <s v="Jl. Rempoa Raya No. 11 Ciputat Tangerang Selatan Banten 15412, Indonesia"/>
    <m/>
    <s v="Gedung Indonet / Jl. Rempoa Raya No. 11, Ciputat Tangerang Selatan (Rack Pactindo)"/>
    <s v="Sewa Tahunan"/>
    <x v="1"/>
    <x v="737"/>
    <m/>
    <m/>
    <m/>
    <m/>
    <m/>
    <x v="7"/>
    <m/>
    <m/>
    <x v="8"/>
    <m/>
    <x v="733"/>
    <d v="2021-04-20T00:00:00"/>
    <x v="1"/>
    <m/>
    <d v="2024-09-06T00:00:00"/>
    <n v="-1235"/>
    <x v="10"/>
    <x v="4"/>
    <s v="07867/SPP/008/PUSAT/ICON+/2017 | 4500011118 | 08484/SPP/008/PUSAT/ICON+/2018 | 4500011424 | 10718/SPP/008/PUSAT/ICON+/2019 | 4500012763"/>
    <s v="13120/SPP/008/PUSAT/ICON+/2020"/>
    <n v="4500014193"/>
    <s v="Fajar Paramita"/>
    <s v="Sugiharti &lt;sugiharti@indonet.co.id&gt;"/>
    <s v="021-73882525"/>
    <n v="179"/>
    <s v="B142"/>
    <s v="C96"/>
    <s v="D94"/>
    <m/>
    <m/>
    <m/>
    <m/>
    <m/>
  </r>
  <r>
    <n v="1035"/>
    <x v="379"/>
    <x v="683"/>
    <s v="Jl. Rempoa Raya No. 11 Ciputat Tangerang Selatan Banten 15412, Indonesia"/>
    <s v="Primary Link H2H DC Tokopedia (DCI Cibitung) - Jl. Halmahera Blok F1 No.1, Danau Indah"/>
    <s v="H2H Bus Suroboyo Gedung Data Center Indonet, Jl. Rempoa Raya No.11, Rempoa"/>
    <s v="Sewa Tahunan"/>
    <x v="1"/>
    <x v="738"/>
    <m/>
    <m/>
    <m/>
    <m/>
    <m/>
    <x v="87"/>
    <m/>
    <m/>
    <x v="16"/>
    <m/>
    <x v="654"/>
    <d v="2025-03-22T00:00:00"/>
    <x v="2"/>
    <m/>
    <d v="2024-09-06T00:00:00"/>
    <n v="197"/>
    <x v="8"/>
    <x v="3"/>
    <s v="21577 | 4500020097"/>
    <n v="2465"/>
    <n v="4500022252"/>
    <s v="Fajar Paramita"/>
    <s v="Sugiharti &lt;sugiharti@indonet.co.id&gt;"/>
    <s v="021-73882525"/>
    <m/>
    <m/>
    <m/>
    <m/>
    <m/>
    <m/>
    <s v="G60"/>
    <s v="H69"/>
    <s v="1.Biaya Sewa 1 Tahun Rp.12.000.000 | 2.OTC Rp.1.000.000"/>
  </r>
  <r>
    <n v="1036"/>
    <x v="379"/>
    <x v="684"/>
    <s v="Jl. Rempoa Raya No. 11 Ciputat Tangerang Selatan Banten 15412, Indonesia"/>
    <m/>
    <s v="Jl Kuningan Barat No 8 Mampang Prapatan"/>
    <s v="Sewa Tahunan"/>
    <x v="1"/>
    <x v="739"/>
    <m/>
    <m/>
    <m/>
    <m/>
    <m/>
    <x v="351"/>
    <m/>
    <m/>
    <x v="42"/>
    <m/>
    <x v="161"/>
    <d v="2022-05-09T00:00:00"/>
    <x v="0"/>
    <m/>
    <d v="2024-09-06T00:00:00"/>
    <n v="-851"/>
    <x v="4"/>
    <x v="2"/>
    <s v="10500/SPP/008/PUSAT/ICON+/2019 | 4500012608 | 16050/SPP/008/PUSAT/ICON+/2021 | 4500016393 | 16347/SPP/008/PUSAT/ICON+/2021 |  4500016529"/>
    <m/>
    <n v="4500020527"/>
    <s v="Fajar Paramita"/>
    <s v="Sugiharti &lt;sugiharti@indonet.co.id&gt;"/>
    <s v="021-73882527"/>
    <m/>
    <m/>
    <s v="C44"/>
    <s v="E177"/>
    <s v="E239"/>
    <m/>
    <m/>
    <m/>
    <m/>
  </r>
  <r>
    <n v="1037"/>
    <x v="379"/>
    <x v="685"/>
    <s v="Jl. Rempoa Raya No. 11 Ciputat Tangerang Selatan Banten 15412, Indonesia"/>
    <m/>
    <s v="Jl. Rempoa Raya No.11, Kota Tangerang, Banten"/>
    <s v="Sewa Tahunan"/>
    <x v="1"/>
    <x v="740"/>
    <m/>
    <m/>
    <m/>
    <m/>
    <m/>
    <x v="18"/>
    <m/>
    <m/>
    <x v="16"/>
    <m/>
    <x v="734"/>
    <d v="2024-06-13T00:00:00"/>
    <x v="2"/>
    <m/>
    <d v="2024-09-06T00:00:00"/>
    <n v="-85"/>
    <x v="3"/>
    <x v="1"/>
    <s v="16009/SPP/008/PUSAT/ICON+/2021 | 4500016292 | 18995/SPP/008/PUSAT/ICON+/2022"/>
    <s v="_x0009_807/SPP/SBU/ICON+/2023"/>
    <n v="4500020956"/>
    <s v="Fajar Paramita"/>
    <s v="Sugiharti &lt;sugiharti@indonet.co.id&gt;"/>
    <s v="021-73882525"/>
    <m/>
    <m/>
    <m/>
    <m/>
    <s v="E98"/>
    <s v="G228"/>
    <s v="G330"/>
    <m/>
    <s v="1.Biaya Sewa Pertahun sebesar Rp.12.000.000,-"/>
  </r>
  <r>
    <n v="1038"/>
    <x v="379"/>
    <x v="686"/>
    <s v="Jl. Rempoa Raya No. 11 Ciputat Tangerang Selatan Banten 15412, Indonesia"/>
    <m/>
    <s v="Jl. Rempoa Raya No.11, Rempoa, Ciputat Timur, Tangerang"/>
    <s v="Sewa Tahunan"/>
    <x v="1"/>
    <x v="741"/>
    <m/>
    <m/>
    <m/>
    <m/>
    <m/>
    <x v="352"/>
    <m/>
    <m/>
    <x v="18"/>
    <m/>
    <x v="583"/>
    <d v="2020-05-31T00:00:00"/>
    <x v="0"/>
    <m/>
    <d v="2024-09-06T00:00:00"/>
    <n v="-1559"/>
    <x v="4"/>
    <x v="5"/>
    <s v="baru"/>
    <s v="10894/SPP/008/PUSAT/ICON+/2019"/>
    <n v="4500012833"/>
    <s v="Fajar Paramita"/>
    <s v="Sugiharti &lt;sugiharti@indonet.co.id&gt;"/>
    <s v="021-73882528"/>
    <m/>
    <m/>
    <s v="C108"/>
    <m/>
    <m/>
    <m/>
    <m/>
    <m/>
    <m/>
  </r>
  <r>
    <n v="1039"/>
    <x v="379"/>
    <x v="20"/>
    <s v="Jl. Rempoa Raya No. 11 Ciputat Tangerang Selatan Banten 15412, Indonesia"/>
    <m/>
    <s v="PSN Mega Kuningan ,5th Floor Ged. Kantor Taman A9 Unit C3 &amp; C4Jl. Mega Kuningan Raya Lot. 8/9 No.9 Jakarta 12950"/>
    <s v="Sewa Tahunan"/>
    <x v="1"/>
    <x v="742"/>
    <m/>
    <m/>
    <m/>
    <m/>
    <m/>
    <x v="17"/>
    <m/>
    <m/>
    <x v="16"/>
    <m/>
    <x v="735"/>
    <d v="2025-05-07T00:00:00"/>
    <x v="2"/>
    <m/>
    <d v="2024-09-06T00:00:00"/>
    <n v="243"/>
    <x v="4"/>
    <x v="3"/>
    <s v="13317/SPP/008/PUSAT/ICON+/2020 | 4500014386 | 18850/SPP/008/PUSAT/ICON+/2022 | 4500018610"/>
    <s v="3207/SPP/SBU/PLNICONPLUS/2024"/>
    <n v="4500022664"/>
    <s v="Fajar Paramita"/>
    <s v="Sugiharti &lt;sugiharti@indonet.co.id&gt;"/>
    <m/>
    <m/>
    <m/>
    <m/>
    <s v="D137"/>
    <m/>
    <s v="F348"/>
    <s v="G138"/>
    <m/>
    <s v="1.Biaya Sewa Cable Shaft Rp.12.000.000 2.OTC Rp.1.000.000"/>
  </r>
  <r>
    <n v="1040"/>
    <x v="379"/>
    <x v="45"/>
    <s v="Jl. Rempoa Raya No. 11 Ciputat Tangerang Selatan Banten 15412, Indonesia"/>
    <m/>
    <s v="PT Sarana Pactindo - Jl. Rempoa Raya No.11, Rempoa"/>
    <s v="Sewa Tahunan"/>
    <x v="1"/>
    <x v="743"/>
    <m/>
    <m/>
    <m/>
    <m/>
    <m/>
    <x v="3"/>
    <m/>
    <m/>
    <x v="16"/>
    <m/>
    <x v="686"/>
    <d v="2025-02-09T00:00:00"/>
    <x v="2"/>
    <m/>
    <d v="2024-09-06T00:00:00"/>
    <n v="156"/>
    <x v="9"/>
    <x v="3"/>
    <s v="20860 | 4500019841"/>
    <n v="2473"/>
    <n v="4500022246"/>
    <s v="Fajar Paramita"/>
    <s v="Sugiharti &lt;sugiharti@indonet.co.id&gt;"/>
    <s v="021-73882525"/>
    <m/>
    <m/>
    <m/>
    <m/>
    <m/>
    <m/>
    <s v="G90"/>
    <s v="H63"/>
    <s v="OTC Rp.1.000.000"/>
  </r>
  <r>
    <n v="1041"/>
    <x v="379"/>
    <x v="42"/>
    <s v="Jl. Rempoa Raya No. 11 Ciputat Tangerang Selatan Banten 15412, Indonesia"/>
    <m/>
    <s v="PT Sunvone Solusindo Jl. Raden Inten II 3-5, RW.15, Duren Sawit, Buaran, Jakarta Timur, DKI Jakarta 13440"/>
    <s v="Sewa Tahunan"/>
    <x v="1"/>
    <x v="44"/>
    <m/>
    <m/>
    <m/>
    <m/>
    <m/>
    <x v="33"/>
    <m/>
    <m/>
    <x v="28"/>
    <m/>
    <x v="201"/>
    <d v="2022-12-31T00:00:00"/>
    <x v="1"/>
    <m/>
    <d v="2024-09-06T00:00:00"/>
    <n v="-615"/>
    <x v="5"/>
    <x v="2"/>
    <s v="09911/SPP/008/PUSAT/ICON+/2018 | 4500012324 | 11968/SPP/008/PUSAT/ICON+/2019 | 4500013749|14746/SPP/008/PUSAT/ICON+/2020|4500015368"/>
    <s v="17145/SPP/008/PUSAT/ICON+/2021"/>
    <n v="4500017132"/>
    <s v="Fajar Paramita"/>
    <s v="Sugiharti &lt;sugiharti@indonet.co.id&gt;"/>
    <s v="021-73882526"/>
    <m/>
    <m/>
    <s v="B268"/>
    <s v="D2 /D66 / D368"/>
    <m/>
    <s v="F60"/>
    <m/>
    <m/>
    <s v="Biaya sewa shaft Rp.3.500.000"/>
  </r>
  <r>
    <n v="1042"/>
    <x v="379"/>
    <x v="200"/>
    <s v="Jl. Rempoa Raya No. 11 Ciputat Tangerang Selatan Banten 15412, Indonesia"/>
    <m/>
    <s v="Rumah Indonet Rempoa Jl. Rempoa Raya No. 11, Ciputat Timur, Kota Tangerang Selatan, Banten, Indonesia, 15412"/>
    <s v="Sewa Tahunan"/>
    <x v="1"/>
    <x v="220"/>
    <m/>
    <m/>
    <m/>
    <m/>
    <m/>
    <x v="59"/>
    <m/>
    <m/>
    <x v="16"/>
    <m/>
    <x v="736"/>
    <d v="2023-08-08T00:00:00"/>
    <x v="0"/>
    <m/>
    <d v="2024-09-06T00:00:00"/>
    <n v="-395"/>
    <x v="12"/>
    <x v="6"/>
    <s v="16199/SPP/008/PUSAT/ICON+/2021 | 4500016416 | 19224/SPP/008/PUSAT/ICON+/2022 | 4500018936"/>
    <s v="1334/SPP/SBU/ICON+2023"/>
    <n v="4500022072"/>
    <s v="Fajar Paramita"/>
    <s v="Sugiharti &lt;sugiharti@indonet.co.id&gt;"/>
    <s v="021-73882525"/>
    <m/>
    <m/>
    <m/>
    <m/>
    <m/>
    <s v="F446"/>
    <m/>
    <m/>
    <m/>
  </r>
  <r>
    <n v="1043"/>
    <x v="379"/>
    <x v="687"/>
    <s v="Jl. Rempoa Raya No. 11 Ciputat Tangerang Selatan Banten 15412, Indonesia"/>
    <m/>
    <s v="Gedung Graha Pertamina"/>
    <s v="Sewa Tahunan"/>
    <x v="1"/>
    <x v="744"/>
    <m/>
    <m/>
    <m/>
    <m/>
    <m/>
    <x v="133"/>
    <m/>
    <m/>
    <x v="16"/>
    <m/>
    <x v="737"/>
    <d v="2024-08-14T00:00:00"/>
    <x v="2"/>
    <m/>
    <d v="2024-09-06T00:00:00"/>
    <n v="-23"/>
    <x v="12"/>
    <x v="1"/>
    <s v="baru"/>
    <s v="_x0009_1033/SPP/SBU/ICON+/2023"/>
    <n v="4500021642"/>
    <s v="Fajar Paramita"/>
    <s v="Sugiharti &lt;sugiharti@indonet.co.id&gt;"/>
    <s v="021-73882525"/>
    <m/>
    <m/>
    <m/>
    <m/>
    <m/>
    <m/>
    <s v="F162"/>
    <m/>
    <s v="1.Biaya Sewa @ 1 tahun  Rp.12.000.000 | 2.Biaya OTC Rp.1.000.000"/>
  </r>
  <r>
    <n v="1044"/>
    <x v="380"/>
    <x v="688"/>
    <s v="Jl. Kebagusan Raya No. 36_x000a_ Ragunan Jakarta 12550"/>
    <m/>
    <s v="PT Indosat Mega Media (IM2) - PT Edi Indonesia_x000a_ Lantai 3_x000a_ Jl. Kebagusan Raya No. 36_x000a_ Ragunan Jakarta_x000a_  - (Serah terima ke Div. Operasi)"/>
    <s v="Sewa Tahunan"/>
    <x v="1"/>
    <x v="745"/>
    <m/>
    <m/>
    <m/>
    <m/>
    <m/>
    <x v="353"/>
    <m/>
    <m/>
    <x v="48"/>
    <m/>
    <x v="738"/>
    <d v="2020-10-31T00:00:00"/>
    <x v="0"/>
    <m/>
    <d v="2024-09-06T00:00:00"/>
    <n v="-1406"/>
    <x v="6"/>
    <x v="5"/>
    <s v="4821116/SPR/ICON+/2016 07665/SPP/008/PUSAT/ICON+/2017 4500010978 | 09175/SPP/008/PUSAT/ICON+/2018 | 4500011848"/>
    <s v="11795/SPP/008/PUSAT/ICON+/2019"/>
    <n v="4500013414"/>
    <s v="Fajar Paramita"/>
    <s v="Ifan Lubis"/>
    <s v="021-78546969_x000a_ 021-78830983"/>
    <m/>
    <s v="B199"/>
    <s v="C296"/>
    <m/>
    <m/>
    <m/>
    <m/>
    <m/>
    <s v="Sewa Interkoneksi Rp400.000/bulan"/>
  </r>
  <r>
    <n v="1045"/>
    <x v="380"/>
    <x v="30"/>
    <s v="Jl. Kebagusan Raya No. 36_x000a_ Ragunan Jakarta 12550"/>
    <m/>
    <s v="PT Indosat Mega Media (IM2) - PT Edi Indonesia_x000a_ Lantai 3_x000a_ Jl. Kebagusan Raya No. 36_x000a_ Ragunan Jakarta (Bank Mega -ICON-00/ACT/1311/0083)"/>
    <s v="Sewa Tahunan"/>
    <x v="1"/>
    <x v="746"/>
    <m/>
    <m/>
    <m/>
    <m/>
    <m/>
    <x v="277"/>
    <m/>
    <m/>
    <x v="66"/>
    <m/>
    <x v="739"/>
    <d v="2020-11-30T00:00:00"/>
    <x v="0"/>
    <m/>
    <d v="2024-09-06T00:00:00"/>
    <n v="-1376"/>
    <x v="2"/>
    <x v="5"/>
    <s v="0881216/SPR/ICON+/2016 | 4500013334 | 10603/SPP/008/PUSAT/ICON+/2019"/>
    <s v="12336/SPP/008/PUSAT/ICON+/2019"/>
    <n v="4500013654"/>
    <s v="Fajar Paramita"/>
    <s v="Ifan Lubis"/>
    <s v="021-78546969_x000a_ 021-78830983"/>
    <m/>
    <s v="C286"/>
    <s v="C290"/>
    <m/>
    <m/>
    <m/>
    <m/>
    <m/>
    <s v="1. Sewa Shaft Cable dan Interkoneksi Rp7.200.000,-_x000a_ 2. Biaya Instalasi Rp1.500.000,-"/>
  </r>
  <r>
    <n v="1046"/>
    <x v="381"/>
    <x v="689"/>
    <s v="Jl.Medan Merdeka Selatan No.12"/>
    <m/>
    <s v="Indosat KPPTI"/>
    <s v="Sewa Tahunan"/>
    <x v="2"/>
    <x v="173"/>
    <m/>
    <m/>
    <m/>
    <m/>
    <m/>
    <x v="89"/>
    <m/>
    <m/>
    <x v="329"/>
    <m/>
    <x v="436"/>
    <d v="2025-01-31T00:00:00"/>
    <x v="2"/>
    <m/>
    <d v="2024-09-06T00:00:00"/>
    <n v="147"/>
    <x v="11"/>
    <x v="3"/>
    <s v="15147/SPP/008/PUSAT/ICON+/2021 | 4500015758 |17692/SPP/008/PUSAT/ICON+/2022 | 4500022225"/>
    <s v="3103/SPP/SBU/PLNIOCNPLUS/2024"/>
    <m/>
    <s v="Fajar Paramita"/>
    <s v="Ibu Tika "/>
    <s v="+62 08551212185"/>
    <m/>
    <m/>
    <m/>
    <m/>
    <s v="E2/114"/>
    <m/>
    <m/>
    <m/>
    <m/>
  </r>
  <r>
    <n v="1047"/>
    <x v="381"/>
    <x v="355"/>
    <s v="Jl.Medan Merdeka Selatan No.12"/>
    <m/>
    <s v="H2H BCA - BPJS Ketenagakerjaan; DC KPPTI Kantor Pusat PT. Indosat Lantai 5, Jl. Medan Merdeka Barat No 21,  Gambir,  Jakarta Pusat,  DKI Jakarta,  Indonesia,  10110"/>
    <s v="Sewa Tahunan"/>
    <x v="2"/>
    <x v="747"/>
    <m/>
    <m/>
    <m/>
    <m/>
    <m/>
    <x v="23"/>
    <m/>
    <m/>
    <x v="329"/>
    <m/>
    <x v="529"/>
    <d v="2025-01-07T00:00:00"/>
    <x v="2"/>
    <m/>
    <d v="2024-09-06T00:00:00"/>
    <n v="123"/>
    <x v="11"/>
    <x v="3"/>
    <s v="15053/SPP/008/PUSAT/ICON+/2020 | 4500015581"/>
    <s v="3329/SPP/SBU/PLNICONPLUS/2024"/>
    <m/>
    <s v="Fajar Paramita"/>
    <m/>
    <m/>
    <m/>
    <m/>
    <m/>
    <m/>
    <s v="G115"/>
    <m/>
    <m/>
    <m/>
    <m/>
  </r>
  <r>
    <n v="1048"/>
    <x v="382"/>
    <x v="690"/>
    <s v="Lotte Mart Green Pramuka Square (Lotte Mart Green Pramuka Square Lt. LG) Jl. Jend. A. Yani Kav. 49, Rawasari, Cempaka Putih, Jakarta Pusat"/>
    <m/>
    <s v="Apartement Green Pramuka City KAV.49 Jakarta Pusat 10570"/>
    <s v="Sewa Tahunan"/>
    <x v="1"/>
    <x v="748"/>
    <m/>
    <m/>
    <m/>
    <m/>
    <m/>
    <x v="35"/>
    <m/>
    <m/>
    <x v="18"/>
    <m/>
    <x v="740"/>
    <d v="2020-05-12T00:00:00"/>
    <x v="1"/>
    <m/>
    <d v="2024-09-06T00:00:00"/>
    <n v="-1578"/>
    <x v="4"/>
    <x v="5"/>
    <s v="baru"/>
    <s v="10839/SPP/008/PUSAT/ICON+/2019"/>
    <n v="4500012815"/>
    <s v="Fajar Paramita"/>
    <m/>
    <m/>
    <m/>
    <m/>
    <s v="C106"/>
    <m/>
    <m/>
    <m/>
    <m/>
    <m/>
    <m/>
  </r>
  <r>
    <n v="1049"/>
    <x v="383"/>
    <x v="523"/>
    <s v="Jln Ragunan No 36 A Jakarta Selatan"/>
    <m/>
    <s v="Blitzmegaplex Green Pramuka Square Lantai 1 Jl. Jend. A Yani Kav. 49 Rawasari"/>
    <s v="Sewa Tahunan"/>
    <x v="2"/>
    <x v="454"/>
    <m/>
    <m/>
    <m/>
    <m/>
    <m/>
    <x v="237"/>
    <m/>
    <m/>
    <x v="125"/>
    <m/>
    <x v="741"/>
    <d v="2025-04-05T00:00:00"/>
    <x v="2"/>
    <m/>
    <d v="2024-09-06T00:00:00"/>
    <n v="211"/>
    <x v="10"/>
    <x v="3"/>
    <s v="18264/SPP/008/PUSAT/ICON+/2022 | 4500017769 | 196/SPP/SBU/ICON+/2023 | 4500020566"/>
    <s v="3389/SPP/SBU/PLNICONPLUS/2024"/>
    <n v="4500022956"/>
    <s v="Fajar Paramita"/>
    <m/>
    <m/>
    <m/>
    <m/>
    <m/>
    <m/>
    <m/>
    <s v="F86 "/>
    <s v="G218"/>
    <s v="H242"/>
    <s v="1.Pembayaran Sewa cross connect Rp.15.000.000"/>
  </r>
  <r>
    <n v="1050"/>
    <x v="127"/>
    <x v="691"/>
    <s v="Jl.Riau 23 Jakarta 10310"/>
    <m/>
    <s v="PT. Supra Boga Lestari, Tbk, Living Plaza Jababeka (Farmers Market) , Jl. Niaga Raya BB/2-4, Kel. Pasarsari, Cikarang, Bekasi, Jawa Barat,"/>
    <s v="Sewa Tahunan"/>
    <x v="2"/>
    <x v="749"/>
    <m/>
    <m/>
    <m/>
    <m/>
    <m/>
    <x v="27"/>
    <m/>
    <m/>
    <x v="294"/>
    <m/>
    <x v="742"/>
    <d v="2024-10-22T00:00:00"/>
    <x v="2"/>
    <m/>
    <d v="2024-09-06T00:00:00"/>
    <n v="46"/>
    <x v="6"/>
    <x v="1"/>
    <s v="11843/SPP/008/PUSAT/ICON+/2019 | 4500013475 | 14545/SPP/008/PUSAT/ICON+/2020 | 4500015223 | 16810/SPP/008/PUSAT/ICON+/2021 | 4500017019 | 20514/SPP/008/PUSAT/ICON+/2022 | 4500019561"/>
    <n v="1912"/>
    <n v="4500021648"/>
    <s v="Fajar Paramita"/>
    <m/>
    <m/>
    <m/>
    <m/>
    <m/>
    <s v="D320"/>
    <s v="E393"/>
    <s v="F440"/>
    <s v="G318"/>
    <m/>
    <m/>
  </r>
  <r>
    <n v="1051"/>
    <x v="127"/>
    <x v="529"/>
    <s v="Jl.Riau 23 Jakarta 10310"/>
    <m/>
    <s v="-"/>
    <s v="Sewa Tahunan"/>
    <x v="2"/>
    <x v="750"/>
    <m/>
    <m/>
    <m/>
    <m/>
    <m/>
    <x v="7"/>
    <m/>
    <m/>
    <x v="293"/>
    <m/>
    <x v="743"/>
    <d v="2024-10-27T00:00:00"/>
    <x v="2"/>
    <m/>
    <d v="2024-09-06T00:00:00"/>
    <n v="51"/>
    <x v="6"/>
    <x v="1"/>
    <s v="11943/SPP/008/PUSAT/ICON+/2019 | 4500013508| 14544/SPP/008/PUSAT/ICON+/2020| 4500015204 | 4500017020 | 20631 | 4500019559"/>
    <n v="2114"/>
    <n v="4500022066"/>
    <s v="Fajar Paramita"/>
    <m/>
    <m/>
    <m/>
    <m/>
    <s v="C240"/>
    <s v="D304"/>
    <s v="E400"/>
    <s v="F441"/>
    <m/>
    <m/>
    <m/>
  </r>
  <r>
    <n v="1052"/>
    <x v="127"/>
    <x v="692"/>
    <s v="Jl.Riau 23 Jakarta 10310"/>
    <m/>
    <m/>
    <s v="Sewa Tahunan"/>
    <x v="2"/>
    <x v="751"/>
    <m/>
    <m/>
    <m/>
    <m/>
    <m/>
    <x v="27"/>
    <m/>
    <m/>
    <x v="294"/>
    <m/>
    <x v="744"/>
    <d v="2023-11-06T00:00:00"/>
    <x v="1"/>
    <m/>
    <d v="2024-09-06T00:00:00"/>
    <n v="-305"/>
    <x v="2"/>
    <x v="6"/>
    <s v="14982/SPP/008/PUSAT/ICON+/2020|4500015517 | 16819/SPP/008/PUSAT/ICON+/2021 | 4500017018"/>
    <n v="20546"/>
    <n v="4500019560"/>
    <s v="Fajar Paramita"/>
    <m/>
    <m/>
    <m/>
    <m/>
    <m/>
    <s v="D351"/>
    <s v="E403"/>
    <s v="F443"/>
    <m/>
    <m/>
    <m/>
  </r>
  <r>
    <n v="1053"/>
    <x v="127"/>
    <x v="423"/>
    <s v="Gedung GKM Lt 2, Jalan Cikini Raya No 12 – 14, Menteng – Jakarta Pusat"/>
    <m/>
    <s v="Shihlin, Living Plaza Jababeka Living Plaza, Jl. Niaga Raya BB/2-4, Kel. Pasarsari, Cikarang Barat, Bekasi, Jawa Barat"/>
    <s v="Sewa Bulanan"/>
    <x v="0"/>
    <x v="752"/>
    <s v="04000104394"/>
    <n v="0.995"/>
    <s v="Internet Corporate"/>
    <s v="2 Mbps"/>
    <m/>
    <x v="27"/>
    <m/>
    <m/>
    <x v="294"/>
    <m/>
    <x v="745"/>
    <d v="2024-02-11T00:00:00"/>
    <x v="1"/>
    <m/>
    <d v="2024-09-06T00:00:00"/>
    <n v="-208"/>
    <x v="9"/>
    <x v="1"/>
    <n v="4500017728"/>
    <n v="21059"/>
    <n v="4500019930"/>
    <s v="Syifa Artianingsih"/>
    <m/>
    <m/>
    <m/>
    <m/>
    <m/>
    <m/>
    <m/>
    <m/>
    <n v="17"/>
    <m/>
    <s v="Dismatle sesuai masa berakhir PO"/>
  </r>
  <r>
    <n v="1054"/>
    <x v="127"/>
    <x v="184"/>
    <s v="Gedung GKM Lt 2, Jalan Cikini Raya No 12 – 14, Menteng – Jakarta Pusat"/>
    <m/>
    <s v="Excelso Living Plaza jababeka Jl. Niaga Raya Cikarang Unit : G-26, G 26A, Cikarang, Bekasi, Jawa Barat, Indonesia, 17530"/>
    <s v="Sewa Bulanan"/>
    <x v="0"/>
    <x v="171"/>
    <s v="04000127029"/>
    <n v="0.995"/>
    <s v="Internet Corporate"/>
    <s v="2 Mbps"/>
    <m/>
    <x v="27"/>
    <m/>
    <m/>
    <x v="294"/>
    <m/>
    <x v="746"/>
    <d v="2024-08-18T00:00:00"/>
    <x v="0"/>
    <m/>
    <d v="2024-09-06T00:00:00"/>
    <n v="-19"/>
    <x v="12"/>
    <x v="1"/>
    <s v="19217/SPP/008/PUSAT/ICON+/2022 | 4500018423"/>
    <s v="1003/SPP/SBU/ICON+/2023"/>
    <n v="4500021051"/>
    <s v="Syifa Artianingsih"/>
    <s v="Hapsah"/>
    <s v="0815-9821-393"/>
    <m/>
    <m/>
    <m/>
    <m/>
    <m/>
    <m/>
    <n v="203"/>
    <m/>
    <m/>
  </r>
  <r>
    <n v="1055"/>
    <x v="127"/>
    <x v="693"/>
    <s v="Gedung GKM Lt 2, Jalan Cikini Raya No 12 – 14, Menteng – Jakarta Pusat"/>
    <m/>
    <s v="CGV LIVING PLAZA JABABEKA, Jl. Niaga Raya BB/2-4 Kel. Pasarsari, Cikarang Barat, Bekasi, Jawa Barat, Indonesia. "/>
    <s v="Sewa Bulanan"/>
    <x v="0"/>
    <x v="753"/>
    <s v="04000090446"/>
    <s v="99,50%"/>
    <s v="Internet Corporate"/>
    <s v="3 Mbps"/>
    <m/>
    <x v="11"/>
    <m/>
    <m/>
    <x v="69"/>
    <m/>
    <x v="747"/>
    <d v="2024-09-30T00:00:00"/>
    <x v="2"/>
    <m/>
    <d v="2024-09-06T00:00:00"/>
    <n v="24"/>
    <x v="7"/>
    <x v="1"/>
    <n v="4500018646"/>
    <n v="1300"/>
    <n v="4500021326"/>
    <s v="Syifa Artianingsih"/>
    <m/>
    <m/>
    <m/>
    <m/>
    <m/>
    <m/>
    <m/>
    <m/>
    <n v="284"/>
    <m/>
    <m/>
  </r>
  <r>
    <n v="1056"/>
    <x v="90"/>
    <x v="694"/>
    <s v="WTP Building Jl.Jababeka IV Blok B No.12 Cikarang"/>
    <s v="Jl. Kuningan Barat Raya No.8, RW.3, Kuningan Bar"/>
    <s v="BOF Liquid New WareHouse Cikarang, P45G+W46,"/>
    <s v="Sewa Tahunan"/>
    <x v="2"/>
    <x v="459"/>
    <m/>
    <m/>
    <m/>
    <m/>
    <m/>
    <x v="20"/>
    <m/>
    <m/>
    <x v="232"/>
    <m/>
    <x v="458"/>
    <d v="2023-06-15T00:00:00"/>
    <x v="0"/>
    <m/>
    <d v="2024-09-06T00:00:00"/>
    <n v="-449"/>
    <x v="3"/>
    <x v="6"/>
    <s v="baru"/>
    <s v="18418/SPP/008/PUSAT/ICON+/2022"/>
    <n v="4500017900"/>
    <s v="Fajar Paramita"/>
    <s v="Anggun"/>
    <m/>
    <m/>
    <m/>
    <m/>
    <m/>
    <m/>
    <s v="F107"/>
    <m/>
    <m/>
    <m/>
  </r>
  <r>
    <n v="1057"/>
    <x v="90"/>
    <x v="694"/>
    <s v="WTP Building Jl.Jababeka IV Blok B No.12 Cikarang"/>
    <s v="Jl. Kuningan Barat Raya No.8, RW.3, Kuningan Bar"/>
    <s v="BOF Liquid New WareHouse Cikarang, P45G+W46,"/>
    <s v="Sewa Tahunan"/>
    <x v="2"/>
    <x v="459"/>
    <m/>
    <m/>
    <m/>
    <m/>
    <m/>
    <x v="32"/>
    <m/>
    <m/>
    <x v="330"/>
    <m/>
    <x v="660"/>
    <d v="2023-12-31T00:00:00"/>
    <x v="0"/>
    <m/>
    <d v="2024-09-06T00:00:00"/>
    <n v="-250"/>
    <x v="5"/>
    <x v="6"/>
    <m/>
    <m/>
    <m/>
    <m/>
    <m/>
    <m/>
    <m/>
    <m/>
    <m/>
    <m/>
    <m/>
    <m/>
    <m/>
    <m/>
    <m/>
  </r>
  <r>
    <n v="1058"/>
    <x v="90"/>
    <x v="694"/>
    <s v="WTP Building Jl.Jababeka IV Blok B No.12 Cikarang"/>
    <s v="Jl. Kuningan Barat Raya No.8, RW.3, Kuningan Bar"/>
    <s v="BOF Liquid New WareHouse Cikarang, P45G+W46,"/>
    <s v="Sewa Tahunan"/>
    <x v="2"/>
    <x v="459"/>
    <m/>
    <m/>
    <m/>
    <m/>
    <m/>
    <x v="20"/>
    <m/>
    <m/>
    <x v="331"/>
    <m/>
    <x v="587"/>
    <d v="2024-12-31T00:00:00"/>
    <x v="2"/>
    <m/>
    <d v="2024-09-06T00:00:00"/>
    <n v="116"/>
    <x v="5"/>
    <x v="1"/>
    <m/>
    <m/>
    <m/>
    <m/>
    <m/>
    <m/>
    <m/>
    <m/>
    <m/>
    <m/>
    <m/>
    <m/>
    <m/>
    <m/>
    <m/>
  </r>
  <r>
    <n v="1059"/>
    <x v="90"/>
    <x v="695"/>
    <s v="WTP Building Jl.Jababeka IV Blok B No.12 Cikarang"/>
    <s v="-"/>
    <s v="Genero KK, Jl. Industri Selatan 1B Blok KK No. 1-2, Kawasan Industri Jababeka 2"/>
    <s v="Sewa Tahunan"/>
    <x v="2"/>
    <x v="754"/>
    <m/>
    <m/>
    <m/>
    <m/>
    <m/>
    <x v="2"/>
    <m/>
    <m/>
    <x v="332"/>
    <m/>
    <x v="748"/>
    <d v="2023-06-19T00:00:00"/>
    <x v="0"/>
    <m/>
    <d v="2024-09-06T00:00:00"/>
    <n v="-445"/>
    <x v="3"/>
    <x v="6"/>
    <s v="baru"/>
    <s v="19002/SPP/008/PUSAT/ICON+/2022"/>
    <n v="4500018290"/>
    <s v="Fajar Paramita"/>
    <s v="Anggun"/>
    <m/>
    <m/>
    <m/>
    <m/>
    <m/>
    <m/>
    <s v="F182"/>
    <m/>
    <m/>
    <m/>
  </r>
  <r>
    <n v="1060"/>
    <x v="90"/>
    <x v="695"/>
    <s v="WTP Building Jl.Jababeka IV Blok B No.12 Cikarang"/>
    <m/>
    <s v="Genero KK, Jl. Industri Selatan 1B Blok KK No. 1-2, Kawasan Industri Jababeka 2"/>
    <s v="Sewa Tahunan"/>
    <x v="2"/>
    <x v="754"/>
    <m/>
    <m/>
    <m/>
    <m/>
    <m/>
    <x v="328"/>
    <m/>
    <m/>
    <x v="333"/>
    <m/>
    <x v="660"/>
    <d v="2023-12-31T00:00:00"/>
    <x v="0"/>
    <m/>
    <d v="2024-09-06T00:00:00"/>
    <n v="-250"/>
    <x v="5"/>
    <x v="6"/>
    <m/>
    <m/>
    <m/>
    <m/>
    <m/>
    <m/>
    <m/>
    <m/>
    <m/>
    <m/>
    <m/>
    <m/>
    <m/>
    <m/>
    <m/>
  </r>
  <r>
    <n v="1061"/>
    <x v="90"/>
    <x v="695"/>
    <s v="WTP Building Jl.Jababeka IV Blok B No.12 Cikarang"/>
    <m/>
    <s v="Genero KK, Jl. Industri Selatan 1B Blok KK No. 1-2, Kawasan Industri Jababeka 2"/>
    <s v="Sewa Tahunan"/>
    <x v="2"/>
    <x v="754"/>
    <m/>
    <m/>
    <m/>
    <m/>
    <m/>
    <x v="2"/>
    <m/>
    <m/>
    <x v="334"/>
    <m/>
    <x v="587"/>
    <d v="2024-12-31T00:00:00"/>
    <x v="2"/>
    <m/>
    <d v="2024-09-06T00:00:00"/>
    <n v="116"/>
    <x v="5"/>
    <x v="1"/>
    <m/>
    <m/>
    <m/>
    <m/>
    <m/>
    <m/>
    <m/>
    <m/>
    <m/>
    <m/>
    <m/>
    <m/>
    <m/>
    <m/>
    <m/>
  </r>
  <r>
    <n v="1062"/>
    <x v="90"/>
    <x v="683"/>
    <s v="WTP Building Jl.Jababeka IV Blok B No.12 Cikarang"/>
    <s v="-"/>
    <s v="H2H Bus Suroboyo Gedung Data Center Indonet, Jl. Rempoa Raya No.11, Rempoa"/>
    <s v="Sewa Tahunan"/>
    <x v="2"/>
    <x v="738"/>
    <m/>
    <m/>
    <m/>
    <m/>
    <m/>
    <x v="87"/>
    <m/>
    <m/>
    <x v="335"/>
    <m/>
    <x v="714"/>
    <d v="2023-09-30T00:00:00"/>
    <x v="0"/>
    <m/>
    <d v="2024-09-06T00:00:00"/>
    <n v="-342"/>
    <x v="7"/>
    <x v="6"/>
    <s v="baru"/>
    <s v="21741/SPP/008/PUSAT/ICON+/2023"/>
    <n v="4500020360"/>
    <s v="Fajar Paramita"/>
    <s v="Anggun"/>
    <m/>
    <m/>
    <m/>
    <m/>
    <m/>
    <m/>
    <m/>
    <s v="G77"/>
    <m/>
    <m/>
  </r>
  <r>
    <n v="1063"/>
    <x v="90"/>
    <x v="199"/>
    <s v="WTP Building Jl.Jababeka IV Blok B No.12 Cikarang"/>
    <s v="Jl. Industri Utama Blok SS Kav 1- 3, Kawasan Industri Jababeka II, Cikarang Utara, Kabupaten Bekasi, Jawa Barat, Indonesia, 17530"/>
    <s v="JL. JABABEKA V BLOK G 4-6 KAWASAN INDUSTRI JABABEKA, DESA HARJA MEKAR, KECAMATAN CIKARANG UTARA KABUPATEN BEKASI INDONESIA"/>
    <s v="Sewa Tahunan"/>
    <x v="2"/>
    <x v="755"/>
    <m/>
    <m/>
    <m/>
    <m/>
    <m/>
    <x v="135"/>
    <m/>
    <m/>
    <x v="113"/>
    <m/>
    <x v="749"/>
    <d v="2021-08-21T00:00:00"/>
    <x v="0"/>
    <m/>
    <d v="2024-09-06T00:00:00"/>
    <n v="-1112"/>
    <x v="12"/>
    <x v="4"/>
    <s v="baru"/>
    <s v="16107/SPP/008/PUSAT/ICON+/2021"/>
    <n v="4500016356"/>
    <s v="Fajar Paramita"/>
    <s v="Anggun"/>
    <m/>
    <m/>
    <m/>
    <m/>
    <m/>
    <s v="E108"/>
    <m/>
    <m/>
    <m/>
    <m/>
  </r>
  <r>
    <n v="1064"/>
    <x v="90"/>
    <x v="199"/>
    <s v="WTP Building Jl.Jababeka IV Blok B No.12 Cikarang"/>
    <s v="Jl. Industri Utama Blok SS Kav 1- 3, Kawasan Industri Jababeka II, Cikarang Utara, Kabupaten Bekasi, Jawa Barat, Indonesia, 17530"/>
    <s v="JL. JABABEKA V BLOK G 4-6 KAWASAN INDUSTRI JABABEKA, DESA HARJA MEKAR, KECAMATAN CIKARANG UTARA KABUPATEN BEKASI INDONESIA"/>
    <s v="Sewa Tahunan"/>
    <x v="2"/>
    <x v="755"/>
    <m/>
    <m/>
    <m/>
    <m/>
    <m/>
    <x v="354"/>
    <m/>
    <m/>
    <x v="336"/>
    <m/>
    <x v="660"/>
    <d v="2023-12-31T00:00:00"/>
    <x v="0"/>
    <m/>
    <d v="2024-09-06T00:00:00"/>
    <n v="-250"/>
    <x v="5"/>
    <x v="6"/>
    <m/>
    <m/>
    <m/>
    <m/>
    <m/>
    <m/>
    <m/>
    <m/>
    <m/>
    <m/>
    <m/>
    <m/>
    <m/>
    <m/>
    <m/>
  </r>
  <r>
    <n v="1065"/>
    <x v="90"/>
    <x v="199"/>
    <s v="WTP Building Jl.Jababeka IV Blok B No.12 Cikarang"/>
    <s v="Jl. Industri Utama Blok SS Kav 1- 3, Kawasan Industri Jababeka II, Cikarang Utara, Kabupaten Bekasi, Jawa Barat, Indonesia, 17530"/>
    <s v="JL. JABABEKA V BLOK G 4-6 KAWASAN INDUSTRI JABABEKA, DESA HARJA MEKAR, KECAMATAN CIKARANG UTARA KABUPATEN BEKASI INDONESIA"/>
    <s v="Sewa Tahunan"/>
    <x v="2"/>
    <x v="755"/>
    <m/>
    <m/>
    <m/>
    <m/>
    <m/>
    <x v="355"/>
    <m/>
    <m/>
    <x v="337"/>
    <m/>
    <x v="587"/>
    <d v="2024-12-31T00:00:00"/>
    <x v="2"/>
    <m/>
    <d v="2024-09-06T00:00:00"/>
    <n v="116"/>
    <x v="5"/>
    <x v="1"/>
    <m/>
    <m/>
    <m/>
    <m/>
    <m/>
    <m/>
    <m/>
    <m/>
    <m/>
    <m/>
    <m/>
    <m/>
    <m/>
    <m/>
    <m/>
  </r>
  <r>
    <n v="1066"/>
    <x v="90"/>
    <x v="172"/>
    <s v="WTP Building Jl.Jababeka IV Blok B No.12 Cikarang"/>
    <s v="-"/>
    <s v="Jl. Jababeka II, Blok C 9-10, Jababeka I, Passir Gombong, Pasirgombong, Kec. Cikarang Utara, Bekasi, Jawa Barat 17530, Pasirgombong, Cikarang, Jawa Barat, Indonesia,, Cikarang Utara, Bekasi, Jawa Barat, Indonesia, 17530"/>
    <s v="Sewa Tahunan"/>
    <x v="2"/>
    <x v="186"/>
    <m/>
    <m/>
    <m/>
    <m/>
    <m/>
    <x v="10"/>
    <m/>
    <m/>
    <x v="98"/>
    <m/>
    <x v="164"/>
    <d v="2022-07-04T00:00:00"/>
    <x v="0"/>
    <m/>
    <d v="2024-09-06T00:00:00"/>
    <n v="-795"/>
    <x v="1"/>
    <x v="2"/>
    <s v="baru"/>
    <s v="16106/SPP/008/PUSAT/ICON+/2021"/>
    <n v="4500016365"/>
    <s v="Fajar Paramita"/>
    <s v="Anggun"/>
    <m/>
    <m/>
    <m/>
    <m/>
    <m/>
    <s v="E109"/>
    <m/>
    <m/>
    <m/>
    <m/>
  </r>
  <r>
    <n v="1067"/>
    <x v="90"/>
    <x v="325"/>
    <s v="WTP Building Jl.Jababeka IV Blok B No.12 Cikarang"/>
    <s v="-"/>
    <s v="Jl. Jababeka IIIG no. C17R, Bekasi, Cikarang, Jawa Barat, Indonesia,"/>
    <s v="Sewa Tahunan"/>
    <x v="2"/>
    <x v="343"/>
    <m/>
    <m/>
    <m/>
    <m/>
    <m/>
    <x v="35"/>
    <m/>
    <m/>
    <x v="93"/>
    <m/>
    <x v="243"/>
    <d v="2022-04-04T00:00:00"/>
    <x v="0"/>
    <m/>
    <d v="2024-09-06T00:00:00"/>
    <n v="-886"/>
    <x v="10"/>
    <x v="2"/>
    <s v="baru"/>
    <s v="15624/SPP/008/PUSAT/ICON+/2021"/>
    <n v="4500016007"/>
    <s v="Fajar Paramita"/>
    <s v="Anggun"/>
    <m/>
    <m/>
    <m/>
    <m/>
    <m/>
    <s v="E27"/>
    <m/>
    <m/>
    <m/>
    <m/>
  </r>
  <r>
    <n v="1068"/>
    <x v="90"/>
    <x v="696"/>
    <s v="WTP Building Jl.Jababeka IV Blok B No.12 Cikarang"/>
    <s v="-"/>
    <s v="Jl. Jababeka Raya, Blok R, Wangunharja,,  Cikarang Utara,  Kota Bekasi,  Jawa Barat,  Indonesia,  17550"/>
    <s v="Sewa Tahunan"/>
    <x v="2"/>
    <x v="756"/>
    <m/>
    <m/>
    <m/>
    <m/>
    <m/>
    <x v="356"/>
    <m/>
    <m/>
    <x v="338"/>
    <m/>
    <x v="750"/>
    <d v="2023-09-30T00:00:00"/>
    <x v="0"/>
    <m/>
    <d v="2024-09-06T00:00:00"/>
    <n v="-342"/>
    <x v="7"/>
    <x v="6"/>
    <s v="baru"/>
    <s v="21072/SPP/008/PUSAT/ICON+/2023"/>
    <n v="4500019948"/>
    <s v="Fajar Paramita"/>
    <s v="Anggun"/>
    <m/>
    <m/>
    <m/>
    <m/>
    <m/>
    <m/>
    <m/>
    <s v="G22"/>
    <m/>
    <m/>
  </r>
  <r>
    <n v="1069"/>
    <x v="90"/>
    <x v="696"/>
    <s v="WTP Building Jl.Jababeka IV Blok B No.12 Cikarang"/>
    <m/>
    <s v="Jl. Jababeka Raya, Blok R, Wangunharja,,  Cikarang Utara,  Kota Bekasi,  Jawa Barat,  Indonesia,  17550"/>
    <s v="Sewa Tahunan"/>
    <x v="2"/>
    <x v="756"/>
    <m/>
    <m/>
    <m/>
    <m/>
    <m/>
    <x v="357"/>
    <m/>
    <m/>
    <x v="339"/>
    <m/>
    <x v="660"/>
    <d v="2023-12-31T00:00:00"/>
    <x v="0"/>
    <m/>
    <d v="2024-09-06T00:00:00"/>
    <n v="-250"/>
    <x v="5"/>
    <x v="6"/>
    <m/>
    <m/>
    <m/>
    <m/>
    <m/>
    <m/>
    <m/>
    <m/>
    <m/>
    <m/>
    <m/>
    <m/>
    <m/>
    <m/>
    <m/>
  </r>
  <r>
    <n v="1070"/>
    <x v="90"/>
    <x v="696"/>
    <s v="WTP Building Jl.Jababeka IV Blok B No.12 Cikarang"/>
    <m/>
    <s v="Jl. Jababeka Raya, Blok R, Wangunharja,,  Cikarang Utara,  Kota Bekasi,  Jawa Barat,  Indonesia,  17550"/>
    <s v="Sewa Tahunan"/>
    <x v="2"/>
    <x v="756"/>
    <m/>
    <m/>
    <m/>
    <m/>
    <m/>
    <x v="356"/>
    <m/>
    <m/>
    <x v="340"/>
    <m/>
    <x v="587"/>
    <d v="2024-12-31T00:00:00"/>
    <x v="2"/>
    <m/>
    <d v="2024-09-06T00:00:00"/>
    <n v="116"/>
    <x v="5"/>
    <x v="1"/>
    <m/>
    <m/>
    <m/>
    <m/>
    <m/>
    <m/>
    <m/>
    <m/>
    <m/>
    <m/>
    <m/>
    <m/>
    <m/>
    <m/>
    <m/>
  </r>
  <r>
    <n v="1071"/>
    <x v="90"/>
    <x v="531"/>
    <s v="WTP Building Jl.Jababeka IV Blok B No.12 Cikarang"/>
    <s v="-"/>
    <s v="Jl. Niaga Raya, Pasirsari"/>
    <s v="Sewa Tahunan"/>
    <x v="2"/>
    <x v="584"/>
    <m/>
    <m/>
    <m/>
    <m/>
    <m/>
    <x v="33"/>
    <m/>
    <m/>
    <x v="341"/>
    <m/>
    <x v="565"/>
    <d v="2023-09-30T00:00:00"/>
    <x v="0"/>
    <m/>
    <d v="2024-09-06T00:00:00"/>
    <n v="-342"/>
    <x v="7"/>
    <x v="6"/>
    <s v="baru"/>
    <s v="20627/SPP/008/PUSAT/ICON+/2022"/>
    <n v="4500019509"/>
    <s v="Fajar Paramita"/>
    <s v="Anggun"/>
    <m/>
    <m/>
    <m/>
    <m/>
    <m/>
    <m/>
    <s v="F438"/>
    <m/>
    <m/>
    <m/>
  </r>
  <r>
    <n v="1072"/>
    <x v="90"/>
    <x v="697"/>
    <s v="WTP Building Jl.Jababeka IV Blok B No.12 Cikarang"/>
    <s v="-"/>
    <s v="Jl. Niaga Raya, Pasirsari, Cikarang Selatan, Kabupaten Bekasi, Jawa Barat, Indonesia, 17530"/>
    <s v="Sewa Tahunan"/>
    <x v="2"/>
    <x v="757"/>
    <m/>
    <m/>
    <m/>
    <m/>
    <m/>
    <x v="2"/>
    <m/>
    <m/>
    <x v="342"/>
    <m/>
    <x v="751"/>
    <d v="2023-09-30T00:00:00"/>
    <x v="0"/>
    <m/>
    <d v="2024-09-06T00:00:00"/>
    <n v="-342"/>
    <x v="7"/>
    <x v="6"/>
    <s v="baru"/>
    <s v="91/SPP/SBU/ICON+/2023"/>
    <n v="4500020506"/>
    <s v="Fajar Paramita"/>
    <s v="Anggun"/>
    <m/>
    <m/>
    <m/>
    <m/>
    <m/>
    <m/>
    <m/>
    <s v="G93"/>
    <m/>
    <m/>
  </r>
  <r>
    <n v="1073"/>
    <x v="90"/>
    <x v="697"/>
    <s v="WTP Building Jl.Jababeka IV Blok B No.12 Cikarang"/>
    <m/>
    <s v="Jl. Niaga Raya, Pasirsari, Cikarang Selatan, Kabupaten Bekasi, Jawa Barat, Indonesia, 17530"/>
    <s v="Sewa Tahunan"/>
    <x v="2"/>
    <x v="757"/>
    <m/>
    <m/>
    <m/>
    <m/>
    <m/>
    <x v="328"/>
    <m/>
    <m/>
    <x v="343"/>
    <m/>
    <x v="660"/>
    <d v="2023-12-31T00:00:00"/>
    <x v="0"/>
    <m/>
    <d v="2024-09-06T00:00:00"/>
    <n v="-250"/>
    <x v="5"/>
    <x v="6"/>
    <m/>
    <m/>
    <m/>
    <m/>
    <m/>
    <m/>
    <m/>
    <m/>
    <m/>
    <m/>
    <m/>
    <m/>
    <m/>
    <m/>
    <m/>
  </r>
  <r>
    <n v="1074"/>
    <x v="90"/>
    <x v="697"/>
    <s v="WTP Building Jl.Jababeka IV Blok B No.12 Cikarang"/>
    <m/>
    <s v="Jl. Niaga Raya, Pasirsari, Cikarang Selatan, Kabupaten Bekasi, Jawa Barat, Indonesia, 17530"/>
    <s v="Sewa Tahunan"/>
    <x v="2"/>
    <x v="757"/>
    <m/>
    <m/>
    <m/>
    <m/>
    <m/>
    <x v="2"/>
    <m/>
    <m/>
    <x v="344"/>
    <m/>
    <x v="587"/>
    <d v="2024-12-31T00:00:00"/>
    <x v="2"/>
    <m/>
    <d v="2024-09-06T00:00:00"/>
    <n v="116"/>
    <x v="5"/>
    <x v="1"/>
    <m/>
    <m/>
    <m/>
    <m/>
    <m/>
    <m/>
    <m/>
    <m/>
    <m/>
    <m/>
    <m/>
    <m/>
    <m/>
    <m/>
    <m/>
  </r>
  <r>
    <n v="1075"/>
    <x v="90"/>
    <x v="429"/>
    <s v="WTP Building Jl.Jababeka IV Blok B No.12 Cikarang"/>
    <s v="-"/>
    <s v="Jl. Niaga Raya, Ruko CBD Kav AA3 - D 25, Cikarang, Bekasi, Jawa Barat"/>
    <s v="Sewa Tahunan"/>
    <x v="2"/>
    <x v="452"/>
    <m/>
    <m/>
    <m/>
    <m/>
    <m/>
    <x v="107"/>
    <m/>
    <m/>
    <x v="149"/>
    <m/>
    <x v="449"/>
    <d v="2023-03-31T00:00:00"/>
    <x v="0"/>
    <m/>
    <d v="2024-09-06T00:00:00"/>
    <n v="-525"/>
    <x v="8"/>
    <x v="6"/>
    <s v="baru"/>
    <s v="18273/SPP/008/PUSAT/ICON+/2022"/>
    <n v="4500017820"/>
    <s v="Fajar Paramita"/>
    <s v="Anggun"/>
    <m/>
    <m/>
    <m/>
    <m/>
    <m/>
    <m/>
    <s v="F88"/>
    <m/>
    <m/>
    <m/>
  </r>
  <r>
    <n v="1076"/>
    <x v="90"/>
    <x v="698"/>
    <s v="WTP Building Jl.Jababeka IV Blok B No.12 Cikarang"/>
    <s v="-"/>
    <s v="JL.JABABEKA XVI, KAV.66 CIKARANG BEKASI 17530,  -,  -,  -,  Indonesia,  -"/>
    <s v="Sewa Tahunan"/>
    <x v="2"/>
    <x v="758"/>
    <m/>
    <m/>
    <m/>
    <m/>
    <m/>
    <x v="113"/>
    <m/>
    <m/>
    <x v="345"/>
    <m/>
    <x v="752"/>
    <d v="2023-09-30T00:00:00"/>
    <x v="0"/>
    <m/>
    <d v="2024-09-06T00:00:00"/>
    <n v="-342"/>
    <x v="7"/>
    <x v="6"/>
    <s v="baru"/>
    <s v="21032/SPP/008/PUSAT/ICON+/2023"/>
    <n v="4500019923"/>
    <s v="Fajar Paramita"/>
    <s v="Anggun"/>
    <m/>
    <m/>
    <m/>
    <m/>
    <m/>
    <m/>
    <m/>
    <s v="G8"/>
    <m/>
    <m/>
  </r>
  <r>
    <n v="1077"/>
    <x v="90"/>
    <x v="698"/>
    <s v="WTP Building Jl.Jababeka IV Blok B No.12 Cikarang"/>
    <m/>
    <s v="JL.JABABEKA XVI, KAV.66 CIKARANG BEKASI 17530,  -,  -,  -,  Indonesia,  -"/>
    <s v="Sewa Tahunan"/>
    <x v="2"/>
    <x v="758"/>
    <m/>
    <m/>
    <m/>
    <m/>
    <m/>
    <x v="358"/>
    <m/>
    <m/>
    <x v="333"/>
    <m/>
    <x v="660"/>
    <d v="2023-12-31T00:00:00"/>
    <x v="0"/>
    <m/>
    <d v="2024-09-06T00:00:00"/>
    <n v="-250"/>
    <x v="5"/>
    <x v="6"/>
    <m/>
    <m/>
    <m/>
    <m/>
    <m/>
    <m/>
    <m/>
    <m/>
    <m/>
    <m/>
    <m/>
    <m/>
    <m/>
    <m/>
    <m/>
  </r>
  <r>
    <n v="1078"/>
    <x v="90"/>
    <x v="698"/>
    <s v="WTP Building Jl.Jababeka IV Blok B No.12 Cikarang"/>
    <m/>
    <s v="JL.JABABEKA XVI, KAV.66 CIKARANG BEKASI 17530,  -,  -,  -,  Indonesia,  -"/>
    <s v="Sewa Tahunan"/>
    <x v="2"/>
    <x v="758"/>
    <m/>
    <m/>
    <m/>
    <m/>
    <m/>
    <x v="113"/>
    <m/>
    <m/>
    <x v="334"/>
    <m/>
    <x v="587"/>
    <d v="2024-12-31T00:00:00"/>
    <x v="2"/>
    <m/>
    <d v="2024-09-06T00:00:00"/>
    <n v="116"/>
    <x v="5"/>
    <x v="1"/>
    <m/>
    <m/>
    <m/>
    <m/>
    <m/>
    <m/>
    <m/>
    <m/>
    <m/>
    <m/>
    <m/>
    <m/>
    <m/>
    <m/>
    <m/>
  </r>
  <r>
    <n v="1079"/>
    <x v="90"/>
    <x v="699"/>
    <s v="WTP Building Jl.Jababeka IV Blok B No.12 Cikarang"/>
    <s v="-"/>
    <s v="Kawasan Industri Jababeka Cikarang - Jln. Jababeka VI / N-2"/>
    <s v="Sewa Tahunan"/>
    <x v="2"/>
    <x v="759"/>
    <m/>
    <m/>
    <m/>
    <m/>
    <m/>
    <x v="359"/>
    <m/>
    <m/>
    <x v="346"/>
    <m/>
    <x v="753"/>
    <d v="2023-09-30T00:00:00"/>
    <x v="0"/>
    <m/>
    <d v="2024-09-06T00:00:00"/>
    <n v="-342"/>
    <x v="7"/>
    <x v="6"/>
    <s v="baru"/>
    <s v="90/SPP/SBU/ICON+/2023"/>
    <n v="4500020555"/>
    <s v="Fajar Paramita"/>
    <s v="Anggun"/>
    <m/>
    <m/>
    <m/>
    <m/>
    <m/>
    <m/>
    <m/>
    <s v="G76"/>
    <m/>
    <m/>
  </r>
  <r>
    <n v="1080"/>
    <x v="90"/>
    <x v="699"/>
    <s v="WTP Building Jl.Jababeka IV Blok B No.12 Cikarang"/>
    <s v="-"/>
    <s v="Kawasan Industri Jababeka Cikarang - Jln. Jababeka VI / N-2, Kab. Bekasi, Jawa Barat"/>
    <s v="Sewa Tahunan"/>
    <x v="2"/>
    <x v="760"/>
    <m/>
    <m/>
    <m/>
    <m/>
    <m/>
    <x v="360"/>
    <m/>
    <m/>
    <x v="347"/>
    <m/>
    <x v="754"/>
    <d v="2021-12-15T00:00:00"/>
    <x v="0"/>
    <m/>
    <d v="2024-09-06T00:00:00"/>
    <n v="-996"/>
    <x v="5"/>
    <x v="4"/>
    <s v="baru"/>
    <s v="14929/SPP/008/PUSAT/ICON+/2020"/>
    <n v="4500015594"/>
    <s v="Fajar Paramita"/>
    <s v="Anggun"/>
    <m/>
    <m/>
    <m/>
    <m/>
    <s v="D346"/>
    <m/>
    <m/>
    <m/>
    <m/>
    <m/>
  </r>
  <r>
    <n v="1081"/>
    <x v="90"/>
    <x v="699"/>
    <s v="WTP Building Jl.Jababeka IV Blok B No.12 Cikarang"/>
    <s v="-"/>
    <s v="Kawasan Industri Jababeka Cikarang, Jl. Jababeka VI/N2 Cikarang, Kec. Cikarang Utara, Kabupaten Bekasi, Jawa Barat, Indonesia, 17530"/>
    <s v="Sewa Tahunan"/>
    <x v="2"/>
    <x v="336"/>
    <m/>
    <m/>
    <m/>
    <m/>
    <m/>
    <x v="188"/>
    <m/>
    <m/>
    <x v="348"/>
    <m/>
    <x v="321"/>
    <d v="2021-09-30T00:00:00"/>
    <x v="0"/>
    <m/>
    <d v="2024-09-06T00:00:00"/>
    <n v="-1072"/>
    <x v="7"/>
    <x v="4"/>
    <s v="baru"/>
    <s v="16555/SPP/008/PUSAT/ICON+/2021"/>
    <n v="4500016697"/>
    <s v="Fajar Paramita"/>
    <s v="Anggun"/>
    <m/>
    <m/>
    <m/>
    <m/>
    <m/>
    <s v="E282"/>
    <m/>
    <m/>
    <m/>
    <m/>
  </r>
  <r>
    <n v="1082"/>
    <x v="90"/>
    <x v="700"/>
    <s v="WTP Building Jl.Jababeka IV Blok B No.12 Cikarang"/>
    <s v="-"/>
    <s v="Kawasan Industri Jababeka Jl. Jababeka IX B Blok Q2, Wangunharja, Cikarang Utara, Kabupaten Bekasi, Jawa Barat, Indonesia, 17530"/>
    <s v="Sewa Tahunan"/>
    <x v="2"/>
    <x v="199"/>
    <m/>
    <m/>
    <m/>
    <m/>
    <m/>
    <x v="36"/>
    <m/>
    <m/>
    <x v="349"/>
    <m/>
    <x v="175"/>
    <d v="2022-09-30T00:00:00"/>
    <x v="0"/>
    <m/>
    <d v="2024-09-06T00:00:00"/>
    <n v="-707"/>
    <x v="7"/>
    <x v="2"/>
    <s v="baru"/>
    <s v="16813/SPP/008/PUSAT/ICON+/2021"/>
    <n v="4500016810"/>
    <s v="Fajar Paramita"/>
    <s v="Anggun"/>
    <m/>
    <m/>
    <m/>
    <m/>
    <m/>
    <s v="E291"/>
    <m/>
    <m/>
    <m/>
    <m/>
  </r>
  <r>
    <n v="1083"/>
    <x v="90"/>
    <x v="700"/>
    <s v="WTP Building Jl.Jababeka IV Blok B No.12 Cikarang"/>
    <m/>
    <s v="Kawasan Industri Jababeka Jl. Jababeka IX B Blok Q2, Wangunharja, Cikarang Utara, Kabupaten Bekasi, Jawa Barat, Indonesia, 17530"/>
    <s v="Sewa Tahunan"/>
    <x v="2"/>
    <x v="199"/>
    <m/>
    <m/>
    <m/>
    <m/>
    <m/>
    <x v="147"/>
    <m/>
    <m/>
    <x v="350"/>
    <m/>
    <x v="660"/>
    <d v="2023-12-31T00:00:00"/>
    <x v="0"/>
    <m/>
    <d v="2024-09-06T00:00:00"/>
    <n v="-250"/>
    <x v="5"/>
    <x v="6"/>
    <m/>
    <m/>
    <m/>
    <m/>
    <m/>
    <m/>
    <m/>
    <m/>
    <m/>
    <m/>
    <m/>
    <m/>
    <m/>
    <m/>
    <m/>
  </r>
  <r>
    <n v="1084"/>
    <x v="90"/>
    <x v="700"/>
    <s v="WTP Building Jl.Jababeka IV Blok B No.12 Cikarang"/>
    <m/>
    <s v="Kawasan Industri Jababeka Jl. Jababeka IX B Blok Q2, Wangunharja, Cikarang Utara, Kabupaten Bekasi, Jawa Barat, Indonesia, 17530"/>
    <s v="Sewa Tahunan"/>
    <x v="2"/>
    <x v="199"/>
    <m/>
    <m/>
    <m/>
    <m/>
    <m/>
    <x v="36"/>
    <m/>
    <m/>
    <x v="351"/>
    <m/>
    <x v="587"/>
    <d v="2024-12-31T00:00:00"/>
    <x v="2"/>
    <m/>
    <d v="2024-09-06T00:00:00"/>
    <n v="116"/>
    <x v="5"/>
    <x v="1"/>
    <m/>
    <m/>
    <m/>
    <m/>
    <m/>
    <m/>
    <m/>
    <m/>
    <m/>
    <m/>
    <m/>
    <m/>
    <m/>
    <m/>
    <m/>
  </r>
  <r>
    <n v="1085"/>
    <x v="90"/>
    <x v="701"/>
    <s v="WTP Building Jl.Jababeka IV Blok B No.12 Cikarang"/>
    <s v="-"/>
    <s v="Kawasan industri jababeka, jalan jababeka XVII B blok U no 21F, desa harja mekar"/>
    <s v="Sewa Tahunan"/>
    <x v="2"/>
    <x v="499"/>
    <m/>
    <m/>
    <m/>
    <m/>
    <m/>
    <x v="51"/>
    <m/>
    <m/>
    <x v="352"/>
    <m/>
    <x v="508"/>
    <d v="2023-09-30T00:00:00"/>
    <x v="0"/>
    <m/>
    <d v="2024-09-06T00:00:00"/>
    <n v="-342"/>
    <x v="7"/>
    <x v="6"/>
    <s v="baru"/>
    <s v="20455/SPP/008/PUSAT/ICON+/2022"/>
    <n v="4500019453"/>
    <s v="Fajar Paramita"/>
    <s v="Anggun"/>
    <m/>
    <m/>
    <m/>
    <m/>
    <m/>
    <m/>
    <s v="F401"/>
    <m/>
    <m/>
    <m/>
  </r>
  <r>
    <n v="1086"/>
    <x v="90"/>
    <x v="628"/>
    <s v="WTP Building Jl.Jababeka IV Blok B No.12 Cikarang"/>
    <s v="-"/>
    <s v="KCP CIKARANG CBD, Ruko CBD Blok/Kavling AA3 Blok CD No. 1 Jl. Niaga Raya, Bekasi, Jawa Barat"/>
    <s v="Sewa Tahunan"/>
    <x v="2"/>
    <x v="361"/>
    <m/>
    <m/>
    <m/>
    <m/>
    <m/>
    <x v="27"/>
    <m/>
    <m/>
    <x v="353"/>
    <m/>
    <x v="755"/>
    <d v="2022-09-30T00:00:00"/>
    <x v="0"/>
    <m/>
    <d v="2024-09-06T00:00:00"/>
    <n v="-707"/>
    <x v="7"/>
    <x v="2"/>
    <s v="baru"/>
    <s v="16310/SPP/008/PUSAT/ICON+/2021"/>
    <n v="4500016592"/>
    <s v="Fajar Paramita"/>
    <s v="Anggun"/>
    <m/>
    <m/>
    <m/>
    <m/>
    <m/>
    <s v="E235"/>
    <m/>
    <m/>
    <m/>
    <m/>
  </r>
  <r>
    <n v="1087"/>
    <x v="90"/>
    <x v="702"/>
    <s v="WTP Building Jl.Jababeka IV Blok B No.12 Cikarang"/>
    <s v="IIDC 3D, Duren tiga, kota administrasi Jakarta Selatan"/>
    <s v="Nippont Paint Cikarang, Jl.Kawasan Industri Jababeka Blok U No.8B Cikarang,  Cikarang,  Cikarang,  Jawa Barat,  Indonesia,"/>
    <s v="Sewa Tahunan"/>
    <x v="2"/>
    <x v="522"/>
    <m/>
    <m/>
    <m/>
    <m/>
    <m/>
    <x v="269"/>
    <m/>
    <m/>
    <x v="260"/>
    <m/>
    <x v="439"/>
    <d v="2023-02-28T00:00:00"/>
    <x v="0"/>
    <m/>
    <d v="2024-09-06T00:00:00"/>
    <n v="-556"/>
    <x v="9"/>
    <x v="6"/>
    <s v="Baru"/>
    <s v="18064/SPP/008/PUSAT/ICON+/2022"/>
    <n v="4500017658"/>
    <s v="Fajar Paramita"/>
    <s v="Anggun"/>
    <m/>
    <m/>
    <m/>
    <m/>
    <m/>
    <m/>
    <s v="F44"/>
    <m/>
    <m/>
    <m/>
  </r>
  <r>
    <n v="1088"/>
    <x v="90"/>
    <x v="702"/>
    <s v="WTP Building Jl.Jababeka IV Blok B No.12 Cikarang"/>
    <s v="IIDC 3D, Duren tiga, kota administrasi Jakarta Selatan"/>
    <s v="Nippont Paint Cikarang, Jl.Kawasan Industri Jababeka Blok U No.8B Cikarang,  Cikarang,  Cikarang,  Jawa Barat,  Indonesia,"/>
    <s v="Sewa Tahunan"/>
    <x v="2"/>
    <x v="522"/>
    <m/>
    <m/>
    <m/>
    <m/>
    <m/>
    <x v="170"/>
    <m/>
    <m/>
    <x v="354"/>
    <m/>
    <x v="660"/>
    <d v="2023-12-31T00:00:00"/>
    <x v="0"/>
    <m/>
    <d v="2024-09-06T00:00:00"/>
    <n v="-250"/>
    <x v="5"/>
    <x v="6"/>
    <m/>
    <m/>
    <m/>
    <m/>
    <m/>
    <m/>
    <m/>
    <m/>
    <m/>
    <m/>
    <m/>
    <m/>
    <m/>
    <m/>
    <m/>
  </r>
  <r>
    <n v="1089"/>
    <x v="90"/>
    <x v="702"/>
    <s v="WTP Building Jl.Jababeka IV Blok B No.12 Cikarang"/>
    <s v="IIDC 3D, Duren tiga, kota administrasi Jakarta Selatan"/>
    <s v="Nippont Paint Cikarang, Jl.Kawasan Industri Jababeka Blok U No.8B Cikarang,  Cikarang,  Cikarang,  Jawa Barat,  Indonesia,"/>
    <s v="Sewa Tahunan"/>
    <x v="2"/>
    <x v="522"/>
    <m/>
    <m/>
    <m/>
    <m/>
    <m/>
    <x v="269"/>
    <m/>
    <m/>
    <x v="355"/>
    <m/>
    <x v="587"/>
    <d v="2024-12-31T00:00:00"/>
    <x v="2"/>
    <m/>
    <d v="2024-09-06T00:00:00"/>
    <n v="116"/>
    <x v="5"/>
    <x v="1"/>
    <m/>
    <m/>
    <m/>
    <m/>
    <m/>
    <m/>
    <m/>
    <m/>
    <m/>
    <m/>
    <m/>
    <m/>
    <m/>
    <m/>
    <m/>
  </r>
  <r>
    <n v="1090"/>
    <x v="90"/>
    <x v="703"/>
    <s v="WTP Building Jl.Jababeka IV Blok B No.12 Cikarang"/>
    <s v="-"/>
    <s v="PT Astrazeneca Pharmaceutical, , Jababeka Phase III,Technopark Blok B1A-B1B, Lemah Abang"/>
    <s v="Sewa Tahunan"/>
    <x v="2"/>
    <x v="407"/>
    <m/>
    <m/>
    <m/>
    <m/>
    <m/>
    <x v="98"/>
    <m/>
    <m/>
    <x v="209"/>
    <m/>
    <x v="736"/>
    <d v="2023-08-08T00:00:00"/>
    <x v="0"/>
    <m/>
    <d v="2024-09-06T00:00:00"/>
    <n v="-395"/>
    <x v="12"/>
    <x v="6"/>
    <s v="baru"/>
    <s v="19358/SPP/008/PUSAT/ICON+/2022"/>
    <n v="4500018571"/>
    <s v="Fajar Paramita"/>
    <s v="Anggun"/>
    <m/>
    <m/>
    <m/>
    <m/>
    <m/>
    <m/>
    <s v="F247"/>
    <m/>
    <m/>
    <m/>
  </r>
  <r>
    <n v="1091"/>
    <x v="90"/>
    <x v="703"/>
    <s v="WTP Building Jl.Jababeka IV Blok B No.12 Cikarang"/>
    <m/>
    <s v="PT Astrazeneca Pharmaceutical, , Jababeka Phase III,Technopark Blok B1A-B1B, Lemah Abang"/>
    <s v="Sewa Tahunan"/>
    <x v="2"/>
    <x v="407"/>
    <m/>
    <m/>
    <m/>
    <m/>
    <m/>
    <x v="361"/>
    <m/>
    <m/>
    <x v="339"/>
    <m/>
    <x v="660"/>
    <d v="2023-12-31T00:00:00"/>
    <x v="0"/>
    <m/>
    <d v="2024-09-06T00:00:00"/>
    <n v="-250"/>
    <x v="5"/>
    <x v="6"/>
    <m/>
    <m/>
    <m/>
    <m/>
    <m/>
    <m/>
    <m/>
    <m/>
    <m/>
    <m/>
    <m/>
    <m/>
    <m/>
    <m/>
    <m/>
  </r>
  <r>
    <n v="1092"/>
    <x v="90"/>
    <x v="703"/>
    <s v="WTP Building Jl.Jababeka IV Blok B No.12 Cikarang"/>
    <m/>
    <s v="PT Astrazeneca Pharmaceutical, , Jababeka Phase III,Technopark Blok B1A-B1B, Lemah Abang"/>
    <s v="Sewa Tahunan"/>
    <x v="2"/>
    <x v="407"/>
    <m/>
    <m/>
    <m/>
    <m/>
    <m/>
    <x v="98"/>
    <m/>
    <m/>
    <x v="340"/>
    <m/>
    <x v="587"/>
    <d v="2024-12-31T00:00:00"/>
    <x v="2"/>
    <m/>
    <d v="2024-09-06T00:00:00"/>
    <n v="116"/>
    <x v="5"/>
    <x v="1"/>
    <m/>
    <m/>
    <m/>
    <m/>
    <m/>
    <m/>
    <m/>
    <m/>
    <m/>
    <m/>
    <m/>
    <m/>
    <m/>
    <m/>
    <m/>
  </r>
  <r>
    <n v="1093"/>
    <x v="90"/>
    <x v="704"/>
    <s v="WTP Building Jl.Jababeka IV Blok B No.12 Cikarang"/>
    <s v="-"/>
    <s v="PT Katsushiro Indonesia Jl Jababeka XII Blok I Kawasan Jababeka Tahap I, -, Cikarang, Jawa Barat"/>
    <s v="Sewa Tahunan"/>
    <x v="2"/>
    <x v="761"/>
    <m/>
    <m/>
    <m/>
    <m/>
    <m/>
    <x v="107"/>
    <m/>
    <m/>
    <x v="356"/>
    <m/>
    <x v="754"/>
    <d v="2021-12-15T00:00:00"/>
    <x v="0"/>
    <m/>
    <d v="2024-09-06T00:00:00"/>
    <n v="-996"/>
    <x v="5"/>
    <x v="4"/>
    <s v="baru"/>
    <s v="14965/SPP/008/PUSAT/ICON+/2020"/>
    <n v="4500015520"/>
    <s v="Fajar Paramita"/>
    <s v="Anggun"/>
    <m/>
    <m/>
    <m/>
    <m/>
    <s v="D293"/>
    <m/>
    <m/>
    <m/>
    <m/>
    <m/>
  </r>
  <r>
    <n v="1094"/>
    <x v="90"/>
    <x v="359"/>
    <s v="WTP Building Jl.Jababeka IV Blok B No.12 Cikarang"/>
    <s v="-"/>
    <s v="PT Kiat Ananda Cold Storage (MMP Warehouse XII), Pasirgombong"/>
    <s v="Sewa Tahunan"/>
    <x v="2"/>
    <x v="384"/>
    <m/>
    <m/>
    <m/>
    <m/>
    <m/>
    <x v="20"/>
    <m/>
    <m/>
    <x v="114"/>
    <m/>
    <x v="706"/>
    <d v="2023-08-18T00:00:00"/>
    <x v="0"/>
    <m/>
    <d v="2024-09-06T00:00:00"/>
    <n v="-385"/>
    <x v="12"/>
    <x v="6"/>
    <s v="baru"/>
    <s v="18863/SPP/008/PUSAT/ICON+/2022"/>
    <n v="4500018167"/>
    <s v="Fajar Paramita"/>
    <s v="Anggun"/>
    <m/>
    <m/>
    <m/>
    <m/>
    <m/>
    <m/>
    <s v="F166"/>
    <m/>
    <m/>
    <m/>
  </r>
  <r>
    <n v="1095"/>
    <x v="90"/>
    <x v="705"/>
    <s v="WTP Building Jl.Jababeka IV Blok B No.12 Cikarang"/>
    <s v="-"/>
    <s v="PT Komatsu Indonesia KUI Jababeka,Jl. Jababeka XI Blok H-16, Cikarang Industrial Estate, Cikarang, Bekasi, Jawa Barat, Indonesia, 17530"/>
    <s v="Sewa Tahunan"/>
    <x v="2"/>
    <x v="762"/>
    <m/>
    <m/>
    <m/>
    <m/>
    <m/>
    <x v="30"/>
    <m/>
    <m/>
    <x v="332"/>
    <m/>
    <x v="756"/>
    <d v="2021-12-14T00:00:00"/>
    <x v="0"/>
    <m/>
    <d v="2024-09-06T00:00:00"/>
    <n v="-997"/>
    <x v="5"/>
    <x v="4"/>
    <s v="baru"/>
    <s v="14976/SPP/008/PUSAT/ICON+/2020"/>
    <n v="4500015510"/>
    <s v="Fajar Paramita"/>
    <s v="Anggun"/>
    <m/>
    <m/>
    <m/>
    <m/>
    <s v="D359"/>
    <m/>
    <m/>
    <m/>
    <m/>
    <m/>
  </r>
  <r>
    <n v="1096"/>
    <x v="90"/>
    <x v="706"/>
    <s v="WTP Building Jl.Jababeka IV Blok B No.12 Cikarang"/>
    <s v="-"/>
    <s v="PT Komatsu Indonesia KUI Jababeka,Jl. Jababeka XI Blok H-16, Cikarang Industrial Estate, Cikarang, Bekasi, Jawa Barat, Indonesia, 17530"/>
    <s v="Sewa Tahunan"/>
    <x v="2"/>
    <x v="314"/>
    <m/>
    <m/>
    <m/>
    <m/>
    <m/>
    <x v="176"/>
    <m/>
    <m/>
    <x v="157"/>
    <m/>
    <x v="581"/>
    <d v="2022-03-17T00:00:00"/>
    <x v="0"/>
    <m/>
    <d v="2024-09-06T00:00:00"/>
    <n v="-904"/>
    <x v="8"/>
    <x v="2"/>
    <s v="baru"/>
    <s v="15596/SPP/008/PUSAT/ICON+/2021"/>
    <n v="4500015961"/>
    <s v="Fajar Paramita"/>
    <s v="Anggun"/>
    <m/>
    <m/>
    <m/>
    <m/>
    <m/>
    <s v="E25"/>
    <m/>
    <m/>
    <m/>
    <m/>
  </r>
  <r>
    <n v="1097"/>
    <x v="90"/>
    <x v="707"/>
    <s v="WTP Building Jl.Jababeka IV Blok B No.12 Cikarang"/>
    <s v="-"/>
    <s v="PT. Lestari Teknik Plastikatama - Kawasan Industri Jababeka, Jl. Jababeka XI Blok K No.8C, Harja Mekar,"/>
    <s v="Sewa Tahunan"/>
    <x v="2"/>
    <x v="763"/>
    <m/>
    <m/>
    <m/>
    <m/>
    <m/>
    <x v="67"/>
    <m/>
    <m/>
    <x v="109"/>
    <m/>
    <x v="408"/>
    <d v="2023-11-03T00:00:00"/>
    <x v="0"/>
    <m/>
    <d v="2024-09-06T00:00:00"/>
    <n v="-308"/>
    <x v="2"/>
    <x v="6"/>
    <s v="baru"/>
    <s v="20148/SPP/008/PUSAT/ICON+/2022"/>
    <n v="4500019286"/>
    <s v="Fajar Paramita"/>
    <s v="Anggun"/>
    <m/>
    <m/>
    <m/>
    <m/>
    <m/>
    <m/>
    <s v="F353"/>
    <m/>
    <m/>
    <m/>
  </r>
  <r>
    <n v="1098"/>
    <x v="90"/>
    <x v="707"/>
    <s v="WTP Building Jl.Jababeka IV Blok B No.12 Cikarang"/>
    <m/>
    <s v="PT. Lestari Teknik Plastikatama - Kawasan Industri Jababeka, Jl. Jababeka XI Blok K No.8C, Harja Mekar,"/>
    <s v="Sewa Tahunan"/>
    <x v="2"/>
    <x v="763"/>
    <m/>
    <m/>
    <m/>
    <m/>
    <m/>
    <x v="362"/>
    <m/>
    <m/>
    <x v="357"/>
    <m/>
    <x v="660"/>
    <d v="2023-12-31T00:00:00"/>
    <x v="0"/>
    <m/>
    <d v="2024-09-06T00:00:00"/>
    <n v="-250"/>
    <x v="5"/>
    <x v="6"/>
    <m/>
    <m/>
    <m/>
    <m/>
    <m/>
    <m/>
    <m/>
    <m/>
    <m/>
    <m/>
    <m/>
    <m/>
    <m/>
    <m/>
    <m/>
  </r>
  <r>
    <n v="1099"/>
    <x v="90"/>
    <x v="707"/>
    <s v="WTP Building Jl.Jababeka IV Blok B No.12 Cikarang"/>
    <m/>
    <s v="PT. Lestari Teknik Plastikatama - Kawasan Industri Jababeka, Jl. Jababeka XI Blok K No.8C, Harja Mekar,"/>
    <s v="Sewa Tahunan"/>
    <x v="2"/>
    <x v="763"/>
    <m/>
    <m/>
    <m/>
    <m/>
    <m/>
    <x v="67"/>
    <m/>
    <m/>
    <x v="344"/>
    <m/>
    <x v="587"/>
    <d v="2024-12-31T00:00:00"/>
    <x v="2"/>
    <m/>
    <d v="2024-09-06T00:00:00"/>
    <n v="116"/>
    <x v="5"/>
    <x v="1"/>
    <m/>
    <m/>
    <m/>
    <m/>
    <m/>
    <m/>
    <m/>
    <m/>
    <m/>
    <m/>
    <m/>
    <m/>
    <m/>
    <m/>
    <m/>
  </r>
  <r>
    <n v="1100"/>
    <x v="90"/>
    <x v="708"/>
    <s v="WTP Building Jl.Jababeka IV Blok B No.12 Cikarang"/>
    <s v="-"/>
    <s v="PT. Nippon Indosari Corpindo Jababeka 5; Jl. Science Timur 2, Blok B1H-A, Kel. Jayamukti"/>
    <s v="Sewa Tahunan"/>
    <x v="2"/>
    <x v="448"/>
    <m/>
    <m/>
    <m/>
    <m/>
    <m/>
    <x v="234"/>
    <m/>
    <m/>
    <x v="114"/>
    <m/>
    <x v="451"/>
    <d v="2023-03-22T00:00:00"/>
    <x v="0"/>
    <m/>
    <d v="2024-09-06T00:00:00"/>
    <n v="-534"/>
    <x v="8"/>
    <x v="6"/>
    <s v="baru"/>
    <s v="18318/SPP/008/PUSAT/ICON+/2022"/>
    <n v="4500017834"/>
    <s v="Fajar Paramita"/>
    <s v="Anggun"/>
    <m/>
    <m/>
    <m/>
    <m/>
    <m/>
    <m/>
    <s v="F96"/>
    <m/>
    <m/>
    <m/>
  </r>
  <r>
    <n v="1101"/>
    <x v="90"/>
    <x v="708"/>
    <s v="WTP Building Jl.Jababeka IV Blok B No.12 Cikarang"/>
    <m/>
    <s v="PT. Nippon Indosari Corpindo Jababeka 5; Jl. Science Timur 2, Blok B1H-A, Kel. Jayamukti"/>
    <s v="Sewa Tahunan"/>
    <x v="2"/>
    <x v="448"/>
    <m/>
    <m/>
    <m/>
    <m/>
    <m/>
    <x v="363"/>
    <m/>
    <m/>
    <x v="354"/>
    <m/>
    <x v="660"/>
    <d v="2023-12-31T00:00:00"/>
    <x v="0"/>
    <m/>
    <d v="2024-09-06T00:00:00"/>
    <n v="-250"/>
    <x v="5"/>
    <x v="6"/>
    <m/>
    <m/>
    <m/>
    <m/>
    <m/>
    <m/>
    <m/>
    <m/>
    <m/>
    <m/>
    <m/>
    <m/>
    <m/>
    <m/>
    <m/>
  </r>
  <r>
    <n v="1102"/>
    <x v="90"/>
    <x v="708"/>
    <s v="WTP Building Jl.Jababeka IV Blok B No.12 Cikarang"/>
    <m/>
    <s v="PT. Nippon Indosari Corpindo Jababeka 5; Jl. Science Timur 2, Blok B1H-A, Kel. Jayamukti"/>
    <s v="Sewa Tahunan"/>
    <x v="2"/>
    <x v="448"/>
    <m/>
    <m/>
    <m/>
    <m/>
    <m/>
    <x v="234"/>
    <m/>
    <m/>
    <x v="355"/>
    <m/>
    <x v="587"/>
    <d v="2024-12-31T00:00:00"/>
    <x v="2"/>
    <m/>
    <d v="2024-09-06T00:00:00"/>
    <n v="116"/>
    <x v="5"/>
    <x v="1"/>
    <m/>
    <m/>
    <m/>
    <m/>
    <m/>
    <m/>
    <m/>
    <m/>
    <m/>
    <m/>
    <m/>
    <m/>
    <m/>
    <m/>
    <m/>
  </r>
  <r>
    <n v="1103"/>
    <x v="90"/>
    <x v="708"/>
    <s v="WTP Building Jl.Jababeka IV Blok B No.12 Cikarang"/>
    <s v="-"/>
    <s v="PT. Nippon Indosari Corpindo Kawasan Industri Jababeka, Jl. Jababeka XVII B Blok U, No. 33"/>
    <s v="Sewa Tahunan"/>
    <x v="2"/>
    <x v="447"/>
    <m/>
    <m/>
    <m/>
    <m/>
    <m/>
    <x v="234"/>
    <m/>
    <m/>
    <x v="114"/>
    <m/>
    <x v="450"/>
    <d v="2023-03-29T00:00:00"/>
    <x v="0"/>
    <m/>
    <d v="2024-09-06T00:00:00"/>
    <n v="-527"/>
    <x v="8"/>
    <x v="6"/>
    <s v="baru"/>
    <s v="18316/SPP/008/PUSAT/ICON+/2022"/>
    <n v="4500017836"/>
    <s v="Fajar Paramita"/>
    <s v="Anggun"/>
    <m/>
    <m/>
    <m/>
    <m/>
    <m/>
    <m/>
    <s v="F97"/>
    <m/>
    <m/>
    <m/>
  </r>
  <r>
    <n v="1104"/>
    <x v="90"/>
    <x v="708"/>
    <s v="WTP Building Jl.Jababeka IV Blok B No.12 Cikarang"/>
    <m/>
    <s v="PT. Nippon Indosari Corpindo Kawasan Industri Jababeka, Jl. Jababeka XVII B Blok U, No. 33"/>
    <s v="Sewa Tahunan"/>
    <x v="2"/>
    <x v="447"/>
    <m/>
    <m/>
    <m/>
    <m/>
    <m/>
    <x v="363"/>
    <m/>
    <m/>
    <x v="354"/>
    <m/>
    <x v="660"/>
    <d v="2023-12-31T00:00:00"/>
    <x v="0"/>
    <m/>
    <d v="2024-09-06T00:00:00"/>
    <n v="-250"/>
    <x v="5"/>
    <x v="6"/>
    <m/>
    <m/>
    <m/>
    <m/>
    <m/>
    <m/>
    <m/>
    <m/>
    <m/>
    <m/>
    <m/>
    <m/>
    <m/>
    <m/>
    <m/>
  </r>
  <r>
    <n v="1105"/>
    <x v="90"/>
    <x v="708"/>
    <s v="WTP Building Jl.Jababeka IV Blok B No.12 Cikarang"/>
    <m/>
    <s v="PT. Nippon Indosari Corpindo Kawasan Industri Jababeka, Jl. Jababeka XVII B Blok U, No. 33"/>
    <s v="Sewa Tahunan"/>
    <x v="2"/>
    <x v="447"/>
    <m/>
    <m/>
    <m/>
    <m/>
    <m/>
    <x v="234"/>
    <m/>
    <m/>
    <x v="355"/>
    <m/>
    <x v="587"/>
    <d v="2024-12-31T00:00:00"/>
    <x v="2"/>
    <m/>
    <d v="2024-09-06T00:00:00"/>
    <n v="116"/>
    <x v="5"/>
    <x v="1"/>
    <m/>
    <m/>
    <m/>
    <m/>
    <m/>
    <m/>
    <m/>
    <m/>
    <m/>
    <m/>
    <m/>
    <m/>
    <m/>
    <m/>
    <m/>
  </r>
  <r>
    <n v="1106"/>
    <x v="90"/>
    <x v="709"/>
    <s v="WTP Building Jl.Jababeka IV Blok B No.12 Cikarang"/>
    <s v="Jl. Duren Tiga Raya No.7, RT.9/RW.5, Duren Tiga, Kec. Pancoran, Kota Jakarta Selatan, Daerah Khusus Ibukota Jakarta 12760,  -,  Jakarta Selatan,  DKI Jakarta,  Indonesia,"/>
    <s v="RS Harapan Keluarga Jababeka Jl. Kasuari Raya  Kav.1A&amp;1B, Mekarmukti,  Cikarang Utara,  Bekasi,  Jawa Barat,  Indonesia,"/>
    <s v="Sewa Tahunan"/>
    <x v="2"/>
    <x v="538"/>
    <m/>
    <m/>
    <m/>
    <m/>
    <m/>
    <x v="59"/>
    <m/>
    <m/>
    <x v="109"/>
    <m/>
    <x v="537"/>
    <d v="2023-07-25T00:00:00"/>
    <x v="0"/>
    <m/>
    <d v="2024-09-06T00:00:00"/>
    <n v="-409"/>
    <x v="1"/>
    <x v="6"/>
    <s v="baru"/>
    <s v="19312/SPP/008/PUSAT/ICON+/2022_x0009_"/>
    <n v="4500018458"/>
    <s v="Fajar Paramita"/>
    <s v="Anggun"/>
    <m/>
    <m/>
    <m/>
    <m/>
    <m/>
    <m/>
    <s v="F234"/>
    <m/>
    <m/>
    <m/>
  </r>
  <r>
    <n v="1107"/>
    <x v="90"/>
    <x v="709"/>
    <s v="WTP Building Jl.Jababeka IV Blok B No.12 Cikarang"/>
    <s v="Jl. Duren Tiga Raya No.7, RT.9/RW.5, Duren Tiga, Kec. Pancoran, Kota Jakarta Selatan, Daerah Khusus Ibukota Jakarta 12760,  -,  Jakarta Selatan,  DKI Jakarta,  Indonesia,"/>
    <s v="RS Harapan Keluarga Jababeka Jl. Kasuari Raya  Kav.1A&amp;1B, Mekarmukti,  Cikarang Utara,  Bekasi,  Jawa Barat,  Indonesia,"/>
    <s v="Sewa Tahunan"/>
    <x v="2"/>
    <x v="538"/>
    <m/>
    <m/>
    <m/>
    <m/>
    <m/>
    <x v="364"/>
    <m/>
    <m/>
    <x v="343"/>
    <m/>
    <x v="660"/>
    <d v="2023-12-31T00:00:00"/>
    <x v="0"/>
    <m/>
    <d v="2024-09-06T00:00:00"/>
    <n v="-250"/>
    <x v="5"/>
    <x v="6"/>
    <m/>
    <m/>
    <m/>
    <m/>
    <m/>
    <m/>
    <m/>
    <m/>
    <m/>
    <m/>
    <m/>
    <m/>
    <m/>
    <m/>
    <m/>
  </r>
  <r>
    <n v="1108"/>
    <x v="90"/>
    <x v="709"/>
    <s v="WTP Building Jl.Jababeka IV Blok B No.12 Cikarang"/>
    <s v="Jl. Duren Tiga Raya No.7, RT.9/RW.5, Duren Tiga, Kec. Pancoran, Kota Jakarta Selatan, Daerah Khusus Ibukota Jakarta 12760,  -,  Jakarta Selatan,  DKI Jakarta,  Indonesia,"/>
    <s v="RS Harapan Keluarga Jababeka Jl. Kasuari Raya  Kav.1A&amp;1B, Mekarmukti,  Cikarang Utara,  Bekasi,  Jawa Barat,  Indonesia,"/>
    <s v="Sewa Tahunan"/>
    <x v="2"/>
    <x v="538"/>
    <m/>
    <m/>
    <m/>
    <m/>
    <m/>
    <x v="59"/>
    <m/>
    <m/>
    <x v="358"/>
    <m/>
    <x v="587"/>
    <d v="2024-12-31T00:00:00"/>
    <x v="2"/>
    <m/>
    <d v="2024-09-06T00:00:00"/>
    <n v="116"/>
    <x v="5"/>
    <x v="1"/>
    <m/>
    <m/>
    <m/>
    <m/>
    <m/>
    <m/>
    <m/>
    <m/>
    <m/>
    <m/>
    <m/>
    <m/>
    <m/>
    <m/>
    <m/>
  </r>
  <r>
    <n v="1109"/>
    <x v="90"/>
    <x v="710"/>
    <s v="WTP Building Jl.Jababeka IV Blok B No.12 Cikarang"/>
    <s v="-"/>
    <s v="Watsons Store - Living Plaza Jababeka, Mega Jababeka, Makarmukti,  Unit: G-01B,  Cikarang Utara,  Bekasi,  Jawa Barat,  Indonesia,  17530"/>
    <s v="Sewa Tahunan"/>
    <x v="2"/>
    <x v="764"/>
    <m/>
    <m/>
    <m/>
    <m/>
    <m/>
    <x v="89"/>
    <m/>
    <m/>
    <x v="359"/>
    <m/>
    <x v="757"/>
    <d v="2023-09-30T00:00:00"/>
    <x v="0"/>
    <m/>
    <d v="2024-09-06T00:00:00"/>
    <n v="-342"/>
    <x v="7"/>
    <x v="6"/>
    <s v="baru"/>
    <s v="21607/SPP/008/PUSAT/ICON+/2023"/>
    <n v="4500020165"/>
    <s v="Fajar Paramita"/>
    <s v="Anggun"/>
    <m/>
    <m/>
    <m/>
    <m/>
    <m/>
    <m/>
    <m/>
    <s v="G83"/>
    <m/>
    <m/>
  </r>
  <r>
    <n v="1110"/>
    <x v="90"/>
    <x v="710"/>
    <s v="WTP Building Jl.Jababeka IV Blok B No.12 Cikarang"/>
    <m/>
    <s v="Watsons Store - Living Plaza Jababeka, Mega Jababeka, Makarmukti,  Unit: G-01B,  Cikarang Utara,  Bekasi,  Jawa Barat,  Indonesia,  17530"/>
    <s v="Sewa Tahunan"/>
    <x v="2"/>
    <x v="764"/>
    <m/>
    <m/>
    <m/>
    <m/>
    <m/>
    <x v="365"/>
    <m/>
    <m/>
    <x v="360"/>
    <m/>
    <x v="660"/>
    <d v="2023-12-31T00:00:00"/>
    <x v="0"/>
    <m/>
    <d v="2024-09-06T00:00:00"/>
    <n v="-250"/>
    <x v="5"/>
    <x v="6"/>
    <m/>
    <m/>
    <m/>
    <m/>
    <m/>
    <m/>
    <m/>
    <m/>
    <m/>
    <m/>
    <m/>
    <m/>
    <m/>
    <m/>
    <m/>
  </r>
  <r>
    <n v="1111"/>
    <x v="90"/>
    <x v="710"/>
    <s v="WTP Building Jl.Jababeka IV Blok B No.12 Cikarang"/>
    <m/>
    <s v="Watsons Store - Living Plaza Jababeka, Mega Jababeka, Makarmukti,  Unit: G-01B,  Cikarang Utara,  Bekasi,  Jawa Barat,  Indonesia,  17530"/>
    <s v="Sewa Tahunan"/>
    <x v="2"/>
    <x v="765"/>
    <m/>
    <m/>
    <m/>
    <m/>
    <m/>
    <x v="89"/>
    <m/>
    <m/>
    <x v="361"/>
    <m/>
    <x v="587"/>
    <d v="2024-12-31T00:00:00"/>
    <x v="2"/>
    <m/>
    <d v="2024-09-06T00:00:00"/>
    <n v="116"/>
    <x v="5"/>
    <x v="1"/>
    <m/>
    <m/>
    <m/>
    <m/>
    <m/>
    <m/>
    <m/>
    <m/>
    <m/>
    <m/>
    <m/>
    <m/>
    <m/>
    <m/>
    <m/>
  </r>
  <r>
    <n v="1112"/>
    <x v="90"/>
    <x v="191"/>
    <s v="WTP Building Jl.Jababeka IV Blok B No.12 Cikarang"/>
    <s v="-"/>
    <s v="PT. Mitsuyoshi Manufacturing Indonesia, Jl. Jababeka SFB Blok V No. 86 A-B Cikarang Industrial Estate, Cikarang, Kabupaten Bekasi, Jawa Barat, Indonesia"/>
    <s v="Sewa Tahunan"/>
    <x v="2"/>
    <x v="209"/>
    <m/>
    <m/>
    <m/>
    <m/>
    <m/>
    <x v="133"/>
    <m/>
    <m/>
    <x v="109"/>
    <m/>
    <x v="758"/>
    <d v="2022-02-24T00:00:00"/>
    <x v="0"/>
    <m/>
    <d v="2024-09-06T00:00:00"/>
    <n v="-925"/>
    <x v="9"/>
    <x v="2"/>
    <s v="baru"/>
    <s v="15454/SPP/008/PUSAT/ICON+/2021"/>
    <n v="4500015859"/>
    <s v="Fajar Paramita"/>
    <s v="Anggun"/>
    <m/>
    <m/>
    <m/>
    <m/>
    <m/>
    <s v="E13"/>
    <m/>
    <m/>
    <m/>
    <m/>
  </r>
  <r>
    <n v="1113"/>
    <x v="90"/>
    <x v="191"/>
    <s v="WTP Building Jl.Jababeka IV Blok B No.12 Cikarang"/>
    <m/>
    <s v="PT. Mitsuyoshi Manufacturing Indonesia, Jl. Jababeka SFB Blok V No. 86 A-B Cikarang Industrial Estate, Cikarang, Kabupaten Bekasi, Jawa Barat, Indonesia"/>
    <s v="Sewa Tahunan"/>
    <x v="2"/>
    <x v="209"/>
    <m/>
    <m/>
    <m/>
    <m/>
    <m/>
    <x v="366"/>
    <m/>
    <m/>
    <x v="343"/>
    <m/>
    <x v="660"/>
    <d v="2023-12-31T00:00:00"/>
    <x v="0"/>
    <m/>
    <d v="2024-09-06T00:00:00"/>
    <n v="-250"/>
    <x v="5"/>
    <x v="6"/>
    <m/>
    <m/>
    <m/>
    <m/>
    <m/>
    <m/>
    <m/>
    <m/>
    <m/>
    <m/>
    <m/>
    <m/>
    <m/>
    <m/>
    <m/>
  </r>
  <r>
    <n v="1114"/>
    <x v="90"/>
    <x v="191"/>
    <s v="WTP Building Jl.Jababeka IV Blok B No.12 Cikarang"/>
    <m/>
    <s v="PT. Mitsuyoshi Manufacturing Indonesia, Jl. Jababeka SFB Blok V No. 86 A-B Cikarang Industrial Estate, Cikarang, Kabupaten Bekasi, Jawa Barat, Indonesia"/>
    <s v="Sewa Tahunan"/>
    <x v="2"/>
    <x v="209"/>
    <m/>
    <m/>
    <m/>
    <m/>
    <m/>
    <x v="133"/>
    <m/>
    <m/>
    <x v="344"/>
    <m/>
    <x v="587"/>
    <d v="2024-12-31T00:00:00"/>
    <x v="2"/>
    <m/>
    <d v="2024-09-06T00:00:00"/>
    <n v="116"/>
    <x v="5"/>
    <x v="1"/>
    <m/>
    <m/>
    <m/>
    <m/>
    <m/>
    <m/>
    <m/>
    <m/>
    <m/>
    <m/>
    <m/>
    <m/>
    <m/>
    <m/>
    <m/>
  </r>
  <r>
    <n v="1115"/>
    <x v="90"/>
    <x v="190"/>
    <s v="WTP Building Jl.Jababeka IV Blok B No.12 Cikarang"/>
    <s v="-"/>
    <s v="PT. Surya Internusa Hotels, Jl. Niaga Raya Blok CC No.3A, Pasirsari,  Cikarang Selatan,  Kabupaten Bekasi,  Jawa Barat,  Indonesia,  17530"/>
    <s v="Sewa Tahunan"/>
    <x v="2"/>
    <x v="207"/>
    <m/>
    <m/>
    <m/>
    <m/>
    <m/>
    <x v="110"/>
    <m/>
    <m/>
    <x v="105"/>
    <m/>
    <x v="186"/>
    <d v="2022-03-02T00:00:00"/>
    <x v="0"/>
    <m/>
    <d v="2024-09-06T00:00:00"/>
    <n v="-919"/>
    <x v="8"/>
    <x v="2"/>
    <s v="baru"/>
    <s v="15458/SPP/008/PUSAT/ICON+/2021"/>
    <n v="4500015860"/>
    <s v="Fajar Paramita"/>
    <s v="Anggun"/>
    <m/>
    <m/>
    <m/>
    <m/>
    <m/>
    <s v="E20"/>
    <m/>
    <m/>
    <m/>
    <m/>
  </r>
  <r>
    <n v="1116"/>
    <x v="90"/>
    <x v="711"/>
    <s v="WTP Building Jl.Jababeka IV Blok B No.12 Cikarang"/>
    <s v="-"/>
    <s v="Jl. Industri Selatan 7 Blok FF 1 C Kawasan Industry Jababeka 2 (Interkoneksi PT Nano Coating Indonesia) Cikarang Utara, Kota Bekasi, Jawa Barat, Indonesia"/>
    <s v="Sewa Tahunan"/>
    <x v="2"/>
    <x v="766"/>
    <m/>
    <m/>
    <m/>
    <m/>
    <m/>
    <x v="367"/>
    <m/>
    <m/>
    <x v="292"/>
    <m/>
    <x v="481"/>
    <d v="2023-09-30T00:00:00"/>
    <x v="0"/>
    <m/>
    <d v="2024-09-06T00:00:00"/>
    <n v="-342"/>
    <x v="7"/>
    <x v="6"/>
    <s v="14338/SPP/008/PUSAT/ICON+/2020 | 4500015634 |17033/SPP/008/PUSAT/ICON+/2021 | 4500017234"/>
    <s v="20373/SPP/008/PUSAT/ICON+/2022"/>
    <n v="4500019523"/>
    <s v="Fajar Paramita"/>
    <s v="Anggun"/>
    <m/>
    <m/>
    <m/>
    <m/>
    <m/>
    <s v="E147"/>
    <s v="E404"/>
    <s v="E445"/>
    <m/>
    <m/>
  </r>
  <r>
    <n v="1117"/>
    <x v="90"/>
    <x v="266"/>
    <s v="WTP Building Jl.Jababeka IV Blok B No.12 Cikarang"/>
    <s v="-"/>
    <s v="-"/>
    <s v="Sewa Tahunan"/>
    <x v="2"/>
    <x v="57"/>
    <m/>
    <m/>
    <m/>
    <m/>
    <m/>
    <x v="27"/>
    <m/>
    <m/>
    <x v="362"/>
    <m/>
    <x v="759"/>
    <d v="2022-02-11T00:00:00"/>
    <x v="0"/>
    <m/>
    <d v="2024-09-06T00:00:00"/>
    <n v="-938"/>
    <x v="9"/>
    <x v="2"/>
    <s v="baru"/>
    <s v="15180/SPP/008/PUSAT/ICON+/2021"/>
    <n v="4500015777"/>
    <s v="Fajar Paramita"/>
    <s v="Anggun"/>
    <m/>
    <m/>
    <m/>
    <m/>
    <m/>
    <s v="E174"/>
    <m/>
    <m/>
    <m/>
    <m/>
  </r>
  <r>
    <n v="1118"/>
    <x v="90"/>
    <x v="699"/>
    <s v="WTP Building Jl.Jababeka IV Blok B No.12 Cikarang"/>
    <s v="-"/>
    <s v="KAO Logistic Center - Jl. Science Boulevard, Jayamukti,  Kec. Cikarang Pusat,  Kabupaten Bekasi,  Jawa Barat,  Indonesia,  17530"/>
    <s v="Sewa Tahunan"/>
    <x v="2"/>
    <x v="313"/>
    <m/>
    <m/>
    <m/>
    <m/>
    <m/>
    <x v="3"/>
    <m/>
    <m/>
    <x v="156"/>
    <m/>
    <x v="189"/>
    <d v="2022-05-02T00:00:00"/>
    <x v="0"/>
    <m/>
    <d v="2024-09-06T00:00:00"/>
    <n v="-858"/>
    <x v="4"/>
    <x v="2"/>
    <s v="baru"/>
    <s v="15764/SPP/008/PUSAT/ICON+/2021"/>
    <n v="4500016417"/>
    <s v="Fajar Paramita"/>
    <s v="Anggun"/>
    <m/>
    <m/>
    <m/>
    <m/>
    <m/>
    <s v="E34"/>
    <m/>
    <m/>
    <m/>
    <m/>
  </r>
  <r>
    <n v="1119"/>
    <x v="90"/>
    <x v="712"/>
    <s v="WTP Building Jl.Jababeka IV Blok B No.12 Cikarang"/>
    <s v="-"/>
    <s v="Cikarang Industrial Estate, Jababeka 1 Block U 8D, U 8C &amp; U 7A, Cikarang, Harja Mekar,  Cikarang Utara,  Bekasi,  Jawa Barat,  Indonesia,  "/>
    <s v="Sewa Tahunan"/>
    <x v="2"/>
    <x v="189"/>
    <m/>
    <m/>
    <m/>
    <m/>
    <m/>
    <x v="35"/>
    <m/>
    <m/>
    <x v="93"/>
    <m/>
    <x v="167"/>
    <d v="2022-05-26T00:00:00"/>
    <x v="0"/>
    <m/>
    <d v="2024-09-06T00:00:00"/>
    <n v="-834"/>
    <x v="4"/>
    <x v="2"/>
    <s v="baru"/>
    <s v="16112/SPP/008/PUSAT/ICON+/2021"/>
    <n v="4500016354"/>
    <s v="Fajar Paramita"/>
    <s v="Anggun"/>
    <m/>
    <m/>
    <m/>
    <m/>
    <m/>
    <s v="E103"/>
    <m/>
    <m/>
    <m/>
    <m/>
  </r>
  <r>
    <n v="1120"/>
    <x v="90"/>
    <x v="201"/>
    <s v="WTP Building Jl.Jababeka IV Blok B No.12 Cikarang"/>
    <s v="-"/>
    <s v="PT. ICI Paints Indonesia Jl. Jababeka IV Blok V No.64,  Kec. Cikarang Utara,  Kabupaten Bekasi,  Jawa Barat,  Indonesia,  17530"/>
    <s v="Sewa Tahunan"/>
    <x v="2"/>
    <x v="221"/>
    <m/>
    <m/>
    <m/>
    <m/>
    <m/>
    <x v="27"/>
    <m/>
    <m/>
    <x v="114"/>
    <m/>
    <x v="167"/>
    <d v="2022-05-26T00:00:00"/>
    <x v="0"/>
    <m/>
    <d v="2024-09-06T00:00:00"/>
    <n v="-834"/>
    <x v="4"/>
    <x v="2"/>
    <s v="baru"/>
    <s v="16111/SPP/008/PUSAT/ICON+/2021"/>
    <n v="4500016355"/>
    <s v="Fajar Paramita"/>
    <s v="Anggun"/>
    <m/>
    <m/>
    <m/>
    <m/>
    <m/>
    <s v="E104"/>
    <m/>
    <m/>
    <m/>
    <m/>
  </r>
  <r>
    <n v="1121"/>
    <x v="90"/>
    <x v="405"/>
    <s v="WTP Building Jl.Jababeka IV Blok B No.12 Cikarang"/>
    <s v="-"/>
    <s v="-"/>
    <s v="Sewa Tahunan"/>
    <x v="2"/>
    <x v="767"/>
    <m/>
    <m/>
    <m/>
    <m/>
    <m/>
    <x v="51"/>
    <m/>
    <m/>
    <x v="363"/>
    <m/>
    <x v="179"/>
    <d v="2021-09-30T00:00:00"/>
    <x v="0"/>
    <m/>
    <d v="2024-09-06T00:00:00"/>
    <n v="-1072"/>
    <x v="7"/>
    <x v="4"/>
    <s v="baru"/>
    <s v="15283/SPP/008/PUSAT/ICON+/2021"/>
    <n v="4500016199"/>
    <s v="Fajar Paramita"/>
    <s v="Anggun"/>
    <m/>
    <m/>
    <m/>
    <m/>
    <m/>
    <s v="E281"/>
    <m/>
    <m/>
    <m/>
    <m/>
  </r>
  <r>
    <n v="1122"/>
    <x v="90"/>
    <x v="713"/>
    <s v="WTP Building Jl.Jababeka IV Blok B No.12 Cikarang"/>
    <s v="-"/>
    <s v="Kawasan Industri Jababeka Cikarang - Jl. Jababeka VI/N2 Cikarang, Kec. Cikarang Utara, Kabupaten Bekasi, Jawa Barat, Indonesia, 17530"/>
    <s v="Sewa Tahunan"/>
    <x v="2"/>
    <x v="768"/>
    <m/>
    <m/>
    <m/>
    <m/>
    <m/>
    <x v="30"/>
    <m/>
    <m/>
    <x v="364"/>
    <m/>
    <x v="694"/>
    <d v="2023-09-30T00:00:00"/>
    <x v="0"/>
    <m/>
    <d v="2024-09-06T00:00:00"/>
    <n v="-342"/>
    <x v="7"/>
    <x v="6"/>
    <s v="baru"/>
    <s v="234/SPP/SBU/ICON+/2023"/>
    <n v="4500020496"/>
    <s v="Fajar Paramita"/>
    <s v="anggun"/>
    <m/>
    <m/>
    <m/>
    <m/>
    <m/>
    <m/>
    <m/>
    <s v="G104"/>
    <m/>
    <m/>
  </r>
  <r>
    <n v="1123"/>
    <x v="90"/>
    <x v="714"/>
    <s v="WTP Building Jl.Jababeka IV Blok B No.12 Cikarang"/>
    <s v="-"/>
    <s v="SEBASTIAN JAYA METAL - Kawasan Industri Jababeka I JL. Jababeka X, Blok F No.5,  Cikarang,  Bekasi,  Jawa Barat,  Indonesia,  "/>
    <s v="Sewa Tahunan"/>
    <x v="2"/>
    <x v="769"/>
    <m/>
    <m/>
    <m/>
    <m/>
    <m/>
    <x v="356"/>
    <m/>
    <m/>
    <x v="365"/>
    <m/>
    <x v="760"/>
    <d v="2023-09-30T00:00:00"/>
    <x v="0"/>
    <m/>
    <d v="2024-09-06T00:00:00"/>
    <n v="-342"/>
    <x v="7"/>
    <x v="6"/>
    <s v="baru"/>
    <s v="27/SPP/SBU/ICON+/2023"/>
    <n v="4500020493"/>
    <s v="Fajar Paramita"/>
    <s v="anggun"/>
    <m/>
    <m/>
    <m/>
    <m/>
    <m/>
    <m/>
    <m/>
    <s v="G89"/>
    <m/>
    <m/>
  </r>
  <r>
    <n v="1124"/>
    <x v="90"/>
    <x v="714"/>
    <s v="WTP Building Jl.Jababeka IV Blok B No.12 Cikarang"/>
    <m/>
    <s v="SEBASTIAN JAYA METAL - Kawasan Industri Jababeka I JL. Jababeka X, Blok F No.5,  Cikarang,  Bekasi,  Jawa Barat,  Indonesia,  "/>
    <s v="Sewa Tahunan"/>
    <x v="2"/>
    <x v="769"/>
    <m/>
    <m/>
    <m/>
    <m/>
    <m/>
    <x v="368"/>
    <m/>
    <m/>
    <x v="343"/>
    <m/>
    <x v="660"/>
    <d v="2023-12-31T00:00:00"/>
    <x v="0"/>
    <m/>
    <d v="2024-09-06T00:00:00"/>
    <n v="-250"/>
    <x v="5"/>
    <x v="6"/>
    <m/>
    <m/>
    <m/>
    <m/>
    <m/>
    <m/>
    <m/>
    <m/>
    <m/>
    <m/>
    <m/>
    <m/>
    <m/>
    <m/>
    <m/>
  </r>
  <r>
    <n v="1125"/>
    <x v="90"/>
    <x v="714"/>
    <s v="WTP Building Jl.Jababeka IV Blok B No.12 Cikarang"/>
    <m/>
    <s v="SEBASTIAN JAYA METAL - Kawasan Industri Jababeka I JL. Jababeka X, Blok F No.5,  Cikarang,  Bekasi,  Jawa Barat,  Indonesia,  "/>
    <s v="Sewa Tahunan"/>
    <x v="2"/>
    <x v="769"/>
    <m/>
    <m/>
    <m/>
    <m/>
    <m/>
    <x v="103"/>
    <m/>
    <m/>
    <x v="344"/>
    <m/>
    <x v="587"/>
    <d v="2024-12-31T00:00:00"/>
    <x v="2"/>
    <m/>
    <d v="2024-09-06T00:00:00"/>
    <n v="116"/>
    <x v="5"/>
    <x v="1"/>
    <m/>
    <m/>
    <m/>
    <m/>
    <m/>
    <m/>
    <m/>
    <m/>
    <m/>
    <m/>
    <m/>
    <m/>
    <m/>
    <m/>
    <m/>
  </r>
  <r>
    <n v="1126"/>
    <x v="90"/>
    <x v="715"/>
    <s v="WTP Building Jl.Jababeka IV Blok B No.12 Cikarang"/>
    <s v="-"/>
    <s v="FANUC INDONESIA -Jl. Science Boulevard A1 C1,Kawasan Jababeka,  Cikarang,  Bekasi,  Jawa Barat,  Indonesia"/>
    <s v="Sewa Tahunan"/>
    <x v="2"/>
    <x v="770"/>
    <m/>
    <m/>
    <m/>
    <m/>
    <m/>
    <x v="103"/>
    <m/>
    <m/>
    <x v="366"/>
    <m/>
    <x v="713"/>
    <d v="2023-09-30T00:00:00"/>
    <x v="0"/>
    <m/>
    <d v="2024-09-06T00:00:00"/>
    <n v="-342"/>
    <x v="7"/>
    <x v="6"/>
    <s v="baru"/>
    <s v="89/SPP/SBU/ICON+/2023"/>
    <n v="4500020494"/>
    <s v="Fajar Paramita"/>
    <s v="anggun"/>
    <m/>
    <m/>
    <m/>
    <m/>
    <m/>
    <m/>
    <m/>
    <s v="G88"/>
    <m/>
    <m/>
  </r>
  <r>
    <n v="1127"/>
    <x v="90"/>
    <x v="715"/>
    <s v="WTP Building Jl.Jababeka IV Blok B No.12 Cikarang"/>
    <m/>
    <s v="FANUC INDONESIA -Jl. Science Boulevard A1 C1,Kawasan Jababeka,  Cikarang,  Bekasi,  Jawa Barat,  Indonesia"/>
    <s v="Sewa Tahunan"/>
    <x v="2"/>
    <x v="770"/>
    <m/>
    <m/>
    <m/>
    <m/>
    <m/>
    <x v="368"/>
    <m/>
    <m/>
    <x v="343"/>
    <m/>
    <x v="660"/>
    <d v="2023-12-31T00:00:00"/>
    <x v="0"/>
    <m/>
    <d v="2024-09-06T00:00:00"/>
    <n v="-250"/>
    <x v="5"/>
    <x v="6"/>
    <m/>
    <m/>
    <m/>
    <m/>
    <m/>
    <m/>
    <m/>
    <m/>
    <m/>
    <m/>
    <m/>
    <m/>
    <m/>
    <m/>
    <m/>
  </r>
  <r>
    <n v="1128"/>
    <x v="90"/>
    <x v="715"/>
    <s v="WTP Building Jl.Jababeka IV Blok B No.12 Cikarang"/>
    <m/>
    <s v="FANUC INDONESIA -Jl. Science Boulevard A1 C1,Kawasan Jababeka,  Cikarang,  Bekasi,  Jawa Barat,  Indonesia"/>
    <s v="Sewa Tahunan"/>
    <x v="2"/>
    <x v="770"/>
    <m/>
    <m/>
    <m/>
    <m/>
    <m/>
    <x v="103"/>
    <m/>
    <m/>
    <x v="344"/>
    <m/>
    <x v="587"/>
    <d v="2024-12-31T00:00:00"/>
    <x v="2"/>
    <m/>
    <d v="2024-09-06T00:00:00"/>
    <n v="116"/>
    <x v="5"/>
    <x v="1"/>
    <m/>
    <m/>
    <m/>
    <m/>
    <m/>
    <m/>
    <m/>
    <m/>
    <m/>
    <m/>
    <m/>
    <m/>
    <m/>
    <m/>
    <m/>
  </r>
  <r>
    <n v="1129"/>
    <x v="90"/>
    <x v="136"/>
    <s v="WTP Building Jl.Jababeka IV Blok B No.12 Cikarang"/>
    <m/>
    <s v="Cabang Pondok Indah, ANZ Pondok Indah (Samping Houbii adventure park), Jl. Metro Pondok Indah Kav. III_x000a_B, Pondok Indah, Jakarta Selatan, DKI Jakarta, Indonesia, 12310"/>
    <s v="Sewa Tahunan"/>
    <x v="2"/>
    <x v="771"/>
    <m/>
    <m/>
    <m/>
    <m/>
    <m/>
    <x v="16"/>
    <m/>
    <m/>
    <x v="367"/>
    <m/>
    <x v="761"/>
    <d v="2023-09-30T00:00:00"/>
    <x v="0"/>
    <m/>
    <d v="2024-09-06T00:00:00"/>
    <n v="-342"/>
    <x v="7"/>
    <x v="6"/>
    <s v="baru"/>
    <s v="340/SPP/SBU/ICON+/2023"/>
    <n v="4500020495"/>
    <s v="Fajar Paramita"/>
    <s v="anggun"/>
    <m/>
    <m/>
    <m/>
    <m/>
    <m/>
    <m/>
    <m/>
    <s v="G103"/>
    <m/>
    <m/>
  </r>
  <r>
    <n v="1130"/>
    <x v="90"/>
    <x v="136"/>
    <s v="WTP Building Jl.Jababeka IV Blok B No.12 Cikarang"/>
    <m/>
    <s v="Cabang Pondok Indah, ANZ Pondok Indah (Samping Houbii adventure park), Jl. Metro Pondok Indah Kav. III_x000a_B, Pondok Indah, Jakarta Selatan, DKI Jakarta, Indonesia, 12311"/>
    <s v="Sewa Tahunan"/>
    <x v="2"/>
    <x v="771"/>
    <m/>
    <m/>
    <m/>
    <m/>
    <m/>
    <x v="3"/>
    <m/>
    <m/>
    <x v="343"/>
    <m/>
    <x v="660"/>
    <d v="2023-12-31T00:00:00"/>
    <x v="0"/>
    <m/>
    <d v="2024-09-06T00:00:00"/>
    <n v="-250"/>
    <x v="5"/>
    <x v="6"/>
    <m/>
    <m/>
    <m/>
    <m/>
    <m/>
    <m/>
    <m/>
    <m/>
    <m/>
    <m/>
    <m/>
    <m/>
    <m/>
    <m/>
    <m/>
  </r>
  <r>
    <n v="1131"/>
    <x v="90"/>
    <x v="136"/>
    <s v="WTP Building Jl.Jababeka IV Blok B No.12 Cikarang"/>
    <m/>
    <s v="Cabang Pondok Indah, ANZ Pondok Indah (Samping Houbii adventure park), Jl. Metro Pondok Indah Kav. III_x000a_B, Pondok Indah, Jakarta Selatan, DKI Jakarta, Indonesia, 12312"/>
    <s v="Sewa Tahunan"/>
    <x v="2"/>
    <x v="771"/>
    <m/>
    <m/>
    <m/>
    <m/>
    <m/>
    <x v="16"/>
    <m/>
    <m/>
    <x v="344"/>
    <m/>
    <x v="587"/>
    <d v="2024-12-31T00:00:00"/>
    <x v="2"/>
    <m/>
    <d v="2024-09-06T00:00:00"/>
    <n v="116"/>
    <x v="5"/>
    <x v="1"/>
    <m/>
    <m/>
    <m/>
    <m/>
    <m/>
    <m/>
    <m/>
    <m/>
    <m/>
    <m/>
    <m/>
    <m/>
    <m/>
    <m/>
    <m/>
  </r>
  <r>
    <n v="1132"/>
    <x v="90"/>
    <x v="716"/>
    <s v="WTP Building Jl.Jababeka IV Blok B No.12 Cikarang"/>
    <m/>
    <s v="JABABEKA IV E BLOK V NOMOR 78 Q"/>
    <s v="Sewa Tahunan"/>
    <x v="2"/>
    <x v="772"/>
    <m/>
    <m/>
    <m/>
    <m/>
    <m/>
    <x v="352"/>
    <m/>
    <m/>
    <x v="368"/>
    <m/>
    <x v="762"/>
    <d v="2023-09-30T00:00:00"/>
    <x v="0"/>
    <m/>
    <d v="2024-09-06T00:00:00"/>
    <n v="-342"/>
    <x v="7"/>
    <x v="6"/>
    <s v="baru"/>
    <s v="798/SPP/SBU/ICON+/2023"/>
    <n v="4500021038"/>
    <s v="Fajar Paramita"/>
    <s v="anggun"/>
    <m/>
    <m/>
    <m/>
    <m/>
    <m/>
    <m/>
    <m/>
    <s v="G123"/>
    <m/>
    <m/>
  </r>
  <r>
    <n v="1133"/>
    <x v="90"/>
    <x v="716"/>
    <s v="WTP Building Jl.Jababeka IV Blok B No.12 Cikarang"/>
    <m/>
    <s v="JABABEKA IV E BLOK V NOMOR 78 Q"/>
    <s v="Sewa Tahunan"/>
    <x v="2"/>
    <x v="772"/>
    <m/>
    <m/>
    <m/>
    <m/>
    <m/>
    <x v="369"/>
    <m/>
    <m/>
    <x v="369"/>
    <m/>
    <x v="660"/>
    <d v="2023-12-31T00:00:00"/>
    <x v="0"/>
    <m/>
    <d v="2024-09-06T00:00:00"/>
    <n v="-250"/>
    <x v="5"/>
    <x v="6"/>
    <m/>
    <m/>
    <m/>
    <m/>
    <m/>
    <m/>
    <m/>
    <m/>
    <m/>
    <m/>
    <m/>
    <m/>
    <m/>
    <m/>
    <m/>
  </r>
  <r>
    <n v="1134"/>
    <x v="90"/>
    <x v="716"/>
    <s v="WTP Building Jl.Jababeka IV Blok B No.12 Cikarang"/>
    <m/>
    <s v="JABABEKA IV E BLOK V NOMOR 78 Q"/>
    <s v="Sewa Tahunan"/>
    <x v="2"/>
    <x v="772"/>
    <m/>
    <m/>
    <m/>
    <m/>
    <m/>
    <x v="370"/>
    <m/>
    <m/>
    <x v="370"/>
    <m/>
    <x v="587"/>
    <d v="2024-12-31T00:00:00"/>
    <x v="2"/>
    <m/>
    <d v="2024-09-06T00:00:00"/>
    <n v="116"/>
    <x v="5"/>
    <x v="1"/>
    <m/>
    <m/>
    <m/>
    <m/>
    <m/>
    <m/>
    <m/>
    <m/>
    <m/>
    <m/>
    <m/>
    <m/>
    <m/>
    <m/>
    <m/>
  </r>
  <r>
    <n v="1135"/>
    <x v="90"/>
    <x v="717"/>
    <s v="WTP Building Jl.Jababeka IV Blok B No.12 Cikarang"/>
    <m/>
    <s v="PT. RUDOLF CHEMICALS INDONESIA JABABEKA 1, KAV.K2FGH, WANGUNHARJA, CIKARANG UTARA, BEKASI REGENCY, WEST JAVA 17530"/>
    <s v="Sewa Tahunan"/>
    <x v="2"/>
    <x v="773"/>
    <m/>
    <m/>
    <m/>
    <m/>
    <m/>
    <x v="36"/>
    <m/>
    <m/>
    <x v="371"/>
    <m/>
    <x v="763"/>
    <d v="2023-09-30T00:00:00"/>
    <x v="0"/>
    <m/>
    <d v="2024-09-06T00:00:00"/>
    <n v="-342"/>
    <x v="7"/>
    <x v="6"/>
    <s v="baru"/>
    <s v="969/SPP/SBU/ICON+/2023"/>
    <n v="4500021177"/>
    <s v="Fajar Paramita"/>
    <s v="anggun"/>
    <m/>
    <m/>
    <m/>
    <m/>
    <m/>
    <m/>
    <m/>
    <s v="G173"/>
    <m/>
    <m/>
  </r>
  <r>
    <n v="1136"/>
    <x v="90"/>
    <x v="717"/>
    <s v="WTP Building Jl.Jababeka IV Blok B No.12 Cikarang"/>
    <m/>
    <s v="PT. RUDOLF CHEMICALS INDONESIA JABABEKA 1, KAV.K2FGH, WANGUNHARJA, CIKARANG UTARA, BEKASI REGENCY, WEST JAVA 17530"/>
    <s v="Sewa Tahunan"/>
    <x v="2"/>
    <x v="773"/>
    <m/>
    <m/>
    <m/>
    <m/>
    <m/>
    <x v="147"/>
    <m/>
    <m/>
    <x v="372"/>
    <m/>
    <x v="660"/>
    <d v="2023-12-31T00:00:00"/>
    <x v="0"/>
    <m/>
    <d v="2024-09-06T00:00:00"/>
    <n v="-250"/>
    <x v="5"/>
    <x v="6"/>
    <m/>
    <m/>
    <m/>
    <m/>
    <m/>
    <m/>
    <m/>
    <m/>
    <m/>
    <m/>
    <m/>
    <m/>
    <m/>
    <m/>
    <m/>
  </r>
  <r>
    <n v="1137"/>
    <x v="90"/>
    <x v="717"/>
    <s v="WTP Building Jl.Jababeka IV Blok B No.12 Cikarang"/>
    <m/>
    <s v="PT. RUDOLF CHEMICALS INDONESIA JABABEKA 1, KAV.K2FGH, WANGUNHARJA, CIKARANG UTARA, BEKASI REGENCY, WEST JAVA 17530"/>
    <s v="Sewa Tahunan"/>
    <x v="2"/>
    <x v="773"/>
    <m/>
    <m/>
    <m/>
    <m/>
    <m/>
    <x v="36"/>
    <m/>
    <m/>
    <x v="373"/>
    <m/>
    <x v="587"/>
    <d v="2024-12-31T00:00:00"/>
    <x v="2"/>
    <m/>
    <d v="2024-09-06T00:00:00"/>
    <n v="116"/>
    <x v="5"/>
    <x v="1"/>
    <m/>
    <m/>
    <m/>
    <m/>
    <m/>
    <m/>
    <m/>
    <m/>
    <m/>
    <m/>
    <m/>
    <m/>
    <m/>
    <m/>
    <m/>
  </r>
  <r>
    <n v="1138"/>
    <x v="90"/>
    <x v="718"/>
    <s v="WTP Building Jl.Jababeka IV Blok B No.12 Cikarang"/>
    <s v="-"/>
    <s v="Jababeka Phase 5, Jl.Science Tim 1 No.7, Sertajaya, Cikarang Timur, Bekasi Regency, West, Java 1753"/>
    <s v="Sewa Tahunan"/>
    <x v="2"/>
    <x v="774"/>
    <m/>
    <m/>
    <m/>
    <m/>
    <m/>
    <x v="7"/>
    <m/>
    <m/>
    <x v="374"/>
    <m/>
    <x v="663"/>
    <d v="2024-09-30T00:00:00"/>
    <x v="2"/>
    <m/>
    <d v="2024-09-06T00:00:00"/>
    <n v="24"/>
    <x v="7"/>
    <x v="1"/>
    <s v="baru"/>
    <s v="1550/SPP/SBU/ICON+/2023"/>
    <n v="4500021564"/>
    <s v="Fajar Paramita"/>
    <s v="anggun"/>
    <m/>
    <m/>
    <m/>
    <m/>
    <m/>
    <m/>
    <m/>
    <s v="G303"/>
    <m/>
    <m/>
  </r>
  <r>
    <n v="1139"/>
    <x v="384"/>
    <x v="719"/>
    <s v="Sudirman Plaza Jl. Jend. Sudirman Kav. 76-78 Kel. Setia Budi Kec. Setia Budi Jakarta Selatan 12910_x000a_ _x000a_ Jalan Rs. Fatmawati No. 50 Pondok Labu Jakarta Selatan"/>
    <s v="-"/>
    <s v="Gedung Sudirman Plaza/Indofood Tower/Sudirman Square"/>
    <s v="Sewa Tahunan"/>
    <x v="1"/>
    <x v="775"/>
    <m/>
    <m/>
    <m/>
    <m/>
    <m/>
    <x v="371"/>
    <m/>
    <m/>
    <x v="375"/>
    <m/>
    <x v="623"/>
    <d v="2020-02-28T00:00:00"/>
    <x v="0"/>
    <m/>
    <d v="2024-09-06T00:00:00"/>
    <n v="-1652"/>
    <x v="9"/>
    <x v="5"/>
    <s v="4500009267 |06604/SPP/008/PUSAT/ICON+/2017 | 4500010304 | 08298/SPP/008/PUSAT/ICON+/2018 | 4500011336 | Note : PO belum di Print"/>
    <s v="10163/SPP/008/PUSAT/ICON+/2019"/>
    <n v="4500012446"/>
    <s v="Fajar Paramita"/>
    <s v="widya"/>
    <s v="021-57936855"/>
    <m/>
    <m/>
    <m/>
    <m/>
    <m/>
    <m/>
    <m/>
    <m/>
    <s v="1. Sewa Shaft Untuk Jalur FO dan atau Penempatan Perangkat Pendukung Lainya USD 800_x000a_ 2.Biaya Ijin Penarikan (One Time Charged) Rp2.600.000/tarikan/Instalasi"/>
  </r>
  <r>
    <n v="1140"/>
    <x v="385"/>
    <x v="720"/>
    <s v="WTC Mangga Dua Lantai 11 _x000a_ Jl. Mangga Dua Raya Kav. 8"/>
    <s v="-"/>
    <s v="WTC Mangga Dua, Gedung WTC Mangga Dua Jl. Mangga Dua Raya No.8 Blok CL001 Lantai UG Jakarta (Pelanggan PT Iforte Global Internet -BCA So No. ICON-00/ACT/1611/0189)"/>
    <s v="Sewa Tahunan"/>
    <x v="1"/>
    <x v="776"/>
    <m/>
    <m/>
    <m/>
    <m/>
    <m/>
    <x v="1"/>
    <m/>
    <m/>
    <x v="16"/>
    <m/>
    <x v="587"/>
    <d v="2024-12-31T00:00:00"/>
    <x v="2"/>
    <m/>
    <d v="2024-09-06T00:00:00"/>
    <n v="116"/>
    <x v="5"/>
    <x v="1"/>
    <s v="013117/MI/004/PUSAT/ICON+/2017 | 4500010293 | 10601/SPP/008/PUSAT/ICON+/2019 | 4500014605 | 14989/SPP/008/PUSAT/ICON+/2020_x000a_ 06631/SPP/008/ | 20930/SPP/008/PUSAT/ICON+/2022 | 4500019907_x000a_ PUSAT/ICON+/2017 | 4500015614 | 17191/SPP/008/PUSAT/ICON+/2021 | 4500017465| 1951 | 4500021741"/>
    <n v="1951"/>
    <n v="4500021741"/>
    <s v="Fajar Paramita"/>
    <s v="Windari Handayani"/>
    <s v="021-30013001"/>
    <m/>
    <m/>
    <m/>
    <s v="D147"/>
    <s v="E214"/>
    <s v="F8"/>
    <s v="G30 | G348"/>
    <s v="F348"/>
    <s v="1. Jaminan Kerja Rp5.000.000,-_x000a_ 2. Sewa penempatan Kabel Tray dan Shaft Rp9.000.000,-/tahun_x000a_ 3. Biaya Penarikan Kabel Rp25.000,-/meter untuk panjang 400 m total sebesar Rp10.000.000,-"/>
  </r>
  <r>
    <n v="1141"/>
    <x v="386"/>
    <x v="622"/>
    <s v="The Landmark Center Lt. 33 Jl. Jend. Sudirman No. 1 Jakarta 12910"/>
    <s v="Jl. Letjen. TB. Simatupang Kav.10 Jakarta Selatan 12430,  -,  -,  -,  Indonesia,  -"/>
    <s v="Gedung Landmark Jl. Jend. Sudirman No. 1 Jakarta 12910"/>
    <s v="Sewa Tahunan"/>
    <x v="1"/>
    <x v="777"/>
    <m/>
    <m/>
    <m/>
    <m/>
    <m/>
    <x v="6"/>
    <m/>
    <m/>
    <x v="376"/>
    <m/>
    <x v="63"/>
    <d v="2021-01-15T00:00:00"/>
    <x v="1"/>
    <m/>
    <d v="2024-09-06T00:00:00"/>
    <n v="-1330"/>
    <x v="11"/>
    <x v="4"/>
    <s v="5781116/SPR/ICON+/2016 07528/SPP/008/PUSAT/ICON+/2017 4500010860 | 09446/SPP/008/PUSAT/ICON+/2018 | 4500010293 | 11812/SPP/008/PUSAT/ICON+/2019 | 4500013400"/>
    <s v="14685/SPP/008/PUSAT/ICON+/2020"/>
    <n v="4500015969"/>
    <s v="Fajar Paramita"/>
    <s v="Nini Martini"/>
    <s v="021-5700363"/>
    <n v="124"/>
    <s v="B229"/>
    <s v="C217"/>
    <m/>
    <s v="E82"/>
    <m/>
    <m/>
    <m/>
    <s v="Jaminan Sewa senilai 3 bulan dari masa sewa"/>
  </r>
  <r>
    <n v="1142"/>
    <x v="387"/>
    <x v="241"/>
    <s v="Jl. Pulokambing No. 1 Lahan Industri Pulogadung Jakarta Timur 13290"/>
    <s v="[UID JAYA - UP2D] [UP3 CEMPAKA PUTIH],  -,  Jakarta Pusat,  DKI Jakarta,  Indonesia,  -"/>
    <s v="[UID JAYA - UP2D] [UP3 CEMPAKA PUTIH],  -,  Jakarta Pusat,  DKI Jakarta,  Indonesia,  -"/>
    <s v="Sewa Tahunan"/>
    <x v="1"/>
    <x v="571"/>
    <m/>
    <m/>
    <m/>
    <m/>
    <m/>
    <x v="291"/>
    <m/>
    <m/>
    <x v="377"/>
    <m/>
    <x v="764"/>
    <d v="2024-10-15T00:00:00"/>
    <x v="2"/>
    <m/>
    <d v="2024-09-06T00:00:00"/>
    <n v="39"/>
    <x v="6"/>
    <x v="1"/>
    <s v="20167/SPP/008/PUSAT/ICON+/2022 | 4500019283"/>
    <s v="2081/SPP/SBU/ICON+/2023"/>
    <n v="4500021726"/>
    <s v="Fajar Paramita"/>
    <m/>
    <m/>
    <m/>
    <m/>
    <m/>
    <m/>
    <m/>
    <s v="F391"/>
    <s v="G337"/>
    <m/>
    <s v="-"/>
  </r>
  <r>
    <n v="1143"/>
    <x v="387"/>
    <x v="721"/>
    <s v="Jl. Pulokambing No. 1 Lahan Industri Pulogadung Jakarta Timur 13290"/>
    <s v="Node Lintasarta Ruang Lintasarta, Jl. TB. Simatupang Kav. 10, Jakarta,  -,  Jakarta Selatan,  DKI Jakarta,  Indonesia,  -"/>
    <s v="BANK CIMB NIAGA TBK, PULOGADUNG POLIKLINIK PT. JIEP Lahan INDUSTRI PULOGADUNG, Jl. Rawa Terate II, Jakarta Timur 13930 (2010001692),  -,  -,  -,  Indonesia,  -"/>
    <s v="Sewa Tahunan"/>
    <x v="1"/>
    <x v="573"/>
    <m/>
    <m/>
    <m/>
    <m/>
    <m/>
    <x v="11"/>
    <m/>
    <m/>
    <x v="378"/>
    <m/>
    <x v="765"/>
    <d v="2024-08-29T00:00:00"/>
    <x v="2"/>
    <m/>
    <d v="2024-09-06T00:00:00"/>
    <n v="-8"/>
    <x v="12"/>
    <x v="1"/>
    <n v="20159"/>
    <n v="2245"/>
    <n v="4500022325"/>
    <s v="Fajar Paramita"/>
    <m/>
    <m/>
    <m/>
    <m/>
    <m/>
    <m/>
    <m/>
    <s v="F388"/>
    <s v="G116"/>
    <m/>
    <s v="-"/>
  </r>
  <r>
    <n v="1144"/>
    <x v="387"/>
    <x v="722"/>
    <s v="Jl. Pulokambing No. 1 Lahan Industri Pulogadung Jakarta Timur 13290"/>
    <m/>
    <s v="DIVERSITY TIRTA INVESTAMA 63682  KANTOR PUSAT Lahan .JL PULO LENTUT NO.3 KIP JAKARTA TIMUR 13920,  -,  -,  -,  Indonesia,  -"/>
    <s v="Sewa Tahunan"/>
    <x v="1"/>
    <x v="574"/>
    <m/>
    <m/>
    <m/>
    <m/>
    <m/>
    <x v="293"/>
    <m/>
    <m/>
    <x v="379"/>
    <m/>
    <x v="557"/>
    <d v="2023-09-26T00:00:00"/>
    <x v="0"/>
    <m/>
    <d v="2024-09-06T00:00:00"/>
    <n v="-346"/>
    <x v="7"/>
    <x v="6"/>
    <s v="baru"/>
    <s v="20161/SPP/008/PUSAT/ICON+/2022"/>
    <n v="4500019271"/>
    <s v="Fajar Paramita"/>
    <m/>
    <m/>
    <m/>
    <m/>
    <m/>
    <m/>
    <m/>
    <s v="F386"/>
    <m/>
    <m/>
    <s v="-"/>
  </r>
  <r>
    <n v="1145"/>
    <x v="387"/>
    <x v="654"/>
    <s v="Jl. Pulokambing No. 1 Lahan Industri Pulogadung Jakarta Timur 13290"/>
    <s v="-"/>
    <s v="Jakarta Lahan Industri Pulogadung, Jl. Pulobuaran Raya No.2 Lahan Industri Pulogadung, Jakarta, 13930,- ,- ,- ,Indonesia ,-"/>
    <s v="Sewa Tahunan"/>
    <x v="1"/>
    <x v="710"/>
    <m/>
    <m/>
    <m/>
    <m/>
    <m/>
    <x v="339"/>
    <m/>
    <m/>
    <x v="380"/>
    <m/>
    <x v="766"/>
    <d v="2025-03-12T00:00:00"/>
    <x v="2"/>
    <m/>
    <d v="2024-09-06T00:00:00"/>
    <n v="187"/>
    <x v="8"/>
    <x v="3"/>
    <s v="20808 | 4500019503"/>
    <n v="2467"/>
    <n v="4500022161"/>
    <s v="Fajar Paramita"/>
    <m/>
    <m/>
    <m/>
    <m/>
    <m/>
    <m/>
    <m/>
    <s v="F394"/>
    <m/>
    <s v="H13"/>
    <s v="-"/>
  </r>
  <r>
    <n v="1146"/>
    <x v="387"/>
    <x v="723"/>
    <s v="Jalan Pulo Kambing No. 01, KIP Jakarta Timur "/>
    <s v="Cyber 1, Jl. Kuningan Barat Raya No.8, RT.1/RW.3, Kuningan Barat,  Kec. Mampang Prapatan,  Jakarta Selatan,  DKI Jakarta,  Indonesia,  12710"/>
    <s v="Hexindo Adi Perkasa, Lahan Industri Pulo Gadung Jl. Pulo Kambing 2/33 Kav 1-2,  -,  Jakarta Timur,  DKI Jakarta,  Indonesia,  13930"/>
    <s v="Sewa Tahunan"/>
    <x v="1"/>
    <x v="576"/>
    <m/>
    <m/>
    <m/>
    <m/>
    <m/>
    <x v="30"/>
    <m/>
    <m/>
    <x v="381"/>
    <m/>
    <x v="767"/>
    <d v="2024-08-24T00:00:00"/>
    <x v="2"/>
    <m/>
    <d v="2024-09-06T00:00:00"/>
    <n v="-13"/>
    <x v="12"/>
    <x v="1"/>
    <s v="20151 | 4500019267"/>
    <n v="2345"/>
    <n v="4500022326"/>
    <s v="Fajar Paramita"/>
    <m/>
    <m/>
    <m/>
    <m/>
    <m/>
    <m/>
    <m/>
    <s v="F382"/>
    <s v="G118"/>
    <m/>
    <s v="-"/>
  </r>
  <r>
    <n v="1147"/>
    <x v="387"/>
    <x v="724"/>
    <s v="Jl. Pulokambing No. 1 Lahan Industri Pulogadung Jakarta Timur 13291"/>
    <s v="-"/>
    <s v="Jatinegara,  CAKUNG,  Jakarta Timur,  DKI Jakarta,"/>
    <s v="Sewa Tahunan"/>
    <x v="1"/>
    <x v="503"/>
    <m/>
    <m/>
    <m/>
    <m/>
    <m/>
    <x v="256"/>
    <m/>
    <m/>
    <x v="255"/>
    <m/>
    <x v="768"/>
    <d v="2024-05-22T00:00:00"/>
    <x v="0"/>
    <m/>
    <d v="2024-09-06T00:00:00"/>
    <n v="-107"/>
    <x v="4"/>
    <x v="1"/>
    <s v="18632/SPP/008/PUSAT/ICON+/2022 | 4500018065"/>
    <s v="654/SPP/SBU/ICON+/2023"/>
    <n v="4500021241"/>
    <s v="Fajar Paramita"/>
    <m/>
    <m/>
    <m/>
    <m/>
    <m/>
    <m/>
    <m/>
    <s v="F151"/>
    <s v="G418"/>
    <m/>
    <s v="-"/>
  </r>
  <r>
    <n v="1148"/>
    <x v="387"/>
    <x v="724"/>
    <s v="Jl. Pulokambing No. 1 Lahan Industri Pulogadung Jakarta Timur 13291"/>
    <m/>
    <s v="Jatinegara,  CAKUNG,  Jakarta Timur,  DKI Jakarta,"/>
    <s v="Sewa Tahunan"/>
    <x v="1"/>
    <x v="503"/>
    <m/>
    <m/>
    <m/>
    <m/>
    <m/>
    <x v="256"/>
    <m/>
    <m/>
    <x v="255"/>
    <m/>
    <x v="769"/>
    <d v="2025-05-22T00:00:00"/>
    <x v="2"/>
    <m/>
    <d v="2024-09-06T00:00:00"/>
    <n v="258"/>
    <x v="4"/>
    <x v="3"/>
    <m/>
    <s v="3895/SPP/SBU/PLNICONPLUS/2024"/>
    <n v="4500023102"/>
    <s v="Fajar Paramita"/>
    <m/>
    <m/>
    <m/>
    <m/>
    <m/>
    <m/>
    <m/>
    <m/>
    <m/>
    <s v="H263"/>
    <m/>
  </r>
  <r>
    <n v="1149"/>
    <x v="387"/>
    <x v="725"/>
    <s v="Jl. Pulokambing No. 1 Lahan Industri Pulogadung Jakarta Timur 13290"/>
    <s v="-"/>
    <s v="Jl Rawa Gelam 1 no 26,  Pulogadung,  Jakarta Timur,  DKI Jakarta,  Indonesia,"/>
    <s v="Sewa Tahunan"/>
    <x v="1"/>
    <x v="414"/>
    <m/>
    <m/>
    <m/>
    <m/>
    <m/>
    <x v="30"/>
    <m/>
    <m/>
    <x v="215"/>
    <m/>
    <x v="770"/>
    <d v="2023-03-01T00:00:00"/>
    <x v="1"/>
    <m/>
    <d v="2024-09-06T00:00:00"/>
    <n v="-555"/>
    <x v="8"/>
    <x v="6"/>
    <s v="baru"/>
    <s v="20116/SPP/008/PUSAT/ICON+/2022"/>
    <n v="4500019261"/>
    <s v="Fajar Paramita"/>
    <m/>
    <m/>
    <m/>
    <m/>
    <m/>
    <m/>
    <m/>
    <s v="F377"/>
    <m/>
    <m/>
    <s v="-"/>
  </r>
  <r>
    <n v="1150"/>
    <x v="387"/>
    <x v="363"/>
    <s v="Jl. Pulokambing No. 1 Lahan Industri Pulogadung Jakarta Timur 13290"/>
    <s v="-"/>
    <s v="Jl. Pulo Kambing Raya No. 9 Lahan Industri Pulo Gadung Jakarta Timur,  -,  -,  -,  Indonesia,  -"/>
    <s v="Sewa Tahunan"/>
    <x v="1"/>
    <x v="388"/>
    <m/>
    <m/>
    <m/>
    <m/>
    <m/>
    <x v="208"/>
    <m/>
    <m/>
    <x v="201"/>
    <m/>
    <x v="771"/>
    <d v="2023-09-04T00:00:00"/>
    <x v="1"/>
    <m/>
    <d v="2024-09-06T00:00:00"/>
    <n v="-368"/>
    <x v="7"/>
    <x v="6"/>
    <s v="baru"/>
    <s v="20118/SPP/008/PUSAT/ICON+/2022"/>
    <n v="4500019264"/>
    <s v="Fajar Paramita"/>
    <m/>
    <m/>
    <m/>
    <m/>
    <m/>
    <m/>
    <m/>
    <s v="F379"/>
    <m/>
    <m/>
    <s v="-"/>
  </r>
  <r>
    <n v="1151"/>
    <x v="387"/>
    <x v="520"/>
    <s v="Jl. Pulokambing No. 1 Lahan Industri Pulogadung Jakarta Timur 13290"/>
    <s v="-"/>
    <s v="Jl. Pulo lentut No. 09 Pulogadung Lahan Industri Pulo gadung Jakarta Timur"/>
    <s v="Sewa Tahunan"/>
    <x v="1"/>
    <x v="570"/>
    <m/>
    <m/>
    <m/>
    <m/>
    <m/>
    <x v="156"/>
    <m/>
    <m/>
    <x v="382"/>
    <m/>
    <x v="555"/>
    <d v="2023-10-18T00:00:00"/>
    <x v="1"/>
    <m/>
    <d v="2024-09-06T00:00:00"/>
    <n v="-324"/>
    <x v="6"/>
    <x v="6"/>
    <s v="baru"/>
    <s v="20209/SPP/008/PUSAT/ICON+/2022"/>
    <n v="4500019280"/>
    <s v="Fajar Paramita"/>
    <m/>
    <m/>
    <m/>
    <m/>
    <m/>
    <m/>
    <m/>
    <s v="F393"/>
    <m/>
    <m/>
    <s v="-"/>
  </r>
  <r>
    <n v="1152"/>
    <x v="387"/>
    <x v="726"/>
    <s v="Jl. Pulokambing No. 1 Lahan Industri Pulogadung Jakarta Timur 13290"/>
    <s v="-"/>
    <s v="Jl. Rawa Gelam IV KIP Jatinegara, Cakung, Jakarta Timur"/>
    <s v="Sewa Tahunan"/>
    <x v="1"/>
    <x v="389"/>
    <m/>
    <m/>
    <m/>
    <m/>
    <m/>
    <x v="33"/>
    <m/>
    <m/>
    <x v="202"/>
    <m/>
    <x v="772"/>
    <d v="2025-02-18T00:00:00"/>
    <x v="2"/>
    <m/>
    <d v="2024-09-06T00:00:00"/>
    <n v="165"/>
    <x v="9"/>
    <x v="3"/>
    <s v="20114/SPP/008/PUSAT/ICON+/2022 | 4500019262 | 21812 | 4500021239"/>
    <n v="2469"/>
    <n v="4500022251"/>
    <s v="Fajar Paramita"/>
    <m/>
    <m/>
    <m/>
    <m/>
    <m/>
    <m/>
    <m/>
    <s v="F378"/>
    <s v="G416"/>
    <s v="H89"/>
    <s v="-"/>
  </r>
  <r>
    <n v="1153"/>
    <x v="387"/>
    <x v="727"/>
    <s v="Jl. Pulokambing No. 1 Lahan Industri Pulogadung Jakarta Timur 13291"/>
    <s v="-"/>
    <s v="Jl. Rawagirang no 2 Lahan industri pulogadung zip 13930, CAKUNG, Jakarta Timur, DKI Jakarta, Indonesia, 13930"/>
    <s v="Sewa Tahunan"/>
    <x v="1"/>
    <x v="519"/>
    <m/>
    <m/>
    <m/>
    <m/>
    <m/>
    <x v="55"/>
    <m/>
    <m/>
    <x v="259"/>
    <m/>
    <x v="773"/>
    <d v="2024-02-22T00:00:00"/>
    <x v="0"/>
    <m/>
    <d v="2024-09-06T00:00:00"/>
    <n v="-197"/>
    <x v="9"/>
    <x v="1"/>
    <s v="18026/SPP/008/PUSAT/ICON+/2022 | 4500017659"/>
    <s v="21340/SPP/008/PUSAT/ICON+/2023"/>
    <n v="4500020162"/>
    <s v="Fajar Paramita"/>
    <s v="Ade"/>
    <s v="021-4600306"/>
    <m/>
    <m/>
    <m/>
    <m/>
    <m/>
    <s v="F49"/>
    <s v="G102"/>
    <m/>
    <s v="-"/>
  </r>
  <r>
    <n v="1154"/>
    <x v="387"/>
    <x v="727"/>
    <s v="Jl. Pulokambing No. 1 Lahan Industri Pulogadung Jakarta Timur 13291"/>
    <m/>
    <s v="Jl. Rawagirang no 2 Lahan industri pulogadung zip 13930, CAKUNG, Jakarta Timur, DKI Jakarta, Indonesia, 13930"/>
    <s v="Sewa Tahunan"/>
    <x v="1"/>
    <x v="519"/>
    <m/>
    <m/>
    <m/>
    <m/>
    <m/>
    <x v="4"/>
    <m/>
    <m/>
    <x v="259"/>
    <m/>
    <x v="774"/>
    <d v="2025-02-22T00:00:00"/>
    <x v="2"/>
    <m/>
    <d v="2024-09-06T00:00:00"/>
    <n v="169"/>
    <x v="9"/>
    <x v="3"/>
    <m/>
    <s v="3862/SPP/SBU/PLNICONPLUS/2024"/>
    <n v="4500023103"/>
    <s v="Livia Indraswati"/>
    <m/>
    <m/>
    <m/>
    <m/>
    <m/>
    <m/>
    <m/>
    <m/>
    <m/>
    <s v="H262"/>
    <m/>
  </r>
  <r>
    <n v="1155"/>
    <x v="387"/>
    <x v="526"/>
    <s v="Jl. Pulokambing No. 1 Lahan Industri Pulogadung Jakarta Timur 13290"/>
    <s v="-"/>
    <s v="Lahan Industri Pulo Gadung Blok N6-11, Jalan Rawa Gelam 5 No. 1, RW.9, Jatinegara, Cakung, Kota Jakarta Timur, Daerah Khusus Ibukota Jakarta,  Pulo Gadung,  Kota Administrasi Jakarta Timur,  .Banten - salah,  Indonesia,  13920"/>
    <s v="Sewa Tahunan"/>
    <x v="1"/>
    <x v="778"/>
    <m/>
    <m/>
    <m/>
    <m/>
    <m/>
    <x v="51"/>
    <m/>
    <m/>
    <x v="290"/>
    <m/>
    <x v="633"/>
    <d v="2024-06-18T00:00:00"/>
    <x v="0"/>
    <m/>
    <d v="2024-09-06T00:00:00"/>
    <n v="-80"/>
    <x v="3"/>
    <x v="1"/>
    <s v="20137 | 4500019266"/>
    <s v="730/SPP/SBU/ICON+/2023"/>
    <n v="4500021826"/>
    <s v="Livia Indraswati"/>
    <m/>
    <m/>
    <m/>
    <m/>
    <m/>
    <m/>
    <m/>
    <s v="F381"/>
    <s v="G115"/>
    <m/>
    <s v="-"/>
  </r>
  <r>
    <n v="1156"/>
    <x v="387"/>
    <x v="526"/>
    <s v="Jl. Pulokambing No. 1 Lahan Industri Pulogadung Jakarta Timur 13290"/>
    <m/>
    <s v="Lahan Industri Pulo Gadung Blok N6-11, Jalan Rawa Gelam 5 No. 1, RW.9, Jatinegara, Cakung, Kota Jakarta Timur, Daerah Khusus Ibukota Jakarta,  Pulo Gadung,  Kota Administrasi Jakarta Timur,  .Banten - salah,  Indonesia,  13920"/>
    <s v="Sewa Tahunan"/>
    <x v="1"/>
    <x v="778"/>
    <m/>
    <m/>
    <m/>
    <m/>
    <m/>
    <x v="51"/>
    <m/>
    <m/>
    <x v="290"/>
    <m/>
    <x v="775"/>
    <d v="2025-06-18T00:00:00"/>
    <x v="2"/>
    <m/>
    <d v="2024-09-06T00:00:00"/>
    <n v="285"/>
    <x v="3"/>
    <x v="3"/>
    <m/>
    <s v="3752/SPP/SBU/PLNICONPLUS/2024"/>
    <n v="4500022994"/>
    <s v="Livia Indraswati"/>
    <m/>
    <m/>
    <m/>
    <m/>
    <m/>
    <m/>
    <m/>
    <m/>
    <m/>
    <s v="H205"/>
    <m/>
  </r>
  <r>
    <n v="1157"/>
    <x v="387"/>
    <x v="728"/>
    <s v="Jl. Pulokambing No. 1 Lahan Industri Pulogadung Jakarta Timur 13291"/>
    <s v="-"/>
    <s v="Lahan Industri Pulogadung Blok III.BB.17B, Jl. Rw. Sumur I, RT.2/RW.9, Jatinegara"/>
    <s v="Sewa Tahunan"/>
    <x v="1"/>
    <x v="779"/>
    <m/>
    <m/>
    <m/>
    <m/>
    <m/>
    <x v="372"/>
    <m/>
    <m/>
    <x v="383"/>
    <m/>
    <x v="768"/>
    <d v="2024-05-22T00:00:00"/>
    <x v="2"/>
    <m/>
    <d v="2024-09-06T00:00:00"/>
    <n v="-107"/>
    <x v="4"/>
    <x v="1"/>
    <s v="18634 | 4500018066"/>
    <n v="731"/>
    <n v="4500022187"/>
    <s v="Fajar Paramita"/>
    <m/>
    <m/>
    <m/>
    <m/>
    <m/>
    <m/>
    <m/>
    <s v="F152"/>
    <s v="G112"/>
    <m/>
    <s v="-"/>
  </r>
  <r>
    <n v="1158"/>
    <x v="387"/>
    <x v="729"/>
    <s v="Jl. Pulokambing No. 1 Lahan Industri Pulogadung Jakarta Timur 13290"/>
    <s v="PLN DISJAYA_x000a_PLN DISJAYA"/>
    <s v="PG189 PULOGADUNG PT. ENSEVAL PUTRA M / JL. PULO LENTUT,  pulo entut,  Kota Administrasi Jakarta Timur,  .Banten - salah,  Indonesia,"/>
    <s v="Sewa Tahunan"/>
    <x v="1"/>
    <x v="780"/>
    <m/>
    <m/>
    <m/>
    <m/>
    <m/>
    <x v="292"/>
    <m/>
    <m/>
    <x v="384"/>
    <m/>
    <x v="776"/>
    <d v="2024-04-05T00:00:00"/>
    <x v="2"/>
    <m/>
    <d v="2024-09-06T00:00:00"/>
    <n v="-154"/>
    <x v="10"/>
    <x v="1"/>
    <s v="20168 | 4500019275"/>
    <n v="2341"/>
    <n v="4500022186"/>
    <s v="Fajar Paramita"/>
    <m/>
    <m/>
    <m/>
    <m/>
    <m/>
    <m/>
    <m/>
    <s v="F390"/>
    <s v="G114"/>
    <m/>
    <s v="-"/>
  </r>
  <r>
    <n v="1159"/>
    <x v="387"/>
    <x v="730"/>
    <s v="Jl. Pulokambing No. 1 Lahan Industri Pulogadung Jakarta Timur 13290"/>
    <s v="PLN DISJAYA, PLN DISJAYA, Kota Administrasi Jakarta utara, DKI Jakarta, Indonesia, 11410"/>
    <s v="PG257 PULOGADUNG PT. SARANA STEEL CORP / JL. RW BULAK II,RW BULAK ,Kota Administrasi Jakarta Timur ,DKI Jakarta ,Indonesia ,- "/>
    <s v="Sewa Tahunan"/>
    <x v="1"/>
    <x v="781"/>
    <m/>
    <m/>
    <m/>
    <m/>
    <m/>
    <x v="292"/>
    <m/>
    <m/>
    <x v="202"/>
    <m/>
    <x v="556"/>
    <d v="2023-06-04T00:00:00"/>
    <x v="0"/>
    <m/>
    <d v="2024-09-06T00:00:00"/>
    <n v="-460"/>
    <x v="3"/>
    <x v="6"/>
    <s v="20178 | 4500019274"/>
    <n v="2342"/>
    <n v="4500022188"/>
    <s v="Fajar Paramita"/>
    <m/>
    <m/>
    <m/>
    <m/>
    <m/>
    <m/>
    <m/>
    <s v="F389"/>
    <s v="G117"/>
    <m/>
    <s v="-"/>
  </r>
  <r>
    <n v="1160"/>
    <x v="387"/>
    <x v="731"/>
    <s v="Jl. Pulokambing No. 1 Lahan Industri Pulogadung Jakarta Timur 13290"/>
    <s v="IFORTE IDC DUREN 3"/>
    <s v="PT Herlina Indah, Lahan Industri Pulogadung Blok DD 14,16 Jl. Rawa Sumur Jakarta Timur,  Pulogadung,  Jakarta Timur,  DKI Jakarta,  Indonesia,  -"/>
    <s v="Sewa Tahunan"/>
    <x v="1"/>
    <x v="782"/>
    <m/>
    <m/>
    <m/>
    <m/>
    <m/>
    <x v="373"/>
    <m/>
    <m/>
    <x v="385"/>
    <m/>
    <x v="777"/>
    <d v="2024-11-15T00:00:00"/>
    <x v="0"/>
    <m/>
    <d v="2024-09-06T00:00:00"/>
    <n v="70"/>
    <x v="2"/>
    <x v="1"/>
    <s v="20150/SPP/008/PUSAT/ICON+/2022 | 4500019268"/>
    <s v="2082/SPP/SBU/ICON+/2023"/>
    <n v="4500021728"/>
    <s v="Livia Indraswati"/>
    <m/>
    <m/>
    <m/>
    <m/>
    <m/>
    <m/>
    <m/>
    <s v="F383"/>
    <s v="G339"/>
    <m/>
    <s v="-"/>
  </r>
  <r>
    <n v="1161"/>
    <x v="387"/>
    <x v="731"/>
    <s v="Jl. Pulokambing No. 1 Lahan Industri Pulogadung Jakarta Timur 13290"/>
    <s v="IFORTE IDC DUREN 3"/>
    <s v="PT Herlina Indah, Lahan Industri Pulogadung Blok DD 14,16 Jl. Rawa Sumur Jakarta Timur,  Pulogadung,  Jakarta Timur,  DKI Jakarta,  Indonesia,  -"/>
    <s v="Sewa Tahunan"/>
    <x v="1"/>
    <x v="782"/>
    <m/>
    <m/>
    <m/>
    <m/>
    <m/>
    <x v="374"/>
    <m/>
    <m/>
    <x v="386"/>
    <m/>
    <x v="778"/>
    <d v="2025-11-15T00:00:00"/>
    <x v="2"/>
    <m/>
    <d v="2024-09-06T00:00:00"/>
    <n v="435"/>
    <x v="2"/>
    <x v="3"/>
    <m/>
    <s v="3758/SPP/SBU/PLNICONPLUS/2024"/>
    <n v="4500022991"/>
    <s v="Livia Indraswati"/>
    <m/>
    <m/>
    <m/>
    <m/>
    <m/>
    <m/>
    <m/>
    <m/>
    <m/>
    <s v="H202"/>
    <m/>
  </r>
  <r>
    <n v="1162"/>
    <x v="387"/>
    <x v="390"/>
    <s v="Jl. Pulokambing No. 1 Lahan Industri Pulogadung Jakarta Timur 13290"/>
    <s v="IFORTE IDC DUREN 3,  -,  Jakarta Selatan,  DKI Jakarta,  Indonesia,  -"/>
    <s v="PT WAHANA CITRA NABATI, Jl. Rawa Sumur 1 Blok EE NO.5 Lahan Industri Pulogadung Jaktim,  -,  -,  -,  Indonesia,  -"/>
    <s v="Sewa Tahunan"/>
    <x v="1"/>
    <x v="413"/>
    <m/>
    <m/>
    <m/>
    <m/>
    <m/>
    <x v="169"/>
    <m/>
    <m/>
    <x v="387"/>
    <m/>
    <x v="764"/>
    <d v="2024-10-15T00:00:00"/>
    <x v="0"/>
    <m/>
    <d v="2024-09-06T00:00:00"/>
    <n v="39"/>
    <x v="6"/>
    <x v="1"/>
    <s v="20136/SPP/008/PUSAT/ICON+/2022 | 4500019265"/>
    <s v="2083/SPP/SBU/ICON+/2023"/>
    <n v="4500021729"/>
    <s v="Livia Indraswati"/>
    <m/>
    <m/>
    <m/>
    <m/>
    <m/>
    <m/>
    <m/>
    <s v="F380"/>
    <s v="G338"/>
    <m/>
    <s v="-"/>
  </r>
  <r>
    <n v="1163"/>
    <x v="387"/>
    <x v="390"/>
    <s v="Jl. Pulokambing No. 1 Lahan Industri Pulogadung Jakarta Timur 13290"/>
    <s v="IFORTE IDC DUREN 3,  -,  Jakarta Selatan,  DKI Jakarta,  Indonesia,  -"/>
    <s v="PT WAHANA CITRA NABATI, Jl. Rawa Sumur 1 Blok EE NO.5 Lahan Industri Pulogadung Jaktim,  -,  -,  -,  Indonesia,  -"/>
    <s v="Sewa Tahunan"/>
    <x v="1"/>
    <x v="413"/>
    <m/>
    <m/>
    <m/>
    <m/>
    <m/>
    <x v="169"/>
    <m/>
    <m/>
    <x v="387"/>
    <m/>
    <x v="779"/>
    <d v="2025-10-15T00:00:00"/>
    <x v="2"/>
    <m/>
    <d v="2024-09-06T00:00:00"/>
    <n v="404"/>
    <x v="6"/>
    <x v="3"/>
    <m/>
    <s v="3761/SPP/SBU/PLNICONPLUS/2024"/>
    <n v="4500022993"/>
    <s v="Livia Indraswati"/>
    <m/>
    <m/>
    <m/>
    <m/>
    <m/>
    <m/>
    <m/>
    <m/>
    <m/>
    <s v="H204"/>
    <m/>
  </r>
  <r>
    <n v="1164"/>
    <x v="387"/>
    <x v="365"/>
    <s v="Jl. Pulokambing No. 1 Lahan Industri Pulogadung Jakarta Timur 13290"/>
    <s v="-"/>
    <s v="PT. Astra Agro Lestari, Lahan Industri Pulogadung Blok OR 1-2 Pulo Ayang Raya Cakung RW. 9, Rawa Terate,  Cakung,  Jakarta Timur,  DKI Jakarta,  Indonesia,  "/>
    <s v="Sewa Tahunan"/>
    <x v="1"/>
    <x v="783"/>
    <m/>
    <m/>
    <m/>
    <m/>
    <m/>
    <x v="209"/>
    <m/>
    <m/>
    <x v="203"/>
    <m/>
    <x v="780"/>
    <d v="2024-09-25T00:00:00"/>
    <x v="2"/>
    <m/>
    <d v="2024-09-06T00:00:00"/>
    <n v="19"/>
    <x v="7"/>
    <x v="1"/>
    <s v="20117 | 4500019260"/>
    <n v="2347"/>
    <n v="4500022324"/>
    <s v="Fajar Paramita"/>
    <m/>
    <m/>
    <m/>
    <m/>
    <m/>
    <m/>
    <m/>
    <s v="F376"/>
    <s v="G113"/>
    <m/>
    <s v="-"/>
  </r>
  <r>
    <n v="1165"/>
    <x v="387"/>
    <x v="254"/>
    <s v="Jl. Pulokambing No. 1 Lahan Industri Pulogadung Jakarta Timur 13290"/>
    <s v="-"/>
    <s v="PT. Nutrifood Indonesia, Jl. Rawabali II No.3, JIEP Pulogadung,- ,- ,- ,Indonesia "/>
    <s v="Sewa Tahunan"/>
    <x v="1"/>
    <x v="784"/>
    <m/>
    <m/>
    <m/>
    <m/>
    <m/>
    <x v="39"/>
    <m/>
    <m/>
    <x v="388"/>
    <m/>
    <x v="781"/>
    <d v="2024-03-12T00:00:00"/>
    <x v="2"/>
    <m/>
    <d v="2024-09-06T00:00:00"/>
    <n v="-178"/>
    <x v="8"/>
    <x v="1"/>
    <s v="20162/SPP/008/PUSAT/ICON+/2022 | 4500019270"/>
    <s v="21810/SPP/008/PUSAT/ICON+/2023"/>
    <n v="4500021242"/>
    <s v="Fajar Paramita"/>
    <m/>
    <m/>
    <m/>
    <m/>
    <m/>
    <m/>
    <m/>
    <s v="F385"/>
    <s v="G421"/>
    <m/>
    <s v="-"/>
  </r>
  <r>
    <n v="1166"/>
    <x v="387"/>
    <x v="732"/>
    <s v="Jl. Pulokambing No. 1 Lahan Industri Pulogadung Jakarta Timur 13290"/>
    <s v="-"/>
    <s v="PT. Pionir Beton - Jl. Rawa Sumur IV Blok BB No. 9A-9B, Lahan Industri Pulogadung, Jakarta Timur,  -,  -,  -,  Indonesia,  -"/>
    <s v="Sewa Tahunan"/>
    <x v="1"/>
    <x v="785"/>
    <m/>
    <m/>
    <m/>
    <m/>
    <m/>
    <x v="375"/>
    <m/>
    <m/>
    <x v="389"/>
    <m/>
    <x v="782"/>
    <d v="2024-11-22T00:00:00"/>
    <x v="0"/>
    <m/>
    <d v="2024-09-06T00:00:00"/>
    <n v="77"/>
    <x v="2"/>
    <x v="1"/>
    <s v="20165/SPP/008/PUSAT/ICON+/2022 | 4500019281"/>
    <s v="2084/SPP/SBU/ICON+/2023"/>
    <n v="4500021730"/>
    <s v="Livia Indraswati"/>
    <m/>
    <m/>
    <m/>
    <m/>
    <m/>
    <m/>
    <m/>
    <s v="F392"/>
    <s v="G344"/>
    <s v="H203"/>
    <s v="-"/>
  </r>
  <r>
    <n v="1167"/>
    <x v="387"/>
    <x v="732"/>
    <s v="Jl. Pulokambing No. 1 Lahan Industri Pulogadung Jakarta Timur 13290"/>
    <m/>
    <s v="PT. Pionir Beton - Jl. Rawa Sumur IV Blok BB No. 9A-9B, Lahan Industri Pulogadung, Jakarta Timur,  -,  -,  -,  Indonesia,  -"/>
    <s v="Sewa Tahunan"/>
    <x v="1"/>
    <x v="785"/>
    <m/>
    <m/>
    <m/>
    <m/>
    <m/>
    <x v="376"/>
    <m/>
    <m/>
    <x v="389"/>
    <m/>
    <x v="783"/>
    <d v="2025-11-22T00:00:00"/>
    <x v="2"/>
    <m/>
    <d v="2024-09-06T00:00:00"/>
    <n v="442"/>
    <x v="2"/>
    <x v="3"/>
    <m/>
    <s v="3759/SPP/SBU/PLNICONPLUS/2024"/>
    <n v="4500022992"/>
    <s v="Livia Indraswati"/>
    <m/>
    <m/>
    <m/>
    <m/>
    <m/>
    <m/>
    <m/>
    <m/>
    <m/>
    <s v="H203"/>
    <m/>
  </r>
  <r>
    <n v="1168"/>
    <x v="387"/>
    <x v="733"/>
    <s v="Jl. Pulokambing No. 1 Lahan Industri Pulogadung Jakarta Timur 13290"/>
    <s v="Menara Rajawali Lahan Mega Kuningan lt.10 lot 5.1 jakarta,  -,  -,  -,  Indonesia,  -"/>
    <s v="PT. Swakarsa Sinar Sentosa : Jl. Rawa Gelam 5. Gedung Graha Sapta Mulia lt. 3,  -,  -,  -,  Indonesia,  -"/>
    <s v="Sewa Tahunan"/>
    <x v="1"/>
    <x v="575"/>
    <m/>
    <m/>
    <m/>
    <m/>
    <m/>
    <x v="377"/>
    <m/>
    <m/>
    <x v="288"/>
    <m/>
    <x v="753"/>
    <d v="2024-04-12T00:00:00"/>
    <x v="2"/>
    <m/>
    <d v="2024-09-06T00:00:00"/>
    <n v="-147"/>
    <x v="10"/>
    <x v="1"/>
    <s v="20149/SPP/008/PUSAT/ICON+/2022 | 4500019269"/>
    <s v="20149/SPP/008/PUSAT/ICON+/2022"/>
    <n v="4500021240"/>
    <s v="Fajar Paramita"/>
    <m/>
    <m/>
    <m/>
    <m/>
    <m/>
    <m/>
    <m/>
    <s v="F384"/>
    <s v="G417"/>
    <m/>
    <s v="-"/>
  </r>
  <r>
    <n v="1169"/>
    <x v="387"/>
    <x v="734"/>
    <s v="Jl. Pulokambing No. 1 Lahan Industri Pulogadung Jakarta Timur 13290"/>
    <s v="-"/>
    <s v="Soho Global Health (PT Parit Padang Global), Jl. Rawa Sumur II Kav. BB No.3, Lahan Industri Pulo Gadung, Jakarta 13930,  -,  -,  -,  Indonesia,  -"/>
    <s v="Sewa Tahunan"/>
    <x v="1"/>
    <x v="786"/>
    <m/>
    <m/>
    <m/>
    <m/>
    <m/>
    <x v="378"/>
    <m/>
    <m/>
    <x v="390"/>
    <m/>
    <x v="555"/>
    <d v="2023-10-18T00:00:00"/>
    <x v="1"/>
    <m/>
    <d v="2024-09-06T00:00:00"/>
    <n v="-324"/>
    <x v="6"/>
    <x v="6"/>
    <s v="baru"/>
    <s v="20160/SPP/008/PUSAT/ICON+/2022"/>
    <n v="4500019272"/>
    <s v="Fajar Paramita"/>
    <m/>
    <m/>
    <m/>
    <m/>
    <m/>
    <m/>
    <m/>
    <s v="F387"/>
    <m/>
    <m/>
    <s v="-"/>
  </r>
  <r>
    <n v="1170"/>
    <x v="387"/>
    <x v="735"/>
    <s v="Jl. Pulokambing No. 1 Lahan Industri Pulogadung Jakarta Timur 13290"/>
    <s v="Lahan JIEP"/>
    <s v="Lahan JIEP"/>
    <s v="Sewa Tahunan"/>
    <x v="1"/>
    <x v="787"/>
    <m/>
    <m/>
    <m/>
    <m/>
    <m/>
    <x v="112"/>
    <m/>
    <m/>
    <x v="391"/>
    <m/>
    <x v="587"/>
    <d v="2024-12-31T00:00:00"/>
    <x v="2"/>
    <m/>
    <d v="2024-09-06T00:00:00"/>
    <n v="116"/>
    <x v="5"/>
    <x v="1"/>
    <s v="1214 | 4500021388"/>
    <n v="2468"/>
    <n v="4500022093"/>
    <s v="Fajar Paramita"/>
    <m/>
    <m/>
    <m/>
    <m/>
    <m/>
    <m/>
    <m/>
    <m/>
    <s v="G253"/>
    <s v="H41"/>
    <s v="PA Penutuan Temuan Kawasan JIEP"/>
  </r>
  <r>
    <n v="1171"/>
    <x v="388"/>
    <x v="736"/>
    <s v="Gedung Thamrin City Lt.1 Jakarta 10230"/>
    <s v="-"/>
    <s v="USER SEPANJANG MAMPANG PRAPATAN"/>
    <s v="Sewa Tahunan"/>
    <x v="1"/>
    <x v="788"/>
    <m/>
    <m/>
    <m/>
    <m/>
    <m/>
    <x v="379"/>
    <m/>
    <m/>
    <x v="392"/>
    <m/>
    <x v="784"/>
    <d v="2024-04-11T00:00:00"/>
    <x v="2"/>
    <m/>
    <d v="2024-09-06T00:00:00"/>
    <n v="-148"/>
    <x v="10"/>
    <x v="1"/>
    <s v="20061/SPP/008/PUSAT/ICON+/2022 | 4500019039"/>
    <s v="98/SPP/SBU/ICON+/2023"/>
    <n v="4500020797"/>
    <s v="Fajar Paramita"/>
    <s v="Irfan"/>
    <s v="815-2587-5256"/>
    <m/>
    <m/>
    <m/>
    <m/>
    <m/>
    <s v="F350"/>
    <s v="G178"/>
    <m/>
    <s v="-"/>
  </r>
  <r>
    <n v="1172"/>
    <x v="388"/>
    <x v="737"/>
    <s v="Gedung Thamrin City Lt.1 Jakarta 10230"/>
    <s v="H3I Menara Mulia Basement FL Menara Mulia, Jl. Jend. Gatot Subroto Kav. 9-11 Jakarta , -, Jakarta Selatan, DKI Jakarta, Indonesia, -"/>
    <s v="USER SEPANJANG TENDEAN"/>
    <s v="Sewa Tahunan"/>
    <x v="1"/>
    <x v="789"/>
    <m/>
    <m/>
    <m/>
    <m/>
    <m/>
    <x v="380"/>
    <m/>
    <m/>
    <x v="393"/>
    <m/>
    <x v="685"/>
    <d v="2024-11-26T00:00:00"/>
    <x v="2"/>
    <m/>
    <d v="2024-09-06T00:00:00"/>
    <n v="81"/>
    <x v="2"/>
    <x v="1"/>
    <s v="21883/SPP/008/PUSAT/ICON+/2023 | 4500020373"/>
    <s v="3213/SPP/SBU/PLNICONPLUS/2024"/>
    <n v="4500022866"/>
    <s v="Fajar Paramita"/>
    <s v="Irfan"/>
    <s v="815-2587-5256"/>
    <m/>
    <m/>
    <m/>
    <m/>
    <m/>
    <s v="G87"/>
    <s v="H180"/>
    <m/>
    <m/>
  </r>
  <r>
    <n v="1173"/>
    <x v="388"/>
    <x v="738"/>
    <s v="Gedung Thamrin City Lt.1 Jakarta 10230"/>
    <m/>
    <s v="sepanjang jalan cikajang"/>
    <s v="Sewa Tahunan"/>
    <x v="1"/>
    <x v="790"/>
    <m/>
    <m/>
    <m/>
    <m/>
    <m/>
    <x v="381"/>
    <m/>
    <m/>
    <x v="394"/>
    <m/>
    <x v="676"/>
    <d v="2025-01-09T00:00:00"/>
    <x v="2"/>
    <m/>
    <d v="2024-09-06T00:00:00"/>
    <n v="125"/>
    <x v="11"/>
    <x v="3"/>
    <s v="825/SPP/SBU/ICON+/2023 | 4500021008"/>
    <s v="2480/SPP/SBU/ICON+/2024"/>
    <n v="4500022946"/>
    <s v="Fajar Paramita"/>
    <s v="Irfan"/>
    <s v="815-2587-5256"/>
    <m/>
    <m/>
    <m/>
    <m/>
    <m/>
    <m/>
    <s v="G175"/>
    <s v="H206"/>
    <m/>
  </r>
  <r>
    <n v="1174"/>
    <x v="388"/>
    <x v="739"/>
    <s v="Gedung Thamrin City Lt.1 Jakarta 10230"/>
    <m/>
    <s v="sepanjang jalan gunawarman"/>
    <s v="Sewa Tahunan"/>
    <x v="1"/>
    <x v="791"/>
    <m/>
    <m/>
    <m/>
    <m/>
    <m/>
    <x v="382"/>
    <m/>
    <m/>
    <x v="395"/>
    <m/>
    <x v="676"/>
    <d v="2025-01-09T00:00:00"/>
    <x v="2"/>
    <m/>
    <d v="2024-09-06T00:00:00"/>
    <n v="125"/>
    <x v="11"/>
    <x v="3"/>
    <s v="705/SPP/SBU/ICON+/2023 | 4500021009"/>
    <s v="2480/SPP/SBU/ICON+/2024"/>
    <n v="4500022946"/>
    <s v="Fajar Paramita"/>
    <s v="irfan"/>
    <s v="815-2587-5256"/>
    <m/>
    <m/>
    <m/>
    <m/>
    <m/>
    <m/>
    <s v="G124"/>
    <s v="H206"/>
    <m/>
  </r>
  <r>
    <n v="1175"/>
    <x v="388"/>
    <x v="739"/>
    <s v="Gedung Thamrin City Lt.1 Jakarta 10230"/>
    <m/>
    <s v="sepanjang jalan suryo"/>
    <s v="Sewa Tahunan"/>
    <x v="1"/>
    <x v="791"/>
    <m/>
    <m/>
    <m/>
    <m/>
    <m/>
    <x v="382"/>
    <m/>
    <m/>
    <x v="396"/>
    <m/>
    <x v="676"/>
    <d v="2025-01-09T00:00:00"/>
    <x v="2"/>
    <m/>
    <d v="2024-09-06T00:00:00"/>
    <n v="125"/>
    <x v="11"/>
    <x v="3"/>
    <s v="706/SPP/SBU/ICON+/2023 | 4500021010"/>
    <s v="2480/SPP/SBU/ICON+/2024"/>
    <n v="4500022946"/>
    <s v="Fajar Paramita"/>
    <s v="Irfan"/>
    <s v="815-2587-5256"/>
    <m/>
    <m/>
    <m/>
    <m/>
    <m/>
    <m/>
    <s v="G125"/>
    <s v="H206"/>
    <m/>
  </r>
  <r>
    <n v="1176"/>
    <x v="388"/>
    <x v="738"/>
    <s v="Gedung Thamrin City Lt.1 Jakarta 10230"/>
    <m/>
    <s v="sepanjang jalan monginsidi"/>
    <s v="Sewa Tahunan"/>
    <x v="1"/>
    <x v="790"/>
    <m/>
    <m/>
    <m/>
    <m/>
    <m/>
    <x v="112"/>
    <m/>
    <m/>
    <x v="397"/>
    <m/>
    <x v="676"/>
    <d v="2025-01-09T00:00:00"/>
    <x v="2"/>
    <m/>
    <d v="2024-09-06T00:00:00"/>
    <n v="125"/>
    <x v="11"/>
    <x v="3"/>
    <s v="890/SPP/SBU/ICON+/2023 | 4500021014"/>
    <s v="2480/SPP/SBU/ICON+/2024"/>
    <n v="4500022946"/>
    <s v="Fajar Paramita"/>
    <s v="Irfan"/>
    <s v="815-2587-5256"/>
    <m/>
    <m/>
    <m/>
    <m/>
    <m/>
    <m/>
    <s v="G148"/>
    <s v="H206"/>
    <m/>
  </r>
  <r>
    <n v="1177"/>
    <x v="388"/>
    <x v="739"/>
    <s v="Gedung Thamrin City Lt.1 Jakarta 10230"/>
    <m/>
    <s v="sepanjang jalan senopati"/>
    <s v="Sewa Tahunan"/>
    <x v="1"/>
    <x v="791"/>
    <m/>
    <m/>
    <m/>
    <m/>
    <m/>
    <x v="382"/>
    <m/>
    <m/>
    <x v="398"/>
    <m/>
    <x v="676"/>
    <d v="2025-01-09T00:00:00"/>
    <x v="2"/>
    <m/>
    <d v="2024-09-06T00:00:00"/>
    <n v="125"/>
    <x v="11"/>
    <x v="3"/>
    <s v="708/SPP/SBU/ICON+/2023 | 4500021013"/>
    <s v="2480/SPP/SBU/ICON+/2024"/>
    <n v="4500022946"/>
    <s v="Fajar Paramita"/>
    <s v="Irfan"/>
    <s v="815-2587-5256"/>
    <m/>
    <m/>
    <m/>
    <m/>
    <m/>
    <m/>
    <s v="G147"/>
    <s v="H206"/>
    <m/>
  </r>
  <r>
    <n v="1178"/>
    <x v="389"/>
    <x v="740"/>
    <s v="Jl.Jend Sudirman Kav.29-31 Jakarta 12190"/>
    <s v="-"/>
    <s v="Building WTC 3 Floor 18, Jl. Jend. Sudirman kav 29-31 RT.4/RW.2, Kuningan, Karet"/>
    <s v="Sewa Tahunan"/>
    <x v="1"/>
    <x v="585"/>
    <m/>
    <m/>
    <m/>
    <m/>
    <m/>
    <x v="5"/>
    <m/>
    <m/>
    <x v="6"/>
    <m/>
    <x v="587"/>
    <d v="2024-12-31T00:00:00"/>
    <x v="2"/>
    <m/>
    <d v="2024-09-06T00:00:00"/>
    <n v="116"/>
    <x v="5"/>
    <x v="1"/>
    <s v="20800/SPP/008/PUSAT/ICON+/2022 | 4500019756"/>
    <s v="2115/SPP/SBU/ICON+/2023"/>
    <n v="4500021810"/>
    <s v="Fajar Paramita"/>
    <m/>
    <m/>
    <m/>
    <m/>
    <m/>
    <m/>
    <m/>
    <s v="F431"/>
    <s v="G385"/>
    <m/>
    <s v="Security Deposit 5.000.000"/>
  </r>
  <r>
    <n v="1179"/>
    <x v="389"/>
    <x v="696"/>
    <s v="Jl.Jend Sudirman Kav.29-31 Jakarta 12190"/>
    <s v="-"/>
    <s v="Jl. Jend. Sudirman, World Trade Center Kav 29 - 31 Lantai 17, RT.8/RW.3, Kuningan, Karet, Setiabudi, Jakarta Selatan, DKI Jakarta, 12920"/>
    <s v="Sewa Tahunan"/>
    <x v="1"/>
    <x v="792"/>
    <m/>
    <m/>
    <m/>
    <m/>
    <m/>
    <x v="63"/>
    <m/>
    <m/>
    <x v="399"/>
    <m/>
    <x v="225"/>
    <d v="2024-02-28T00:00:00"/>
    <x v="1"/>
    <m/>
    <d v="2024-09-06T00:00:00"/>
    <n v="-191"/>
    <x v="9"/>
    <x v="1"/>
    <s v="10253/SPP/008/PUSAT/ICON+/2019 | 4500012509"/>
    <s v="15557/SPP/008/PUSAT/ICON+/2021"/>
    <n v="4500016043"/>
    <s v="Fajar Paramita"/>
    <m/>
    <m/>
    <m/>
    <m/>
    <s v="C23"/>
    <m/>
    <s v="E67"/>
    <m/>
    <m/>
    <m/>
    <s v="Security Deposit 5.000.000"/>
  </r>
  <r>
    <n v="1180"/>
    <x v="390"/>
    <x v="17"/>
    <s v="ITC Mangga Dua 6th Floor Jl. Mangga Dua Raya Jakarta 14430"/>
    <s v="PLAZA SINARMAS JL. FACHRUDIN 18 LT.6 JAKARTAPUSAT 10250, -, Jakarta Pusat, DKI Jakarta, Indonesia, -"/>
    <s v="ITC Mangga Dua (Lt. Dasar sampai ATM Bank Sinarmas Lt.1 Blok D No. 61-62 ITC Mangga Dua Jl. Mangga Dua Raya Jakarta-Bank Sinarmas)"/>
    <s v="Sewa Tahunan"/>
    <x v="1"/>
    <x v="793"/>
    <m/>
    <m/>
    <m/>
    <m/>
    <m/>
    <x v="383"/>
    <m/>
    <m/>
    <x v="13"/>
    <m/>
    <x v="571"/>
    <d v="2024-07-31T00:00:00"/>
    <x v="2"/>
    <m/>
    <d v="2024-09-06T00:00:00"/>
    <n v="-37"/>
    <x v="1"/>
    <x v="1"/>
    <s v="4500009719 | 004/CTFO/L&amp;P/VIII/2016 | 07107/SPP/008/PUSAT/ICON+/2017 | 4500010609 | 08806/SPP/008/PUSAT/ICON+/2018 | 4500011660 | 450001303011185/SPP/008/PUSAT/ICON+/2019 | 4500013030 | 13945/SPP/008/PUSAT/ICON+/2020 | 4500014819 | 15964/SPP/008/PUSAT/ICON+/2021 | 4500016270 | 4500018463"/>
    <s v="2044/SPP/SBU/ICON+/2023"/>
    <n v="4500021913"/>
    <s v="Fajar Paramita"/>
    <s v="Meiky"/>
    <s v="021-6017771"/>
    <n v="65"/>
    <s v="B166"/>
    <s v="C146"/>
    <s v="D199"/>
    <s v="E194"/>
    <s v="F361"/>
    <s v="G387"/>
    <m/>
    <m/>
  </r>
  <r>
    <n v="1181"/>
    <x v="390"/>
    <x v="355"/>
    <s v="ITC Mangga Dua 6th Floor Jl. Mangga Dua Raya Jakarta 14430"/>
    <s v="-"/>
    <s v="ITC Mangga Dua (Lt. Dasar sampai ATM BCA lt.4 Jl. Mangga Dua Raya Jakarta-Bank Central Asia So No.ICON-00/ACT/1602/0472 )"/>
    <s v="Sewa Tahunan"/>
    <x v="1"/>
    <x v="794"/>
    <m/>
    <m/>
    <m/>
    <m/>
    <m/>
    <x v="11"/>
    <m/>
    <m/>
    <x v="400"/>
    <m/>
    <x v="630"/>
    <d v="2024-11-30T00:00:00"/>
    <x v="2"/>
    <m/>
    <d v="2024-09-06T00:00:00"/>
    <n v="85"/>
    <x v="2"/>
    <x v="1"/>
    <s v="4500009756_x000a_ Revisi_x000a_ 4500009909_x000a_ 111113/MI/004/PUSAT/ICON+/2016_x000a_ 006/CTFO/L&amp;P/XI/2016 07552/SPP/008/PUSAT/ICON+/2017 4500011045 | 09456/SPP/008/PUSAT/ICON+/2018 | 4500012046 | 11789/SPP/008/PUSAT/ICON+/2019 | 4500013402| 14469/SPP/008/PUSAT/ICON+/2020| 4500015209 |17133/SPP/008/PUSAT/ICON+/2021 | 4500018727 | 20681| 4500019997"/>
    <n v="2531"/>
    <n v="4500022309"/>
    <s v="Fajar Paramita"/>
    <s v="Dani Dwi Aditya"/>
    <s v="021-6017771"/>
    <n v="173"/>
    <s v="B250"/>
    <s v="C220"/>
    <s v="D311"/>
    <s v="F261"/>
    <s v="G80"/>
    <s v="H104"/>
    <m/>
    <m/>
  </r>
  <r>
    <n v="1182"/>
    <x v="390"/>
    <x v="741"/>
    <s v="Gedung Mall Mangga Dua Lt. 5_x000a_ Jl. Arteri Mangga Dua Raya Jakarta 10730_x000a_ Indonesia"/>
    <s v="BDI BSD"/>
    <s v="Ruko Orion Mangga Dua Jl. Raya Mangga Dua No. 3 Jakarta -Bank Danamon Indonesia"/>
    <s v="Sewa Tahunan"/>
    <x v="1"/>
    <x v="795"/>
    <m/>
    <m/>
    <m/>
    <m/>
    <m/>
    <x v="154"/>
    <m/>
    <m/>
    <x v="135"/>
    <m/>
    <x v="785"/>
    <d v="2020-05-10T00:00:00"/>
    <x v="1"/>
    <m/>
    <d v="2024-09-06T00:00:00"/>
    <n v="-1580"/>
    <x v="4"/>
    <x v="5"/>
    <s v="4500009479 |002/LP-ORION/V/2016 |4500010588 |05426/SPP/008/PUSAT/ICON+/2017 | 08601/SPP/008/PUSAT/ICON+/2018 | 4500011490"/>
    <s v="10520/SPP/008/PUSAT/ICON+/2019"/>
    <s v="4500012782"/>
    <s v="Fajar Paramita"/>
    <s v="Hendra"/>
    <s v="021-6126000"/>
    <n v="46"/>
    <s v="B79"/>
    <s v="C107"/>
    <m/>
    <m/>
    <m/>
    <m/>
    <m/>
    <m/>
  </r>
  <r>
    <n v="1183"/>
    <x v="391"/>
    <x v="742"/>
    <s v="Gedung Jaya Jl.MH Thamrin No.12"/>
    <s v="-"/>
    <s v="Gedung JAYA, Gedung Jaya, Jl. M.H. Thamrin No.12, RW.1, Kb. Sirih, Kec. Menteng, Kota Jakarta Pusat, Daerah Khusus Ibukota Jakarta 10340"/>
    <s v="Sewa Tahunan"/>
    <x v="1"/>
    <x v="796"/>
    <m/>
    <m/>
    <m/>
    <m/>
    <m/>
    <x v="384"/>
    <m/>
    <m/>
    <x v="401"/>
    <m/>
    <x v="786"/>
    <d v="2025-03-06T00:00:00"/>
    <x v="2"/>
    <m/>
    <d v="2024-09-06T00:00:00"/>
    <n v="181"/>
    <x v="8"/>
    <x v="3"/>
    <s v="21501 | 4500020103"/>
    <n v="2470"/>
    <n v="4500022134"/>
    <s v="Fajar Paramita"/>
    <m/>
    <m/>
    <m/>
    <m/>
    <m/>
    <m/>
    <m/>
    <m/>
    <s v="G67"/>
    <s v="H31"/>
    <m/>
  </r>
  <r>
    <n v="1184"/>
    <x v="391"/>
    <x v="30"/>
    <s v="Gedung Jaya Jl.MH Thamrin No.12"/>
    <s v="Backhaul Metronet) Menara Bank Mega Lt. 8. Jl.Kapten Tendean Kav. 12 - 14 A Jakarta,  Mampang Prapatan,  Kota Administrasi Jakarta Selatan,  DKI Jakarta,  Indonesia,  12790"/>
    <s v="KCP Gedung Jaya Thamrin, JL. MH Thamrin No. 12 10340"/>
    <s v="Sewa Tahunan"/>
    <x v="1"/>
    <x v="797"/>
    <m/>
    <m/>
    <m/>
    <m/>
    <m/>
    <x v="385"/>
    <m/>
    <m/>
    <x v="229"/>
    <m/>
    <x v="693"/>
    <d v="2025-01-31T00:00:00"/>
    <x v="2"/>
    <m/>
    <d v="2024-09-06T00:00:00"/>
    <n v="147"/>
    <x v="11"/>
    <x v="3"/>
    <s v="07823/SPP/008/PUSAT/ICON+/2017 | 4500011087 | 10047/SPP/008/PUSAT/ICON+/2019 | 4500012388 | 12664/SPP/008/PUSAT/ICON+/2020 | 4500014000 | 4500015608 | 17586/SPP/008/PUSAT/ICON+/2021 | 4500017469 | 20675 | 4500019683"/>
    <n v="2498"/>
    <n v="4500022245"/>
    <s v="Fajar Paramita"/>
    <m/>
    <m/>
    <n v="167"/>
    <s v="C56"/>
    <m/>
    <s v="D135"/>
    <s v="E65"/>
    <s v="F11"/>
    <s v="F468"/>
    <s v="H62"/>
    <s v="Biaya Pengawasan Pekerjaan Rp.500.000 3.Jaminan Pekerjaan Rp.3.000.000"/>
  </r>
  <r>
    <n v="1185"/>
    <x v="392"/>
    <x v="743"/>
    <s v="Bintaro Trade Centre Lt. 2 Blok H 4 No. 1 - 33 Jl. Jend. Sudirman Pusat Kawasan Niaga Bintaro Jaya Sektor VII Tangerang 15224"/>
    <m/>
    <s v="1. Jl. MH. Thamrin Sektor 7 CBD Bintaro_x000a_ 2. Jalan Depan Carrefour Blok CBD A1 Sektor 7 Bintaro"/>
    <s v="Sewa Tahunan"/>
    <x v="1"/>
    <x v="67"/>
    <m/>
    <m/>
    <m/>
    <m/>
    <m/>
    <x v="112"/>
    <m/>
    <m/>
    <x v="402"/>
    <m/>
    <x v="787"/>
    <d v="2025-07-12T00:00:00"/>
    <x v="2"/>
    <m/>
    <d v="2024-09-06T00:00:00"/>
    <n v="309"/>
    <x v="1"/>
    <x v="3"/>
    <s v="4500008597_x000a_ 070330/MI/004/PUSAT/ICON+/2015"/>
    <m/>
    <m/>
    <s v="Fajar Paramita"/>
    <s v="Taufiq"/>
    <s v="021-74864001"/>
    <m/>
    <m/>
    <m/>
    <m/>
    <m/>
    <m/>
    <m/>
    <m/>
    <s v="1. Perijinan Pemanfaatan lahan untuk 10 tahun Rp150.000/m total 150 m update tahun 2016 Rp250.000,-_x000a_ 2. Jasa Pengawasan Rp350.000 total untuk 7 hari update tahun 2016 Rp300.000/hari _x000a_ 3. Jaminan Rp75.000/m total untuk 150m update tahun 2016 LS Rp7.500.000,-"/>
  </r>
  <r>
    <n v="1186"/>
    <x v="393"/>
    <x v="643"/>
    <s v="Gedung menara Selatan Lt.9 Jl. Jend. Gatot Subroto No. 38 Jakarta 12710"/>
    <s v="-"/>
    <s v="Gedung Menara Jamsostek Jl. Jend. Gatot Subroto No. 38 Jakarta"/>
    <s v="Sewa Tahunan"/>
    <x v="1"/>
    <x v="549"/>
    <m/>
    <m/>
    <m/>
    <m/>
    <m/>
    <x v="386"/>
    <m/>
    <m/>
    <x v="31"/>
    <m/>
    <x v="630"/>
    <d v="2024-11-30T00:00:00"/>
    <x v="2"/>
    <m/>
    <d v="2024-09-06T00:00:00"/>
    <n v="85"/>
    <x v="2"/>
    <x v="1"/>
    <s v="06809/SPP/008/PUSAT/ICON+/2017 4500010413 | 09354/SPP/008/PUSAT/ICON+/2018 | 4500011961 | 11646/SPP/008/PUSAT/ICON+/2019 | 4500013292 | 14407/SPP/008/PUSAT/ICON+/2020 | 4500015174 | 16790/SPP/008/PUSAT/ICON+/2021 | 4500017202 | 19356/SPP/008/PUSAT/ICON+/2022 | 4500019237"/>
    <s v="1857/SPP/SBU/ICON+/2023"/>
    <n v="4500021720"/>
    <s v="Fajar Paramita"/>
    <s v="Puty"/>
    <s v="021-5279317_x000a_ 021-52961504_x000a_ 021-52961509"/>
    <n v="78"/>
    <s v="B223"/>
    <s v="C196"/>
    <s v="D360"/>
    <s v="F9"/>
    <s v=" "/>
    <s v="G345"/>
    <m/>
    <s v="1.Biaya Sewa Tahunan sebesar Rp.7.500.000"/>
  </r>
  <r>
    <n v="1187"/>
    <x v="393"/>
    <x v="62"/>
    <s v="Gedung menara Selatan Lt.9 Jl. Jend. Gatot Subroto No. 38 Jakarta 12711"/>
    <s v="-"/>
    <s v="Gedung Menara Jamsostek Jl. Jend. Gatot Subroto No. 38 Jakarta"/>
    <s v="Sewa Tahunan"/>
    <x v="1"/>
    <x v="798"/>
    <m/>
    <m/>
    <m/>
    <m/>
    <m/>
    <x v="112"/>
    <m/>
    <m/>
    <x v="25"/>
    <m/>
    <x v="788"/>
    <d v="2024-07-21T00:00:00"/>
    <x v="0"/>
    <m/>
    <d v="2024-09-06T00:00:00"/>
    <n v="-47"/>
    <x v="1"/>
    <x v="1"/>
    <s v="11335/SPP/008/PUSAT/ICON+/2019 | 4500013058 | 13582/SPP/008/PUSAT/ICON+/2020 | 4500014591| 4500016267| 15952/SPP/008/PUSAT/ICON+/2021 | 19025/SPP/008/PUSAT/ICON+/2022  | 4500018604 | 312/SPP/SBU/ICON+/2023 |   4500020788"/>
    <s v="312/SPP/SBU/ICON+/2023"/>
    <n v="4500020788"/>
    <s v="Livia Indraswati"/>
    <s v="Puty"/>
    <s v="021-5279317_x000a_ 021-52961504_x000a_ 021-52961510"/>
    <m/>
    <m/>
    <s v="C156"/>
    <s v="D145"/>
    <s v="E209"/>
    <s v="F255"/>
    <s v="G176"/>
    <m/>
    <s v="1.Biaya Sewa Tahunan sebesar Rp.10.000.000"/>
  </r>
  <r>
    <n v="1188"/>
    <x v="393"/>
    <x v="62"/>
    <s v="Gedung menara Selatan Lt.9 Jl. Jend. Gatot Subroto No. 38 Jakarta 12711"/>
    <m/>
    <s v="Gedung Menara Jamsostek Jl. Jend. Gatot Subroto No. 38 Jakarta"/>
    <s v="Sewa Tahunan"/>
    <x v="1"/>
    <x v="798"/>
    <m/>
    <m/>
    <m/>
    <m/>
    <m/>
    <x v="112"/>
    <m/>
    <m/>
    <x v="25"/>
    <m/>
    <x v="789"/>
    <d v="2025-07-21T00:00:00"/>
    <x v="2"/>
    <m/>
    <d v="2024-09-06T00:00:00"/>
    <n v="318"/>
    <x v="1"/>
    <x v="3"/>
    <m/>
    <s v="3831/SPP/SBU/PLNICONPLUS/2024"/>
    <n v="4500023033"/>
    <s v="Livia Indraswati"/>
    <s v="Tri / Ramlis"/>
    <m/>
    <m/>
    <m/>
    <m/>
    <m/>
    <m/>
    <m/>
    <m/>
    <s v="H250"/>
    <m/>
  </r>
  <r>
    <n v="1189"/>
    <x v="393"/>
    <x v="62"/>
    <s v="Gedung menara Selatan Lt.9 Jl. Jend. Gatot Subroto No. 38 Jakarta 12712"/>
    <s v="-"/>
    <s v="Gedung Menara Jamsostek Jl. Jend. Gatot Subroto No. 38 Jakarta"/>
    <s v="Sewa Tahunan"/>
    <x v="1"/>
    <x v="799"/>
    <m/>
    <m/>
    <m/>
    <m/>
    <m/>
    <x v="112"/>
    <m/>
    <m/>
    <x v="4"/>
    <m/>
    <x v="790"/>
    <d v="2024-07-15T00:00:00"/>
    <x v="0"/>
    <m/>
    <d v="2024-09-06T00:00:00"/>
    <n v="-53"/>
    <x v="1"/>
    <x v="1"/>
    <s v="11279/SPP/008/PUSAT/ICON+/2019 | 4500013060 | 13583/SPP/008/PUSAT/ICON+/2020 | 4500014586| 15953/SPP/008/PUSAT/ICON+/2021| 4500016268 | 19356/SPP/008/PUSAT/ICON+/2022 | 4500018605 | 429/SPP/SBU/ICON+/2023 | 4500020785 | "/>
    <s v="429/SPP/SBU/ICON+/2023"/>
    <n v="4500020785"/>
    <s v="Livia Indraswati"/>
    <s v="Puty"/>
    <s v="021-5279317_x000a_ 021-52961504_x000a_ 021-52961511"/>
    <m/>
    <m/>
    <s v="C157"/>
    <s v="D146"/>
    <s v="E205"/>
    <s v="F259"/>
    <s v="G176"/>
    <m/>
    <s v="1.Biaya Sewa Tahunan sebesar Rp.5.000.000"/>
  </r>
  <r>
    <n v="1190"/>
    <x v="393"/>
    <x v="62"/>
    <s v="Gedung menara Selatan Lt.9 Jl. Jend. Gatot Subroto No. 38 Jakarta 12712"/>
    <m/>
    <s v="Gedung Menara Jamsostek Jl. Jend. Gatot Subroto No. 38 Jakarta"/>
    <s v="Sewa Tahunan"/>
    <x v="1"/>
    <x v="799"/>
    <m/>
    <m/>
    <m/>
    <m/>
    <m/>
    <x v="112"/>
    <m/>
    <m/>
    <x v="4"/>
    <m/>
    <x v="791"/>
    <d v="2025-07-15T00:00:00"/>
    <x v="2"/>
    <m/>
    <d v="2024-09-06T00:00:00"/>
    <n v="312"/>
    <x v="1"/>
    <x v="3"/>
    <m/>
    <s v="3830/SPP/SBU/PLNICONPLUS/2024"/>
    <n v="4500023032"/>
    <s v="Livia Indraswati"/>
    <s v="Tri / Ramlis"/>
    <m/>
    <m/>
    <m/>
    <m/>
    <m/>
    <m/>
    <m/>
    <m/>
    <s v="H251"/>
    <m/>
  </r>
  <r>
    <n v="1191"/>
    <x v="393"/>
    <x v="507"/>
    <s v="Gedung menara Selatan Lt.9 Jl. Jend. Gatot Subroto No. 38 Jakarta 12710"/>
    <s v="-"/>
    <s v="Gedung Menara Jamsostek Jl. Jend. Gatot Subroto No. 38 Jakarta (Bank Mandiri)"/>
    <s v="Sewa Tahunan"/>
    <x v="1"/>
    <x v="800"/>
    <m/>
    <m/>
    <m/>
    <m/>
    <m/>
    <x v="387"/>
    <m/>
    <m/>
    <x v="51"/>
    <m/>
    <x v="630"/>
    <d v="2024-11-30T00:00:00"/>
    <x v="2"/>
    <m/>
    <d v="2024-09-06T00:00:00"/>
    <n v="85"/>
    <x v="2"/>
    <x v="1"/>
    <s v="2141116/SPR/ICON+/2016_x000a_ 32/LOI/BIJAK-ICON+/01.2017 07341/SPP/008/PUSAT/ICON+/2017 4500010770 | 09447/SPP/008/PUSAT/ICON+/2018 | 4500012007 | 11791/SPP/008/PUSAT/ICON+/2019 | 4500013415 | 14456/SPP/008/PUSAT/ICON+/2020 | 4500015271 | 16773/SPP/008/PUSAT/ICON+/2021 | 4500016881 | 19355/SPP/008/PUSAT/ICON+/2022 | 4500018689"/>
    <s v="1675/SPP/SBU/ICON+/2023"/>
    <n v="4500021821"/>
    <s v="Fajar Paramita"/>
    <s v="Puty"/>
    <s v="021-5279317_x000a_ 021-52961504_x000a_ 021-52961509"/>
    <m/>
    <s v="B236"/>
    <s v="C221"/>
    <s v="D305"/>
    <s v="E409"/>
    <s v="F444"/>
    <s v="G386"/>
    <m/>
    <s v="1. Biaya Perbaikan Fire Stop per lantai Rp400.000 total untuk 12 lantai Rp4.800.000 one Time Charged_x000a_ 2. Biaya Supervisi Rp300.000,- update tahun 2014 Rp900.000,- one Time Charged_x000a_ 3. Sewa Shaft per tarikan Rp4.000.000 update akhir tahun 2014 Rp5.000.000/unit/tahun_x000a_ 4. Sewa Panel Rp2.500.000/unit/tahun_x000a_ 5. Jaminan Rp1.875.000"/>
  </r>
  <r>
    <n v="1192"/>
    <x v="393"/>
    <x v="744"/>
    <s v="Gedung menara Selatan Lt.9 Jl. Jend. Gatot Subroto No. 38 Jakarta 12710"/>
    <s v="Desa. Niru Tebat Agung Kec. Rambang Dangku Kab. Muara Enim Sumatera Selatan 31172"/>
    <s v="Gedung Menara Jamsostek Jl. Jend. Gatot Subroto No. 38 Jakarta (Menara Jamsostek Utara B1 s/d Lt.12-PT Tanjung Enim Lestari)"/>
    <s v="Sewa Tahunan"/>
    <x v="1"/>
    <x v="349"/>
    <m/>
    <m/>
    <m/>
    <m/>
    <m/>
    <x v="193"/>
    <m/>
    <m/>
    <x v="51"/>
    <m/>
    <x v="792"/>
    <d v="2023-07-21T00:00:00"/>
    <x v="1"/>
    <m/>
    <d v="2024-09-06T00:00:00"/>
    <n v="-413"/>
    <x v="1"/>
    <x v="6"/>
    <s v="061726/SPR/008/PUSAT/ICON+/2016 | 32/LOI/BIJAK-ICON+/01.2017 | 07245/SPP/008/PUSAT/ICON+/2017 |4500010674 | 08779/SPP/008/PUSAT/ICON+/2018 | 4500011633 | 10953/SPP/008/PUSAT/ICON+/2019 | 4500012934| 15925/SPP/008/PUSAT/ICON+/2021| 4500016266"/>
    <s v="18778/SPP/008/PUSAT/ICON+/2022"/>
    <n v="4500018465"/>
    <s v="Fajar Paramita"/>
    <s v="Puty"/>
    <s v="021-5279317_x000a_ 021-52961504_x000a_ 021-52961509"/>
    <m/>
    <s v="B129"/>
    <s v="C123"/>
    <m/>
    <s v="E202"/>
    <s v="F258"/>
    <m/>
    <m/>
    <s v="1. Biaya Perbaikan Fire Stop per lantai Rp400.000 total untuk 12 lantai Rp4.800.000 one Time Charged_x000a_ 2. Biaya Supervisi Rp300.000,- update tahun 2014 Rp900.000,- one Time Charged_x000a_ 3. Sewa Shaft per tarikan Rp4.000.000 update akhir tahun 2014 Rp5.000.000/unit/tahun_x000a_ 4. Sewa Panel Rp2.500.000/unit/tahun_x000a_ 5. Jaminan Rp1.875.000"/>
  </r>
  <r>
    <n v="1193"/>
    <x v="393"/>
    <x v="62"/>
    <s v="Gedung menara Selatan Lt.9 Jl. Jend. Gatot Subroto No. 38 Jakarta 12712"/>
    <s v="-"/>
    <s v="Gedung Menara Jamsostek Jl. Jend. Gatot Subroto No. 38 Jakarta lantai 10"/>
    <s v="Sewa Tahunan"/>
    <x v="1"/>
    <x v="801"/>
    <m/>
    <m/>
    <m/>
    <m/>
    <m/>
    <x v="41"/>
    <m/>
    <m/>
    <x v="14"/>
    <m/>
    <x v="793"/>
    <d v="2024-01-01T00:00:00"/>
    <x v="0"/>
    <m/>
    <d v="2024-09-06T00:00:00"/>
    <n v="-249"/>
    <x v="11"/>
    <x v="1"/>
    <s v="baru"/>
    <s v="20865/SPP/008/PUSAT/ICON+/2022"/>
    <n v="4500019844"/>
    <s v="Fajar Paramita"/>
    <s v="Puty"/>
    <s v="021-5279317_x000a_ 021-52961504_x000a_ 021-52961511"/>
    <m/>
    <m/>
    <m/>
    <m/>
    <m/>
    <m/>
    <s v="G11"/>
    <m/>
    <m/>
  </r>
  <r>
    <n v="1194"/>
    <x v="393"/>
    <x v="62"/>
    <s v="Gedung menara Selatan Lt.9 Jl. Jend. Gatot Subroto No. 38 Jakarta 12712"/>
    <m/>
    <s v="Gedung Menara Jamsostek Jl. Jend. Gatot Subroto No. 38 Jakarta lantai 10"/>
    <s v="Sewa Tahunan"/>
    <x v="1"/>
    <x v="801"/>
    <m/>
    <m/>
    <m/>
    <m/>
    <m/>
    <x v="112"/>
    <m/>
    <m/>
    <x v="14"/>
    <m/>
    <x v="712"/>
    <d v="2025-01-01T00:00:00"/>
    <x v="2"/>
    <m/>
    <d v="2024-09-06T00:00:00"/>
    <n v="117"/>
    <x v="11"/>
    <x v="3"/>
    <m/>
    <s v="3940/SPP/SBU/PLNICONPLUS/2024"/>
    <n v="4500023125"/>
    <s v="Livia Indraswati"/>
    <s v="Tri / Ramlis"/>
    <m/>
    <m/>
    <m/>
    <m/>
    <m/>
    <m/>
    <m/>
    <m/>
    <s v="H268"/>
    <m/>
  </r>
  <r>
    <n v="1195"/>
    <x v="393"/>
    <x v="62"/>
    <s v="Gedung menara Selatan Lt.9 Jl. Jend. Gatot Subroto No. 38 Jakarta 12712"/>
    <s v="-"/>
    <s v="R. Direksi Kantor ICON+ Jamsostek LT 19"/>
    <s v="Sewa Tahunan"/>
    <x v="1"/>
    <x v="802"/>
    <m/>
    <m/>
    <m/>
    <m/>
    <m/>
    <x v="41"/>
    <m/>
    <m/>
    <x v="51"/>
    <m/>
    <x v="780"/>
    <d v="2024-09-25T00:00:00"/>
    <x v="2"/>
    <m/>
    <d v="2024-09-06T00:00:00"/>
    <n v="19"/>
    <x v="7"/>
    <x v="1"/>
    <s v="20013/SPP/008/PUSAT/ICON+/2022 | 4500018982"/>
    <s v="1674/SPP/SBU/ICON+/2023"/>
    <n v="4500021538"/>
    <s v="Fajar Paramita"/>
    <s v="Puty"/>
    <s v="021-5279317_x000a_ 021-52961504_x000a_ 021-52961511"/>
    <m/>
    <m/>
    <m/>
    <m/>
    <m/>
    <s v="F325"/>
    <s v="G342"/>
    <m/>
    <s v="1.Biaya Sewa Tahunan sebesar Rp.5.000.000 | 2.Biaya Supervisi Rp.440.000 | 3.Biaya Firestop Rp.1.350.000"/>
  </r>
  <r>
    <n v="1196"/>
    <x v="394"/>
    <x v="745"/>
    <s v="Stasiun Cikini Lt. Dasar_x000a_ Jln. Cikini Raya, Cikini - Menteng Jakarta Pusat - 10330"/>
    <m/>
    <s v="Jl. Jend. Sudirman No. 38-B, Bogor_x000a_ Jl. Jend. Ahmad Yani Bogor_x000a_ Jl. Kapten Muslihat No.25 Central Bogor Bogor West Java 16124 Indonesia_x000a_ Elitery Recovery Data Center, Jalan Padjajaran No.17 Sanggar Ksatria 5 Lantai 5_x000a_ Elitery Recovery Data Center, Jalan Padjajaran No.17 Sanggar Ksatria 5 Lantai 5_x000a_ H2H BCA Elitery Data Center; Jl. Raya Pajajaran No.61, RT.06/RW.13, Baranangsiang_x000a_ Elitery Data Center; Jl. Raya Pajajaran No.61, RT.06/RW.13, Baranangsiang"/>
    <s v="Sewa Tahunan"/>
    <x v="1"/>
    <x v="803"/>
    <m/>
    <m/>
    <m/>
    <m/>
    <m/>
    <x v="388"/>
    <m/>
    <m/>
    <x v="267"/>
    <m/>
    <x v="794"/>
    <d v="2024-07-28T00:00:00"/>
    <x v="2"/>
    <m/>
    <d v="2024-09-06T00:00:00"/>
    <n v="-40"/>
    <x v="1"/>
    <x v="1"/>
    <s v="baru"/>
    <s v="18036/SPP/008/PUSAT/ICON+/2022"/>
    <n v="4500017709"/>
    <s v="Fajar Paramita"/>
    <m/>
    <m/>
    <m/>
    <m/>
    <m/>
    <m/>
    <m/>
    <s v="F53"/>
    <m/>
    <m/>
    <s v="1.Biaya sewa 105.010.000"/>
  </r>
  <r>
    <n v="1197"/>
    <x v="395"/>
    <x v="746"/>
    <s v="Mutiara Taman Palem_x000a_ Perumahan Mutiara Taman Palem Blok B 6 No. 1 Jl. Kamal Raya Outering Road Cengkareng Jakarta Barat"/>
    <m/>
    <s v="Lahan Mutiara Taman Palem_x000a_ 1. Bank Panin Blok A2 No. 20 Mutiara Taman Palem_x000a_ 2. Bank Syariah Mandiri Blok A2 No. 09 Mutiara Taman Palem"/>
    <s v="Sewa Tahunan"/>
    <x v="1"/>
    <x v="804"/>
    <m/>
    <m/>
    <m/>
    <m/>
    <m/>
    <x v="389"/>
    <m/>
    <m/>
    <x v="10"/>
    <m/>
    <x v="677"/>
    <d v="2024-07-19T00:00:00"/>
    <x v="2"/>
    <m/>
    <d v="2024-09-06T00:00:00"/>
    <n v="-49"/>
    <x v="1"/>
    <x v="1"/>
    <s v="022011/MI/004/PUSAT/ICON+/2017 | 09420/SPP/008/PUSAT/ICON+/2018 | 4500012028 | 10773/SPP/008/PUSAT/ICON+/2019 | 4500012765 | 4500010138 | 07688/SPP/008/PUSAT/ICON+/2017 |4500011005 | 08796/SPP/008/PUSAT/ICON+/2018 | 4500011630 | 10750/SPP/008/PUSAT/ICON+/2019 | 4500013057 | 13553/SPP/008/PUSAT/ICON+/2020 | 4500014492| 13553/SPP/008/PUSAT/ICON+/2020 | 4500014491 | 18851/SPP/008/PUSAT/ICON+/2022 | 4500018967"/>
    <s v="657/SPP/SBU/ICON+/2023"/>
    <s v="4500021351"/>
    <s v="Fajar Paramita"/>
    <s v="Mugiono"/>
    <s v="021-54350222"/>
    <n v="161"/>
    <s v="B163"/>
    <s v="C93"/>
    <s v="D134"/>
    <s v="E249"/>
    <s v="F335"/>
    <s v="G321"/>
    <m/>
    <s v="1. Sewa Lahan Rp12.000.000/tahun/pelanggan"/>
  </r>
  <r>
    <n v="1198"/>
    <x v="87"/>
    <x v="12"/>
    <s v="Jl.Kuningan Barat 8 Jakarta 12710"/>
    <m/>
    <s v="Box ICON+ di Basement Ke RDC Indonet di Lantai 8 _x000a_ Gedung Cyber _x000a_ Jl. Kuningan Barat No.8 _x000a_ Jakarta"/>
    <s v="Sewa Tahunan"/>
    <x v="1"/>
    <x v="805"/>
    <m/>
    <m/>
    <m/>
    <m/>
    <m/>
    <x v="8"/>
    <m/>
    <m/>
    <x v="7"/>
    <m/>
    <x v="623"/>
    <d v="2020-02-28T00:00:00"/>
    <x v="1"/>
    <m/>
    <d v="2024-09-06T00:00:00"/>
    <n v="-1652"/>
    <x v="9"/>
    <x v="5"/>
    <s v="555/KN/Cable Shaft/II/2017 |07311/SPP/008/PUSAT/ICON+/2017 / 4500010832 | 08299/SPP/008/PUSAT/ICON+/2018 |4500011308"/>
    <s v="10008/SPP/008/PUSAT/ICON+/2019"/>
    <n v="4500012443"/>
    <s v="Fajar Paramita"/>
    <s v="Tito"/>
    <s v="021-5269588 Ext. 620"/>
    <n v="132"/>
    <s v="B73"/>
    <s v="C55"/>
    <m/>
    <m/>
    <m/>
    <m/>
    <m/>
    <m/>
  </r>
  <r>
    <n v="1199"/>
    <x v="87"/>
    <x v="747"/>
    <s v="Jl.Kuningan Barat 8 Jakarta 12710"/>
    <m/>
    <s v="Cyber 1, Jl. Kuningan Barat, Jakarta Selatan"/>
    <s v="Sewa Tahunan"/>
    <x v="1"/>
    <x v="806"/>
    <m/>
    <m/>
    <m/>
    <m/>
    <m/>
    <x v="60"/>
    <m/>
    <m/>
    <x v="39"/>
    <m/>
    <x v="479"/>
    <d v="2023-06-01T00:00:00"/>
    <x v="0"/>
    <m/>
    <d v="2024-09-06T00:00:00"/>
    <n v="-463"/>
    <x v="3"/>
    <x v="6"/>
    <s v="13024/SPP/008/PUSAT/ICON+/2020 | 4500014161| 15788/SPP/008/PUSAT/ICON+/2021| 4500016453"/>
    <s v="18997/SPP/008/PUSAT/ICON+/2022"/>
    <n v="4500018368"/>
    <s v="Fajar Paramita"/>
    <s v="Tito"/>
    <s v="021-5269588 Ext. 620"/>
    <m/>
    <m/>
    <m/>
    <s v="D81"/>
    <s v="E247"/>
    <s v="F301"/>
    <m/>
    <m/>
    <s v="Biaya ORI Sewa Cable Tray Cyber 1 (Karyagraha Nusantara) Rp.7.000.000,-"/>
  </r>
  <r>
    <n v="1200"/>
    <x v="87"/>
    <x v="668"/>
    <s v="Jl.Kuningan Barat 8 Jakarta 12710"/>
    <m/>
    <s v="Cyber 1, Jl. Kuningan Barat, Jakarta Selatan"/>
    <s v="Sewa Tahunan"/>
    <x v="1"/>
    <x v="57"/>
    <m/>
    <m/>
    <m/>
    <m/>
    <m/>
    <x v="41"/>
    <m/>
    <m/>
    <x v="9"/>
    <m/>
    <x v="510"/>
    <d v="2023-06-29T00:00:00"/>
    <x v="0"/>
    <m/>
    <d v="2024-09-06T00:00:00"/>
    <n v="-435"/>
    <x v="3"/>
    <x v="6"/>
    <s v="15887/SPP/008/PUSAT/ICON+/2021| 4500016198"/>
    <s v="18959/SPP/008/PUSAT/ICON+/2022"/>
    <n v="4500018369"/>
    <s v="Fajar Paramita"/>
    <s v="Tito"/>
    <s v="021-5269588 Ext. 620"/>
    <m/>
    <m/>
    <m/>
    <m/>
    <s v="E50"/>
    <s v="F305"/>
    <m/>
    <m/>
    <s v="-"/>
  </r>
  <r>
    <n v="1201"/>
    <x v="87"/>
    <x v="748"/>
    <s v="Gedung Cyber Jl. Kuningan Barat No.8 Kuningan Barat Jakarta"/>
    <m/>
    <s v="Gedung Cyber"/>
    <s v="Sewa Tahunan"/>
    <x v="1"/>
    <x v="807"/>
    <m/>
    <m/>
    <m/>
    <m/>
    <m/>
    <x v="390"/>
    <m/>
    <m/>
    <x v="4"/>
    <m/>
    <x v="794"/>
    <d v="2024-07-28T00:00:00"/>
    <x v="0"/>
    <m/>
    <d v="2024-09-06T00:00:00"/>
    <n v="-40"/>
    <x v="1"/>
    <x v="1"/>
    <s v="061316/SPR/008/PUSAT/ICON+/2016 | 08282/SPP/008/PUSAT/ICON+/2018 |4500011290 | 08772/SPP/008/PUSAT/ICON+/2018 | 4500011604 | 11032/SPP/008/PUSAT/ICON+/2019 | 4500012953 | 13716/SPP/008/PUSAT/ICON+/2020 | 4500014639| 15965/SPP/008/PUSAT/ICON+/2021| 4500016271 | 19407/SPP/008/PUSAT/ICON+/2022 | 4500018856"/>
    <s v="584/SPP/SBU/ICON+/2023"/>
    <n v="4500020823"/>
    <s v="Fajar Paramita"/>
    <s v="Tito"/>
    <s v="021-5269588 Ext. 620"/>
    <s v="B48"/>
    <s v="B138"/>
    <s v="C131"/>
    <s v="D352"/>
    <s v="E240"/>
    <s v="F351"/>
    <s v="G182"/>
    <m/>
    <s v="1. Sewa Cable Shaft -UTP 4 pair dari lantai 10 PT Cyberindo Aditama sampai ke lantai 7 IDC, yang melalui lorong Cable Shaft &quot;B&quot; Rp5.500.000 (Th. 2013) update harga tahun 2016 Rp6.500.000 (Perjanjian serupa)"/>
  </r>
  <r>
    <n v="1202"/>
    <x v="87"/>
    <x v="337"/>
    <s v="Gedung Cyber Jl. Kuningan Barat No.8 Kuningan Barat Jakarta"/>
    <m/>
    <s v="Gedung Cyber"/>
    <s v="Sewa Tahunan"/>
    <x v="1"/>
    <x v="808"/>
    <m/>
    <m/>
    <m/>
    <m/>
    <m/>
    <x v="30"/>
    <m/>
    <m/>
    <x v="4"/>
    <m/>
    <x v="795"/>
    <d v="2025-07-28T00:00:00"/>
    <x v="2"/>
    <m/>
    <d v="2024-09-06T00:00:00"/>
    <n v="325"/>
    <x v="1"/>
    <x v="3"/>
    <m/>
    <s v="3937/SPP/SBU/PLNICONPLUS/2024"/>
    <n v="4500023186"/>
    <s v="Livia Indraswati"/>
    <s v="Tito"/>
    <s v="021-5269588 Ext. 620"/>
    <m/>
    <m/>
    <m/>
    <m/>
    <m/>
    <m/>
    <m/>
    <s v="H270"/>
    <m/>
  </r>
  <r>
    <n v="1203"/>
    <x v="87"/>
    <x v="749"/>
    <s v="Gedung Cyber Jl. Kuningan Barat No.8 Kuningan Barat Jakarta"/>
    <m/>
    <s v="Gedung Cyber"/>
    <s v="Sewa Tahunan"/>
    <x v="1"/>
    <x v="809"/>
    <m/>
    <m/>
    <m/>
    <m/>
    <m/>
    <x v="391"/>
    <m/>
    <m/>
    <x v="6"/>
    <m/>
    <x v="548"/>
    <d v="2023-05-27T00:00:00"/>
    <x v="0"/>
    <m/>
    <d v="2024-09-06T00:00:00"/>
    <n v="-468"/>
    <x v="4"/>
    <x v="6"/>
    <s v="4500009401 _x000a_ Amandemen Ke-Dua Perjanjian Sewa Menyewa Jalur Kabel 132/KN/SUBDUCT/V/2009 |4500010346 |06722/SPP/008/PUSAT/ICON+/2017 |4500011393 | 08447/SPP/008/PUSAT/ICON+/2018 | 10734/SPP/008/PUSAT/ICON+/2019 | 4500012761 | 13359/SPP/008/PUSAT/ICON+/2020 | 4500014450| 15572/SPP/008/PUSAT/ICON+/2021| 4500016058"/>
    <s v="18803/SPP/008/PUSAT/ICON+/2022"/>
    <n v="4500018233"/>
    <s v="Fajar Paramita"/>
    <s v="Tito"/>
    <s v="021-5269588 Ext. 620"/>
    <n v="113"/>
    <s v="B69"/>
    <s v="C98"/>
    <s v="D202"/>
    <s v="E77"/>
    <s v="F198"/>
    <m/>
    <m/>
    <s v="Sewa Subduct (FO 96 core Depan Gedung cyber (Mainhole) ke lantai 1 (APJII)) Rp33.500.000/tahun _x000a_ Jasa Penarikan (One Time Charged)"/>
  </r>
  <r>
    <n v="1204"/>
    <x v="87"/>
    <x v="749"/>
    <s v="Gedung Cyber Jl. Kuningan Barat No.8 Kuningan Barat Jakarta"/>
    <m/>
    <s v="Gedung Cyber"/>
    <s v="Sewa Tahunan"/>
    <x v="1"/>
    <x v="809"/>
    <m/>
    <m/>
    <m/>
    <m/>
    <m/>
    <x v="149"/>
    <m/>
    <m/>
    <x v="6"/>
    <m/>
    <x v="796"/>
    <d v="2024-05-27T00:00:00"/>
    <x v="0"/>
    <m/>
    <d v="2024-09-06T00:00:00"/>
    <n v="-102"/>
    <x v="4"/>
    <x v="1"/>
    <m/>
    <s v=" 662/SPP/SBU/ICON+/2023"/>
    <m/>
    <s v="Livia Indraswati"/>
    <m/>
    <m/>
    <m/>
    <m/>
    <m/>
    <m/>
    <m/>
    <m/>
    <m/>
    <m/>
    <m/>
  </r>
  <r>
    <n v="1205"/>
    <x v="87"/>
    <x v="749"/>
    <s v="Gedung Cyber Jl. Kuningan Barat No.8 Kuningan Barat Jakarta"/>
    <m/>
    <s v="Gedung Cyber"/>
    <s v="Sewa Tahunan"/>
    <x v="1"/>
    <x v="809"/>
    <m/>
    <m/>
    <m/>
    <m/>
    <m/>
    <x v="392"/>
    <m/>
    <m/>
    <x v="6"/>
    <m/>
    <x v="797"/>
    <d v="2025-05-27T00:00:00"/>
    <x v="2"/>
    <m/>
    <d v="2024-09-06T00:00:00"/>
    <n v="263"/>
    <x v="4"/>
    <x v="3"/>
    <m/>
    <m/>
    <m/>
    <s v="Livia Indraswati"/>
    <m/>
    <m/>
    <m/>
    <m/>
    <m/>
    <m/>
    <m/>
    <m/>
    <m/>
    <m/>
    <m/>
  </r>
  <r>
    <n v="1206"/>
    <x v="87"/>
    <x v="750"/>
    <s v="Gedung Cyber Jl. Kuningan Barat No.8 Kuningan Barat Jakarta"/>
    <m/>
    <s v="Gedung Cyber"/>
    <s v="Sewa Tahunan"/>
    <x v="1"/>
    <x v="810"/>
    <m/>
    <m/>
    <m/>
    <m/>
    <m/>
    <x v="50"/>
    <m/>
    <m/>
    <x v="82"/>
    <m/>
    <x v="446"/>
    <d v="2023-05-09T00:00:00"/>
    <x v="1"/>
    <m/>
    <d v="2024-09-06T00:00:00"/>
    <n v="-486"/>
    <x v="4"/>
    <x v="6"/>
    <s v="362A/KN/Cable Shaft/IV_04 |4500009402 | 06721/SPP/008/PUSAT/ICON+/2017/ |4500010349 | 08500/SPP/008/PUSAT/ICON+/2018 | 4500011421 | 10518/SPP/008/PUSAT/ICON+/2019 | 4500012670 | 13509/SPP/008/PUSAT/ICON+/2020 | 4500014574| 15571/SPP/008/PUSAT/ICON+/2021| 4500016300"/>
    <s v="18804/SPP/008/PUSAT/ICON+/2022"/>
    <n v="4500018222"/>
    <s v="Fajar Paramita"/>
    <s v="Tito"/>
    <s v="021-5269588 Ext. 620"/>
    <n v="114"/>
    <s v="B70"/>
    <s v="C73"/>
    <s v="D204"/>
    <s v="E118"/>
    <s v="F207"/>
    <m/>
    <m/>
    <s v="1.Sewa Cable Shaft (FO 12 core dari Subduct depan Gedung Cyber Menuju Lt.10) Rp33.500.000,- _x000a_ 2. Sewa Panel Box Rp6.500.000/tahun_x000a_ 3. Jasa Penarikan (One Time Charged)"/>
  </r>
  <r>
    <n v="1207"/>
    <x v="87"/>
    <x v="751"/>
    <s v="Gedung Cyber Jl. Kuningan Barat No.8 Kuningan Barat Jakarta"/>
    <m/>
    <s v="Gedung Cyber"/>
    <s v="Sewa Tahunan"/>
    <x v="1"/>
    <x v="811"/>
    <m/>
    <m/>
    <m/>
    <m/>
    <m/>
    <x v="239"/>
    <m/>
    <m/>
    <x v="6"/>
    <m/>
    <x v="798"/>
    <d v="2024-08-22T00:00:00"/>
    <x v="2"/>
    <m/>
    <d v="2024-09-06T00:00:00"/>
    <n v="-15"/>
    <x v="12"/>
    <x v="1"/>
    <s v="4500009670 |08061/SPP/008/PUSAT/ICON+/2018 | 4500011266 | 08887/SPP/008/PUSAT/ICON+/2018 | 4500011679 | 11070/SPP/008/PUSAT/ICON+/2019 | 4500012955 | 13799/SPP/008/PUSAT/ICON+/2020 | 4500014682"/>
    <s v="2331/SPP/SBU/ICON+/2024"/>
    <n v="4500022456"/>
    <s v="Fajar Paramita"/>
    <s v="Tito"/>
    <s v="021-5269588 Ext. 620"/>
    <s v="B78"/>
    <s v="B125"/>
    <s v="C128"/>
    <s v="D160"/>
    <m/>
    <m/>
    <s v="H253"/>
    <m/>
    <s v="Sewa Subduct (FO 16 Core dari Mainhole ke Lt. 7) - Rp33.500.000,-_x000a_ Biaya Penarikan Kabel FO-Rp2.000.000,- (non resmi-One Time Charged) (PJ No. 078/KN-D/SUBDUCT/VIII/01)"/>
  </r>
  <r>
    <n v="1208"/>
    <x v="87"/>
    <x v="752"/>
    <s v="Gedung Cyber Jl. Kuningan Barat No.8 Kuningan Barat Jakarta"/>
    <m/>
    <s v="Gedung Cyber"/>
    <s v="Sewa Tahunan"/>
    <x v="1"/>
    <x v="812"/>
    <m/>
    <m/>
    <m/>
    <m/>
    <m/>
    <x v="112"/>
    <m/>
    <m/>
    <x v="9"/>
    <m/>
    <x v="799"/>
    <d v="2024-09-05T00:00:00"/>
    <x v="2"/>
    <m/>
    <d v="2024-09-06T00:00:00"/>
    <n v="-1"/>
    <x v="7"/>
    <x v="1"/>
    <s v="4500009707_x000a_ Amandemen Kedua 07326/SPP/008/PUSAT/ICON+/2017 4500010738 | 09046/SPP/008/PUSAT/ICON+/2018 | 4500011779 | 11660/SPP/008/PUSAT/ICON+/2019 | 4500013290| 13983/SPP/008/PUSAT/ICON+/2020| 4500014857| 18428/SPP/008/PUSAT/ICON+/2022| 4500017892 | 19253/SPP/008/PUSAT/ICON+/2022 | 4500018445"/>
    <s v="586/SPP/SBU/ICON+/2023"/>
    <n v="4500020939"/>
    <s v="Fajar Paramita"/>
    <s v="Tito"/>
    <s v="021-5269588 Ext. 620"/>
    <s v="B17"/>
    <s v="B148"/>
    <s v="C193"/>
    <s v="D178"/>
    <s v="F142"/>
    <s v="F264"/>
    <s v="G393"/>
    <m/>
    <s v="Sewa Menyewa Cable Shaft dari Lt. Basement PT Indonesia Comnets Plus ke Lt. 8 (PT Indonet)"/>
  </r>
  <r>
    <n v="1209"/>
    <x v="87"/>
    <x v="753"/>
    <s v="Gedung Cyber Jl. Kuningan Barat No.8 Kuningan Barat Jakarta"/>
    <m/>
    <s v="Gedung Cyber"/>
    <s v="Sewa Tahunan"/>
    <x v="1"/>
    <x v="813"/>
    <m/>
    <m/>
    <m/>
    <m/>
    <m/>
    <x v="393"/>
    <m/>
    <m/>
    <x v="222"/>
    <m/>
    <x v="800"/>
    <d v="2024-09-03T00:00:00"/>
    <x v="2"/>
    <m/>
    <d v="2024-09-06T00:00:00"/>
    <n v="-3"/>
    <x v="7"/>
    <x v="1"/>
    <s v="4500009705 | 08031/SPP/008/PUSAT/ICON+/2018 | 4500011267 | 09077/SPP/008/PUSAT/ICON+/2018 | 4500011783 | 11461/SPP/008/PUSAT/ICON+/2019 | 4500013200| 13984/SPP/008/PUSAT/ICON+/2020 | 4500014998| 16862/SPP/008/PUSAT/ICON+/2021| 4500016998 | 19241/SPP/008/PUSAT/ICON+/2022 | 4500018456"/>
    <s v="579/SPP/SBU/ICON+/2023"/>
    <n v="4500020824"/>
    <s v="Fajar Paramita"/>
    <s v="Tito"/>
    <s v="021-5269588 Ext. 620"/>
    <s v="B43"/>
    <s v="B190"/>
    <s v="C175"/>
    <s v="E317"/>
    <m/>
    <s v="F265"/>
    <s v="G172"/>
    <m/>
    <s v="Sewa Subduct (FO 96 Core dan Sewa Cable Shaft 24 Core dari mainhole ke Lt.7 di gedung Cyber)"/>
  </r>
  <r>
    <n v="1210"/>
    <x v="87"/>
    <x v="754"/>
    <s v="Gedung Cyber Jl. Kuningan Barat No.8 Kuningan Barat Jakarta"/>
    <m/>
    <s v="Gedung Cyber"/>
    <s v="Sewa Tahunan"/>
    <x v="1"/>
    <x v="814"/>
    <m/>
    <m/>
    <m/>
    <m/>
    <m/>
    <x v="279"/>
    <m/>
    <m/>
    <x v="6"/>
    <m/>
    <x v="801"/>
    <d v="2024-12-28T00:00:00"/>
    <x v="2"/>
    <m/>
    <d v="2024-09-06T00:00:00"/>
    <n v="113"/>
    <x v="5"/>
    <x v="1"/>
    <s v="4500009958 | 07584/SPP/008/PUSAT/ICON+/2017 |4500010908 | 09769/SPP/008/PUSAT/ICON+/2018 |4500012231 | 12174/SPP/008/PUSAT/ICON+/2019 | 4500013735| 14795/SPP/008/PUSAT/ICON+/2020| 4500015420 | 17501/SPP/008/PUSAT/ICON+/2021 | 4500017569"/>
    <s v="2496/SPP/SBU/ICON+/2024"/>
    <n v="4500022803"/>
    <s v="Fajar Paramita"/>
    <s v="Tito"/>
    <s v="021-5269588 Ext. 620"/>
    <n v="134"/>
    <s v="B263"/>
    <s v="D10"/>
    <s v="E179"/>
    <m/>
    <s v="F64"/>
    <s v="H252"/>
    <m/>
    <s v="Sewa Subduct dari Rack ICON+ Lantai Basement (PABX) sampai ke Handhole Depan Gedung Cyber untuk penempatan 1 (satu) buah kabel FO 4 core (PJ Nomor 069/KN/SUBDUCT/XII/05)"/>
  </r>
  <r>
    <n v="1211"/>
    <x v="87"/>
    <x v="755"/>
    <s v="Gedung Cyber Jl. Kuningan Barat No.8 Kuningan Barat Jakarta"/>
    <m/>
    <s v="Gedung Cyber"/>
    <s v="Sewa Tahunan"/>
    <x v="1"/>
    <x v="815"/>
    <m/>
    <m/>
    <m/>
    <m/>
    <m/>
    <x v="394"/>
    <m/>
    <m/>
    <x v="4"/>
    <m/>
    <x v="801"/>
    <d v="2024-12-28T00:00:00"/>
    <x v="2"/>
    <m/>
    <d v="2024-09-06T00:00:00"/>
    <n v="113"/>
    <x v="5"/>
    <x v="1"/>
    <s v="0181116/SPR/ICON+/2016 07615/SPP/008/PUSAT/ICON+/2017 4500010954 | 09704/SPP/008/PUSAT/ICON+/2018 | 4500012170 | 12209/SPP/008/PUSAT/ICON+/2019 | 4500013736|14780/SPP/008/PUSAT/ICON+/2020| 14780/SPP/008/PUSAT/ICON+/2020| 4500015421 | 17500/SPP/008/PUSAT/ICON+/2021 | 4500017568"/>
    <s v="2332/SPP/SBU/PLNICONPLUS/2024"/>
    <n v="4500022478"/>
    <s v="Fajar Paramita"/>
    <s v="Tito"/>
    <s v="021-5269588 Ext. 620"/>
    <n v="145"/>
    <s v="B262"/>
    <s v="D11"/>
    <s v="D11"/>
    <s v="E162"/>
    <s v="F63"/>
    <s v="H254"/>
    <m/>
    <s v="Sewa Cable Shaft -STP dari Lt.5 (PT Excelcomindo Pratama) ke Lantai 1 (APJII) melalui lorong cable shaft &quot;B&quot; Rp7.500.000/tahun (PJ No. 930/KN/Cable Shaft/XII/2009)"/>
  </r>
  <r>
    <n v="1212"/>
    <x v="87"/>
    <x v="756"/>
    <s v="Gedung Cyber Jl. Kuningan Barat No.8 Kuningan Barat Jakarta"/>
    <m/>
    <s v="Gedung Cyber"/>
    <s v="Sewa Tahunan"/>
    <x v="1"/>
    <x v="816"/>
    <m/>
    <m/>
    <m/>
    <m/>
    <m/>
    <x v="20"/>
    <m/>
    <m/>
    <x v="4"/>
    <m/>
    <x v="515"/>
    <d v="2023-01-20T00:00:00"/>
    <x v="0"/>
    <m/>
    <d v="2024-09-06T00:00:00"/>
    <n v="-595"/>
    <x v="11"/>
    <x v="6"/>
    <s v="2230117/SPR/ICON+/2017 | 08176/SPP/008/PUSAT/ICON+/2018 | 4500011268 | 10022/SPP/008/PUSAT/ICON+/2019 | 4500012421 | 12503/SPP/008/PUSAT/ICON+/2020 | 4500013867 | 12503/SPP/008/PUSAT/ICON+/2020 | 4500013867| 15133/SPP/008/PUSAT/ICON+/2021| 4500015724"/>
    <s v="17623/SPP/008/PUSAT/ICON+/2022"/>
    <n v="4500017884"/>
    <s v="Fajar Paramita"/>
    <s v="Tito"/>
    <s v="021-5269588 Ext. 620"/>
    <m/>
    <s v="B41"/>
    <s v="C21"/>
    <s v="D25"/>
    <s v="E42"/>
    <s v="F138"/>
    <m/>
    <m/>
    <s v="1. Sewa Cable Shaft STP dari Data Center APJII Cage KS di Lt. 1 ke CDC Media Nusantara Data Global di Lt. 2 PT Ipwan Global Telecom Rp6.000.000/tahun update tahun 2016 menjadi Rp6.500.000,-/tahun_x000a_ 2. Jasa Penarikan Rp2.600.000/One Time Charge"/>
  </r>
  <r>
    <n v="1213"/>
    <x v="87"/>
    <x v="756"/>
    <s v="Gedung Cyber Jl. Kuningan Barat No.8 Kuningan Barat Jakarta"/>
    <m/>
    <s v="Gedung Cyber"/>
    <s v="Sewa Tahunan"/>
    <x v="1"/>
    <x v="816"/>
    <m/>
    <m/>
    <m/>
    <m/>
    <m/>
    <x v="10"/>
    <m/>
    <m/>
    <x v="4"/>
    <m/>
    <x v="802"/>
    <d v="2025-01-20T00:00:00"/>
    <x v="2"/>
    <m/>
    <d v="2024-09-06T00:00:00"/>
    <n v="136"/>
    <x v="11"/>
    <x v="3"/>
    <m/>
    <s v="4056/SPP/SBU/PLNICONPLUS/2024"/>
    <n v="4500023280"/>
    <s v="Livia Indraswati"/>
    <s v="Tito"/>
    <s v="021-5269588 Ext. 621"/>
    <m/>
    <m/>
    <m/>
    <m/>
    <m/>
    <m/>
    <m/>
    <s v="H286"/>
    <s v="1. Sewa Cable Shaft STP dari Data Center APJII Cage KS di Lt. 1 ke CDC Media Nusantara Data Global di Lt. 2 PT Ipwan Global Telecom Rp6.000.000/tahun update tahun 2016 menjadi Rp6.500.000,-/tahun_x000a_ 2. Jasa Penarikan Rp2.600.000/One Time Charge"/>
  </r>
  <r>
    <n v="1214"/>
    <x v="87"/>
    <x v="756"/>
    <s v="Gedung Cyber Jl. Kuningan Barat No.8 Kuningan Barat Jakarta"/>
    <m/>
    <s v="Gedung Cyber"/>
    <s v="Sewa Tahunan"/>
    <x v="1"/>
    <x v="246"/>
    <m/>
    <m/>
    <m/>
    <m/>
    <m/>
    <x v="10"/>
    <m/>
    <m/>
    <x v="4"/>
    <m/>
    <x v="803"/>
    <d v="2023-01-28T00:00:00"/>
    <x v="0"/>
    <m/>
    <d v="2024-09-06T00:00:00"/>
    <n v="-587"/>
    <x v="11"/>
    <x v="6"/>
    <s v="2220117/SPR/008/PUSAT/ICON+/2017 | 08007/SPP/008/PUSAT/ICON+/2018 | 4500011168 | 10019/SPP/008/PUSAT/ICON+/2019 | 4500012416 | 12504/SPP/008/PUSAT/ICON+/2020 | 4500013868| 15134/SPP/008/PUSAT/ICON+/2021| 4500015725"/>
    <s v="17674/SPP/008/PUSAT/ICON+/2022"/>
    <n v="4500017885"/>
    <s v="Fajar Paramita"/>
    <s v="Tito"/>
    <s v="021-5269588 Ext. 620"/>
    <m/>
    <s v="B20"/>
    <s v="C19"/>
    <s v="D26"/>
    <s v="E158"/>
    <s v="F136"/>
    <m/>
    <m/>
    <s v="1. Sewa Cable Shaft STP dari Data Center APJII Cage KS di Lt. 1 ke CDC Media Nusantara Data Global di Lt. 2 PT Ipwan Global Telecom (Back Up) Rp6.000.000/tahun update tahun 2016 naik menjadi Rp6.500.000,-_x000a_ 2. Jasa Penarikan Rp2.600.000/One Time Charge"/>
  </r>
  <r>
    <n v="1215"/>
    <x v="87"/>
    <x v="756"/>
    <s v="Gedung Cyber Jl. Kuningan Barat No.8 Kuningan Barat Jakarta"/>
    <m/>
    <s v="Gedung Cyber"/>
    <s v="Sewa Tahunan"/>
    <x v="1"/>
    <x v="246"/>
    <m/>
    <m/>
    <m/>
    <m/>
    <m/>
    <x v="10"/>
    <m/>
    <m/>
    <x v="4"/>
    <m/>
    <x v="804"/>
    <d v="2025-01-28T00:00:00"/>
    <x v="2"/>
    <m/>
    <d v="2024-09-06T00:00:00"/>
    <n v="144"/>
    <x v="11"/>
    <x v="3"/>
    <m/>
    <s v="4057/SPP/SBU/PLNICONPLUS/2024"/>
    <n v="4500023281"/>
    <s v="Livia Indraswati"/>
    <s v="Tito"/>
    <s v="021-5269588 Ext. 620"/>
    <m/>
    <m/>
    <m/>
    <m/>
    <m/>
    <m/>
    <m/>
    <s v="H287"/>
    <s v="1. Sewa Cable Shaft STP dari Data Center APJII Cage KS di Lt. 1 ke CDC Media Nusantara Data Global di Lt. 2 PT Ipwan Global Telecom (Back Up) Rp6.000.000/tahun update tahun 2016 naik menjadi Rp6.500.000,-_x000a_ 2. Jasa Penarikan Rp2.600.000/One Time Charge"/>
  </r>
  <r>
    <n v="1216"/>
    <x v="87"/>
    <x v="342"/>
    <s v="Gedung Cyber Jl. Kuningan Barat No.8 Kuningan Barat Jakarta"/>
    <m/>
    <s v="Gedung Cyber"/>
    <s v="Sewa Tahunan"/>
    <x v="1"/>
    <x v="364"/>
    <m/>
    <m/>
    <m/>
    <m/>
    <m/>
    <x v="154"/>
    <m/>
    <m/>
    <x v="28"/>
    <m/>
    <x v="805"/>
    <d v="2024-03-01T00:00:00"/>
    <x v="2"/>
    <m/>
    <d v="2024-09-06T00:00:00"/>
    <n v="-189"/>
    <x v="8"/>
    <x v="1"/>
    <s v="PJ 009/KN/CABLE TRAY/III/2014 | _x000a_ 022217/SPR/008/PUSAT/ICON+/2016 |_x000a_ 08303/SPP/008/PUSAT/ICON+/2018 | 4500011357 | 10591/SPP/008/PUSAT/ICON+/2019 | 4500012658 | 12717/SPP/008/PUSAT/ICON+/2020 | 4500013997| 15250/SPP/008/PUSAT/ICON+/2021| 4500016449 | 18372/SPP/008/PUSAT/ICON+/2022 | 4500017865"/>
    <s v="2333/SPP/SBU/ICON+/2024"/>
    <n v="4500022196"/>
    <s v="Fajar Paramita"/>
    <s v="Tito"/>
    <s v="021-5269588 Ext. 620"/>
    <m/>
    <s v="B68"/>
    <s v="C68"/>
    <s v="D67"/>
    <s v="E236"/>
    <s v="F143"/>
    <s v="H255"/>
    <m/>
    <s v="1. Sewa Shaft Kabel STP dari Ruang Data Center CBN di Lt.10 menuju ke Data Center Flash Mobile di Lt.10 @ Rp2.000.000/tahun/tarikan total untuk 2 tarikan Rp4.000.000/tahun update tahun 2016 @Rp2.500.000,-_x000a_ 2. Jasa Penarikan Kabel FO One Time Charged @ Rp2.000.000,-/tarikan/One tima Charged total untuk 2 tarikan Rp4.000.000/One Time Charged _x000a_(PJ No. 009/KN/Cable Tray/III/2014)"/>
  </r>
  <r>
    <n v="1217"/>
    <x v="87"/>
    <x v="346"/>
    <s v="Gedung Cyber Jl. Kuningan Barat No.8 Kuningan Barat Jakarta"/>
    <m/>
    <s v="Gedung Cyber"/>
    <s v="Sewa Tahunan"/>
    <x v="1"/>
    <x v="817"/>
    <m/>
    <m/>
    <m/>
    <m/>
    <m/>
    <x v="8"/>
    <m/>
    <m/>
    <x v="403"/>
    <m/>
    <x v="806"/>
    <d v="2020-01-08T00:00:00"/>
    <x v="0"/>
    <m/>
    <d v="2024-09-06T00:00:00"/>
    <n v="-1703"/>
    <x v="11"/>
    <x v="5"/>
    <s v="2240117/SPR/ICON+/2017 | 08208/SPP/008/PUSAT/ICON+/2018 | 4500011297"/>
    <s v="09874/SPP/008/PUSAT/ICON+/2018"/>
    <n v="4500012317"/>
    <s v="Fajar Paramita"/>
    <s v="Tito"/>
    <s v="021-5269588 Ext. 620"/>
    <s v="-"/>
    <s v="B49"/>
    <s v="B281"/>
    <m/>
    <m/>
    <m/>
    <m/>
    <m/>
    <s v="1. Sewa Kabel Shaft unutk 1 fo 6 core dari APJII Cage ke PT Multitech Infomedia Lt.1 (Data Center MDC sebrang Gedung Cyber 1) Rp5.500.000,-/Tahun update tahun 2016 naik menjadi Rp6.000.000,-"/>
  </r>
  <r>
    <n v="1218"/>
    <x v="87"/>
    <x v="155"/>
    <s v="Gedung Cyber Jl. Kuningan Barat No.8 Kuningan Barat Jakarta"/>
    <m/>
    <s v="Gedung Cyber"/>
    <s v="Sewa Tahunan"/>
    <x v="1"/>
    <x v="818"/>
    <m/>
    <m/>
    <m/>
    <m/>
    <m/>
    <x v="395"/>
    <m/>
    <m/>
    <x v="7"/>
    <m/>
    <x v="807"/>
    <d v="2020-06-16T00:00:00"/>
    <x v="1"/>
    <m/>
    <d v="2024-09-06T00:00:00"/>
    <n v="-1543"/>
    <x v="3"/>
    <x v="5"/>
    <s v="07346/SPP/008/PUSAT/ICON+/2017 | 4500010834 | 08621/SPP/008/PUSAT/ICON+/2018 | 4500011562"/>
    <s v="10897/SPP/008/PUSAT/ICON+/2019"/>
    <n v="4500012950"/>
    <s v="Fajar Paramita"/>
    <s v="Tito"/>
    <s v="021-5269588 Ext. 620"/>
    <n v="109"/>
    <s v="B105"/>
    <s v="C129"/>
    <m/>
    <m/>
    <m/>
    <m/>
    <m/>
    <s v="Biaya Sewa Rp.8.500.000 , Biaya Materai Rp.6.000.000"/>
  </r>
  <r>
    <n v="1219"/>
    <x v="87"/>
    <x v="342"/>
    <s v="Gedung Cyber Jl. Kuningan Barat No.8 Kuningan Barat Jakarta"/>
    <m/>
    <s v="Gedung Cyber"/>
    <s v="Sewa Tahunan"/>
    <x v="1"/>
    <x v="819"/>
    <m/>
    <m/>
    <m/>
    <m/>
    <m/>
    <x v="154"/>
    <m/>
    <m/>
    <x v="28"/>
    <m/>
    <x v="770"/>
    <d v="2023-03-01T00:00:00"/>
    <x v="1"/>
    <m/>
    <d v="2024-09-06T00:00:00"/>
    <n v="-555"/>
    <x v="8"/>
    <x v="6"/>
    <s v="369/KN/CABLE TRAY/III/2014 |032214_MI_2540117_SPR_PRMN PBYN Perpanjangan Sewa Cable di Karyagraha Nusantara PJ 369 | 08192/SPP/008/PUSAT/ICON+/2018 | 4500011273 | 10611/SPP/008/PUSAT/ICON+/2019 | 4500012659 | 4500014655 | 12771/SPP/008/PUSAT/ICON+/2020| 15251/SPP/008/PUSAT/ICON+/2021| 4500016456"/>
    <s v="18373/SPP/008/PUSAT/ICON+/2022"/>
    <n v="4500017864"/>
    <s v="Fajar Paramita"/>
    <s v="Tito"/>
    <s v="021-5269588 Ext. 620"/>
    <m/>
    <s v="B46"/>
    <s v="C67"/>
    <s v="D349"/>
    <s v="E241"/>
    <s v="F141"/>
    <m/>
    <m/>
    <s v="1. Sewa Shaft Kabel STP dari Ruang Data Center CBN di Lt.10 menuju ke Data Center Flash Mobile di Lt.10 @ Rp2.000.000/tahun/tarikan total untuk 2 tarikan Rp4.000.000/tahun update tahun 2016 @Rp2.500.000,-_x000a_ 2. Jasa Penarikan Kabel FO One Time Charged @ Rp2.000.000,-/tarikan/One tima Charged total untuk 2 tarikan Rp4.000.000/One Time Charged"/>
  </r>
  <r>
    <n v="1220"/>
    <x v="87"/>
    <x v="210"/>
    <s v="Gedung Cyber Jl. Kuningan Barat No.8 Kuningan Barat Jakarta"/>
    <m/>
    <s v="Gedung Cyber (PT Bank Central Asia)"/>
    <s v="Sewa Tahunan"/>
    <x v="1"/>
    <x v="820"/>
    <m/>
    <m/>
    <m/>
    <m/>
    <m/>
    <x v="396"/>
    <m/>
    <m/>
    <x v="4"/>
    <m/>
    <x v="663"/>
    <d v="2024-10-23T00:00:00"/>
    <x v="2"/>
    <m/>
    <d v="2024-09-06T00:00:00"/>
    <n v="47"/>
    <x v="6"/>
    <x v="1"/>
    <s v="090706/SPR/008/PUSAT/ICON+/2016 |08180/SPP/008/PUSAT/ICON+/2018 | 4500011265 | 09200/SPP/008/PUSAT/ICON+/2018 | 4500011928 | 11540/SPP/008/PUSAT/ICON+/2019 | 4500013205| 14447/SPP/008/PUSAT/ICON+/2020| 4500015202 | 17314/SPP/008/PUSAT/ICON+/2021 | 4500017513 | 4500019535"/>
    <n v="2338"/>
    <n v="4500022363"/>
    <s v="Fajar Paramita"/>
    <s v="Tito"/>
    <s v="021-5269588 Ext. 620"/>
    <s v="B143"/>
    <s v="B217"/>
    <s v="C177"/>
    <s v="D284"/>
    <s v="F65"/>
    <s v="F436"/>
    <s v="H106"/>
    <m/>
    <s v="1. Sewa Kabel Shaft 1 STP dari Data Center APJII Cage KS di Lt. 1 ke PT Dhecyber Flow Indonesia (BCA-H2H Trans Jakarta) di Lt. 5 Rp6.000.000,-/Tahun update tahun 2016 Rp6.500.000,-"/>
  </r>
  <r>
    <n v="1221"/>
    <x v="87"/>
    <x v="54"/>
    <s v="Gedung Cyber Jl. Kuningan Barat No.8 Kuningan Barat Jakarta"/>
    <m/>
    <s v="Gedung Cyber (PT Dankom Mitra Abadi)"/>
    <s v="Sewa Tahunan"/>
    <x v="1"/>
    <x v="821"/>
    <m/>
    <m/>
    <m/>
    <m/>
    <m/>
    <x v="397"/>
    <m/>
    <m/>
    <x v="4"/>
    <m/>
    <x v="184"/>
    <d v="2022-08-30T00:00:00"/>
    <x v="1"/>
    <m/>
    <d v="2024-09-06T00:00:00"/>
    <n v="-738"/>
    <x v="12"/>
    <x v="2"/>
    <s v="072807/SPR/008/PUSAT/ICON+/2016 |08043/SPP/008/PUSAT/ICON+/2018 |4500011243 |08899/SPP/008/PUSAT/ICON+/2018 | 4500011681 | 11069/SPP/008/PUSAT/ICON+/2019 | 4500012954 | 13800/SPP/008/PUSAT/ICON+/2020 | 4500014683"/>
    <s v="16196/SPP/008/PUSAT/ICON+/2021"/>
    <n v="4500016495"/>
    <s v="Fajar Paramita"/>
    <s v="Tito"/>
    <s v="021-5269588 Ext. 620"/>
    <s v="B44"/>
    <s v="B128"/>
    <s v="C130"/>
    <s v="D159"/>
    <s v="E294"/>
    <m/>
    <m/>
    <m/>
    <s v="1. Sewa Cable STP dari RDC APJII Lt. 1 ke CDC menuju PT Media Nusantara Data Global Rak No. 2A0817 (Lt. 2-PT Dankom Mitra Abadi). Perjanjian Nomor 855_KN_Cable Shaft_VIII_2015"/>
  </r>
  <r>
    <n v="1222"/>
    <x v="87"/>
    <x v="200"/>
    <s v="Jl.Kuningan Barat 8 Jakarta 12710"/>
    <m/>
    <s v="Primacom Sigma German Center BSD Backhaul IPVN (NNI)"/>
    <s v="Sewa Tahunan"/>
    <x v="1"/>
    <x v="729"/>
    <m/>
    <m/>
    <m/>
    <m/>
    <m/>
    <x v="3"/>
    <m/>
    <m/>
    <x v="39"/>
    <m/>
    <x v="478"/>
    <d v="2023-05-03T00:00:00"/>
    <x v="0"/>
    <m/>
    <d v="2024-09-06T00:00:00"/>
    <n v="-492"/>
    <x v="4"/>
    <x v="6"/>
    <s v="08495/SPP/008/PUSAT/ICON+/2018 | 4500011418 |10280/SPP/008/PUSAT/ICON+/2019 | 4500012485 | 13421/SPP/008/PUSAT/ICON+/2020 | 4500014438 | 15765/SPP/008/PUSAT/ICON+/2021| 4500016299"/>
    <s v="18789/SPP/008/PUSAT/ICON+/2022"/>
    <n v="4500018381"/>
    <s v="Fajar Paramita"/>
    <s v="Tito"/>
    <s v="021-5269588 Ext. 620"/>
    <m/>
    <m/>
    <s v="C52"/>
    <s v="D213"/>
    <s v="E271"/>
    <s v="F302"/>
    <m/>
    <m/>
    <s v="1.Biaya Sekali bayar Rp.3.500.000 2.Biaya Sewa pertahun 6.000.000 3.Biaya Materai 6.000 4.Biaya PKB ( RAB Biaya Aktivasi) Rp.8.577.508. Perjanjian Nomor 725_KN_Cable Shaft_V_2018"/>
  </r>
  <r>
    <n v="1223"/>
    <x v="87"/>
    <x v="757"/>
    <s v="Gedung Cyber Jl. Kuningan Barat No.8 Kuningan Barat Jakarta"/>
    <m/>
    <s v="RDC APJII ke RDC GSD Alpha Gedung Cyber_x000a_ Gedung Cyber _x000a_ Jl. Kuningan Barat No.8 _x000a_ Jakarta"/>
    <s v="Sewa Tahunan"/>
    <x v="1"/>
    <x v="822"/>
    <m/>
    <m/>
    <m/>
    <m/>
    <m/>
    <x v="3"/>
    <m/>
    <m/>
    <x v="20"/>
    <m/>
    <x v="623"/>
    <d v="2020-02-29T00:00:00"/>
    <x v="1"/>
    <m/>
    <d v="2024-09-06T00:00:00"/>
    <n v="-1651"/>
    <x v="9"/>
    <x v="5"/>
    <s v="07312/SPP/008/PUSAT/ICON+/2017 | 4500010833 | 08297/SPP/008/PUSAT/ICON+/2018 | 4500011311"/>
    <s v="09894/SPP/008/PUSAT/ICON+/2018"/>
    <n v="4500012337"/>
    <s v="Fajar Paramita"/>
    <s v="Tito"/>
    <s v="021-5269588 Ext. 620"/>
    <n v="112"/>
    <s v="B123"/>
    <s v="B278"/>
    <m/>
    <m/>
    <m/>
    <m/>
    <m/>
    <s v="Perjanjian Nomor 554_KN_Cable Tray_II_2017"/>
  </r>
  <r>
    <n v="1224"/>
    <x v="87"/>
    <x v="556"/>
    <s v="Jl.Kuningan Barat 8 Jakarta 12711"/>
    <m/>
    <s v="sentra mulia Jl. H. R. Rasuna Said No.Kav X-6, 8"/>
    <s v="Sewa Tahunan"/>
    <x v="1"/>
    <x v="612"/>
    <m/>
    <m/>
    <m/>
    <m/>
    <m/>
    <x v="398"/>
    <m/>
    <m/>
    <x v="251"/>
    <m/>
    <x v="623"/>
    <d v="2020-03-01T00:00:00"/>
    <x v="0"/>
    <m/>
    <d v="2024-09-06T00:00:00"/>
    <n v="-1650"/>
    <x v="8"/>
    <x v="5"/>
    <s v="baru"/>
    <s v="10694/SPP/008/PUSAT/ICON+/2019"/>
    <n v="4500012686"/>
    <s v="Fajar Paramita"/>
    <s v="Tito"/>
    <s v="021-5269588 Ext. 621"/>
    <m/>
    <m/>
    <s v="C75"/>
    <m/>
    <m/>
    <m/>
    <m/>
    <m/>
    <s v="1.Biaya sewa 16.000.000"/>
  </r>
  <r>
    <n v="1225"/>
    <x v="396"/>
    <x v="758"/>
    <s v="Lahan Berikat Nusantara SBU Lahan Tanjung Proik Marunda"/>
    <m/>
    <s v="Jalan Semarang Blok A6 No.4, Lahan Berikat (KBN) North, Jl. Nusantara, RW.2, Cakung Bar., Kec. Cilincing, Kota Jkt Utara, Daerah Khusus Ibukota Jakarta 14140,  KEC. CILINCING,  Jakarta Utara,  DKI Jakarta,  Indonesia,"/>
    <s v="Sewa Tahunan"/>
    <x v="1"/>
    <x v="545"/>
    <m/>
    <m/>
    <m/>
    <m/>
    <m/>
    <x v="30"/>
    <m/>
    <m/>
    <x v="210"/>
    <m/>
    <x v="737"/>
    <d v="2024-08-14T00:00:00"/>
    <x v="2"/>
    <m/>
    <d v="2024-09-06T00:00:00"/>
    <n v="-23"/>
    <x v="12"/>
    <x v="1"/>
    <s v="4500018666 | 19547/SPP/008/PUSAT/ICON+/2022 | 4500018666"/>
    <s v="1240/SPP/SBU/ICON+/2023"/>
    <n v="4500021424"/>
    <s v="Fajar Paramita"/>
    <s v="Mulyana "/>
    <m/>
    <m/>
    <m/>
    <m/>
    <m/>
    <m/>
    <s v="F273"/>
    <s v="G329"/>
    <m/>
    <m/>
  </r>
  <r>
    <n v="1226"/>
    <x v="396"/>
    <x v="759"/>
    <s v="Lahan Berikat Nusantara SBU Lahan Tanjung Proik Marunda"/>
    <m/>
    <s v="Jl. Fak-fak No.6, RW.2, Cilincing, Kec. Cilincing, Kota Jkt Utara, Daerah Khusus Ibukota Jakarta 14120"/>
    <s v="Sewa Tahunan"/>
    <x v="1"/>
    <x v="408"/>
    <m/>
    <m/>
    <m/>
    <m/>
    <m/>
    <x v="215"/>
    <m/>
    <m/>
    <x v="210"/>
    <m/>
    <x v="666"/>
    <d v="2024-08-04T00:00:00"/>
    <x v="2"/>
    <m/>
    <d v="2024-09-06T00:00:00"/>
    <n v="-33"/>
    <x v="12"/>
    <x v="1"/>
    <s v="4500018591 | 19426/SPP/008/PUSAT/ICON+/2022 |4500018591"/>
    <m/>
    <n v="4500021425"/>
    <s v="Fajar Paramita"/>
    <s v="Mulyana "/>
    <m/>
    <m/>
    <m/>
    <m/>
    <m/>
    <m/>
    <s v="F252"/>
    <s v="G334"/>
    <m/>
    <m/>
  </r>
  <r>
    <n v="1227"/>
    <x v="396"/>
    <x v="760"/>
    <s v="Lahan Berikat Nusantara SBU Lahan Tanjung Proik Marunda"/>
    <s v="Jl. Fak-fak No.6, RW.2, Cilincing, Kec. Cilincing, Kota_x000a_Jkt Utara, Daerah Khusus Ibukota Jakarta 14120"/>
    <s v="Jl. Semarang Bl A-6 No. 1 Marunda Cilincing Jakarta Utara DKI Jakarta, RW.2, Cilincing, Kec. Cilincing, Kota Jkt Utara, Daerah Khusus Ibukota Jakarta 14120"/>
    <s v="Sewa Tahunan"/>
    <x v="1"/>
    <x v="823"/>
    <m/>
    <m/>
    <m/>
    <m/>
    <m/>
    <x v="215"/>
    <m/>
    <m/>
    <x v="210"/>
    <m/>
    <x v="794"/>
    <d v="2024-07-28T00:00:00"/>
    <x v="2"/>
    <m/>
    <d v="2024-09-06T00:00:00"/>
    <n v="-40"/>
    <x v="1"/>
    <x v="1"/>
    <s v="4500018514 | 19348 | 4500018514"/>
    <s v=" _x0009_2241"/>
    <n v="4500022208"/>
    <s v="Fajar Paramita"/>
    <s v="Mulyana "/>
    <m/>
    <m/>
    <m/>
    <m/>
    <m/>
    <m/>
    <s v="F237"/>
    <m/>
    <s v="H84"/>
    <m/>
  </r>
  <r>
    <n v="1228"/>
    <x v="396"/>
    <x v="761"/>
    <s v="Lahan Berikat Nusantara SBU Lahan Tanjung Proik Marunda"/>
    <m/>
    <s v="Jl.Raya Cakung Cirincing Jakarta Utara 14140"/>
    <s v="Sewa Tahunan"/>
    <x v="1"/>
    <x v="824"/>
    <m/>
    <m/>
    <m/>
    <m/>
    <m/>
    <x v="112"/>
    <m/>
    <m/>
    <x v="223"/>
    <m/>
    <x v="808"/>
    <d v="2024-03-01T00:00:00"/>
    <x v="2"/>
    <m/>
    <d v="2024-09-06T00:00:00"/>
    <n v="-189"/>
    <x v="8"/>
    <x v="1"/>
    <n v="450009644"/>
    <s v="19468/SPP/008/PUSAT/ICON+/2022"/>
    <n v="450018679"/>
    <s v="Fajar Paramita"/>
    <s v="Mulyana "/>
    <m/>
    <m/>
    <s v="B8"/>
    <m/>
    <m/>
    <m/>
    <s v="F292"/>
    <m/>
    <m/>
    <m/>
  </r>
  <r>
    <n v="1229"/>
    <x v="396"/>
    <x v="762"/>
    <s v="Lahan Berikat Nusantara SBU Lahan Tanjung Proik Marunda"/>
    <s v="-"/>
    <s v="JL Irian Blok E 10, Sukapura, Kec. Cilincing, Kota Jkt Utara, Daerah Khusus Ibukota Jakarta"/>
    <s v="Sewa Tahunan"/>
    <x v="1"/>
    <x v="825"/>
    <m/>
    <m/>
    <m/>
    <m/>
    <m/>
    <x v="35"/>
    <m/>
    <m/>
    <x v="297"/>
    <m/>
    <x v="567"/>
    <d v="2024-12-08T00:00:00"/>
    <x v="2"/>
    <m/>
    <d v="2024-09-06T00:00:00"/>
    <n v="93"/>
    <x v="5"/>
    <x v="1"/>
    <s v="baru"/>
    <s v="20720/SPP/008/PUSAT/ICON+/2022"/>
    <n v="4500019557"/>
    <s v="Fajar Paramita"/>
    <s v="Mulyana "/>
    <m/>
    <m/>
    <m/>
    <m/>
    <m/>
    <m/>
    <s v="F428"/>
    <m/>
    <m/>
    <m/>
  </r>
  <r>
    <n v="1230"/>
    <x v="397"/>
    <x v="763"/>
    <s v="Jl. Raden Saleh No. 13-17_x000a_ Kenari Jakarta Pusat"/>
    <m/>
    <s v="Gedung Vinilon Jl. Raden Saleh No. 13-17 Kenari Jakarta Pusat (Bank BCA)"/>
    <s v="Sewa Tahunan"/>
    <x v="1"/>
    <x v="826"/>
    <m/>
    <m/>
    <m/>
    <m/>
    <m/>
    <x v="399"/>
    <m/>
    <m/>
    <x v="238"/>
    <m/>
    <x v="630"/>
    <d v="2024-11-30T00:00:00"/>
    <x v="2"/>
    <m/>
    <d v="2024-09-06T00:00:00"/>
    <n v="85"/>
    <x v="2"/>
    <x v="1"/>
    <s v="028120462/SPP/008/PUSAT/ICON+/2022216/SPR/ICON+/2016_x000a_ 121509/MI/008/PUSAT/ICON+/2016 07695/SPP/008/PUSAT/ICON+/2017 4500011002 | 09448/SPP/008/PUSAT/ICON+/2018 | 4500012006 | 11811/SPP/008/PUSAT/ICON+/2019 | 4500013496 | 14574/SPP/008/PUSAT/ICON+/2020 | 4500015228 | 4500019427"/>
    <s v="1920/SPP/SBU/ICON+/2023"/>
    <n v="4500021660"/>
    <s v="Fajar Paramita"/>
    <s v="Yunita"/>
    <s v="021-29578188"/>
    <n v="157"/>
    <s v="B178"/>
    <s v="C269"/>
    <m/>
    <m/>
    <m/>
    <s v="G316"/>
    <m/>
    <s v="1. Sewa Shaft Rp5.000.000/tahun_x000a_ 2. Biaya Administrasi Jaminan Fit Out Rp200.000,-/One Time Charged_x000a_ 3. Biaya Supervisi bervariasi mulai dar Rp1.000.000,- s/d Rp2.500.000,-/One Time charged_x000a_ 4. Jaminan Rp2.000.000,-"/>
  </r>
  <r>
    <n v="1231"/>
    <x v="398"/>
    <x v="157"/>
    <s v="Stasiun Cikini Lt. Dasar_x000a_ Jln. Cikini Raya, Cikini - Menteng Jakarta Pusat - 10330"/>
    <m/>
    <s v="KM.6+0/1 (di Udara /Melayang) antara Karang Tengah - Cisaat Lintas Kereta Api Bogor - Yogyakarta"/>
    <s v="Sewa Tahunan"/>
    <x v="1"/>
    <x v="67"/>
    <m/>
    <m/>
    <m/>
    <m/>
    <m/>
    <x v="112"/>
    <m/>
    <m/>
    <x v="404"/>
    <m/>
    <x v="809"/>
    <d v="2021-12-31T00:00:00"/>
    <x v="0"/>
    <m/>
    <d v="2024-09-06T00:00:00"/>
    <n v="-980"/>
    <x v="5"/>
    <x v="4"/>
    <n v="4500010164"/>
    <m/>
    <m/>
    <s v="Fajar Paramita"/>
    <s v="Saepudin Nugroho"/>
    <s v="021-3924676"/>
    <m/>
    <m/>
    <m/>
    <m/>
    <m/>
    <m/>
    <m/>
    <m/>
    <s v="1. Biaya sewa Pengawasan Rp52.800.000,-/tahun untuk 2 titik_x000a_ 2. Biaya Ukur/Adm Rp9.610.000"/>
  </r>
  <r>
    <n v="1232"/>
    <x v="398"/>
    <x v="764"/>
    <s v="Stasiun Cikini Lt. Dasar_x000a_ Jln. Cikini Raya, Cikini - Menteng Jakarta Pusat - 10330"/>
    <m/>
    <s v="KM.6+284 antara Stasiun Pasar Senen –Stasiun Gangsentiong di Jl. Suprapto Kelurahan Senen Jakarta Pusat 10410"/>
    <s v="Sewa Tahunan"/>
    <x v="1"/>
    <x v="827"/>
    <m/>
    <m/>
    <m/>
    <m/>
    <m/>
    <x v="400"/>
    <m/>
    <m/>
    <x v="405"/>
    <m/>
    <x v="809"/>
    <d v="2021-12-31T00:00:00"/>
    <x v="0"/>
    <m/>
    <d v="2024-09-06T00:00:00"/>
    <n v="-980"/>
    <x v="5"/>
    <x v="4"/>
    <n v="4500010163"/>
    <m/>
    <m/>
    <s v="Fajar Paramita"/>
    <s v="Saepudin Nugroho"/>
    <s v="021-3924676"/>
    <m/>
    <m/>
    <m/>
    <m/>
    <m/>
    <m/>
    <m/>
    <m/>
    <s v="1. Biaya sewa Pengawasan Rp69.020.875,-/tahun"/>
  </r>
  <r>
    <n v="1233"/>
    <x v="399"/>
    <x v="668"/>
    <s v="wisma krakatau 1st floor"/>
    <m/>
    <m/>
    <s v="Sewa Tahunan"/>
    <x v="2"/>
    <x v="57"/>
    <m/>
    <m/>
    <m/>
    <m/>
    <m/>
    <x v="41"/>
    <m/>
    <m/>
    <x v="406"/>
    <m/>
    <x v="810"/>
    <d v="2022-04-18T00:00:00"/>
    <x v="0"/>
    <m/>
    <d v="2024-09-06T00:00:00"/>
    <n v="-872"/>
    <x v="10"/>
    <x v="2"/>
    <s v="baru"/>
    <s v="15743/SPP/008/PUSAT/ICON+/2021"/>
    <n v="4500016098"/>
    <s v="Fajar Paramita"/>
    <m/>
    <m/>
    <m/>
    <m/>
    <m/>
    <m/>
    <s v="E31"/>
    <m/>
    <m/>
    <m/>
    <s v="biaya cross connect sebesar Rp. 589.500.000"/>
  </r>
  <r>
    <n v="1234"/>
    <x v="400"/>
    <x v="765"/>
    <s v="Jl.Raya Bagendung Cilegon"/>
    <s v="-"/>
    <s v="Wisma Baja Jl. Jend Gatot Subroto Kav 54 Kuningan Timur Setiabudi Jakarta Selatan DKI Jakarta"/>
    <s v="Sewa Tahunan"/>
    <x v="1"/>
    <x v="828"/>
    <m/>
    <m/>
    <m/>
    <m/>
    <m/>
    <x v="7"/>
    <m/>
    <m/>
    <x v="17"/>
    <m/>
    <x v="811"/>
    <d v="2024-02-02T00:00:00"/>
    <x v="2"/>
    <m/>
    <d v="2024-09-06T00:00:00"/>
    <n v="-217"/>
    <x v="9"/>
    <x v="1"/>
    <s v="baru"/>
    <s v="21128/SPP/008/PUSAT/ICON+/2023"/>
    <n v="4500019991"/>
    <s v="Fajar Paramita"/>
    <m/>
    <m/>
    <m/>
    <m/>
    <m/>
    <m/>
    <m/>
    <m/>
    <s v="G28"/>
    <m/>
    <s v="Biaya Sewa jalur kawasan 1 tahun Rp.24.000.000"/>
  </r>
  <r>
    <n v="1235"/>
    <x v="401"/>
    <x v="766"/>
    <s v="Bungur Besar Raya No.76-78 8, RT.8/RW.7, Gn. Sahari Sel., Kec. Senen, Kota Jakarta Pusat, Pangkalan Angkatan Laut"/>
    <s v="-"/>
    <s v="Komplek TNI AL Wilayah Lantamal III"/>
    <s v="Sewa Tahunan"/>
    <x v="1"/>
    <x v="67"/>
    <m/>
    <m/>
    <m/>
    <m/>
    <m/>
    <x v="112"/>
    <m/>
    <m/>
    <x v="407"/>
    <m/>
    <x v="812"/>
    <d v="2025-11-12T00:00:00"/>
    <x v="2"/>
    <m/>
    <d v="2024-09-06T00:00:00"/>
    <n v="432"/>
    <x v="2"/>
    <x v="3"/>
    <s v="baru"/>
    <s v="-"/>
    <s v="-"/>
    <s v="Fajar Paramita"/>
    <m/>
    <m/>
    <m/>
    <m/>
    <m/>
    <m/>
    <m/>
    <m/>
    <m/>
    <m/>
    <s v="-"/>
  </r>
  <r>
    <n v="1236"/>
    <x v="86"/>
    <x v="126"/>
    <s v="Jl. Bungur Besar Raya"/>
    <m/>
    <s v="Ratu Prabu 2 Building Management Jl. TB Simatupang Kav 1B Jakarta 12560"/>
    <s v="Sewa Tahunan"/>
    <x v="1"/>
    <x v="134"/>
    <m/>
    <m/>
    <m/>
    <m/>
    <m/>
    <x v="30"/>
    <m/>
    <m/>
    <x v="14"/>
    <m/>
    <x v="112"/>
    <d v="2020-12-31T00:00:00"/>
    <x v="1"/>
    <m/>
    <d v="2024-09-06T00:00:00"/>
    <n v="-1345"/>
    <x v="5"/>
    <x v="5"/>
    <s v="09909/SPP/008/PUSAT/ICON+/2018| 4500012325"/>
    <s v="11995/SPP/008/PUSAT/ICON+/2019"/>
    <n v="4500013750"/>
    <s v="Fajar Paramita"/>
    <s v="Sintia"/>
    <s v="(021) 7884.1046"/>
    <s v="-"/>
    <s v="B265"/>
    <m/>
    <s v="D22"/>
    <m/>
    <m/>
    <m/>
    <m/>
    <s v="Biaya Sewa Tahunan Rp.30.000.000,-"/>
  </r>
  <r>
    <n v="1237"/>
    <x v="402"/>
    <x v="767"/>
    <s v="Perkantoran Hijau Arkadia_x000a_ Jl. TB Simatupang Kav. 88 Jakarta 12520"/>
    <m/>
    <s v="Gedung Arkadia Tower B (PT Telekomunikasi Inonesia Tbk Link Nestle SO No. ICON-00/ACT/1609/0620)"/>
    <s v="Sewa Tahunan"/>
    <x v="1"/>
    <x v="64"/>
    <m/>
    <m/>
    <m/>
    <m/>
    <m/>
    <x v="47"/>
    <m/>
    <m/>
    <x v="408"/>
    <m/>
    <x v="813"/>
    <d v="2022-12-01T00:00:00"/>
    <x v="1"/>
    <m/>
    <d v="2024-09-06T00:00:00"/>
    <n v="-645"/>
    <x v="5"/>
    <x v="2"/>
    <s v="2781216/SPRICON+/2016 | 08195/SPP/008/PUSAT/ICON+/2018 | 4500011358 | 09692/SPP/008/PUSAT/ICON+/2018 | 4500012199 | 12014/SPP/008/PUSAT/ICON+/2019 | 4500014086| 14893/SPP/008/PUSAT/ICON+/2020| 4500015616"/>
    <s v="17152/SPP/008/PUSAT/ICON+/2021"/>
    <n v="4500017403"/>
    <s v="Fajar Paramita"/>
    <s v="Arsa"/>
    <s v="021-7827610"/>
    <s v="B45"/>
    <s v="C25"/>
    <s v="D69"/>
    <s v="E226"/>
    <m/>
    <m/>
    <m/>
    <m/>
    <s v="1.Sewa Shaft Kabel Rp20.000.000,-/tahun/shaft_x000a_ 2. Jaminan Pekerjaan Rp5.000.000/instalasi_x000a_ 3. Instalasi Rp1.000.000,-/instalasi"/>
  </r>
  <r>
    <n v="1238"/>
    <x v="402"/>
    <x v="768"/>
    <s v="Perkantoran Hijau Arkadia_x000a_ Jl. TB Simatupang Kav. 88 Jakarta 12520"/>
    <s v="-"/>
    <s v="Menara Arcadia Tower G Lantai 15) Jl. TB Simatupang"/>
    <s v="Sewa Tahunan"/>
    <x v="1"/>
    <x v="829"/>
    <m/>
    <m/>
    <m/>
    <m/>
    <m/>
    <x v="5"/>
    <m/>
    <m/>
    <x v="14"/>
    <m/>
    <x v="468"/>
    <d v="2023-10-23T00:00:00"/>
    <x v="1"/>
    <m/>
    <d v="2024-09-06T00:00:00"/>
    <n v="-319"/>
    <x v="6"/>
    <x v="6"/>
    <s v="baru"/>
    <s v="20242/SPP/008/PUSAT/ICON+/2022"/>
    <n v="4500019192"/>
    <s v="Fajar Paramita"/>
    <m/>
    <m/>
    <m/>
    <m/>
    <m/>
    <m/>
    <m/>
    <s v="F360"/>
    <m/>
    <m/>
    <s v="1.Biaya  Sewa Shaft Rack Selama 1 tahun  Rp.30.000.000 | Biaya OTC Supervisi Fee Rp.1.000.000"/>
  </r>
  <r>
    <n v="1239"/>
    <x v="402"/>
    <x v="769"/>
    <s v="Perkantoran Hijau Arkadia_x000a_ Jl. TB Simatupang Kav. 88 Jakarta 12520"/>
    <s v="-"/>
    <s v="PHE Tower Jl. TB Simatupang No.Kav. 99, RT.1/RW.1, Kebagusan,Kecamatan Pasar Minggu ,Jakarta Selatan ,DKI Jakarta ,Indonesia ,12520  "/>
    <s v="Sewa Tahunan"/>
    <x v="1"/>
    <x v="830"/>
    <m/>
    <m/>
    <m/>
    <m/>
    <m/>
    <x v="401"/>
    <m/>
    <m/>
    <x v="409"/>
    <m/>
    <x v="814"/>
    <d v="2024-02-29T00:00:00"/>
    <x v="2"/>
    <m/>
    <d v="2024-09-06T00:00:00"/>
    <n v="-190"/>
    <x v="9"/>
    <x v="1"/>
    <s v="baru"/>
    <s v="21553/SPP/008/PUSAT/ICON+/2023"/>
    <n v="4500020069"/>
    <s v="Fajar Paramita"/>
    <s v="Arsa"/>
    <s v="021-7827610"/>
    <m/>
    <m/>
    <m/>
    <m/>
    <m/>
    <m/>
    <s v="G56"/>
    <m/>
    <s v="1.Biaya Sewa Kawasangan Arkadia @1tahun Rp.22.000.000 | Biaya Supervisi Rp.1.000.000 | Deposit selama sewa  Rp.5.000.000"/>
  </r>
  <r>
    <n v="1240"/>
    <x v="403"/>
    <x v="241"/>
    <s v="Mall of Indonesia Lt. Lower Ground Jl. Boulevard Barat Raya Kelapa Gading Square Jakarta Utara"/>
    <m/>
    <s v="Area Tnjung Priuk GH0019 /Mall Of Indonesia"/>
    <s v="Sewa Tahunan"/>
    <x v="1"/>
    <x v="270"/>
    <m/>
    <m/>
    <m/>
    <m/>
    <m/>
    <x v="11"/>
    <m/>
    <m/>
    <x v="410"/>
    <m/>
    <x v="162"/>
    <d v="2022-07-31T00:00:00"/>
    <x v="0"/>
    <m/>
    <d v="2024-09-06T00:00:00"/>
    <n v="-768"/>
    <x v="1"/>
    <x v="2"/>
    <s v="07349/SPP/008/PUSAT/ICON+/2017 | 4500010775 | 09080/SPP/008/PUSAT/ICON+/2018 | 4500011791 | 11251/SPP/008/PUSAT/ICON+/2019 | 4500013262 | 13674/SPP/008/PUSAT/ICON+/2020 | 4500014712"/>
    <s v="15984/SPP/008/PUSAT/ICON+/2021"/>
    <n v="4500016715"/>
    <s v="Fajar Paramita"/>
    <s v="Kiki"/>
    <s v="021-45867888 +62 813-1565-9321"/>
    <m/>
    <s v="B181"/>
    <s v="C245"/>
    <m/>
    <m/>
    <s v="F67"/>
    <m/>
    <m/>
    <s v="1.Uang Jaminan Rp.2.500.000"/>
  </r>
  <r>
    <n v="1241"/>
    <x v="404"/>
    <x v="770"/>
    <s v="Jl.Jend Gatot Subroto Kav. 21 Jakarta Selatan"/>
    <m/>
    <s v="Gedung Graha Mitra LT 1, Jl. Jend. Gatot Subroto Kav. 21, Jakarta Selatan"/>
    <s v="Sewa Tahunan"/>
    <x v="2"/>
    <x v="211"/>
    <m/>
    <m/>
    <m/>
    <m/>
    <m/>
    <x v="16"/>
    <m/>
    <m/>
    <x v="411"/>
    <m/>
    <x v="438"/>
    <d v="2022-11-30T00:00:00"/>
    <x v="1"/>
    <m/>
    <d v="2024-09-06T00:00:00"/>
    <n v="-646"/>
    <x v="2"/>
    <x v="2"/>
    <s v="15383/SPP/008/PUSAT/ICON+/2021 | 4500015835"/>
    <s v="18380/SPP/008/PUSAT/ICON+/2022"/>
    <n v="4500019627"/>
    <s v="Fajar Paramita"/>
    <m/>
    <m/>
    <m/>
    <m/>
    <m/>
    <m/>
    <s v="E11"/>
    <s v="F464"/>
    <m/>
    <m/>
    <s v="Berubah skema kerjasama menjadi interkoneksi"/>
  </r>
  <r>
    <n v="1242"/>
    <x v="405"/>
    <x v="771"/>
    <s v="Maspion Plaza Gunung Sahari Jl Gunung Sahari Raya No. 18 Lt.16 Jakarta Utara 14420"/>
    <m/>
    <s v="Maspion Plaza Gunung Sahari Kav. 18 (lt.5 s/d Lt.6) (PT Lawangmas Primapack)"/>
    <s v="Sewa Tahunan"/>
    <x v="1"/>
    <x v="831"/>
    <m/>
    <m/>
    <m/>
    <m/>
    <m/>
    <x v="20"/>
    <m/>
    <m/>
    <x v="51"/>
    <m/>
    <x v="693"/>
    <d v="2025-01-31T00:00:00"/>
    <x v="2"/>
    <m/>
    <d v="2024-09-06T00:00:00"/>
    <n v="147"/>
    <x v="11"/>
    <x v="3"/>
    <s v="012016/SPR/000/PUSAT/ICON+/2016 | 07962/SPP/008/PUSAT/ICON+/2018 | 4500011158 | 10009/SPP/008/PUSAT/ICON+/2019 | 4500012420 | 12486/SPP/008/PUSAT/ICON+/2020 | 4500013878|15104/SPP/008/PUSAT/ICON+/2021|4500015684 | 17750/SPP/008/PUSAT/ICON+/2022| 4500017624 | 21039 | 4500019900"/>
    <n v="2475"/>
    <n v="4500022330"/>
    <s v="Fajar Paramita"/>
    <s v="Wulan"/>
    <s v="021-64701000"/>
    <m/>
    <s v="B18"/>
    <s v="C20"/>
    <s v="D354"/>
    <s v="E130"/>
    <s v="F62"/>
    <s v="G40"/>
    <s v="H30"/>
    <m/>
  </r>
  <r>
    <n v="1243"/>
    <x v="406"/>
    <x v="523"/>
    <s v="Grand ITC Permata Hijau Lt. 7 Jl Arteri Permata Hijau Jakarta 12210"/>
    <m/>
    <s v="DBS Kantor Emerald No. 23 - 24, Grand ITC Permata Hijau, Jl. Letnan Jenderal Soepomo, RT 11/RW.10, Grogol Utara, Kec. Kby Lama, Kota Jakarta Selatan"/>
    <s v="Sewa Tahunan"/>
    <x v="1"/>
    <x v="832"/>
    <m/>
    <m/>
    <m/>
    <m/>
    <m/>
    <x v="3"/>
    <m/>
    <m/>
    <x v="412"/>
    <m/>
    <x v="815"/>
    <d v="2026-09-17T00:00:00"/>
    <x v="2"/>
    <m/>
    <d v="2024-09-06T00:00:00"/>
    <n v="741"/>
    <x v="7"/>
    <x v="7"/>
    <s v="baru"/>
    <s v="1345/SPP/SBU/ICON+/2023"/>
    <n v="4500021271"/>
    <s v="Fajar Paramita"/>
    <m/>
    <m/>
    <m/>
    <m/>
    <m/>
    <m/>
    <m/>
    <m/>
    <s v="G230"/>
    <m/>
    <s v="1.Biaya Sewa 288 meter x 120.000 @ 3 tahun Rp.103.680.000"/>
  </r>
  <r>
    <n v="1244"/>
    <x v="8"/>
    <x v="668"/>
    <s v="Jalan Kuningan Barat No.8 Cyber 1nd &amp; 2 nd jakarta selatam 12710"/>
    <m/>
    <s v="-"/>
    <s v="Sewa Tahunan"/>
    <x v="2"/>
    <x v="57"/>
    <m/>
    <m/>
    <m/>
    <m/>
    <m/>
    <x v="41"/>
    <m/>
    <m/>
    <x v="8"/>
    <m/>
    <x v="131"/>
    <d v="2021-09-17T00:00:00"/>
    <x v="0"/>
    <m/>
    <d v="2024-09-06T00:00:00"/>
    <n v="-1085"/>
    <x v="7"/>
    <x v="4"/>
    <s v="baru"/>
    <s v="14182/SPP/008/PUSAT/ICON+/2020"/>
    <n v="4500015014"/>
    <s v="Fajar Paramita"/>
    <s v="Ira"/>
    <s v="0819-3243-0596"/>
    <m/>
    <m/>
    <m/>
    <s v="D194"/>
    <m/>
    <m/>
    <m/>
    <m/>
    <m/>
  </r>
  <r>
    <n v="1245"/>
    <x v="8"/>
    <x v="668"/>
    <s v="Jalan Kuningan Barat No.8 Cyber 1nd &amp; 2 nd jakarta selatam 12710"/>
    <m/>
    <s v="-"/>
    <s v="Sewa Tahunan"/>
    <x v="2"/>
    <x v="57"/>
    <m/>
    <m/>
    <m/>
    <m/>
    <m/>
    <x v="41"/>
    <m/>
    <m/>
    <x v="10"/>
    <m/>
    <x v="816"/>
    <d v="2024-05-12T00:00:00"/>
    <x v="0"/>
    <m/>
    <d v="2024-09-06T00:00:00"/>
    <n v="-117"/>
    <x v="4"/>
    <x v="1"/>
    <s v="15809/SPP/008/PUSAT/ICON+/2021| 4500016167 | 18720/SPP/008/PUSAT/ICON+/2022 | 4500018011"/>
    <s v="1117/SPP/SBU/ICON+/2023_x0009_"/>
    <n v="4500021237"/>
    <s v="Fajar Paramita"/>
    <s v="Ira"/>
    <s v="0819-3243-0596"/>
    <m/>
    <m/>
    <m/>
    <m/>
    <s v="E36"/>
    <s v="F291"/>
    <s v="G335"/>
    <m/>
    <s v="1.Biaya Cross Connect Rp.36.000.000"/>
  </r>
  <r>
    <n v="1246"/>
    <x v="8"/>
    <x v="772"/>
    <s v="Jalan Kuningan Barat No.8 Cyber 1nd &amp; 2 nd jakarta selatam 12710"/>
    <m/>
    <m/>
    <s v="Sewa Tahunan"/>
    <x v="2"/>
    <x v="67"/>
    <m/>
    <m/>
    <m/>
    <m/>
    <m/>
    <x v="301"/>
    <m/>
    <m/>
    <x v="18"/>
    <m/>
    <x v="653"/>
    <d v="2025-05-12T00:00:00"/>
    <x v="2"/>
    <m/>
    <d v="2024-09-06T00:00:00"/>
    <n v="248"/>
    <x v="4"/>
    <x v="3"/>
    <m/>
    <s v="3838/SPP/SBU/PLNICONPLUS/2024"/>
    <n v="4500023236"/>
    <s v="Fajar Paramita"/>
    <s v="Ira"/>
    <s v="0819-3243-0596"/>
    <m/>
    <m/>
    <m/>
    <m/>
    <m/>
    <m/>
    <m/>
    <s v="H315"/>
    <m/>
  </r>
  <r>
    <n v="1247"/>
    <x v="8"/>
    <x v="668"/>
    <s v="Jalan Kuningan Barat No.8 Cyber 1nd &amp; 2 nd jakarta selatam 12710"/>
    <m/>
    <s v="-"/>
    <s v="Sewa Tahunan"/>
    <x v="2"/>
    <x v="57"/>
    <m/>
    <m/>
    <m/>
    <m/>
    <m/>
    <x v="41"/>
    <m/>
    <m/>
    <x v="79"/>
    <m/>
    <x v="222"/>
    <d v="2022-07-22T00:00:00"/>
    <x v="0"/>
    <m/>
    <d v="2024-09-06T00:00:00"/>
    <n v="-777"/>
    <x v="1"/>
    <x v="2"/>
    <s v="baru"/>
    <s v="16316/SPP/008/PUSAT/ICON+/2021"/>
    <n v="4500016484"/>
    <s v="Fajar Paramita"/>
    <s v="Ira"/>
    <s v="0819-3243-0596"/>
    <m/>
    <m/>
    <m/>
    <m/>
    <s v="E180"/>
    <m/>
    <m/>
    <m/>
    <m/>
  </r>
  <r>
    <n v="1248"/>
    <x v="8"/>
    <x v="773"/>
    <s v="Jalan Kuningan Barat No.8 Cyber 1nd &amp; 2 nd jakarta selatam 12710"/>
    <m/>
    <s v="(Bitniaga 1GB Mojokerto) Jl. Raden Patah No.16 Dsn Bedagas Ds Tunggul Pager, Kec. Pungging, Kabupaten Mojokerto, Jawa Timur, Indonesia, 61382"/>
    <s v="Sewa Tahunan"/>
    <x v="2"/>
    <x v="360"/>
    <m/>
    <m/>
    <m/>
    <m/>
    <m/>
    <x v="112"/>
    <m/>
    <m/>
    <x v="8"/>
    <m/>
    <x v="135"/>
    <d v="2021-07-05T00:00:00"/>
    <x v="0"/>
    <m/>
    <d v="2024-09-06T00:00:00"/>
    <n v="-1159"/>
    <x v="1"/>
    <x v="4"/>
    <s v="baru"/>
    <s v="13738/SPP/008/PUSAT/ICON+/2020"/>
    <n v="4500014669"/>
    <s v="Fajar Paramita"/>
    <s v="Ira"/>
    <s v="0819-3243-0596"/>
    <m/>
    <m/>
    <m/>
    <s v="D143"/>
    <m/>
    <m/>
    <m/>
    <m/>
    <m/>
  </r>
  <r>
    <n v="1249"/>
    <x v="8"/>
    <x v="774"/>
    <s v="Jalan Kuningan Barat No.8 Cyber 1nd &amp; 2 nd jakarta selatam 12710"/>
    <m/>
    <s v="(Bitniaga node Dawar) Sidokerto RT. 001/RW.002 Ds. Pulorejo, Kec. Dawarblandong, Kabupaten Mojokerto, Jawa Timur, Indonesia, 61354"/>
    <s v="Sewa Tahunan"/>
    <x v="2"/>
    <x v="310"/>
    <m/>
    <m/>
    <m/>
    <m/>
    <m/>
    <x v="8"/>
    <m/>
    <m/>
    <x v="18"/>
    <m/>
    <x v="715"/>
    <d v="2022-09-21T00:00:00"/>
    <x v="0"/>
    <m/>
    <d v="2024-09-06T00:00:00"/>
    <n v="-716"/>
    <x v="7"/>
    <x v="2"/>
    <s v="baru"/>
    <s v="16750/SPP/008/PUSAT/ICON+/2021"/>
    <n v="4500016780"/>
    <s v="Fajar Paramita"/>
    <s v="Ira"/>
    <s v="0819-3243-0596"/>
    <m/>
    <m/>
    <m/>
    <m/>
    <s v="E278"/>
    <m/>
    <m/>
    <m/>
    <m/>
  </r>
  <r>
    <n v="1250"/>
    <x v="8"/>
    <x v="774"/>
    <s v="Jalan Kuningan Barat No.8 Cyber 1nd &amp; 2 nd jakarta selatam 12713"/>
    <m/>
    <s v="(Originating Backhaul PT. Bitniaga Cipta Gemilang ) Gedung Cyber 1 Lt.2 (Rak 2A0818) Jl. Kuningan Barat Raya No.8, RT.1/RW.3, Kuningan Barat, Jakarta Selatan"/>
    <s v="Sewa Tahunan"/>
    <x v="2"/>
    <x v="833"/>
    <m/>
    <m/>
    <m/>
    <m/>
    <m/>
    <x v="402"/>
    <m/>
    <m/>
    <x v="18"/>
    <m/>
    <x v="817"/>
    <d v="2022-01-18T00:00:00"/>
    <x v="0"/>
    <m/>
    <d v="2024-09-06T00:00:00"/>
    <n v="-962"/>
    <x v="11"/>
    <x v="2"/>
    <s v="Baru"/>
    <s v="15100/SPP/008/PUSAT/ICON+/2021"/>
    <n v="4500015645"/>
    <s v="Fajar Paramita"/>
    <s v="Ira"/>
    <s v="0819-3243-0596"/>
    <m/>
    <m/>
    <m/>
    <s v="D324"/>
    <m/>
    <m/>
    <m/>
    <m/>
    <m/>
  </r>
  <r>
    <n v="1251"/>
    <x v="8"/>
    <x v="668"/>
    <s v="Jalan Kuningan Barat No.8 Cyber 1nd &amp; 2 nd jakarta selatam 12710"/>
    <m/>
    <s v="backbone"/>
    <s v="Sewa Tahunan"/>
    <x v="2"/>
    <x v="57"/>
    <m/>
    <m/>
    <m/>
    <m/>
    <m/>
    <x v="41"/>
    <m/>
    <m/>
    <x v="10"/>
    <m/>
    <x v="683"/>
    <d v="2024-10-05T00:00:00"/>
    <x v="2"/>
    <m/>
    <d v="2024-09-06T00:00:00"/>
    <n v="29"/>
    <x v="6"/>
    <x v="1"/>
    <s v="16801/SPP/008/PUSAT/ICON+/2021 | 4500016817 | 20312/SPP/008/PUSAT/ICON+/2022 | 4500019391"/>
    <s v="1949/SPP/SBU/ICON+/2023"/>
    <n v="4500021816"/>
    <s v="Fajar Paramita"/>
    <s v="Ira"/>
    <s v="0819-3243-0596"/>
    <m/>
    <m/>
    <m/>
    <m/>
    <s v="E233"/>
    <s v="F412"/>
    <s v="G377"/>
    <m/>
    <s v="1.Biaya Cross Connect untuk Backbone Rp.36.000.000"/>
  </r>
  <r>
    <n v="1252"/>
    <x v="8"/>
    <x v="775"/>
    <s v="Jalan Kuningan Barat No.8 Cyber 1nd &amp; 2 nd jakarta selatam 12712"/>
    <m/>
    <s v="CDC Cyber 1"/>
    <s v="Sewa Tahunan"/>
    <x v="2"/>
    <x v="57"/>
    <m/>
    <m/>
    <m/>
    <m/>
    <m/>
    <x v="41"/>
    <m/>
    <m/>
    <x v="18"/>
    <m/>
    <x v="818"/>
    <d v="2024-01-10T00:00:00"/>
    <x v="2"/>
    <m/>
    <d v="2024-09-06T00:00:00"/>
    <n v="-240"/>
    <x v="11"/>
    <x v="1"/>
    <s v="baru"/>
    <s v="21031/SPP/008/PUSAT/ICON+/2023"/>
    <n v="4500019922"/>
    <s v="Fajar Paramita"/>
    <s v="Ira"/>
    <s v="0819-3243-0596"/>
    <m/>
    <m/>
    <m/>
    <m/>
    <m/>
    <m/>
    <s v="G6"/>
    <m/>
    <m/>
  </r>
  <r>
    <n v="1253"/>
    <x v="8"/>
    <x v="776"/>
    <s v="Jalan Kuningan Barat No.8 Cyber 1nd &amp; 2 nd jakarta selatam 12711"/>
    <m/>
    <s v="CV.  HAANSIRO, RT.4 RW.1 Ds. Jontro, Jl Wijayakusuma No 6 RT 05 RW III, Perum Griya Sekar Asri, Sekarkurung, Desa, Sekarkurung, Muktiharjo, 59163,  Kecamatan Wedarijaksa,  Kabupaten Pati,  Jawa Tengah,  Indonesia,  "/>
    <s v="Sewa Tahunan"/>
    <x v="2"/>
    <x v="404"/>
    <m/>
    <m/>
    <m/>
    <m/>
    <m/>
    <x v="390"/>
    <m/>
    <m/>
    <x v="18"/>
    <m/>
    <x v="819"/>
    <d v="2024-08-01T00:00:00"/>
    <x v="2"/>
    <m/>
    <d v="2024-09-06T00:00:00"/>
    <n v="-36"/>
    <x v="12"/>
    <x v="1"/>
    <s v="19414/SPP/008/PUSAT/ICON+/2022 | 4500018501"/>
    <s v="1136/SPP/SBU/ICON+/2023"/>
    <n v="4500021193"/>
    <s v="Fajar Paramita"/>
    <s v="Ira"/>
    <s v="0819-3243-0596"/>
    <m/>
    <m/>
    <m/>
    <m/>
    <m/>
    <s v="F250"/>
    <s v="G269"/>
    <m/>
    <s v="1.Biaya Cross Connect Rp.18.000.000 | 2.Biaya OTC Rp.1.500.000"/>
  </r>
  <r>
    <n v="1254"/>
    <x v="8"/>
    <x v="668"/>
    <s v="Jalan Kuningan Barat No.8 Cyber 1nd &amp; 2 nd jakarta selatam 12710"/>
    <m/>
    <s v="Cyber Building 1st &amp; 2nd Floor, Jl. Kuningan Barat Raya No.8, RT.1/RW.3, Kuningan Bar., Kec. Mampang Prpt., Jakarta Selatan, DKI Jakarta, Indonesia, 12710"/>
    <s v="Sewa Tahunan"/>
    <x v="1"/>
    <x v="57"/>
    <m/>
    <m/>
    <m/>
    <m/>
    <m/>
    <x v="41"/>
    <m/>
    <m/>
    <x v="413"/>
    <m/>
    <x v="717"/>
    <d v="2024-07-10T00:00:00"/>
    <x v="2"/>
    <m/>
    <d v="2024-09-06T00:00:00"/>
    <n v="-58"/>
    <x v="1"/>
    <x v="1"/>
    <s v="160 | 4500020579"/>
    <n v="2237"/>
    <n v="4500022128"/>
    <s v="Fajar Paramita"/>
    <s v="ira"/>
    <s v="0819-3243-0597"/>
    <m/>
    <m/>
    <m/>
    <m/>
    <m/>
    <m/>
    <s v="G94"/>
    <s v="H1"/>
    <m/>
  </r>
  <r>
    <n v="1255"/>
    <x v="8"/>
    <x v="668"/>
    <s v="Jalan Kuningan Barat No.8 Cyber 1nd &amp; 2 nd jakarta selatam 12710"/>
    <m/>
    <s v="Data center CDCI"/>
    <s v="Sewa Tahunan"/>
    <x v="2"/>
    <x v="57"/>
    <m/>
    <m/>
    <m/>
    <m/>
    <m/>
    <x v="41"/>
    <m/>
    <m/>
    <x v="18"/>
    <m/>
    <x v="820"/>
    <d v="2024-02-01T00:00:00"/>
    <x v="2"/>
    <m/>
    <d v="2024-09-06T00:00:00"/>
    <n v="-218"/>
    <x v="9"/>
    <x v="1"/>
    <s v="17719/SPP/008/PUSAT/ICON+/2022 | 4500017575"/>
    <s v="21138/SPP/008/PUSAT/ICON+/2023"/>
    <n v="4500020024"/>
    <s v="Fajar Paramita"/>
    <s v="Ira"/>
    <s v="0819-3243-0596"/>
    <m/>
    <m/>
    <m/>
    <m/>
    <m/>
    <s v="F26"/>
    <s v="G63"/>
    <m/>
    <m/>
  </r>
  <r>
    <n v="1256"/>
    <x v="8"/>
    <x v="668"/>
    <s v="Jalan Kuningan Barat No.8 Cyber 1nd &amp; 2 nd jakarta selatam 12711"/>
    <m/>
    <s v="Data center CDCI"/>
    <s v="Sewa Tahunan"/>
    <x v="2"/>
    <x v="57"/>
    <m/>
    <m/>
    <m/>
    <m/>
    <m/>
    <x v="41"/>
    <m/>
    <m/>
    <x v="18"/>
    <m/>
    <x v="821"/>
    <d v="2024-06-28T00:00:00"/>
    <x v="2"/>
    <m/>
    <d v="2024-09-06T00:00:00"/>
    <n v="-70"/>
    <x v="3"/>
    <x v="1"/>
    <s v="18892/SPP/008/PUSAT/ICON+/2022 | 4500018217"/>
    <s v="862/SPP/SBU/ICON+/2023"/>
    <n v="4500021083"/>
    <s v="Fajar Paramita"/>
    <s v="Ira"/>
    <s v="0819-3243-0596"/>
    <m/>
    <m/>
    <m/>
    <m/>
    <m/>
    <s v="F192"/>
    <s v="GF259"/>
    <m/>
    <s v="1.Biaya Cross Connect Rp.18.000.001"/>
  </r>
  <r>
    <n v="1257"/>
    <x v="8"/>
    <x v="346"/>
    <s v="Jalan Kuningan Barat No.8 Cyber 1nd &amp; 2 nd jakarta selatam 12710"/>
    <m/>
    <s v="Data center CDCI"/>
    <s v="Sewa Tahunan"/>
    <x v="2"/>
    <x v="834"/>
    <m/>
    <m/>
    <m/>
    <m/>
    <m/>
    <x v="403"/>
    <m/>
    <m/>
    <x v="18"/>
    <m/>
    <x v="773"/>
    <d v="2024-02-22T00:00:00"/>
    <x v="1"/>
    <m/>
    <d v="2024-09-06T00:00:00"/>
    <n v="-197"/>
    <x v="9"/>
    <x v="1"/>
    <s v="baru"/>
    <s v="21434/SPP/008/PUSAT/ICON+/2023"/>
    <n v="4500020050"/>
    <s v="Fajar Paramita"/>
    <s v="Ira"/>
    <s v="0819-3243-0596"/>
    <m/>
    <m/>
    <m/>
    <m/>
    <m/>
    <m/>
    <s v="G47"/>
    <m/>
    <m/>
  </r>
  <r>
    <n v="1258"/>
    <x v="8"/>
    <x v="777"/>
    <s v="Jalan Kuningan Barat No.8 Cyber 1nd &amp; 2 nd jakarta selatam 12710"/>
    <m/>
    <s v="DBN Tenggiring, Kab. Lamongan, Jawa Timur"/>
    <s v="Sewa Tahunan"/>
    <x v="2"/>
    <x v="212"/>
    <m/>
    <m/>
    <m/>
    <m/>
    <m/>
    <x v="116"/>
    <m/>
    <m/>
    <x v="18"/>
    <m/>
    <x v="822"/>
    <d v="2022-02-04T00:00:00"/>
    <x v="0"/>
    <m/>
    <d v="2024-09-06T00:00:00"/>
    <n v="-945"/>
    <x v="9"/>
    <x v="2"/>
    <s v="baru"/>
    <s v="15187/SPP/008/PUSAT/ICON+/2021"/>
    <n v="4500015757"/>
    <s v="Fajar Paramita"/>
    <s v="Ira"/>
    <s v="0819-3243-0596"/>
    <m/>
    <m/>
    <m/>
    <m/>
    <s v="E7"/>
    <m/>
    <m/>
    <m/>
    <m/>
  </r>
  <r>
    <n v="1259"/>
    <x v="8"/>
    <x v="778"/>
    <s v="Jalan Kuningan Barat No.8 Cyber 1nd &amp; 2 nd jakarta selatam 12710"/>
    <m/>
    <s v="Desa Jolotundo RT 03 RW 01, Kab. Rembang, Jawa Tengah"/>
    <s v="Sewa Tahunan"/>
    <x v="2"/>
    <x v="835"/>
    <m/>
    <m/>
    <m/>
    <m/>
    <m/>
    <x v="8"/>
    <m/>
    <m/>
    <x v="8"/>
    <m/>
    <x v="823"/>
    <d v="2021-09-28T00:00:00"/>
    <x v="1"/>
    <m/>
    <d v="2024-09-06T00:00:00"/>
    <n v="-1074"/>
    <x v="7"/>
    <x v="4"/>
    <s v="baru"/>
    <s v="14285/SPP/008/PUSAT/ICON+/2020"/>
    <n v="4500015060"/>
    <s v="Fajar Paramita"/>
    <s v="Ira"/>
    <s v="0819-3243-0596"/>
    <m/>
    <m/>
    <m/>
    <s v="D193"/>
    <m/>
    <m/>
    <m/>
    <m/>
    <s v="OTC Rp.2.500.000"/>
  </r>
  <r>
    <n v="1260"/>
    <x v="8"/>
    <x v="282"/>
    <s v="Jalan Kuningan Barat No.8 Cyber 1nd &amp; 2 nd jakarta selatam 12710"/>
    <m/>
    <s v="Dinas Kominfo Bangkalan, Jl. Soekarno Hatta No.35, Wr 08, Mlajah, Bangkalan, Kec. Bangkalan, Kabupaten Bangkalan, Jawa Timur, Indonesia, 69116"/>
    <s v="Sewa Tahunan"/>
    <x v="2"/>
    <x v="315"/>
    <m/>
    <m/>
    <m/>
    <m/>
    <m/>
    <x v="8"/>
    <m/>
    <m/>
    <x v="10"/>
    <m/>
    <x v="539"/>
    <d v="2023-04-28T00:00:00"/>
    <x v="0"/>
    <m/>
    <d v="2024-09-06T00:00:00"/>
    <n v="-497"/>
    <x v="10"/>
    <x v="6"/>
    <s v="15782/SPP/008/PUSAT/ICON+/2021| 4500016120"/>
    <s v="18706/SPP/008/PUSAT/ICON+/2022"/>
    <n v="4500018118"/>
    <s v="Fajar Paramita"/>
    <s v="Ira"/>
    <s v="0819-3243-0596"/>
    <m/>
    <m/>
    <m/>
    <m/>
    <s v="E35"/>
    <s v="F222"/>
    <m/>
    <m/>
    <m/>
  </r>
  <r>
    <n v="1261"/>
    <x v="8"/>
    <x v="779"/>
    <s v="Jalan Kuningan Barat No.8 Cyber 1nd &amp; 2 nd jakarta selatam 12711"/>
    <m/>
    <s v="DWDM, Gd. NTTi data Center, Jl. Kuningan Barat Raya No.8, RT.6/RW.3, Kuningan Barat"/>
    <s v="Sewa Tahunan"/>
    <x v="2"/>
    <x v="453"/>
    <m/>
    <m/>
    <m/>
    <m/>
    <m/>
    <x v="236"/>
    <m/>
    <m/>
    <x v="18"/>
    <m/>
    <x v="824"/>
    <d v="2024-11-28T00:00:00"/>
    <x v="2"/>
    <m/>
    <d v="2024-09-06T00:00:00"/>
    <n v="83"/>
    <x v="2"/>
    <x v="1"/>
    <s v="20638 | 4500019491"/>
    <n v="2446"/>
    <n v="4500022185"/>
    <s v="Fajar Paramita"/>
    <s v="Ira"/>
    <s v="0819-3243-0596"/>
    <m/>
    <m/>
    <m/>
    <m/>
    <m/>
    <s v="F87"/>
    <s v="H110"/>
    <m/>
    <s v="Biaya OTC 1.500.000"/>
  </r>
  <r>
    <n v="1262"/>
    <x v="8"/>
    <x v="780"/>
    <s v="Jalan Kuningan Barat No.8 Cyber 1nd &amp; 2 nd jakarta selatam 12711"/>
    <m/>
    <s v="Gedung Cyber 1 lantai 2 (CDCI)"/>
    <s v="Sewa Tahunan"/>
    <x v="2"/>
    <x v="228"/>
    <m/>
    <m/>
    <m/>
    <m/>
    <m/>
    <x v="118"/>
    <m/>
    <m/>
    <x v="18"/>
    <m/>
    <x v="248"/>
    <d v="2022-12-28T00:00:00"/>
    <x v="0"/>
    <m/>
    <d v="2024-09-06T00:00:00"/>
    <n v="-618"/>
    <x v="5"/>
    <x v="2"/>
    <s v="15027/SPP/008/PUSAT/ICON+/2020 | 4500015537"/>
    <s v="17579/SPP/008/PUSAT/ICON+/2021"/>
    <n v="4500017435"/>
    <s v="Fajar Paramita"/>
    <s v="Ira"/>
    <s v="0819-3243-0596"/>
    <m/>
    <m/>
    <m/>
    <s v="D326"/>
    <m/>
    <s v="F12"/>
    <m/>
    <m/>
    <m/>
  </r>
  <r>
    <n v="1263"/>
    <x v="8"/>
    <x v="781"/>
    <s v="Jalan Kuningan Barat No.8 Cyber 1nd &amp; 2 nd jakarta selatam 12711"/>
    <m/>
    <s v="Gedung Cyber 1 Lt. 2 Jl. Kuningan Barat Raya, No. 9B, RT. 03/ RW 02. Kuningan Barat,  Mampang Prapatan,  Jakarta Selatan,  DKI Jakarta,  Indonesia,"/>
    <s v="Sewa Tahunan"/>
    <x v="2"/>
    <x v="836"/>
    <m/>
    <m/>
    <m/>
    <m/>
    <m/>
    <x v="41"/>
    <m/>
    <m/>
    <x v="99"/>
    <m/>
    <x v="397"/>
    <d v="2022-10-10T00:00:00"/>
    <x v="1"/>
    <m/>
    <d v="2024-09-06T00:00:00"/>
    <n v="-697"/>
    <x v="6"/>
    <x v="2"/>
    <s v="baru"/>
    <s v="20010/SPP/008/PUSAT/ICON+/2022"/>
    <n v="4500019071"/>
    <s v="Fajar Paramita"/>
    <s v="Ira"/>
    <s v="0819-3243-0596"/>
    <m/>
    <m/>
    <m/>
    <m/>
    <m/>
    <s v="F246"/>
    <m/>
    <m/>
    <s v="1.Biaya Cross Connect  Rp.1.500.000"/>
  </r>
  <r>
    <n v="1264"/>
    <x v="8"/>
    <x v="668"/>
    <s v="Jalan Kuningan Barat No.8 Cyber 1nd &amp; 2 nd jakarta selatam 12711"/>
    <m/>
    <s v="Gedung Cyber 1 Lt. 8 Jl. Kuningan Barat Raya, No. 9B, RT. 03/ RW 02. Kuningan Barat,  Mampang Prapatan,  Jakarta Selatan,  DKI Jakarta,  Indonesia,"/>
    <s v="Sewa Tahunan"/>
    <x v="2"/>
    <x v="57"/>
    <m/>
    <m/>
    <m/>
    <m/>
    <m/>
    <x v="41"/>
    <m/>
    <m/>
    <x v="18"/>
    <m/>
    <x v="503"/>
    <d v="2023-11-10T00:00:00"/>
    <x v="0"/>
    <m/>
    <d v="2024-09-06T00:00:00"/>
    <n v="-301"/>
    <x v="2"/>
    <x v="6"/>
    <s v="baru"/>
    <s v="20518/SPP/008/PUSAT/ICON+/2022"/>
    <n v="4500019383"/>
    <s v="Fajar Paramita"/>
    <s v="Ira"/>
    <s v="0819-3243-0596"/>
    <m/>
    <m/>
    <m/>
    <m/>
    <m/>
    <s v="F409"/>
    <m/>
    <m/>
    <s v="1.Biaya Cross Connect DI CDC u Project DWDM (Merujuk pada SP2K 4500019159)"/>
  </r>
  <r>
    <n v="1265"/>
    <x v="8"/>
    <x v="782"/>
    <s v="Jalan Kuningan Barat No.8 Cyber 1nd &amp; 2 nd jakarta selatam 12710"/>
    <m/>
    <s v="Gedung Cyber APjii, Jl. Kuningan Barat Raya No.8, RT.1/RW.3, Kuningan Bar., Kec. Mampang Prpt., Kota Jakarta, Jakarta Selatan, DKI Jakarta, Indonesia"/>
    <s v="Sewa Tahunan"/>
    <x v="2"/>
    <x v="837"/>
    <m/>
    <m/>
    <m/>
    <m/>
    <m/>
    <x v="13"/>
    <m/>
    <m/>
    <x v="8"/>
    <m/>
    <x v="825"/>
    <d v="2021-09-24T00:00:00"/>
    <x v="0"/>
    <m/>
    <d v="2024-09-06T00:00:00"/>
    <n v="-1078"/>
    <x v="7"/>
    <x v="4"/>
    <s v="baru"/>
    <s v="14222/SPP/008/PUSAT/ICON+/2020"/>
    <n v="4500015013"/>
    <s v="Fajar Paramita"/>
    <s v="Ira"/>
    <s v="0819-3243-0596"/>
    <m/>
    <m/>
    <m/>
    <s v="D195"/>
    <m/>
    <m/>
    <m/>
    <m/>
    <s v="Biaya OTC Rp.2.500.000"/>
  </r>
  <r>
    <n v="1266"/>
    <x v="8"/>
    <x v="780"/>
    <s v="Jalan Kuningan Barat No.8 Cyber 1nd &amp; 2 nd jakarta selatam 12715"/>
    <m/>
    <s v="Gedung Cyber Lt. 1, Jalan Kuningan Barat No. 8, Kuningan Barat, Jakarta Selatan"/>
    <s v="Sewa Tahunan"/>
    <x v="2"/>
    <x v="193"/>
    <m/>
    <m/>
    <m/>
    <m/>
    <m/>
    <x v="125"/>
    <m/>
    <m/>
    <x v="18"/>
    <m/>
    <x v="170"/>
    <d v="2022-12-23T00:00:00"/>
    <x v="0"/>
    <m/>
    <d v="2024-09-06T00:00:00"/>
    <n v="-623"/>
    <x v="5"/>
    <x v="2"/>
    <s v="15000/SPP/008/PUSAT/ICON+/2020 | 4500015538"/>
    <s v="17581/SPP/008/PUSAT/ICON+/2021"/>
    <n v="4500017434"/>
    <s v="Fajar Paramita"/>
    <s v="Ira"/>
    <s v="0819-3243-0596"/>
    <m/>
    <m/>
    <m/>
    <s v="D325"/>
    <m/>
    <s v="F16"/>
    <m/>
    <m/>
    <m/>
  </r>
  <r>
    <n v="1267"/>
    <x v="8"/>
    <x v="783"/>
    <s v="Jalan Kuningan Barat No.8 Cyber 1nd &amp; 2 nd jakarta selatam 12711"/>
    <m/>
    <s v="Gedung Cyber Lt. 1, Jl. Kuningan Barat Raya No.8, RT.1/RW.3, Kuningan Barat,  Mampang Prapatan,  Jakarta Selatan,  DKI Jakarta,  Indonesia,  "/>
    <s v="Sewa Tahunan"/>
    <x v="2"/>
    <x v="838"/>
    <m/>
    <m/>
    <m/>
    <m/>
    <m/>
    <x v="253"/>
    <m/>
    <m/>
    <x v="18"/>
    <m/>
    <x v="502"/>
    <d v="2023-11-15T00:00:00"/>
    <x v="0"/>
    <m/>
    <d v="2024-09-06T00:00:00"/>
    <n v="-296"/>
    <x v="2"/>
    <x v="6"/>
    <s v="baru"/>
    <s v="20541/SPP/008/PUSAT/ICON+/2022"/>
    <n v="4500019440"/>
    <s v="Fajar Paramita"/>
    <s v="Ira"/>
    <s v="0819-3243-0596"/>
    <m/>
    <m/>
    <m/>
    <m/>
    <m/>
    <s v="F410"/>
    <m/>
    <m/>
    <m/>
  </r>
  <r>
    <n v="1268"/>
    <x v="8"/>
    <x v="596"/>
    <s v="Jalan Kuningan Barat No.8 Cyber 1nd &amp; 2 nd jakarta selatam 12714"/>
    <m/>
    <s v="H2H PT. Transjakarta – AINO ; Gedung Cyber 1 Lt.1 No. Rak 1a0212, Jl. Kuningan Barat Raya No. 8, Kuningan Barat, Jakarta Selatan, DKI Jakarta, Indonesia, 12710"/>
    <s v="Sewa Tahunan"/>
    <x v="2"/>
    <x v="195"/>
    <m/>
    <m/>
    <m/>
    <m/>
    <m/>
    <x v="23"/>
    <m/>
    <m/>
    <x v="18"/>
    <m/>
    <x v="826"/>
    <d v="2024-12-23T00:00:00"/>
    <x v="2"/>
    <m/>
    <d v="2024-09-06T00:00:00"/>
    <n v="108"/>
    <x v="5"/>
    <x v="1"/>
    <s v="14991/SPP/008/PUSAT/ICON+/2020 | 4500015536 | 17528/SPP/008/PUSAT/ICON+/2021 | 4500017432 | 20893/SPP/008/PUSAT/ICON+/2022 | 4500019845"/>
    <s v="2974/SPP/SBU/PLNICONPLUS/2024"/>
    <n v="4500022979"/>
    <s v="Fajar Paramita"/>
    <s v="Ira"/>
    <s v="0819-3243-0596"/>
    <m/>
    <m/>
    <m/>
    <s v="D327"/>
    <m/>
    <s v="F6"/>
    <s v="G10"/>
    <s v="H243"/>
    <m/>
  </r>
  <r>
    <n v="1269"/>
    <x v="8"/>
    <x v="784"/>
    <s v="Jalan Kuningan Barat No.8 Cyber 1nd &amp; 2 nd jakarta selatam 12710"/>
    <m/>
    <s v="IAIN Kediri, Jl. Sunan Ampel No.7, Rejomulyo, Kediri, Kota Kediri, Jawa Timur, Indonesia,"/>
    <s v="Sewa Tahunan"/>
    <x v="2"/>
    <x v="133"/>
    <m/>
    <m/>
    <m/>
    <m/>
    <m/>
    <x v="112"/>
    <m/>
    <m/>
    <x v="8"/>
    <m/>
    <x v="165"/>
    <d v="2022-07-21T00:00:00"/>
    <x v="1"/>
    <m/>
    <d v="2024-09-06T00:00:00"/>
    <n v="-778"/>
    <x v="1"/>
    <x v="2"/>
    <s v="13898/SPP/008/PUSAT/ICON+/2020 | 4500014743"/>
    <s v="16236/SPP/008/PUSAT/ICON+/2021"/>
    <n v="4500016505"/>
    <s v="Fajar Paramita"/>
    <s v="Ira"/>
    <s v="0819-3243-0596"/>
    <m/>
    <m/>
    <m/>
    <s v="D166"/>
    <s v="E242"/>
    <m/>
    <m/>
    <m/>
    <m/>
  </r>
  <r>
    <n v="1270"/>
    <x v="8"/>
    <x v="157"/>
    <s v="Jalan Kuningan Barat No.8 Cyber 1nd &amp; 2 nd jakarta selatam 12710"/>
    <m/>
    <s v="Jalan Kuningan Barat No.8 Cyber 1nd &amp; 2 nd jakarta selatam 12710"/>
    <s v="Sewa Tahunan"/>
    <x v="1"/>
    <x v="839"/>
    <m/>
    <m/>
    <m/>
    <m/>
    <m/>
    <x v="404"/>
    <m/>
    <m/>
    <x v="414"/>
    <m/>
    <x v="827"/>
    <d v="2021-12-18T00:00:00"/>
    <x v="0"/>
    <m/>
    <d v="2024-09-06T00:00:00"/>
    <n v="-993"/>
    <x v="5"/>
    <x v="4"/>
    <s v=",07172/SPP/008/PUSAT/ICON+/2017 | 09986/SPP/008/PUSAT/ICON+/2018 | 4500010800 | 12323/SPP/008/PUSAT/ICON+/2019 | 4500013760"/>
    <s v="14812/SPP/008/PUSAT/ICON+/2020"/>
    <n v="4500015515"/>
    <s v="Fajar Paramita"/>
    <s v="Ira"/>
    <s v="0819-3243-0596"/>
    <m/>
    <m/>
    <s v="C112"/>
    <s v="D298"/>
    <m/>
    <m/>
    <m/>
    <m/>
    <m/>
  </r>
  <r>
    <n v="1271"/>
    <x v="8"/>
    <x v="785"/>
    <s v="Jalan Kuningan Barat No.8 Cyber 1nd &amp; 2 nd jakarta selatam 12711"/>
    <s v="Cyber Building, Jl. Kuningan Barat Raya No.8, RT.1/RW.3, Kuningan Barat,  Kec. Mampang Prapatan,  Jakarta Selatan,  DKI Jakarta,  Indonesia,  12710"/>
    <s v="Jalan Kuningan Barat No.8 Cyber 1nd &amp; 2 nd jakarta selatan 12711"/>
    <s v="Sewa Tahunan"/>
    <x v="2"/>
    <x v="530"/>
    <m/>
    <m/>
    <m/>
    <m/>
    <m/>
    <x v="225"/>
    <m/>
    <m/>
    <x v="18"/>
    <m/>
    <x v="828"/>
    <d v="2025-01-16T00:00:00"/>
    <x v="2"/>
    <m/>
    <d v="2024-09-06T00:00:00"/>
    <n v="132"/>
    <x v="11"/>
    <x v="3"/>
    <s v="17672/SPP/008/PUSAT/ICON+/2022| 4500017499 | 21040 | 4500019920"/>
    <n v="2477"/>
    <n v="4500022204"/>
    <s v="Fajar Paramita"/>
    <s v="Ira"/>
    <s v="0819-3243-0596"/>
    <m/>
    <m/>
    <m/>
    <m/>
    <m/>
    <m/>
    <s v="G33"/>
    <s v="H34"/>
    <s v="Biaya OTC Rp.1.500.000"/>
  </r>
  <r>
    <n v="1272"/>
    <x v="8"/>
    <x v="775"/>
    <s v="Jalan Kuningan Barat No.8 Cyber 1nd &amp; 2 nd jakarta selatam 12711"/>
    <m/>
    <s v="Jalan Kuningan Barat No.8 Cyber 1nd &amp; 2 nd jakarta selatan 12710"/>
    <s v="Sewa Tahunan"/>
    <x v="2"/>
    <x v="57"/>
    <m/>
    <m/>
    <m/>
    <m/>
    <m/>
    <x v="56"/>
    <m/>
    <m/>
    <x v="18"/>
    <m/>
    <x v="829"/>
    <d v="2025-01-10T00:00:00"/>
    <x v="2"/>
    <m/>
    <d v="2024-09-06T00:00:00"/>
    <n v="126"/>
    <x v="11"/>
    <x v="3"/>
    <s v="20857 | 4500019747"/>
    <s v="2765/SPP/SBU/ICON+/2024"/>
    <n v="4500022597"/>
    <s v="Fajar Paramita"/>
    <s v="Ira"/>
    <s v="0819-3243-0596"/>
    <m/>
    <m/>
    <m/>
    <m/>
    <m/>
    <s v="F437"/>
    <s v="G120"/>
    <s v="H216"/>
    <m/>
  </r>
  <r>
    <n v="1273"/>
    <x v="8"/>
    <x v="786"/>
    <s v="Jalan Kuningan Barat No.8 Cyber 1nd &amp; 2 nd jakarta selatam 12710"/>
    <m/>
    <s v="Jl. H. Sanusi, Randegan Kulon,, Kecamatan Jatitujuh, Kabupaten Majalengka, Jawa Barat, Indonesia, 45458"/>
    <s v="Sewa Tahunan"/>
    <x v="2"/>
    <x v="493"/>
    <m/>
    <m/>
    <m/>
    <m/>
    <m/>
    <x v="8"/>
    <m/>
    <m/>
    <x v="10"/>
    <m/>
    <x v="830"/>
    <d v="2024-10-13T00:00:00"/>
    <x v="2"/>
    <m/>
    <d v="2024-09-06T00:00:00"/>
    <n v="37"/>
    <x v="6"/>
    <x v="1"/>
    <s v="16886/SPP/008/PUSAT/ICON+/2021 | 4500016925 | 20306/SPP/008/PUSAT/ICON+/2022 | 4500019390"/>
    <s v="1961/SPP/SBU/ICON+/2023"/>
    <n v="4500021815"/>
    <s v="Fajar Paramita"/>
    <s v="Ira"/>
    <s v="0819-3243-0596"/>
    <m/>
    <m/>
    <m/>
    <s v="E287"/>
    <s v="F28"/>
    <s v="F411'"/>
    <s v="G376"/>
    <m/>
    <s v="1.Biaya Cross Connect Rp.36.000.000"/>
  </r>
  <r>
    <n v="1274"/>
    <x v="8"/>
    <x v="552"/>
    <s v="Jalan Kuningan Barat No.8 Cyber 1nd &amp; 2 nd jakarta selatam 12710"/>
    <m/>
    <s v="Jl. Kuningan Barat Raya No.8, RW.3, Kuningan Bar, Jakarta Selatan"/>
    <s v="Sewa Tahunan"/>
    <x v="2"/>
    <x v="840"/>
    <m/>
    <m/>
    <m/>
    <m/>
    <m/>
    <x v="109"/>
    <m/>
    <m/>
    <x v="51"/>
    <m/>
    <x v="831"/>
    <d v="2022-08-11T00:00:00"/>
    <x v="0"/>
    <m/>
    <d v="2024-09-06T00:00:00"/>
    <n v="-757"/>
    <x v="12"/>
    <x v="2"/>
    <s v="13975/SPP/008/PUSAT/ICON+/2020 | 4500014802"/>
    <s v="16685/SPP/008/PUSAT/ICON+/2021"/>
    <n v="4500016924"/>
    <s v="Fajar Paramita"/>
    <s v="Ira"/>
    <s v="0819-3243-0596"/>
    <m/>
    <m/>
    <m/>
    <s v="D169"/>
    <s v="E407"/>
    <m/>
    <m/>
    <m/>
    <m/>
  </r>
  <r>
    <n v="1275"/>
    <x v="8"/>
    <x v="168"/>
    <s v="Jalan Kuningan Barat No.8 Cyber 1nd &amp; 2 nd jakarta selatam 12710"/>
    <m/>
    <s v="Jl. Kuningan Barat Raya No.8, RW.3, Kuningan Bar, Jakarta Selatan"/>
    <s v="Sewa Tahunan"/>
    <x v="2"/>
    <x v="841"/>
    <m/>
    <m/>
    <m/>
    <m/>
    <m/>
    <x v="112"/>
    <m/>
    <m/>
    <x v="8"/>
    <m/>
    <x v="832"/>
    <d v="2024-08-13T00:00:00"/>
    <x v="0"/>
    <m/>
    <d v="2024-09-06T00:00:00"/>
    <n v="-24"/>
    <x v="12"/>
    <x v="1"/>
    <s v="14007/SPP/008/PUSAT/ICON+/2020| 4500014850| 16629/SPP/008/PUSAT/ICON+/2021 | 4500016886 | 19810/SPP/008/PUSAT/ICON+/2022 | 4500019055"/>
    <s v="1138/SPP/SBU/ICON+/2023"/>
    <n v="4500021194"/>
    <s v="Fajar Paramita"/>
    <s v="Ira"/>
    <s v="0819-3243-0596"/>
    <m/>
    <m/>
    <m/>
    <s v="D175"/>
    <s v="F220"/>
    <s v="F373"/>
    <s v="G272"/>
    <m/>
    <s v="1.Biaya Sewa Tahunan Rp,2.500.000"/>
  </r>
  <r>
    <n v="1276"/>
    <x v="8"/>
    <x v="168"/>
    <s v="Jalan Kuningan Barat No.8 Cyber 1nd &amp; 2 nd jakarta selatam 12710"/>
    <m/>
    <s v="Jl. Kuningan Barat Raya No.8, RW.3, Kuningan Bar, Jakarta Selatan"/>
    <s v="Sewa Tahunan"/>
    <x v="2"/>
    <x v="841"/>
    <m/>
    <m/>
    <m/>
    <m/>
    <m/>
    <x v="112"/>
    <m/>
    <m/>
    <x v="8"/>
    <m/>
    <x v="833"/>
    <d v="2025-08-13T00:00:00"/>
    <x v="2"/>
    <m/>
    <d v="2024-09-06T00:00:00"/>
    <n v="341"/>
    <x v="12"/>
    <x v="3"/>
    <m/>
    <s v="3945/SPP/SBU/PLNICONPLUS/2024"/>
    <n v="4500023166"/>
    <s v="Livia Indraswati"/>
    <s v="Ira"/>
    <s v="0819-3243-0596"/>
    <m/>
    <m/>
    <m/>
    <m/>
    <m/>
    <m/>
    <m/>
    <s v="H281"/>
    <m/>
  </r>
  <r>
    <n v="1277"/>
    <x v="8"/>
    <x v="782"/>
    <s v="Jalan Kuningan Barat No.8 Cyber 1nd &amp; 2 nd jakarta selatam 12710"/>
    <m/>
    <s v="Jl. Kuningan Barat Raya No.8, RW.3, Kuningan Bar, Jakarta Selatan"/>
    <s v="Sewa Tahunan"/>
    <x v="2"/>
    <x v="837"/>
    <m/>
    <m/>
    <m/>
    <m/>
    <m/>
    <x v="13"/>
    <m/>
    <m/>
    <x v="51"/>
    <m/>
    <x v="825"/>
    <d v="2021-09-24T00:00:00"/>
    <x v="0"/>
    <m/>
    <d v="2024-09-06T00:00:00"/>
    <n v="-1078"/>
    <x v="7"/>
    <x v="4"/>
    <s v="baru"/>
    <s v="14222/SPP/008/PUSAT/ICON+/2020"/>
    <n v="4500015013"/>
    <s v="Fajar Paramita"/>
    <s v="Ira"/>
    <s v="0819-3243-0596"/>
    <m/>
    <m/>
    <m/>
    <s v="D195"/>
    <m/>
    <m/>
    <m/>
    <m/>
    <m/>
  </r>
  <r>
    <n v="1278"/>
    <x v="8"/>
    <x v="157"/>
    <s v="Jalan Kuningan Barat No.8 Cyber 1nd &amp; 2 nd jakarta selatam 12710"/>
    <m/>
    <s v="Jl. Kuningan Barat Raya No.8, RW.3, Kuningan Bar, Jakarta Selatan"/>
    <s v="Sewa Tahunan"/>
    <x v="2"/>
    <x v="842"/>
    <m/>
    <m/>
    <m/>
    <m/>
    <m/>
    <x v="13"/>
    <m/>
    <m/>
    <x v="8"/>
    <m/>
    <x v="131"/>
    <d v="2021-09-17T00:00:00"/>
    <x v="0"/>
    <m/>
    <d v="2024-09-06T00:00:00"/>
    <n v="-1085"/>
    <x v="7"/>
    <x v="4"/>
    <s v="baru"/>
    <s v="14182/SPP/008/PUSAT/ICON+/2020"/>
    <n v="4500015014"/>
    <s v="Fajar Paramita"/>
    <s v="Ira"/>
    <s v="0819-3243-0596"/>
    <m/>
    <m/>
    <m/>
    <s v="D194"/>
    <m/>
    <m/>
    <m/>
    <m/>
    <m/>
  </r>
  <r>
    <n v="1279"/>
    <x v="8"/>
    <x v="774"/>
    <s v="Jalan Kuningan Barat No.8 Cyber 1nd &amp; 2 nd jakarta selatam 12710"/>
    <m/>
    <s v="Jl. Kuningan Barat Raya No.8, RW.3, Kuningan Bar, Jakarta Selatan"/>
    <s v="Sewa Tahunan"/>
    <x v="2"/>
    <x v="167"/>
    <m/>
    <m/>
    <m/>
    <m/>
    <m/>
    <x v="112"/>
    <m/>
    <m/>
    <x v="8"/>
    <m/>
    <x v="834"/>
    <d v="2022-07-02T00:00:00"/>
    <x v="0"/>
    <m/>
    <d v="2024-09-06T00:00:00"/>
    <n v="-797"/>
    <x v="1"/>
    <x v="2"/>
    <s v="13469/SPP/008/PUSAT/ICON+/2020 | 4500014448"/>
    <s v="16027/SPP/008/PUSAT/ICON+/2021"/>
    <n v="4500016316"/>
    <s v="Fajar Paramita"/>
    <s v="Ira"/>
    <s v="0819-3243-0596"/>
    <m/>
    <m/>
    <m/>
    <s v="D117"/>
    <s v="E183"/>
    <m/>
    <m/>
    <m/>
    <m/>
  </r>
  <r>
    <n v="1280"/>
    <x v="8"/>
    <x v="787"/>
    <s v="Jalan Kuningan Barat No.8 Cyber 1nd &amp; 2 nd jakarta selatam 12710"/>
    <m/>
    <s v="Jl. Kuningan Barat Raya No.8, RW.3, Kuningan Bar, Jakarta Selatan"/>
    <s v="Sewa Tahunan"/>
    <x v="2"/>
    <x v="843"/>
    <m/>
    <m/>
    <m/>
    <m/>
    <m/>
    <x v="405"/>
    <m/>
    <m/>
    <x v="8"/>
    <m/>
    <x v="835"/>
    <d v="2025-06-02T00:00:00"/>
    <x v="2"/>
    <m/>
    <d v="2024-09-06T00:00:00"/>
    <n v="269"/>
    <x v="3"/>
    <x v="3"/>
    <s v="13482/SPP/008/PUSAT/ICON+/2020 | 4500014453| 15995/SPP/008/PUSAT/ICON+/2021 | 4500016317 | 19418/SPP/008/PUSAT/ICON+/2022 | 4500019058 | 802/SPP/SBU/ICON+/2023 | 4500020895"/>
    <s v="3749/SPP/SBU/PLNICONPLUS/2024"/>
    <n v="4500022995"/>
    <s v="Fajar Paramita"/>
    <s v="Ira"/>
    <s v="0819-3243-0596"/>
    <m/>
    <m/>
    <m/>
    <s v="D97"/>
    <s v="E184"/>
    <s v="F374"/>
    <s v="G209"/>
    <s v="H244"/>
    <s v="1.Biaya Sewa Tahunan Rp,2.500.000"/>
  </r>
  <r>
    <n v="1281"/>
    <x v="8"/>
    <x v="788"/>
    <s v="Jalan Kuningan Barat No.8 Cyber 1nd &amp; 2 nd jakarta selatam 12710"/>
    <m/>
    <s v="Jl. Kuningan Barat Raya No.8, RW.3, Kuningan Bar, Jakarta Selatan"/>
    <s v="Sewa Tahunan"/>
    <x v="1"/>
    <x v="844"/>
    <m/>
    <m/>
    <m/>
    <m/>
    <m/>
    <x v="91"/>
    <m/>
    <m/>
    <x v="173"/>
    <m/>
    <x v="836"/>
    <d v="2024-07-10T00:00:00"/>
    <x v="2"/>
    <m/>
    <d v="2024-09-06T00:00:00"/>
    <n v="-58"/>
    <x v="1"/>
    <x v="1"/>
    <s v="13825/SPP/008/PUSAT/ICON+/2020 | 4500014668| 16028/SPP/008/PUSAT/ICON+/2021| 4500016301 | 19240/SPP/008/PUSAT/ICON+/2022 | 4500018490"/>
    <s v="728/SPP/SBU/ICON+/2023"/>
    <n v="4500020893"/>
    <s v="Fajar Paramita"/>
    <s v="Ira"/>
    <s v="0819-3243-0596"/>
    <m/>
    <m/>
    <m/>
    <s v="D192"/>
    <s v="E185"/>
    <s v="F306"/>
    <s v="G214"/>
    <m/>
    <m/>
  </r>
  <r>
    <n v="1282"/>
    <x v="8"/>
    <x v="788"/>
    <s v="Jalan Kuningan Barat No.8 Cyber 1nd &amp; 2 nd jakarta selatam 12710"/>
    <m/>
    <s v="Jl. Kuningan Barat Raya No.8, RW.3, Kuningan Bar, Jakarta Selatan"/>
    <s v="Sewa Tahunan"/>
    <x v="1"/>
    <x v="844"/>
    <m/>
    <m/>
    <m/>
    <m/>
    <m/>
    <x v="254"/>
    <m/>
    <m/>
    <x v="173"/>
    <m/>
    <x v="717"/>
    <d v="2025-07-10T00:00:00"/>
    <x v="2"/>
    <m/>
    <d v="2024-09-06T00:00:00"/>
    <n v="307"/>
    <x v="1"/>
    <x v="3"/>
    <m/>
    <s v="3866/SPP/SBU/PLNICONPLUS/2024"/>
    <n v="4500023239"/>
    <s v="Fajar Paramita"/>
    <s v="Ira"/>
    <s v="0819-3243-0596"/>
    <m/>
    <m/>
    <m/>
    <m/>
    <m/>
    <m/>
    <m/>
    <s v="H316"/>
    <m/>
  </r>
  <r>
    <n v="1283"/>
    <x v="8"/>
    <x v="777"/>
    <s v="Jalan Kuningan Barat No.8 Cyber 1nd &amp; 2 nd jakarta selatam 12710"/>
    <m/>
    <s v="Jl. Raya Kesongo Kedungadem, Grogol, Sidorejo, Kedungadem, Kabupaten Bojonegoro, Jawa Timur, Indonesia, 62195"/>
    <s v="Sewa Tahunan"/>
    <x v="2"/>
    <x v="213"/>
    <m/>
    <m/>
    <m/>
    <m/>
    <m/>
    <x v="116"/>
    <m/>
    <m/>
    <x v="18"/>
    <m/>
    <x v="822"/>
    <d v="2022-02-04T00:00:00"/>
    <x v="0"/>
    <m/>
    <d v="2024-09-06T00:00:00"/>
    <n v="-945"/>
    <x v="9"/>
    <x v="2"/>
    <s v="baru"/>
    <s v="15188/SPP/008/PUSAT/ICON+/2021"/>
    <n v="4500015756"/>
    <s v="Fajar Paramita"/>
    <s v="Ira"/>
    <s v="0819-3243-0596"/>
    <m/>
    <m/>
    <m/>
    <m/>
    <s v="E6"/>
    <m/>
    <m/>
    <m/>
    <m/>
  </r>
  <r>
    <n v="1284"/>
    <x v="8"/>
    <x v="789"/>
    <s v="Jalan Kuningan Barat No.8 Cyber 1nd &amp; 2 nd jakarta selatam 12710"/>
    <m/>
    <s v="Jl. Raya Nguntoronadi KM 24 RT 02/ 01, Kedungrejo, Nguntoronadi, Wonogiri, Kecamatan Nguntoronadi, Kabupaten Wonogiri, Jawa Tengah, Indonesia, 57671"/>
    <s v="Sewa Tahunan"/>
    <x v="2"/>
    <x v="87"/>
    <m/>
    <m/>
    <m/>
    <m/>
    <m/>
    <x v="112"/>
    <m/>
    <m/>
    <x v="8"/>
    <m/>
    <x v="837"/>
    <d v="2021-07-15T00:00:00"/>
    <x v="1"/>
    <m/>
    <d v="2024-09-06T00:00:00"/>
    <n v="-1149"/>
    <x v="1"/>
    <x v="4"/>
    <s v="baru"/>
    <s v="13812/SPP/008/PUSAT/ICON+/2020"/>
    <n v="4500014674"/>
    <s v="Fajar Paramita"/>
    <s v="Ira"/>
    <s v="0819-3243-0596"/>
    <m/>
    <m/>
    <m/>
    <s v="D151"/>
    <m/>
    <m/>
    <m/>
    <m/>
    <m/>
  </r>
  <r>
    <n v="1285"/>
    <x v="8"/>
    <x v="789"/>
    <s v="Jalan Kuningan Barat No.8 Cyber 1nd &amp; 2 nd jakarta selatam 12710"/>
    <m/>
    <s v="Jl. Raya Nguntoronadi KM 24 RT 02/ 01, Kedungrejo, Nguntoronadi, Wonogiri, Kecamatan Nguntoronadi, Kabupaten Wonogiri, Jawa Tengah, Indonesia, 57671"/>
    <s v="Sewa Tahunan"/>
    <x v="2"/>
    <x v="87"/>
    <m/>
    <m/>
    <m/>
    <m/>
    <m/>
    <x v="61"/>
    <m/>
    <m/>
    <x v="8"/>
    <m/>
    <x v="838"/>
    <d v="2022-07-15T00:00:00"/>
    <x v="1"/>
    <m/>
    <d v="2024-09-06T00:00:00"/>
    <n v="-784"/>
    <x v="1"/>
    <x v="2"/>
    <s v="baru"/>
    <s v="16238/SPP/008/PUSAT/ICON+/2021"/>
    <n v="4500016507"/>
    <s v="Fajar Paramita"/>
    <s v="Ira"/>
    <s v="0819-3243-0596"/>
    <m/>
    <m/>
    <m/>
    <m/>
    <s v="E222"/>
    <m/>
    <m/>
    <m/>
    <m/>
  </r>
  <r>
    <n v="1286"/>
    <x v="8"/>
    <x v="773"/>
    <s v="Jalan Kuningan Barat No.8 Cyber 1nd &amp; 2 nd jakarta selatam 12710"/>
    <m/>
    <s v="Jl. Raya Nguntoronadi KM 24 RT 02/ 01, Kedungrejo, Nguntoronadi, Wonogiri, Kecamatan Nguntoronadi, Kabupaten Wonogiri, Jawa Tengah, Indonesia, 57671"/>
    <s v="Sewa Tahunan"/>
    <x v="2"/>
    <x v="360"/>
    <m/>
    <m/>
    <m/>
    <m/>
    <m/>
    <x v="8"/>
    <m/>
    <m/>
    <x v="8"/>
    <m/>
    <x v="839"/>
    <d v="2022-07-05T00:00:00"/>
    <x v="1"/>
    <m/>
    <d v="2024-09-06T00:00:00"/>
    <n v="-794"/>
    <x v="1"/>
    <x v="2"/>
    <s v="baru"/>
    <s v="16237/SPP/008/PUSAT/ICON+/2021"/>
    <n v="4500016506"/>
    <s v="Fajar Paramita"/>
    <s v="Ira"/>
    <s v="0819-3243-0596"/>
    <m/>
    <m/>
    <m/>
    <m/>
    <s v="E237"/>
    <m/>
    <m/>
    <m/>
    <m/>
  </r>
  <r>
    <n v="1287"/>
    <x v="8"/>
    <x v="790"/>
    <s v="Jalan Kuningan Barat No.8 Cyber 1nd &amp; 2 nd jakarta selatam 12712"/>
    <s v="Jl. Kuningan Barat Raya No.8, RW.3, Kuningan Bar,  Mampang Prpt,  Jakarta Selatan,  DKI Jakarta,  Indonesia,  12710"/>
    <s v="Kauman, Ajibarang Wetan, Ajibarang, Kabupaten Banyumas, Jawa Tengah, Indonesia, 53163"/>
    <s v="Sewa Tahunan"/>
    <x v="2"/>
    <x v="845"/>
    <m/>
    <m/>
    <m/>
    <m/>
    <m/>
    <x v="8"/>
    <m/>
    <m/>
    <x v="18"/>
    <m/>
    <x v="840"/>
    <d v="2022-01-21T00:00:00"/>
    <x v="0"/>
    <m/>
    <d v="2024-09-06T00:00:00"/>
    <n v="-959"/>
    <x v="11"/>
    <x v="2"/>
    <s v="baru"/>
    <s v="15109/SPP/008/PUSAT/ICON+/2021"/>
    <n v="4500015676"/>
    <s v="Fajar Paramita"/>
    <s v="Ira"/>
    <s v="0819-3243-0596"/>
    <m/>
    <m/>
    <m/>
    <s v="D348"/>
    <m/>
    <m/>
    <m/>
    <m/>
    <m/>
  </r>
  <r>
    <n v="1288"/>
    <x v="8"/>
    <x v="585"/>
    <s v="Jalan Kuningan Barat No.8 Cyber 1nd &amp; 2 nd jakarta selatam 12710"/>
    <s v="Jl. Kuningan Barat Raya No.8, RT.1/RW.3, Kuningan Bar., Kec. Mampang Prpt., Jakarta Selatan, DKI Jakarta, Indonesia, 12710"/>
    <s v="Omadata DC Intiland Tower, Jl. Panglima Sudirman No.101-103, Embong Kaliasin, Kec. Genteng, Surabaya, Jawa Timur, Indonesia, 60271"/>
    <s v="Sewa Tahunan"/>
    <x v="2"/>
    <x v="846"/>
    <m/>
    <m/>
    <m/>
    <m/>
    <m/>
    <x v="314"/>
    <m/>
    <m/>
    <x v="10"/>
    <m/>
    <x v="841"/>
    <d v="2025-03-15T00:00:00"/>
    <x v="2"/>
    <m/>
    <d v="2024-09-06T00:00:00"/>
    <n v="190"/>
    <x v="8"/>
    <x v="3"/>
    <s v="21596 | 4500020204"/>
    <n v="2479"/>
    <n v="4500022305"/>
    <s v="Fajar Paramita"/>
    <s v="Ira"/>
    <s v="0819-3243-0596"/>
    <m/>
    <m/>
    <m/>
    <m/>
    <m/>
    <m/>
    <s v="G58"/>
    <s v="H109"/>
    <s v="OTC Rp.3.000.000"/>
  </r>
  <r>
    <n v="1289"/>
    <x v="8"/>
    <x v="781"/>
    <s v="Jalan Kuningan Barat No.8 Cyber 1nd &amp; 2 nd jakarta selatam 12711"/>
    <m/>
    <s v="PT Samchem Prasandha - The Blugreen Boutique Office Tower A-Blue Lantai 2 Unit AB-0, 2, Jl. Lkr. Luar Barat, RT.6/RW.1"/>
    <s v="Sewa Tahunan"/>
    <x v="2"/>
    <x v="836"/>
    <m/>
    <m/>
    <m/>
    <m/>
    <m/>
    <x v="41"/>
    <m/>
    <m/>
    <x v="99"/>
    <m/>
    <x v="842"/>
    <d v="2022-09-10T00:00:00"/>
    <x v="1"/>
    <m/>
    <d v="2024-09-06T00:00:00"/>
    <n v="-727"/>
    <x v="7"/>
    <x v="2"/>
    <s v="19334/SPP/008/PUSAT/ICON+/2022 | 4500018496"/>
    <s v="20010/SPP/008/PUSAT/ICON+/2022"/>
    <n v="4500019071"/>
    <s v="Fajar Paramita"/>
    <s v="Ira"/>
    <s v="0819-3243-0596"/>
    <m/>
    <m/>
    <m/>
    <m/>
    <m/>
    <s v="D246"/>
    <m/>
    <m/>
    <s v="1.Biaya Sewa Trial Rp.1.500.000 | 2.Biaya OTC Rp.1.500.000"/>
  </r>
  <r>
    <n v="1290"/>
    <x v="8"/>
    <x v="791"/>
    <s v="Jalan Kuningan Barat No.8 Cyber 1nd &amp; 2 nd jakarta selatam 12711"/>
    <m/>
    <s v="PT. Yetoya Solusi Indonesia Jl. Patih Jelantik Vallet, Kuta"/>
    <s v="Sewa Tahunan"/>
    <x v="2"/>
    <x v="431"/>
    <m/>
    <m/>
    <m/>
    <m/>
    <m/>
    <x v="225"/>
    <m/>
    <m/>
    <x v="18"/>
    <m/>
    <x v="843"/>
    <d v="2024-06-12T00:00:00"/>
    <x v="2"/>
    <m/>
    <d v="2024-09-06T00:00:00"/>
    <n v="-86"/>
    <x v="3"/>
    <x v="1"/>
    <s v="18859/SPP/008/PUSAT/ICON+/2022 | 4500018164"/>
    <s v="1086/SPP/SBU/ICON+/2023"/>
    <n v="4500021195"/>
    <s v="Fajar Paramita"/>
    <s v="Ira"/>
    <s v="0819-3243-0596"/>
    <m/>
    <m/>
    <m/>
    <m/>
    <m/>
    <s v="F165"/>
    <s v="G270"/>
    <m/>
    <s v="1.Biaya Cross Connect Rp.18.000.000 | 2.Biaya OTC Rp.1.500.000"/>
  </r>
  <r>
    <n v="1291"/>
    <x v="8"/>
    <x v="791"/>
    <s v="Jalan Kuningan Barat No.8 Cyber 1nd &amp; 2 nd jakarta selatam 12711"/>
    <s v="Jl. Kuningan Barat Raya No.8, RW.3, Kuningan Bar., Kec. Mampang Prpt."/>
    <s v="PT. Yetoya Solusi Indonesia Jl. Patih Jelantik Vallet, Kuta"/>
    <s v="Sewa Tahunan"/>
    <x v="2"/>
    <x v="847"/>
    <m/>
    <m/>
    <m/>
    <m/>
    <m/>
    <x v="297"/>
    <m/>
    <m/>
    <x v="18"/>
    <m/>
    <x v="568"/>
    <d v="2023-11-29T00:00:00"/>
    <x v="0"/>
    <m/>
    <d v="2024-09-06T00:00:00"/>
    <n v="-282"/>
    <x v="2"/>
    <x v="6"/>
    <s v="baru"/>
    <s v="20696/SPP/008/PUSAT/ICON+/2022"/>
    <n v="4500019548"/>
    <s v="Fajar Paramita"/>
    <s v="Ira"/>
    <s v="0819-3243-0596"/>
    <m/>
    <m/>
    <m/>
    <m/>
    <m/>
    <s v="F426"/>
    <m/>
    <m/>
    <s v="Biaya OTC 1.500.000"/>
  </r>
  <r>
    <n v="1292"/>
    <x v="8"/>
    <x v="556"/>
    <s v="Jalan Kuningan Barat No.8 Cyber 1nd &amp; 2 nd jakarta selatam 12711"/>
    <m/>
    <s v="sentra mulia Jl. H. R. Rasuna Said No.Kav X-6, 8"/>
    <s v="Sewa Tahunan"/>
    <x v="1"/>
    <x v="612"/>
    <m/>
    <m/>
    <m/>
    <m/>
    <m/>
    <x v="398"/>
    <m/>
    <m/>
    <x v="415"/>
    <m/>
    <x v="844"/>
    <d v="2020-05-29T00:00:00"/>
    <x v="0"/>
    <m/>
    <d v="2024-09-06T00:00:00"/>
    <n v="-1561"/>
    <x v="4"/>
    <x v="5"/>
    <s v="baru"/>
    <s v="10696/SPP/008/PUSAT/ICON+/2019"/>
    <n v="4500012711"/>
    <s v="Fajar Paramita"/>
    <s v="Ira"/>
    <s v="0819-3243-0596"/>
    <m/>
    <m/>
    <s v="C77"/>
    <m/>
    <m/>
    <m/>
    <m/>
    <m/>
    <s v="Collocation 1U OTB dan Splicing 24 Core di NER CDCI Basement Rak 0F0310"/>
  </r>
  <r>
    <n v="1293"/>
    <x v="8"/>
    <x v="792"/>
    <s v="Jalan Kuningan Barat No.8 Cyber 1nd &amp; 2 nd jakarta selatam 12710"/>
    <s v="Cyber 1, Jl. Kuningan Barat No. 8, Kuningan Barat, Jakarta"/>
    <s v="Sregen Wifi, Kebayanan 1, Krikilan, Kab. Sragen, Jawa Tengah"/>
    <s v="Sewa Tahunan"/>
    <x v="2"/>
    <x v="175"/>
    <m/>
    <m/>
    <m/>
    <m/>
    <m/>
    <x v="116"/>
    <m/>
    <m/>
    <x v="18"/>
    <m/>
    <x v="519"/>
    <d v="2023-03-15T00:00:00"/>
    <x v="1"/>
    <m/>
    <d v="2024-09-06T00:00:00"/>
    <n v="-541"/>
    <x v="8"/>
    <x v="6"/>
    <s v="15531/SPP/008/PUSAT/ICON+/2021| 4500015896"/>
    <s v="18215/SPP/008/PUSAT/ICON+/2022"/>
    <n v="4500017759"/>
    <s v="Fajar Paramita"/>
    <s v="Ira"/>
    <s v="0819-3243-0596"/>
    <m/>
    <m/>
    <m/>
    <m/>
    <s v="E18"/>
    <s v="F125"/>
    <m/>
    <m/>
    <m/>
  </r>
  <r>
    <n v="1294"/>
    <x v="8"/>
    <x v="668"/>
    <s v="Jalan Kuningan Barat No.8 Cyber 1nd &amp; 2 nd jakarta selatam 12710"/>
    <m/>
    <s v="Sregen Wifi, Kebayanan 1, Krikilan, Kab. Sragen, Jawa Tengah"/>
    <s v="Sewa Tahunan"/>
    <x v="2"/>
    <x v="57"/>
    <m/>
    <m/>
    <m/>
    <m/>
    <m/>
    <x v="116"/>
    <m/>
    <m/>
    <x v="18"/>
    <m/>
    <x v="845"/>
    <d v="2024-03-11T00:00:00"/>
    <x v="2"/>
    <m/>
    <d v="2024-09-06T00:00:00"/>
    <n v="-179"/>
    <x v="8"/>
    <x v="1"/>
    <s v="15532/SPP/008/PUSAT/ICON+/2021| 4500015926 | 18221/SPP/008/PUSAT/ICON+/2022 | 4500017766"/>
    <s v="21748/SPP/008/PUSAT/ICON+/2023"/>
    <n v="4500020269"/>
    <s v="Fajar Paramita"/>
    <s v="Ira"/>
    <s v="0819-3243-0596"/>
    <m/>
    <m/>
    <m/>
    <m/>
    <s v="E19"/>
    <s v="F128"/>
    <m/>
    <m/>
    <m/>
  </r>
  <r>
    <n v="1295"/>
    <x v="8"/>
    <x v="668"/>
    <s v="Jalan Kuningan Barat No.8 Cyber 1nd &amp; 2 nd jakarta selatam 12710"/>
    <m/>
    <m/>
    <s v="Sewa Tahunan"/>
    <x v="2"/>
    <x v="57"/>
    <m/>
    <m/>
    <m/>
    <m/>
    <m/>
    <x v="41"/>
    <m/>
    <m/>
    <x v="18"/>
    <m/>
    <x v="450"/>
    <d v="2023-03-29T00:00:00"/>
    <x v="0"/>
    <m/>
    <d v="2024-09-06T00:00:00"/>
    <n v="-527"/>
    <x v="8"/>
    <x v="6"/>
    <s v="15623/SPP/008/PUSAT/ICON+/2021| 4500015985"/>
    <s v="18290/SPP/008/PUSAT/ICON+/2022"/>
    <n v="4500018036"/>
    <s v="Fajar Paramita"/>
    <s v="Ira"/>
    <s v="0819-3243-0596"/>
    <m/>
    <m/>
    <m/>
    <m/>
    <s v="E24"/>
    <s v="F221"/>
    <m/>
    <m/>
    <m/>
  </r>
  <r>
    <n v="1296"/>
    <x v="8"/>
    <x v="668"/>
    <s v="Jalan Kuningan Barat No.8 Cyber 1nd &amp; 2 nd jakarta selatam 12710"/>
    <m/>
    <m/>
    <s v="Sewa Tahunan"/>
    <x v="2"/>
    <x v="57"/>
    <m/>
    <m/>
    <m/>
    <m/>
    <m/>
    <x v="41"/>
    <m/>
    <m/>
    <x v="71"/>
    <m/>
    <x v="222"/>
    <d v="2022-07-22T00:00:00"/>
    <x v="0"/>
    <m/>
    <d v="2024-09-06T00:00:00"/>
    <n v="-777"/>
    <x v="1"/>
    <x v="2"/>
    <s v="baru"/>
    <s v="16316/SPP/008/PUSAT/ICON+/2021"/>
    <n v="4500016484"/>
    <s v="Fajar Paramita"/>
    <s v="Ira"/>
    <s v="0819-3243-0596"/>
    <m/>
    <m/>
    <m/>
    <m/>
    <s v="E180"/>
    <m/>
    <m/>
    <m/>
    <m/>
  </r>
  <r>
    <n v="1297"/>
    <x v="8"/>
    <x v="168"/>
    <s v="Jalan Kuningan Barat No.8 Cyber 1nd &amp; 2 nd jakarta selatam 12710"/>
    <s v="Jl. Kuningan Barat Raya No.8, RT.1/RW.3, Kuningan Bar.,  Kec. Mampang Prpt.,  Jakarta Selatan,  DKI Jakarta,  Indonesia,  12710"/>
    <s v="CBN Bali Istana Kuta Galeria  Blok PM 3 No. 7 Jl. Patih Jelantik,  Kuta,  Kabupaten Badung,  Bali,  Indonesia,  80361"/>
    <s v="Sewa Tahunan"/>
    <x v="2"/>
    <x v="245"/>
    <m/>
    <m/>
    <m/>
    <m/>
    <m/>
    <x v="179"/>
    <m/>
    <m/>
    <x v="10"/>
    <m/>
    <x v="571"/>
    <d v="2024-07-31T00:00:00"/>
    <x v="2"/>
    <m/>
    <d v="2024-09-06T00:00:00"/>
    <n v="-37"/>
    <x v="1"/>
    <x v="1"/>
    <s v="16331/SPP/008/PUSAT/ICON+/2021| 4500016504 | 19406/SPP/008/PUSAT/ICON+/2022 | 4500018743"/>
    <s v="835/SPP/SBU/ICON+/2023"/>
    <n v="4500020894"/>
    <s v="Fajar Paramita"/>
    <s v="Ira"/>
    <s v="0819-3243-0596"/>
    <m/>
    <m/>
    <m/>
    <m/>
    <s v="E186"/>
    <s v="F311"/>
    <s v="G213"/>
    <m/>
    <m/>
  </r>
  <r>
    <n v="1298"/>
    <x v="8"/>
    <x v="585"/>
    <s v="Jalan Kuningan Barat No.8 Cyber 1nd &amp; 2 nd jakarta selatam 12710"/>
    <s v="Jl. Kuningan Barat Raya No.8, RT.1/RW.3, Kuningan Bar.,  Kec. Mampang Prpt.,  Jakarta Selatan,  DKI Jakarta,  Indonesia,  12710"/>
    <s v="CBN Bali Istana Kuta Galeria  Blok PM 3 No. 7 Jl. Patih Jelantik,  Kuta,  Kabupaten Badung,  Bali,  Indonesia,  80361"/>
    <s v="Sewa Tahunan"/>
    <x v="2"/>
    <x v="245"/>
    <m/>
    <m/>
    <m/>
    <m/>
    <m/>
    <x v="179"/>
    <m/>
    <m/>
    <x v="416"/>
    <m/>
    <x v="472"/>
    <d v="2023-08-02T00:00:00"/>
    <x v="0"/>
    <m/>
    <d v="2024-09-06T00:00:00"/>
    <n v="-401"/>
    <x v="12"/>
    <x v="6"/>
    <s v="16370/SPP/008/PUSAT/ICON+/2021| 4500016522"/>
    <s v="19755/SPP/008/PUSAT/ICON+/2022"/>
    <n v="4500018766"/>
    <s v="Fajar Paramita"/>
    <s v="Ira"/>
    <s v="0819-3243-0596"/>
    <m/>
    <m/>
    <m/>
    <m/>
    <s v="E159"/>
    <s v="F312"/>
    <m/>
    <m/>
    <m/>
  </r>
  <r>
    <n v="1299"/>
    <x v="8"/>
    <x v="554"/>
    <s v="Jalan Kuningan Barat No.8 Cyber 1nd &amp; 2 nd jakarta selatam 12710"/>
    <m/>
    <s v="Cyber 1 "/>
    <s v="Sewa Tahunan"/>
    <x v="2"/>
    <x v="57"/>
    <m/>
    <m/>
    <m/>
    <m/>
    <m/>
    <x v="406"/>
    <m/>
    <m/>
    <x v="417"/>
    <m/>
    <x v="693"/>
    <d v="2025-01-31T00:00:00"/>
    <x v="2"/>
    <m/>
    <d v="2024-09-06T00:00:00"/>
    <n v="147"/>
    <x v="11"/>
    <x v="3"/>
    <s v="728 | 4500019940"/>
    <s v="2454/SPP/SBU/PLNICONPLUS/2024"/>
    <n v="4500019940"/>
    <s v="Fajar Paramita"/>
    <s v="Ira"/>
    <s v="0819-3243-0596"/>
    <m/>
    <m/>
    <m/>
    <m/>
    <m/>
    <m/>
    <s v="G245"/>
    <s v="H147"/>
    <m/>
  </r>
  <r>
    <n v="1300"/>
    <x v="8"/>
    <x v="346"/>
    <s v="Jalan Kuningan Barat No.8 Cyber 1nd &amp; 2 nd jakarta selatam 12710"/>
    <s v="Cyber 1 Jl. Kuningan Barat Raya No.8, RW.3, Kuningan Bar., Kec. Mampang Prpt."/>
    <s v="LJN KARAWANG JL. AHMAD YANI NO.25B KARWANG BARAT - KARAWANG_x000a_-6.295944474137, 107.293680778819"/>
    <s v="Sewa Tahunan"/>
    <x v="2"/>
    <x v="848"/>
    <m/>
    <m/>
    <m/>
    <m/>
    <m/>
    <x v="407"/>
    <m/>
    <m/>
    <x v="18"/>
    <m/>
    <x v="846"/>
    <d v="2024-08-21T00:00:00"/>
    <x v="2"/>
    <m/>
    <d v="2024-09-06T00:00:00"/>
    <n v="-16"/>
    <x v="12"/>
    <x v="1"/>
    <s v="baru"/>
    <s v="1166/SPP/SBU/ICON+/2023"/>
    <n v="4500021162"/>
    <s v="Fajar Paramita"/>
    <s v="Ira"/>
    <s v="0819-3243-0596"/>
    <m/>
    <m/>
    <m/>
    <m/>
    <m/>
    <m/>
    <s v="G188"/>
    <m/>
    <s v="1.Biaya Cross Connect Rp.18.000.000 | 2. OTC 1.500.000,-"/>
  </r>
  <r>
    <n v="1301"/>
    <x v="8"/>
    <x v="788"/>
    <s v="Jalan Kuningan Barat No.8 Cyber 1nd &amp; 2 nd jakarta selatam 12710"/>
    <m/>
    <s v="Cyber 1 "/>
    <s v="Sewa Tahunan"/>
    <x v="2"/>
    <x v="57"/>
    <m/>
    <m/>
    <m/>
    <m/>
    <m/>
    <x v="41"/>
    <m/>
    <m/>
    <x v="10"/>
    <m/>
    <x v="847"/>
    <d v="2024-07-22T00:00:00"/>
    <x v="2"/>
    <m/>
    <d v="2024-09-06T00:00:00"/>
    <n v="-46"/>
    <x v="1"/>
    <x v="1"/>
    <s v="16316/SPP/008/PUSAT/ICON+/2021 | 19404/SPP/008/PUSAT/ICON+/2022| 4500019060"/>
    <s v="866/SPP/SBU/ICON+/2023"/>
    <n v="4500021082"/>
    <s v="Fajar Paramita"/>
    <s v="Ira"/>
    <s v="0819-3243-0596"/>
    <m/>
    <m/>
    <m/>
    <m/>
    <m/>
    <m/>
    <s v="G258"/>
    <m/>
    <s v="1.Biaya Cross Connect Rp.36.000.000"/>
  </r>
  <r>
    <n v="1302"/>
    <x v="8"/>
    <x v="788"/>
    <s v="Jalan Kuningan Barat No.8 Cyber 1nd &amp; 2 nd jakarta selatam 12710"/>
    <m/>
    <s v="Cyber 1 "/>
    <s v="Sewa Tahunan"/>
    <x v="2"/>
    <x v="57"/>
    <m/>
    <m/>
    <m/>
    <m/>
    <m/>
    <x v="41"/>
    <m/>
    <m/>
    <x v="18"/>
    <m/>
    <x v="848"/>
    <d v="2024-07-02T00:00:00"/>
    <x v="2"/>
    <m/>
    <d v="2024-09-06T00:00:00"/>
    <n v="-66"/>
    <x v="1"/>
    <x v="1"/>
    <s v="baru"/>
    <s v="785/SPP/SBU/ICON+/2023"/>
    <n v="4500021078"/>
    <s v="Fajar Paramita"/>
    <s v="Ira"/>
    <s v="0819-3243-0596"/>
    <m/>
    <m/>
    <m/>
    <m/>
    <m/>
    <m/>
    <s v="G261"/>
    <m/>
    <s v="1.Biaya Cross Connect Rp.18.000.000"/>
  </r>
  <r>
    <n v="1303"/>
    <x v="8"/>
    <x v="793"/>
    <s v="Jalan Kuningan Barat No.8 Cyber 1nd &amp; 2 nd jakarta selatam 12710"/>
    <s v="JL. KUNINGAN BARAT RAYA NO.8, RT.1/RW.3, KUNINGAN BAR., KEC. MAMPANG PRPT., KOTA JAKARTA SELATAN, DAERAH KHUSUS IBUKOTA JAKARTA 12710"/>
    <s v="JL.AGUNG PERKASA BLOK 9 K1 9-15, RT.15/RW.14, SUNTER AGUNG, KEC. TJ. PRIOK, JKT UTARA, DAERAH KHUSUS IBUKOTA JAKARTA 14230"/>
    <s v="Sewa Tahunan"/>
    <x v="2"/>
    <x v="849"/>
    <m/>
    <m/>
    <m/>
    <m/>
    <m/>
    <x v="44"/>
    <m/>
    <m/>
    <x v="18"/>
    <m/>
    <x v="849"/>
    <d v="2024-09-18T00:00:00"/>
    <x v="2"/>
    <m/>
    <d v="2024-09-06T00:00:00"/>
    <n v="12"/>
    <x v="7"/>
    <x v="1"/>
    <s v="baru"/>
    <s v="1527/SPP/SBU/ICON+/2023"/>
    <n v="4500021368"/>
    <s v="Fajar Paramita"/>
    <s v="Ira"/>
    <s v="0819-3243-0596"/>
    <m/>
    <m/>
    <m/>
    <m/>
    <m/>
    <m/>
    <s v="G263"/>
    <m/>
    <s v="OTC 1.500.000,-"/>
  </r>
  <r>
    <n v="1304"/>
    <x v="8"/>
    <x v="794"/>
    <s v="Jalan Kuningan Barat No.8 Cyber 1nd &amp; 2 nd jakarta selatam 12710"/>
    <s v=" ICON+ GANDUL,  Limo,  Kota Depok,  Jawa Barat,  Indonesia,  16514"/>
    <s v="Gd. Jamsostek Selatan (lt.15-17) Jl Gatot Subroto,  Mampang,  Jakarta Selatan,  DKI Jakarta,  Indonesia,"/>
    <s v="Sewa Tahunan"/>
    <x v="2"/>
    <x v="798"/>
    <m/>
    <m/>
    <m/>
    <m/>
    <m/>
    <x v="41"/>
    <m/>
    <m/>
    <x v="18"/>
    <m/>
    <x v="704"/>
    <d v="2024-09-14T00:00:00"/>
    <x v="2"/>
    <m/>
    <d v="2024-09-06T00:00:00"/>
    <n v="8"/>
    <x v="7"/>
    <x v="1"/>
    <s v="baru"/>
    <s v="1459/SPP/SBU/ICON+/2023"/>
    <n v="4500021321"/>
    <s v="Fajar Paramita"/>
    <s v="Ira"/>
    <s v="0819-3243-0596"/>
    <m/>
    <m/>
    <m/>
    <m/>
    <m/>
    <m/>
    <s v="G262"/>
    <m/>
    <s v="Biaya Cross Connect Rp.18.000.000"/>
  </r>
  <r>
    <n v="1305"/>
    <x v="8"/>
    <x v="795"/>
    <s v="Jalan Kuningan Barat No.8 Cyber 1nd &amp; 2 nd jakarta selatam 12710"/>
    <s v="MATRIX DATA CENTER CYBER BUILDING"/>
    <s v="TUBAN, JAWA TIMUR"/>
    <s v="Sewa Tahunan"/>
    <x v="2"/>
    <x v="850"/>
    <m/>
    <m/>
    <m/>
    <m/>
    <m/>
    <x v="408"/>
    <m/>
    <m/>
    <x v="128"/>
    <m/>
    <x v="704"/>
    <d v="2024-09-14T00:00:00"/>
    <x v="2"/>
    <m/>
    <d v="2024-09-06T00:00:00"/>
    <n v="8"/>
    <x v="7"/>
    <x v="1"/>
    <s v="baru"/>
    <s v="1429/SPP/SBU/ICON+/2023"/>
    <n v="4500021320"/>
    <s v="Fajar Paramita"/>
    <s v="Ira"/>
    <s v="0819-3243-0596"/>
    <m/>
    <m/>
    <m/>
    <m/>
    <m/>
    <m/>
    <s v="G254"/>
    <m/>
    <s v="1.Biaya Cross Connect Rp.72.000.000 | 2.Biaya OTC instalasi 2P15 Rp.6.000.000 | 3.Biaya OTC Instalasi 2P26 Rp.3.000.000"/>
  </r>
  <r>
    <n v="1306"/>
    <x v="8"/>
    <x v="796"/>
    <s v="Jalan Kuningan Barat No.8 Cyber 1nd &amp; 2 nd jakarta selatam 12710"/>
    <m/>
    <s v="BIZNET TECHNOCENTER SURABAYA JL. SUMATERA NO.120, GUBENG, KEC. GUBENG,"/>
    <s v="Sewa Tahunan"/>
    <x v="2"/>
    <x v="851"/>
    <m/>
    <m/>
    <m/>
    <m/>
    <m/>
    <x v="409"/>
    <m/>
    <m/>
    <x v="18"/>
    <m/>
    <x v="850"/>
    <d v="2024-09-15T00:00:00"/>
    <x v="2"/>
    <m/>
    <d v="2024-09-06T00:00:00"/>
    <n v="9"/>
    <x v="7"/>
    <x v="1"/>
    <s v="baru"/>
    <s v="1461/SPP/SBU/ICON+/2023"/>
    <n v="450002132"/>
    <s v="Fajar Paramita"/>
    <s v="Ira"/>
    <s v="0819-3243-0596"/>
    <m/>
    <m/>
    <m/>
    <m/>
    <m/>
    <m/>
    <s v="G257"/>
    <m/>
    <s v="OTC Rp.1.500.000"/>
  </r>
  <r>
    <n v="1307"/>
    <x v="8"/>
    <x v="791"/>
    <s v="Jalan Kuningan Barat No.8 Cyber 1nd &amp; 2 nd jakarta selatam 12710"/>
    <m/>
    <s v="PT. Yetoya Solusi Indonesia Jl. Patih Jelantik Vallet, Kuta,  Kec. Kuta,  Kabupaten Badung,  Bali,  Indonesia "/>
    <s v="Sewa Tahunan"/>
    <x v="2"/>
    <x v="852"/>
    <m/>
    <m/>
    <m/>
    <m/>
    <m/>
    <x v="314"/>
    <m/>
    <m/>
    <x v="18"/>
    <m/>
    <x v="585"/>
    <d v="2024-09-11T00:00:00"/>
    <x v="2"/>
    <m/>
    <d v="2024-09-06T00:00:00"/>
    <n v="5"/>
    <x v="7"/>
    <x v="1"/>
    <s v="baru"/>
    <s v="1413/SPP/SBU/ICON+/2023"/>
    <n v="4500021339"/>
    <s v="Fajar Paramita"/>
    <s v="Ira"/>
    <s v="0819-3243-0596"/>
    <m/>
    <m/>
    <m/>
    <m/>
    <m/>
    <m/>
    <s v="G264"/>
    <m/>
    <s v="OTC Rp.1.500.000"/>
  </r>
  <r>
    <n v="1308"/>
    <x v="8"/>
    <x v="346"/>
    <s v="Jalan Kuningan Barat No.8 Cyber 1nd &amp; 2 nd jakarta selatam 12710"/>
    <s v="-"/>
    <s v="Jl. Kuningan Barat Raya No.8, RT.1/RW.3, Kuningan Barat, Kec. Mampang Prapatan, Jakarta Selatan"/>
    <s v="Sewa Tahunan"/>
    <x v="2"/>
    <x v="853"/>
    <m/>
    <m/>
    <m/>
    <m/>
    <m/>
    <x v="410"/>
    <m/>
    <m/>
    <x v="18"/>
    <m/>
    <x v="660"/>
    <d v="2024-10-31T00:00:00"/>
    <x v="2"/>
    <m/>
    <d v="2024-09-06T00:00:00"/>
    <n v="55"/>
    <x v="6"/>
    <x v="1"/>
    <s v="baru"/>
    <s v="1950/SPP/SBU/ICON+/2023"/>
    <n v="4500021658"/>
    <s v="Fajar Paramita"/>
    <s v="Ira"/>
    <s v="0819-3243-0596"/>
    <m/>
    <m/>
    <m/>
    <m/>
    <m/>
    <m/>
    <s v="G302"/>
    <m/>
    <s v="OTC Rp.1.500.000"/>
  </r>
  <r>
    <n v="1309"/>
    <x v="8"/>
    <x v="168"/>
    <s v="Jalan Kuningan Barat No.8 Cyber 1nd &amp; 2 nd jakarta selatam 12710"/>
    <s v="Jl. Kuningan Barat Raya No.8, RT.1/RW.3, Kuningan Bar.,  Kec. Mampang Prpt.,  Jakarta Selatan,  DKI Jakarta,  Indonesia,  12710"/>
    <s v="CBN Bali Istana Kuta Galeria  Blok PM 3 No. 7 Jl. Patih Jelantik,  Kuta,  Kabupaten Badung,  Bali,  Indonesia,  80361"/>
    <s v="Sewa Tahunan"/>
    <x v="2"/>
    <x v="854"/>
    <m/>
    <m/>
    <m/>
    <m/>
    <m/>
    <x v="310"/>
    <m/>
    <m/>
    <x v="18"/>
    <m/>
    <x v="630"/>
    <d v="2024-11-30T00:00:00"/>
    <x v="2"/>
    <m/>
    <d v="2024-09-06T00:00:00"/>
    <n v="85"/>
    <x v="2"/>
    <x v="1"/>
    <s v="baru"/>
    <s v="654/SPP/SBU/ICON+/2023"/>
    <n v="4500021970"/>
    <s v="Fajar Paramita"/>
    <s v="Ira"/>
    <s v="0819-3243-0596"/>
    <m/>
    <m/>
    <m/>
    <m/>
    <m/>
    <m/>
    <s v="G357"/>
    <m/>
    <s v="OTC Rp.1.500.000"/>
  </r>
  <r>
    <n v="1310"/>
    <x v="407"/>
    <x v="56"/>
    <s v="Jl Rasuna Said X-8 Kav 2-3 Jakarta Selatan"/>
    <m/>
    <s v="Indomaret Tower, RT. 6/RW. 2, Kamal Muara, Kec. Penjaringan (Interkoneksi Fiberstar), -, Jakarta Utara, DKI Jakarta, Indonesia, 14470"/>
    <s v="Sewa Tahunan"/>
    <x v="1"/>
    <x v="855"/>
    <m/>
    <m/>
    <m/>
    <m/>
    <m/>
    <x v="197"/>
    <m/>
    <m/>
    <x v="10"/>
    <m/>
    <x v="562"/>
    <d v="2023-12-29T00:00:00"/>
    <x v="0"/>
    <m/>
    <d v="2024-09-06T00:00:00"/>
    <n v="-252"/>
    <x v="5"/>
    <x v="6"/>
    <s v="17427/SPP/008/PUSAT/ICON+/2021 | 4500017269 I 21806/SPP/008/PUSAT/ICON+/2022"/>
    <s v="21086/SPP/008/PUSAT/ICON+/2023"/>
    <n v="4500022074"/>
    <s v="Fajar Paramita"/>
    <m/>
    <m/>
    <m/>
    <m/>
    <m/>
    <s v="E347"/>
    <s v="F98"/>
    <s v="H319"/>
    <m/>
    <m/>
    <s v="1.Biaya Registrasi (fiberstar) Rp.5.000.000 | 2.Biaya sewa per tahun (fiberstar) Rp.84.000.000 | 3.Biaya Backhaul Rp.36.000.000. | 4. Konfirm to Sales"/>
  </r>
  <r>
    <n v="1311"/>
    <x v="408"/>
    <x v="797"/>
    <s v="Jln.Canadianti No.15B Pela Mampang Jakarta Selatan"/>
    <m/>
    <s v="Jl Ampera Raya No. 22"/>
    <s v="Sewa Tahunan"/>
    <x v="2"/>
    <x v="856"/>
    <m/>
    <m/>
    <m/>
    <m/>
    <m/>
    <x v="59"/>
    <m/>
    <m/>
    <x v="265"/>
    <m/>
    <x v="524"/>
    <d v="2023-02-13T00:00:00"/>
    <x v="1"/>
    <m/>
    <d v="2024-09-06T00:00:00"/>
    <n v="-571"/>
    <x v="9"/>
    <x v="6"/>
    <s v="baru"/>
    <s v="17896/SPP/008/PUSAT/ICON+/2022"/>
    <n v="4500017639"/>
    <s v="Fajar Paramita"/>
    <m/>
    <m/>
    <m/>
    <m/>
    <m/>
    <m/>
    <m/>
    <s v="F37"/>
    <m/>
    <m/>
    <s v="Berubah skema kerjasama menjadi revenue sharing"/>
  </r>
  <r>
    <n v="1312"/>
    <x v="409"/>
    <x v="798"/>
    <s v="Darmawangsa Square - The City Walk Lt. Basement Unit 42-45 Jl. Dharmawangsa VI &amp; XI Jakarta Selatan 12160"/>
    <m/>
    <s v="Dharmawangsa Square Jl Dharmawangsa 6 &amp; 9 Jakarta Selatan (PT XL Axiata - Ranch Market Tbk SO No. ICON-00/ACT/1608/0740)"/>
    <s v="Sewa Tahunan"/>
    <x v="1"/>
    <x v="857"/>
    <m/>
    <m/>
    <m/>
    <m/>
    <m/>
    <x v="411"/>
    <m/>
    <m/>
    <x v="68"/>
    <m/>
    <x v="851"/>
    <d v="2020-01-09T00:00:00"/>
    <x v="1"/>
    <m/>
    <d v="2024-09-06T00:00:00"/>
    <n v="-1702"/>
    <x v="11"/>
    <x v="5"/>
    <s v="112111/MI/004/PUSAT/ICON+/2016 |_x000a_ 011615/MI/004/PUSAT/ICON+/2017 |_x000a_ 1790117/SPR/ICON+/2017 |_x000a_ 1800117/SPR/ICON+/2017 | _x000a_ 007/PSM/LGL-POM/DS-ICP/II/2017 | 07931/SPP/008/PUSAT/ICON+/2018 | 4500011134 | 10010/SPP/008/PUSAT/ICON+/2019 |"/>
    <s v="10010/SPP/008/PUSAT/ICON+/2019"/>
    <n v="4500012422"/>
    <s v="Fajar Paramita"/>
    <s v="Maily Tandiah"/>
    <s v="021-7205066_x000a_ 021-63867676 Ext 750"/>
    <s v="-"/>
    <s v="B2"/>
    <s v="C17"/>
    <m/>
    <m/>
    <m/>
    <m/>
    <m/>
    <s v="1. Biaya Sewa Kabel tray Rp10.000,-/meter total untuk 250 update tahun 2016 Rp25.000,-/m2/th total untuk 250 m' Rp6.250.000_x000a_ 2. Sewa Tempat box panel Rp3.750.000,-/tahun_x000a_ 3. Deposit Sewa Rp5.000.000,-_x000a_ 4. Biaya Supervisi Rp300.000,-/SIK"/>
  </r>
  <r>
    <n v="1313"/>
    <x v="410"/>
    <x v="478"/>
    <s v="GD 18 Office Park LT B1 Jakarta Selatan"/>
    <s v="[PJB KANTOR PUSAT],  Jl. Ketintang Baru No. 11,  Surabaya,  Jawa Timur,  Indonesia,  60231"/>
    <s v="OFFICE 18, Gedung 18 Office Park, Jl. TB Simatupang No. 18, Rt. 02/ Rw. 01, Kebagusan, Pasar Minggu, Jakarta Selatan, DKI Jakarta, Indonesia, 12520"/>
    <s v="Sewa Tahunan"/>
    <x v="1"/>
    <x v="509"/>
    <m/>
    <m/>
    <m/>
    <m/>
    <m/>
    <x v="263"/>
    <m/>
    <m/>
    <x v="16"/>
    <m/>
    <x v="852"/>
    <d v="2025-01-19T00:00:00"/>
    <x v="2"/>
    <m/>
    <d v="2024-09-06T00:00:00"/>
    <n v="135"/>
    <x v="11"/>
    <x v="3"/>
    <s v="17648/SPP/008/PUSAT/ICON+/2022 | 4500017472 | 21066 | 4500020086"/>
    <s v="2850/SPP/SBU/ICON+/2024"/>
    <n v="4500022521"/>
    <s v="Fajar Paramita"/>
    <s v="Margono"/>
    <s v="0856-7557-754"/>
    <m/>
    <m/>
    <m/>
    <m/>
    <m/>
    <s v="F2"/>
    <s v="G315"/>
    <s v="H126"/>
    <m/>
  </r>
  <r>
    <n v="1314"/>
    <x v="411"/>
    <x v="799"/>
    <s v="Menara Bidakara Jl. Jendral Gatot Subroto Kav. 71-73 Pancoran Jakarta Selatan 12871"/>
    <s v="Kantor Perwakilan PJB Jakarta / Menara Bidakara 2 Lt. 16 , Jln. Gatot Subroto Kav 71-73,  Tebet,  Jakarta Selatan,  DKI Jakarta,  Indonesia,"/>
    <s v="Kantor Perwakilan PJB Jakarta / Menara Bidakara 2 Lt. 16 , Jln. Gatot Subroto Kav 71-73, Tebet, Jakarta Selatan, DKI Jakarta,"/>
    <s v="Sewa Tahunan"/>
    <x v="1"/>
    <x v="858"/>
    <m/>
    <m/>
    <m/>
    <m/>
    <m/>
    <x v="378"/>
    <m/>
    <m/>
    <x v="418"/>
    <m/>
    <x v="853"/>
    <d v="2024-08-26T00:00:00"/>
    <x v="2"/>
    <m/>
    <d v="2024-09-06T00:00:00"/>
    <n v="-11"/>
    <x v="12"/>
    <x v="1"/>
    <s v="11083/SPP/008/PUSAT/ICON+/2019 | 4500012939 | 13747/SPP/008/PUSAT/ICON+/2020 | 4500014711| 16565/SPP/008/PUSAT/ICON+/2021| 4500016700 | 4500018794"/>
    <s v="781/SPP/SBU/ICON+/2023"/>
    <s v="4500021172"/>
    <s v="Fajar Paramita"/>
    <s v="Fajar"/>
    <s v="021-83793050"/>
    <m/>
    <m/>
    <s v="C124"/>
    <s v="D350"/>
    <s v="E316"/>
    <s v="F308"/>
    <s v="G235"/>
    <m/>
    <s v="biaya sewa tahunan sebesar 51.500.000"/>
  </r>
  <r>
    <n v="1315"/>
    <x v="412"/>
    <x v="800"/>
    <s v="Gedung Antam Lt. 3 Jl. Letjen TB Simatupang No. 1 Tanjung Barat"/>
    <s v="-"/>
    <s v="KCP Jakarta Antam, Antam Building Tower B, Lantai GF, Jl. TB Simatupang No. Kel. Tanjung Barat,  Kec. Jagakarsa,  Jakarta Selatan,  DKI Jakarta,  Indonesia,  12530"/>
    <s v="Sewa Tahunan"/>
    <x v="1"/>
    <x v="859"/>
    <m/>
    <m/>
    <m/>
    <m/>
    <m/>
    <x v="231"/>
    <m/>
    <m/>
    <x v="6"/>
    <m/>
    <x v="854"/>
    <d v="2024-11-02T00:00:00"/>
    <x v="2"/>
    <m/>
    <d v="2024-09-06T00:00:00"/>
    <n v="57"/>
    <x v="2"/>
    <x v="1"/>
    <s v="20511/SPP/008/PUSAT/ICON+/2022 | 4500019394"/>
    <s v="2120/SPP/SBU/ICON+/2023"/>
    <n v="4500021738"/>
    <s v="Fajar Paramita"/>
    <s v="Tia Pamudji"/>
    <s v="021-7812635"/>
    <m/>
    <m/>
    <m/>
    <m/>
    <m/>
    <s v="F413"/>
    <s v="G346"/>
    <m/>
    <s v="1.Sewa Tray dan Shaft Rp.35.000.000 | 2.Biaya Tarikan Kabel Indoor Rp.4.000.000"/>
  </r>
  <r>
    <n v="1316"/>
    <x v="413"/>
    <x v="801"/>
    <s v="Menara Palma Lantai 27, Jkl. HR Rasuna Said Blok X-2 Kav. 6 Jakarta Selatan"/>
    <m/>
    <s v="Gedung Palma Tower Jl. TB. Simatupang II S Kav. 6 _x000a_ Jakarta Selatan"/>
    <s v="Sewa Tahunan"/>
    <x v="1"/>
    <x v="860"/>
    <m/>
    <m/>
    <m/>
    <m/>
    <m/>
    <x v="51"/>
    <m/>
    <m/>
    <x v="419"/>
    <m/>
    <x v="302"/>
    <d v="2021-10-21T00:00:00"/>
    <x v="1"/>
    <m/>
    <d v="2024-09-06T00:00:00"/>
    <n v="-1051"/>
    <x v="6"/>
    <x v="4"/>
    <s v="4500009748 | 060/ADD I/MCI-ICON+/XI/2016 | 07227/SPP/008/PUSAT/ICON+/2017 |4500010669 | 08865/SPP/008/PUSAT/ICON+/2018 | 4500011671 | 11204/SPP/008/PUSAT/ICON+/2019 | 4500013021 | 4500015165"/>
    <s v="16857/SPP/008/PUSAT/ICON+/2021"/>
    <s v="4500017146"/>
    <s v="Fajar Paramita"/>
    <s v="Andi Noviyanto"/>
    <s v="021-2520241"/>
    <n v="85"/>
    <s v="B137"/>
    <s v="C144"/>
    <s v="D312"/>
    <s v="E340"/>
    <m/>
    <m/>
    <m/>
    <s v="1. Sewa Shaft Kabel Rp30.000.000,-/tahun update tahun 2016 Rp45.000.000,-/tahun_x000a_ 2. Jaminan sewa Rp20.000.000,-"/>
  </r>
  <r>
    <n v="1317"/>
    <x v="414"/>
    <x v="24"/>
    <s v="Jl.MH Thamrin Kav 3 Jakarta 10250"/>
    <m/>
    <s v="Menara Thamrin, Jl. MH Thamrin Kav. 3 Jakarta 10250"/>
    <s v="Sewa Tahunan"/>
    <x v="1"/>
    <x v="861"/>
    <m/>
    <m/>
    <m/>
    <m/>
    <m/>
    <x v="118"/>
    <m/>
    <m/>
    <x v="25"/>
    <m/>
    <x v="855"/>
    <d v="2022-05-13T00:00:00"/>
    <x v="1"/>
    <m/>
    <d v="2024-09-06T00:00:00"/>
    <n v="-847"/>
    <x v="4"/>
    <x v="2"/>
    <s v="08649/SPP/008/PUSAT/ICON+/2018 | 4500011538"/>
    <s v="15439/SPP/008/PUSAT/ICON+/2021"/>
    <n v="4500016004"/>
    <s v="Fajar Paramita"/>
    <m/>
    <m/>
    <m/>
    <m/>
    <m/>
    <m/>
    <m/>
    <s v="F119"/>
    <m/>
    <m/>
    <s v="1.Jaminan Pekerjaan 3.000.000 , 2.Biaya PKB 8.806.244"/>
  </r>
  <r>
    <n v="1318"/>
    <x v="414"/>
    <x v="411"/>
    <s v="Jl.MH Thamrin Kav 3 Jakarta 10250"/>
    <s v="-"/>
    <s v="Menara Thamrin, Lantai 5, Jl MH Thamrin Kav. 3, Menteng, Jakarta Pusat, 10340,  Menteng,  Jakarta Pusat,"/>
    <s v="Sewa Tahunan"/>
    <x v="1"/>
    <x v="433"/>
    <m/>
    <m/>
    <m/>
    <m/>
    <m/>
    <x v="143"/>
    <m/>
    <m/>
    <x v="420"/>
    <m/>
    <x v="856"/>
    <d v="2025-04-10T00:00:00"/>
    <x v="2"/>
    <m/>
    <d v="2024-09-06T00:00:00"/>
    <n v="216"/>
    <x v="10"/>
    <x v="3"/>
    <s v="18437/SPP/008/PUSAT/ICON+/2022 | 4500018172 | 215/SPP/SBU/ICON+/2023 | 4500020684"/>
    <s v="3088/SPP/SBU/PLNICONPLUS/2024"/>
    <n v="4500022612"/>
    <s v="Fajar Paramita"/>
    <s v="Bapak Webi "/>
    <s v="0812-8357 889"/>
    <m/>
    <m/>
    <m/>
    <m/>
    <m/>
    <s v="F170"/>
    <s v="G219"/>
    <s v="H168"/>
    <s v="1.Biaya Cross Connect Rp.10.500.000"/>
  </r>
  <r>
    <n v="1319"/>
    <x v="414"/>
    <x v="802"/>
    <s v="Jl.MH Thamrin Kav 3 Jakarta 10250"/>
    <s v="Jl. M.H. Thamrin No.14, RT.8/RW.4, Gondangdia"/>
    <s v="Thamrin Menara Tower, Jl. M.H. Thamrin No.3, RT.10/RW.10, Kebon Sirih,"/>
    <s v="Sewa Tahunan"/>
    <x v="1"/>
    <x v="862"/>
    <m/>
    <m/>
    <m/>
    <m/>
    <m/>
    <x v="412"/>
    <m/>
    <m/>
    <x v="265"/>
    <m/>
    <x v="587"/>
    <d v="2024-12-31T00:00:00"/>
    <x v="2"/>
    <m/>
    <d v="2024-09-06T00:00:00"/>
    <n v="116"/>
    <x v="5"/>
    <x v="1"/>
    <s v="21023/SPP/008/PUSAT/ICON+/2023 | 450001994"/>
    <s v="2281/SPP/SBU/ICON+/2023"/>
    <n v="4500022118"/>
    <s v="Fajar Paramita"/>
    <s v="Bapak Webi "/>
    <s v="0812-8357 889"/>
    <m/>
    <m/>
    <m/>
    <m/>
    <m/>
    <m/>
    <s v="G24"/>
    <s v="H322"/>
    <s v="1.Biaya Sewa shaft selama 3 tahun Rp.63.000.000 | Revenue Sharing 7,5% / Bulan"/>
  </r>
  <r>
    <n v="1320"/>
    <x v="415"/>
    <x v="799"/>
    <s v="Jl.Sultan Iskandar Muda.Kav V-TA Pondok Indah_x000a_ Jakarta Selatan 12310"/>
    <m/>
    <s v="Pondok Indah Office Tower d/h Wisma Pondok Indah 2 (PT Agincourt Resources)"/>
    <s v="Sewa Tahunan"/>
    <x v="1"/>
    <x v="863"/>
    <m/>
    <m/>
    <m/>
    <m/>
    <m/>
    <x v="75"/>
    <m/>
    <m/>
    <x v="88"/>
    <m/>
    <x v="857"/>
    <d v="2026-01-22T00:00:00"/>
    <x v="2"/>
    <m/>
    <d v="2024-09-06T00:00:00"/>
    <n v="503"/>
    <x v="11"/>
    <x v="7"/>
    <s v="4500008998_x000a_ 11262/PJ/001/PUSAT/ICON+/2015 | 07817/SPP/008/PUSAT/ICON+/2017 | 4500011090_x000a_ 039/LA-ANT/PIOT2/MK/XI/2015 | 09996/SPP/008/PUSAT/ICON+/2019 | 4500012358 | 12502/SPP/008/PUSAT/ICON+/2020 | 4500014043|15085/SPP/008/PUSAT/ICON+/2021|4500015685 | 17669 | 4500017613"/>
    <n v="2632"/>
    <n v="4500022553"/>
    <s v="Fajar Paramita"/>
    <s v="Putri Ayu Aisyah"/>
    <s v="021-7697329, 7697349"/>
    <s v="-"/>
    <n v="178"/>
    <s v="C5"/>
    <s v="D211"/>
    <s v="E144"/>
    <s v="F55"/>
    <m/>
    <s v="H148"/>
    <m/>
  </r>
  <r>
    <n v="1321"/>
    <x v="28"/>
    <x v="803"/>
    <s v="Grha 9 6th floor, Jl. Penataran No.9 Proklamasi Jakarta Pusat 10320, Indonesia"/>
    <m/>
    <s v="NDC Jl. Raya Jatinegara Barat No.44, RT.1/RW.5, Kp. Melayu, Kecamatan Jatinegara, Kota Jakarta Timur, Daerah Khusus Ibukota Jakarta 13320"/>
    <s v="Sewa Tahunan"/>
    <x v="1"/>
    <x v="864"/>
    <m/>
    <m/>
    <m/>
    <m/>
    <m/>
    <x v="214"/>
    <m/>
    <m/>
    <x v="7"/>
    <m/>
    <x v="858"/>
    <d v="2024-04-17T00:00:00"/>
    <x v="2"/>
    <m/>
    <d v="2024-09-06T00:00:00"/>
    <n v="-142"/>
    <x v="10"/>
    <x v="1"/>
    <s v="19057/SPP/008/PUSAT/ICON+/2022 | 4500018395"/>
    <s v="2238/SPP/SBU/ICON+/2023"/>
    <n v="4500022061"/>
    <s v="Fajar Paramita"/>
    <s v="Alwin"/>
    <s v="021-31998603"/>
    <m/>
    <m/>
    <m/>
    <m/>
    <m/>
    <s v="f243"/>
    <m/>
    <m/>
    <m/>
  </r>
  <r>
    <n v="1322"/>
    <x v="28"/>
    <x v="804"/>
    <s v="Grha 9 6th floor, Jl. Penataran No.9 Proklamasi Jakarta Pusat 10320, Indonesia"/>
    <m/>
    <s v="Nusantara Data Center(NDC) PT.Moratelindo Jl. Jatinegara Bar. No.44, RT.1/RW.5, Bidara Cina, Jatinegara, Kota Jakarta Timur, Daerah Khusus Ibukota Jakarta 13320"/>
    <s v="Sewa Tahunan"/>
    <x v="1"/>
    <x v="865"/>
    <m/>
    <m/>
    <m/>
    <m/>
    <m/>
    <x v="128"/>
    <m/>
    <m/>
    <x v="10"/>
    <m/>
    <x v="747"/>
    <d v="2024-09-30T00:00:00"/>
    <x v="2"/>
    <m/>
    <d v="2024-09-06T00:00:00"/>
    <n v="24"/>
    <x v="7"/>
    <x v="1"/>
    <s v="09220/SPP/008/PUSAT/ICON+/2018 | 4500011886 | 11587/SPP/008/PUSAT/ICON+/2019 | 4500013379| 14204/SPP/008/PUSAT/ICON+/2020| 4500015370 | 16580/SPP/008/PUSAT/ICON+/2021 | 4500017734 | 19952/SPP/008/PUSAT/ICON+/2022 | 4500019772"/>
    <s v="744/SPP/SBU/ICON+/2023_x0009_"/>
    <n v="4500020941"/>
    <s v="Fajar Paramita"/>
    <s v="Maria Fransiska"/>
    <s v="021-31998601"/>
    <m/>
    <m/>
    <s v="C295"/>
    <s v="D393"/>
    <m/>
    <s v="F275"/>
    <s v="G183"/>
    <m/>
    <s v="1.Biaya Sewa Tahunan Collocation Rp.30.000.000 2.Biaya sewa tahunan xconnect Rp.6.000.000 3.Biaya Instalasi Collocation Rp.2.500.000 4.Biaya Instalasi Xconnect Rp.2.500.000"/>
  </r>
  <r>
    <n v="1323"/>
    <x v="28"/>
    <x v="805"/>
    <s v="Grha 9 6th floor, Jl. Penataran No.9 Proklamasi Jakarta Pusat 10320, Indonesia"/>
    <m/>
    <s v="PT Mora Telematika Indonesia Grha 9 6th Floor Jl. Panataran No. 9 Proklamasi Jakarta Pusat 10320"/>
    <s v="Sewa Tahunan"/>
    <x v="1"/>
    <x v="866"/>
    <m/>
    <m/>
    <m/>
    <m/>
    <m/>
    <x v="86"/>
    <m/>
    <m/>
    <x v="7"/>
    <m/>
    <x v="859"/>
    <d v="2021-04-17T00:00:00"/>
    <x v="1"/>
    <m/>
    <d v="2024-09-06T00:00:00"/>
    <n v="-1238"/>
    <x v="10"/>
    <x v="4"/>
    <s v="08389/SPP/008/PUSAT/ICON+/2018 | 4500011368 | 10471/SPP/008/PUSAT/ICON+/2019 | 4500012604"/>
    <s v="12973/SPP/008/PUSAT/ICON+/2020"/>
    <n v="4500014156"/>
    <s v="Fajar Paramita"/>
    <s v="Alwin"/>
    <s v="021-31998601"/>
    <m/>
    <s v="B54"/>
    <s v="C59"/>
    <s v="D74"/>
    <m/>
    <m/>
    <m/>
    <m/>
    <s v="1.Biaya Instalasi sebesar 2.500.000 2. Biaya Sewa Tahunan sebesar 9.000.000"/>
  </r>
  <r>
    <n v="1324"/>
    <x v="28"/>
    <x v="806"/>
    <s v="Grha 9 6th floor, Jl. Penataran No.9 Proklamasi Jakarta Pusat 10320, Indonesia"/>
    <m/>
    <s v="PT. NTT Indonesia Nexcenter Cyber CSF Building, Floor 2 Room 2-2, Jl. Kuningan Barat No. 8, Jakarta, Jakarta Selatan, DKI Jakarta, Indonesia, 12710"/>
    <s v="Sewa Tahunan"/>
    <x v="2"/>
    <x v="867"/>
    <m/>
    <m/>
    <m/>
    <m/>
    <m/>
    <x v="20"/>
    <m/>
    <m/>
    <x v="7"/>
    <m/>
    <x v="860"/>
    <d v="2024-10-21T00:00:00"/>
    <x v="2"/>
    <m/>
    <d v="2024-09-06T00:00:00"/>
    <n v="45"/>
    <x v="6"/>
    <x v="1"/>
    <s v="14387/SPP/008/PUSAT/ICON+/2020| 4500015136 | 18505/SPP/008/PUSAT/ICON+/2022| 4500018133 | 20196 | 4500019300"/>
    <n v="2338"/>
    <n v="4500022362"/>
    <s v="Fajar Paramita"/>
    <s v="Alwin"/>
    <s v="021-31998602"/>
    <m/>
    <m/>
    <m/>
    <s v="D227"/>
    <s v="F288"/>
    <s v="F422"/>
    <m/>
    <s v="H107"/>
    <m/>
  </r>
  <r>
    <n v="1325"/>
    <x v="416"/>
    <x v="807"/>
    <s v="Wisma 46 Kota BNI Lt. 5, Jl. Jend. Sudirman, Tanah Abang, Kota Jak Pusat, Daerah Khusus Ibukota Jak 10250, Indonesia"/>
    <m/>
    <s v="Artajasa Pembayaran Elektronis, DCI Kawasan MM2100 Jl. Halmahera Blok F1 No. 1 Danau Indah, Cikarang Barat, Kabupaten Bekasi, Jawa Barat,"/>
    <s v="Sewa Tahunan"/>
    <x v="1"/>
    <x v="121"/>
    <m/>
    <m/>
    <m/>
    <m/>
    <m/>
    <x v="35"/>
    <m/>
    <m/>
    <x v="16"/>
    <m/>
    <x v="116"/>
    <d v="2021-02-12T00:00:00"/>
    <x v="0"/>
    <m/>
    <d v="2024-09-06T00:00:00"/>
    <n v="-1302"/>
    <x v="9"/>
    <x v="4"/>
    <s v="10135/SPP/008/PUSAT/ICON+/2019 | 4500012470"/>
    <s v="12591/SPP/008/PUSAT/ICON+/2020"/>
    <n v="4500013965"/>
    <s v="Fajar Paramita"/>
    <s v="Gite / Iffa (Finance"/>
    <s v="0856-1160-826 / 0856-8737-200"/>
    <m/>
    <m/>
    <s v="C28"/>
    <s v="D41"/>
    <m/>
    <m/>
    <m/>
    <m/>
    <m/>
  </r>
  <r>
    <n v="1326"/>
    <x v="416"/>
    <x v="808"/>
    <s v="Wisma 46 Kota BNI Lt. 5, Jl. Jend. Sudirman, Tanah Abang, Kota Jak Pusat, Daerah Khusus Ibukota Jak 10250, Indonesia"/>
    <m/>
    <s v="Backhaul Bank CIMB Niaga, Gedung Cyber Lt. 4, Jl. Kuningan Barat Raya No.8, RT.1/RW.3, Kuningan Barat,  Kec. Mampang Prapatan,  Jakarta Selatan,  DKI Jakarta,  Indonesia,  12910"/>
    <s v="Sewa Tahunan"/>
    <x v="2"/>
    <x v="868"/>
    <m/>
    <m/>
    <m/>
    <m/>
    <m/>
    <x v="46"/>
    <m/>
    <m/>
    <x v="16"/>
    <m/>
    <x v="180"/>
    <d v="2022-09-20T00:00:00"/>
    <x v="0"/>
    <m/>
    <d v="2024-09-06T00:00:00"/>
    <n v="-717"/>
    <x v="7"/>
    <x v="2"/>
    <s v="baru"/>
    <s v="16737/SPP/008/PUSAT/ICON+/2021"/>
    <n v="4500016891"/>
    <s v="Fajar Paramita"/>
    <s v="Gite / Iffa (Finance"/>
    <s v="0856-1160-826 / 0856-8737-200"/>
    <m/>
    <m/>
    <m/>
    <m/>
    <m/>
    <m/>
    <s v="E39"/>
    <m/>
    <m/>
  </r>
  <r>
    <n v="1327"/>
    <x v="416"/>
    <x v="808"/>
    <s v="Wisma 46 Kota BNI Lt. 5, Jl. Jend. Sudirman, Tanah Abang, Kota Jak Pusat, Daerah Khusus Ibukota Jak 10250, Indonesia"/>
    <m/>
    <s v="Backhaul Bank CIMB Niaga, Gedung Cyber Lt. 4, Jl. Kuningan Barat Raya No.8, RT.1/RW.3, Kuningan Barat,  Kec. Mampang Prapatan,  Jakarta Selatan,  DKI Jakarta,  Indonesia,  12910"/>
    <s v="Sewa Tahunan"/>
    <x v="2"/>
    <x v="868"/>
    <m/>
    <m/>
    <m/>
    <m/>
    <m/>
    <x v="46"/>
    <m/>
    <m/>
    <x v="16"/>
    <m/>
    <x v="180"/>
    <d v="2022-09-20T00:00:00"/>
    <x v="0"/>
    <m/>
    <d v="2024-09-06T00:00:00"/>
    <n v="-717"/>
    <x v="7"/>
    <x v="2"/>
    <s v="baru"/>
    <s v="16737/SPP/008/PUSAT/ICON+/2021"/>
    <n v="4500016891"/>
    <s v="Fajar Paramita"/>
    <s v="Gite / Iffa (Finance"/>
    <s v="0856-1160-826 / 0856-8737-200"/>
    <m/>
    <m/>
    <m/>
    <m/>
    <m/>
    <m/>
    <s v="G39"/>
    <m/>
    <m/>
  </r>
  <r>
    <n v="1328"/>
    <x v="416"/>
    <x v="809"/>
    <s v="Wisma 46 Kota BNI Lt. 5, Jl. Jend. Sudirman, Tanah Abang, Kota Jak Pusat, Daerah Khusus Ibukota Jak 10250, Indonesia"/>
    <m/>
    <s v="Backhaul Nexcenter,Cyber Building I, Lantai 3A, Jl. Kuningan Barat Raya No.8, RT.6/RW.3, Kuningan Barat, Mampang Prapatan, Jakarta Selatan,"/>
    <s v="Sewa Tahunan"/>
    <x v="2"/>
    <x v="869"/>
    <m/>
    <m/>
    <m/>
    <m/>
    <m/>
    <x v="20"/>
    <m/>
    <m/>
    <x v="16"/>
    <m/>
    <x v="861"/>
    <d v="2020-05-06T00:00:00"/>
    <x v="0"/>
    <m/>
    <d v="2024-09-06T00:00:00"/>
    <n v="-1584"/>
    <x v="4"/>
    <x v="5"/>
    <s v="baru"/>
    <s v="10858/SPP/008/PUSAT/ICON+/2019"/>
    <n v="4500012817"/>
    <s v="Fajar Paramita"/>
    <s v="Gite / Iffa (Finance"/>
    <s v="0856-1160-826 / 0856-8737-200"/>
    <m/>
    <m/>
    <s v="C88"/>
    <m/>
    <m/>
    <m/>
    <m/>
    <m/>
    <m/>
  </r>
  <r>
    <n v="1329"/>
    <x v="416"/>
    <x v="810"/>
    <s v="Wisma 46 Kota BNI Lt. 5, Jl. Jend. Sudirman, Tanah Abang, Kota Jak Pusat, Daerah Khusus Ibukota Jak 10250, Indonesia"/>
    <m/>
    <s v="BUKIT MAKMUR MANDIRI NTTI-Nex Center Lokasi Cyber 1. (no rack L1.SRV01.09-07)"/>
    <s v="Sewa Tahunan"/>
    <x v="2"/>
    <x v="58"/>
    <m/>
    <m/>
    <m/>
    <m/>
    <m/>
    <x v="42"/>
    <m/>
    <m/>
    <x v="16"/>
    <m/>
    <x v="862"/>
    <d v="2021-05-27T00:00:00"/>
    <x v="0"/>
    <m/>
    <d v="2024-09-06T00:00:00"/>
    <n v="-1198"/>
    <x v="4"/>
    <x v="4"/>
    <s v="baru"/>
    <s v="13506/SPP/008/PUSAT/ICON+/2020"/>
    <n v="4500014488"/>
    <s v="Fajar Paramita"/>
    <s v="Gite / Iffa (Finance"/>
    <s v="0856-1160-826 / 0856-8737-200"/>
    <m/>
    <m/>
    <m/>
    <s v="D112"/>
    <m/>
    <m/>
    <m/>
    <m/>
    <m/>
  </r>
  <r>
    <n v="1330"/>
    <x v="416"/>
    <x v="810"/>
    <s v="Wisma 46 Kota BNI Lt. 5, Jl. Jend. Sudirman, Tanah Abang, Kota Jak Pusat, Daerah Khusus Ibukota Jak 10250, Indonesia"/>
    <m/>
    <s v="BUKIT MAKMUR MANDIRI NTTI-Nex Center Lokasi Cyber 1. (no rack L1.SRV01.09-07) (Relokasi Ruang)"/>
    <s v="Sewa Tahunan"/>
    <x v="2"/>
    <x v="58"/>
    <m/>
    <m/>
    <m/>
    <m/>
    <m/>
    <x v="42"/>
    <m/>
    <m/>
    <x v="16"/>
    <m/>
    <x v="862"/>
    <d v="2020-05-27T00:00:00"/>
    <x v="0"/>
    <m/>
    <d v="2024-09-06T00:00:00"/>
    <n v="-1563"/>
    <x v="4"/>
    <x v="5"/>
    <s v="baru"/>
    <s v="13506/SPP/008/PUSAT/ICON+/2020"/>
    <n v="4500014489"/>
    <s v="Fajar Paramita"/>
    <s v="Gite / Iffa (Finance"/>
    <s v="0856-1160-826 / 0856-8737-200"/>
    <m/>
    <m/>
    <m/>
    <s v="D113"/>
    <m/>
    <m/>
    <m/>
    <m/>
    <m/>
  </r>
  <r>
    <n v="1331"/>
    <x v="416"/>
    <x v="811"/>
    <s v="Wisma 46 Kota BNI Lt. 5, Jl. Jend. Sudirman, Tanah Abang, Kota Jak Pusat, Daerah Khusus Ibukota Jak 10250, Indonesia"/>
    <m/>
    <s v="Cyber Building Nex Center Lantai 1 Jalan Kuningan Barat No. 8, Mampang Prapatan, Jakarta Selatan,"/>
    <s v="Sewa Tahunan"/>
    <x v="1"/>
    <x v="870"/>
    <m/>
    <m/>
    <m/>
    <m/>
    <m/>
    <x v="58"/>
    <m/>
    <m/>
    <x v="16"/>
    <m/>
    <x v="863"/>
    <d v="2020-07-23T00:00:00"/>
    <x v="0"/>
    <m/>
    <d v="2024-09-06T00:00:00"/>
    <n v="-1506"/>
    <x v="1"/>
    <x v="5"/>
    <s v="08941/SPP/008/PUSAT/ICON+/2018 | 4500011817"/>
    <s v="11093/SPP/008/PUSAT/ICON+/2019"/>
    <n v="4500012966"/>
    <s v="Fajar Paramita"/>
    <s v="Gite / Iffa (Finance"/>
    <s v="0856-1160-826 / 0856-8737-200"/>
    <m/>
    <s v="B115"/>
    <s v="C134"/>
    <m/>
    <m/>
    <m/>
    <m/>
    <m/>
    <m/>
  </r>
  <r>
    <n v="1332"/>
    <x v="416"/>
    <x v="812"/>
    <s v="Wisma 46 Kota BNI Lt. 5, Jl. Jend. Sudirman, Tanah Abang, Kota Jak Pusat, Daerah Khusus Ibukota Jak 10250, Indonesia"/>
    <m/>
    <s v="Cyber Building Nex Center Lantai 1 Jalan Kuningan Barat No. 8, Mampang Prapatan, Jakarta Selatan,"/>
    <s v="Sewa Tahunan"/>
    <x v="1"/>
    <x v="170"/>
    <m/>
    <m/>
    <m/>
    <m/>
    <m/>
    <x v="89"/>
    <m/>
    <m/>
    <x v="14"/>
    <m/>
    <x v="130"/>
    <d v="2021-06-17T00:00:00"/>
    <x v="0"/>
    <m/>
    <d v="2024-09-06T00:00:00"/>
    <n v="-1177"/>
    <x v="3"/>
    <x v="4"/>
    <s v="baru"/>
    <s v="13501/SPP/008/PUSAT/ICON+/2020"/>
    <n v="4500014483"/>
    <s v="Fajar Paramita"/>
    <s v="Gite / Iffa (Finance"/>
    <s v="0856-1160-826 / 0856-8737-200"/>
    <m/>
    <m/>
    <m/>
    <s v="D115"/>
    <m/>
    <m/>
    <m/>
    <m/>
    <m/>
  </r>
  <r>
    <n v="1333"/>
    <x v="416"/>
    <x v="813"/>
    <s v="Wisma 46 Kota BNI Lt. 5, Jl. Jend. Sudirman, Tanah Abang, Kota Jak Pusat, Daerah Khusus Ibukota Jak 10250, Indonesia"/>
    <m/>
    <s v="DC ALFA CILEUNGSI Ktr. Cab Cileungsi, Dayeuh"/>
    <s v="Sewa Tahunan"/>
    <x v="2"/>
    <x v="871"/>
    <m/>
    <m/>
    <m/>
    <m/>
    <m/>
    <x v="11"/>
    <m/>
    <m/>
    <x v="16"/>
    <m/>
    <x v="864"/>
    <d v="2023-09-18T00:00:00"/>
    <x v="0"/>
    <m/>
    <d v="2024-09-06T00:00:00"/>
    <n v="-354"/>
    <x v="7"/>
    <x v="6"/>
    <s v="baru"/>
    <s v="19884/SPP/008/PUSAT/ICON+/2022"/>
    <n v="4500018883"/>
    <s v="Fajar Paramita"/>
    <s v="Gite / Iffa (Finance"/>
    <s v="0856-1160-826 / 0856-8737-200"/>
    <m/>
    <m/>
    <m/>
    <m/>
    <m/>
    <s v="F310"/>
    <m/>
    <m/>
    <m/>
  </r>
  <r>
    <n v="1334"/>
    <x v="416"/>
    <x v="814"/>
    <s v="Wisma 46 Kota BNI Lt. 5, Jl. Jend. Sudirman, Tanah Abang, Kota Jak Pusat, Daerah Khusus Ibukota Jak 10250, Indonesia"/>
    <m/>
    <s v="DRC PT Satata Neka Tama Cyber Building 3rd Floor Jl. Kuningan Barat No.8"/>
    <s v="Sewa Tahunan"/>
    <x v="2"/>
    <x v="872"/>
    <m/>
    <m/>
    <m/>
    <m/>
    <m/>
    <x v="265"/>
    <m/>
    <m/>
    <x v="17"/>
    <m/>
    <x v="865"/>
    <d v="2023-05-10T00:00:00"/>
    <x v="0"/>
    <m/>
    <d v="2024-09-06T00:00:00"/>
    <n v="-485"/>
    <x v="4"/>
    <x v="6"/>
    <s v="baru"/>
    <s v="18621/SPP/008/PUSAT/ICON+/2022"/>
    <n v="4500017995"/>
    <s v="Fajar Paramita"/>
    <s v="Gite / Iffa (Finance"/>
    <s v="0856-1160-826 / 0856-8737-200"/>
    <m/>
    <m/>
    <m/>
    <m/>
    <m/>
    <s v="F150"/>
    <m/>
    <m/>
    <m/>
  </r>
  <r>
    <n v="1335"/>
    <x v="416"/>
    <x v="815"/>
    <s v="Wisma 46 Kota BNI Lt. 5, Jl. Jend. Sudirman, Tanah Abang, Kota Jak Pusat, Daerah Khusus Ibukota Jak 10250, Indonesia"/>
    <m/>
    <s v="Gedung Cyber 3, Jl. Kuningan Barat Raya No.8, RT.1/RW.3, lt.1 Kuningan Bar., Mampang Prpt., Kota Jakarta Selatan, Daerah Khusus Ibukota Jakarta 12710"/>
    <s v="Sewa Tahunan"/>
    <x v="2"/>
    <x v="873"/>
    <m/>
    <m/>
    <m/>
    <m/>
    <m/>
    <x v="128"/>
    <m/>
    <m/>
    <x v="16"/>
    <m/>
    <x v="866"/>
    <d v="2020-05-07T00:00:00"/>
    <x v="0"/>
    <m/>
    <d v="2024-09-06T00:00:00"/>
    <n v="-1583"/>
    <x v="4"/>
    <x v="5"/>
    <s v="baru"/>
    <s v="10856/SPP/008/PUSAT/ICON+/2019"/>
    <n v="4500012816"/>
    <s v="Fajar Paramita"/>
    <s v="Gite / Iffa (Finance"/>
    <s v="0856-1160-826 / 0856-8737-200"/>
    <m/>
    <m/>
    <s v="C89"/>
    <m/>
    <m/>
    <m/>
    <m/>
    <m/>
    <m/>
  </r>
  <r>
    <n v="1336"/>
    <x v="416"/>
    <x v="816"/>
    <s v="Gedung CyberCSF_x000a_ Jl. Kuningan Barat Jakarta"/>
    <m/>
    <s v="Gedung Cyber CSF"/>
    <s v="Sewa Tahunan"/>
    <x v="1"/>
    <x v="874"/>
    <m/>
    <m/>
    <m/>
    <m/>
    <m/>
    <x v="6"/>
    <m/>
    <m/>
    <x v="88"/>
    <m/>
    <x v="867"/>
    <d v="2020-08-26T00:00:00"/>
    <x v="0"/>
    <m/>
    <d v="2024-09-06T00:00:00"/>
    <n v="-1472"/>
    <x v="12"/>
    <x v="5"/>
    <n v="4500009953"/>
    <s v="11508/SPP/008/PUSAT/ICON+/2019"/>
    <n v="4500013237"/>
    <s v="Fajar Paramita"/>
    <s v="Gite / Iffa (Finance"/>
    <s v="0856-1160-826 / 0856-8737-200"/>
    <m/>
    <m/>
    <s v="C164"/>
    <m/>
    <m/>
    <m/>
    <m/>
    <m/>
    <m/>
  </r>
  <r>
    <n v="1337"/>
    <x v="416"/>
    <x v="817"/>
    <s v="Wisma 46 Kota BNI Lt. 5, Jl. Jend. Sudirman, Tanah Abang, Kota Jak Pusat, Daerah Khusus Ibukota Jak 10250, Indonesia"/>
    <m/>
    <s v="Gedung Cyber CSF Lt 1 Jl. Kuningan Barat No. 8 Jakarta Selatan"/>
    <s v="Sewa Tahunan"/>
    <x v="1"/>
    <x v="875"/>
    <m/>
    <m/>
    <m/>
    <m/>
    <m/>
    <x v="41"/>
    <m/>
    <m/>
    <x v="16"/>
    <m/>
    <x v="123"/>
    <d v="2021-02-24T00:00:00"/>
    <x v="0"/>
    <m/>
    <d v="2024-09-06T00:00:00"/>
    <n v="-1290"/>
    <x v="9"/>
    <x v="4"/>
    <s v="10418/SPP/008/PUSAT/ICON+/2019 | 4500012521"/>
    <s v="12592/SPP/008/PUSAT/ICON+/2020"/>
    <n v="4500013999"/>
    <s v="Fajar Paramita"/>
    <s v="Gite / Iffa (Finance"/>
    <s v="0856-1160-826 / 0856-8737-200"/>
    <m/>
    <m/>
    <s v="C10"/>
    <s v="D62/E56"/>
    <m/>
    <m/>
    <m/>
    <m/>
    <m/>
  </r>
  <r>
    <n v="1338"/>
    <x v="416"/>
    <x v="818"/>
    <s v="Wisma 46 Kota BNI Lt. 5, Jl. Jend. Sudirman, Tanah Abang, Kota Jak Pusat, Daerah Khusus Ibukota Jak 10250, Indonesia"/>
    <m/>
    <s v="Gedung NTT Indonesia Nexcenter, Cyber Building I, Lantai 3A, Jl. Kuningan Barat Raya No.8, RT.6/RW.3,, Mampang Prapatan, Jakarta Selatan, DKI Jakarta"/>
    <s v="Sewa Tahunan"/>
    <x v="1"/>
    <x v="876"/>
    <m/>
    <m/>
    <m/>
    <m/>
    <m/>
    <x v="174"/>
    <m/>
    <m/>
    <x v="16"/>
    <m/>
    <x v="868"/>
    <d v="2020-01-22T00:00:00"/>
    <x v="1"/>
    <m/>
    <d v="2024-09-06T00:00:00"/>
    <n v="-1689"/>
    <x v="11"/>
    <x v="5"/>
    <s v="baru"/>
    <s v="10110/SPP/008/PUSAT/ICON+/2019"/>
    <n v="4500012424"/>
    <s v="Fajar Paramita"/>
    <s v="Gite / Iffa (Finance"/>
    <s v="0856-1160-826 / 0856-8737-200"/>
    <m/>
    <m/>
    <s v="C8"/>
    <m/>
    <m/>
    <m/>
    <m/>
    <m/>
    <s v="1.Biaya sewa tahunan sebesar 12.000.000"/>
  </r>
  <r>
    <n v="1339"/>
    <x v="416"/>
    <x v="818"/>
    <s v="Wisma 46 Kota BNI Lt. 5, Jl. Jend. Sudirman, Tanah Abang, Kota Jak Pusat, Daerah Khusus Ibukota Jak 10250, Indonesia"/>
    <m/>
    <s v="Gedung NTT Indonesia Nexcenter, Cyber Building I, Lantai 3A, Jl. Kuningan Barat Raya No.8, RT.6/RW.3,, Mampang Prapatan, Jakarta Selatan, DKI Jakarta"/>
    <s v="Sewa Tahunan"/>
    <x v="2"/>
    <x v="877"/>
    <m/>
    <m/>
    <m/>
    <m/>
    <m/>
    <x v="174"/>
    <m/>
    <m/>
    <x v="16"/>
    <m/>
    <x v="869"/>
    <d v="2020-05-08T00:00:00"/>
    <x v="0"/>
    <m/>
    <d v="2024-09-06T00:00:00"/>
    <n v="-1582"/>
    <x v="4"/>
    <x v="5"/>
    <s v="baru"/>
    <s v="10868/SPP/008/PUSAT/ICON+/2019"/>
    <n v="4500012826"/>
    <s v="Fajar Paramita"/>
    <s v="Gite / Iffa (Finance"/>
    <s v="0856-1160-826 / 0856-8737-200"/>
    <m/>
    <m/>
    <s v="C87"/>
    <m/>
    <m/>
    <m/>
    <m/>
    <m/>
    <m/>
  </r>
  <r>
    <n v="1340"/>
    <x v="416"/>
    <x v="818"/>
    <s v="Wisma 46 Kota BNI Lt. 5, Jl. Jend. Sudirman, Tanah Abang, Kota Jak Pusat, Daerah Khusus Ibukota Jak 10250, Indonesia"/>
    <m/>
    <s v="Gedung NTT Indonesia Nexcenter, Cyber Building I, Lantai 3A, Jl. Kuningan Barat Raya No.8, RT.6/RW.3,, Mampang Prapatan, Jakarta Selatan, DKI Jakarta,"/>
    <s v="Sewa Tahunan"/>
    <x v="2"/>
    <x v="878"/>
    <m/>
    <m/>
    <m/>
    <m/>
    <m/>
    <x v="413"/>
    <m/>
    <m/>
    <x v="16"/>
    <m/>
    <x v="870"/>
    <d v="2020-09-18T00:00:00"/>
    <x v="0"/>
    <m/>
    <d v="2024-09-06T00:00:00"/>
    <n v="-1449"/>
    <x v="7"/>
    <x v="5"/>
    <s v="baru"/>
    <s v="11640/SPP/008/PUSAT/ICON+/2019"/>
    <n v="4500013324"/>
    <s v="Fajar Paramita"/>
    <s v="Gite / Iffa (Finance"/>
    <s v="0856-1160-826 / 0856-8737-200"/>
    <m/>
    <m/>
    <s v="C214"/>
    <m/>
    <m/>
    <m/>
    <m/>
    <m/>
    <m/>
  </r>
  <r>
    <n v="1341"/>
    <x v="416"/>
    <x v="819"/>
    <s v="Wisma 46 Kota BNI Lt. 5, Jl. Jend. Sudirman, Tanah Abang, Kota Jak Pusat, Daerah Khusus Ibukota Jak 10250, Indonesia"/>
    <m/>
    <s v="H2H - PT RITEL BERSAMA NASIONAL Menara Jamsostek Menara Utara Lt 18, Kuningan Barat, Kec. Mampang Prapatan, Jakarta Selatan, DKI Jakarta, Indonesia."/>
    <s v="Sewa Tahunan"/>
    <x v="2"/>
    <x v="879"/>
    <m/>
    <m/>
    <m/>
    <m/>
    <m/>
    <x v="89"/>
    <m/>
    <m/>
    <x v="16"/>
    <m/>
    <x v="870"/>
    <d v="2020-09-18T00:00:00"/>
    <x v="0"/>
    <m/>
    <d v="2024-09-06T00:00:00"/>
    <n v="-1449"/>
    <x v="7"/>
    <x v="5"/>
    <s v="baru"/>
    <s v="11703/SPP/008/PUSAT/ICON+/2019"/>
    <n v="4500013314"/>
    <s v="Fajar Paramita"/>
    <s v="Gite / Iffa (Finance"/>
    <s v="0856-1160-826 / 0856-8737-200"/>
    <m/>
    <m/>
    <s v="C199"/>
    <m/>
    <m/>
    <m/>
    <m/>
    <m/>
    <m/>
  </r>
  <r>
    <n v="1342"/>
    <x v="416"/>
    <x v="683"/>
    <s v="Wisma 46 Kota BNI Lt. 5, Jl. Jend. Sudirman, Tanah Abang, Kota Jak Pusat, Daerah Khusus Ibukota Jak 10250, Indonesia"/>
    <m/>
    <s v="H2H BRI - OVO NTT Indonesia Nexcenter Jl. Kuningan Barat Raya No.8, RT.6/RW.3"/>
    <s v="Sewa Tahunan"/>
    <x v="2"/>
    <x v="880"/>
    <m/>
    <m/>
    <m/>
    <m/>
    <m/>
    <x v="414"/>
    <m/>
    <m/>
    <x v="17"/>
    <m/>
    <x v="502"/>
    <d v="2023-11-15T00:00:00"/>
    <x v="0"/>
    <m/>
    <d v="2024-09-06T00:00:00"/>
    <n v="-296"/>
    <x v="2"/>
    <x v="6"/>
    <s v="baru"/>
    <s v="20280/SPP/008/PUSAT/ICON+/2022"/>
    <n v="4500019288"/>
    <s v="Fajar Paramita"/>
    <s v="Gite / Iffa (Finance"/>
    <s v="0856-1160-826 / 0856-8737-200"/>
    <m/>
    <m/>
    <m/>
    <m/>
    <m/>
    <s v="F363"/>
    <m/>
    <m/>
    <m/>
  </r>
  <r>
    <n v="1343"/>
    <x v="416"/>
    <x v="779"/>
    <s v="Wisma 46 Kota BNI Lt. 5, Jl. Jend. Sudirman, Tanah Abang, Kota Jak Pusat, Daerah Khusus Ibukota Jak 10250, Indonesia"/>
    <m/>
    <s v="IDC Duren Tiga Open IXP, Jl. Duren Tiga Raya No.7, RT.9/RW.5, Duren Tiga"/>
    <s v="Sewa Tahunan"/>
    <x v="2"/>
    <x v="453"/>
    <m/>
    <m/>
    <m/>
    <m/>
    <m/>
    <x v="236"/>
    <m/>
    <m/>
    <x v="145"/>
    <m/>
    <x v="871"/>
    <d v="2023-12-04T00:00:00"/>
    <x v="0"/>
    <m/>
    <d v="2024-09-06T00:00:00"/>
    <n v="-277"/>
    <x v="5"/>
    <x v="6"/>
    <s v="baru"/>
    <s v="20251/SPP/008/PUSAT/ICON+/2022"/>
    <n v="4500019236"/>
    <s v="Fajar Paramita"/>
    <s v="Gite / Iffa (Finance"/>
    <s v="0856-1160-826 / 0856-8737-200"/>
    <m/>
    <m/>
    <m/>
    <m/>
    <m/>
    <s v="F362"/>
    <m/>
    <m/>
    <m/>
  </r>
  <r>
    <n v="1344"/>
    <x v="416"/>
    <x v="820"/>
    <s v="Wisma 46 Kota BNI Lt. 5, Jl. Jend. Sudirman, Tanah Abang, Kota Jak Pusat, Daerah Khusus Ibukota Jak 10250, Indonesia"/>
    <m/>
    <s v="Jl. Kuningan Barat Raya No.8, RT.6/RW.3"/>
    <s v="Sewa Tahunan"/>
    <x v="2"/>
    <x v="881"/>
    <m/>
    <m/>
    <m/>
    <m/>
    <m/>
    <x v="415"/>
    <m/>
    <m/>
    <x v="16"/>
    <m/>
    <x v="872"/>
    <d v="2023-05-24T00:00:00"/>
    <x v="0"/>
    <m/>
    <d v="2024-09-06T00:00:00"/>
    <n v="-471"/>
    <x v="4"/>
    <x v="6"/>
    <s v="baru"/>
    <s v="18937/SPP/008/PUSAT/ICON+/2022"/>
    <n v="4500018271"/>
    <s v="Fajar Paramita"/>
    <s v="Gite / Iffa (Finance"/>
    <s v="0856-1160-826 / 0856-8737-200"/>
    <m/>
    <m/>
    <m/>
    <m/>
    <m/>
    <s v="F181"/>
    <m/>
    <m/>
    <m/>
  </r>
  <r>
    <n v="1345"/>
    <x v="416"/>
    <x v="821"/>
    <s v="Wisma 46 Kota BNI Lt. 5, Jl. Jend. Sudirman, Tanah Abang, Kota Jak Pusat, Daerah Khusus Ibukota Jak 10250, Indonesia"/>
    <m/>
    <s v="Kantor Djarum Kudus Jl. A. Yani No. 26 Kudus, Jawa Tengah"/>
    <s v="Sewa Tahunan"/>
    <x v="2"/>
    <x v="843"/>
    <m/>
    <m/>
    <m/>
    <m/>
    <m/>
    <x v="416"/>
    <m/>
    <m/>
    <x v="16"/>
    <m/>
    <x v="855"/>
    <d v="2021-05-13T00:00:00"/>
    <x v="0"/>
    <m/>
    <d v="2024-09-06T00:00:00"/>
    <n v="-1212"/>
    <x v="4"/>
    <x v="4"/>
    <s v="baru"/>
    <s v="13427/SPP/008/PUSAT/ICON+/2020"/>
    <n v="4500014399"/>
    <s v="Fajar Paramita"/>
    <s v="Gite / Iffa (Finance"/>
    <s v="0856-1160-826 / 0856-8737-200"/>
    <m/>
    <m/>
    <m/>
    <s v="D96"/>
    <m/>
    <m/>
    <m/>
    <m/>
    <m/>
  </r>
  <r>
    <n v="1346"/>
    <x v="416"/>
    <x v="822"/>
    <s v="Wisma 46 Kota BNI Lt. 5, Jl. Jend. Sudirman, Tanah Abang, Kota Jak Pusat, Daerah Khusus Ibukota Jak 10250, Indonesia"/>
    <m/>
    <s v="Kantor Semarang Jl. Pandean Lamper 4 No 16 , Semarang (Lantai 1), Jawa Tengah"/>
    <s v="Sewa Tahunan"/>
    <x v="2"/>
    <x v="332"/>
    <m/>
    <m/>
    <m/>
    <m/>
    <m/>
    <x v="267"/>
    <m/>
    <m/>
    <x v="17"/>
    <m/>
    <x v="873"/>
    <d v="2021-04-22T00:00:00"/>
    <x v="0"/>
    <m/>
    <d v="2024-09-06T00:00:00"/>
    <n v="-1233"/>
    <x v="10"/>
    <x v="4"/>
    <s v="baru"/>
    <s v="13275/SPP/008/PUSAT/ICON+/2020"/>
    <n v="4500014318"/>
    <s v="Fajar Paramita"/>
    <s v="Gite / Iffa (Finance"/>
    <s v="0856-1160-826 / 0856-8737-200"/>
    <m/>
    <m/>
    <m/>
    <m/>
    <m/>
    <m/>
    <m/>
    <m/>
    <m/>
  </r>
  <r>
    <n v="1347"/>
    <x v="416"/>
    <x v="818"/>
    <s v="Wisma 46 Kota BNI Lt. 5, Jl. Jend. Sudirman, Tanah Abang, Kota Jak Pusat, Daerah Khusus Ibukota Jak 10250, Indonesia"/>
    <m/>
    <s v="Menara Jamsostek, Jalan Gatot Subroto, Kav 38. RT.6/RW.1. Lantai 21.Kuningan Barat,, Mampang Prapatan, Jakarta Selatan, DKI Jakarta, Indonesia, 12710"/>
    <s v="Sewa Tahunan"/>
    <x v="2"/>
    <x v="878"/>
    <m/>
    <m/>
    <m/>
    <m/>
    <m/>
    <x v="112"/>
    <m/>
    <m/>
    <x v="16"/>
    <m/>
    <x v="874"/>
    <d v="2020-07-09T00:00:00"/>
    <x v="0"/>
    <m/>
    <d v="2024-09-06T00:00:00"/>
    <n v="-1520"/>
    <x v="1"/>
    <x v="5"/>
    <s v="baru"/>
    <s v="11277/SPP/008/PUSAT/ICON+/2019"/>
    <n v="4500013044"/>
    <s v="Fajar Paramita"/>
    <s v="Gite / Iffa (Finance"/>
    <s v="0856-1160-826 / 0856-8737-200"/>
    <m/>
    <m/>
    <s v="C155"/>
    <m/>
    <m/>
    <m/>
    <m/>
    <m/>
    <m/>
  </r>
  <r>
    <n v="1348"/>
    <x v="416"/>
    <x v="823"/>
    <s v="Wisma 46 Kota BNI Lt. 5, Jl. Jend. Sudirman, Tanah Abang, Kota Jak Pusat, Daerah Khusus Ibukota Jak 10250, Indonesia"/>
    <m/>
    <s v="NTT Indonesia Nexcenter Cyber Building I, Lantai 3A, Jl. Kuningan Barat Raya No.8, RT.6/RW.3, Kuningan Bar., Kec. Mampang Prpt"/>
    <s v="Sewa Tahunan"/>
    <x v="2"/>
    <x v="882"/>
    <m/>
    <m/>
    <m/>
    <m/>
    <m/>
    <x v="57"/>
    <m/>
    <m/>
    <x v="17"/>
    <m/>
    <x v="493"/>
    <d v="2023-07-30T00:00:00"/>
    <x v="0"/>
    <m/>
    <d v="2024-09-06T00:00:00"/>
    <n v="-404"/>
    <x v="1"/>
    <x v="6"/>
    <s v="baru"/>
    <s v="19446/SPP/008/PUSAT/ICON+/2022"/>
    <n v="4500018665"/>
    <s v="Fajar Paramita"/>
    <s v="Gite / Iffa (Finance"/>
    <s v="0856-1160-826 / 0856-8737-200"/>
    <m/>
    <m/>
    <m/>
    <m/>
    <m/>
    <s v="F233"/>
    <m/>
    <m/>
    <m/>
  </r>
  <r>
    <n v="1349"/>
    <x v="416"/>
    <x v="824"/>
    <s v="Wisma 46 Kota BNI Lt. 5, Jl. Jend. Sudirman, Tanah Abang, Kota Jak Pusat, Daerah Khusus Ibukota Jak 10250, Indonesia"/>
    <m/>
    <s v="PT NTT Indonesia Wisma 46 Kota BNI Jl.Jend Sudirman Kav 1 Jakarta"/>
    <s v="Sewa Tahunan"/>
    <x v="2"/>
    <x v="57"/>
    <m/>
    <m/>
    <m/>
    <m/>
    <m/>
    <x v="41"/>
    <m/>
    <m/>
    <x v="421"/>
    <m/>
    <x v="875"/>
    <d v="2023-06-16T00:00:00"/>
    <x v="0"/>
    <m/>
    <d v="2024-09-06T00:00:00"/>
    <n v="-448"/>
    <x v="3"/>
    <x v="6"/>
    <s v="baru"/>
    <s v="18541/SPP/008/PUSAT/ICON+/2022        "/>
    <n v="4500018071"/>
    <s v="Fajar Paramita"/>
    <s v="Gite / Iffa (Finance"/>
    <s v="0856-1160-826 / 0856-8737-200"/>
    <m/>
    <m/>
    <m/>
    <m/>
    <m/>
    <s v="F210"/>
    <m/>
    <m/>
    <m/>
  </r>
  <r>
    <n v="1350"/>
    <x v="416"/>
    <x v="824"/>
    <s v="Wisma 46 Kota BNI Lt. 5, Jl. Jend. Sudirman, Tanah Abang, Kota Jak Pusat, Daerah Khusus Ibukota Jak 10250, Indonesia"/>
    <m/>
    <s v="PT Teknovatus SS, Jl. Pahlawan Seribu Lot 12 A BSD CBD Serpong, Tangerang 15322"/>
    <s v="Sewa Tahunan"/>
    <x v="2"/>
    <x v="70"/>
    <m/>
    <m/>
    <m/>
    <m/>
    <m/>
    <x v="50"/>
    <m/>
    <m/>
    <x v="16"/>
    <m/>
    <x v="63"/>
    <d v="2021-11-22T00:00:00"/>
    <x v="0"/>
    <m/>
    <d v="2024-09-06T00:00:00"/>
    <n v="-1019"/>
    <x v="2"/>
    <x v="4"/>
    <s v="baru"/>
    <s v="14660/SPP/008/PUSAT/ICON+/2020"/>
    <n v="4500015285"/>
    <s v="Fajar Paramita"/>
    <s v="Gite / Iffa (Finance"/>
    <s v="0856-1160-826 / 0856-8737-200"/>
    <m/>
    <m/>
    <m/>
    <s v="D274"/>
    <m/>
    <m/>
    <m/>
    <m/>
    <m/>
  </r>
  <r>
    <n v="1351"/>
    <x v="416"/>
    <x v="825"/>
    <s v="Wisma 46 Kota BNI Lt. 5, Jl. Jend. Sudirman, Tanah Abang, Kota Jak Pusat, Daerah Khusus Ibukota Jak 10250, Indonesia"/>
    <m/>
    <s v="PT. Great Giant Pineapple Cyber 3 (Backhaul), Jl. Wijayakarta IV No.217, RT.1/RW.3, Kuningan Bar. Mampang Prpt,, Kuningan Barat, Jakarta Selatan, DKI Jakarta, Indonesia,"/>
    <s v="Sewa Tahunan"/>
    <x v="2"/>
    <x v="883"/>
    <m/>
    <m/>
    <m/>
    <m/>
    <m/>
    <x v="59"/>
    <m/>
    <m/>
    <x v="17"/>
    <m/>
    <x v="876"/>
    <d v="2020-03-14T00:00:00"/>
    <x v="1"/>
    <m/>
    <d v="2024-09-06T00:00:00"/>
    <n v="-1637"/>
    <x v="8"/>
    <x v="5"/>
    <s v="baru"/>
    <s v="10571/SPP/008/PUSAT/ICON+/2019"/>
    <n v="4500012632"/>
    <s v="Fajar Paramita"/>
    <s v="Gite / Iffa (Finance"/>
    <s v="0856-1160-826 / 0856-8737-200"/>
    <m/>
    <m/>
    <s v="C40"/>
    <m/>
    <m/>
    <m/>
    <m/>
    <m/>
    <s v="1.Biaya sewa tahunan sebesar 24.000.000"/>
  </r>
  <r>
    <n v="1352"/>
    <x v="416"/>
    <x v="806"/>
    <s v="Wisma 46 Kota BNI Lt. 5, Jl. Jend. Sudirman, Tanah Abang, Kota Jak Pusat, Daerah Khusus Ibukota Jak 10250, Indonesia"/>
    <m/>
    <s v="PT. NTT Indonesia Nexcenter Cyber CSF Building, Floor 2 Room 2-2, Jl. Kuningan Barat No. 8, Jakarta, Jakarta Selatan, DKI Jakarta, Indonesia, 12710"/>
    <s v="Sewa Tahunan"/>
    <x v="2"/>
    <x v="867"/>
    <m/>
    <m/>
    <m/>
    <m/>
    <m/>
    <x v="20"/>
    <m/>
    <m/>
    <x v="16"/>
    <m/>
    <x v="175"/>
    <d v="2022-10-25T00:00:00"/>
    <x v="0"/>
    <m/>
    <d v="2024-09-06T00:00:00"/>
    <n v="-682"/>
    <x v="6"/>
    <x v="2"/>
    <s v="baru"/>
    <s v="14534/SPP/008/PUSAT/ICON+/2020"/>
    <n v="4500015237"/>
    <s v="Fajar Paramita"/>
    <s v="Gite / Iffa (Finance"/>
    <s v="0856-1160-826 / 0856-8737-200"/>
    <m/>
    <m/>
    <s v="C270"/>
    <m/>
    <m/>
    <m/>
    <m/>
    <m/>
    <m/>
  </r>
  <r>
    <n v="1353"/>
    <x v="416"/>
    <x v="547"/>
    <s v="Wisma 46 Kota BNI Lt. 5, Jl. Jend. Sudirman, Tanah Abang, Kota Jak Pusat, Daerah Khusus Ibukota Jak 10250, Indonesia"/>
    <m/>
    <s v="Wisma 46 Kota BNI , Jl. Jend. Sudirman, Tanah Abang, Kota Jak Pusat, Daerah Khusus Ibukota Jak 10250, Indonesia ((LG) menuju Primacom lt. 49 (radio room) exclusive penyedia jasa telekomunikasi PT NTT Indonesia- Pemilik Gedung PT Swadharma Primautama/ PT Citanduy Perkasa)"/>
    <s v="Sewa Tahunan"/>
    <x v="1"/>
    <x v="884"/>
    <m/>
    <m/>
    <m/>
    <m/>
    <m/>
    <x v="5"/>
    <m/>
    <m/>
    <x v="17"/>
    <m/>
    <x v="877"/>
    <d v="2020-05-20T00:00:00"/>
    <x v="1"/>
    <m/>
    <d v="2024-09-06T00:00:00"/>
    <n v="-1570"/>
    <x v="4"/>
    <x v="5"/>
    <s v="4500009466 |NTTI-ICON+/MAINETENANCE-BT/AMD-I/256/IX/16 |06888/SPP/008/PUSAT/ICON+/2018 | 4500010589 | 08605/SPP/008/PUSAT/ICON+/2018 | 4500011488"/>
    <s v="10532/SPP/008/PUSAT/ICON+/2019"/>
    <n v="4500012606"/>
    <s v="Fajar Paramita"/>
    <s v="Gite / Iffa (Finance"/>
    <s v="0856-1160-826 / 0856-8737-200"/>
    <s v="B19"/>
    <s v="B159"/>
    <s v="C132"/>
    <m/>
    <m/>
    <m/>
    <m/>
    <m/>
    <s v="1. Instalasi Rp4.000.000/tarikan_x000a_ 2. Sewa Shaft Rp24.000.000/tahun_x000a_ 3. Jaminan dengan Pihak Gedung (PT Swadharma Primautama/Citanduy Perkasa) Rp10.000.000,-_x000a_ 4.. Biaya Kebersihan Rp300.000,-/tarikan"/>
  </r>
  <r>
    <n v="1354"/>
    <x v="416"/>
    <x v="826"/>
    <s v="Wisma 46 Kota BNI Lt. 5, Jl. Jend. Sudirman, Tanah Abang, Kota Jak Pusat, Daerah Khusus Ibukota Jak 10250, Indonesia"/>
    <m/>
    <s v="Wisma 46 Kota BNI, 5th Floor Jl. Jend Sudirman Kav. 1 Jakarta 10220"/>
    <s v="Sewa Tahunan"/>
    <x v="1"/>
    <x v="885"/>
    <m/>
    <m/>
    <m/>
    <m/>
    <m/>
    <x v="27"/>
    <m/>
    <m/>
    <x v="16"/>
    <m/>
    <x v="878"/>
    <d v="2020-04-18T00:00:00"/>
    <x v="0"/>
    <m/>
    <d v="2024-09-06T00:00:00"/>
    <n v="-1602"/>
    <x v="10"/>
    <x v="5"/>
    <s v="08614/SPP/008/PUSAT/ICON+/2018 |4500011718"/>
    <s v="10454/SPP/008/PUSAT/ICON+/2019"/>
    <n v="4500013272"/>
    <s v="Fajar Paramita"/>
    <s v="Gite / Iffa (Finance"/>
    <s v="0856-1160-826 / 0856-8737-200"/>
    <m/>
    <m/>
    <s v="C248"/>
    <m/>
    <m/>
    <m/>
    <m/>
    <m/>
    <m/>
  </r>
  <r>
    <n v="1355"/>
    <x v="416"/>
    <x v="827"/>
    <s v="Wisma 46 Kota BNI Lt. 5, Jl. Jend. Sudirman, Tanah Abang, Kota Jak Pusat, Daerah Khusus Ibukota Jak 10250, Indonesia"/>
    <m/>
    <s v="Wisma 46 Kota BNI, 5th Floor Jl. Jend Sudirman Kav. 1 Jakarta 10220"/>
    <s v="Sewa Tahunan"/>
    <x v="1"/>
    <x v="886"/>
    <m/>
    <m/>
    <m/>
    <m/>
    <m/>
    <x v="8"/>
    <m/>
    <m/>
    <x v="16"/>
    <m/>
    <x v="868"/>
    <d v="2020-01-22T00:00:00"/>
    <x v="0"/>
    <m/>
    <d v="2024-09-06T00:00:00"/>
    <n v="-1689"/>
    <x v="11"/>
    <x v="5"/>
    <s v="08384/SPP/008/PUSAT/ICON+/2018 | 4500011409"/>
    <s v="10024/SPP/008/PUSAT/ICON+/2019"/>
    <n v="4500012430"/>
    <s v="Fajar Paramita"/>
    <s v="Gite / Iffa (Finance"/>
    <s v="0856-1160-826 / 0856-8737-200"/>
    <m/>
    <s v="B16"/>
    <s v="C30"/>
    <m/>
    <m/>
    <m/>
    <m/>
    <m/>
    <m/>
  </r>
  <r>
    <n v="1356"/>
    <x v="416"/>
    <x v="828"/>
    <s v="Wisma 46 Kota BNI Lt. 5, Jl. Jend. Sudirman, Tanah Abang, Kota Jak Pusat, Daerah Khusus Ibukota Jak 10250, Indonesia"/>
    <m/>
    <s v="Wisma 46 Kota BNI, 5th Floor Jl. Jend Sudirman Kav. 1 Jakarta 10220"/>
    <s v="Sewa Tahunan"/>
    <x v="1"/>
    <x v="887"/>
    <m/>
    <m/>
    <m/>
    <m/>
    <m/>
    <x v="3"/>
    <m/>
    <m/>
    <x v="16"/>
    <m/>
    <x v="879"/>
    <d v="2020-03-25T00:00:00"/>
    <x v="0"/>
    <m/>
    <d v="2024-09-06T00:00:00"/>
    <n v="-1626"/>
    <x v="8"/>
    <x v="5"/>
    <s v="08826/SPP/008/PUSAT/ICON+/2018 | 4500011719"/>
    <s v="10217/SPP/008/PUSAT/ICON+/2019"/>
    <n v="4500012450"/>
    <s v="Fajar Paramita"/>
    <s v="Gite / Iffa (Finance"/>
    <s v="0856-1160-826 / 0856-8737-200"/>
    <m/>
    <s v="B102"/>
    <s v="C31"/>
    <m/>
    <m/>
    <m/>
    <m/>
    <m/>
    <m/>
  </r>
  <r>
    <n v="1357"/>
    <x v="416"/>
    <x v="775"/>
    <s v="Wisma 46 Kota BNI Lt. 5, Jl. Jend. Sudirman, Tanah Abang, Kota Jak Pusat, Daerah Khusus Ibukota Jak 10250, Indonesia"/>
    <m/>
    <s v="Wisma BNI 46"/>
    <s v="Sewa Tahunan"/>
    <x v="2"/>
    <x v="57"/>
    <m/>
    <m/>
    <m/>
    <m/>
    <m/>
    <x v="41"/>
    <m/>
    <m/>
    <x v="145"/>
    <m/>
    <x v="880"/>
    <d v="2023-12-15T00:00:00"/>
    <x v="0"/>
    <m/>
    <d v="2024-09-06T00:00:00"/>
    <n v="-266"/>
    <x v="5"/>
    <x v="6"/>
    <s v="baru"/>
    <s v="20917/SPP/008/PUSAT/ICON+/2022"/>
    <n v="4500019382"/>
    <s v="Fajar Paramita"/>
    <s v="Gite / Iffa (Finance"/>
    <s v="0856-1160-826 / 0856-8737-200"/>
    <m/>
    <m/>
    <m/>
    <m/>
    <m/>
    <s v="F399"/>
    <m/>
    <m/>
    <m/>
  </r>
  <r>
    <n v="1358"/>
    <x v="416"/>
    <x v="775"/>
    <s v="Wisma 46 Kota BNI Lt. 5, Jl. Jend. Sudirman, Tanah Abang, Kota Jak Pusat, Daerah Khusus Ibukota Jak 10250, Indonesia"/>
    <m/>
    <s v="Wisma BNI 46"/>
    <s v="Sewa Tahunan"/>
    <x v="2"/>
    <x v="842"/>
    <m/>
    <m/>
    <m/>
    <m/>
    <m/>
    <x v="417"/>
    <m/>
    <m/>
    <x v="17"/>
    <m/>
    <x v="881"/>
    <d v="2024-01-09T00:00:00"/>
    <x v="2"/>
    <m/>
    <d v="2024-09-06T00:00:00"/>
    <n v="-241"/>
    <x v="11"/>
    <x v="1"/>
    <s v="baru"/>
    <s v="20917/SPP/008/PUSAT/ICON+/2022"/>
    <n v="4500019881"/>
    <s v="Fajar Paramita"/>
    <s v="Gite / Iffa (Finance"/>
    <s v="0856-1160-826 / 0856-8737-200"/>
    <m/>
    <m/>
    <m/>
    <m/>
    <m/>
    <m/>
    <s v="G12"/>
    <m/>
    <m/>
  </r>
  <r>
    <n v="1359"/>
    <x v="416"/>
    <x v="808"/>
    <s v="Wisma 46 Kota BNI Lt. 5, Jl. Jend. Sudirman, Tanah Abang, Kota Jak Pusat, Daerah Khusus Ibukota Jak 10250, Indonesia"/>
    <m/>
    <s v="Wisma BNI 46"/>
    <s v="Sewa Tahunan"/>
    <x v="2"/>
    <x v="868"/>
    <m/>
    <m/>
    <m/>
    <m/>
    <m/>
    <x v="46"/>
    <m/>
    <m/>
    <x v="16"/>
    <m/>
    <x v="180"/>
    <d v="2022-09-20T00:00:00"/>
    <x v="0"/>
    <m/>
    <d v="2024-09-06T00:00:00"/>
    <n v="-717"/>
    <x v="7"/>
    <x v="2"/>
    <s v="baru"/>
    <s v="16737/SPP/008/PUSAT/ICON+/2021"/>
    <n v="4500016891"/>
    <s v="Fajar Paramita"/>
    <s v="Gite / Iffa (Finance"/>
    <s v="0856-1160-826 / 0856-8737-200"/>
    <m/>
    <m/>
    <m/>
    <m/>
    <m/>
    <m/>
    <s v="G39"/>
    <m/>
    <m/>
  </r>
  <r>
    <n v="1360"/>
    <x v="416"/>
    <x v="829"/>
    <s v="Wisma 46 Kota BNI Lt. 5, Jl. Jend. Sudirman, Tanah Abang, Kota Jak Pusat, Daerah Khusus Ibukota Jak 10250, Indonesia"/>
    <m/>
    <s v="Wisma BNI 46,"/>
    <s v="Sewa Tahunan"/>
    <x v="2"/>
    <x v="888"/>
    <m/>
    <m/>
    <m/>
    <m/>
    <m/>
    <x v="418"/>
    <m/>
    <m/>
    <x v="137"/>
    <m/>
    <x v="882"/>
    <d v="2020-08-14T00:00:00"/>
    <x v="0"/>
    <m/>
    <d v="2024-09-06T00:00:00"/>
    <n v="-1484"/>
    <x v="12"/>
    <x v="5"/>
    <s v="baru"/>
    <s v="11493/SPP/008/PUSAT/ICON+/2019"/>
    <n v="4500013156"/>
    <s v="Fajar Paramita"/>
    <s v="Gite / Iffa (Finance"/>
    <s v="0856-1160-826 / 0856-8737-200"/>
    <m/>
    <m/>
    <s v="C171"/>
    <m/>
    <m/>
    <m/>
    <m/>
    <m/>
    <m/>
  </r>
  <r>
    <n v="1361"/>
    <x v="416"/>
    <x v="830"/>
    <s v="Wisma 46 Kota BNI Lt. 5, Jl. Jend. Sudirman, Tanah Abang, Kota Jak Pusat, Daerah Khusus Ibukota Jak 10250, Indonesia"/>
    <m/>
    <s v="JL. SELAYAR BLOK A-6 KAWASAN MM2100 IDUSTRIAL ESTATE CIBITUNG (Interkoneksi Indonet),- ,- ,- ,Indonesia "/>
    <s v="Sewa Tahunan"/>
    <x v="2"/>
    <x v="889"/>
    <m/>
    <m/>
    <m/>
    <m/>
    <m/>
    <x v="419"/>
    <m/>
    <m/>
    <x v="16"/>
    <m/>
    <x v="737"/>
    <d v="2024-08-14T00:00:00"/>
    <x v="2"/>
    <m/>
    <d v="2024-09-06T00:00:00"/>
    <n v="-23"/>
    <x v="12"/>
    <x v="1"/>
    <s v="baru"/>
    <s v="1097/SPP/SBU/ICON+/2023_x0009_"/>
    <n v="4500021085"/>
    <s v="Fajar Paramita"/>
    <s v="Gite / Iffa (Finance"/>
    <s v="0856-1160-826 / 0856-8737-200"/>
    <m/>
    <m/>
    <m/>
    <m/>
    <m/>
    <m/>
    <s v="G165"/>
    <m/>
    <s v="Sewa Cross Connect sebesar 12.000.000"/>
  </r>
  <r>
    <n v="1362"/>
    <x v="416"/>
    <x v="831"/>
    <s v="Wisma 46 Kota BNI Lt. 5, Jl. Jend. Sudirman, Tanah Abang, Kota Jak Pusat, Daerah Khusus Ibukota Jak 10250, Indonesia"/>
    <m/>
    <s v="CGV NTT Data Center Jl. Kuningan Barat Raya No.8, RT.6/RW.3, Kuningan Bar., Kec. Mampang Prpt., Kota Jakarta Selatan, Daerah Khusus Ibukota Jakarta 12710"/>
    <s v="Sewa Tahunan"/>
    <x v="2"/>
    <x v="890"/>
    <m/>
    <m/>
    <m/>
    <m/>
    <m/>
    <x v="2"/>
    <m/>
    <m/>
    <x v="16"/>
    <m/>
    <x v="883"/>
    <d v="2024-01-18T00:00:00"/>
    <x v="2"/>
    <m/>
    <d v="2024-09-06T00:00:00"/>
    <n v="-232"/>
    <x v="11"/>
    <x v="1"/>
    <s v="baru"/>
    <s v="21065/SPP/008/PUSAT/ICON+/2023"/>
    <n v="4500019937"/>
    <s v="Fajar Paramita"/>
    <s v="Gite / Iffa (Finance"/>
    <s v="0856-1160-826 / 0856-8737-200"/>
    <m/>
    <m/>
    <m/>
    <m/>
    <m/>
    <m/>
    <s v="G20"/>
    <m/>
    <m/>
  </r>
  <r>
    <n v="1363"/>
    <x v="416"/>
    <x v="832"/>
    <s v="Wisma 46 Kota BNI Lt. 5, Jl. Jend. Sudirman, Tanah Abang, Kota Jak Pusat, Daerah Khusus Ibukota Jak 10250, Indonesia"/>
    <m/>
    <s v="NTT Data Center, Cyber 3. Jl. Kuningan Barat Raya No.8, RT.6/RW.3, Kuningan Bar., Kec. Mampang Prpt., Kota Jakarta Selatan, Daerah Khusus Ibukota Jakarta 12710"/>
    <s v="Sewa Tahunan"/>
    <x v="2"/>
    <x v="891"/>
    <m/>
    <m/>
    <m/>
    <m/>
    <m/>
    <x v="112"/>
    <m/>
    <m/>
    <x v="16"/>
    <m/>
    <x v="763"/>
    <d v="2024-08-07T00:00:00"/>
    <x v="2"/>
    <m/>
    <d v="2024-09-06T00:00:00"/>
    <n v="-30"/>
    <x v="12"/>
    <x v="1"/>
    <s v="baru"/>
    <s v="1021/SPP/SBU/ICON+/2023"/>
    <n v="45000210472"/>
    <s v="Fajar Paramita"/>
    <s v="Gite / Iffa (Finance"/>
    <s v="0856-1160-826 / 0856-8737-200"/>
    <m/>
    <m/>
    <m/>
    <m/>
    <m/>
    <m/>
    <s v="G160"/>
    <m/>
    <s v="Sewa Cross Connect sebesar 12.000.000"/>
  </r>
  <r>
    <n v="1364"/>
    <x v="416"/>
    <x v="775"/>
    <s v="Wisma 46 Kota BNI Lt. 5, Jl. Jend. Sudirman, Tanah Abang, Kota Jak Pusat, Daerah Khusus Ibukota Jak 10250, Indonesia"/>
    <s v="-"/>
    <s v="Wisma BNI 46"/>
    <s v="Sewa Tahunan"/>
    <x v="2"/>
    <x v="57"/>
    <m/>
    <m/>
    <m/>
    <m/>
    <m/>
    <x v="420"/>
    <m/>
    <m/>
    <x v="16"/>
    <m/>
    <x v="884"/>
    <d v="2023-12-30T00:00:00"/>
    <x v="0"/>
    <m/>
    <d v="2024-09-06T00:00:00"/>
    <n v="-251"/>
    <x v="5"/>
    <x v="6"/>
    <s v="baru"/>
    <s v="20917/SPP/SBU/ICON+/2022"/>
    <n v="4500019806"/>
    <s v="Fajar Paramita"/>
    <s v="Gite / Iffa (Finance"/>
    <s v="0856-1160-826 / 0856-8737-200"/>
    <m/>
    <m/>
    <m/>
    <m/>
    <m/>
    <s v="F452"/>
    <m/>
    <m/>
    <m/>
  </r>
  <r>
    <n v="1365"/>
    <x v="417"/>
    <x v="833"/>
    <s v="Jl.Kebagusan 1 No.6 Jakarta Selatan "/>
    <m/>
    <s v="MPOE room 6th floor _x000a_Jl. TB Simatupang Kav 53 A _x000a_Building Plaza Oleos"/>
    <s v="Sewa Tahunan"/>
    <x v="2"/>
    <x v="521"/>
    <m/>
    <m/>
    <m/>
    <m/>
    <m/>
    <x v="268"/>
    <m/>
    <m/>
    <x v="51"/>
    <m/>
    <x v="439"/>
    <d v="2023-02-28T00:00:00"/>
    <x v="1"/>
    <m/>
    <d v="2024-09-06T00:00:00"/>
    <n v="-556"/>
    <x v="9"/>
    <x v="6"/>
    <s v="baru"/>
    <s v="18070/SPP/008/PUSAT/ICON+/2022"/>
    <n v="4500018001"/>
    <s v="Fajar Paramita"/>
    <m/>
    <m/>
    <m/>
    <m/>
    <m/>
    <m/>
    <m/>
    <s v="F46"/>
    <m/>
    <m/>
    <s v="Berubah Skema menjadi Revenue Sharing"/>
  </r>
  <r>
    <n v="1366"/>
    <x v="418"/>
    <x v="256"/>
    <s v="Wisma Millenia Jakarta Jl. MT. Haryono kav. 16 Jakarta Selatan 12810"/>
    <s v="-"/>
    <s v="Gedung Wisma Milenia_x000a_ (Shaft Lt. Basement 1 B1 s/d Lt.4 Gedung Wisma Millenia)"/>
    <s v="Sewa Tahunan"/>
    <x v="1"/>
    <x v="154"/>
    <m/>
    <m/>
    <m/>
    <m/>
    <m/>
    <x v="421"/>
    <m/>
    <m/>
    <x v="422"/>
    <m/>
    <x v="885"/>
    <d v="2025-02-02T00:00:00"/>
    <x v="2"/>
    <m/>
    <d v="2024-09-06T00:00:00"/>
    <n v="149"/>
    <x v="9"/>
    <x v="3"/>
    <s v="Addendum V _x000a_ No.002/OP-ICON/BM-WM/II/2017_x000a_ No. 02131/ADD.V/061/ICON+/2017 4500011140 | 08293/SPP/008/PUSAT/ICON+/2018 | 4500011315 | 09863/SPP/008/PUSAT/ICON+/2018 | 4500012321 | 12625/SPP/008/PUSAT/ICON+/2020+L688 | 4500014005| 15167/SPP/008/PUSAT/ICON+/2021| 4500015839| 17654/SPP/008/PUSAT/ICON+/2022 | 17654/SPP/008/PUSAT/ICON+/2022 | 4500017749 | 20774 | 4500019869"/>
    <n v="2586"/>
    <n v="4500022250"/>
    <s v="Fajar Paramita"/>
    <s v="Ida"/>
    <s v="0812 8129 3919"/>
    <s v="-"/>
    <s v="B64"/>
    <s v="B287"/>
    <s v="D38"/>
    <s v="E49"/>
    <s v="F144"/>
    <s v="G14"/>
    <s v="H71"/>
    <s v="-"/>
  </r>
  <r>
    <n v="1367"/>
    <x v="419"/>
    <x v="418"/>
    <s v="GD Multivision Tower Lt Basement 1 Jakarta Selatan"/>
    <m/>
    <s v="Jl Kuningan Mulia Lot 9B – Kuningan Jakarta Selatan 12980"/>
    <s v="Sewa Tahunan"/>
    <x v="1"/>
    <x v="892"/>
    <m/>
    <m/>
    <m/>
    <m/>
    <m/>
    <x v="422"/>
    <m/>
    <m/>
    <x v="258"/>
    <m/>
    <x v="504"/>
    <d v="2023-12-31T00:00:00"/>
    <x v="1"/>
    <m/>
    <d v="2024-09-06T00:00:00"/>
    <n v="-250"/>
    <x v="5"/>
    <x v="6"/>
    <s v="09907/SPP/008/PUSAT/ICON+/2018 | 4500012331 | 12452/SPP/008/PUSAT/ICON+/2019 | 4500013905 | 14934/SPP/008/PUSAT/ICON+/2020| 4500015687 | 17487/SPP/008/PUSAT/ICON+/2021 | 4500017871"/>
    <s v="20894/SPP/008/PUSAT/ICON+/2022"/>
    <n v="4500021435"/>
    <s v="Fajar Paramita"/>
    <m/>
    <m/>
    <m/>
    <s v="B264"/>
    <m/>
    <m/>
    <s v="E292"/>
    <s v="F122"/>
    <s v="G320"/>
    <m/>
    <m/>
  </r>
  <r>
    <n v="1368"/>
    <x v="420"/>
    <x v="834"/>
    <s v="Jl.MH Thamrin 81 Menteng Jakarta Pusat 10310"/>
    <m/>
    <s v="The City Tower JL MH Thamrin no 81 Menteng Jakarta Pusat"/>
    <s v="Sewa Tahunan"/>
    <x v="1"/>
    <x v="43"/>
    <m/>
    <m/>
    <m/>
    <m/>
    <m/>
    <x v="33"/>
    <m/>
    <m/>
    <x v="27"/>
    <m/>
    <x v="611"/>
    <d v="2021-01-31T00:00:00"/>
    <x v="1"/>
    <m/>
    <d v="2024-09-06T00:00:00"/>
    <n v="-1314"/>
    <x v="11"/>
    <x v="4"/>
    <s v="09257/SPP/008/PUSAT/ICON+/2018 | 4500011864"/>
    <s v="12593/SPP/008/PUSAT/ICON+/2020"/>
    <n v="4500013954"/>
    <s v="Fajar Paramita"/>
    <m/>
    <m/>
    <m/>
    <m/>
    <m/>
    <s v="D83"/>
    <m/>
    <m/>
    <m/>
    <m/>
    <m/>
  </r>
  <r>
    <n v="1369"/>
    <x v="421"/>
    <x v="835"/>
    <s v="Patra Jasa Office Tower Jl. Gatot Subroto kav.32-34_x000a_ 12950 Jakarta"/>
    <m/>
    <s v="Patra Jasa Office Tower"/>
    <s v="Sewa Tahunan"/>
    <x v="1"/>
    <x v="893"/>
    <m/>
    <m/>
    <m/>
    <m/>
    <m/>
    <x v="423"/>
    <m/>
    <m/>
    <x v="423"/>
    <m/>
    <x v="886"/>
    <d v="2021-09-20T00:00:00"/>
    <x v="0"/>
    <m/>
    <d v="2024-09-06T00:00:00"/>
    <n v="-1082"/>
    <x v="7"/>
    <x v="4"/>
    <s v="4500009895_x000a_ AMD.1/PSM.2931/PJOT/2016 | 07459/SPP/008/PUSAT/ICON+/2017 | 4500010926 | 10600/SPP/008/PUSAT/ICON+/2019 | 4500012673 | 11766/SPP/008/PUSAT/ICON+/2019 | 4500013494"/>
    <s v="14276/SPP/008/PUSAT/ICON+/2020"/>
    <s v="4500015124"/>
    <s v="Fajar Paramita"/>
    <s v="Agustina"/>
    <s v="021-5217427"/>
    <m/>
    <n v="76"/>
    <s v="C72/C294"/>
    <s v="D294"/>
    <m/>
    <m/>
    <m/>
    <m/>
    <m/>
  </r>
  <r>
    <n v="1370"/>
    <x v="422"/>
    <x v="836"/>
    <s v="Jl. Taman Patra Raya No. 2_x000a_ Jakarta 12950"/>
    <m/>
    <s v="Dari Jl. Taman Patra II, Jl. Taman Patra IV, Jl. Taman patra X, Jl. Taman Patra Kuningan , Jl. Dukuh Patra I sampai dengan Jl. Raya Mandala IV, Pertamina Oil Village"/>
    <s v="Sewa Tahunan"/>
    <x v="1"/>
    <x v="894"/>
    <m/>
    <m/>
    <m/>
    <m/>
    <m/>
    <x v="424"/>
    <m/>
    <m/>
    <x v="127"/>
    <m/>
    <x v="887"/>
    <d v="2023-08-22T00:00:00"/>
    <x v="0"/>
    <m/>
    <d v="2024-09-06T00:00:00"/>
    <n v="-381"/>
    <x v="12"/>
    <x v="6"/>
    <s v="450008676 | 07501/SPP/008/PUSAT/ICON+/2017 | 4500010867 | 11307/SPP/008/PUSAT/ICON+/2019 | 4500013359"/>
    <s v="16550/SPP/008/PUSAT/ICON+/2021"/>
    <n v="4500020397"/>
    <s v="Fajar Paramita"/>
    <s v="Ririn"/>
    <s v="021-8280463"/>
    <n v="142"/>
    <m/>
    <s v="C145"/>
    <m/>
    <m/>
    <m/>
    <m/>
    <m/>
    <m/>
  </r>
  <r>
    <n v="1371"/>
    <x v="422"/>
    <x v="643"/>
    <s v="Jl. Taman Patra Raya No. 2_x000a_ Jakarta 12950"/>
    <s v="-"/>
    <s v="7010 KCP Gd. Patrajasa, Jl.Jend.Gatot Subroto Kav.32-34 Jaksel,  -,  -,  -,  Indonesia,  -"/>
    <s v="Sewa Tahunan"/>
    <x v="1"/>
    <x v="895"/>
    <m/>
    <m/>
    <m/>
    <m/>
    <m/>
    <x v="252"/>
    <m/>
    <m/>
    <x v="424"/>
    <m/>
    <x v="601"/>
    <d v="2024-08-31T00:00:00"/>
    <x v="2"/>
    <m/>
    <d v="2024-09-06T00:00:00"/>
    <n v="-6"/>
    <x v="12"/>
    <x v="1"/>
    <s v="baru"/>
    <n v="1090"/>
    <n v="4500021935"/>
    <s v="Fajar Paramita"/>
    <m/>
    <m/>
    <m/>
    <m/>
    <m/>
    <m/>
    <m/>
    <m/>
    <s v="G200"/>
    <m/>
    <m/>
  </r>
  <r>
    <n v="1372"/>
    <x v="423"/>
    <x v="157"/>
    <s v="Jl. Taman Patra Raya No. 2_x000a_ Jakarta 12950"/>
    <m/>
    <s v="Dari Jl. Mandala Raya menuju Jl. Patra Kuningan 7 Jakarta"/>
    <s v="Sewa Tahunan"/>
    <x v="1"/>
    <x v="896"/>
    <m/>
    <m/>
    <m/>
    <m/>
    <m/>
    <x v="41"/>
    <m/>
    <m/>
    <x v="87"/>
    <m/>
    <x v="147"/>
    <d v="2021-06-14T00:00:00"/>
    <x v="0"/>
    <m/>
    <d v="2024-09-06T00:00:00"/>
    <n v="-1180"/>
    <x v="3"/>
    <x v="4"/>
    <s v="4500008493_x000a_ 060437/MI/004/PUSAT/ICON+/2015 | 06894/SPP/008/PUSAT/ICON+/2017 | 4500010812 | 10975/SPP/008/PUSAT/ICON+/2019 | 4500013358"/>
    <s v="13678/SPP/008/PUSAT/ICON+/2020"/>
    <n v="4500014747"/>
    <s v="Fajar Paramita"/>
    <s v="Ririn"/>
    <s v="021-8280463"/>
    <m/>
    <m/>
    <s v="C244"/>
    <s v="D212"/>
    <m/>
    <m/>
    <m/>
    <m/>
    <s v="Jaminan Rp10.000.000,-"/>
  </r>
  <r>
    <n v="1373"/>
    <x v="424"/>
    <x v="837"/>
    <s v="Jalan Kuningan Barat No.8 Cyber 1nd &amp; 2 nd jakarta selatam 12711"/>
    <s v="-"/>
    <s v="(ATM BRIS Kedaung) Indomaret Kedaung Barat 15 Jl. Raya Gatot Soebroto, Kedaung Barat, Kota Tangerang, Banten"/>
    <s v="Sewa Tahunan"/>
    <x v="2"/>
    <x v="102"/>
    <m/>
    <m/>
    <m/>
    <m/>
    <m/>
    <x v="48"/>
    <m/>
    <m/>
    <x v="16"/>
    <m/>
    <x v="98"/>
    <d v="2021-05-18T00:00:00"/>
    <x v="0"/>
    <m/>
    <d v="2024-09-06T00:00:00"/>
    <n v="-1207"/>
    <x v="4"/>
    <x v="4"/>
    <s v="baru"/>
    <s v="14173/SPP/008/PUSAT/ICON+/2020"/>
    <n v="4500015139"/>
    <s v="Fajar Paramita"/>
    <m/>
    <m/>
    <m/>
    <m/>
    <m/>
    <s v="D262"/>
    <m/>
    <m/>
    <m/>
    <m/>
    <s v="Biaya Instalasi PC24 Rp.2.000.000"/>
  </r>
  <r>
    <n v="1374"/>
    <x v="425"/>
    <x v="838"/>
    <s v="Komplek Nilai Alam Ruko 1 KM 18 "/>
    <s v="-"/>
    <s v="(DC ATRIA) Jl. Raya Daan Mogot No.37, RT.11/RW.3, Cengkareng Tim."/>
    <s v="Sewa Tahunan"/>
    <x v="2"/>
    <x v="897"/>
    <m/>
    <m/>
    <m/>
    <m/>
    <m/>
    <x v="59"/>
    <m/>
    <m/>
    <x v="184"/>
    <m/>
    <x v="857"/>
    <d v="2025-01-22T00:00:00"/>
    <x v="2"/>
    <m/>
    <d v="2024-09-06T00:00:00"/>
    <n v="138"/>
    <x v="11"/>
    <x v="3"/>
    <n v="20816"/>
    <s v="2587 | 4500019677"/>
    <n v="4500022249"/>
    <s v="Fajar Paramita"/>
    <m/>
    <m/>
    <m/>
    <m/>
    <m/>
    <m/>
    <m/>
    <m/>
    <s v="G43"/>
    <s v="H67"/>
    <s v="Biaya OTC Rp.2.500.000 "/>
  </r>
  <r>
    <n v="1375"/>
    <x v="425"/>
    <x v="839"/>
    <s v="Komplek Nilai Alam Ruko 1 KM 19"/>
    <s v="-"/>
    <s v="DC ATRIA JL. RAYA DAAN MOGOT NO.37, RT.11/RW.3, CENGKARENG TIM., KECAMATAN CENGKARENG"/>
    <s v="Sewa Tahunan"/>
    <x v="2"/>
    <x v="898"/>
    <m/>
    <m/>
    <m/>
    <m/>
    <m/>
    <x v="10"/>
    <m/>
    <m/>
    <x v="78"/>
    <m/>
    <x v="888"/>
    <d v="2024-06-07T00:00:00"/>
    <x v="0"/>
    <m/>
    <d v="2024-09-06T00:00:00"/>
    <n v="-91"/>
    <x v="3"/>
    <x v="1"/>
    <s v="baru"/>
    <s v="465/SPP/SBU/ICON+/2023        "/>
    <n v="4500020634"/>
    <s v="Fajar Paramita"/>
    <m/>
    <m/>
    <m/>
    <m/>
    <m/>
    <m/>
    <m/>
    <m/>
    <s v="G113"/>
    <m/>
    <s v="MRC Cross Connect Services to MMR (UTP/FO)  Rp.12.000.000 | NRC Cross Connect Services to MMR (UTP/FO)  Rp.2.000.000"/>
  </r>
  <r>
    <n v="1376"/>
    <x v="426"/>
    <x v="463"/>
    <s v="Perumda Pasar Jaya Jatinegara"/>
    <m/>
    <s v="Bank Mandiri Jakarta Pasar Jatinegara Pasar Jatinegara Blok A Lantai 3 Los AKS No. 012,  Jatinegara,  Jakarta Timur,  DKI Jakarta,  Indonesia,"/>
    <s v="Sewa Tahunan"/>
    <x v="1"/>
    <x v="899"/>
    <m/>
    <m/>
    <m/>
    <m/>
    <m/>
    <x v="425"/>
    <m/>
    <m/>
    <x v="63"/>
    <m/>
    <x v="889"/>
    <d v="2025-05-21T00:00:00"/>
    <x v="2"/>
    <m/>
    <d v="2024-09-06T00:00:00"/>
    <n v="257"/>
    <x v="4"/>
    <x v="3"/>
    <s v="482/SPP/SBU/ICON+/2023 | 4500022709"/>
    <s v="3757/SPP/SBU/PLNICONPLUS/2024"/>
    <n v="4500022999"/>
    <s v="Livia Indraswati"/>
    <m/>
    <m/>
    <m/>
    <m/>
    <m/>
    <m/>
    <m/>
    <m/>
    <s v="G117"/>
    <s v="H174"/>
    <s v="1.Biaya Sewa Lahan Rp.15.000.000"/>
  </r>
  <r>
    <n v="1377"/>
    <x v="427"/>
    <x v="840"/>
    <s v="Jl. Raya Pelabuhan No. 9 Tanjung Priok Jakarta"/>
    <s v="PT. TMMIN, Jl. Laksda Yos Sudarso Sunter II Jakarta Utara (Existing),- ,- ,- ,Indonesia ,- "/>
    <s v="Gedung/Yard TFLI Export Cargo lt.1, Jl. Sindang Laut Cilincing Jakarta Utara,- ,- ,- ,Indonesia ,- "/>
    <s v="Sewa Tahunan"/>
    <x v="1"/>
    <x v="900"/>
    <m/>
    <m/>
    <m/>
    <m/>
    <m/>
    <x v="2"/>
    <m/>
    <m/>
    <x v="425"/>
    <m/>
    <x v="601"/>
    <d v="2024-08-31T00:00:00"/>
    <x v="2"/>
    <m/>
    <d v="2024-09-06T00:00:00"/>
    <n v="-6"/>
    <x v="12"/>
    <x v="1"/>
    <s v="4500009513 |4500010628 |07874/SPP/008/PUSAT/ICON+/2017 |4500011725 | 09123/SPP/008/PUSAT/ICON+/2018 | 4500011818 | 11182/SPP/008/PUSAT/ICON+/2019 | 4500013235| 13865/SPP/008/PUSAT/ICON+/2020| 4500014841 | 19116/SPP/008/PUSAT/ICON+/2022 | 4500019109"/>
    <n v="1907"/>
    <n v="4500022454"/>
    <s v="Fajar Paramita"/>
    <s v="Bakhus Salihin"/>
    <s v="021-4301080"/>
    <s v="B194"/>
    <s v="B177"/>
    <s v="C182"/>
    <s v="D279"/>
    <m/>
    <s v="F56"/>
    <s v="G125"/>
    <m/>
    <s v="1.Sewa lahan Rp261.375/meter/tahun_x000a_ 2.Biaya administrasi 1,5% dari biaya sewa lahan_x000a_ 3.Biaya Supervisi Rp10.000.000_x000a_ 4.Jaminan Pekerjaan Rp15.000.000,-"/>
  </r>
  <r>
    <n v="1378"/>
    <x v="427"/>
    <x v="841"/>
    <s v="Jl. Raya Pelabuhan No. 1 Ciwandan Cilegon 42166"/>
    <m/>
    <s v="Pelabuhan Banten Jl. Raya Pelabuhan No. 1 Lahan Pelindo II Cabang Banten Desa Kepuh Kec. Ciwandan Cilegon Banten 42166 (PT Taruna Bina Sarana)"/>
    <s v="Sewa Tahunan"/>
    <x v="1"/>
    <x v="901"/>
    <m/>
    <m/>
    <m/>
    <m/>
    <m/>
    <x v="59"/>
    <m/>
    <m/>
    <x v="426"/>
    <m/>
    <x v="587"/>
    <d v="2024-12-31T00:00:00"/>
    <x v="2"/>
    <m/>
    <d v="2024-09-06T00:00:00"/>
    <n v="116"/>
    <x v="5"/>
    <x v="1"/>
    <s v="TS.140/17/II/I/C.Btn.15 | 01274/SPR/008/PUSAT/ICON+/2016 | &quot;216/SPP/SBU/ICON+/2023 | 4500021612_x000a_ HK.56/27/1/1/C.Btn-16 06644/SPP/008/PUSAT/ICON+/2017 07766/SPP/008/PUSAT/ICON+/2017 4500010290 | 09697/SPP/008/PUSAT/ICON+/2018 | 4500012197 4500011047|09697/SPP/008/PUSAT/ICON+/2018|4500012197 | 12200/SPP/008/PUSAT/ICON+/2019 | 4500013839+L687 | 14936/SPP/008/PUSAT/ICON+/2020 | 4500016051| 14936/SPP/008/PUSAT/ICON+/2020|4500016051 | 17565/SPP/008/PUSAT/ICON+/2021 | 4500017793"/>
    <s v="2975/SPP/SBU/ICON+/2024"/>
    <n v="4500022713"/>
    <s v="Fajar Paramita"/>
    <s v="Zahara"/>
    <s v="0254-601417"/>
    <s v="-"/>
    <n v="170"/>
    <s v="B270"/>
    <s v="D85"/>
    <s v="E47"/>
    <s v="F56"/>
    <s v="G184"/>
    <s v="H318"/>
    <s v="1. Biaya Sewa Rp85.000/m2 total untuk 80,6 m2 Rp6.851.000,-/tahun_x000a_ 2. Biaya Administrasi Rp200.000,-"/>
  </r>
  <r>
    <n v="1379"/>
    <x v="428"/>
    <x v="842"/>
    <s v="Jl. Ketintang Baru 11 Surabaya 60231"/>
    <m/>
    <s v="PT Pembangkitan Jawa Bali unit Pembangkitan Muara Karang"/>
    <s v="Sewa Tahunan"/>
    <x v="1"/>
    <x v="902"/>
    <m/>
    <m/>
    <m/>
    <m/>
    <m/>
    <x v="426"/>
    <m/>
    <m/>
    <x v="427"/>
    <m/>
    <x v="890"/>
    <d v="2021-10-21T00:00:00"/>
    <x v="1"/>
    <m/>
    <d v="2024-09-06T00:00:00"/>
    <n v="-1051"/>
    <x v="6"/>
    <x v="4"/>
    <s v="6021016/ICON+/2016 | 11822/SPP/008/PUSAT/ICON+/2019 | 4500013506"/>
    <s v="14483/SPP/008/PUSAT/ICON+/2020"/>
    <n v="4500015362"/>
    <s v="Fajar Paramita"/>
    <s v="Farida"/>
    <s v="0857-2923-0935"/>
    <m/>
    <m/>
    <s v="C299"/>
    <s v="D383"/>
    <m/>
    <m/>
    <m/>
    <m/>
    <s v="sewa lahan untuk shelter/server room dengan ukuran 5m x 8 m =_x000a_ 40m2 dengan rincian :_x000a_ 3,3% x (luas Tanah x Nilai Tanah)"/>
  </r>
  <r>
    <n v="1380"/>
    <x v="429"/>
    <x v="843"/>
    <s v="Menara Batavia Lt. Basement 2 Jl. KH. Mas Mansyur Kav. 126 Jakarta 10220"/>
    <s v="-"/>
    <s v="Menara Batavia 3rd floor Jl. KH Mas Mansyur Kav. 126 Jakarta (Bank BTPN dan PT Global Digital Niaga)- Bank Mega"/>
    <s v="Sewa Tahunan"/>
    <x v="1"/>
    <x v="903"/>
    <m/>
    <m/>
    <m/>
    <m/>
    <m/>
    <x v="427"/>
    <m/>
    <m/>
    <x v="428"/>
    <m/>
    <x v="587"/>
    <d v="2024-12-31T00:00:00"/>
    <x v="2"/>
    <m/>
    <d v="2024-09-06T00:00:00"/>
    <n v="116"/>
    <x v="5"/>
    <x v="1"/>
    <s v="3041216/SPR/ICON+/2016 | 08885/SPP/008/PUSAT/ICON+/2018 | 4500011701 | 4500015430 | 4500015688 | 09716/SPP/008/PUSAT/ICON+/2018 | 09716/SPP/008/PUSAT/ICON+/2018 | 4500019942 | 1422 | 4500021415"/>
    <n v="2669"/>
    <n v="4500022312"/>
    <s v="Fajar Paramita"/>
    <s v="Arief N (Building Manager)"/>
    <s v="021-5745060"/>
    <m/>
    <m/>
    <m/>
    <m/>
    <m/>
    <s v="G196"/>
    <s v="G362"/>
    <s v="H83"/>
    <s v="-"/>
  </r>
  <r>
    <n v="1381"/>
    <x v="10"/>
    <x v="844"/>
    <s v="Menara Kadin Jl. HR Rasuna Said Blok X-5 Kav. 2-3 Kuningan Jakarta Selatan 12950"/>
    <m/>
    <s v="Menara Kadin Jl. HR Rasuna Said Blok X-5 Kav. 2-3 Kuningan Jakarta Selatan 12950 (Bank Mega)"/>
    <s v="Sewa Tahunan"/>
    <x v="1"/>
    <x v="904"/>
    <m/>
    <m/>
    <m/>
    <m/>
    <m/>
    <x v="428"/>
    <m/>
    <m/>
    <x v="429"/>
    <m/>
    <x v="891"/>
    <d v="2025-04-04T00:00:00"/>
    <x v="2"/>
    <m/>
    <d v="2024-09-06T00:00:00"/>
    <n v="210"/>
    <x v="10"/>
    <x v="3"/>
    <s v="4500009382 |04131/AMDV/061/ICON+/2016 4500010345 |06595/SPP/008/PUSAT/ICON+/2017 | 08421/SPP/008/PUSAT/ICON+/2018 | 4500011376 | 450001268110474/SPP/008/PUSAT/ICON+/2019 | 12759/SPP/008/PUSAT/ICON+/2020 | 4500013982| 15591/SPP/008/PUSAT/ICON+/2021| 4500016070 | 18180/SPP/008/PUSAT/ICON+/2022 | 4500017867 I 100/SPP/SBU/ICON+/2023 I 4500020638"/>
    <s v="3368/SPP/SBU/ICON+/2023"/>
    <n v="4500023017"/>
    <s v="Fajar Paramita"/>
    <s v="Fitri"/>
    <s v="021-5274201"/>
    <n v="41"/>
    <s v="B72"/>
    <s v="C74"/>
    <s v="D37"/>
    <s v="E54"/>
    <s v="F133"/>
    <s v="G133"/>
    <s v="H245"/>
    <s v="1. Sewa Penempatan Perangkat (Colocation) Rp23.200.000,- update tahun 2016 turun menjadi Rp19.000.000,-/tahun_x000a_ 2. Biaya Supervisi Rp5.500.000,- update harga tahun 2015 naik menjadi Rp10.000.000,-/instalasi/One time charged update tahun 2016 turun menjadi Rp6.000.000,-_x000a_ 3. Biaya Instalasi baru Rp5.500.000/intalasi/One time charged_x000a_ 4. Jaminan pekerjaan Rp5.000.000,-"/>
  </r>
  <r>
    <n v="1382"/>
    <x v="430"/>
    <x v="845"/>
    <s v="Jl. H.R. Rasuna Said Blok X-5 Kav.1-2_x000a_ Jakarta 12950"/>
    <m/>
    <s v="Menara Karya lt 17 Jl HR Rasuna Said Kav 1-2 BI X-5 Kuningan Timur Setia Budi Jakarta"/>
    <s v="Sewa Tahunan"/>
    <x v="1"/>
    <x v="905"/>
    <m/>
    <m/>
    <m/>
    <m/>
    <m/>
    <x v="429"/>
    <m/>
    <m/>
    <x v="430"/>
    <m/>
    <x v="201"/>
    <d v="2022-03-31T00:00:00"/>
    <x v="0"/>
    <m/>
    <d v="2024-09-06T00:00:00"/>
    <n v="-890"/>
    <x v="8"/>
    <x v="2"/>
    <s v="dokumen pengadaan Bukit Asam : 4500009396 | 07681/SPP/008/PUSAT/ICON+/2017 | 4500011100_x000a_ 050303/MI/004/PUSAT/ICON+/2016_x000a_ Ref.PP/220/01/LA/PKS-01/IV-2016/ICON+ | Dokumen perpanjangan Bukit asam dan BRI Setelah digabung : 07681/SPP/008/PUSAT/ICON+/2017 4500011100 | 09735/SPP/008/PUSAT/ICON+/2018 | 4500012234 | 12187/SPP/008/PUSAT/ICON+/2019 | 4500013876|14848/SPP/008/PUSAT/ICON+/2020| 4500015689"/>
    <s v="17499/SPP/008/PUSAT/ICON+/2021"/>
    <n v="4500017515"/>
    <s v="Fajar Paramita"/>
    <s v="Debby"/>
    <s v="021-5794 4488"/>
    <s v="-"/>
    <s v="153 (2018)"/>
    <s v="B289 (2019)"/>
    <s v="D123"/>
    <s v="E75"/>
    <s v="F59"/>
    <m/>
    <m/>
    <s v="Biaya sewa sebesar 50.000.000/Tahun"/>
  </r>
  <r>
    <n v="1383"/>
    <x v="431"/>
    <x v="130"/>
    <s v="Gedung Plaza Asia Jl.Jend Sudirman kav 59 Jakarta 12190"/>
    <m/>
    <s v="Plaza Asia, lt.20, jl. Jendral Sudirman Kav.59, Senayan, kebayoran Baru.Jakarta Selatan 12190"/>
    <s v="Sewa Tahunan"/>
    <x v="1"/>
    <x v="906"/>
    <m/>
    <m/>
    <m/>
    <m/>
    <m/>
    <x v="164"/>
    <m/>
    <m/>
    <x v="70"/>
    <m/>
    <x v="256"/>
    <d v="2022-12-03T00:00:00"/>
    <x v="0"/>
    <m/>
    <d v="2024-09-06T00:00:00"/>
    <n v="-643"/>
    <x v="5"/>
    <x v="2"/>
    <s v="07928/SPP/008/PUSAT/ICON+/2018 4500011125 | 09741/SPP/008/PUSAT/ICON+/2018 | 4500012232 | 15663/SPP/008/PUSAT/ICON+/2021 | 14849/SPP/008/PUSAT/ICON+/2020"/>
    <s v="17306/SPP/008/PUSAT/ICON+/2021"/>
    <n v="4500017849"/>
    <s v="Fajar Paramita"/>
    <s v="Gita"/>
    <m/>
    <m/>
    <m/>
    <m/>
    <m/>
    <s v="E45"/>
    <s v="F208"/>
    <m/>
    <m/>
    <s v="1.Biaya sewa di Plaza Asia 15.000.000 2.PKB 13.300.622"/>
  </r>
  <r>
    <n v="1384"/>
    <x v="432"/>
    <x v="8"/>
    <s v="Jl. Prof. Dr. Satrio Jakarta 12940 Indonesia"/>
    <m/>
    <s v="ITC Kuningan Jl. Prof. Dr. Satrio Jakarta 12940 Indonesia (Basement 1 PT Trans Retail Indonesia/Carrefour)"/>
    <s v="Sewa Tahunan"/>
    <x v="1"/>
    <x v="907"/>
    <m/>
    <m/>
    <m/>
    <m/>
    <m/>
    <x v="35"/>
    <m/>
    <m/>
    <x v="204"/>
    <m/>
    <x v="691"/>
    <d v="2023-10-20T00:00:00"/>
    <x v="1"/>
    <m/>
    <d v="2024-09-06T00:00:00"/>
    <n v="-322"/>
    <x v="6"/>
    <x v="6"/>
    <s v="4500009874 | 07339/SPP/008/PUSAT/ICON+/2017 | 4500010735 | 09004/SPP/008/PUSAT/ICON+/2018 | 4500011745 | 11534/SPP/008/PUSAT/ICON+/2019 |  4500013217 | 14171/SPP/008/PUSAT/ICON+/2020 | 4500015143"/>
    <s v="19779/SPP/008/PUSAT/ICON+/2022"/>
    <s v="4500019069"/>
    <s v="Fajar Paramita"/>
    <s v="Nova"/>
    <s v="021-5766688 Ext. 134"/>
    <m/>
    <s v="C189"/>
    <s v="C178"/>
    <s v="D283"/>
    <m/>
    <s v="F355"/>
    <m/>
    <m/>
    <m/>
  </r>
  <r>
    <n v="1385"/>
    <x v="432"/>
    <x v="327"/>
    <s v="Jl. Prof. Dr. Satrio Jakarta 12940 Indonesia"/>
    <m/>
    <s v="Mall Ambasador Jl. Prof. Dr. Satrio Lt. 5 Blok 9C Setiabudi Jakarta Selatan (PT Bank Sinarmas SO No. ICON-00/ACT/1609/0269)"/>
    <s v="Sewa Tahunan"/>
    <x v="1"/>
    <x v="908"/>
    <m/>
    <m/>
    <m/>
    <m/>
    <m/>
    <x v="53"/>
    <m/>
    <m/>
    <x v="431"/>
    <m/>
    <x v="631"/>
    <d v="2025-02-12T00:00:00"/>
    <x v="2"/>
    <m/>
    <d v="2024-09-06T00:00:00"/>
    <n v="159"/>
    <x v="9"/>
    <x v="3"/>
    <s v="012719/MI/004/PUSAT/ICON+/2017 07840/SPP/008/PUSAT/ICON+/2017 4500011111_x000a_ 2970117/SPR/ICON+/2017_x000a_ 013116/MI/004/PUSAT/ICON+/2017 | 10018/SPP/008/PUSAT/ICON+/2019 | 4500012434_x000a_ 003 / PM - AB/ II / 2017 | 12568/SPP/008/PUSAT/ICON+/2020 | 4500013901| 15225/SPP/008/PUSAT/ICON+/2021| 4500015748 | 17860/SPP/008/PUSAT/ICON+/2022 | 4500017625 | 21209 | 4500020094"/>
    <s v="2523"/>
    <s v="4500022206"/>
    <s v="Fajar Paramita"/>
    <s v="Rosida"/>
    <s v="021-5766688 Ext. 134"/>
    <n v="89"/>
    <s v="B189"/>
    <s v="C18"/>
    <s v="D36"/>
    <s v="E212"/>
    <s v="F57"/>
    <s v="G61"/>
    <s v="H105"/>
    <m/>
  </r>
  <r>
    <n v="1386"/>
    <x v="433"/>
    <x v="30"/>
    <s v="Jl. Margonda Raya No. 56 Pancoran Mas Depok 16431"/>
    <s v="DC Menara Bank Mega &amp; DRC Bank Mega Bogor"/>
    <s v="ITC Depok Jl. Margonda Raya No. 56 Depok 16431"/>
    <s v="Sewa Tahunan"/>
    <x v="1"/>
    <x v="31"/>
    <m/>
    <m/>
    <m/>
    <m/>
    <m/>
    <x v="1"/>
    <m/>
    <m/>
    <x v="432"/>
    <m/>
    <x v="892"/>
    <d v="2025-01-07T00:00:00"/>
    <x v="2"/>
    <m/>
    <d v="2024-09-06T00:00:00"/>
    <n v="123"/>
    <x v="11"/>
    <x v="3"/>
    <s v="07672/SPP/008/PUSAT/ICON+/2017 | 4500010975 | 09467/SPP/008/PUSAT/ICON+/2018 | 4500012015 | 12455/SPP/008/PUSAT/ICON+/2019 | 4500013766 | 15091/SPP/008/PUSAT/ICON+/2021 | 4500015663 | 4500017487 | 20991 | 4500019867"/>
    <n v="2466"/>
    <n v="4500022236"/>
    <s v="Fajar Paramita"/>
    <s v="Tyaz Dewi"/>
    <s v="021-7775333"/>
    <s v="-"/>
    <n v="140"/>
    <s v="B276"/>
    <s v="D21"/>
    <s v="E124"/>
    <s v="F21"/>
    <s v="G34"/>
    <s v="H61"/>
    <s v="deposite sewa sebesar 1.000.000"/>
  </r>
  <r>
    <n v="1387"/>
    <x v="433"/>
    <x v="8"/>
    <s v="Jl. Margonda Raya No. 56 Pancoran Mas Depok 16431"/>
    <m/>
    <s v="ITC Depok Jl. Margonda Raya No. 56 Pancoran Mas Depok 16431 (dr ruko ke PT Trans Retail Indonesia/Carrefour))"/>
    <s v="Sewa Tahunan"/>
    <x v="1"/>
    <x v="149"/>
    <m/>
    <m/>
    <m/>
    <m/>
    <m/>
    <x v="35"/>
    <m/>
    <m/>
    <x v="227"/>
    <m/>
    <x v="893"/>
    <d v="2023-09-11T00:00:00"/>
    <x v="1"/>
    <m/>
    <d v="2024-09-06T00:00:00"/>
    <n v="-361"/>
    <x v="7"/>
    <x v="6"/>
    <s v="4500009673 |Addendum Pertama No. 010-A/PKS/PZN-ICON/ITC-Depok/IX/2016 | 07229/SPP/008/PUSAT/ICON+/2017 |4500010670 | 08661/SPP/008/PUSAT/ICON+/2018 | 4500011540 |11337/SPP/008/PUSAT/ICON+/2019 | 4500013193 | 14001/SPP/008/PUSAT/ICON+/2020 | 4500014892| 16291/SPP/008/PUSAT/ICON+/2021 | 4500016497"/>
    <s v="19776/SPP/008/PUSAT/ICON+/2022"/>
    <n v="4500019049"/>
    <s v="Fajar Paramita"/>
    <s v="Tyaz Dewi"/>
    <s v="021-7775333"/>
    <n v="82"/>
    <s v="B100"/>
    <s v="C184"/>
    <s v="D182"/>
    <s v="E196"/>
    <s v="F356"/>
    <m/>
    <m/>
    <s v="1. Sewa Shaft Kabel Rp62.000/mtr_x000a_ 2. Jaminan Sewa Rp2.000.000_x000a_ 3. Jaminan Renovasi Rp1.500.000,-_x000a_ 4. Biaya Supervisi 3 hari Rp547.500"/>
  </r>
  <r>
    <n v="1388"/>
    <x v="433"/>
    <x v="846"/>
    <s v="Jl. Margonda Raya No. 56 Pancoran Mas Depok 16431"/>
    <m/>
    <s v="(OTO Depok) Ruko ITC Depok No. 40 &amp; 41, Jl. Margonda Raya"/>
    <s v="Sewa Tahunan"/>
    <x v="1"/>
    <x v="909"/>
    <m/>
    <m/>
    <m/>
    <m/>
    <m/>
    <x v="20"/>
    <m/>
    <m/>
    <x v="433"/>
    <m/>
    <x v="601"/>
    <d v="2024-08-31T00:00:00"/>
    <x v="2"/>
    <m/>
    <d v="2024-09-06T00:00:00"/>
    <n v="-6"/>
    <x v="12"/>
    <x v="1"/>
    <s v="baru"/>
    <s v="936/SPP/SBU/ICON+/2023"/>
    <n v="4500021037"/>
    <s v="Fajar Paramita"/>
    <s v="Tyaz Dewi"/>
    <s v="021-7775333"/>
    <m/>
    <m/>
    <m/>
    <m/>
    <m/>
    <m/>
    <s v="G156"/>
    <m/>
    <s v="1.Biaya Sewa @ 1 tahun  Rp.22.680.000"/>
  </r>
  <r>
    <n v="1389"/>
    <x v="433"/>
    <x v="847"/>
    <s v="Jl. Margonda Raya No. 56 Pancoran Mas Depok 16431"/>
    <m/>
    <s v="PERTOKOAN ITC DEPOK NO. 48 JL. MARGONDA RAYA NO. 56 DESA DEPOK KEC. PANCORAN MAS KAB. DEPOK JAWA BARAT."/>
    <s v="Sewa Tahunan"/>
    <x v="1"/>
    <x v="910"/>
    <m/>
    <m/>
    <m/>
    <m/>
    <m/>
    <x v="430"/>
    <m/>
    <m/>
    <x v="7"/>
    <m/>
    <x v="894"/>
    <d v="2024-11-19T00:00:00"/>
    <x v="2"/>
    <m/>
    <d v="2024-09-06T00:00:00"/>
    <n v="74"/>
    <x v="2"/>
    <x v="1"/>
    <s v="baru"/>
    <s v="1938/SPP/SBU/ICON+/2023"/>
    <n v="4500021656"/>
    <s v="Fajar Paramita"/>
    <s v="Tyaz Dewi"/>
    <s v="021-7775333"/>
    <m/>
    <m/>
    <m/>
    <m/>
    <m/>
    <m/>
    <s v="G301"/>
    <m/>
    <s v="1.Sewa Lahan Sebesar Rp.9.000.000"/>
  </r>
  <r>
    <n v="1390"/>
    <x v="216"/>
    <x v="30"/>
    <s v="Gedung Graha Atrium Lt.2 Jl. Senen Raya No. 35 Jakarta Pusat 10410"/>
    <m/>
    <s v="Lahan Segitiga Senen/Plaza Atrium/Ruko Atrium Jakarta Pusat Unit 0010-AT (Bank Mega Kompl. Pertokoan Segitiga Senen Blok C.8 Jl. Senen Raya No.135 Jakarta 10140)"/>
    <s v="Sewa Tahunan"/>
    <x v="1"/>
    <x v="911"/>
    <m/>
    <m/>
    <m/>
    <m/>
    <m/>
    <x v="43"/>
    <m/>
    <m/>
    <x v="176"/>
    <m/>
    <x v="895"/>
    <d v="2023-11-24T00:00:00"/>
    <x v="0"/>
    <m/>
    <d v="2024-09-06T00:00:00"/>
    <n v="-287"/>
    <x v="2"/>
    <x v="6"/>
    <s v="4500009709_x000a_ 092731/MI/004/PUSAT/ICON+/2016_x000a_ 0336/PAL/RK-PSM/IX/2016 07269/SPP/008/PUSAT/ICON+/2017 4500010694 | 08669/SPP/008/PUSAT/ICON+/2018 | 4500011543 | 11641/SPP/008/PUSAT/ICON+/2019 | 4500013291| 16791/SPP/008/PUSAT/ICON+/2021 | 4500017280"/>
    <s v="16791/SPP/008/PUSAT/ICON+/2021"/>
    <n v="4500018970"/>
    <s v="Fajar Paramita"/>
    <s v="Retta"/>
    <s v="3853985 ext.554"/>
    <n v="79"/>
    <s v="B85"/>
    <s v="C197"/>
    <m/>
    <s v="E414"/>
    <s v="F344"/>
    <m/>
    <m/>
    <s v="1. Sewa Pemasangan Jaringan Telekomunikasi - Kabel Fiber Optik Bank Mega Rp12.250.000/Tarikan Kabel/Tahun (update harga terbaru untuk tahun 2016 Rp15.600.000/tarikan kabel/ Tahun)_x000a_ 2.Biaya Supervisi Rp150.000/One Time Charged jika diluar jam kerja Rp300.000_x000a_ 3. Jaminan sewa senilai 3 bulan masa sewa_x000a_ 4. Jaminan Kerja Rp2.000.000,-"/>
  </r>
  <r>
    <n v="1391"/>
    <x v="216"/>
    <x v="210"/>
    <s v="Gedung Graha Atrium Lt.2 Jl. Senen Raya No. 35 Jakarta Pusat 10410"/>
    <m/>
    <s v="Lahan Segitiga Senen/Plaza Atrium/Ruko Atrium Jakarta Pusat-Area Luar Plaza Atrium Lt. Basement 1 Komplek Ruko Atrium Blok A dan C Menuju Ruko Atrium Blok E No. 12-13 Unit 0008-AT (Kantor BCA)"/>
    <s v="Sewa Tahunan"/>
    <x v="1"/>
    <x v="350"/>
    <m/>
    <m/>
    <m/>
    <m/>
    <m/>
    <x v="431"/>
    <m/>
    <m/>
    <x v="12"/>
    <m/>
    <x v="896"/>
    <d v="2024-03-24T00:00:00"/>
    <x v="2"/>
    <m/>
    <d v="2024-09-06T00:00:00"/>
    <n v="-166"/>
    <x v="8"/>
    <x v="1"/>
    <s v="4500009360_x000a_ 0635/PAL/PA-PSM/XI/15 | 06775/SPP/008/PUSAT/ICON+/2017_x000a_ 051920/MI/004/PUSAT/ICON+/2016 | 4500010412 | 09900/SPP/008/PUSAT/ICON+/2018 | 4500012326| 15160/SPP/008/PUSAT/ICON+/2021| 4500015760 | 18234/SPP/008/PUSAT/ICON+/2022 | 4500017899"/>
    <s v="21055/SPP/008/PUSAT/ICON+/2023"/>
    <n v="4500019961"/>
    <s v="Fajar Paramita"/>
    <s v="Retta"/>
    <s v="021-3853985 ext.554"/>
    <n v="40"/>
    <n v="159"/>
    <s v="B252"/>
    <m/>
    <s v="E215"/>
    <s v="F241"/>
    <s v="G48"/>
    <m/>
    <s v="1.Sewa Pemasangan Jaringan Telekomunikasi - Kabel Fiber Optik Bank Central Asia Rp13.000.000/Tarikan Kabel/Tahun_x000a_ 2. Biaya Supervisi Rp150.000/One Time Charged jika diluar jam kerja Rp300.000,-_x000a_ 3. Jaminan Sewa senilai 3 bulan masa sewa update tahun 2014 selain ada jaminan sewa terdapat pula jaminan kerja Rp2.000.000,-"/>
  </r>
  <r>
    <n v="1392"/>
    <x v="216"/>
    <x v="848"/>
    <s v="Gedung Graha Atrium Lt.2 Jl. Senen Raya No. 35 Jakarta Pusat 10410"/>
    <m/>
    <s v="PT Anugerah Pharmindo Lestari, Tower 10th Floor Cowell Tower, Jl. Senen Raya No.135, Senen, -, Jakarta Pusat, DKI Jakarta, Indonesia, 10410"/>
    <s v="Sewa Tahunan"/>
    <x v="1"/>
    <x v="912"/>
    <m/>
    <m/>
    <m/>
    <m/>
    <m/>
    <x v="432"/>
    <m/>
    <m/>
    <x v="167"/>
    <m/>
    <x v="897"/>
    <d v="2024-12-14T00:00:00"/>
    <x v="2"/>
    <m/>
    <d v="2024-09-06T00:00:00"/>
    <n v="99"/>
    <x v="5"/>
    <x v="1"/>
    <s v="baru"/>
    <s v="17160/SPP/008/PUSAT/ICON+/2021"/>
    <n v="4500017111"/>
    <s v="Fajar Paramita"/>
    <s v="Erika"/>
    <s v="021-3853985 ext.554"/>
    <m/>
    <m/>
    <m/>
    <m/>
    <s v="E337"/>
    <m/>
    <m/>
    <m/>
    <s v="1.Sewa Fiber optik tahun pertama dan kedua Rp.10.000.000,- | tahun ketiga Rp.13.000.000.-"/>
  </r>
  <r>
    <n v="1393"/>
    <x v="434"/>
    <x v="849"/>
    <s v="Jl Bandengan Utara No.79 "/>
    <m/>
    <s v="Jl Bandengan Utara Raya No. 79 Kel. Penjaringan Kec. Penjaringan Jakarta Utara."/>
    <s v="Sewa Tahunan"/>
    <x v="1"/>
    <x v="57"/>
    <m/>
    <m/>
    <m/>
    <m/>
    <m/>
    <x v="41"/>
    <m/>
    <m/>
    <x v="434"/>
    <m/>
    <x v="439"/>
    <d v="2027-02-28T00:00:00"/>
    <x v="2"/>
    <m/>
    <d v="2024-09-06T00:00:00"/>
    <n v="905"/>
    <x v="9"/>
    <x v="8"/>
    <s v="baru"/>
    <s v="18672/SPP/008/PUSAT/ICON+/2022"/>
    <n v="4500018120"/>
    <s v="Fajar Paramita"/>
    <m/>
    <m/>
    <m/>
    <m/>
    <m/>
    <m/>
    <m/>
    <s v="F167"/>
    <m/>
    <m/>
    <s v="1.Sewa Lahan Rp.75.590.640"/>
  </r>
  <r>
    <n v="1394"/>
    <x v="435"/>
    <x v="850"/>
    <s v="Jl.Sisingamangaraja No. 1"/>
    <m/>
    <s v="Jl Sisingamangaraja No. 1 Kel. Gunung, Kec. Kebayoran Baru, Jakarta Selatan."/>
    <s v="Sewa Tahunan"/>
    <x v="1"/>
    <x v="57"/>
    <m/>
    <m/>
    <m/>
    <m/>
    <m/>
    <x v="112"/>
    <m/>
    <m/>
    <x v="212"/>
    <m/>
    <x v="439"/>
    <d v="2027-02-28T00:00:00"/>
    <x v="2"/>
    <m/>
    <d v="2024-09-06T00:00:00"/>
    <n v="905"/>
    <x v="9"/>
    <x v="8"/>
    <s v="baru"/>
    <s v="18674/SPP/008/PUSAT/ICON+/2022"/>
    <n v="4500018121"/>
    <s v="Fajar Paramita"/>
    <m/>
    <m/>
    <m/>
    <m/>
    <m/>
    <m/>
    <m/>
    <s v="F168"/>
    <m/>
    <m/>
    <s v="1.Sewa Lahan Rp.93.555.000"/>
  </r>
  <r>
    <n v="1395"/>
    <x v="436"/>
    <x v="751"/>
    <s v="Jl. Pajajaran Lippo Cikarang Bekasi 17550"/>
    <m/>
    <s v="Apartemen Crown Court Lippo Cikarang"/>
    <s v="Sewa Tahunan"/>
    <x v="1"/>
    <x v="19"/>
    <m/>
    <m/>
    <m/>
    <m/>
    <m/>
    <x v="231"/>
    <m/>
    <m/>
    <x v="435"/>
    <m/>
    <x v="747"/>
    <d v="2024-09-30T00:00:00"/>
    <x v="2"/>
    <m/>
    <d v="2024-09-06T00:00:00"/>
    <n v="24"/>
    <x v="7"/>
    <x v="1"/>
    <s v="07371/SPP/008/PUSAT/ICON+/2017 4500010778 | 09082/SPP/008/PUSAT/ICON+/2018 | 4500011792 | 11769/SPP/008/PUSAT/ICON+/2019 | 4500013482 | 14093/SPP/008/PUSAT/ICON+/2020 | 4500015007| 16511/SPP/008/PUSAT/ICON+/2021|4500016708 | 19627/SPP/008/PUSAT/ICON+/2022 | 4500018953"/>
    <s v="1410/SPP/SBU/ICON+/2023"/>
    <n v="4500021457"/>
    <s v="Fajar Paramita"/>
    <m/>
    <m/>
    <n v="122"/>
    <s v="B176"/>
    <s v="C301"/>
    <s v="D196"/>
    <s v="E298"/>
    <s v="F342"/>
    <s v="G350"/>
    <m/>
    <s v="Sewa Penempatan perangkat sebesar Rp.25.080.000"/>
  </r>
  <r>
    <n v="1396"/>
    <x v="437"/>
    <x v="596"/>
    <s v="Gedung Pusat Grosir Pasar Pagi Mangga Dua Lt.7 Blok D Jl. Arteri Mangga Dua Raya Jakarta Utara 14430 Indonesia"/>
    <m/>
    <s v="Bank BCA lantai III blok D 004 dari lantai dasar gedung Pasar Pagi Mangga dua"/>
    <s v="Sewa Tahunan"/>
    <x v="1"/>
    <x v="74"/>
    <m/>
    <m/>
    <m/>
    <m/>
    <m/>
    <x v="433"/>
    <m/>
    <m/>
    <x v="52"/>
    <m/>
    <x v="465"/>
    <d v="2023-04-14T00:00:00"/>
    <x v="0"/>
    <m/>
    <d v="2024-09-06T00:00:00"/>
    <n v="-511"/>
    <x v="10"/>
    <x v="6"/>
    <s v="04279_MI_dan_033013_SPR_Pmbyrn_Sewa_Shaft_di_PT_Praja_Puri_Indah (4) |07870/SPP/008/PUSAT/ICON+/2017 | 4500011129|4500011395|08472/SPP/008/PUSAT/ICON+/2018 | 10109/SPP/008/PUSAT/ICON+/2019 | 4500012435 | 4500014887| 15563/SPP/008/PUSAT/ICON+/2021| 4500017357"/>
    <s v="18315/SPP/008/PUSAT/ICON+/2022        "/>
    <n v="4500017917"/>
    <s v="Fajar Paramita"/>
    <s v="Hardjono Gunawan"/>
    <s v="021-6004840_x000a_ 021-6599450"/>
    <s v="B7"/>
    <s v="B103"/>
    <s v="C26"/>
    <s v="D181"/>
    <s v="E387"/>
    <s v="F140"/>
    <m/>
    <m/>
    <m/>
  </r>
  <r>
    <n v="1397"/>
    <x v="437"/>
    <x v="826"/>
    <s v="Gedung Pusat Grosir Pasar Pagi Mangga Dua Lt.7 Blok D Jl. Arteri Mangga Dua Raya Jakarta Utara 14430 Indonesia"/>
    <m/>
    <s v="Gedung Pusat Grosir Pasar Pagi Mangga Dua (PT Bank Agris di Lt. 2 Blok KA No. 003 dr lt dasar Gedung Pelanggan PT Telindo Nusantara SO No. ICON-00/ACT/1611/0760)"/>
    <s v="Sewa Tahunan"/>
    <x v="1"/>
    <x v="913"/>
    <m/>
    <m/>
    <m/>
    <m/>
    <m/>
    <x v="434"/>
    <m/>
    <m/>
    <x v="52"/>
    <m/>
    <x v="123"/>
    <d v="2021-02-24T00:00:00"/>
    <x v="1"/>
    <m/>
    <d v="2024-09-06T00:00:00"/>
    <n v="-1290"/>
    <x v="9"/>
    <x v="4"/>
    <s v="0470317/SPR/008/PUSAT/ICON+/2017 |345/eks-psm/leg-ppi/II/2017 | 07945/SPP/008/PUSAT/ICON+/2018 | 4500011159 | 10050/SPP/008/PUSAT/ICON+/2019 | 4500012389"/>
    <s v="12702/SPP/008/PUSAT/ICON+/2020"/>
    <n v="4500014898"/>
    <s v="Fajar Paramita"/>
    <s v="Hardjono Gunawan"/>
    <s v="021-6004840_x000a_ 021-6599450"/>
    <s v="-"/>
    <s v="B24"/>
    <s v="C7"/>
    <s v="D269"/>
    <m/>
    <m/>
    <m/>
    <m/>
    <m/>
  </r>
  <r>
    <n v="1398"/>
    <x v="437"/>
    <x v="851"/>
    <s v="Gedung Pusat Grosir Pasar Pagi Mangga Dua Lt.7 Blok D Jl. Arteri Mangga Dua Raya Jakarta Utara 14430 Indonesia"/>
    <m/>
    <s v="Gedung Pusat Grosir Pasar Pagi Mangga Dua (PT Bank Multiarta Sentosa di Lt. 2 Blok KA No. 004 dr lt dasar Gedung SONo. ICON-00/ACT/1610/0187)"/>
    <s v="Sewa Tahunan"/>
    <x v="1"/>
    <x v="914"/>
    <m/>
    <m/>
    <m/>
    <m/>
    <m/>
    <x v="435"/>
    <m/>
    <m/>
    <x v="52"/>
    <m/>
    <x v="898"/>
    <d v="2020-02-12T00:00:00"/>
    <x v="1"/>
    <m/>
    <d v="2024-09-06T00:00:00"/>
    <n v="-1668"/>
    <x v="9"/>
    <x v="5"/>
    <s v="0910217/SPR/008/PUSAT/ICON+/2017 _x000a_ 345/eks-psm/leg-ppi/II/2017 | 07942/SPP/008/PUSAT/ICON+/2018 | 4500011160"/>
    <s v="10036/SPP/008/PUSAT/ICON+/2019"/>
    <n v="4500012380"/>
    <s v="Fajar Paramita"/>
    <s v="Hardjono Gunawan"/>
    <s v="021-6004840_x000a_ 021-6599450"/>
    <s v="-"/>
    <s v="B25"/>
    <s v="B286"/>
    <m/>
    <m/>
    <m/>
    <m/>
    <m/>
    <m/>
  </r>
  <r>
    <n v="1399"/>
    <x v="437"/>
    <x v="852"/>
    <s v="Gedung Pusat Grosir Pasar Pagi Mangga Dua Lt.7 Blok D Jl. Arteri Mangga Dua Raya Jakarta Utara 14430 Indonesia"/>
    <m/>
    <s v="Pasar Pagi Mangga Dua, Gedung Pusat Perdagangan Grosir Mangga Dua Blok Ka No.12A-14Jl. Mangga Dua Raya, RT.11/RW.5, Kota Tua, Jakarta Utara, DKI Jakarta,"/>
    <s v="Sewa Tahunan"/>
    <x v="1"/>
    <x v="88"/>
    <m/>
    <m/>
    <m/>
    <m/>
    <m/>
    <x v="436"/>
    <m/>
    <m/>
    <x v="52"/>
    <m/>
    <x v="899"/>
    <d v="2022-10-19T00:00:00"/>
    <x v="0"/>
    <m/>
    <d v="2024-09-06T00:00:00"/>
    <n v="-688"/>
    <x v="6"/>
    <x v="2"/>
    <s v="09457/SPP/008/PUSAT/ICON+/2018 | 4500012016 | 11863/SPP/008/PUSAT/ICON+/2019| 4500013484 | 14052/SPP/008/PUSAT/ICON+/2020 | 4500014924"/>
    <m/>
    <n v="4500017359"/>
    <s v="Fajar Paramita"/>
    <s v="Hardjono Gunawan"/>
    <s v="021-6004840_x000a_ 021-6599450"/>
    <m/>
    <m/>
    <s v="C219"/>
    <s v="D188"/>
    <s v="E402"/>
    <m/>
    <m/>
    <m/>
    <s v="1.Biaya PKB Rp.7.759.434,- 2.Biaya Sewa Tahunan Rp.6.363.636,-"/>
  </r>
  <r>
    <n v="1400"/>
    <x v="438"/>
    <x v="827"/>
    <s v="BeritaSatu Plaza Lt Sub Ground Jl. Jend. Gatot Subroto Kav 35-36 _x000a_ Jakarta 12950 atau_x000a_ Lippo Cyber Park_x000a_ Jl. Boulevard Gajah Mada No.B2058 Lippo Karawaci – Tangerang 15811"/>
    <m/>
    <s v="Berita Satu Plaza (Gedung parkir,lantai SG ke lantai 3) (4 lantai)_x000a_  Jl. Jend. Gatot Subroto Kav. 35-36_x000a_  Jakarta 12950"/>
    <s v="Sewa Tahunan"/>
    <x v="1"/>
    <x v="915"/>
    <m/>
    <m/>
    <m/>
    <m/>
    <m/>
    <x v="437"/>
    <m/>
    <m/>
    <x v="436"/>
    <m/>
    <x v="900"/>
    <d v="2021-09-01T00:00:00"/>
    <x v="1"/>
    <m/>
    <d v="2024-09-06T00:00:00"/>
    <n v="-1101"/>
    <x v="7"/>
    <x v="4"/>
    <s v="4500009742 |07297/SPP/008/PUSAT/ICON+/2017 | 4500010695 | 08930/SPP/008/PUSAT/ICON+/2018 | 4500011699 | 4500013232"/>
    <s v="14142/SPP/008/PUSAT/ICON+/2020"/>
    <s v="4500015116"/>
    <s v="Fajar Paramita"/>
    <s v="Harmon Surya beralih ke _x000a_ Mela Hera beralih ke Tiffany"/>
    <s v="021-5200202_x000a_ 021-557933253"/>
    <n v="80"/>
    <s v="B153"/>
    <s v="C190"/>
    <s v="D332"/>
    <m/>
    <m/>
    <m/>
    <m/>
    <s v="1. Sewa Shaft Kabel untuk Area Parkir Rp500.000/bulan update tahun 2016 Rp20.700.000,-/tahun_x000a_ 2. Sewa Shaft Perlantai Rp250.000/lantai/bulan update tahun 2016 Rp20.700.000,-/tahun_x000a_ 3. Jaminan Pekerjaan Rp5.000.000,-_x000a_ 4. Jaminan Sewa Rp3.000.000"/>
  </r>
  <r>
    <n v="1401"/>
    <x v="438"/>
    <x v="8"/>
    <s v="BeritaSatu Plaza Lt 7 Jl. Jend. Gatot Subroto Kav 35-36 Jakarta 12950"/>
    <m/>
    <s v="Lahan Indoor Mega Mall Pluit/Pluit Village Mall Jl. Pluit Indah No. 1_x000a_ Pluit Jakarta Utara, 14450 (Trans Retail Indonesia)"/>
    <s v="Sewa Tahunan"/>
    <x v="1"/>
    <x v="328"/>
    <m/>
    <m/>
    <m/>
    <m/>
    <m/>
    <x v="7"/>
    <m/>
    <m/>
    <x v="169"/>
    <m/>
    <x v="313"/>
    <d v="2022-09-23T00:00:00"/>
    <x v="1"/>
    <m/>
    <d v="2024-09-06T00:00:00"/>
    <n v="-714"/>
    <x v="7"/>
    <x v="2"/>
    <s v="4500009743 |07316/SPP/008/PUSAT/ICON+/2017 | 4500010769 | 09032/SPP/008/PUSAT/ICON+/2018 | 4500011747 | 11385/SPP/008/PUSAT/ICON+/2019 | 4500013233 | 450001512214141/SPP/008/PUSAT/ICON+/2020"/>
    <s v="16195/SPP/008/PUSAT/ICON+/2021"/>
    <s v="4500016473"/>
    <s v="Fajar Paramita"/>
    <s v="Tiffany (Prima Wira Utama PT)"/>
    <s v="021-557933253 (PT Prima Wira Utama)"/>
    <m/>
    <s v="B188"/>
    <s v="C191"/>
    <s v="D337"/>
    <s v="E193"/>
    <m/>
    <m/>
    <m/>
    <s v="1. Sewa Shaft Rp16.675.000,-/tahun dengan PT Prima Wira Utama indoor mall_x000a_ 2. Jaminan Indoor Rp10.000.000,- dengan PPRS CBD Pluit dengan rincian :_x000a_ a. &lt; 100 m2 = Rp2.500.000,-_x000a_ b. 101 - 250 m2 = Rp5.000.000,-_x000a_ c. 251 - 500 m2 = Rp7.500.000,-_x000a_ d. &gt; 501 m2 = Rp15.000/m2 maks Rp50.000.000,-_x000a_ 3.Jaminan Outdoor Rp5.000.000,- dengan PT Multi Nusantara Karya Lahan outdoor mall_x000a_ 4. Ijin OTC Rp2.756.000,- dengan PT Multi Nusantara Karya Lahan outdoor mall"/>
  </r>
  <r>
    <n v="1402"/>
    <x v="439"/>
    <x v="853"/>
    <s v="Jl.Prof Satrio Kav 3-5 Jakarta Selatan 12940 "/>
    <m/>
    <s v="DC XL Cibitung, Jl. Sumbawa Blok AB No. 1, Mekarwangi,  Cikarang Barat,  Bekasi,  Jawa Barat,  Indonesia,  17530"/>
    <s v="Sewa Tahunan"/>
    <x v="2"/>
    <x v="916"/>
    <m/>
    <m/>
    <m/>
    <m/>
    <m/>
    <x v="86"/>
    <m/>
    <m/>
    <x v="191"/>
    <m/>
    <x v="901"/>
    <d v="2025-01-17T00:00:00"/>
    <x v="2"/>
    <m/>
    <d v="2024-09-06T00:00:00"/>
    <n v="133"/>
    <x v="11"/>
    <x v="3"/>
    <s v="baru"/>
    <s v="17629/SPP/008/PUSAT/ICON+/2022"/>
    <n v="4500017589"/>
    <s v="Fajar Paramita"/>
    <m/>
    <m/>
    <m/>
    <m/>
    <m/>
    <m/>
    <m/>
    <s v="F25"/>
    <m/>
    <m/>
    <s v="1.Sewa MRC Tahun 1 Rp.42.000.000_x0009__x0009__x000a_2.Sewa MRC Tahun 2 dan  3 Rp. 81.000.000 _x000a__x0009__x000a_3. Cross Connect 2 Unit Tahun ke 1 Rp.21.000.000_x0009_"/>
  </r>
  <r>
    <n v="1403"/>
    <x v="440"/>
    <x v="354"/>
    <s v="Menara MTH 11 Th Floor Jl. Letjen M.T haryono Kav 23 Jakarta 12820"/>
    <m/>
    <s v="13319 Bogor Sentul City, Jl. MH Thamrin Kav. 8 Sentul City Bogor,  Kec. Babakan Madang,  Kabupaten Bogor,  Jawa Barat,  Indonesia,  16810"/>
    <s v="Sewa Bulanan"/>
    <x v="0"/>
    <x v="917"/>
    <s v="01000283859"/>
    <n v="0.99"/>
    <s v="IPVPN"/>
    <s v="10 Mbps"/>
    <m/>
    <x v="203"/>
    <m/>
    <m/>
    <x v="95"/>
    <m/>
    <x v="902"/>
    <d v="2024-08-17T00:00:00"/>
    <x v="2"/>
    <m/>
    <d v="2024-09-06T00:00:00"/>
    <n v="-20"/>
    <x v="12"/>
    <x v="1"/>
    <n v="4500018499"/>
    <n v="937"/>
    <n v="4500021052"/>
    <s v="Syifa Artianingsih"/>
    <m/>
    <m/>
    <m/>
    <m/>
    <m/>
    <m/>
    <m/>
    <m/>
    <n v="241"/>
    <m/>
    <s v="Konfirmasi Harga Sewa ke Rekanan Akses Prima"/>
  </r>
  <r>
    <n v="1404"/>
    <x v="340"/>
    <x v="549"/>
    <s v="Gedung Menara Thamrin Lt. 19_x000a_ Jl. MH Thamrin kav. 3 Jakarta Pusat"/>
    <m/>
    <s v="LINTASARTA TECHNOPARK DATA CENTER, KOMPLEK PERGUDANGAN TAMAN TEKNO BLOK D NO.8"/>
    <s v="Sewa Tahunan"/>
    <x v="2"/>
    <x v="606"/>
    <m/>
    <m/>
    <m/>
    <m/>
    <m/>
    <x v="44"/>
    <m/>
    <m/>
    <x v="17"/>
    <m/>
    <x v="903"/>
    <d v="2025-09-11T00:00:00"/>
    <x v="2"/>
    <m/>
    <d v="2024-09-06T00:00:00"/>
    <n v="370"/>
    <x v="7"/>
    <x v="3"/>
    <m/>
    <s v="3936/SPP/SBU/PLNICONPLUS/2024"/>
    <n v="4500023190"/>
    <s v="Livia Indraswati"/>
    <m/>
    <m/>
    <m/>
    <m/>
    <m/>
    <m/>
    <m/>
    <m/>
    <m/>
    <s v="H271"/>
    <m/>
  </r>
  <r>
    <n v="1405"/>
    <x v="340"/>
    <x v="344"/>
    <s v="Menara Thamrin Lt. 19 Jl. MH Thamrin Kav. 3 Jakarta Pusat"/>
    <m/>
    <s v="PT Permodalan Nasional Madani, DC Lintasarta TB Simatupang Jakarta Selatan "/>
    <s v="Sewa Bulanan"/>
    <x v="0"/>
    <x v="918"/>
    <n v="990000320523937"/>
    <n v="0.995"/>
    <s v="Metronet"/>
    <s v="100 Mbps"/>
    <m/>
    <x v="438"/>
    <m/>
    <m/>
    <x v="7"/>
    <m/>
    <x v="163"/>
    <d v="2022-06-30T00:00:00"/>
    <x v="1"/>
    <m/>
    <d v="2024-09-06T00:00:00"/>
    <n v="-799"/>
    <x v="3"/>
    <x v="2"/>
    <n v="4500014494"/>
    <s v="-"/>
    <n v="4500016424"/>
    <s v="Syifa Artianingsih"/>
    <m/>
    <m/>
    <m/>
    <m/>
    <m/>
    <m/>
    <m/>
    <m/>
    <n v="121"/>
    <m/>
    <s v="DEACTIVASI"/>
  </r>
  <r>
    <n v="1406"/>
    <x v="340"/>
    <x v="854"/>
    <s v="Lintasarta Building , Jl.TB Simatupang Kav 10. Jakarta Selatan 12430"/>
    <s v="Lintasarta Tb Simatupang,- ,- ,- ,Indonesia ,- "/>
    <s v=" Komatsu Jl Raya Cakung Cilincing Jakarta Utara ,- ,- ,- ,Indonesia "/>
    <s v="Sewa Bulanan"/>
    <x v="0"/>
    <x v="919"/>
    <s v="0990000320511772"/>
    <n v="0.995"/>
    <s v="Metronet"/>
    <s v="4 Mbps"/>
    <m/>
    <x v="91"/>
    <m/>
    <m/>
    <x v="110"/>
    <m/>
    <x v="486"/>
    <d v="2023-06-30T00:00:00"/>
    <x v="1"/>
    <m/>
    <d v="2024-09-06T00:00:00"/>
    <n v="-434"/>
    <x v="3"/>
    <x v="6"/>
    <n v="4500016424"/>
    <n v="18842"/>
    <n v="4500018180"/>
    <s v="Syifa Artianingsih"/>
    <m/>
    <m/>
    <m/>
    <m/>
    <m/>
    <m/>
    <m/>
    <m/>
    <n v="179"/>
    <m/>
    <m/>
  </r>
  <r>
    <n v="1407"/>
    <x v="340"/>
    <x v="855"/>
    <s v="Lintasarta Building , Jl.TB Simatupang Kav 10. Jakarta Selatan 12430"/>
    <s v="-"/>
    <s v="[BSD Java Office] Kavling Komersial Taman Tekno, Blok B no. 1 Sektor XI, BSD City"/>
    <s v="Sewa Bulanan"/>
    <x v="0"/>
    <x v="920"/>
    <s v="04000310259"/>
    <n v="0.995"/>
    <s v="Internet Corporate"/>
    <s v="30 Mbps"/>
    <m/>
    <x v="430"/>
    <m/>
    <m/>
    <x v="135"/>
    <m/>
    <x v="904"/>
    <d v="2024-10-09T00:00:00"/>
    <x v="2"/>
    <m/>
    <d v="2024-09-06T00:00:00"/>
    <n v="33"/>
    <x v="6"/>
    <x v="1"/>
    <n v="4500019013"/>
    <n v="19992"/>
    <n v="4500022416"/>
    <s v="Syifa Artianingsih"/>
    <s v="Ilham"/>
    <s v="0823-6997-0039"/>
    <m/>
    <m/>
    <m/>
    <m/>
    <m/>
    <n v="329"/>
    <s v="G424"/>
    <m/>
    <m/>
  </r>
  <r>
    <n v="1408"/>
    <x v="340"/>
    <x v="856"/>
    <s v="Lintasarta Building , Jl.TB Simatupang Kav 10. Jakarta Selatan 12430"/>
    <s v="'Backhaul ESDM Pusdatin - ICON+ Gandul Jl. Damai No. 100,  -,  Kota Depok,  Jawa Barat,  Indonesia"/>
    <s v="Lintasarta Technopark Data Center - Komplek Pergudangan Taman Tekno Blok D, BSD, Setu,    Kec. Setu Kota Tanggerang Selatan,  -,  Kota Tangerang Selatan, "/>
    <s v="Sewa Bulanan"/>
    <x v="0"/>
    <x v="417"/>
    <s v="01000169892"/>
    <n v="0.995"/>
    <s v="Metro QinQ"/>
    <s v="50 Mbps"/>
    <m/>
    <x v="439"/>
    <m/>
    <m/>
    <x v="437"/>
    <m/>
    <x v="905"/>
    <d v="2024-12-12T00:00:00"/>
    <x v="2"/>
    <m/>
    <d v="2024-09-06T00:00:00"/>
    <n v="97"/>
    <x v="5"/>
    <x v="1"/>
    <n v="4500019240"/>
    <s v="3092/SPP/SBU/PLNICONPLUS/2024"/>
    <n v="4500022570"/>
    <s v="Syifa Artianingsih"/>
    <s v="Ilham"/>
    <s v="0823-6997-0039"/>
    <m/>
    <m/>
    <m/>
    <m/>
    <m/>
    <n v="372"/>
    <n v="134"/>
    <m/>
    <s v="Hardcopy PO Belum Kembali"/>
  </r>
  <r>
    <n v="1409"/>
    <x v="340"/>
    <x v="415"/>
    <s v="Lintasarta Building , Jl.TB Simatupang Kav 10. Jakarta Selatan 12430"/>
    <s v="Proyek PLTU Terate Bojonegara Samping Jababeka, Jl. Bojonegara-Serdang, Bojonegara, Serang, Banten 42454 (Pindah Jalur Tiang Listrik)"/>
    <s v="APL Office Tower Central Park, Lt.39, Unit T1 Jl. Letjen S. Parman, Kav.28 Jakarta Barat"/>
    <s v="Sewa Bulanan"/>
    <x v="0"/>
    <x v="268"/>
    <s v="0990000320516390"/>
    <n v="0.995"/>
    <s v="Metronet"/>
    <s v="50 Mbps"/>
    <m/>
    <x v="155"/>
    <m/>
    <m/>
    <x v="134"/>
    <m/>
    <x v="906"/>
    <d v="2023-11-19T00:00:00"/>
    <x v="1"/>
    <m/>
    <d v="2024-09-06T00:00:00"/>
    <n v="-292"/>
    <x v="2"/>
    <x v="6"/>
    <n v="4500015337"/>
    <n v="20284"/>
    <n v="4500019208"/>
    <s v="Syifa Artianingsih"/>
    <m/>
    <m/>
    <m/>
    <m/>
    <m/>
    <m/>
    <m/>
    <m/>
    <n v="367"/>
    <m/>
    <m/>
  </r>
  <r>
    <n v="1410"/>
    <x v="340"/>
    <x v="17"/>
    <s v="Lintasarta Building , Jl.TB Simatupang Kav 10. Jakarta Selatan 12430"/>
    <s v="PLAZA SINARMAS JL. FACHRUDIN 18 LT.6 JAKARTA PUSAT 10250,  -,  Jakarta Pusat,  DKI Jakarta,  Indonesia, "/>
    <s v="DC BEPS - Lintasarta Pusat Data Stasiun Bumi Indosat Jl. Lurah Kawi Jatiluhur, Purwakarta, Jawa Barat 41152,- ,- ,- ,Indonesia ,- "/>
    <s v="Sewa Bulanan"/>
    <x v="0"/>
    <x v="921"/>
    <s v="0990000320395523"/>
    <s v="99,50%"/>
    <s v="Metronet"/>
    <s v="10 Mbps"/>
    <m/>
    <x v="50"/>
    <m/>
    <m/>
    <x v="88"/>
    <m/>
    <x v="907"/>
    <d v="2025-06-30T00:00:00"/>
    <x v="2"/>
    <m/>
    <d v="2024-09-06T00:00:00"/>
    <n v="297"/>
    <x v="3"/>
    <x v="3"/>
    <s v="678/SPP/SBU/ICON+/2023 | 4500020866 "/>
    <s v="2906/SPP/SBU/ICON+/2024"/>
    <n v="4500022414"/>
    <s v="Syifa Artianingsih"/>
    <s v="Ilham"/>
    <s v="0823-6997-0039"/>
    <m/>
    <m/>
    <m/>
    <m/>
    <m/>
    <m/>
    <n v="293"/>
    <n v="184"/>
    <s v="Hardcopy PO Belum Kembali"/>
  </r>
  <r>
    <n v="1411"/>
    <x v="441"/>
    <x v="857"/>
    <m/>
    <m/>
    <m/>
    <s v="Sewa Bulanan"/>
    <x v="0"/>
    <x v="67"/>
    <m/>
    <m/>
    <s v="Metronet"/>
    <s v="10 Mbps"/>
    <m/>
    <x v="112"/>
    <m/>
    <m/>
    <x v="438"/>
    <m/>
    <x v="908"/>
    <d v="2020-06-30T00:00:00"/>
    <x v="1"/>
    <m/>
    <d v="2024-09-06T00:00:00"/>
    <n v="-1529"/>
    <x v="3"/>
    <x v="5"/>
    <m/>
    <n v="13137"/>
    <n v="4500012705"/>
    <s v="Syifa Artianingsih"/>
    <m/>
    <m/>
    <m/>
    <m/>
    <m/>
    <m/>
    <m/>
    <m/>
    <m/>
    <m/>
    <s v="Sudah proses perpanjangan dan naik iSPP"/>
  </r>
  <r>
    <n v="1412"/>
    <x v="441"/>
    <x v="857"/>
    <m/>
    <m/>
    <m/>
    <s v="Sewa Bulanan"/>
    <x v="0"/>
    <x v="67"/>
    <s v="990000320500640"/>
    <n v="0.99"/>
    <s v="Metronet"/>
    <s v="10 Mbps"/>
    <m/>
    <x v="112"/>
    <m/>
    <m/>
    <x v="60"/>
    <m/>
    <x v="118"/>
    <d v="2021-06-30T00:00:00"/>
    <x v="1"/>
    <m/>
    <d v="2024-09-06T00:00:00"/>
    <n v="-1164"/>
    <x v="3"/>
    <x v="4"/>
    <s v="DEACTIVASI"/>
    <m/>
    <n v="4500014381"/>
    <s v="Syifa Artianingsih"/>
    <m/>
    <m/>
    <m/>
    <m/>
    <m/>
    <m/>
    <m/>
    <m/>
    <m/>
    <m/>
    <m/>
  </r>
  <r>
    <n v="1413"/>
    <x v="442"/>
    <x v="183"/>
    <s v="Jl. Jend.Sudirman 52-53"/>
    <m/>
    <s v="Jl. Gatot Subroto Menara Global Kav.27 Lt.21 Jakarta Selatan"/>
    <s v="Sewa Bulanan"/>
    <x v="0"/>
    <x v="922"/>
    <s v="990000320455734"/>
    <n v="0.995"/>
    <s v="Internet Corporate"/>
    <s v="2 Mbps"/>
    <m/>
    <x v="128"/>
    <m/>
    <m/>
    <x v="439"/>
    <m/>
    <x v="909"/>
    <d v="2023-08-13T00:00:00"/>
    <x v="1"/>
    <m/>
    <d v="2024-09-06T00:00:00"/>
    <n v="-390"/>
    <x v="12"/>
    <x v="6"/>
    <n v="4500018211"/>
    <n v="341"/>
    <n v="4500020736"/>
    <s v="Syifa Artianingsih"/>
    <m/>
    <m/>
    <m/>
    <m/>
    <m/>
    <m/>
    <m/>
    <m/>
    <n v="154"/>
    <m/>
    <s v="DEACTIVASI"/>
  </r>
  <r>
    <n v="1414"/>
    <x v="442"/>
    <x v="222"/>
    <s v="Jl. Jend.Sudirman 52-53"/>
    <s v="Kantor Pusat - Jalan Asia Afrika 115 Bandung, Indonesia, Sumur Bandung, BANDUNG, Jawa Barat, Indonesia"/>
    <s v="KCP SCBD - Revenue Tower Lt. 6, Lot 13 District 8, Jl. Jend. Sudirman Kav. 52-53, Senayan, Jakarta_x000a_Selatan, DKI Jakarta, Indonesia, 12190"/>
    <s v="Sewa Bulanan"/>
    <x v="0"/>
    <x v="923"/>
    <s v="01000312142"/>
    <s v="99,50%"/>
    <s v="IPVPN"/>
    <s v="5 Mbps"/>
    <m/>
    <x v="440"/>
    <m/>
    <m/>
    <x v="283"/>
    <m/>
    <x v="910"/>
    <d v="2024-10-03T00:00:00"/>
    <x v="2"/>
    <m/>
    <d v="2024-09-06T00:00:00"/>
    <n v="27"/>
    <x v="6"/>
    <x v="1"/>
    <n v="4500019012"/>
    <n v="1399"/>
    <n v="4500021327"/>
    <s v="Syifa Artianingsih"/>
    <m/>
    <m/>
    <m/>
    <m/>
    <m/>
    <m/>
    <m/>
    <m/>
    <n v="283"/>
    <m/>
    <m/>
  </r>
  <r>
    <n v="1415"/>
    <x v="443"/>
    <x v="858"/>
    <s v="Jl Jend Sudirman No.1, Babakan Tangerang 15118"/>
    <m/>
    <s v="Ruko Bussiness Park Tangerang City Blok A No.6 RT.005/RW.005 Babakan, Kec Tangerang Kota Tangerang Banten 15118"/>
    <s v="Sewa Bulanan"/>
    <x v="0"/>
    <x v="924"/>
    <s v="04000334576"/>
    <n v="0.995"/>
    <s v="Internet Broadband"/>
    <s v="50 Mbps"/>
    <m/>
    <x v="441"/>
    <m/>
    <m/>
    <x v="78"/>
    <m/>
    <x v="660"/>
    <d v="2024-10-31T00:00:00"/>
    <x v="2"/>
    <m/>
    <d v="2024-09-06T00:00:00"/>
    <n v="55"/>
    <x v="6"/>
    <x v="1"/>
    <m/>
    <n v="1547"/>
    <n v="4500021440"/>
    <s v="Syifa Artianingsih"/>
    <m/>
    <m/>
    <m/>
    <m/>
    <m/>
    <m/>
    <m/>
    <m/>
    <n v="290"/>
    <m/>
    <s v="Biaya OTC Rp 2,000,000"/>
  </r>
  <r>
    <n v="1416"/>
    <x v="352"/>
    <x v="859"/>
    <s v="Komp. Rukan Permata Senayan  Blok C1 Jl. Tentara Pelajar Kebayoran Lama, Jakarta Selatan 12210"/>
    <s v="Backhaul jalan Mitra Sunter Boulevard Blok C2 Kav 9 Sunter Jaya Jakarta Utara"/>
    <s v="Menara Astra lt 12 Jl Jend Sudirman no 5-6 Karet Tengsin Jakarta Pusat"/>
    <s v="Sewa Bulanan"/>
    <x v="0"/>
    <x v="541"/>
    <s v="'01000064805"/>
    <n v="0.995"/>
    <s v="Metronet"/>
    <s v="4 Mbps"/>
    <m/>
    <x v="52"/>
    <m/>
    <m/>
    <x v="17"/>
    <m/>
    <x v="538"/>
    <d v="2023-07-28T00:00:00"/>
    <x v="1"/>
    <m/>
    <d v="2024-09-06T00:00:00"/>
    <n v="-406"/>
    <x v="1"/>
    <x v="6"/>
    <n v="4500016426"/>
    <n v="19189"/>
    <n v="4500018421"/>
    <s v="Syifa Artianingsih"/>
    <m/>
    <m/>
    <m/>
    <m/>
    <m/>
    <m/>
    <m/>
    <m/>
    <n v="225"/>
    <m/>
    <m/>
  </r>
  <r>
    <n v="1417"/>
    <x v="352"/>
    <x v="860"/>
    <s v="Komp. Rukan Permata Senayan  Blok C1 Jl. Tentara Pelajar Kebayoran Lama, Jakarta Selatan 12210"/>
    <s v="Backhaul jalan Mitra Sunter Boulevard Blok C2 Kav 9 Sunter Jaya Jakarta Utara"/>
    <s v="Menara Astra lt 12 Jl Jend Sudirman no 5-6 Karet Tengsin Jakarta Pusat"/>
    <s v="Sewa Bulanan"/>
    <x v="0"/>
    <x v="541"/>
    <s v="'01000064805"/>
    <n v="0.995"/>
    <s v="Metronet"/>
    <s v="4 Mbps"/>
    <m/>
    <x v="52"/>
    <m/>
    <m/>
    <x v="440"/>
    <m/>
    <x v="538"/>
    <d v="2023-07-28T00:00:00"/>
    <x v="1"/>
    <m/>
    <d v="2024-09-06T00:00:00"/>
    <n v="-406"/>
    <x v="1"/>
    <x v="6"/>
    <n v="4500013136"/>
    <n v="19186"/>
    <n v="4500018420"/>
    <s v="Syifa Artianingsih"/>
    <m/>
    <m/>
    <m/>
    <m/>
    <m/>
    <m/>
    <m/>
    <m/>
    <n v="226"/>
    <m/>
    <m/>
  </r>
  <r>
    <n v="1418"/>
    <x v="352"/>
    <x v="144"/>
    <s v="Komp. Rukan Permata Senayan  Blok C1 Jl. Tentara Pelajar Kebayoran Lama, Jakarta Selatan 12210"/>
    <s v="pt. astra international Gd. Amdi A Jl. Gaya motor raya no.8 sunter II"/>
    <s v="T152 - TSO sudirman menara astra, gedung astra tower, lt 01-02, jl. Jend. Sudirman Kav 5-6, sudirman jakarta pusat"/>
    <s v="Sewa Bulanan"/>
    <x v="0"/>
    <x v="925"/>
    <s v="'01000045514"/>
    <n v="0.995"/>
    <s v="Metronet"/>
    <s v="3 Mbps"/>
    <m/>
    <x v="255"/>
    <m/>
    <m/>
    <x v="441"/>
    <m/>
    <x v="731"/>
    <d v="2024-09-30T00:00:00"/>
    <x v="2"/>
    <m/>
    <d v="2024-09-06T00:00:00"/>
    <n v="24"/>
    <x v="7"/>
    <x v="1"/>
    <n v="4500019005"/>
    <n v="20018"/>
    <n v="4500021536"/>
    <s v="Syifa Artianingsih"/>
    <m/>
    <m/>
    <m/>
    <m/>
    <m/>
    <m/>
    <m/>
    <m/>
    <n v="327"/>
    <m/>
    <s v="Upgrade MMR - Tenant "/>
  </r>
  <r>
    <n v="1419"/>
    <x v="352"/>
    <x v="861"/>
    <s v="Komp. Rukan Permata Senayan  Blok C1 Jl. Tentara Pelajar Kebayoran Lama, Jakarta Selatan 12210"/>
    <s v="APJII - BIT, Jl. Kuningan Barat Raya No.8, RT.1/RW.3, Kuningan Barat, Kec. Mampang Prapatan, Jakarta Selatan"/>
    <s v="PT Prima Sarana Jaya - AD Premier Office Park, Jl. TB Simatupang No.5, RW.7, Ragunan, Kec. Pasar Minggu, Jakarta Selatan"/>
    <s v="Sewa Bulanan"/>
    <x v="0"/>
    <x v="926"/>
    <s v="01000104273"/>
    <n v="0.995"/>
    <s v="Metronet"/>
    <s v="25 mbps"/>
    <m/>
    <x v="30"/>
    <m/>
    <m/>
    <x v="18"/>
    <m/>
    <x v="664"/>
    <d v="2024-03-08T00:00:00"/>
    <x v="1"/>
    <m/>
    <d v="2024-09-06T00:00:00"/>
    <n v="-182"/>
    <x v="8"/>
    <x v="1"/>
    <n v="4500017680"/>
    <n v="21245"/>
    <n v="4500020007"/>
    <s v="Syifa Artianingsih"/>
    <m/>
    <m/>
    <m/>
    <m/>
    <m/>
    <m/>
    <m/>
    <m/>
    <n v="46"/>
    <m/>
    <s v="DEACTIVASI per 15 Februari 2024"/>
  </r>
  <r>
    <n v="1420"/>
    <x v="352"/>
    <x v="404"/>
    <s v="Komp. Rukan Permata Senayan  Blok C1 Jl. Tentara Pelajar Kebayoran Lama, Jakarta Selatan 12210"/>
    <s v="-"/>
    <s v="L002, LSO - Showcase, Menara Astra 1st Floor, Jl.  Jend. Sudirman No.Kav. 5 - 6, RT.10/RW.11, Karet  Tengsin,,Tanah Abang ,Jakarta Pusat ,DKI Jakarta ,Indonesia ,10220"/>
    <s v="Sewa Bulanan"/>
    <x v="0"/>
    <x v="927"/>
    <s v="01000191518"/>
    <n v="0.995"/>
    <s v="Metronet"/>
    <s v="5 Mbps"/>
    <m/>
    <x v="442"/>
    <m/>
    <m/>
    <x v="442"/>
    <m/>
    <x v="911"/>
    <d v="2025-03-07T00:00:00"/>
    <x v="2"/>
    <m/>
    <d v="2024-09-06T00:00:00"/>
    <n v="182"/>
    <x v="8"/>
    <x v="3"/>
    <n v="4500020084"/>
    <n v="2676"/>
    <n v="4500022731"/>
    <s v="Syifa Artianingsih"/>
    <m/>
    <m/>
    <m/>
    <m/>
    <m/>
    <m/>
    <m/>
    <m/>
    <n v="70"/>
    <n v="140"/>
    <m/>
  </r>
  <r>
    <n v="1421"/>
    <x v="352"/>
    <x v="862"/>
    <s v="Jl. MH Thamrin No. 1 Menara BCA Lt 43"/>
    <s v="NTT Nexcenter jl Kuningan Barat no 8 Jakarta"/>
    <s v="Bank Mizuho Menara Astra Jl Jend Sudirman Gondangdia Menteng Sudirman "/>
    <s v="Sewa Bulanan"/>
    <x v="0"/>
    <x v="537"/>
    <s v="01000190070"/>
    <n v="0.995"/>
    <s v="Metronet"/>
    <s v="150 Mbps"/>
    <m/>
    <x v="0"/>
    <m/>
    <m/>
    <x v="443"/>
    <m/>
    <x v="788"/>
    <d v="2024-07-21T00:00:00"/>
    <x v="0"/>
    <m/>
    <d v="2024-09-06T00:00:00"/>
    <n v="-47"/>
    <x v="1"/>
    <x v="1"/>
    <n v="4500018448"/>
    <n v="805"/>
    <n v="4500021129"/>
    <s v="Syifa Artianingsih"/>
    <m/>
    <m/>
    <m/>
    <m/>
    <m/>
    <m/>
    <m/>
    <m/>
    <n v="255"/>
    <m/>
    <s v="Proses SPP"/>
  </r>
  <r>
    <n v="1422"/>
    <x v="352"/>
    <x v="863"/>
    <s v="Jl. MH Thamrin No. 1 Menara BCA Lt 43"/>
    <s v="NTT Nexcenter jl Kuningan Barat no 8 Jakarta"/>
    <s v="Bank Mizuho Menara Astra Jl Jend Sudirman Gondangdia Menteng Sudirman "/>
    <s v="Sewa Bulanan"/>
    <x v="0"/>
    <x v="537"/>
    <s v="01000190070"/>
    <n v="0.995"/>
    <s v="Metronet"/>
    <s v="150 Mbps"/>
    <m/>
    <x v="0"/>
    <m/>
    <m/>
    <x v="145"/>
    <m/>
    <x v="788"/>
    <d v="2024-07-21T00:00:00"/>
    <x v="0"/>
    <m/>
    <d v="2024-09-06T00:00:00"/>
    <n v="-47"/>
    <x v="1"/>
    <x v="1"/>
    <n v="4500018443"/>
    <n v="803"/>
    <n v="4500021107"/>
    <s v="Syifa Artianingsih"/>
    <m/>
    <m/>
    <m/>
    <m/>
    <m/>
    <m/>
    <m/>
    <m/>
    <n v="256"/>
    <m/>
    <s v="PO Sudah di Perpanjang"/>
  </r>
  <r>
    <n v="1423"/>
    <x v="352"/>
    <x v="864"/>
    <s v="Jl. MH Thamrin No. 1 Menara BCA Lt 43"/>
    <m/>
    <s v="MENARA ASTRA LT. 20. L. JENDERAL SUDIRMAN NO.KAVLING 5, RW.6, KARET TENGSIN, KECAMATAN TANAH ABANG, KOTA JAKARTA PUSAT, DAERAH KHUSUS"/>
    <s v="Sewa Bulanan"/>
    <x v="0"/>
    <x v="928"/>
    <s v="09000020321805"/>
    <n v="0.995"/>
    <s v="IPVPN"/>
    <s v="15 Mbps"/>
    <m/>
    <x v="155"/>
    <m/>
    <m/>
    <x v="444"/>
    <m/>
    <x v="912"/>
    <d v="2025-08-11T00:00:00"/>
    <x v="2"/>
    <m/>
    <d v="2024-09-06T00:00:00"/>
    <n v="339"/>
    <x v="12"/>
    <x v="3"/>
    <m/>
    <n v="813"/>
    <n v="4500020944"/>
    <s v="Syifa Artianingsih"/>
    <m/>
    <m/>
    <m/>
    <m/>
    <m/>
    <m/>
    <m/>
    <m/>
    <n v="191"/>
    <m/>
    <s v="Biaya OTC Rp 3,000,000"/>
  </r>
  <r>
    <n v="1424"/>
    <x v="352"/>
    <x v="864"/>
    <s v="Jl. MH Thamrin No. 1 Menara BCA Lt 43"/>
    <m/>
    <s v="MENARA ASTRA LT. 20. L. JENDERAL SUDIRMAN NO.KAVLING 5, RW.6, KARET TENGSIN, KECAMATAN TANAH ABANG, KOTA JAKARTA PUSAT, DAERAH KHUSUS"/>
    <s v="Sewa Bulanan"/>
    <x v="0"/>
    <x v="929"/>
    <s v="09000020321805"/>
    <n v="0.995"/>
    <s v="IPVPN"/>
    <s v="25 mbps"/>
    <m/>
    <x v="443"/>
    <m/>
    <m/>
    <x v="445"/>
    <m/>
    <x v="709"/>
    <d v="2025-08-11T00:00:00"/>
    <x v="2"/>
    <m/>
    <d v="2024-09-06T00:00:00"/>
    <n v="339"/>
    <x v="12"/>
    <x v="3"/>
    <n v="4500020944"/>
    <n v="1554"/>
    <n v="4500021520"/>
    <s v="Syifa Artianingsih"/>
    <m/>
    <m/>
    <m/>
    <m/>
    <m/>
    <m/>
    <m/>
    <m/>
    <n v="298"/>
    <m/>
    <s v="Upgrade MMR - Tenant "/>
  </r>
  <r>
    <n v="1425"/>
    <x v="352"/>
    <x v="865"/>
    <s v="Jl. MH Thamrin No. 1 Menara BCA Lt 43"/>
    <m/>
    <s v="MENARA ASTRA LT. 20. L. JENDERAL SUDIRMAN NO.KAVLING 5, RW.6, KARET TENGSIN, KECAMATAN TANAH ABANG, KOTA JAKARTA PUSAT, DAERAH KHUSUS"/>
    <s v="Sewa Bulanan"/>
    <x v="0"/>
    <x v="928"/>
    <s v="09000020321805"/>
    <n v="0.995"/>
    <s v="IPVPN"/>
    <s v="25 mbps"/>
    <m/>
    <x v="155"/>
    <m/>
    <m/>
    <x v="272"/>
    <m/>
    <x v="709"/>
    <d v="2025-08-11T00:00:00"/>
    <x v="2"/>
    <m/>
    <d v="2024-09-06T00:00:00"/>
    <n v="339"/>
    <x v="12"/>
    <x v="3"/>
    <m/>
    <n v="931"/>
    <n v="4500021130"/>
    <s v="Syifa Artianingsih"/>
    <m/>
    <m/>
    <m/>
    <m/>
    <m/>
    <m/>
    <m/>
    <m/>
    <n v="299"/>
    <m/>
    <s v="PO Upgrade dengan Harga yang sama"/>
  </r>
  <r>
    <n v="1426"/>
    <x v="352"/>
    <x v="144"/>
    <s v="Jl. MH Thamrin No. 1 Menara BCA Lt 43"/>
    <s v="PT. Astra International Gd. Amdi A Jl. Gaya Motor Raya No.8 Sunter II (Backhaul)"/>
    <s v="T152 - TSO Sudirman Menara Astra, Gedung Astra Tower, Lt 01-02, Jln. Jend. Sudirman Kav 5-6, Sudirman, Jakarta Pusat, DKI Jakarta, Indonesia"/>
    <s v="Sewa Bulanan"/>
    <x v="0"/>
    <x v="925"/>
    <s v="01000045514"/>
    <n v="0.995"/>
    <s v="Metronet"/>
    <s v="3 Mbps"/>
    <m/>
    <x v="255"/>
    <m/>
    <m/>
    <x v="124"/>
    <m/>
    <x v="904"/>
    <d v="2024-10-09T00:00:00"/>
    <x v="2"/>
    <m/>
    <d v="2024-09-06T00:00:00"/>
    <n v="33"/>
    <x v="6"/>
    <x v="1"/>
    <n v="4500018778"/>
    <n v="1749"/>
    <n v="4500021654"/>
    <s v="Syifa Artianingsih"/>
    <m/>
    <m/>
    <m/>
    <m/>
    <m/>
    <m/>
    <m/>
    <m/>
    <n v="370"/>
    <m/>
    <m/>
  </r>
  <r>
    <n v="1427"/>
    <x v="444"/>
    <x v="866"/>
    <s v="Jl Simprug Garden 1 Blok W No.11 RT.07/RW.03, Grogol Selatan, Kebayoran Lama, Jakarta Selatan, DKI Jakarta, 12220"/>
    <s v="Graha Pertamina Persero, Gambir Jakarta Pusat, DKI Jakarta, Indonesia"/>
    <s v="Menara Standard Chartered Jl. Prof. DR. Satrio No.164, RT.3/RW.4, Karet Semanggi, Kecamatan Setiabudi, Kota Jakarta Selatan, Daerah Khusus Ibukota Jakarta"/>
    <s v="Sewa Bulanan"/>
    <x v="0"/>
    <x v="930"/>
    <s v="01000164208"/>
    <n v="0.995"/>
    <s v="Metronet"/>
    <s v="10 Gbps"/>
    <m/>
    <x v="444"/>
    <m/>
    <m/>
    <x v="250"/>
    <m/>
    <x v="645"/>
    <d v="2024-01-19T00:00:00"/>
    <x v="1"/>
    <m/>
    <d v="2024-09-06T00:00:00"/>
    <n v="-231"/>
    <x v="11"/>
    <x v="1"/>
    <n v="4500020865"/>
    <n v="1952"/>
    <n v="4500022126"/>
    <s v="Syifa Artianingsih"/>
    <s v="Cindy"/>
    <s v="0857-2207-8712"/>
    <m/>
    <m/>
    <m/>
    <m/>
    <m/>
    <s v="F152"/>
    <s v="G414"/>
    <m/>
    <s v="DEACTIVASI sesuai masa berakhir PO"/>
  </r>
  <r>
    <n v="1428"/>
    <x v="444"/>
    <x v="508"/>
    <s v="Jl Simprug Garden 1 Blok W No.11 RT.07/RW.03, Grogol Selatan, Kebayoran Lama, Jakarta Selatan, DKI Jakarta, 12220"/>
    <s v="-"/>
    <s v="Menara Standard Chartered Jl. Prof. DR. Satrio No.26 Setiabudi, Jakarta Selatan, DKI Jakarta, Indonesia"/>
    <s v="Sewa Bulanan"/>
    <x v="0"/>
    <x v="551"/>
    <s v="04000297324"/>
    <n v="0.995"/>
    <s v="Internet Corporate"/>
    <s v="500 Mbps"/>
    <m/>
    <x v="280"/>
    <m/>
    <m/>
    <x v="446"/>
    <m/>
    <x v="846"/>
    <d v="2024-08-21T00:00:00"/>
    <x v="0"/>
    <m/>
    <d v="2024-09-06T00:00:00"/>
    <n v="-16"/>
    <x v="12"/>
    <x v="1"/>
    <n v="4500018763"/>
    <s v="848/SPP/SBU/ICON+/2023"/>
    <n v="4500021171"/>
    <s v="Syifa Artianingsih"/>
    <m/>
    <m/>
    <m/>
    <m/>
    <m/>
    <m/>
    <m/>
    <m/>
    <n v="207"/>
    <m/>
    <s v="Proses SPP"/>
  </r>
  <r>
    <n v="1429"/>
    <x v="7"/>
    <x v="358"/>
    <s v="Plaza Central Lt. 22 Jl. Jend Sudirman Kav. 47 - 48"/>
    <s v="Dusun II Gunung Raja Kel. Rambang Dangku Muara Enim, Sumatera Selatan, Indonesia"/>
    <s v="PT.GH EMM Indonesia, APL Tower 39 floor T1, Jalan Letnan Jendral S. Parman Kav. 28 Jakarta Barat, DKI Jakarta, Indonesia"/>
    <s v="Sewa Bulanan"/>
    <x v="0"/>
    <x v="333"/>
    <s v="0990000320336400"/>
    <n v="0.995"/>
    <s v="Metronet"/>
    <s v="50 Mbps"/>
    <m/>
    <x v="6"/>
    <m/>
    <m/>
    <x v="198"/>
    <m/>
    <x v="644"/>
    <d v="2025-06-15T00:00:00"/>
    <x v="2"/>
    <m/>
    <d v="2024-09-06T00:00:00"/>
    <n v="282"/>
    <x v="3"/>
    <x v="3"/>
    <n v="4500020613"/>
    <s v="2909/SPP/SBU/ICON+/2024"/>
    <n v="4500022442"/>
    <s v="Syifa Artianingsih"/>
    <s v="Windy"/>
    <s v="0822-7378-3630"/>
    <m/>
    <m/>
    <m/>
    <m/>
    <m/>
    <m/>
    <n v="140"/>
    <n v="130"/>
    <m/>
  </r>
  <r>
    <n v="1430"/>
    <x v="357"/>
    <x v="867"/>
    <s v="Indonesia Stock Exchange Building Tower 2, Lt 28 #2804 Jl. Jend Sudirman Kav. 52-53 Jakarta 12190"/>
    <m/>
    <s v="Gedung Treasury lt 60 Distric 8 SCBD Jl Jendral Sudirman Kav 52-58 Jakarta Selatan"/>
    <s v="Sewa Bulanan"/>
    <x v="0"/>
    <x v="67"/>
    <m/>
    <n v="0.98"/>
    <s v="Internet Corporate "/>
    <s v="30 Mbps"/>
    <m/>
    <x v="445"/>
    <m/>
    <m/>
    <x v="447"/>
    <m/>
    <x v="226"/>
    <d v="2024-03-31T00:00:00"/>
    <x v="1"/>
    <m/>
    <d v="2024-09-06T00:00:00"/>
    <n v="-159"/>
    <x v="8"/>
    <x v="1"/>
    <m/>
    <m/>
    <n v="4500015965"/>
    <s v="Syifa Artianingsih"/>
    <s v="Rian"/>
    <s v="0822-6190-6240"/>
    <m/>
    <m/>
    <m/>
    <m/>
    <m/>
    <m/>
    <n v="26"/>
    <m/>
    <s v="DEACTIVASI per 29 Februari 2024"/>
  </r>
  <r>
    <n v="1431"/>
    <x v="357"/>
    <x v="868"/>
    <s v="Indonesia Stock Exchange Building Tower 2, Lt 28 #2804 Jl. Jend Sudirman Kav. 52-53 Jakarta 12190"/>
    <s v=" Jl. Lingkar Timur karang Kandri Kecamatan Kesugihan Cilacap Jawa Tengah (Relokasi Jalur Baru)"/>
    <s v="TREASURY TOWER, Lt. 39 Jln. Jend. Sudirman Kav 52-53 SCBD Jakarta Selatan - 12190,- ,Jakarta Selatan ,DKI Jakarta"/>
    <s v="Sewa Bulanan"/>
    <x v="0"/>
    <x v="402"/>
    <s v="01000030570/ 130120200737"/>
    <n v="0.99"/>
    <s v="Metronet"/>
    <s v="15 Mbps"/>
    <m/>
    <x v="446"/>
    <m/>
    <m/>
    <x v="38"/>
    <m/>
    <x v="587"/>
    <d v="2024-12-31T00:00:00"/>
    <x v="2"/>
    <m/>
    <d v="2024-09-06T00:00:00"/>
    <n v="116"/>
    <x v="5"/>
    <x v="1"/>
    <n v="4500019148"/>
    <n v="2223"/>
    <n v="4500022108"/>
    <s v="Syifa Artianingsih"/>
    <s v="Rian"/>
    <s v="0822-6190-6240"/>
    <m/>
    <m/>
    <m/>
    <m/>
    <m/>
    <s v="F358"/>
    <s v=" "/>
    <m/>
    <m/>
  </r>
  <r>
    <n v="1432"/>
    <x v="357"/>
    <x v="39"/>
    <s v="Indonesia Stock Exchange Building Tower 2, Lt 28 #2804 Jl. Jend Sudirman Kav. 52-53 Jakarta 12190"/>
    <m/>
    <s v="Ruko Gold Cost B No 2-3, Pantai Indah Kapuk, Jakarta Utara, DKI Jakarta, Indonesia"/>
    <s v="Sewa Bulanan"/>
    <x v="0"/>
    <x v="504"/>
    <s v="01000187262"/>
    <n v="0.98"/>
    <s v="IPVPN "/>
    <s v="4 Mbps"/>
    <m/>
    <x v="447"/>
    <m/>
    <m/>
    <x v="35"/>
    <m/>
    <x v="913"/>
    <d v="2025-04-20T00:00:00"/>
    <x v="2"/>
    <m/>
    <d v="2024-09-06T00:00:00"/>
    <n v="226"/>
    <x v="10"/>
    <x v="3"/>
    <n v="4500020357"/>
    <s v="3089/SPP/SBU/PLNICONPLUS/2024"/>
    <n v="4500022571"/>
    <s v="Syifa Artianingsih"/>
    <s v="Halley"/>
    <s v="0856-9800-999"/>
    <m/>
    <m/>
    <m/>
    <m/>
    <m/>
    <m/>
    <n v="106"/>
    <n v="132"/>
    <m/>
  </r>
  <r>
    <n v="1433"/>
    <x v="357"/>
    <x v="45"/>
    <s v="Indonesia Stock Exchange Building Tower 2, Lt 28 #2804 Jl. Jend Sudirman Kav. 52-53 Jakarta 12190"/>
    <m/>
    <s v="Kantor Pusat Bank Woori Saudara Treasury Tower - District 8 lt 26 - 27 Jl. Jenderal Sudirman Kav. 52 - 53 Kelurahan Senayan, Kebayoran Baru, Jakarta Selatan. DKI Jakarta, 12190"/>
    <s v="Sewa Bulanan"/>
    <x v="0"/>
    <x v="559"/>
    <s v="04000028182"/>
    <n v="0.99"/>
    <s v="Internet Corporate"/>
    <s v="20 Mbps"/>
    <m/>
    <x v="119"/>
    <m/>
    <m/>
    <x v="230"/>
    <m/>
    <x v="909"/>
    <d v="2024-06-30T00:00:00"/>
    <x v="0"/>
    <m/>
    <d v="2024-09-06T00:00:00"/>
    <n v="-68"/>
    <x v="3"/>
    <x v="1"/>
    <s v="19011/SPP/008/PUSAT/ICON+/2022 | 4500018287"/>
    <s v="547/SPP/SBU/ICON+/2023"/>
    <n v="4500020786"/>
    <s v="Syifa Artianingsih"/>
    <s v="Rian"/>
    <s v="0822-6190-6240"/>
    <m/>
    <m/>
    <m/>
    <m/>
    <m/>
    <m/>
    <n v="166"/>
    <m/>
    <m/>
  </r>
  <r>
    <n v="1434"/>
    <x v="357"/>
    <x v="45"/>
    <s v="Indonesia Stock Exchange Building Tower 2, Lt 28 #2804 Jl. Jend Sudirman Kav. 52-53 Jakarta 12190"/>
    <m/>
    <s v="Kantor Pusat Bank Woori Saudara Treasury Tower - District 8 lt 26 - 27 Jl. Jenderal Sudirman Kav. 52 - 53 Kelurahan Senayan, Kebayoran Baru, Jakarta Selatan. DKI Jakarta, 12190"/>
    <s v="Sewa Bulanan"/>
    <x v="0"/>
    <x v="559"/>
    <s v="04000028182"/>
    <n v="0.99"/>
    <s v="Internet Corporate"/>
    <s v="20 Mbps"/>
    <m/>
    <x v="119"/>
    <m/>
    <m/>
    <x v="230"/>
    <m/>
    <x v="907"/>
    <d v="2025-06-30T00:00:00"/>
    <x v="2"/>
    <m/>
    <d v="2024-09-06T00:00:00"/>
    <n v="297"/>
    <x v="3"/>
    <x v="3"/>
    <s v="547/SPP/SBU/ICON+/2023 | 4500020786"/>
    <s v="_x0009_3565/SPP/SBU/PLNICONPLUS/2024"/>
    <n v="4500022924"/>
    <s v="Syifa Artianingsih"/>
    <s v="Rian"/>
    <s v="0822-6190-6240"/>
    <m/>
    <m/>
    <m/>
    <m/>
    <m/>
    <m/>
    <m/>
    <n v="237"/>
    <m/>
  </r>
  <r>
    <n v="1435"/>
    <x v="357"/>
    <x v="869"/>
    <s v="Indonesia Stock Exchange Building Tower 2, Lt 28 #2804 Jl. Jend Sudirman Kav. 52-53 Jakarta 12190"/>
    <m/>
    <s v="BCA KCP Ebony, Jl Laksamana Yos Sudarso, Ruko Ebony Blok B2 No.30"/>
    <s v="Sewa Bulanan"/>
    <x v="0"/>
    <x v="931"/>
    <s v="111202018001"/>
    <n v="0.99"/>
    <s v="Metronet"/>
    <s v="6 Mbps"/>
    <m/>
    <x v="448"/>
    <m/>
    <m/>
    <x v="231"/>
    <m/>
    <x v="904"/>
    <d v="2024-10-09T00:00:00"/>
    <x v="2"/>
    <m/>
    <d v="2024-09-06T00:00:00"/>
    <n v="33"/>
    <x v="6"/>
    <x v="1"/>
    <m/>
    <n v="1607"/>
    <n v="4500021519"/>
    <s v="Syifa Artianingsih"/>
    <m/>
    <m/>
    <m/>
    <m/>
    <m/>
    <m/>
    <m/>
    <m/>
    <n v="295"/>
    <m/>
    <s v="Biaya OTC Rp 5,000,000"/>
  </r>
  <r>
    <n v="1436"/>
    <x v="357"/>
    <x v="210"/>
    <s v="Indonesia Stock Exchange Building Tower 2, Lt 28 #2804 Jl. Jend Sudirman Kav. 52-53 Jakarta 12190"/>
    <s v="Link Backup Backhaul KCP Menara BCA, Jl. M.H. Thamrin No.1, Menteng, Jakarta Pusat, DKI Jakarta, Indonesia, 10230"/>
    <s v="BCA KCP Golf Island; Jl. Golf Island Boulevard Blok RGIG No.20 Penjaringan Jakarta Utara, DKI Jakarta, Indonesia, 14470"/>
    <s v="Sewa Bulanan"/>
    <x v="0"/>
    <x v="932"/>
    <s v="111202017280"/>
    <n v="0.99"/>
    <s v="Metronet"/>
    <s v="6 Mbps"/>
    <m/>
    <x v="449"/>
    <m/>
    <m/>
    <x v="128"/>
    <m/>
    <x v="764"/>
    <d v="2024-10-15T00:00:00"/>
    <x v="2"/>
    <m/>
    <d v="2024-09-06T00:00:00"/>
    <n v="39"/>
    <x v="6"/>
    <x v="1"/>
    <n v="4500019004"/>
    <n v="1605"/>
    <n v="4500021623"/>
    <s v="Syifa Artianingsih"/>
    <m/>
    <m/>
    <m/>
    <m/>
    <m/>
    <m/>
    <m/>
    <m/>
    <n v="381"/>
    <m/>
    <m/>
  </r>
  <r>
    <n v="1437"/>
    <x v="445"/>
    <x v="870"/>
    <s v="Gedung Cyber 2 Tower, Lt 33 Jl. HP Rasuna Said Blok X-5 No. 13 Kuningan Timur Setiabudi Jakarta Selatan 12950"/>
    <m/>
    <m/>
    <s v="Sewa Bulanan"/>
    <x v="0"/>
    <x v="67"/>
    <m/>
    <m/>
    <s v="Metronet"/>
    <s v="2 Mbps"/>
    <m/>
    <x v="112"/>
    <m/>
    <m/>
    <x v="448"/>
    <m/>
    <x v="126"/>
    <d v="2021-12-31T00:00:00"/>
    <x v="1"/>
    <m/>
    <d v="2024-09-06T00:00:00"/>
    <n v="-980"/>
    <x v="5"/>
    <x v="4"/>
    <m/>
    <m/>
    <n v="4500015492"/>
    <s v="Syifa Artianingsih"/>
    <m/>
    <m/>
    <m/>
    <m/>
    <m/>
    <m/>
    <m/>
    <m/>
    <n v="367"/>
    <m/>
    <m/>
  </r>
  <r>
    <n v="1438"/>
    <x v="445"/>
    <x v="871"/>
    <s v="Gedung Cyber 2 Tower, Lt 33 Jl. HP Rasuna Said Blok X-5 No. 13 Kuningan Timur Setiabudi Jakarta Selatan 12950"/>
    <s v="IFC Tower 2 Jl Jend Sudirman No Kav 22-23 RT 10/1 Setiabudi Jakarta Selatan "/>
    <s v="Lyman Wisma William Satya Jl Adi Sucipto Bangka Belitung Laut Pontianak Kalimantan "/>
    <s v="Sewa Bulanan"/>
    <x v="0"/>
    <x v="67"/>
    <s v="01000037957"/>
    <m/>
    <s v="Metronet"/>
    <s v="4 Mbps"/>
    <m/>
    <x v="112"/>
    <m/>
    <m/>
    <x v="184"/>
    <m/>
    <x v="126"/>
    <d v="2021-12-31T00:00:00"/>
    <x v="1"/>
    <m/>
    <d v="2024-09-06T00:00:00"/>
    <n v="-980"/>
    <x v="5"/>
    <x v="4"/>
    <m/>
    <s v="-"/>
    <n v="4500015617"/>
    <s v="Syifa Artianingsih"/>
    <m/>
    <m/>
    <m/>
    <m/>
    <m/>
    <m/>
    <m/>
    <m/>
    <n v="206"/>
    <m/>
    <s v="-"/>
  </r>
  <r>
    <n v="1439"/>
    <x v="445"/>
    <x v="872"/>
    <s v="Gedung Cyber 2 Tower, Lt 33 Jl. HP Rasuna Said Blok X-5 No. 13 Kuningan Timur Setiabudi Jakarta Selatan 12950"/>
    <m/>
    <s v="South Quarter Tower lt 21 RA Kartini No 8 Cilandak Barat Jakarta Selatan"/>
    <s v="Sewa Bulanan"/>
    <x v="0"/>
    <x v="67"/>
    <s v="04000128124"/>
    <m/>
    <s v="Internet Corporate "/>
    <s v="100 Mbps"/>
    <m/>
    <x v="112"/>
    <m/>
    <m/>
    <x v="99"/>
    <m/>
    <x v="166"/>
    <d v="2021-06-30T00:00:00"/>
    <x v="1"/>
    <m/>
    <d v="2024-09-06T00:00:00"/>
    <n v="-1164"/>
    <x v="3"/>
    <x v="4"/>
    <m/>
    <m/>
    <n v="4500016357"/>
    <s v="Syifa Artianingsih"/>
    <m/>
    <m/>
    <m/>
    <m/>
    <m/>
    <m/>
    <m/>
    <m/>
    <n v="105"/>
    <m/>
    <m/>
  </r>
  <r>
    <n v="1440"/>
    <x v="446"/>
    <x v="873"/>
    <s v="Gedung Cyber 2 Tower, Lt 33 Jl. HP Rasuna Said Blok X-5 No. 13 Kuningan Timur Setiabudi Jakarta Selatan 12950"/>
    <s v="Graha Pertamina (PSDC)- No. 6, RT.6/RW.1, Gambir, Central Jakarta City, Jakarta,  Gambir,  Jakarta Pusat,  DKI Jakarta,"/>
    <s v="Menara Standard Chartered, No, Jl. Prof. DR. Satrio No.26, RT.4/RW.4, Karet Semanggi, Kecamatan Setiabudi, Kota Jakarta Selatan, Daerah Khusus Ibukota Jakarta,  Setiabudi,  Jakarta Selatan,  DKI Jakarta, "/>
    <s v="Sewa Bulanan"/>
    <x v="0"/>
    <x v="933"/>
    <s v="01000178894"/>
    <n v="0.995"/>
    <s v="Metronet"/>
    <s v="250 Mbps"/>
    <m/>
    <x v="450"/>
    <m/>
    <m/>
    <x v="449"/>
    <m/>
    <x v="201"/>
    <d v="2022-06-30T00:00:00"/>
    <x v="1"/>
    <m/>
    <d v="2024-09-06T00:00:00"/>
    <n v="-799"/>
    <x v="3"/>
    <x v="2"/>
    <m/>
    <n v="17319"/>
    <n v="4500017259"/>
    <s v="Syifa Artianingsih"/>
    <m/>
    <m/>
    <m/>
    <m/>
    <m/>
    <m/>
    <m/>
    <m/>
    <n v="323"/>
    <m/>
    <m/>
  </r>
  <r>
    <n v="1441"/>
    <x v="445"/>
    <x v="874"/>
    <s v="Gedung Cyber 2 Tower, Lt 33 Jl. HP Rasuna Said Blok X-5 No. 13 Kuningan Timur Setiabudi Jakarta Selatan 12950"/>
    <m/>
    <s v="BCA KCP Central Park, Kawasan Superblok Podomoro City (Central Park) Ruko Garden Shopping Arcade Blok B/08/CB.cc.cd Jl. S Parman"/>
    <s v="Sewa Bulanan"/>
    <x v="0"/>
    <x v="934"/>
    <s v="01000203544"/>
    <n v="0.995"/>
    <s v="IPVPN"/>
    <s v="6 Mbps"/>
    <m/>
    <x v="451"/>
    <m/>
    <m/>
    <x v="450"/>
    <m/>
    <x v="914"/>
    <d v="2024-08-11T00:00:00"/>
    <x v="2"/>
    <m/>
    <d v="2024-09-06T00:00:00"/>
    <n v="-26"/>
    <x v="12"/>
    <x v="1"/>
    <m/>
    <n v="18800"/>
    <n v="4500018182"/>
    <s v="Syifa Artianingsih"/>
    <m/>
    <m/>
    <m/>
    <m/>
    <m/>
    <m/>
    <m/>
    <m/>
    <n v="174"/>
    <m/>
    <s v="Proses One Drive"/>
  </r>
  <r>
    <n v="1442"/>
    <x v="445"/>
    <x v="875"/>
    <s v="Gedung Cyber 2 Tower, Lt 33 Jl. HP Rasuna Said Blok X-5 No. 13 Kuningan Timur Setiabudi Jakarta Selatan 12950"/>
    <s v="(H2H) Plaza Bank Mandiri Jl. Gatot Subroto Kav 36-38 RT 7/RW 1 Senayan Jakarta Selatan DKI Jakarta 12190"/>
    <s v="(H2H) Mall Taman Anggrek Jl Letjen S Parman No 28 RT 9 RW 1, Tomang, Kec. Grogol Petamburan, Kota Jakarta Barat, Daerah Khusus Ibu Kota Jakarta 11440"/>
    <s v="Sewa Bulanan"/>
    <x v="0"/>
    <x v="935"/>
    <s v="01000100102"/>
    <n v="0.995"/>
    <s v="IPVPN"/>
    <s v="512 Kbps"/>
    <m/>
    <x v="27"/>
    <m/>
    <m/>
    <x v="163"/>
    <m/>
    <x v="909"/>
    <d v="2024-06-30T00:00:00"/>
    <x v="0"/>
    <m/>
    <d v="2024-09-06T00:00:00"/>
    <n v="-68"/>
    <x v="3"/>
    <x v="1"/>
    <s v="8764/SPP/008/PUSAT/ICON+/2022 | 4500018132"/>
    <s v="_x0009_226/SPP/SBU/ICON+/2023"/>
    <s v="4500020618"/>
    <s v="Syifa Artianingsih"/>
    <m/>
    <m/>
    <m/>
    <m/>
    <m/>
    <m/>
    <m/>
    <m/>
    <n v="141"/>
    <m/>
    <m/>
  </r>
  <r>
    <n v="1443"/>
    <x v="445"/>
    <x v="876"/>
    <s v="Gedung Cyber 2 Tower, Lt 33 Jl. HP Rasuna Said Blok X-5 No. 13 Kuningan Timur Setiabudi Jakarta Selatan 12950"/>
    <m/>
    <s v="KCP Sky Line Jl. M.H. Thamrin No.9, RT.2/RW.1, Kb. Sirih,,  Kec. Menteng,  Jakarta Pusat,  DKI Jakarta"/>
    <s v="Sewa Bulanan"/>
    <x v="0"/>
    <x v="462"/>
    <s v="01000195154"/>
    <n v="0.995"/>
    <s v="IPVPN"/>
    <s v="2 Mbps"/>
    <m/>
    <x v="452"/>
    <m/>
    <m/>
    <x v="451"/>
    <m/>
    <x v="713"/>
    <d v="2024-05-31T00:00:00"/>
    <x v="1"/>
    <m/>
    <d v="2024-09-06T00:00:00"/>
    <n v="-98"/>
    <x v="4"/>
    <x v="1"/>
    <m/>
    <n v="21669"/>
    <n v="4500020151"/>
    <s v="Syifa Artianingsih"/>
    <m/>
    <m/>
    <m/>
    <m/>
    <m/>
    <m/>
    <m/>
    <m/>
    <n v="189"/>
    <m/>
    <s v="DEACTIVASI Per 31 Maret 2024"/>
  </r>
  <r>
    <n v="1444"/>
    <x v="445"/>
    <x v="528"/>
    <s v="Gedung Cyber 2 Tower, Lt 33 Jl. HP Rasuna Said Blok X-5 No. 13 Kuningan Timur Setiabudi Jakarta Selatan 12950"/>
    <m/>
    <s v="Bidakara Jl Jend Gatot Subroto Kav 71-73 JakSel"/>
    <s v="Sewa Bulanan"/>
    <x v="0"/>
    <x v="936"/>
    <s v="990000320452408"/>
    <n v="0.995"/>
    <s v="IPVPN"/>
    <s v="2 Mbps"/>
    <m/>
    <x v="120"/>
    <m/>
    <m/>
    <x v="452"/>
    <m/>
    <x v="909"/>
    <d v="2024-06-30T00:00:00"/>
    <x v="0"/>
    <m/>
    <d v="2024-09-06T00:00:00"/>
    <n v="-68"/>
    <x v="3"/>
    <x v="1"/>
    <n v="4500018114"/>
    <n v="539"/>
    <n v="4500021003"/>
    <s v="Syifa Artianingsih"/>
    <m/>
    <m/>
    <m/>
    <m/>
    <m/>
    <m/>
    <m/>
    <m/>
    <n v="202"/>
    <m/>
    <s v="Proses SPP"/>
  </r>
  <r>
    <n v="1445"/>
    <x v="445"/>
    <x v="333"/>
    <s v="Gedung Cyber 2 Tower, Lt 33 Jl. HP Rasuna Said Blok X-5 No. 13 Kuningan Timur Setiabudi Jakarta Selatan 12950"/>
    <m/>
    <s v="Gedung Sahid Sudirman Center Lt 10 Jl Jendral Sudirman no 86 Jakarta"/>
    <s v="Sewa Bulanan"/>
    <x v="0"/>
    <x v="937"/>
    <s v="990000320517045"/>
    <n v="0.995"/>
    <s v="Metronet"/>
    <s v="10 Mbps"/>
    <m/>
    <x v="120"/>
    <m/>
    <m/>
    <x v="452"/>
    <m/>
    <x v="909"/>
    <d v="2024-06-30T00:00:00"/>
    <x v="0"/>
    <m/>
    <d v="2024-09-06T00:00:00"/>
    <n v="-68"/>
    <x v="3"/>
    <x v="1"/>
    <n v="4500018114"/>
    <n v="539"/>
    <n v="4500021003"/>
    <s v="Syifa Artianingsih"/>
    <m/>
    <m/>
    <m/>
    <m/>
    <m/>
    <m/>
    <m/>
    <m/>
    <n v="202"/>
    <m/>
    <m/>
  </r>
  <r>
    <n v="1446"/>
    <x v="445"/>
    <x v="523"/>
    <s v="Gedung Cyber 2 Tower, Lt 33 Jl. HP Rasuna Said Blok X-5 No. 13 Kuningan Timur Setiabudi Jakarta Selatan 12950"/>
    <m/>
    <s v="Marketing Office Citra Towers Kemayoran, Jl Benyamin Suaeb, RT.13/RW.06, Kebon Kosong, Kamayoran, Kota Jakarta Pusat, Jakarta, Indonesia"/>
    <s v="Sewa Bulanan"/>
    <x v="0"/>
    <x v="938"/>
    <s v="111202017399"/>
    <s v="99,50%"/>
    <s v="Metronet"/>
    <s v="2 Mbps"/>
    <m/>
    <x v="453"/>
    <m/>
    <m/>
    <x v="29"/>
    <m/>
    <x v="846"/>
    <d v="2024-08-21T00:00:00"/>
    <x v="0"/>
    <m/>
    <d v="2024-09-06T00:00:00"/>
    <n v="-16"/>
    <x v="12"/>
    <x v="1"/>
    <s v="baru"/>
    <n v="906"/>
    <n v="4500020994"/>
    <s v="Syifa Artianingsih"/>
    <m/>
    <m/>
    <m/>
    <m/>
    <m/>
    <m/>
    <m/>
    <m/>
    <n v="282"/>
    <m/>
    <s v="PO Sudah di Perpanjang"/>
  </r>
  <r>
    <n v="1447"/>
    <x v="445"/>
    <x v="452"/>
    <s v="Gedung Cyber 2 Tower, Lt 33 Jl. HP Rasuna Said Blok X-5 No. 13 Kuningan Timur Setiabudi Jakarta Selatan 12950"/>
    <m/>
    <s v="South Quarter Tower A, LT. 21 Jl. R.A.Kartini No.Kav. 8, RT.10/RW.4, Cilandak Barat,  Kec. Cilandak,  Jakarta Selatan,  DKI Jakarta,  Indonesia,  12430"/>
    <s v="Sewa Bulanan"/>
    <x v="0"/>
    <x v="939"/>
    <s v="01000127809 dan '04000128124"/>
    <s v="99,50%"/>
    <s v="IPVPN dan Internet Corporate"/>
    <s v="70 Mbps"/>
    <m/>
    <x v="244"/>
    <m/>
    <m/>
    <x v="85"/>
    <m/>
    <x v="747"/>
    <d v="2024-09-30T00:00:00"/>
    <x v="2"/>
    <m/>
    <d v="2024-09-06T00:00:00"/>
    <n v="24"/>
    <x v="7"/>
    <x v="1"/>
    <s v="4500018772; 4500018504"/>
    <n v="1092"/>
    <n v="4500021199"/>
    <s v="Syifa Artianingsih"/>
    <m/>
    <m/>
    <m/>
    <m/>
    <m/>
    <m/>
    <m/>
    <m/>
    <n v="239"/>
    <m/>
    <m/>
  </r>
  <r>
    <n v="1448"/>
    <x v="445"/>
    <x v="406"/>
    <s v="Gedung Cyber 2 Tower, Lt 33 Jl. HP Rasuna Said Blok X-5 No. 13 Kuningan Timur Setiabudi Jakarta Selatan 12950"/>
    <m/>
    <s v="Mall Taman Anggrek Ground Floor G-42, Jl S Parman Kav.21 RT 12/RW 1 Tanjung Duren Selatan, Grogol Petamburan. "/>
    <s v="Sewa Bulanan"/>
    <x v="0"/>
    <x v="940"/>
    <n v="111205023926"/>
    <n v="0.995"/>
    <s v="IPVPN"/>
    <s v="2 Mbps"/>
    <m/>
    <x v="454"/>
    <m/>
    <m/>
    <x v="265"/>
    <m/>
    <x v="709"/>
    <d v="2024-09-24T00:00:00"/>
    <x v="0"/>
    <m/>
    <d v="2024-09-06T00:00:00"/>
    <n v="18"/>
    <x v="7"/>
    <x v="1"/>
    <s v="baru"/>
    <s v="1286/SPP/SBU/ICON+/2023"/>
    <s v="4500021421"/>
    <s v="Syifa Artianingsih"/>
    <m/>
    <m/>
    <m/>
    <m/>
    <m/>
    <m/>
    <m/>
    <m/>
    <n v="279"/>
    <m/>
    <s v="Biaya OTC Rp 3,000,000"/>
  </r>
  <r>
    <n v="1449"/>
    <x v="445"/>
    <x v="196"/>
    <s v="Gedung Cyber 2 Tower, Lt 33 Jl. HP Rasuna Said Blok X-5 No. 13 Kuningan Timur Setiabudi Jakarta Selatan 12950"/>
    <m/>
    <s v="Gedung Cyber 2 lt2 HR Rasuna Said no 13, Indonesia, Kuningan, Kota Administrasi Jakarta Selatan, DKI Jakarta, Indonesia"/>
    <s v="Sewa Bulanan"/>
    <x v="0"/>
    <x v="941"/>
    <s v="120130300301/04000021906"/>
    <n v="0.995"/>
    <s v="Internet Corporate"/>
    <s v="50 Mbps"/>
    <m/>
    <x v="246"/>
    <m/>
    <m/>
    <x v="453"/>
    <m/>
    <x v="681"/>
    <d v="2024-07-08T00:00:00"/>
    <x v="2"/>
    <m/>
    <d v="2024-09-06T00:00:00"/>
    <n v="-60"/>
    <x v="1"/>
    <x v="1"/>
    <n v="4500018399"/>
    <n v="756"/>
    <n v="4500021106"/>
    <s v="Syifa Artianingsih"/>
    <m/>
    <m/>
    <m/>
    <m/>
    <m/>
    <m/>
    <m/>
    <m/>
    <n v="373"/>
    <m/>
    <s v="Proses SPP"/>
  </r>
  <r>
    <n v="1450"/>
    <x v="447"/>
    <x v="877"/>
    <s v="Gedung Transmedia Lt 3A, Jl. Kapt Tendean Kav. 12 – 14A, Jakarta 12790"/>
    <s v="-"/>
    <s v="Kid City Transpark Cibubur lt.3 Jl. Alternatif Cibubur No.230, Harjamukti, Cimanggis, Kota Depok, Jawa Barat, Indonesia, 16454"/>
    <s v="Sewa Bulanan"/>
    <x v="0"/>
    <x v="942"/>
    <s v="04000049510"/>
    <n v="0.995"/>
    <s v="Internet dan IPVPN"/>
    <s v="3 Mbps"/>
    <m/>
    <x v="169"/>
    <m/>
    <m/>
    <x v="454"/>
    <m/>
    <x v="587"/>
    <d v="2024-12-31T00:00:00"/>
    <x v="2"/>
    <m/>
    <d v="2024-09-06T00:00:00"/>
    <n v="116"/>
    <x v="5"/>
    <x v="1"/>
    <n v="4500019777"/>
    <n v="2417"/>
    <n v="4500022180"/>
    <s v="Syifa Artianingsih"/>
    <s v="Nadia"/>
    <s v="0858-8117-7234"/>
    <m/>
    <m/>
    <m/>
    <m/>
    <m/>
    <s v="F41"/>
    <s v="G48"/>
    <m/>
    <m/>
  </r>
  <r>
    <n v="1451"/>
    <x v="276"/>
    <x v="267"/>
    <s v="Gedung Transmedia Lt 3A, Jl. Kapt Tendean Kav. 12 – 14A, Jakarta 12790"/>
    <m/>
    <s v="Transmart Cibubur Jl Alternatif Cibubur No 230 Harjamukri Cimanggis Depok Jawa Barat"/>
    <s v="Sewa Bulanan"/>
    <x v="0"/>
    <x v="297"/>
    <s v="01000039747"/>
    <n v="0.995"/>
    <s v="IPVPN"/>
    <s v="10 Mbps"/>
    <m/>
    <x v="455"/>
    <m/>
    <m/>
    <x v="455"/>
    <m/>
    <x v="814"/>
    <d v="2024-02-29T00:00:00"/>
    <x v="1"/>
    <m/>
    <d v="2024-09-06T00:00:00"/>
    <n v="-190"/>
    <x v="9"/>
    <x v="1"/>
    <n v="4500017681"/>
    <n v="21045"/>
    <n v="4500019916"/>
    <s v="Syifa Artianingsih"/>
    <m/>
    <m/>
    <m/>
    <m/>
    <m/>
    <m/>
    <m/>
    <m/>
    <n v="19"/>
    <m/>
    <m/>
  </r>
  <r>
    <n v="1452"/>
    <x v="276"/>
    <x v="489"/>
    <s v="Gedung Transmedia Lt 3A, Jl. Kapt Tendean Kav. 12 – 14A, Jakarta 12790"/>
    <m/>
    <s v="(Interkoneksi via Detik) Transmart Juanda, Jl. IR Juanda 180 margahayu Bekasi Timur Bekasi"/>
    <s v="Sewa Bulanan"/>
    <x v="0"/>
    <x v="943"/>
    <s v="'01000184752"/>
    <n v="0.995"/>
    <s v="IPVPN"/>
    <s v="2 Mbps"/>
    <m/>
    <x v="34"/>
    <m/>
    <m/>
    <x v="135"/>
    <m/>
    <x v="915"/>
    <d v="2024-02-03T00:00:00"/>
    <x v="1"/>
    <m/>
    <d v="2024-09-06T00:00:00"/>
    <n v="-216"/>
    <x v="9"/>
    <x v="1"/>
    <n v="4500017527"/>
    <n v="21054"/>
    <n v="4500019915"/>
    <s v="Syifa Artianingsih"/>
    <m/>
    <m/>
    <m/>
    <m/>
    <m/>
    <m/>
    <m/>
    <m/>
    <n v="16"/>
    <m/>
    <m/>
  </r>
  <r>
    <n v="1453"/>
    <x v="447"/>
    <x v="878"/>
    <s v="Gedung Transmedia Lt 3A, Jl. Kapt Tendean Kav. 12 – 14A, Jakarta 12790"/>
    <s v="Menara Bank Mega lt.8 Jl. Kapten Tendean No.12-14A, RT.2/RW.2, Mampang Prapatan,  -,  Jakarta Selatan,  DKI Jakarta,  Indonesia,  12790"/>
    <s v="(interkoneksi dengan Detik di Cyber) Trans ICON Surabaya, Jl. Ahmad Yani No.260, Siwalankerto,  Wonocolo,  Surabaya,  Jawa Timur,  Indonesia,  60235"/>
    <s v="Sewa Bulanan"/>
    <x v="0"/>
    <x v="552"/>
    <s v="01000301813"/>
    <n v="0.995"/>
    <s v="IPVPN"/>
    <s v="1 Mbps"/>
    <m/>
    <x v="281"/>
    <m/>
    <m/>
    <x v="456"/>
    <m/>
    <x v="819"/>
    <d v="2024-08-01T00:00:00"/>
    <x v="0"/>
    <m/>
    <d v="2024-09-06T00:00:00"/>
    <n v="-36"/>
    <x v="12"/>
    <x v="1"/>
    <n v="4500018575"/>
    <s v="1027/SPP/SBU/ICON+/2023"/>
    <n v="4500021377"/>
    <s v="Syifa Artianingsih"/>
    <m/>
    <m/>
    <m/>
    <m/>
    <m/>
    <m/>
    <m/>
    <m/>
    <n v="289"/>
    <m/>
    <m/>
  </r>
  <r>
    <n v="1454"/>
    <x v="447"/>
    <x v="879"/>
    <s v="Gedung Transmedia Lt 3A, Jl. Kapt Tendean Kav. 12 – 14A, Jakarta 12790"/>
    <m/>
    <s v="KID City Transmart Bintaro CBD Sektor VII CBD Blok B7/A3 No. 9, Jl. Professor Doktor Satrio No.5, Pondok Aren Bintaro Jaya, PD Jaya, Pondok Aren, Kota Tangerang Selatan, Banten, Indonesia, 15224"/>
    <s v="Sewa Bulanan"/>
    <x v="0"/>
    <x v="944"/>
    <s v="010000106070"/>
    <n v="0.995"/>
    <s v="IPVPN"/>
    <s v="1 Mbps"/>
    <m/>
    <x v="277"/>
    <m/>
    <m/>
    <x v="18"/>
    <m/>
    <x v="626"/>
    <d v="2024-09-01T00:00:00"/>
    <x v="2"/>
    <m/>
    <d v="2024-09-06T00:00:00"/>
    <n v="-5"/>
    <x v="7"/>
    <x v="1"/>
    <n v="4500018651"/>
    <n v="1298"/>
    <n v="4500021334"/>
    <s v="Syifa Artianingsih"/>
    <m/>
    <m/>
    <m/>
    <m/>
    <m/>
    <m/>
    <m/>
    <m/>
    <n v="288"/>
    <m/>
    <m/>
  </r>
  <r>
    <n v="1455"/>
    <x v="365"/>
    <x v="354"/>
    <s v="Gandaria 8 Office Tower, Lantai 6 - Unit H Jl. Sultan Iskandar Muda, Kebayoran Lama Utara, Jakarta Selatan 12240"/>
    <m/>
    <s v="10124 Jakarta Gandaria City, UG M-U 35 Jl. Sultan Iskandar Muda. RT.10/RW.6, Kebayoran Lama Utara,Kec. Kebayoran Lama ,Jakarta Selatan ,DKI Jakarta ,Indonesia ,12240"/>
    <s v="Sewa Bulanan"/>
    <x v="0"/>
    <x v="418"/>
    <s v="01000283861"/>
    <s v="99,8%"/>
    <s v="Metronet/Local Loop"/>
    <s v="8 Mbps"/>
    <m/>
    <x v="218"/>
    <m/>
    <m/>
    <x v="457"/>
    <m/>
    <x v="700"/>
    <d v="2024-09-08T00:00:00"/>
    <x v="2"/>
    <m/>
    <d v="2024-09-06T00:00:00"/>
    <n v="2"/>
    <x v="7"/>
    <x v="1"/>
    <n v="4500018454"/>
    <n v="1328"/>
    <n v="4500021249"/>
    <s v="Syifa Artianingsih"/>
    <s v="Merry"/>
    <s v="0815-8445-0387"/>
    <m/>
    <m/>
    <m/>
    <m/>
    <m/>
    <m/>
    <n v="248"/>
    <m/>
    <m/>
  </r>
  <r>
    <n v="1456"/>
    <x v="448"/>
    <x v="352"/>
    <s v="Gedung TCC Batavia Tower One Lt 16 Jl. KH Mas Mansyur Kav 126 Jakarta Pusat 10220"/>
    <s v="Kantor Pusat Pertamina Jakarta, Jl. Medan Merdeka Tim. No.1A, RT.2/RW.1, Kel. Gambir, Kec. Gambir, Jakarta Pusat"/>
    <s v="Gedung Sopo Del, Lt. 50, Jl. Mega Kuningan Barat III, RT.4/RW.5, Kel. Kuningan Timur, Kec. Setiabudi, Jakarta Selatan"/>
    <s v="Sewa Bulanan"/>
    <x v="0"/>
    <x v="945"/>
    <s v="01000077502"/>
    <n v="0.995"/>
    <s v="Metronet"/>
    <s v="100 Mbps"/>
    <m/>
    <x v="202"/>
    <m/>
    <m/>
    <x v="196"/>
    <m/>
    <x v="916"/>
    <d v="2023-10-29T00:00:00"/>
    <x v="1"/>
    <m/>
    <d v="2024-09-06T00:00:00"/>
    <n v="-313"/>
    <x v="6"/>
    <x v="6"/>
    <n v="4500017076"/>
    <n v="19601"/>
    <n v="4500018695"/>
    <s v="Syifa Artianingsih"/>
    <m/>
    <m/>
    <m/>
    <m/>
    <m/>
    <m/>
    <m/>
    <m/>
    <n v="282"/>
    <m/>
    <m/>
  </r>
  <r>
    <n v="1457"/>
    <x v="449"/>
    <x v="210"/>
    <s v="Gedung TCC Batavia Tower One Lt 16 Jl. KH Mas Mansyur Kav 126 Jakarta Pusat 10220"/>
    <m/>
    <s v="KCP Sopodel (SOO), Jl. Mega kuningan Barat III No. 23, Kuningan, Setiabudi, Jakarta Selatan, DKI Jakarta, Indonesia, 12950"/>
    <s v="Sewa Bulanan"/>
    <x v="0"/>
    <x v="479"/>
    <s v="01000057869"/>
    <n v="0.995"/>
    <s v="IPVPN"/>
    <s v="6 Mbps"/>
    <m/>
    <x v="35"/>
    <m/>
    <m/>
    <x v="35"/>
    <m/>
    <x v="904"/>
    <d v="2024-10-09T00:00:00"/>
    <x v="2"/>
    <m/>
    <d v="2024-09-06T00:00:00"/>
    <n v="33"/>
    <x v="6"/>
    <x v="1"/>
    <n v="4500018777"/>
    <n v="1750"/>
    <n v="4500022016"/>
    <s v="Syifa Artianingsih"/>
    <s v="Kiki"/>
    <s v="0878-6921-9000"/>
    <m/>
    <m/>
    <m/>
    <m/>
    <m/>
    <s v="F294"/>
    <s v="G404"/>
    <m/>
    <m/>
  </r>
  <r>
    <n v="1458"/>
    <x v="449"/>
    <x v="880"/>
    <s v="Gedung TCC Batavia Tower One Lt 16 Jl. KH Mas Mansyur Kav 126 Jakarta Pusat 10220"/>
    <s v="Jl. Aipda KS Tubun 2c/57 Jakarta"/>
    <s v="Sopo Del Tower B Jl. Mega Kuningan Barat III, Lot 10. 1-6 Kawasan Mega Kuningan. Jakarta 12950"/>
    <s v="Sewa Bulanan"/>
    <x v="0"/>
    <x v="946"/>
    <s v="01000358111"/>
    <n v="0.995"/>
    <s v="QinQ Metro Ethernet"/>
    <s v="50 Mbps"/>
    <m/>
    <x v="178"/>
    <m/>
    <m/>
    <x v="274"/>
    <m/>
    <x v="917"/>
    <d v="2024-09-02T00:00:00"/>
    <x v="2"/>
    <m/>
    <d v="2024-09-06T00:00:00"/>
    <n v="-4"/>
    <x v="7"/>
    <x v="1"/>
    <s v="4500018498 dan 4500020596"/>
    <n v="1253"/>
    <n v="4500021248"/>
    <s v="Syifa Artianingsih"/>
    <m/>
    <m/>
    <m/>
    <m/>
    <m/>
    <m/>
    <m/>
    <m/>
    <n v="250"/>
    <m/>
    <m/>
  </r>
  <r>
    <n v="1459"/>
    <x v="450"/>
    <x v="527"/>
    <s v="Gedung Cyber 1 Lantai 6 Jl. Kuningan Barat Raya No. 8 Jakarta Selatan 12710"/>
    <s v="Gedung Cyber APJII , Jl. Kuningan Barat Raya No.8, RT.1/RW.3, Kuningan Bar. Mampang Prpt, Jakarta Selatan, DKI Jakarta, Indonesia, 12710"/>
    <s v="DC Infomedia Jatinegara Jl. DI. Panjaitan No.42, Rawa Bunga, Jatinegara, DC Telkom Jatinegara, Jakarta Timur, DKI Jakarta, Indonesia"/>
    <s v="Sewa Bulanan"/>
    <x v="0"/>
    <x v="947"/>
    <s v="01000320539"/>
    <n v="0.995"/>
    <s v="Metronet"/>
    <s v="5 Mbps"/>
    <m/>
    <x v="7"/>
    <m/>
    <m/>
    <x v="458"/>
    <m/>
    <x v="918"/>
    <d v="2024-12-19T00:00:00"/>
    <x v="2"/>
    <m/>
    <d v="2024-09-06T00:00:00"/>
    <n v="104"/>
    <x v="5"/>
    <x v="1"/>
    <n v="4500019474"/>
    <n v="2214"/>
    <n v="4500022119"/>
    <s v="Syifa Artianingsih"/>
    <s v="Akmal"/>
    <s v="0853-1210-7138"/>
    <m/>
    <m/>
    <m/>
    <m/>
    <m/>
    <s v="F459"/>
    <s v="G415"/>
    <m/>
    <m/>
  </r>
  <r>
    <n v="1460"/>
    <x v="451"/>
    <x v="36"/>
    <s v="Ruko 53A, Jl. KH Abdullah Syafei No. 53 A RT 005 RW 002 Kelurahan Manggarai Selatan Kecamatan Tebet Jakarta Selatan 12860"/>
    <s v="Jalan Yos Sudarso, Sunter Jaya, Tj. Priok, Jakarta Utara, DKI Jakarta, Indonesia"/>
    <s v="Gedung Permata Kuningan Jl. Kuningan Mulia Kav 9C Lantai 9 Guntur, Setiabudi, Jakarta Selatan, DKI Jakarta, Indonesia,"/>
    <s v="Sewa Bulanan"/>
    <x v="0"/>
    <x v="948"/>
    <s v="01000192190"/>
    <s v="99,50%"/>
    <s v="Metronet"/>
    <s v="50 Mbps"/>
    <m/>
    <x v="113"/>
    <m/>
    <m/>
    <x v="168"/>
    <m/>
    <x v="700"/>
    <d v="2024-09-08T00:00:00"/>
    <x v="0"/>
    <m/>
    <d v="2024-09-06T00:00:00"/>
    <n v="2"/>
    <x v="7"/>
    <x v="1"/>
    <n v="4500017711"/>
    <s v="1091/SPP/SBU/ICON+/2023"/>
    <n v="4500021200"/>
    <s v="Syifa Artianingsih"/>
    <s v="Norman"/>
    <s v="0813-2398-2041"/>
    <m/>
    <m/>
    <m/>
    <m/>
    <m/>
    <m/>
    <n v="240"/>
    <m/>
    <m/>
  </r>
  <r>
    <n v="1461"/>
    <x v="452"/>
    <x v="265"/>
    <m/>
    <m/>
    <s v="Kino Tower building jl jalur Suter Boulevar no 1 Alam Sutera Kota Tangerang "/>
    <s v="Sewa Bulanan"/>
    <x v="0"/>
    <x v="67"/>
    <n v="1000024892"/>
    <m/>
    <s v="Radio"/>
    <s v="6 Mbps"/>
    <m/>
    <x v="112"/>
    <m/>
    <m/>
    <x v="459"/>
    <m/>
    <x v="126"/>
    <d v="2021-01-17T00:00:00"/>
    <x v="1"/>
    <m/>
    <d v="2024-09-06T00:00:00"/>
    <n v="-1328"/>
    <x v="11"/>
    <x v="4"/>
    <m/>
    <m/>
    <n v="4500015922"/>
    <s v="Syifa Artianingsih"/>
    <m/>
    <m/>
    <m/>
    <m/>
    <m/>
    <m/>
    <m/>
    <m/>
    <n v="170"/>
    <m/>
    <m/>
  </r>
  <r>
    <n v="1462"/>
    <x v="452"/>
    <x v="206"/>
    <s v="Graha Hyper Jl. Makaliwe Raya No. 24 - 24A grogol Petamburan Jakarta 11450"/>
    <s v="Jalan Raya PLN EHP Gandul Limo,  Cinere,  Depok,  Jawa Barat,  Indonesia,  16514"/>
    <s v="Rawamangun 1 LAPAN Pusat Jl. Pemuda Persil No.1 Rawamangun 13220,  -,  Jakarta Timur,  DKI Jakarta,"/>
    <s v="Sewa Bulanan"/>
    <x v="0"/>
    <x v="525"/>
    <s v="04000184286"/>
    <n v="0.95"/>
    <s v="Fion Internet Dedicated"/>
    <s v="80 Mbps"/>
    <m/>
    <x v="271"/>
    <m/>
    <m/>
    <x v="263"/>
    <m/>
    <x v="437"/>
    <d v="2022-02-28T00:00:00"/>
    <x v="1"/>
    <m/>
    <d v="2024-09-06T00:00:00"/>
    <n v="-921"/>
    <x v="9"/>
    <x v="2"/>
    <m/>
    <n v="17840"/>
    <n v="4500017628"/>
    <s v="Syifa Artianingsih"/>
    <m/>
    <m/>
    <m/>
    <m/>
    <m/>
    <m/>
    <m/>
    <m/>
    <n v="40"/>
    <m/>
    <s v="PROJECT TIM SDA"/>
  </r>
  <r>
    <n v="1463"/>
    <x v="452"/>
    <x v="206"/>
    <s v="Graha Hyper Jl. Makaliwe Raya No. 24 - 24A grogol Petamburan Jakarta 11450"/>
    <s v="Jalan Raya PLN EHP Gandul Limo,  Cinere,  Depok,  Jawa Barat,  Indonesia,  16514"/>
    <m/>
    <s v="Sewa Bulanan"/>
    <x v="0"/>
    <x v="67"/>
    <m/>
    <n v="0.95"/>
    <s v="Fion Internet Dedicated"/>
    <m/>
    <m/>
    <x v="456"/>
    <m/>
    <m/>
    <x v="460"/>
    <m/>
    <x v="201"/>
    <d v="2022-01-31T00:00:00"/>
    <x v="1"/>
    <m/>
    <d v="2024-09-06T00:00:00"/>
    <n v="-949"/>
    <x v="11"/>
    <x v="2"/>
    <m/>
    <n v="17639"/>
    <n v="4500017570"/>
    <s v="Syifa Artianingsih"/>
    <m/>
    <m/>
    <m/>
    <m/>
    <m/>
    <m/>
    <m/>
    <m/>
    <n v="41"/>
    <m/>
    <s v="PROJECT TIM SDA"/>
  </r>
  <r>
    <n v="1464"/>
    <x v="452"/>
    <x v="206"/>
    <s v="Graha Hyper Jl. Makaliwe Raya No. 24 - 24A grogol Petamburan Jakarta 11450"/>
    <s v="Jalan Raya PLN EHP Gandul Limo,  Cinere,  Depok,  Jawa Barat,  Indonesia,  16514"/>
    <m/>
    <s v="Sewa Bulanan"/>
    <x v="0"/>
    <x v="67"/>
    <m/>
    <n v="0.95"/>
    <s v="Fion Internet Dedicated"/>
    <m/>
    <m/>
    <x v="270"/>
    <m/>
    <m/>
    <x v="461"/>
    <m/>
    <x v="201"/>
    <d v="2022-01-31T00:00:00"/>
    <x v="1"/>
    <m/>
    <d v="2024-09-06T00:00:00"/>
    <n v="-949"/>
    <x v="11"/>
    <x v="2"/>
    <m/>
    <n v="17562"/>
    <n v="4500017364"/>
    <s v="Syifa Artianingsih"/>
    <m/>
    <m/>
    <m/>
    <m/>
    <m/>
    <m/>
    <m/>
    <m/>
    <n v="42"/>
    <m/>
    <s v="PROJECT TIM SDA"/>
  </r>
  <r>
    <n v="1465"/>
    <x v="453"/>
    <x v="39"/>
    <s v="Graha Hyper Jl. Makaliwe Raya No. 24 - 24A grogol Petamburan Jakarta 11450"/>
    <m/>
    <s v="Gd. Prodia Tower, Jl. Kramat Raya No. 150, Jakarta,KANTOR PUSAT JAKARTA ,Jakarta Pusat ,DKI Jakarta ,Indonesia ,   "/>
    <s v="Sewa Bulanan"/>
    <x v="0"/>
    <x v="949"/>
    <s v="01000089398"/>
    <n v="0.995"/>
    <s v="IPVPN"/>
    <s v="50 Mbps"/>
    <m/>
    <x v="457"/>
    <m/>
    <m/>
    <x v="79"/>
    <m/>
    <x v="919"/>
    <d v="2025-03-09T00:00:00"/>
    <x v="2"/>
    <m/>
    <d v="2024-09-06T00:00:00"/>
    <n v="184"/>
    <x v="8"/>
    <x v="3"/>
    <n v="4500020127"/>
    <n v="2899"/>
    <n v="4500022401"/>
    <s v="Syifa Artianingsih"/>
    <s v="Ibu Diah"/>
    <s v="0819-3381-8777"/>
    <m/>
    <m/>
    <m/>
    <m/>
    <m/>
    <m/>
    <s v="G71"/>
    <s v="H123"/>
    <m/>
  </r>
  <r>
    <n v="1466"/>
    <x v="453"/>
    <x v="881"/>
    <s v="Graha Hyper Jl. Makaliwe Raya No. 24 - 24A grogol Petamburan Jakarta 11450"/>
    <s v="Graha Inti Fauzi Lt. 5, Jl. warung Jata Barat No.22, Pejaten Barat, Pasar Minggu, Jakarta Selatan, DKI Jakarta, Indonesia 12510"/>
    <s v="Cabang PIK The Gallery Metro Broadway Blok 8 No. CB, CC, CD PIK Jl. Pantai Indah Utara 2 jakarta 14460, Indonesia"/>
    <s v="Sewa Bulanan"/>
    <x v="0"/>
    <x v="950"/>
    <s v="110120201012/0990000320517378"/>
    <n v="0.995"/>
    <s v="Metronet"/>
    <s v="15 Mbps"/>
    <m/>
    <x v="154"/>
    <m/>
    <m/>
    <x v="135"/>
    <m/>
    <x v="907"/>
    <d v="2025-06-30T00:00:00"/>
    <x v="2"/>
    <m/>
    <d v="2024-09-06T00:00:00"/>
    <n v="297"/>
    <x v="3"/>
    <x v="3"/>
    <n v="4500020616"/>
    <n v="3216"/>
    <n v="4500022678"/>
    <s v="Syifa Artianingsih"/>
    <s v="Ibu Diah"/>
    <s v="0819-3381-8777"/>
    <m/>
    <m/>
    <m/>
    <m/>
    <m/>
    <m/>
    <n v="142"/>
    <n v="141"/>
    <m/>
  </r>
  <r>
    <n v="1467"/>
    <x v="454"/>
    <x v="360"/>
    <s v="Jl. MH Thamrin No. 1"/>
    <m/>
    <s v="Cabang Pondok Indah ANZ Pondok Indah (samping Houbii adventure park) jl Metro pondok indah kav III B Jakarta Selatan, DKI Jakarta, Indonesia, 12310"/>
    <s v="Sewa Bulanan"/>
    <x v="0"/>
    <x v="771"/>
    <s v="01000119045"/>
    <n v="0.995"/>
    <s v="Metronet"/>
    <s v="50 Mbps"/>
    <m/>
    <x v="16"/>
    <m/>
    <m/>
    <x v="85"/>
    <m/>
    <x v="920"/>
    <d v="2025-06-21T00:00:00"/>
    <x v="2"/>
    <m/>
    <d v="2024-09-06T00:00:00"/>
    <n v="288"/>
    <x v="3"/>
    <x v="3"/>
    <n v="4500020615"/>
    <n v="2911"/>
    <n v="4500022407"/>
    <s v="Syifa Artianingsih"/>
    <s v="Firdio"/>
    <s v="0815-9489-484"/>
    <m/>
    <m/>
    <m/>
    <m/>
    <m/>
    <m/>
    <n v="145"/>
    <s v="H131"/>
    <m/>
  </r>
  <r>
    <n v="1468"/>
    <x v="454"/>
    <x v="39"/>
    <s v="Jl. MH Thamrin No. 1"/>
    <s v="Kramat Raya 150 jakarta"/>
    <s v="Ruko Kebayoran Arcade 2 sektor 7, Blok B No.33-35 Bintaro Tangerang, Jawa Barat, Indonesia"/>
    <s v="Sewa Bulanan"/>
    <x v="0"/>
    <x v="477"/>
    <s v="01000003493"/>
    <n v="0.995"/>
    <s v="IPVPN"/>
    <s v="5 Mbps"/>
    <m/>
    <x v="3"/>
    <m/>
    <m/>
    <x v="110"/>
    <m/>
    <x v="660"/>
    <d v="2024-10-31T00:00:00"/>
    <x v="2"/>
    <m/>
    <d v="2024-09-06T00:00:00"/>
    <n v="55"/>
    <x v="6"/>
    <x v="1"/>
    <n v="4500018817"/>
    <n v="1954"/>
    <n v="4500021653"/>
    <s v="Syifa Artianingsih"/>
    <s v="Firdio"/>
    <s v="0815-9489-484"/>
    <m/>
    <m/>
    <m/>
    <m/>
    <m/>
    <s v="F298"/>
    <s v="G382"/>
    <m/>
    <m/>
  </r>
  <r>
    <n v="1469"/>
    <x v="379"/>
    <x v="500"/>
    <s v="Jl. Rempoa Raya 11"/>
    <m/>
    <s v="PT HCMI Cibitung 2 kawasan industri MM2100 Jl. Selayar II Kav K-1 Cikarang Barat Bekasi (Interkoneksi dengan Indonet)"/>
    <s v="Sewa Bulanan"/>
    <x v="0"/>
    <x v="540"/>
    <s v="990000320511766"/>
    <s v="99.5%"/>
    <s v="Metronet"/>
    <s v="10 Mbps"/>
    <m/>
    <x v="2"/>
    <m/>
    <m/>
    <x v="95"/>
    <m/>
    <x v="473"/>
    <d v="2023-07-31T00:00:00"/>
    <x v="1"/>
    <m/>
    <d v="2024-09-06T00:00:00"/>
    <n v="-403"/>
    <x v="1"/>
    <x v="6"/>
    <n v="4500016433"/>
    <n v="19191"/>
    <n v="4500018422"/>
    <s v="Syifa Artianingsih"/>
    <m/>
    <m/>
    <m/>
    <m/>
    <m/>
    <m/>
    <m/>
    <m/>
    <n v="227"/>
    <m/>
    <m/>
  </r>
  <r>
    <n v="1470"/>
    <x v="455"/>
    <x v="882"/>
    <s v="Jl. Rempoa Raya 11"/>
    <m/>
    <s v="Gedung Cyber Lantai 1 (Kuningan City Jl Prof DR Satrio Kav 18 Unit LG 18 - 01) "/>
    <s v="Sewa Bulanan"/>
    <x v="0"/>
    <x v="374"/>
    <s v="01000045931"/>
    <n v="0.995"/>
    <s v="Local Loop"/>
    <s v="4 Mbps"/>
    <m/>
    <x v="33"/>
    <m/>
    <m/>
    <x v="14"/>
    <m/>
    <x v="126"/>
    <d v="2021-04-30T00:00:00"/>
    <x v="1"/>
    <m/>
    <d v="2024-09-06T00:00:00"/>
    <n v="-1225"/>
    <x v="10"/>
    <x v="4"/>
    <n v="4500012201"/>
    <n v="19588"/>
    <n v="4500018686"/>
    <s v="Syifa Artianingsih"/>
    <m/>
    <m/>
    <m/>
    <m/>
    <m/>
    <m/>
    <m/>
    <m/>
    <n v="285"/>
    <m/>
    <s v="PO bersama dengan Collocation Rp 5,000,000/Bulan"/>
  </r>
  <r>
    <n v="1471"/>
    <x v="379"/>
    <x v="367"/>
    <s v="Rumah Indonet. Jl.Rempoa Raya No. 11 Ciputat. Tangerang Selatan – Banten 15412"/>
    <s v="PT USG UNGARAN Jl. Diponegoro No 235 Ungaran,- ,- ,- ,Indonesia"/>
    <s v="AXA Tower Lt 43 Jl. Prof. Dr. Satrio Kec. Setiabudi Jakarta Selatan,- ,- ,- ,Indonesia ,-"/>
    <s v="Sewa Bulanan"/>
    <x v="0"/>
    <x v="320"/>
    <s v="0990000320458219"/>
    <n v="0.995"/>
    <s v="Metronet"/>
    <s v="20 Mbps"/>
    <m/>
    <x v="2"/>
    <m/>
    <m/>
    <x v="462"/>
    <m/>
    <x v="921"/>
    <d v="2024-12-05T00:00:00"/>
    <x v="2"/>
    <m/>
    <d v="2024-09-06T00:00:00"/>
    <n v="90"/>
    <x v="5"/>
    <x v="1"/>
    <n v="4500019388"/>
    <n v="2101"/>
    <n v="4500021849"/>
    <s v="Syifa Artianingsih"/>
    <s v="Asep "/>
    <s v="0857-7177-7685"/>
    <m/>
    <m/>
    <m/>
    <m/>
    <m/>
    <s v="F366"/>
    <s v="G405"/>
    <m/>
    <m/>
  </r>
  <r>
    <n v="1472"/>
    <x v="379"/>
    <x v="254"/>
    <s v="Rumah Indonet. Jl.Rempoa Raya No. 11 Ciputat. Tangerang Selatan – Banten 15412"/>
    <m/>
    <s v="Jl. Selayar II Blok H7, Kawasan Industri MM2100, Cikarang Barat, Bekasi, 17845, Indonesia"/>
    <s v="Sewa Bulanan"/>
    <x v="0"/>
    <x v="285"/>
    <s v="0990000320655291"/>
    <n v="0.995"/>
    <s v="Metronet"/>
    <s v="5 Mbps"/>
    <m/>
    <x v="42"/>
    <m/>
    <m/>
    <x v="463"/>
    <m/>
    <x v="667"/>
    <d v="2025-01-31T00:00:00"/>
    <x v="1"/>
    <m/>
    <d v="2024-09-06T00:00:00"/>
    <n v="147"/>
    <x v="11"/>
    <x v="3"/>
    <n v="4500019931"/>
    <s v="2502/SPP/SBU/PLNICONPLUS/2024"/>
    <n v="4500022622"/>
    <s v="Syifa Artianingsih"/>
    <s v="Asep "/>
    <s v="0857-7177-7685"/>
    <m/>
    <m/>
    <m/>
    <m/>
    <m/>
    <m/>
    <n v="18"/>
    <n v="139"/>
    <s v="Dismantle per 31 Agustus 2024"/>
  </r>
  <r>
    <n v="1473"/>
    <x v="379"/>
    <x v="883"/>
    <s v="Rumah Indonet. Jl.Rempoa Raya No. 11 Ciputat. Tangerang Selatan – Banten 15412"/>
    <m/>
    <s v="KCP Kota Baru Parahyangan (KBP), Jl Panyawangan Kav 6 No.6, Kota Baru Parahyangan,- ,- ,- ,Indonesia ,-   "/>
    <s v="Sewa Bulanan"/>
    <x v="0"/>
    <x v="951"/>
    <s v="0990000320472425"/>
    <n v="0.995"/>
    <s v="IPVPN"/>
    <s v="6 Mbps"/>
    <m/>
    <x v="2"/>
    <m/>
    <m/>
    <x v="79"/>
    <m/>
    <x v="922"/>
    <d v="2025-02-21T00:00:00"/>
    <x v="2"/>
    <m/>
    <d v="2024-09-06T00:00:00"/>
    <n v="168"/>
    <x v="9"/>
    <x v="3"/>
    <n v="4500020059"/>
    <n v="2472"/>
    <n v="4500022242"/>
    <s v="Syifa Artianingsih"/>
    <s v="Asep "/>
    <s v="0857-7177-7685"/>
    <m/>
    <m/>
    <m/>
    <m/>
    <m/>
    <m/>
    <n v="84"/>
    <s v="H58"/>
    <m/>
  </r>
  <r>
    <n v="1474"/>
    <x v="379"/>
    <x v="884"/>
    <s v="Rumah Indonet. Jl.Rempoa Raya No. 11 Ciputat. Tangerang Selatan – Banten 15412"/>
    <s v="-"/>
    <s v=" Toyota Astra Motor new Site 2, Jl. Selayar Kav. B10 Kawasan Industri MM2100 (TTC) Interkoneksi Indonet, Indonesia"/>
    <s v="Sewa Bulanan"/>
    <x v="0"/>
    <x v="952"/>
    <s v="'0990000320655320"/>
    <n v="0.995"/>
    <s v="Internet Corporate"/>
    <s v="85 Mbps"/>
    <m/>
    <x v="301"/>
    <m/>
    <m/>
    <x v="464"/>
    <m/>
    <x v="907"/>
    <d v="2025-06-30T00:00:00"/>
    <x v="1"/>
    <m/>
    <d v="2024-09-06T00:00:00"/>
    <n v="297"/>
    <x v="3"/>
    <x v="3"/>
    <n v="4500020642"/>
    <n v="3218"/>
    <n v="4500022679"/>
    <s v="Syifa Artianingsih"/>
    <s v="Asep "/>
    <s v="0857-7177-7685"/>
    <m/>
    <m/>
    <m/>
    <m/>
    <m/>
    <m/>
    <n v="14"/>
    <n v="136"/>
    <s v="Dismantle per 31 Agustus 2024"/>
  </r>
  <r>
    <n v="1475"/>
    <x v="379"/>
    <x v="197"/>
    <s v="Rumah Indonet. Jl.Rempoa Raya No. 11 Ciputat. Tangerang Selatan – Banten 15412"/>
    <s v="'PT. ASTRA DAIHATSU MOTOR, JL. GAYA MOTOR 3 NO.5 SUNTER II, JAKARTA UTARA"/>
    <s v="JL. SELAYAR BLOK A-6 KAWASAN MM2100 IDUSTRIAL ESTATE CIBITUNG (Interkoneksi Indonet)"/>
    <s v="Sewa Bulanan"/>
    <x v="0"/>
    <x v="953"/>
    <s v="'0990000320512190"/>
    <n v="0.995"/>
    <s v="Metronet"/>
    <s v="100 Mbps"/>
    <m/>
    <x v="458"/>
    <m/>
    <m/>
    <x v="465"/>
    <m/>
    <x v="923"/>
    <d v="2024-04-09T00:00:00"/>
    <x v="1"/>
    <m/>
    <d v="2024-09-06T00:00:00"/>
    <n v="-150"/>
    <x v="10"/>
    <x v="1"/>
    <n v="4500019380"/>
    <n v="21886"/>
    <n v="4500020481"/>
    <s v="Syifa Artianingsih"/>
    <m/>
    <m/>
    <m/>
    <m/>
    <m/>
    <m/>
    <m/>
    <m/>
    <n v="144"/>
    <m/>
    <s v="Upgrade"/>
  </r>
  <r>
    <n v="1476"/>
    <x v="379"/>
    <x v="197"/>
    <s v="Rumah Indonet. Jl.Rempoa Raya No. 11 Ciputat. Tangerang Selatan – Banten 15412"/>
    <m/>
    <s v="Jl Selayar Blok A-6 Kawasan MM2100 Industrial Estate Cibitung (Interkoneksi Indonet)"/>
    <s v="Sewa Bulanan"/>
    <x v="0"/>
    <x v="954"/>
    <s v="111205023533"/>
    <n v="0.995"/>
    <s v="IPVPN"/>
    <s v="100 Mbps"/>
    <m/>
    <x v="459"/>
    <m/>
    <m/>
    <x v="466"/>
    <m/>
    <x v="734"/>
    <d v="2024-08-13T00:00:00"/>
    <x v="2"/>
    <m/>
    <d v="2024-09-06T00:00:00"/>
    <n v="-24"/>
    <x v="12"/>
    <x v="1"/>
    <m/>
    <n v="21558"/>
    <n v="4500020213"/>
    <s v="Syifa Artianingsih"/>
    <m/>
    <m/>
    <m/>
    <m/>
    <m/>
    <m/>
    <m/>
    <m/>
    <n v="324"/>
    <m/>
    <s v="Biaya OTC Rp 2.500.000"/>
  </r>
  <r>
    <n v="1477"/>
    <x v="379"/>
    <x v="445"/>
    <s v="Rumah Indonet. Jl.Rempoa Raya No. 11 Ciputat. Tangerang Selatan – Banten 15412"/>
    <m/>
    <s v="Bekasi Fajar Industrial Estate, Jalan jawa Kav. A1, Kawasan Industri MM2100, Mekarwangi, Cikarang Barat, Mekarwangi,  Cikarang,  Kota Bekasi,  Jawa Barat, Indonesia,17520"/>
    <s v="Sewa Bulanan"/>
    <x v="0"/>
    <x v="321"/>
    <s v="01000073731"/>
    <n v="0.995"/>
    <s v="IPVPN"/>
    <s v="5 Mbps"/>
    <m/>
    <x v="50"/>
    <m/>
    <m/>
    <x v="467"/>
    <m/>
    <x v="764"/>
    <d v="2024-10-15T00:00:00"/>
    <x v="2"/>
    <m/>
    <d v="2024-09-06T00:00:00"/>
    <n v="39"/>
    <x v="6"/>
    <x v="1"/>
    <n v="4500018886"/>
    <n v="1682"/>
    <n v="4500021534"/>
    <s v="Syifa Artianingsih"/>
    <m/>
    <m/>
    <m/>
    <m/>
    <m/>
    <m/>
    <m/>
    <m/>
    <n v="294"/>
    <m/>
    <m/>
  </r>
  <r>
    <n v="1478"/>
    <x v="379"/>
    <x v="259"/>
    <s v="Rumah Indonet. Jl.Rempoa Raya No. 11 Ciputat. Tangerang Selatan – Banten 15412"/>
    <s v="Toyota Astra Motor new Site 2, Jl. Selayar Kav. B10 Kawasan Industri MM2100 (TTC) Interkoneksi Indonet"/>
    <s v="Jl. Proklamasi No. 53 Menteng Jakarta Pusat"/>
    <s v="Sewa Bulanan"/>
    <x v="0"/>
    <x v="590"/>
    <s v="0990000320655959"/>
    <n v="0.995"/>
    <s v="Metronet"/>
    <s v="10 Mbps"/>
    <m/>
    <x v="39"/>
    <m/>
    <m/>
    <x v="95"/>
    <m/>
    <x v="587"/>
    <d v="2024-12-31T00:00:00"/>
    <x v="1"/>
    <m/>
    <d v="2024-09-06T00:00:00"/>
    <n v="116"/>
    <x v="5"/>
    <x v="1"/>
    <n v="4500019445"/>
    <n v="2102"/>
    <n v="4500021835"/>
    <s v="Syifa Artianingsih"/>
    <m/>
    <m/>
    <m/>
    <m/>
    <m/>
    <m/>
    <m/>
    <m/>
    <m/>
    <m/>
    <s v="Dismantle per 31 Agustus 2024"/>
  </r>
  <r>
    <n v="1479"/>
    <x v="379"/>
    <x v="63"/>
    <s v="Rumah Indonet. Jl.Rempoa Raya No. 11 Ciputat. Tangerang Selatan – Banten 15412"/>
    <s v="Elitery Data Center, Jl Raya Pajajaran no 17 Bogor, Kab Bogor, Jawa Barat, Indonesia, 16143"/>
    <s v="Toyota Astra Motor New Site 2, Jl. Selayar Kav. B10 Kawasan Industri MM 2100 (TTC) (Interkoneksi dg indonet), Indonesia"/>
    <s v="Sewa Bulanan"/>
    <x v="0"/>
    <x v="68"/>
    <s v="0990000320514810"/>
    <n v="0.995"/>
    <s v="Metronet"/>
    <s v="100 Mbps"/>
    <m/>
    <x v="49"/>
    <m/>
    <m/>
    <x v="38"/>
    <m/>
    <x v="924"/>
    <d v="2024-12-09T00:00:00"/>
    <x v="2"/>
    <m/>
    <d v="2024-09-06T00:00:00"/>
    <n v="94"/>
    <x v="5"/>
    <x v="1"/>
    <n v="4500019393"/>
    <n v="2099"/>
    <n v="4500021798"/>
    <s v="Syifa Artianingsih"/>
    <m/>
    <m/>
    <m/>
    <m/>
    <m/>
    <m/>
    <m/>
    <m/>
    <m/>
    <m/>
    <m/>
  </r>
  <r>
    <n v="1480"/>
    <x v="379"/>
    <x v="885"/>
    <s v="Rumah Indonet. Jl.Rempoa Raya No. 11 Ciputat. Tangerang Selatan – Banten 15412"/>
    <s v="Toyota Astra Motor HO (existing) Jl. Yos Sudarso Sunter II Jakarta (existing)"/>
    <s v="Toyota Astra Motor SPLD, Kawasan Industri MM 2100 BI A1-1/A1-2 Cibitung (existing)"/>
    <s v="Sewa Bulanan"/>
    <x v="0"/>
    <x v="287"/>
    <s v="0990000320322484"/>
    <n v="0.995"/>
    <s v="Metronet"/>
    <s v="50 Mbps"/>
    <m/>
    <x v="166"/>
    <m/>
    <m/>
    <x v="145"/>
    <m/>
    <x v="587"/>
    <d v="2024-12-31T00:00:00"/>
    <x v="1"/>
    <m/>
    <d v="2024-09-06T00:00:00"/>
    <n v="116"/>
    <x v="5"/>
    <x v="1"/>
    <n v="4500019389"/>
    <n v="2103"/>
    <n v="4500021837"/>
    <s v="Syifa Artianingsih"/>
    <m/>
    <m/>
    <m/>
    <m/>
    <m/>
    <m/>
    <m/>
    <m/>
    <m/>
    <m/>
    <s v="Dismantle per 31 Agustus 2024"/>
  </r>
  <r>
    <n v="1481"/>
    <x v="456"/>
    <x v="886"/>
    <m/>
    <m/>
    <m/>
    <s v="Sewa Bulanan"/>
    <x v="0"/>
    <x v="955"/>
    <s v="'0990000320512227; 0990000320664612"/>
    <n v="0.999"/>
    <s v="IPVPN"/>
    <s v="1 Mbps"/>
    <m/>
    <x v="296"/>
    <m/>
    <m/>
    <x v="296"/>
    <m/>
    <x v="504"/>
    <d v="2023-12-31T00:00:00"/>
    <x v="1"/>
    <m/>
    <d v="2024-09-06T00:00:00"/>
    <n v="-250"/>
    <x v="5"/>
    <x v="6"/>
    <n v="4500019430"/>
    <n v="20889"/>
    <n v="4500019778"/>
    <s v="Syifa Artianingsih"/>
    <m/>
    <m/>
    <m/>
    <m/>
    <m/>
    <m/>
    <m/>
    <m/>
    <n v="107"/>
    <m/>
    <m/>
  </r>
  <r>
    <n v="1482"/>
    <x v="127"/>
    <x v="887"/>
    <s v="Jl. Cikini Raya NO. 12 - 14 Cikini Menteng Jakarta Pusat 10330"/>
    <s v="menara jamsosktek selatan lt.2, jl. Jend. Gatot subroto no. 38"/>
    <s v="kcp cikarang, ruko roxy blok d 19, kab. Bekasi-cikarang-jawa barat"/>
    <s v="Sewa Bulanan"/>
    <x v="0"/>
    <x v="956"/>
    <m/>
    <m/>
    <s v="IPVPN"/>
    <s v="1 Mbps"/>
    <m/>
    <x v="31"/>
    <m/>
    <m/>
    <x v="18"/>
    <m/>
    <x v="246"/>
    <d v="2022-10-31T00:00:00"/>
    <x v="1"/>
    <m/>
    <d v="2024-09-06T00:00:00"/>
    <n v="-676"/>
    <x v="6"/>
    <x v="2"/>
    <n v="4500015208"/>
    <m/>
    <n v="4500016841"/>
    <s v="Syifa Artianingsih"/>
    <m/>
    <m/>
    <m/>
    <m/>
    <m/>
    <m/>
    <m/>
    <m/>
    <n v="314"/>
    <m/>
    <s v="DEACTIVASI sesuai masa habis PO"/>
  </r>
  <r>
    <n v="1483"/>
    <x v="457"/>
    <x v="528"/>
    <s v="Graha Tirtadi Lt. 303 Jl. Pangeran Antasari No. 18A"/>
    <m/>
    <s v="7010 KCP Gd. Patrajasa, Jl.Jend.Gatot Subroto Kav.32-34 Jaksel"/>
    <s v="Sewa Bulanan"/>
    <x v="0"/>
    <x v="488"/>
    <s v="0990000320542404 "/>
    <n v="0.995"/>
    <s v="IPVPN"/>
    <s v="8 Mbps"/>
    <m/>
    <x v="252"/>
    <m/>
    <m/>
    <x v="88"/>
    <m/>
    <x v="495"/>
    <d v="2023-09-20T00:00:00"/>
    <x v="1"/>
    <m/>
    <d v="2024-09-06T00:00:00"/>
    <n v="-352"/>
    <x v="7"/>
    <x v="6"/>
    <n v="4500016774"/>
    <n v="19743"/>
    <n v="4500018820"/>
    <s v="Syifa Artianingsih"/>
    <m/>
    <m/>
    <m/>
    <m/>
    <m/>
    <m/>
    <m/>
    <m/>
    <n v="299"/>
    <m/>
    <m/>
  </r>
  <r>
    <n v="1484"/>
    <x v="458"/>
    <x v="888"/>
    <s v="Podomoro City Ruko GSA 8DH Lantai 4, Jl. S.Parman - Jakarta Barat, RT.15/RW.5, Tj. Duren Sel., Grogol petamburan, Jakarta, Indonesia"/>
    <m/>
    <s v="DRC Rempoa Jl. Ir. H. Juanda, Rempoa"/>
    <s v="Sewa Bulanan"/>
    <x v="0"/>
    <x v="957"/>
    <s v="01000158008"/>
    <n v="0.99"/>
    <s v="IPVPN"/>
    <s v="512 Kbps"/>
    <m/>
    <x v="112"/>
    <m/>
    <m/>
    <x v="468"/>
    <m/>
    <x v="612"/>
    <d v="2021-12-31T00:00:00"/>
    <x v="1"/>
    <m/>
    <d v="2024-09-06T00:00:00"/>
    <n v="-980"/>
    <x v="5"/>
    <x v="4"/>
    <m/>
    <n v="17432"/>
    <n v="4500017292"/>
    <s v="Syifa Artianingsih"/>
    <m/>
    <m/>
    <m/>
    <m/>
    <m/>
    <m/>
    <m/>
    <m/>
    <m/>
    <m/>
    <s v="Tidak diperpanjang di SBU Jakban"/>
  </r>
  <r>
    <n v="1485"/>
    <x v="458"/>
    <x v="888"/>
    <s v="Podomoro City Ruko GSA 8DH Lantai 4, Jl. S.Parman - Jakarta Barat, RT.15/RW.5, Tj. Duren Sel., Grogol petamburan, Jakarta, Indonesia"/>
    <m/>
    <s v="Jl. Dewi Sartika No.83, RT.6/RW.13, Cawang"/>
    <s v="Sewa Bulanan"/>
    <x v="0"/>
    <x v="958"/>
    <s v="01000157994"/>
    <n v="0.99"/>
    <s v="IPVPN"/>
    <s v="512 Kbps"/>
    <m/>
    <x v="112"/>
    <m/>
    <m/>
    <x v="468"/>
    <m/>
    <x v="612"/>
    <d v="2021-12-31T00:00:00"/>
    <x v="1"/>
    <m/>
    <d v="2024-09-06T00:00:00"/>
    <n v="-980"/>
    <x v="5"/>
    <x v="4"/>
    <m/>
    <n v="17431"/>
    <n v="4500017291"/>
    <s v="Syifa Artianingsih"/>
    <m/>
    <m/>
    <m/>
    <m/>
    <m/>
    <m/>
    <m/>
    <m/>
    <m/>
    <m/>
    <s v="Tidak diperpanjang di SBU Jakban"/>
  </r>
  <r>
    <n v="1486"/>
    <x v="459"/>
    <x v="366"/>
    <s v="Jl. Riau 23"/>
    <m/>
    <s v="Jl Pasar Putih Raya Kav 1 Ancol Kec. Pademangan Jakarta Utara DKI jakarta, Indonesia"/>
    <s v="Sewa Bulanan"/>
    <x v="0"/>
    <x v="959"/>
    <s v="110130200131/04000301037"/>
    <n v="0.995"/>
    <s v="Internet IIX"/>
    <s v="60 Mbps"/>
    <m/>
    <x v="10"/>
    <m/>
    <m/>
    <x v="79"/>
    <m/>
    <x v="925"/>
    <d v="2024-12-14T00:00:00"/>
    <x v="2"/>
    <m/>
    <d v="2024-09-06T00:00:00"/>
    <n v="99"/>
    <x v="5"/>
    <x v="1"/>
    <n v="4500019209"/>
    <n v="2098"/>
    <n v="4500021797"/>
    <s v="Syifa Artianingsih"/>
    <s v="Annisa"/>
    <s v="0888-1389-976"/>
    <m/>
    <m/>
    <m/>
    <m/>
    <m/>
    <n v="368"/>
    <n v="407"/>
    <m/>
    <m/>
  </r>
  <r>
    <n v="1487"/>
    <x v="460"/>
    <x v="889"/>
    <s v="Jl. Mayor Oking KM2 Cibinong"/>
    <s v="Kawasan Industri Bintang Puspita Dwikarya, Kampung Baregbeg, Desa Wanasari, Kec. Teluk Jambe Barat, Karawang 41361 (Backhaul),- ,- ,- ,Indonesia,KEC. TELUK JAMBE VARAT ,Kabupaten Karawang ,Jawa Barat ,Indonesia ,41361   "/>
    <s v=": Jl. Bhumimas II No.2, Talaga, Kec. Cikupa, Tangerang, Banten 15710, Indonesia,CIKUPA ,Kabupaten Tangerang ,Banten ,Indonesia ,15710   "/>
    <s v="Sewa Bulanan"/>
    <x v="0"/>
    <x v="960"/>
    <s v="'01000146804"/>
    <n v="0.995"/>
    <s v="Metronet"/>
    <s v="4 Mbps"/>
    <m/>
    <x v="30"/>
    <m/>
    <m/>
    <x v="10"/>
    <m/>
    <x v="675"/>
    <d v="2025-05-19T00:00:00"/>
    <x v="2"/>
    <m/>
    <d v="2024-09-06T00:00:00"/>
    <n v="255"/>
    <x v="4"/>
    <x v="3"/>
    <n v="4500020480"/>
    <n v="2574"/>
    <n v="4500022241"/>
    <s v="Syifa Artianingsih"/>
    <s v="Bayu"/>
    <s v="0857-1160-7721"/>
    <m/>
    <m/>
    <m/>
    <m/>
    <m/>
    <m/>
    <m/>
    <s v="H59"/>
    <m/>
  </r>
  <r>
    <n v="1488"/>
    <x v="461"/>
    <x v="890"/>
    <s v="Citra Graha Lantai 4, Suite 403"/>
    <s v="Kantor ICON_ DC Gandul JL PLN Ehave"/>
    <s v="Data Center GTN "/>
    <s v="Sewa Bulanan"/>
    <x v="0"/>
    <x v="961"/>
    <s v="100230/024"/>
    <m/>
    <s v="Metro (local loop)"/>
    <s v="100 Mbps"/>
    <m/>
    <x v="142"/>
    <m/>
    <m/>
    <x v="191"/>
    <m/>
    <x v="163"/>
    <d v="2022-03-31T00:00:00"/>
    <x v="1"/>
    <m/>
    <d v="2024-09-06T00:00:00"/>
    <n v="-890"/>
    <x v="8"/>
    <x v="2"/>
    <n v="4500014943"/>
    <n v="16173"/>
    <n v="4500016471"/>
    <s v="Syifa Artianingsih"/>
    <m/>
    <m/>
    <m/>
    <m/>
    <m/>
    <m/>
    <m/>
    <m/>
    <n v="231"/>
    <m/>
    <m/>
  </r>
  <r>
    <n v="1489"/>
    <x v="461"/>
    <x v="891"/>
    <s v="Citra Graha Lantai 4, Suite 403"/>
    <s v="Kantor ICON_ DC Gandul JL PLN Ehave"/>
    <s v="Data Center GTN"/>
    <s v="Sewa Bulanan"/>
    <x v="0"/>
    <x v="67"/>
    <s v="I00230/024"/>
    <m/>
    <s v="Metro (local loop)"/>
    <s v="1 Gbps"/>
    <m/>
    <x v="112"/>
    <m/>
    <m/>
    <x v="191"/>
    <m/>
    <x v="163"/>
    <d v="2022-03-31T00:00:00"/>
    <x v="1"/>
    <m/>
    <d v="2024-09-06T00:00:00"/>
    <n v="-890"/>
    <x v="8"/>
    <x v="2"/>
    <m/>
    <n v="16173"/>
    <n v="4500016471"/>
    <s v="Syifa Artianingsih"/>
    <m/>
    <m/>
    <m/>
    <m/>
    <m/>
    <m/>
    <m/>
    <m/>
    <n v="231"/>
    <m/>
    <m/>
  </r>
  <r>
    <n v="1490"/>
    <x v="461"/>
    <x v="206"/>
    <s v="centennial Tower 26th Floor, Unit D Jl. Gatot Subroto Kav 24-25 Jakarta 12950"/>
    <m/>
    <m/>
    <s v="Sewa Bulanan"/>
    <x v="0"/>
    <x v="226"/>
    <s v="01000182738"/>
    <n v="0.995"/>
    <s v="Internet Dedicated"/>
    <s v="500 Mbps"/>
    <m/>
    <x v="460"/>
    <m/>
    <m/>
    <x v="469"/>
    <m/>
    <x v="201"/>
    <d v="2022-02-28T00:00:00"/>
    <x v="1"/>
    <m/>
    <d v="2024-09-06T00:00:00"/>
    <n v="-921"/>
    <x v="9"/>
    <x v="2"/>
    <m/>
    <n v="17601"/>
    <n v="4500017488"/>
    <s v="Syifa Artianingsih"/>
    <m/>
    <m/>
    <m/>
    <m/>
    <m/>
    <m/>
    <m/>
    <m/>
    <n v="51"/>
    <m/>
    <s v="PROJECT TIM SDA"/>
  </r>
  <r>
    <n v="1491"/>
    <x v="462"/>
    <x v="892"/>
    <s v="centennial Tower 26th Floor, Unit D Jl. Gatot Subroto Kav 24-25 Jakarta 12950"/>
    <s v="-"/>
    <s v="PT. Bumimulia Indah Lestari Kawasan Industri, Jl. Kawasan Marunda Center No.1, Pantai makmur,  Tarumajaya,  Bekasi,  Jawa Barat, Indonesia, 17212"/>
    <s v="Sewa Bulanan"/>
    <x v="0"/>
    <x v="962"/>
    <s v="110120202451"/>
    <n v="0.995"/>
    <s v="Metronet"/>
    <s v="10 Mbps"/>
    <m/>
    <x v="134"/>
    <m/>
    <m/>
    <x v="470"/>
    <m/>
    <x v="926"/>
    <d v="2025-06-19T00:00:00"/>
    <x v="2"/>
    <m/>
    <d v="2024-09-06T00:00:00"/>
    <n v="286"/>
    <x v="3"/>
    <x v="3"/>
    <n v="4500018070"/>
    <n v="3098"/>
    <n v="4500022572"/>
    <s v="Syifa Artianingsih"/>
    <s v="Bunga"/>
    <s v="0812-8990-0771"/>
    <m/>
    <m/>
    <m/>
    <m/>
    <m/>
    <m/>
    <n v="135"/>
    <n v="133"/>
    <m/>
  </r>
  <r>
    <n v="1492"/>
    <x v="462"/>
    <x v="889"/>
    <s v="centennial Tower 26th Floor, Unit D Jl. Gatot Subroto Kav 24-25 Jakarta 12950"/>
    <s v="Kawasan Industri Bintang Puspita Dwikarya, Kampung Baregbeg, Desa Wanasari, Kec. Teluk Jambe Barat, Karawang 41361 "/>
    <s v="Delta Silicon 3 Jalan Rotan 1 Blok F27 No.19A-B Lippo, Cicau,  Kec. Cikarang Pusat,  Bekasi,  Jawa Barat,"/>
    <s v="Sewa Bulanan"/>
    <x v="0"/>
    <x v="469"/>
    <s v="'01000176754"/>
    <n v="0.995"/>
    <s v="Metronet"/>
    <s v="2 Mbps"/>
    <m/>
    <x v="10"/>
    <m/>
    <m/>
    <x v="10"/>
    <m/>
    <x v="469"/>
    <d v="2023-11-30T00:00:00"/>
    <x v="1"/>
    <m/>
    <d v="2024-09-06T00:00:00"/>
    <n v="-281"/>
    <x v="2"/>
    <x v="6"/>
    <n v="4500017175"/>
    <n v="19940"/>
    <n v="4500018893"/>
    <s v="Syifa Artianingsih"/>
    <m/>
    <m/>
    <m/>
    <m/>
    <m/>
    <m/>
    <m/>
    <m/>
    <n v="316"/>
    <m/>
    <m/>
  </r>
  <r>
    <n v="1493"/>
    <x v="461"/>
    <x v="45"/>
    <s v="centennial Tower 26th Floor, Unit D Jl. Gatot Subroto Kav 24-25 Jakarta 12950"/>
    <s v="Gedung Bank Woori Saudara Jalan Diponegoro No 28  Bandung "/>
    <s v="KCP Union Square Cikarang Ruko Union Square A6 Lippo Cikarang Cibatu"/>
    <s v="Sewa Bulanan"/>
    <x v="0"/>
    <x v="963"/>
    <s v="990000320493866/ 990000320493868"/>
    <n v="0.99"/>
    <s v="IPVPN"/>
    <s v="2 Mbps"/>
    <m/>
    <x v="245"/>
    <m/>
    <m/>
    <x v="241"/>
    <m/>
    <x v="484"/>
    <d v="2022-05-13T00:00:00"/>
    <x v="1"/>
    <m/>
    <d v="2024-09-06T00:00:00"/>
    <n v="-847"/>
    <x v="4"/>
    <x v="2"/>
    <n v="4500015653"/>
    <n v="19712"/>
    <n v="4500018776"/>
    <s v="Syifa Artianingsih"/>
    <m/>
    <m/>
    <m/>
    <m/>
    <m/>
    <m/>
    <m/>
    <m/>
    <n v="295"/>
    <m/>
    <m/>
  </r>
  <r>
    <n v="1494"/>
    <x v="462"/>
    <x v="893"/>
    <s v="centennial Tower 26th Floor, Unit D Jl. Gatot Subroto Kav 24-25 Jakarta 12950"/>
    <m/>
    <s v="Pertamedika IHC, Menara Sentraya Lt.26, Jl. Iskandarsyah Raya No.1A, RT.3/RW.1, Kantor Pusat, Gedung Wisma Mulia Jl Gatot Subroto no 42, Jakarta 12710"/>
    <s v="Sewa Bulanan"/>
    <x v="0"/>
    <x v="964"/>
    <s v="01000219538"/>
    <n v="0.995"/>
    <s v="Metronet"/>
    <s v="100 Mbps"/>
    <m/>
    <x v="461"/>
    <m/>
    <m/>
    <x v="471"/>
    <m/>
    <x v="927"/>
    <d v="2024-04-30T00:00:00"/>
    <x v="1"/>
    <m/>
    <d v="2024-09-06T00:00:00"/>
    <n v="-129"/>
    <x v="10"/>
    <x v="1"/>
    <m/>
    <n v="1600"/>
    <n v="4500022107"/>
    <s v="Syifa Artianingsih"/>
    <m/>
    <m/>
    <m/>
    <m/>
    <m/>
    <m/>
    <m/>
    <n v="231"/>
    <s v="G411"/>
    <m/>
    <s v="PO sudah di Upgrade"/>
  </r>
  <r>
    <n v="1495"/>
    <x v="462"/>
    <x v="232"/>
    <s v="centennial Tower 26th Floor, Unit D Jl. Gatot Subroto Kav 24-25 Jakarta 12950"/>
    <m/>
    <s v="KASN , Gedung Smesco Lantai 14,Jl. Gatot Subroto No.kav. 94,  Pancoran,  Jakarta Selatan,  DKI Jakarta,  Indonesia,  "/>
    <s v="Sewa Bulanan"/>
    <x v="0"/>
    <x v="260"/>
    <s v="04000099341"/>
    <n v="0.995"/>
    <s v="Internet Corporate"/>
    <s v="30 Mbps"/>
    <m/>
    <x v="178"/>
    <m/>
    <m/>
    <x v="85"/>
    <m/>
    <x v="504"/>
    <d v="2023-12-31T00:00:00"/>
    <x v="1"/>
    <m/>
    <d v="2024-09-06T00:00:00"/>
    <n v="-250"/>
    <x v="5"/>
    <x v="6"/>
    <n v="4500017999"/>
    <n v="20946"/>
    <n v="4500019854"/>
    <s v="Syifa Artianingsih"/>
    <m/>
    <m/>
    <m/>
    <m/>
    <m/>
    <m/>
    <m/>
    <m/>
    <s v="G1"/>
    <m/>
    <m/>
  </r>
  <r>
    <n v="1496"/>
    <x v="462"/>
    <x v="323"/>
    <s v="centennial Tower 26th Floor, Unit D Jl. Gatot Subroto Kav 24-25 Jakarta 12950"/>
    <s v="Lippo Cikarang, Jl. Mataram No.6A, Cibatu, Cikarang Sel., Bekasi, Jawa Barat 17530,- ,Bekasi ,Jawa Barat "/>
    <s v="'DC GTN Lippo Cikarang, Jl. Mataram No.6A, Cibatu, Cikarang Sel., Bekasi, Jawa Barat 17530,- ,Bekasi ,Jawa Barat "/>
    <s v="Sewa Bulanan"/>
    <x v="0"/>
    <x v="461"/>
    <s v="01000101672/ 220120500197"/>
    <n v="0.995"/>
    <s v="IPVPN"/>
    <s v="5 Mbps"/>
    <m/>
    <x v="239"/>
    <m/>
    <m/>
    <x v="128"/>
    <m/>
    <x v="928"/>
    <d v="2025-01-05T00:00:00"/>
    <x v="2"/>
    <m/>
    <d v="2024-09-06T00:00:00"/>
    <n v="121"/>
    <x v="11"/>
    <x v="3"/>
    <n v="4500019860"/>
    <n v="2376"/>
    <n v="4500022111"/>
    <s v="Syifa Artianingsih"/>
    <s v="Bunga"/>
    <s v="0812-8990-0771"/>
    <m/>
    <m/>
    <m/>
    <m/>
    <m/>
    <m/>
    <s v="G2"/>
    <s v="H18"/>
    <m/>
  </r>
  <r>
    <n v="1497"/>
    <x v="462"/>
    <x v="894"/>
    <s v="Centennial Tower 26th Floor, Unit D,  Jl. Gatot Subroto Kav 24-25, Jakarta 12930"/>
    <s v="-"/>
    <s v="PT. Supreme Energi Rantau Dedap, Menara Sentraraya 23 Jl. Iskandarsyah Raya No. 1 A_x000a_Kebayoran Baru,Kecamatan Kebayoran Baru ,Jakarta Selatan ,DKI Jakarta ,Indonesia ,"/>
    <s v="Sewa Bulanan"/>
    <x v="0"/>
    <x v="965"/>
    <s v="08000168864/210000003377"/>
    <n v="0.995"/>
    <s v="Internet Corporate &amp; IPVPN"/>
    <s v="10 Mbps"/>
    <m/>
    <x v="109"/>
    <m/>
    <m/>
    <x v="472"/>
    <m/>
    <x v="721"/>
    <d v="2025-01-17T00:00:00"/>
    <x v="2"/>
    <m/>
    <d v="2024-09-06T00:00:00"/>
    <n v="133"/>
    <x v="11"/>
    <x v="3"/>
    <n v="4500019861"/>
    <n v="2360"/>
    <n v="4500022182"/>
    <s v="Syifa Artianingsih"/>
    <s v="Bunga"/>
    <s v="0812-8990-0771"/>
    <m/>
    <m/>
    <m/>
    <m/>
    <m/>
    <m/>
    <s v="G3"/>
    <s v="H55"/>
    <m/>
  </r>
  <r>
    <n v="1498"/>
    <x v="161"/>
    <x v="484"/>
    <s v="centennial Tower 26th Floor, Unit D Jl. Gatot Subroto Kav 24-25 Jakarta 12950"/>
    <m/>
    <s v="Menara Sentraya 23 Jl Iskandarsyah Raya Kebayoran Baru, Jakarta Selatan, DKI Jakarta, Indonesia"/>
    <s v="Sewa Bulanan"/>
    <x v="0"/>
    <x v="966"/>
    <s v="08000090393"/>
    <n v="0.995"/>
    <s v="Point to Point"/>
    <s v="10 Mbps"/>
    <m/>
    <x v="6"/>
    <m/>
    <m/>
    <x v="145"/>
    <m/>
    <x v="693"/>
    <d v="2025-01-31T00:00:00"/>
    <x v="2"/>
    <m/>
    <d v="2024-09-06T00:00:00"/>
    <n v="147"/>
    <x v="11"/>
    <x v="3"/>
    <n v="4500019956"/>
    <n v="2503"/>
    <n v="4500022412"/>
    <s v="Syifa Artianingsih"/>
    <s v="Bunga"/>
    <s v="0812-8990-0771"/>
    <m/>
    <m/>
    <m/>
    <m/>
    <m/>
    <m/>
    <s v="G38"/>
    <s v="H124"/>
    <m/>
  </r>
  <r>
    <n v="1499"/>
    <x v="161"/>
    <x v="484"/>
    <s v="centennial Tower 26th Floor, Unit D Jl. Gatot Subroto Kav 24-25 Jakarta 12950"/>
    <m/>
    <s v="Menara Sentraya 23 Jl Iskandarsyah Raya Kebayoran Baru, Jakarta Selatan, DKI Jakarta, Indonesia"/>
    <s v="Sewa Tahunan"/>
    <x v="1"/>
    <x v="966"/>
    <m/>
    <m/>
    <m/>
    <m/>
    <m/>
    <x v="6"/>
    <m/>
    <m/>
    <x v="51"/>
    <m/>
    <x v="693"/>
    <d v="2025-01-31T00:00:00"/>
    <x v="2"/>
    <m/>
    <d v="2024-09-06T00:00:00"/>
    <n v="147"/>
    <x v="11"/>
    <x v="3"/>
    <n v="4500019956"/>
    <n v="2503"/>
    <n v="4500022413"/>
    <s v="Fajar Paramita"/>
    <s v="Bunga"/>
    <s v="0812-8990-0771"/>
    <m/>
    <m/>
    <m/>
    <m/>
    <m/>
    <m/>
    <s v="G38"/>
    <s v="H128"/>
    <m/>
  </r>
  <r>
    <n v="1500"/>
    <x v="462"/>
    <x v="895"/>
    <s v="centennial Tower 26th Floor, Unit D Jl. Gatot Subroto Kav 24-25 Jakarta 12950"/>
    <m/>
    <s v="Kawasan Pergudangan Marunda Center Blok I 10, Sagara Makmur, Bekasi Utara Kabupaten Bekasi, Jawa Barat 17211"/>
    <s v="Sewa Bulanan"/>
    <x v="0"/>
    <x v="967"/>
    <s v="01000354685"/>
    <n v="0.995"/>
    <s v="IPVPN"/>
    <s v="5 Mbps"/>
    <m/>
    <x v="30"/>
    <m/>
    <m/>
    <x v="79"/>
    <m/>
    <x v="929"/>
    <d v="2025-05-23T00:00:00"/>
    <x v="2"/>
    <m/>
    <d v="2024-09-06T00:00:00"/>
    <n v="259"/>
    <x v="4"/>
    <x v="3"/>
    <n v="4500020207"/>
    <n v="2506"/>
    <n v="4500022211"/>
    <s v="Syifa Artianingsih"/>
    <s v="Bunga"/>
    <s v="0812-8990-0771"/>
    <m/>
    <m/>
    <m/>
    <m/>
    <m/>
    <m/>
    <s v="G120"/>
    <s v="H56"/>
    <m/>
  </r>
  <r>
    <n v="1501"/>
    <x v="462"/>
    <x v="896"/>
    <s v="centennial Tower 26th Floor, Unit D Jl. Gatot Subroto Kav 24-25 Jakarta 12950"/>
    <s v="[UID JABAR] Bandung Kota Bandung jawa Barat"/>
    <s v="ULP Cikarang"/>
    <s v="Sewa Bulanan"/>
    <x v="0"/>
    <x v="481"/>
    <s v="0990000320501693"/>
    <n v="0.995"/>
    <s v="IPVPN"/>
    <s v="1 Mbps"/>
    <m/>
    <x v="462"/>
    <m/>
    <m/>
    <x v="56"/>
    <m/>
    <x v="907"/>
    <d v="2025-06-30T00:00:00"/>
    <x v="2"/>
    <m/>
    <d v="2024-09-06T00:00:00"/>
    <n v="297"/>
    <x v="3"/>
    <x v="3"/>
    <n v="4500020800"/>
    <n v="2902"/>
    <n v="4500022443"/>
    <s v="Syifa Artianingsih"/>
    <s v="Bunga"/>
    <s v="0812-8990-0771"/>
    <m/>
    <m/>
    <m/>
    <m/>
    <m/>
    <m/>
    <s v="G167"/>
    <s v="H129"/>
    <m/>
  </r>
  <r>
    <n v="1502"/>
    <x v="462"/>
    <x v="897"/>
    <s v="Centennial Tower 26th Floor, Unit D Jl. Gatot Subroto Kav 24-25 Jakarta 12950"/>
    <m/>
    <s v="Penguin Bisnis Park, Jl Sungkai 1 Blok F26 No.1D-E Delta Silikon III, Kel Cicau, Cikarang Selatan, Bekasi Regency, West Java 17530"/>
    <s v="Sewa Bulanan"/>
    <x v="0"/>
    <x v="968"/>
    <s v="121303000931"/>
    <n v="0.995"/>
    <s v="Internet Corporate  "/>
    <s v="10 Mbps"/>
    <m/>
    <x v="463"/>
    <m/>
    <m/>
    <x v="418"/>
    <m/>
    <x v="930"/>
    <d v="2024-10-01T00:00:00"/>
    <x v="2"/>
    <m/>
    <d v="2024-09-06T00:00:00"/>
    <n v="25"/>
    <x v="6"/>
    <x v="1"/>
    <m/>
    <n v="1434"/>
    <n v="4500021343"/>
    <s v="Syifa Artianingsih"/>
    <m/>
    <m/>
    <m/>
    <m/>
    <m/>
    <m/>
    <m/>
    <m/>
    <s v="G280"/>
    <m/>
    <s v="Biaya OTC Rp 4,000,000"/>
  </r>
  <r>
    <n v="1503"/>
    <x v="462"/>
    <x v="897"/>
    <s v="Centennial Tower 26th Floor, Unit D Jl. Gatot Subroto Kav 24-25 Jakarta 12950"/>
    <s v="-"/>
    <s v="Penguin Bisnis Park, Jl Sungkai 1 Blok F26 No.1D-E Delta Silikon III, Kel Cicau, Cikarang Selatan, Bekasi Regency, West Java 17530"/>
    <s v="Sewa Bulanan"/>
    <x v="0"/>
    <x v="969"/>
    <s v="121303000932"/>
    <n v="0.995"/>
    <s v="Internet Corporate  "/>
    <s v="50 Mbps"/>
    <m/>
    <x v="464"/>
    <m/>
    <m/>
    <x v="473"/>
    <m/>
    <x v="655"/>
    <d v="2024-09-26T00:00:00"/>
    <x v="2"/>
    <m/>
    <d v="2024-09-06T00:00:00"/>
    <n v="20"/>
    <x v="7"/>
    <x v="1"/>
    <m/>
    <n v="1436"/>
    <n v="4500021344"/>
    <s v="Syifa Artianingsih"/>
    <m/>
    <m/>
    <m/>
    <m/>
    <m/>
    <m/>
    <m/>
    <m/>
    <s v="G281"/>
    <m/>
    <s v="Biaya OTC Rp 4,000,000"/>
  </r>
  <r>
    <n v="1504"/>
    <x v="407"/>
    <x v="56"/>
    <s v="Jl. HR. Rasuna Said x-5 Kav 2-3"/>
    <m/>
    <s v=" Indomaret Tower, RT. 6/RW. 2, Kamal Muara, Kec. Penjaringan, Lt.9 (Interkoneksi Fiberstar)"/>
    <s v="Sewa Bulanan"/>
    <x v="0"/>
    <x v="970"/>
    <s v="111303010467"/>
    <n v="0.995"/>
    <s v="Internet Corporate "/>
    <s v="5 Mbps"/>
    <m/>
    <x v="56"/>
    <m/>
    <m/>
    <x v="17"/>
    <m/>
    <x v="605"/>
    <d v="2025-03-31T00:00:00"/>
    <x v="2"/>
    <m/>
    <d v="2024-09-06T00:00:00"/>
    <n v="206"/>
    <x v="8"/>
    <x v="3"/>
    <n v="4500020089"/>
    <s v="2677/SPP/SBU/ICON+/2024"/>
    <n v="4500022406"/>
    <s v="Syifa Artianingsih"/>
    <s v="Adi"/>
    <s v="0812-8611-4490"/>
    <m/>
    <m/>
    <m/>
    <m/>
    <m/>
    <m/>
    <n v="109"/>
    <n v="185"/>
    <m/>
  </r>
  <r>
    <n v="1505"/>
    <x v="407"/>
    <x v="56"/>
    <s v="Jl. HR. Rasuna Said x-5 Kav 2-3"/>
    <m/>
    <s v="Indomaret Tower, RT. 6/RW. 2, Kamal Muara, Kec. Penjaringan (Interkoneksi Fiberstar),  -,  Jakarta Utara,  DKI Jakarta,  Indonesia,  14470"/>
    <s v="Sewa Bulanan"/>
    <x v="0"/>
    <x v="359"/>
    <s v="01000135261"/>
    <s v="99,50%"/>
    <s v="IPVPN"/>
    <s v="100 Mbps"/>
    <m/>
    <x v="197"/>
    <m/>
    <m/>
    <x v="474"/>
    <m/>
    <x v="681"/>
    <d v="2024-07-08T00:00:00"/>
    <x v="0"/>
    <m/>
    <d v="2024-09-06T00:00:00"/>
    <n v="-60"/>
    <x v="1"/>
    <x v="1"/>
    <s v="19036/SPP/008/PUSAT/ICON+/2022 | 4500018323"/>
    <s v="718/SPP/SBU/ICON+/2023"/>
    <n v="4500020920"/>
    <s v="Syifa Artianingsih"/>
    <s v="Adi"/>
    <s v="0812-8611-4490"/>
    <m/>
    <m/>
    <m/>
    <m/>
    <m/>
    <m/>
    <n v="151"/>
    <m/>
    <m/>
  </r>
  <r>
    <n v="1506"/>
    <x v="463"/>
    <x v="217"/>
    <m/>
    <m/>
    <s v="PT Santos Jaya Abadi MNC land Tower MNC Center Complex Jalan Kebon Sirih No 17 19 Lt 7 Menteng Jakarta Pusat DKI Jakarta"/>
    <s v="Sewa Bulanan"/>
    <x v="0"/>
    <x v="242"/>
    <s v="''01000029940"/>
    <n v="0.995"/>
    <s v="IPVPN"/>
    <s v="30 Mbps"/>
    <m/>
    <x v="2"/>
    <m/>
    <m/>
    <x v="270"/>
    <m/>
    <x v="601"/>
    <d v="2024-08-31T00:00:00"/>
    <x v="2"/>
    <m/>
    <d v="2024-09-06T00:00:00"/>
    <n v="-6"/>
    <x v="12"/>
    <x v="1"/>
    <n v="4500018424"/>
    <n v="847"/>
    <n v="4500020921"/>
    <s v="Syifa Artianingsih"/>
    <m/>
    <m/>
    <m/>
    <m/>
    <m/>
    <m/>
    <m/>
    <m/>
    <n v="155"/>
    <m/>
    <m/>
  </r>
  <r>
    <n v="1507"/>
    <x v="28"/>
    <x v="519"/>
    <s v="Grha 9 Lt 6 Jl. Penataran No. 9 Proklamasi Jakarta Pusat 10320"/>
    <s v="IDC Durentiga, Jl Durentiga Raya No.7 Warung Buncit-, Jakarta Selatan, DKI Jakarta, Indonesia, 12760"/>
    <s v="PT. Gemilang Sarana Mandiri, Jl. Raya Jatinegara Barat No. 44, RT 001 / RW 005, Kp. Melayu, Jatinegara, Jakarta Timur, DKI Jakarta, Indonesia, 13320"/>
    <s v="Sewa Bulanan"/>
    <x v="0"/>
    <x v="971"/>
    <s v="01000317249"/>
    <n v="0.995"/>
    <s v="IPVPN"/>
    <s v="30 Mbps"/>
    <m/>
    <x v="290"/>
    <m/>
    <m/>
    <x v="16"/>
    <m/>
    <x v="931"/>
    <d v="2024-11-16T00:00:00"/>
    <x v="2"/>
    <m/>
    <d v="2024-09-06T00:00:00"/>
    <n v="71"/>
    <x v="2"/>
    <x v="1"/>
    <n v="4500019444"/>
    <n v="2217"/>
    <n v="4500021924"/>
    <s v="Syifa Artianingsih"/>
    <s v="Reza "/>
    <s v="0812-9411-8417"/>
    <m/>
    <m/>
    <m/>
    <m/>
    <m/>
    <s v="F454"/>
    <s v="G408"/>
    <m/>
    <m/>
  </r>
  <r>
    <n v="1508"/>
    <x v="28"/>
    <x v="898"/>
    <s v="Grha 9 Lt 6 Jl. Penataran No. 9 Proklamasi Jakarta Pusat 10320"/>
    <m/>
    <s v="KCP Menara Sentraya, Menara Sentraya Lantai UG &amp; MZ, Jl Iskandarsyah No 1A, Kebayoran Baru,    Jakarta Selatan, -, Jakarta Selatan, DKI Jakarta, Indonesia, '-"/>
    <s v="Sewa Bulanan"/>
    <x v="0"/>
    <x v="224"/>
    <s v="0990000320500608"/>
    <n v="0.995"/>
    <s v="IPVPN"/>
    <s v="2 Mbps"/>
    <m/>
    <x v="30"/>
    <m/>
    <m/>
    <x v="10"/>
    <m/>
    <x v="909"/>
    <d v="2024-06-30T00:00:00"/>
    <x v="1"/>
    <m/>
    <d v="2024-09-06T00:00:00"/>
    <n v="-68"/>
    <x v="3"/>
    <x v="1"/>
    <n v="4500018213"/>
    <n v="235"/>
    <n v="4500020617"/>
    <s v="Syifa Artianingsih"/>
    <m/>
    <m/>
    <m/>
    <m/>
    <m/>
    <m/>
    <m/>
    <m/>
    <n v="266"/>
    <m/>
    <s v="DEACTIVASI per 4 April 2024"/>
  </r>
  <r>
    <n v="1509"/>
    <x v="28"/>
    <x v="899"/>
    <s v="Grha 9 Lt 6 Jl. Penataran No. 9 Proklamasi Jakarta Pusat 10320"/>
    <m/>
    <s v="Lippo Cikarang, Delta Silicon 5, Jl Kenari Raya No.7A Sukamahi, Kec.Cikarang Pusat, Kabupaten Bekasi, Jawa Barat, 17530"/>
    <s v="Sewa Bulanan"/>
    <x v="0"/>
    <x v="972"/>
    <s v="111205023466"/>
    <n v="0.995"/>
    <s v="IPVPN "/>
    <s v="40 Mbps"/>
    <m/>
    <x v="465"/>
    <m/>
    <m/>
    <x v="475"/>
    <m/>
    <x v="599"/>
    <d v="2024-10-29T00:00:00"/>
    <x v="2"/>
    <m/>
    <d v="2024-09-06T00:00:00"/>
    <n v="53"/>
    <x v="6"/>
    <x v="1"/>
    <m/>
    <n v="968"/>
    <n v="4500021050"/>
    <s v="Syifa Artianingsih"/>
    <m/>
    <m/>
    <m/>
    <m/>
    <m/>
    <m/>
    <m/>
    <m/>
    <n v="380"/>
    <m/>
    <s v="Biaya OTC Rp 7,000,000"/>
  </r>
  <r>
    <n v="1510"/>
    <x v="464"/>
    <x v="900"/>
    <s v="Gedung Wisma Bakrie 1 Lt. 2, Jl. Rasuna Said kav. B-1, Jakarta Selatan"/>
    <m/>
    <s v="Gedung Teknis Kuningan (Epicentrum Mall PTSP), JL. HR Rasuna Said Kav C / 21, Kuningan, Jakarta Selatan, DKI Jakarta"/>
    <s v="Sewa Bulanan"/>
    <x v="0"/>
    <x v="973"/>
    <s v="01000139802"/>
    <n v="0.995"/>
    <s v="Metronet"/>
    <s v="50 Mbps"/>
    <m/>
    <x v="224"/>
    <m/>
    <m/>
    <x v="145"/>
    <m/>
    <x v="504"/>
    <d v="2023-12-31T00:00:00"/>
    <x v="1"/>
    <m/>
    <d v="2024-09-06T00:00:00"/>
    <n v="-250"/>
    <x v="5"/>
    <x v="6"/>
    <n v="4500017748"/>
    <n v="12001"/>
    <n v="4500019896"/>
    <s v="Syifa Artianingsih"/>
    <m/>
    <m/>
    <m/>
    <m/>
    <m/>
    <m/>
    <m/>
    <m/>
    <n v="4"/>
    <m/>
    <s v="Perubahan nama Vendor Menjadi Graha Multimedia Nusantara"/>
  </r>
  <r>
    <n v="1511"/>
    <x v="465"/>
    <x v="900"/>
    <s v="Gedung Wisma Bakrie 1 Lt. 2, Jl. Rasuna Said kav. B-1, Jakarta Selatan"/>
    <m/>
    <s v="Gedung Teknis Kuningan (Epicentrum Mall PTSP), JL. HR Rasuna Said Kav C / 21, Kuningan, Jakarta Selatan, DKI Jakarta"/>
    <s v="Sewa Bulanan"/>
    <x v="0"/>
    <x v="974"/>
    <s v="01000192946"/>
    <n v="0.995"/>
    <s v="Metronet"/>
    <s v="100 Mbps"/>
    <m/>
    <x v="295"/>
    <m/>
    <m/>
    <x v="16"/>
    <m/>
    <x v="660"/>
    <d v="2023-12-31T00:00:00"/>
    <x v="1"/>
    <m/>
    <d v="2024-09-06T00:00:00"/>
    <n v="-250"/>
    <x v="5"/>
    <x v="6"/>
    <n v="4500019896"/>
    <n v="1548"/>
    <n v="4500021578"/>
    <s v="Syifa Artianingsih"/>
    <m/>
    <m/>
    <m/>
    <m/>
    <m/>
    <m/>
    <m/>
    <m/>
    <n v="371"/>
    <m/>
    <s v="Perubahan nama Vendor Menjadi Graha Multimedia Nusantara"/>
  </r>
  <r>
    <n v="1512"/>
    <x v="466"/>
    <x v="336"/>
    <s v="The Manhattan Square Mid Tower 2nd Floor Jl. TB Simatupang 15 Cilandak Timur Jakarta 12560"/>
    <m/>
    <s v="capital place office, jl. Gatot subroto no. kav 18, rt 6/rw 1 jakarta selatan"/>
    <s v="Sewa Bulanan"/>
    <x v="0"/>
    <x v="975"/>
    <s v="04000130969"/>
    <m/>
    <s v="Internet Corporate "/>
    <s v="100 Mbps"/>
    <m/>
    <x v="112"/>
    <m/>
    <m/>
    <x v="476"/>
    <m/>
    <x v="250"/>
    <d v="2022-11-30T00:00:00"/>
    <x v="1"/>
    <m/>
    <d v="2024-09-06T00:00:00"/>
    <n v="-646"/>
    <x v="2"/>
    <x v="2"/>
    <m/>
    <n v="17250"/>
    <n v="4500017257"/>
    <s v="Syifa Artianingsih"/>
    <m/>
    <m/>
    <m/>
    <m/>
    <m/>
    <m/>
    <m/>
    <m/>
    <n v="334"/>
    <m/>
    <s v="DEACTIVASI sesuai masa habis PO "/>
  </r>
  <r>
    <n v="1513"/>
    <x v="466"/>
    <x v="336"/>
    <s v="The Manhattan Square Mid Tower 2nd Floor Jl. TB Simatupang 15 Cilandak Timur Jakarta 12560"/>
    <m/>
    <s v="CAPITAL PLACE - LANTAI 6 Jl. Gatot subroto kav 18"/>
    <s v="Sewa Bulanan"/>
    <x v="0"/>
    <x v="976"/>
    <s v="01000197917"/>
    <n v="0.995"/>
    <s v="Metronet"/>
    <s v="25 mbps"/>
    <m/>
    <x v="63"/>
    <m/>
    <m/>
    <x v="61"/>
    <m/>
    <x v="932"/>
    <d v="2022-04-06T00:00:00"/>
    <x v="1"/>
    <m/>
    <d v="2024-09-06T00:00:00"/>
    <n v="-884"/>
    <x v="10"/>
    <x v="2"/>
    <m/>
    <n v="18289"/>
    <n v="4500017818"/>
    <s v="Syifa Artianingsih"/>
    <m/>
    <m/>
    <m/>
    <m/>
    <m/>
    <m/>
    <m/>
    <m/>
    <n v="116"/>
    <m/>
    <m/>
  </r>
  <r>
    <n v="1514"/>
    <x v="466"/>
    <x v="336"/>
    <s v="The Manhattan Square Mid Tower 2nd Floor Jl. TB Simatupang 15 Cilandak Timur Jakarta 12560"/>
    <m/>
    <s v="CAPITAL PLACE - LANTAI 6 Jl. Gatot subroto kav 18"/>
    <s v="Sewa Bulanan"/>
    <x v="0"/>
    <x v="557"/>
    <s v="01000174648"/>
    <n v="0.995"/>
    <s v="Metronet"/>
    <s v="2 Mbps"/>
    <m/>
    <x v="285"/>
    <m/>
    <m/>
    <x v="79"/>
    <m/>
    <x v="486"/>
    <d v="2023-06-30T00:00:00"/>
    <x v="1"/>
    <m/>
    <d v="2024-09-06T00:00:00"/>
    <n v="-434"/>
    <x v="3"/>
    <x v="6"/>
    <n v="4500016496"/>
    <n v="19052"/>
    <n v="4500018322"/>
    <s v="Syifa Artianingsih"/>
    <m/>
    <m/>
    <m/>
    <m/>
    <m/>
    <m/>
    <m/>
    <m/>
    <n v="189"/>
    <m/>
    <m/>
  </r>
  <r>
    <n v="1515"/>
    <x v="466"/>
    <x v="336"/>
    <s v="The Manhattan Square Mid Tower 2nd Floor Jl. TB Simatupang 15 Cilandak Timur Jakarta 12560"/>
    <m/>
    <s v="CAPITAL PLACE - LANTAI 6 Jl. Gatot subroto kav 18"/>
    <s v="Sewa Bulanan"/>
    <x v="0"/>
    <x v="557"/>
    <s v="990000320517615"/>
    <n v="0.995"/>
    <s v="IPVPN"/>
    <s v="8 Mbps"/>
    <m/>
    <x v="285"/>
    <m/>
    <m/>
    <x v="79"/>
    <m/>
    <x v="486"/>
    <d v="2022-07-31T00:00:00"/>
    <x v="1"/>
    <m/>
    <d v="2024-09-06T00:00:00"/>
    <n v="-768"/>
    <x v="1"/>
    <x v="2"/>
    <n v="4500016496"/>
    <n v="19052"/>
    <n v="4500018322"/>
    <s v="Syifa Artianingsih"/>
    <m/>
    <m/>
    <m/>
    <m/>
    <m/>
    <m/>
    <m/>
    <m/>
    <n v="189"/>
    <m/>
    <m/>
  </r>
  <r>
    <n v="1516"/>
    <x v="466"/>
    <x v="336"/>
    <s v="The Manhattan Square Mid Tower 2nd Floor Jl. TB Simatupang 15 Cilandak Timur Jakarta 12560"/>
    <m/>
    <s v="CAPITAL PLACE - LANTAI 6 Jl. Gatot subroto kav 18"/>
    <s v="Sewa Bulanan"/>
    <x v="0"/>
    <x v="557"/>
    <s v="01000174649"/>
    <n v="0.995"/>
    <s v="Metronet"/>
    <s v="60 Mbps "/>
    <m/>
    <x v="285"/>
    <m/>
    <m/>
    <x v="79"/>
    <m/>
    <x v="486"/>
    <d v="2022-07-31T00:00:00"/>
    <x v="1"/>
    <m/>
    <d v="2024-09-06T00:00:00"/>
    <n v="-768"/>
    <x v="1"/>
    <x v="2"/>
    <n v="4500016496"/>
    <n v="19052"/>
    <n v="4500018322"/>
    <s v="Syifa Artianingsih"/>
    <m/>
    <m/>
    <m/>
    <m/>
    <m/>
    <m/>
    <m/>
    <m/>
    <n v="189"/>
    <m/>
    <m/>
  </r>
  <r>
    <n v="1517"/>
    <x v="467"/>
    <x v="901"/>
    <s v="Ruko Kebayoran Centre Blok A No. 5"/>
    <m/>
    <s v="Klinik Putra Medika Jl. Raya Cibarusah, Perumahan Villa Mutiara Cikarang, Sukaresmi, Bekasi, Jawa Barat"/>
    <s v="Sewa Bulanan"/>
    <x v="0"/>
    <x v="977"/>
    <m/>
    <m/>
    <s v="IPVPN"/>
    <s v="64 Kbps"/>
    <m/>
    <x v="466"/>
    <m/>
    <m/>
    <x v="16"/>
    <m/>
    <x v="298"/>
    <d v="2022-09-16T00:00:00"/>
    <x v="1"/>
    <m/>
    <d v="2024-09-06T00:00:00"/>
    <n v="-721"/>
    <x v="7"/>
    <x v="2"/>
    <n v="4500016559"/>
    <m/>
    <n v="4500016840"/>
    <s v="Syifa Artianingsih"/>
    <m/>
    <m/>
    <m/>
    <m/>
    <m/>
    <m/>
    <m/>
    <m/>
    <n v="313"/>
    <m/>
    <m/>
  </r>
  <r>
    <n v="1518"/>
    <x v="467"/>
    <x v="628"/>
    <s v="Ruko Kebayoran Centre Blok A No. 5"/>
    <m/>
    <s v="KCP Bekasi Grand Wisata Ruko Boulevard Grand Wisata Blok AA 11 No 19 dan 20, kel. Lambang Jaya"/>
    <s v="Sewa Bulanan"/>
    <x v="0"/>
    <x v="978"/>
    <s v="01000173466"/>
    <n v="0.995"/>
    <s v="IPVPN"/>
    <s v="512 Kbps"/>
    <m/>
    <x v="112"/>
    <m/>
    <m/>
    <x v="409"/>
    <m/>
    <x v="933"/>
    <d v="2022-12-06T00:00:00"/>
    <x v="1"/>
    <m/>
    <d v="2024-09-06T00:00:00"/>
    <n v="-640"/>
    <x v="5"/>
    <x v="2"/>
    <m/>
    <n v="17345"/>
    <n v="4500017225"/>
    <s v="Syifa Artianingsih"/>
    <m/>
    <m/>
    <m/>
    <m/>
    <m/>
    <m/>
    <m/>
    <m/>
    <n v="335"/>
    <m/>
    <s v="DEACTIVASI sesuai masa habis PO "/>
  </r>
  <r>
    <n v="1519"/>
    <x v="467"/>
    <x v="242"/>
    <s v="Ruko Kebayoran Centre Blok A No. 5"/>
    <m/>
    <s v="Cabang Kuningan, Plaza Agro Jl HR Rasuna Said No.1 RT.7/RW.4, Kuningan Tim.,Kecamatan Setiabudi, Kota Jakarta Selatam, Daerah Khusus Ibukota Jakarta, 12950, "/>
    <s v="Sewa Bulanan"/>
    <x v="0"/>
    <x v="979"/>
    <s v="01000130161"/>
    <n v="0.995"/>
    <s v="Metronet"/>
    <s v="1 Mbps"/>
    <m/>
    <x v="27"/>
    <m/>
    <m/>
    <x v="18"/>
    <m/>
    <x v="934"/>
    <d v="2023-09-14T00:00:00"/>
    <x v="1"/>
    <m/>
    <d v="2024-09-06T00:00:00"/>
    <n v="-358"/>
    <x v="7"/>
    <x v="6"/>
    <n v="4500017606"/>
    <n v="19386"/>
    <n v="4500018653"/>
    <s v="Syifa Artianingsih"/>
    <m/>
    <m/>
    <m/>
    <m/>
    <m/>
    <m/>
    <m/>
    <m/>
    <n v="278"/>
    <m/>
    <m/>
  </r>
  <r>
    <n v="1520"/>
    <x v="468"/>
    <x v="17"/>
    <s v="Ruko Kebayoran Centre Blok A No. 5"/>
    <m/>
    <s v="(Bank Sinarmas Kemenag Jaktim) Jl. Terusan I Gusti Ngurah Rai, RT.5/RW.11, Pd. Kopi, Kec. Duren Sawit, Kota Jakarta Timur, Daerah Khusus Ibukota Jakarta 17134"/>
    <s v="Sewa Bulanan"/>
    <x v="0"/>
    <x v="396"/>
    <s v="01000175690"/>
    <n v="0.995"/>
    <s v="IPVPN"/>
    <s v="128 Kbps"/>
    <m/>
    <x v="15"/>
    <m/>
    <m/>
    <x v="16"/>
    <m/>
    <x v="935"/>
    <d v="2024-12-08T00:00:00"/>
    <x v="2"/>
    <m/>
    <d v="2024-09-06T00:00:00"/>
    <n v="93"/>
    <x v="5"/>
    <x v="1"/>
    <n v="4500019147"/>
    <n v="2358"/>
    <n v="4500022036"/>
    <s v="Syifa Artianingsih"/>
    <s v="Airlin"/>
    <s v="0815-7224-2424"/>
    <m/>
    <m/>
    <m/>
    <m/>
    <m/>
    <s v="F357"/>
    <s v="G397"/>
    <m/>
    <m/>
  </r>
  <r>
    <n v="1521"/>
    <x v="467"/>
    <x v="876"/>
    <s v="Ruko Kebayoran Centre Blok A No. 5"/>
    <m/>
    <s v="KCP Sky Line Jl. M.H. Thamrin No.9, RT.2/RW.1, Kb. Sirih,,  Kec. Menteng,  Jakarta Pusat,  DKI Jakarta"/>
    <s v="Sewa Bulanan"/>
    <x v="0"/>
    <x v="462"/>
    <s v="'01000195154"/>
    <n v="0.995"/>
    <s v="IPVPN"/>
    <s v="1 Mbps"/>
    <m/>
    <x v="10"/>
    <m/>
    <m/>
    <x v="163"/>
    <m/>
    <x v="936"/>
    <d v="2024-03-28T00:00:00"/>
    <x v="1"/>
    <m/>
    <d v="2024-09-06T00:00:00"/>
    <n v="-162"/>
    <x v="8"/>
    <x v="1"/>
    <n v="4500017906"/>
    <n v="21790"/>
    <n v="4500020206"/>
    <s v="Syifa Artianingsih"/>
    <m/>
    <m/>
    <m/>
    <m/>
    <m/>
    <m/>
    <m/>
    <m/>
    <n v="92"/>
    <m/>
    <s v="Pertanggal 30 Sept'23"/>
  </r>
  <r>
    <n v="1522"/>
    <x v="469"/>
    <x v="902"/>
    <s v="Jl. Tomang Raya Raya No. 43 Jakarta 11440"/>
    <s v="KENCANA TOWER LT.5 DAN 6 BUSINESS PARK JL RAYA MERUYA ILIR NO 88 KECAMATAN KEBON JERUK KELURAHAN KEBON JERUK JAKARTA BARAT"/>
    <m/>
    <s v="Sewa Bulanan"/>
    <x v="0"/>
    <x v="276"/>
    <s v="'020000023242/01000023241"/>
    <n v="0.995"/>
    <s v="Trunk"/>
    <s v="10 Mbps"/>
    <m/>
    <x v="161"/>
    <m/>
    <m/>
    <x v="61"/>
    <m/>
    <x v="403"/>
    <d v="2023-10-31T00:00:00"/>
    <x v="1"/>
    <m/>
    <d v="2024-09-06T00:00:00"/>
    <n v="-311"/>
    <x v="6"/>
    <x v="6"/>
    <n v="4500017316"/>
    <n v="19926"/>
    <n v="4500018896"/>
    <s v="Syifa Artianingsih"/>
    <m/>
    <m/>
    <m/>
    <m/>
    <m/>
    <m/>
    <m/>
    <m/>
    <n v="317"/>
    <m/>
    <m/>
  </r>
  <r>
    <n v="1523"/>
    <x v="470"/>
    <x v="903"/>
    <s v="Menara Kadin 11th Floor Unit E-G Jl. HR Rasuna Said Blok X-5 kav. 2-3 Jakarta 12950"/>
    <s v="Kantor Pusat BWS Jalan Diponegoro No.28 Bandung"/>
    <s v="KCP-B Pantai Indah Kapuk Ruko Cordoba Blok A-11 Pantai Indah Kapuk, Kamal Muara, Kec.Penjaringan, Jakarta Utara, DKI Jakarta, Indonesia, 14470 ; KCP-B Central Park Ruko Garden Shopping Arcade No. 9 Ac podomoro City Central Park Grogol Jakarta Barat"/>
    <s v="Sewa Bulanan"/>
    <x v="0"/>
    <x v="980"/>
    <s v="990000320653754; '990000320653753"/>
    <n v="0.995"/>
    <s v="Local Loop"/>
    <s v="2 Mbps"/>
    <m/>
    <x v="160"/>
    <m/>
    <m/>
    <x v="137"/>
    <m/>
    <x v="201"/>
    <d v="2022-12-31T00:00:00"/>
    <x v="1"/>
    <m/>
    <d v="2024-09-06T00:00:00"/>
    <n v="-615"/>
    <x v="5"/>
    <x v="2"/>
    <n v="4500015487"/>
    <n v="16939"/>
    <n v="4500017463"/>
    <s v="Syifa Artianingsih"/>
    <m/>
    <m/>
    <m/>
    <m/>
    <m/>
    <m/>
    <m/>
    <m/>
    <n v="91"/>
    <m/>
    <m/>
  </r>
  <r>
    <n v="1524"/>
    <x v="470"/>
    <x v="904"/>
    <s v="Menara Kadin 11th Floor Unit E-G Jl. HR Rasuna Said Blok X-5 kav. 2-3 Jakarta 12950"/>
    <s v="Kantor Pusat BWS Jalan Diponegoro No.28 Bandung"/>
    <s v="KCP-B Central Park Ruko Garden Shopping Arcade no 9 AC Podomoro City Central Park Grogol Jakarta Barat"/>
    <s v="Sewa Bulanan"/>
    <x v="0"/>
    <x v="63"/>
    <s v="990000320653753"/>
    <m/>
    <s v="Local Loop"/>
    <s v="2 Mbps"/>
    <m/>
    <x v="160"/>
    <m/>
    <m/>
    <x v="137"/>
    <m/>
    <x v="250"/>
    <d v="2022-12-31T00:00:00"/>
    <x v="1"/>
    <m/>
    <d v="2024-09-06T00:00:00"/>
    <n v="-615"/>
    <x v="5"/>
    <x v="2"/>
    <n v="4500015361"/>
    <n v="16939"/>
    <n v="4500017463"/>
    <s v="Syifa Artianingsih"/>
    <m/>
    <m/>
    <m/>
    <m/>
    <m/>
    <m/>
    <m/>
    <m/>
    <m/>
    <m/>
    <m/>
  </r>
  <r>
    <n v="1525"/>
    <x v="471"/>
    <x v="218"/>
    <s v="Menara Kadin 11th Floor Unit E-G Jl. HR Rasuna Said Blok X-5 kav. 2-3 Jakarta 12950"/>
    <s v="Raya Merak KM 116 Desa Rawa Arum Pulomerak Gerem Cilegon Kota Cilegon Banten"/>
    <s v="(Interkoneksi Neuvis) Gedung Cyber Jl Kuningan Barat Raya No  8 RT1 /3 Kuningan Barat Mampang Prapatan Jakarta Selatan "/>
    <s v="Sewa Bulanan"/>
    <x v="0"/>
    <x v="458"/>
    <s v="01000095652"/>
    <n v="0.995"/>
    <s v="Metronet "/>
    <s v="10 Mbps"/>
    <m/>
    <x v="2"/>
    <m/>
    <m/>
    <x v="61"/>
    <m/>
    <x v="753"/>
    <d v="2024-04-12T00:00:00"/>
    <x v="2"/>
    <m/>
    <d v="2024-09-06T00:00:00"/>
    <n v="-147"/>
    <x v="10"/>
    <x v="1"/>
    <n v="4500017846"/>
    <n v="21833"/>
    <n v="4500020214"/>
    <s v="Syifa Artianingsih"/>
    <m/>
    <m/>
    <m/>
    <m/>
    <m/>
    <m/>
    <m/>
    <m/>
    <n v="86"/>
    <m/>
    <s v="SPP Hold @Pusat, karena Prestasi Piranti Informasi  Sebagai Costumer ICON PLUS  memiliki outstading Tagihan "/>
  </r>
  <r>
    <n v="1526"/>
    <x v="472"/>
    <x v="905"/>
    <m/>
    <m/>
    <m/>
    <s v="Sewa Bulanan"/>
    <x v="0"/>
    <x v="67"/>
    <n v="990000320321199"/>
    <m/>
    <s v="Local loop "/>
    <s v="2 Mbps"/>
    <m/>
    <x v="467"/>
    <m/>
    <m/>
    <x v="146"/>
    <m/>
    <x v="126"/>
    <d v="2021-12-31T00:00:00"/>
    <x v="1"/>
    <m/>
    <d v="2024-09-06T00:00:00"/>
    <n v="-980"/>
    <x v="5"/>
    <x v="4"/>
    <m/>
    <s v="-"/>
    <n v="4500015654"/>
    <s v="Syifa Artianingsih"/>
    <m/>
    <m/>
    <m/>
    <m/>
    <m/>
    <m/>
    <m/>
    <m/>
    <n v="167"/>
    <m/>
    <s v="-"/>
  </r>
  <r>
    <n v="1527"/>
    <x v="472"/>
    <x v="906"/>
    <m/>
    <m/>
    <s v="Pasaraya Blok M Jalan Iskandarsyah II Kebayoran Baru Jakarta Selatan"/>
    <s v="Sewa Bulanan"/>
    <x v="0"/>
    <x v="67"/>
    <s v="04000039423"/>
    <m/>
    <s v="Internet Dedicated"/>
    <s v="2 Mbps"/>
    <m/>
    <x v="112"/>
    <m/>
    <m/>
    <x v="181"/>
    <m/>
    <x v="126"/>
    <d v="2021-12-31T00:00:00"/>
    <x v="1"/>
    <m/>
    <d v="2024-09-06T00:00:00"/>
    <n v="-980"/>
    <x v="5"/>
    <x v="4"/>
    <m/>
    <s v="-"/>
    <n v="4500015605"/>
    <s v="Syifa Artianingsih"/>
    <m/>
    <m/>
    <m/>
    <m/>
    <m/>
    <m/>
    <m/>
    <m/>
    <n v="201"/>
    <m/>
    <s v="-"/>
  </r>
  <r>
    <n v="1528"/>
    <x v="473"/>
    <x v="45"/>
    <s v="Jl. H Agus Salim No 45"/>
    <s v="Kantor Pusat BWS Jalan Diponegoro No.28 Bandung"/>
    <s v="Ruko Palais De Paris Blok D No. 11 Sukamahi, Cikarang Pusat Kabupaten Bekasi Jawa barat"/>
    <s v="Sewa Bulanan"/>
    <x v="0"/>
    <x v="278"/>
    <s v="'01000007911"/>
    <n v="0.995"/>
    <s v="IPVPN"/>
    <s v="2 Mbps"/>
    <m/>
    <x v="162"/>
    <m/>
    <m/>
    <x v="138"/>
    <m/>
    <x v="252"/>
    <d v="2022-04-10T00:00:00"/>
    <x v="1"/>
    <m/>
    <d v="2024-09-06T00:00:00"/>
    <n v="-880"/>
    <x v="10"/>
    <x v="2"/>
    <n v="4500015652"/>
    <n v="17691"/>
    <n v="4500017860"/>
    <s v="Syifa Artianingsih"/>
    <m/>
    <m/>
    <m/>
    <m/>
    <m/>
    <m/>
    <m/>
    <m/>
    <n v="113"/>
    <m/>
    <m/>
  </r>
  <r>
    <n v="1529"/>
    <x v="474"/>
    <x v="907"/>
    <s v="Gd plaza Sentral Lt 20"/>
    <m/>
    <s v="wisma nusantara lt.3, Jl. M.H. Thamrin No. 59, Rt 9/RW5, Gondangdia, kec. Menteng, Jakarta Pusat"/>
    <s v="Sewa Bulanan"/>
    <x v="0"/>
    <x v="234"/>
    <m/>
    <m/>
    <s v="Internet Corporate "/>
    <s v="10 Mbps"/>
    <m/>
    <x v="140"/>
    <m/>
    <m/>
    <x v="477"/>
    <m/>
    <x v="235"/>
    <d v="2022-07-22T00:00:00"/>
    <x v="1"/>
    <m/>
    <d v="2024-09-06T00:00:00"/>
    <n v="-777"/>
    <x v="1"/>
    <x v="2"/>
    <n v="4500014626"/>
    <n v="16338"/>
    <n v="4500016712"/>
    <s v="Syifa Artianingsih"/>
    <m/>
    <m/>
    <m/>
    <m/>
    <m/>
    <m/>
    <m/>
    <m/>
    <n v="286"/>
    <m/>
    <m/>
  </r>
  <r>
    <n v="1530"/>
    <x v="475"/>
    <x v="472"/>
    <s v="MidPlaza 2 Lantai 8 Jl. Jend Sudirman Kav 10 -11"/>
    <s v="Wisma Nusantara, Lantai 23, Jl. M.H. Thamrin"/>
    <s v="Wisma Nusantara, Lantai 23, Jl. M.H. Thamrin"/>
    <s v="Sewa Bulanan"/>
    <x v="0"/>
    <x v="981"/>
    <s v="'0400019731"/>
    <n v="0.995"/>
    <s v="Internet Corporate"/>
    <s v="30 Mbps"/>
    <m/>
    <x v="255"/>
    <m/>
    <m/>
    <x v="254"/>
    <m/>
    <x v="858"/>
    <d v="2024-04-17T00:00:00"/>
    <x v="1"/>
    <m/>
    <d v="2024-09-06T00:00:00"/>
    <n v="-142"/>
    <x v="10"/>
    <x v="1"/>
    <n v="4500017961"/>
    <m/>
    <n v="4500020479"/>
    <s v="Syifa Artianingsih"/>
    <m/>
    <m/>
    <m/>
    <m/>
    <m/>
    <m/>
    <m/>
    <m/>
    <n v="118"/>
    <m/>
    <s v="DEACTIVASI Per 31 Mart 2024"/>
  </r>
  <r>
    <n v="1531"/>
    <x v="476"/>
    <x v="408"/>
    <s v="MidPlaza 2 Lantai 8 Jl. Jend Sudirman Kav 10 -11"/>
    <s v="Head Office PT Polytama Propindo - Gedung Mid Plaza 2, Jl. Jenderal Sudrman, Jakarta Pusat"/>
    <s v="Jl. Juntinyuat KM. 13, Desa Limbangan Kab. Indramayu, Balongan, Kab Indramayu, Jawa Barat, Indonesia, 45282"/>
    <s v="Sewa Bulanan"/>
    <x v="0"/>
    <x v="982"/>
    <s v="01000189276"/>
    <s v="99,50%"/>
    <s v="Metronet"/>
    <s v="30 Mbps"/>
    <m/>
    <x v="4"/>
    <m/>
    <m/>
    <x v="478"/>
    <m/>
    <x v="937"/>
    <d v="2024-06-09T00:00:00"/>
    <x v="2"/>
    <m/>
    <d v="2024-09-06T00:00:00"/>
    <n v="-89"/>
    <x v="3"/>
    <x v="1"/>
    <n v="4500017931"/>
    <n v="469"/>
    <n v="4500021036"/>
    <s v="Syifa Artianingsih"/>
    <m/>
    <m/>
    <m/>
    <m/>
    <m/>
    <m/>
    <m/>
    <m/>
    <n v="246"/>
    <m/>
    <s v="All revenue masih minus, sedang konfirmasi sales terkait hal tersebut"/>
  </r>
  <r>
    <n v="1532"/>
    <x v="477"/>
    <x v="908"/>
    <s v="Jl.Kebon Sirih No.12, 10110 Jakarta Pusat"/>
    <m/>
    <s v="SPBU-Cikupa Citra Raya"/>
    <s v="Sewa Bulanan"/>
    <x v="0"/>
    <x v="406"/>
    <s v="04000206699"/>
    <n v="0.99"/>
    <s v="Internet Broadband"/>
    <s v="10 Mbps"/>
    <m/>
    <x v="86"/>
    <m/>
    <m/>
    <x v="208"/>
    <m/>
    <x v="737"/>
    <d v="2024-08-14T00:00:00"/>
    <x v="0"/>
    <m/>
    <d v="2024-09-06T00:00:00"/>
    <n v="-23"/>
    <x v="12"/>
    <x v="1"/>
    <n v="4500018513"/>
    <s v="1121/SPP/SBU/ICON+/2023"/>
    <n v="4500021340"/>
    <s v="Syifa Artianingsih"/>
    <m/>
    <m/>
    <m/>
    <m/>
    <m/>
    <m/>
    <m/>
    <m/>
    <n v="287"/>
    <m/>
    <s v="Proses SPP"/>
  </r>
  <r>
    <n v="1533"/>
    <x v="477"/>
    <x v="39"/>
    <s v="Business Service Telkom lt. 3 Kav. semper  Jl. Yos Sudarso, Kav. 23-24, Jakarta Utara, Indonesia "/>
    <m/>
    <s v="Jl Celebration Boulevard Kav 1 Blok AA No.9"/>
    <s v="Sewa Bulanan"/>
    <x v="0"/>
    <x v="983"/>
    <s v="01000320982"/>
    <n v="0.98"/>
    <s v="Metro P2P"/>
    <s v="4 Mbps"/>
    <m/>
    <x v="143"/>
    <m/>
    <m/>
    <x v="200"/>
    <m/>
    <x v="938"/>
    <d v="2025-08-01T00:00:00"/>
    <x v="2"/>
    <m/>
    <d v="2024-09-06T00:00:00"/>
    <n v="329"/>
    <x v="12"/>
    <x v="3"/>
    <s v="21202/SPP/008/PUSAT/ICON+/2023 | 4500020057"/>
    <s v="3375/SPP/SBU/PLNICONPLUS/2024"/>
    <n v="4500022820"/>
    <s v="Syifa Artianingsih"/>
    <s v="Rosdiana"/>
    <s v="0813-6147-5293"/>
    <m/>
    <m/>
    <m/>
    <m/>
    <m/>
    <m/>
    <n v="72"/>
    <n v="143"/>
    <m/>
  </r>
  <r>
    <n v="1534"/>
    <x v="478"/>
    <x v="873"/>
    <s v="Jl Kebon Sirih No.10"/>
    <s v="Menara Standart Chartered"/>
    <s v="Jl Prof DR Satrio No. 164, Rt.4/Rw.4, Karet Semanggi, Kecamatan Setia Budi, Kota Jakarta Selatan, DKI Jakarta"/>
    <s v="Sewa Bulanan"/>
    <x v="0"/>
    <x v="984"/>
    <n v="111205023251"/>
    <n v="0.995"/>
    <s v="IPVPN"/>
    <s v="100 Mbps"/>
    <m/>
    <x v="468"/>
    <m/>
    <m/>
    <x v="479"/>
    <m/>
    <x v="713"/>
    <d v="2023-07-31T00:00:00"/>
    <x v="1"/>
    <m/>
    <d v="2024-09-06T00:00:00"/>
    <n v="-403"/>
    <x v="1"/>
    <x v="6"/>
    <m/>
    <n v="449"/>
    <n v="4500020787"/>
    <s v="Syifa Artianingsih"/>
    <m/>
    <m/>
    <m/>
    <m/>
    <m/>
    <m/>
    <m/>
    <m/>
    <n v="201"/>
    <m/>
    <s v="Biaya OTC Rp 2,000,000"/>
  </r>
  <r>
    <n v="1535"/>
    <x v="479"/>
    <x v="39"/>
    <s v="Jl. Yos Sudarso Kav 23-24 Jakarta Utara"/>
    <m/>
    <s v="Jl. Jend. Sudirman Blok A Babakan, Tangerang, Jawa Barat, Indonesia"/>
    <s v="Sewa Bulanan"/>
    <x v="0"/>
    <x v="387"/>
    <s v="01000187282"/>
    <n v="0.98"/>
    <s v="IPVPN"/>
    <s v="4 Mbps"/>
    <m/>
    <x v="143"/>
    <m/>
    <m/>
    <x v="200"/>
    <m/>
    <x v="939"/>
    <d v="2025-06-07T00:00:00"/>
    <x v="2"/>
    <m/>
    <d v="2024-09-06T00:00:00"/>
    <n v="274"/>
    <x v="3"/>
    <x v="3"/>
    <s v="214/SPP/SBU/ICON+/2023 | 4500020735"/>
    <s v="3395/SPP/SBU/PLNICONPLUS/2024"/>
    <n v="4500022845"/>
    <s v="Syifa Artianingsih"/>
    <s v="Rosdiana"/>
    <s v="0813-6147-5293"/>
    <m/>
    <m/>
    <m/>
    <m/>
    <m/>
    <m/>
    <n v="157"/>
    <n v="142"/>
    <m/>
  </r>
  <r>
    <n v="1536"/>
    <x v="479"/>
    <x v="241"/>
    <s v="Jl. Sisingamangaraja Kav 4 - 6 Kebayoran Baru Jakarta selatan"/>
    <s v="[PLN KANTOR PUSAT] ICON+ SERVER GANDUL,Cinere gandul ,Depok ,Jawa Barat ,Indonesia ,   "/>
    <s v="TRUNOJOYO - CYBER TELKOM (DUKCAPIL VIA NNI TELKOMSEL),Gd Cyber Telkom, Gedung Cyber 1 Lt.6, Jl. Kuningan Barat Raya No.8, RT.1/RW.3, Kuningan Bar., Kec. M ,Jakarta Selatan ,DKI Jakarta ,Indonesia ,   "/>
    <s v="Sewa Bulanan"/>
    <x v="0"/>
    <x v="985"/>
    <s v="01000163092"/>
    <n v="0.99"/>
    <s v="IPVPN"/>
    <s v="512 Kbps"/>
    <m/>
    <x v="469"/>
    <m/>
    <m/>
    <x v="480"/>
    <m/>
    <x v="765"/>
    <d v="2024-09-29T00:00:00"/>
    <x v="2"/>
    <m/>
    <d v="2024-09-06T00:00:00"/>
    <n v="23"/>
    <x v="7"/>
    <x v="1"/>
    <n v="4500018574"/>
    <n v="1180"/>
    <n v="4500021246"/>
    <s v="Syifa Artianingsih"/>
    <m/>
    <m/>
    <m/>
    <m/>
    <m/>
    <m/>
    <m/>
    <m/>
    <n v="249"/>
    <m/>
    <m/>
  </r>
  <r>
    <n v="1537"/>
    <x v="480"/>
    <x v="210"/>
    <s v="Graha Trans Hybrid Margonda raya Jl. Salak No. 520 Ruko B-C Depok Jawa Barat"/>
    <m/>
    <s v="BCA KCP Pondok Gede Plaza (PGP) Ruko Pondok Gede Plaza, Blok H no 3 dan 5"/>
    <s v="Sewa Bulanan"/>
    <x v="0"/>
    <x v="986"/>
    <s v="01000343332"/>
    <n v="0.995"/>
    <s v="Metronet"/>
    <s v="6 Mbps"/>
    <m/>
    <x v="193"/>
    <m/>
    <m/>
    <x v="261"/>
    <m/>
    <x v="594"/>
    <d v="2025-02-28T00:00:00"/>
    <x v="2"/>
    <m/>
    <d v="2024-09-06T00:00:00"/>
    <n v="175"/>
    <x v="9"/>
    <x v="3"/>
    <n v="450002092"/>
    <n v="2361"/>
    <n v="4500022183"/>
    <s v="Syifa Artianingsih"/>
    <s v="Pak Adi"/>
    <s v="0812-2090-9395"/>
    <m/>
    <m/>
    <m/>
    <m/>
    <m/>
    <m/>
    <n v="69"/>
    <s v="H21"/>
    <m/>
  </r>
  <r>
    <n v="1538"/>
    <x v="481"/>
    <x v="909"/>
    <s v="Artha Gading Niaga Blok E11 - 12 Jakarta"/>
    <m/>
    <s v="Komplek Artha Gading Niaga Blok G Jakarta Utara DKI Jakarta"/>
    <s v="Sewa Bulanan"/>
    <x v="0"/>
    <x v="987"/>
    <s v="01000128383"/>
    <n v="0.99"/>
    <s v="Metronet"/>
    <s v="50 Mbps"/>
    <m/>
    <x v="112"/>
    <m/>
    <m/>
    <x v="2"/>
    <m/>
    <x v="940"/>
    <d v="2022-11-16T00:00:00"/>
    <x v="1"/>
    <m/>
    <d v="2024-09-06T00:00:00"/>
    <n v="-660"/>
    <x v="2"/>
    <x v="2"/>
    <m/>
    <n v="17120"/>
    <n v="4500017074"/>
    <s v="Syifa Artianingsih"/>
    <m/>
    <m/>
    <m/>
    <m/>
    <m/>
    <m/>
    <m/>
    <m/>
    <n v="329"/>
    <m/>
    <m/>
  </r>
  <r>
    <n v="1539"/>
    <x v="482"/>
    <x v="206"/>
    <s v="Gedung Office 8 Lt. 18A Jl. Jend Sudirman Kav 52-53 Jakarta 12190"/>
    <m/>
    <m/>
    <s v="Sewa Bulanan"/>
    <x v="0"/>
    <x v="988"/>
    <s v="01000183025"/>
    <n v="0.995"/>
    <s v="Metronet"/>
    <s v="20 Mbps"/>
    <m/>
    <x v="470"/>
    <m/>
    <m/>
    <x v="481"/>
    <m/>
    <x v="901"/>
    <d v="2023-01-17T00:00:00"/>
    <x v="1"/>
    <m/>
    <d v="2024-09-06T00:00:00"/>
    <n v="-598"/>
    <x v="11"/>
    <x v="6"/>
    <n v="4500017383"/>
    <n v="17517"/>
    <n v="4500017383"/>
    <s v="Syifa Artianingsih"/>
    <m/>
    <m/>
    <m/>
    <m/>
    <m/>
    <m/>
    <m/>
    <m/>
    <n v="39"/>
    <m/>
    <s v="DEACTIVASI sesuai masa habis PO"/>
  </r>
  <r>
    <n v="1540"/>
    <x v="483"/>
    <x v="235"/>
    <m/>
    <m/>
    <m/>
    <s v="Sewa Bulanan"/>
    <x v="0"/>
    <x v="67"/>
    <m/>
    <m/>
    <s v="Radio"/>
    <s v="4 Mbps"/>
    <m/>
    <x v="112"/>
    <m/>
    <m/>
    <x v="184"/>
    <m/>
    <x v="636"/>
    <d v="2020-06-30T00:00:00"/>
    <x v="1"/>
    <m/>
    <d v="2024-09-06T00:00:00"/>
    <n v="-1529"/>
    <x v="3"/>
    <x v="5"/>
    <m/>
    <m/>
    <n v="4500012884"/>
    <s v="Syifa Artianingsih"/>
    <m/>
    <m/>
    <m/>
    <m/>
    <m/>
    <m/>
    <m/>
    <m/>
    <m/>
    <m/>
    <s v="Sudah proses perpanjangan dan naik iSPP"/>
  </r>
  <r>
    <n v="1541"/>
    <x v="484"/>
    <x v="910"/>
    <s v="XL Axiata Tower, JL. HR Rasuna Said X5 Kav. 11 – 12, Kuningan Timur Setiabudi Jaksel 12950"/>
    <s v="DC KPK BSD Graha TelkomSigma BSD,  Lantai 5, Wing A (Gedung Sisi Barat), Bumi Serpong Damai, Jalan Kapt. Subijanto Dj, Lengkong Gudang, Kec. Serpong, Kota Tangerang Selatan, Banten,  BSD Tangsel,  Jakarta Selatan,  DKI Jakarta,  Indonesia,  15321"/>
    <s v="PT. XL Axiata. Tbk (Inbuilding JNB 2) Building di Jl. Sumba Blok A-B MM2100 , Cibitung, Bekasi (Rak KPK),- ,- ,- ,Indonesia ,-    "/>
    <s v="Sewa Bulanan"/>
    <x v="0"/>
    <x v="989"/>
    <s v="01000136989"/>
    <n v="0.999"/>
    <s v="Metronet"/>
    <s v="10 Mbps"/>
    <m/>
    <x v="89"/>
    <m/>
    <m/>
    <x v="90"/>
    <m/>
    <x v="941"/>
    <d v="2025-01-27T00:00:00"/>
    <x v="2"/>
    <m/>
    <d v="2024-09-06T00:00:00"/>
    <n v="143"/>
    <x v="11"/>
    <x v="3"/>
    <n v="4500019779"/>
    <n v="2500"/>
    <n v="4500022179"/>
    <s v="Syifa Artianingsih"/>
    <s v="Ibu Egie"/>
    <s v="0877-9210-1961"/>
    <m/>
    <m/>
    <m/>
    <m/>
    <m/>
    <m/>
    <n v="42"/>
    <s v="H57"/>
    <m/>
  </r>
  <r>
    <n v="1542"/>
    <x v="485"/>
    <x v="911"/>
    <s v="JL.Ir H.Djuanda I"/>
    <m/>
    <s v="Elitery Data Center; Jl. Raya Pajajaran No.61, RT.06/RW.13, Baranangsiang"/>
    <s v="Sewa Tahunan"/>
    <x v="1"/>
    <x v="990"/>
    <m/>
    <m/>
    <m/>
    <m/>
    <m/>
    <x v="388"/>
    <m/>
    <m/>
    <x v="95"/>
    <m/>
    <x v="504"/>
    <d v="2023-12-31T00:00:00"/>
    <x v="0"/>
    <m/>
    <d v="2024-09-06T00:00:00"/>
    <n v="-250"/>
    <x v="5"/>
    <x v="6"/>
    <s v="19055/SPP/008/PUSAT/ICON+/2022 | 4500018320"/>
    <s v="19055/SPP/008/PUSAT/ICON+/2022"/>
    <n v="4500020531"/>
    <s v="Fajar Paramita"/>
    <m/>
    <m/>
    <m/>
    <m/>
    <m/>
    <m/>
    <m/>
    <s v="F184"/>
    <s v="G216"/>
    <m/>
    <s v="1.Biaya Sewa pertahun Rp.90.000.000"/>
  </r>
  <r>
    <n v="1543"/>
    <x v="485"/>
    <x v="745"/>
    <s v="Jl. Angkasa (Eks Gedung ADPEL Kemayoran Jakarta 10611"/>
    <m/>
    <s v="Jl. Jend. Sudirman No. 38-B, Bogor_x000a_ Jl. Jend. Ahmad Yani Bogor_x000a_ Jl. Kapten Muslihat No.25 Central Bogor Bogor West Java 16124 Indonesia_x000a_ Elitery Recovery Data Center, Jalan Padjajaran No.17 Sanggar Ksatria 5 Lantai 5_x000a_ Elitery Recovery Data Center, Jalan Padjajaran No.17 Sanggar Ksatria 5 Lantai 5_x000a_ H2H BCA Elitery Data Center; Jl. Raya Pajajaran No.61, RT.06/RW.13, Baranangsiang_x000a_ Elitery Data Center; Jl. Raya Pajajaran No.61, RT.06/RW.13, Baranangsiang"/>
    <s v="Sewa Tahunan"/>
    <x v="1"/>
    <x v="803"/>
    <m/>
    <m/>
    <m/>
    <m/>
    <m/>
    <x v="388"/>
    <m/>
    <m/>
    <x v="267"/>
    <m/>
    <x v="535"/>
    <d v="2024-10-20T00:00:00"/>
    <x v="2"/>
    <m/>
    <d v="2024-09-06T00:00:00"/>
    <n v="44"/>
    <x v="6"/>
    <x v="1"/>
    <s v="baru"/>
    <s v="18034/SPP/008/PUSAT/ICON+/2022"/>
    <n v="4500017708"/>
    <s v="Fajar Paramita"/>
    <s v="Febri"/>
    <s v="021-4207689"/>
    <m/>
    <m/>
    <m/>
    <m/>
    <m/>
    <s v="F54"/>
    <m/>
    <m/>
    <s v="1.Biaya sewa tahunan Rp.105.010.000"/>
  </r>
  <r>
    <n v="1544"/>
    <x v="486"/>
    <x v="912"/>
    <s v="Jl.Pintu Satu Selatan Jakarta Pusat "/>
    <m/>
    <s v="FX Officer Tower Flr. 17 Jl. Pintu Senayan 1 Jakarta 10270 INDONESIA"/>
    <s v="Sewa Tahunan"/>
    <x v="1"/>
    <x v="991"/>
    <m/>
    <m/>
    <m/>
    <m/>
    <m/>
    <x v="471"/>
    <m/>
    <m/>
    <x v="482"/>
    <m/>
    <x v="436"/>
    <d v="2024-01-31T00:00:00"/>
    <x v="2"/>
    <m/>
    <d v="2024-09-06T00:00:00"/>
    <n v="-219"/>
    <x v="11"/>
    <x v="1"/>
    <s v="baru"/>
    <s v="21297/SPP/008/PUSAT/ICON+/2023"/>
    <n v="4500020009"/>
    <s v="Fajar Paramita"/>
    <m/>
    <m/>
    <m/>
    <m/>
    <m/>
    <m/>
    <m/>
    <m/>
    <s v="G44"/>
    <m/>
    <s v="1.Sewa Lahan Utilitas PPKGBK selama 1 tahun Rp.89.400.000"/>
  </r>
  <r>
    <n v="1545"/>
    <x v="487"/>
    <x v="913"/>
    <s v="Jl.Letjen TB Simatupang No. 1 Tanjung Barat"/>
    <m/>
    <s v="Gedung Aneka Tambang (Antam)"/>
    <s v="Sewa Tahunan"/>
    <x v="1"/>
    <x v="992"/>
    <m/>
    <m/>
    <m/>
    <m/>
    <m/>
    <x v="99"/>
    <m/>
    <m/>
    <x v="483"/>
    <m/>
    <x v="112"/>
    <d v="2020-12-31T00:00:00"/>
    <x v="0"/>
    <m/>
    <d v="2024-09-06T00:00:00"/>
    <n v="-1345"/>
    <x v="5"/>
    <x v="5"/>
    <s v="65/AMD/RGA-COMNET+/XII/2015_x000a_ 12171/AMDVIII/061/ICON+/2015_x000a_ 45000082336 |08016/SPP/008/PUSAT/ICON+/2018|4500011169 | 09703/SPP/008/PUSAT/ICON+/2018 | 4500012194 | 12339/SPP/008/PUSAT/ICON+/2019 | 4500014599"/>
    <s v="12339/SPP/008/PUSAT/ICON+/2019"/>
    <s v="4500014599"/>
    <s v="Fajar Paramita"/>
    <s v="Jauhari"/>
    <s v="021-7891234"/>
    <s v="-"/>
    <s v="B11"/>
    <s v="B274"/>
    <s v="D218"/>
    <m/>
    <m/>
    <m/>
    <m/>
    <s v="1. Sewa Shaft Kabel Rp4.247.100/tahun _x000a_ 2. Sewa Collo Rp12.741.300/tahun_x000a_ 3. Jaminan Rp36.035.655,-_x000a_ 4. Listrik Rp85.000,-/bulan atau Rp1.020.000,-/tahun"/>
  </r>
  <r>
    <n v="1546"/>
    <x v="488"/>
    <x v="914"/>
    <s v="Recapital Building Lt. 10 Jl. Adityawarman Kav. 9 Jakarta 12161"/>
    <m/>
    <s v="[PLN KANTOR PUSAT] DIVISI BISNIS NIAGA DAN PEMASARAN / RECAPITAL BUILDING lantai 8, Jln.Adityawarman"/>
    <s v="Sewa Tahunan"/>
    <x v="1"/>
    <x v="993"/>
    <m/>
    <m/>
    <m/>
    <m/>
    <m/>
    <x v="472"/>
    <m/>
    <m/>
    <x v="25"/>
    <m/>
    <x v="942"/>
    <d v="2020-02-11T00:00:00"/>
    <x v="0"/>
    <m/>
    <d v="2024-09-06T00:00:00"/>
    <n v="-1669"/>
    <x v="9"/>
    <x v="5"/>
    <s v="baru"/>
    <s v="10269/SPP/008/PUSAT/ICON+/2019"/>
    <n v="4500012498"/>
    <s v="Fajar Paramita"/>
    <s v="Hery Sosiawan"/>
    <s v="021-72794177 Ext.553"/>
    <m/>
    <m/>
    <s v="C24"/>
    <m/>
    <m/>
    <m/>
    <m/>
    <m/>
    <s v="1.Biaya sewa tahunan Rp.10.000.001"/>
  </r>
  <r>
    <n v="1547"/>
    <x v="488"/>
    <x v="915"/>
    <s v="Recapital Building Lt. 10 Jl. Adityawarman Kav. 9 Jakarta 12160"/>
    <m/>
    <s v="PT PJB GEDUNG RECAPITAL Lt.3, Jl. Adityawarman No.55, RT.3/RW.2, Melawai, Kby. Baru, Kota Jakarta Selatan"/>
    <s v="Sewa Tahunan"/>
    <x v="1"/>
    <x v="994"/>
    <m/>
    <m/>
    <m/>
    <m/>
    <m/>
    <x v="2"/>
    <m/>
    <m/>
    <x v="25"/>
    <m/>
    <x v="246"/>
    <d v="2024-10-31T00:00:00"/>
    <x v="2"/>
    <m/>
    <d v="2024-09-06T00:00:00"/>
    <n v="55"/>
    <x v="6"/>
    <x v="1"/>
    <s v="07731/SPP/008/PUSAT/ICON+/2017 4500011023 | 09375/SPP/008/PUSAT/ICON+/2018 | 4500011967 | 14408/SPP/008/PUSAT/ICON+/2020 | 4500015121"/>
    <s v="1695/SPP/SBU/ICON+/2023"/>
    <n v="4500021700"/>
    <s v="Fajar Paramita"/>
    <s v="Hery Sosiawan"/>
    <s v="021-72794177 Ext.552"/>
    <m/>
    <m/>
    <m/>
    <s v="G323"/>
    <m/>
    <m/>
    <s v="G375"/>
    <m/>
    <s v="1.Biaya sewa tahunan Rp.10.000.000"/>
  </r>
  <r>
    <n v="1548"/>
    <x v="488"/>
    <x v="916"/>
    <s v="Recapital Building Lt. 10 Jl. Adityawarman Kav. 9 Jakarta 12162"/>
    <m/>
    <s v="RECAPITAL BUILDING JL. ADITIYAWARMAN NO.55, RT.3/RW.2, MELAWAI, KEC. KBY. BARU, KOTA JAKARTA SELATAN, DAERAH KHUSUS IBUKOTA JAKARTA 12160 "/>
    <s v="Sewa Tahunan"/>
    <x v="1"/>
    <x v="995"/>
    <m/>
    <m/>
    <m/>
    <m/>
    <m/>
    <x v="89"/>
    <m/>
    <m/>
    <x v="51"/>
    <m/>
    <x v="776"/>
    <d v="2023-10-06T00:00:00"/>
    <x v="0"/>
    <m/>
    <d v="2024-09-06T00:00:00"/>
    <n v="-336"/>
    <x v="6"/>
    <x v="6"/>
    <s v="baru"/>
    <s v="77/SPP/SBU/ICON+/2023"/>
    <n v="4500020509"/>
    <s v="Fajar Paramita"/>
    <s v="Hery Sosiawan"/>
    <s v="021-72794177 Ext.554"/>
    <m/>
    <m/>
    <m/>
    <m/>
    <m/>
    <m/>
    <m/>
    <m/>
    <s v="1.Biaya sewa 6 bulan Rp.5.000.000,-"/>
  </r>
  <r>
    <n v="1549"/>
    <x v="488"/>
    <x v="917"/>
    <s v="Recapital Building Lt. 10 Jl. Adityawarman Kav. 9 Jakarta 12160"/>
    <m/>
    <s v="Recapital Building Jl. Adityawarman Kav. 55 Jakarta 12160"/>
    <s v="Sewa Tahunan"/>
    <x v="1"/>
    <x v="996"/>
    <m/>
    <m/>
    <m/>
    <m/>
    <m/>
    <x v="473"/>
    <m/>
    <m/>
    <x v="25"/>
    <m/>
    <x v="943"/>
    <d v="2021-02-11T00:00:00"/>
    <x v="0"/>
    <m/>
    <d v="2024-09-06T00:00:00"/>
    <n v="-1303"/>
    <x v="9"/>
    <x v="4"/>
    <s v="3720117/SPR/ICON+/2017 | 08295/SPP/008/PUSAT/ICON+/2018 | 4500011314 "/>
    <s v="12700/SPP/008/PUSAT/ICON+/2020"/>
    <n v="4500015158"/>
    <s v="Fajar Paramita"/>
    <s v="Hery Sosiawan"/>
    <s v="021-72794177 Ext.552"/>
    <m/>
    <m/>
    <m/>
    <s v="D335"/>
    <m/>
    <m/>
    <m/>
    <m/>
    <s v="Sewa Shaft Kabel Fo menuju server PT Geo Dipa Rp10.000.000/tahun"/>
  </r>
  <r>
    <n v="1550"/>
    <x v="488"/>
    <x v="241"/>
    <s v="Recapital Building Lt. 10 Jl. Adityawarman Kav. 9 Jakarta 12160"/>
    <m/>
    <s v="Recapital Building Jl. Adityawarman Kav. 55 Jakarta 12160"/>
    <s v="Sewa Tahunan"/>
    <x v="1"/>
    <x v="997"/>
    <m/>
    <m/>
    <m/>
    <m/>
    <m/>
    <x v="474"/>
    <m/>
    <m/>
    <x v="25"/>
    <m/>
    <x v="944"/>
    <d v="2024-08-06T00:00:00"/>
    <x v="2"/>
    <m/>
    <d v="2024-09-06T00:00:00"/>
    <n v="-31"/>
    <x v="12"/>
    <x v="1"/>
    <s v="07407/SPP/008/PUSAT/ICON+/2017 | 4500010815 | 08965/SPP/008/PUSAT/ICON+/2018 | 4500011757 | 11113/SPP/008/PUSAT/ICON+/2019 | 4500013263 | 13936/SPP/008/PUSAT/ICON+/2020 | 4500015154| 16292/SPP/008/PUSAT/ICON+/2021| 4500016856 | 18851/SPP/008/PUSAT/ICON+/2022 | 4500018969"/>
    <s v="748/SPP/SBU/ICON+/2023"/>
    <n v="4500021198"/>
    <s v="Fajar Paramita"/>
    <s v="Hery Sosiawan"/>
    <s v="021-72794177 Ext.552"/>
    <m/>
    <s v="B261"/>
    <s v="C192"/>
    <s v="D331"/>
    <s v="E305"/>
    <s v="F339"/>
    <s v="G242"/>
    <m/>
    <s v="Biaya Instalasi Rp.5.000.000,- dan Perizinan Rp.10.000.000,-"/>
  </r>
  <r>
    <n v="1551"/>
    <x v="488"/>
    <x v="241"/>
    <s v="Recapital Building Lt. 5 Jl. Adityawarman Kav. 9 Jakarta 12160"/>
    <s v="-"/>
    <s v="Kantor SPI Lantai 5, Jl. Adityawarman No.55, Jakarta Selatan, Kebayoran Baru, Jakarta Selatan, DKI Jakarta"/>
    <s v="Sewa Tahunan"/>
    <x v="1"/>
    <x v="998"/>
    <m/>
    <m/>
    <m/>
    <m/>
    <m/>
    <x v="475"/>
    <m/>
    <m/>
    <x v="25"/>
    <m/>
    <x v="945"/>
    <d v="2024-11-14T00:00:00"/>
    <x v="2"/>
    <m/>
    <d v="2024-09-06T00:00:00"/>
    <n v="69"/>
    <x v="2"/>
    <x v="1"/>
    <s v="baru"/>
    <s v="2146/SPP/SBU/ICON+/2023"/>
    <n v="4500021820"/>
    <s v="Fajar Paramita"/>
    <s v="Hery Sosiawan"/>
    <s v="021-72794177 Ext.552"/>
    <m/>
    <m/>
    <m/>
    <m/>
    <m/>
    <m/>
    <s v="G366"/>
    <m/>
    <s v="1.Biaya sewa tahunan Rp.10.000.000"/>
  </r>
  <r>
    <n v="1552"/>
    <x v="488"/>
    <x v="241"/>
    <s v="Recapital Building Lt. 1 dan Lt. GF Jl. Adityawarman Kav. 9 Jakarta 12160"/>
    <s v="-"/>
    <s v="Lantai 1 dan GF, Jl. Adityawarman No.55, Jakarta Selatan, Kebayoran Baru, Jakarta Selatan, DKI Jakarta"/>
    <s v="Sewa Tahunan"/>
    <x v="1"/>
    <x v="999"/>
    <m/>
    <m/>
    <m/>
    <m/>
    <m/>
    <x v="476"/>
    <m/>
    <m/>
    <x v="25"/>
    <m/>
    <x v="945"/>
    <d v="2024-11-14T00:00:00"/>
    <x v="2"/>
    <m/>
    <d v="2024-09-06T00:00:00"/>
    <n v="69"/>
    <x v="2"/>
    <x v="1"/>
    <s v="baru"/>
    <s v="2147/SPP/SBU/ICON+/2023"/>
    <n v="4500021819"/>
    <s v="Fajar Paramita"/>
    <s v="Hery Sosiawan"/>
    <s v="021-72794177 Ext.552"/>
    <m/>
    <m/>
    <m/>
    <m/>
    <m/>
    <m/>
    <s v="G365"/>
    <m/>
    <s v="1.Biaya sewa tahunan Rp.10.000.000"/>
  </r>
  <r>
    <n v="1553"/>
    <x v="489"/>
    <x v="918"/>
    <s v="Sinar Mas Land Plaza Menara 2 Basement 1_x000a_ Jl. MH. Thamrin No. 51 Jakarta 10350"/>
    <m/>
    <s v="Jl. Tarjun, Kecamatan Kalumpang Hilir, Kabupaten Kotabaru, Kalimantan Selatan, Indonesia, 72161"/>
    <s v="Sewa Tahunan"/>
    <x v="1"/>
    <x v="164"/>
    <m/>
    <m/>
    <m/>
    <m/>
    <m/>
    <x v="51"/>
    <m/>
    <m/>
    <x v="85"/>
    <m/>
    <x v="476"/>
    <d v="2024-07-29T00:00:00"/>
    <x v="0"/>
    <m/>
    <d v="2024-09-06T00:00:00"/>
    <n v="-39"/>
    <x v="1"/>
    <x v="1"/>
    <s v="13938/SPP/008/PUSAT/ICON+/2020| 4500014791"/>
    <s v="19215/SPP/008/PUSAT/ICON+/2022"/>
    <n v="4500018528"/>
    <s v="Fajar Paramita"/>
    <m/>
    <m/>
    <m/>
    <m/>
    <m/>
    <s v="D165"/>
    <m/>
    <s v="F304"/>
    <m/>
    <m/>
    <s v="Biaya Sewa Pertahun 96.000.000"/>
  </r>
  <r>
    <n v="1554"/>
    <x v="489"/>
    <x v="918"/>
    <s v="Sinar Mas Land Plaza Menara 2 Basement 1_x000a_ Jl. MH. Thamrin No. 51 Jakarta 10350"/>
    <m/>
    <s v="Jl. Tarjun, Kecamatan Kalumpang Hilir, Kabupaten Kotabaru, Kalimantan Selatan, Indonesia, 72161"/>
    <s v="Sewa Tahunan"/>
    <x v="1"/>
    <x v="164"/>
    <m/>
    <m/>
    <m/>
    <m/>
    <m/>
    <x v="51"/>
    <m/>
    <m/>
    <x v="484"/>
    <m/>
    <x v="946"/>
    <d v="2026-07-29T00:00:00"/>
    <x v="2"/>
    <m/>
    <d v="2024-09-06T00:00:00"/>
    <n v="691"/>
    <x v="1"/>
    <x v="7"/>
    <m/>
    <s v="3869/SPP/SBU/PLNICONPLUS/2024"/>
    <n v="4500023194"/>
    <s v="Fajar Paramita"/>
    <m/>
    <m/>
    <m/>
    <m/>
    <m/>
    <m/>
    <m/>
    <m/>
    <m/>
    <s v="H321"/>
    <m/>
  </r>
  <r>
    <n v="1555"/>
    <x v="489"/>
    <x v="0"/>
    <s v="Sinar Mas Land Plaza Menara 2 Basement 1_x000a_ Jl. MH. Thamrin No. 51 Jakarta 10350"/>
    <m/>
    <s v="Plaza BII Tower II Jl. MH Thamrin No. 51 Jakarta Pusat (Bank Mizuho Indonesia Level 24 - Pelanggan PT NTT Indonesia SO No. ICON-00/ACT/1605/0716)"/>
    <s v="Sewa Tahunan"/>
    <x v="1"/>
    <x v="1000"/>
    <m/>
    <m/>
    <m/>
    <m/>
    <m/>
    <x v="60"/>
    <m/>
    <m/>
    <x v="485"/>
    <m/>
    <x v="947"/>
    <d v="2020-08-28T00:00:00"/>
    <x v="0"/>
    <m/>
    <d v="2024-09-06T00:00:00"/>
    <n v="-1470"/>
    <x v="12"/>
    <x v="5"/>
    <s v="091503/MI/004/PUSAT/ICON+/2016 | 4500009872 | 450000987 |07489/SPP/008/PUSAT/ICON+/2017 | 4500010869 | 08827/SPP/008/PUSAT/ICON+/2018 | 4500011677"/>
    <s v="11175/SPP/008/PUSAT/ICON+/2019"/>
    <n v="4500013093"/>
    <s v="Fajar Paramita"/>
    <s v="Dorotia"/>
    <s v="021-2301441_x000a_ 021-3910807"/>
    <n v="125"/>
    <s v="B167"/>
    <s v="C173"/>
    <m/>
    <m/>
    <m/>
    <m/>
    <m/>
    <s v="1. Pembayaran Sewa Penempatan Kabel FO u 226 m dan lebar 0,1 m Rp.84.207.600 ,-/tahun_x000a_ 2. Jaminan Rp6.000.000,-"/>
  </r>
  <r>
    <n v="1556"/>
    <x v="489"/>
    <x v="919"/>
    <s v="Sinar Mas Land Plaza Menara 2 Basement 1_x000a_ Jl. MH. Thamrin No. 51 Jakarta 10350"/>
    <m/>
    <s v="Plaza BII, Jl. MH Thamrin, Jakarta Pusat"/>
    <s v="Sewa Tahunan"/>
    <x v="1"/>
    <x v="1001"/>
    <m/>
    <m/>
    <m/>
    <m/>
    <m/>
    <x v="51"/>
    <m/>
    <m/>
    <x v="486"/>
    <m/>
    <x v="948"/>
    <d v="2021-10-20T00:00:00"/>
    <x v="1"/>
    <m/>
    <d v="2024-09-06T00:00:00"/>
    <n v="-1052"/>
    <x v="6"/>
    <x v="4"/>
    <s v="13938/SPP/008/PUSAT/ICON+/2020 | 4500013431"/>
    <s v="14603/SPP/008/PUSAT/ICON+/2020"/>
    <n v="4500015224"/>
    <s v="Fajar Paramita"/>
    <m/>
    <m/>
    <m/>
    <m/>
    <s v="C230"/>
    <s v="D317"/>
    <m/>
    <m/>
    <m/>
    <m/>
    <m/>
  </r>
  <r>
    <n v="1557"/>
    <x v="160"/>
    <x v="920"/>
    <s v="Jl Tb Simatupang RT 004 RW 001 KAV.15 Jakarta Selatan"/>
    <m/>
    <s v="Menara FIF, lantai 1st on Jalan TB Simatupang kav.15 Cilandak Barat Jakarta 12430 (DRC)-(relokasi ruang server), Cilandak, Jakarta Selatan, DKI Jakarta, Indonesia."/>
    <s v="Sewa Tahunan"/>
    <x v="1"/>
    <x v="1002"/>
    <m/>
    <m/>
    <m/>
    <m/>
    <m/>
    <x v="477"/>
    <m/>
    <m/>
    <x v="49"/>
    <m/>
    <x v="587"/>
    <d v="2024-12-31T00:00:00"/>
    <x v="2"/>
    <m/>
    <d v="2024-09-06T00:00:00"/>
    <n v="116"/>
    <x v="5"/>
    <x v="1"/>
    <s v="12412/SPP/008/PUSAT/ICON+/2019 | 4500013729 | 14935/SPP/008/PUSAT/ICON+/2020 | 4500015692 | 17081/SPP/008/PUSAT/ICON+/2021 | 4500017141 | 20629/SPP/008/PUSAT/ICON+/2022 | 4500019626"/>
    <s v="2463/SPP/SBU/ICON+/2024"/>
    <n v="4500023005"/>
    <s v="Fajar Paramita"/>
    <m/>
    <m/>
    <m/>
    <m/>
    <s v="C266"/>
    <m/>
    <s v="E39"/>
    <s v="E401"/>
    <s v="F461"/>
    <s v="H247"/>
    <s v="1.Biaya Sewa Shaft Rp.20.000.000,- 2.Biaya Sewa Rack Rp.30.000.000,-"/>
  </r>
  <r>
    <n v="1558"/>
    <x v="490"/>
    <x v="921"/>
    <s v="Jl Jend Sudirman Kav 45-46 Lever Mezzanine Jakarta Selatan 12930"/>
    <m/>
    <s v="Sampoerna Strategic Square Tower A Lantai 19, Jalan Jenderal Sudirman Kav. 45-46, RT.3/RW.4, Karet Semanggi, Jakarta"/>
    <s v="Sewa Tahunan"/>
    <x v="1"/>
    <x v="1003"/>
    <m/>
    <m/>
    <m/>
    <m/>
    <m/>
    <x v="16"/>
    <m/>
    <m/>
    <x v="487"/>
    <m/>
    <x v="949"/>
    <d v="2024-04-30T00:00:00"/>
    <x v="0"/>
    <m/>
    <d v="2024-09-06T00:00:00"/>
    <n v="-129"/>
    <x v="10"/>
    <x v="1"/>
    <s v="10744/SPP/008/PUSAT/ICON+/2019 | 4500012754 | 12491/SPP/008/PUSAT/ICON+/2020 | 4500013808| 15415/SPP/008/PUSAT/ICON+/2021| 4500015992 | 17858/SPP/008/PUSAT/ICON+/2022 | 4500017828"/>
    <m/>
    <s v="4500020368"/>
    <s v="Fajar Paramita"/>
    <s v="Tri Sunarti"/>
    <s v="021-5770001-4"/>
    <m/>
    <m/>
    <s v="C86"/>
    <s v="D17"/>
    <s v="E129"/>
    <s v="F274"/>
    <s v="G100"/>
    <m/>
    <s v="sewa jalur kabel sebesar Rp.60.500.000,-"/>
  </r>
  <r>
    <n v="1559"/>
    <x v="491"/>
    <x v="922"/>
    <s v="Gedung Cyber 1 No.8"/>
    <m/>
    <s v="DC TELIN, Jalan Medan Merdeka Timur No.5 Gedung Perhubungan Lantai 1"/>
    <s v="Sewa Tahunan"/>
    <x v="2"/>
    <x v="439"/>
    <m/>
    <m/>
    <m/>
    <m/>
    <m/>
    <x v="229"/>
    <m/>
    <m/>
    <x v="18"/>
    <m/>
    <x v="403"/>
    <d v="2023-10-31T00:00:00"/>
    <x v="1"/>
    <m/>
    <d v="2024-09-06T00:00:00"/>
    <n v="-311"/>
    <x v="6"/>
    <x v="6"/>
    <s v="baru"/>
    <n v="20313"/>
    <n v="4500019279"/>
    <s v="Fajar Paramita"/>
    <m/>
    <m/>
    <m/>
    <m/>
    <m/>
    <m/>
    <m/>
    <s v="F369"/>
    <m/>
    <m/>
    <m/>
  </r>
  <r>
    <n v="1560"/>
    <x v="491"/>
    <x v="603"/>
    <s v="Gedung Cyber 1 No.8"/>
    <m/>
    <s v="DCI Cibitung Gd. JK 1 Jl. Halmahera Blok. F1 No. 1, Danau Indah, Cikarang Barat, Bekasi, Kawasan Industri MM2100 Cibitung DCI Gd. JK 1, Cikarang, Jawa Barat, Indonesia,"/>
    <s v="Sewa Tahunan"/>
    <x v="2"/>
    <x v="518"/>
    <m/>
    <m/>
    <m/>
    <m/>
    <m/>
    <x v="266"/>
    <m/>
    <m/>
    <x v="16"/>
    <m/>
    <x v="693"/>
    <d v="2025-01-31T00:00:00"/>
    <x v="2"/>
    <m/>
    <d v="2024-09-06T00:00:00"/>
    <n v="147"/>
    <x v="11"/>
    <x v="3"/>
    <s v="17759/SPP/008/PUSAT/ICON+/2022 | 4500017597 | 21652 | 4500020355"/>
    <n v="2638"/>
    <n v="4500022313"/>
    <s v="Fajar Paramita"/>
    <m/>
    <m/>
    <m/>
    <m/>
    <m/>
    <m/>
    <m/>
    <s v="F50"/>
    <s v="G215"/>
    <s v="H108"/>
    <m/>
  </r>
  <r>
    <n v="1561"/>
    <x v="491"/>
    <x v="923"/>
    <s v="Gedung Cyber 1 No.8"/>
    <m/>
    <s v="DRC PT Satata Neka Tama Cyber Building 3rd Floor Jl. Kuningan Barat No.8,  Cyber,  Jakarta Selatan,  DKI Jakarta,  Indonesia,  12710"/>
    <s v="Sewa Tahunan"/>
    <x v="2"/>
    <x v="1004"/>
    <m/>
    <m/>
    <m/>
    <m/>
    <m/>
    <x v="10"/>
    <m/>
    <m/>
    <x v="488"/>
    <m/>
    <x v="881"/>
    <d v="2024-09-30T00:00:00"/>
    <x v="2"/>
    <m/>
    <d v="2024-09-06T00:00:00"/>
    <n v="24"/>
    <x v="7"/>
    <x v="1"/>
    <s v="17791/SPP/008/PUSAT/ICON+/20223"/>
    <s v="2133/SPP/SBU/ICON+/2023"/>
    <n v="4500021834"/>
    <s v="Fajar Paramita"/>
    <m/>
    <m/>
    <m/>
    <m/>
    <m/>
    <m/>
    <m/>
    <s v="F147"/>
    <m/>
    <m/>
    <m/>
  </r>
  <r>
    <n v="1562"/>
    <x v="491"/>
    <x v="924"/>
    <s v="Gedung Cyber 1 No.8"/>
    <m/>
    <s v="Gedung Cyber Lantai 3 Jl. Kuningan Barat Raya No.8, Mampang Prapatan, jakarta Selatan"/>
    <s v="Sewa Tahunan"/>
    <x v="1"/>
    <x v="1005"/>
    <m/>
    <m/>
    <m/>
    <m/>
    <m/>
    <x v="143"/>
    <m/>
    <m/>
    <x v="56"/>
    <m/>
    <x v="601"/>
    <d v="2024-08-31T00:00:00"/>
    <x v="2"/>
    <m/>
    <d v="2024-09-06T00:00:00"/>
    <n v="-6"/>
    <x v="12"/>
    <x v="1"/>
    <s v="13765/SPP/008/PUSAT/ICON+/2020 | 4500016253"/>
    <n v="2100"/>
    <n v="4500021699"/>
    <s v="Fajar Paramita"/>
    <m/>
    <m/>
    <m/>
    <m/>
    <s v="C249"/>
    <s v="E197"/>
    <m/>
    <m/>
    <s v="G374"/>
    <m/>
    <m/>
  </r>
  <r>
    <n v="1563"/>
    <x v="491"/>
    <x v="96"/>
    <s v="Gedung Cyber 1 No.8"/>
    <m/>
    <s v="Gedung Cyber1, Lantai 3, Jalan No.8 RT.1/RW.3 (RAK 35 PT. SMS), Kuningan Barat, Mampang Prapatan, Jakarta Selatan, DKI Jakarta, Indonesia, 13450."/>
    <s v="Sewa Tahunan"/>
    <x v="2"/>
    <x v="1006"/>
    <m/>
    <m/>
    <m/>
    <m/>
    <m/>
    <x v="67"/>
    <m/>
    <m/>
    <x v="11"/>
    <m/>
    <x v="612"/>
    <d v="2021-09-23T00:00:00"/>
    <x v="1"/>
    <m/>
    <d v="2024-09-06T00:00:00"/>
    <n v="-1079"/>
    <x v="7"/>
    <x v="4"/>
    <s v="11665/SPP/008/PUSAT/ICON+/2019 | 4500013277 | 16077/SPP/008/PUSAT/ICON+/2021 | 4500016329"/>
    <n v="16077"/>
    <n v="4500016329"/>
    <s v="Fajar Paramita"/>
    <m/>
    <m/>
    <m/>
    <m/>
    <s v="C194"/>
    <m/>
    <s v="E161"/>
    <m/>
    <m/>
    <m/>
    <m/>
  </r>
  <r>
    <n v="1564"/>
    <x v="492"/>
    <x v="925"/>
    <s v="Menara Mulia Jl. Jendral Gatot Subroto Kav. 9-11 Karet Semanggi, Setiabudi Jakarta 12930"/>
    <m/>
    <s v="Menara Mulia Jl. Jend. Gatot Subroto Kav. 9-11 Jakarta 12930"/>
    <s v="Sewa Tahunan"/>
    <x v="1"/>
    <x v="1007"/>
    <m/>
    <m/>
    <m/>
    <m/>
    <m/>
    <x v="478"/>
    <m/>
    <m/>
    <x v="489"/>
    <m/>
    <x v="201"/>
    <d v="2022-01-09T00:00:00"/>
    <x v="0"/>
    <m/>
    <d v="2024-09-06T00:00:00"/>
    <n v="-971"/>
    <x v="11"/>
    <x v="2"/>
    <s v="4500009544 |4500010557 |07039/SPP/008/PUSAT/ICON+/2017 | 08517/SPP/008/PUSAT/ICON+/2018 | 4500011510 | 11094/SPP/008/PUSAT/ICON+/2019 | 4500012981 | 13600/SPP/008/PUSAT/ICON+/2020 | 4500014650 | 16252/SPP/008/PUSAT/ICON+/2021 | 4500016454"/>
    <s v="17353/SPP/008/PUSAT/ICON+/2021"/>
    <s v="4500017283"/>
    <s v="Fajar Paramita"/>
    <s v="Indiera"/>
    <s v="021-5222579"/>
    <m/>
    <s v="B94"/>
    <s v="C140"/>
    <s v="D207"/>
    <s v="E245"/>
    <s v="E406"/>
    <m/>
    <m/>
    <s v="1. Sewa Collo 2 m2 Rp100.000.000,-_x000a_ 2. Biaya Jaminan senilai 3 bulan masa sewa USD 1725_x000a_ 3. Biaya Supervisi Rp50.000/jam total 7 jam_x000a_ 4. Biaya reinstate Rp100.000/lot total 13 lot (dr lt.4 ke lt.19)"/>
  </r>
  <r>
    <n v="1565"/>
    <x v="493"/>
    <x v="926"/>
    <s v="Wisma Mulia Jalan Gatot Subroto No. 42 Kuningan Barat Mampang Prapatan Jakarta 12710"/>
    <m/>
    <s v="Wisma Mulia Jl. Jend. Gatot Subroto No. 42 Jakarta"/>
    <s v="Sewa Tahunan"/>
    <x v="1"/>
    <x v="1008"/>
    <m/>
    <m/>
    <m/>
    <m/>
    <m/>
    <x v="479"/>
    <m/>
    <m/>
    <x v="464"/>
    <m/>
    <x v="950"/>
    <d v="2020-08-17T00:00:00"/>
    <x v="1"/>
    <m/>
    <d v="2024-09-06T00:00:00"/>
    <n v="-1481"/>
    <x v="12"/>
    <x v="5"/>
    <s v="4500009750 | 34/ICON/NETLA-06/16/00 | 092729/MI/004/PUSAT/ICON+/2016 |5271016/SPR/ICON+/2016 | 07228/SPP/008/PUSAT/ICON+/2017 | 4500010664 | 08921/SPP/008/PUSAT/ICON+/2018 | 4500011704"/>
    <s v="11390/SPP/008/PUSAT/ICON+/2019"/>
    <n v="4500013138"/>
    <s v="Fajar Paramita"/>
    <s v="Metty"/>
    <s v="021-30002008"/>
    <m/>
    <s v="B165"/>
    <s v="C159"/>
    <m/>
    <m/>
    <m/>
    <m/>
    <m/>
    <s v="1. Sewa Shaft Cable USD 13,800/tahun update 2016 Rp23.000.000,-/bulan atau total Rp276.000.000,-_x000a_ 2. Jaminan Sewa senilai 3 bulan masa sewa USD 3,450 update tahun 2016 Rp69.000.000,-_x000a_ 3. Perbaikan lantai 41 lt Rp40.000,-/lt total Rp1.640.000,-_x000a_ 4. Biaya Supervisi Rp70.000,-/jam total untuk 15 jam Rp1.050.000,-"/>
  </r>
  <r>
    <n v="1566"/>
    <x v="493"/>
    <x v="927"/>
    <s v="Wisma Mulia Jalan Gatot Subroto No. 42 Kuningan Barat Mampang Prapatan Jakarta 12710"/>
    <m/>
    <s v="Wisma Mulia Jl. Jend. Gatot Subroto No. 42 Jakarta"/>
    <s v="Sewa Tahunan"/>
    <x v="1"/>
    <x v="1009"/>
    <m/>
    <m/>
    <m/>
    <m/>
    <m/>
    <x v="210"/>
    <m/>
    <m/>
    <x v="490"/>
    <m/>
    <x v="571"/>
    <d v="2024-07-31T00:00:00"/>
    <x v="0"/>
    <m/>
    <d v="2024-09-06T00:00:00"/>
    <n v="-37"/>
    <x v="1"/>
    <x v="1"/>
    <s v="19470/SPP/008/PUSAT/ICON+/2022 | 4500018667"/>
    <s v="768/SPP/SBU/ICON+/2023"/>
    <n v="4500020975"/>
    <s v="Fajar Paramita"/>
    <s v="Metty"/>
    <s v="021-30002008"/>
    <m/>
    <m/>
    <m/>
    <m/>
    <m/>
    <s v="F268"/>
    <s v="G206"/>
    <m/>
    <s v="1.Biaya Sewa Tahunan Rp.145.000.000"/>
  </r>
  <r>
    <n v="1567"/>
    <x v="494"/>
    <x v="168"/>
    <s v="Gedung Titan Center_x000a_ Jl. Boulevard Bintaro Blok B7/B1 Nomor 5_x000a_ Bintaro Jaya Sektor 7 Tangerang"/>
    <m/>
    <s v="Gedung Sarana Titan/Titan Center_x000a_ Ruang Control Room Engineering Basement (PT Cyberindo Aditama SO No. ICON-00/ACT/1609/0615)"/>
    <s v="Sewa Tahunan"/>
    <x v="1"/>
    <x v="1010"/>
    <m/>
    <m/>
    <m/>
    <m/>
    <m/>
    <x v="51"/>
    <m/>
    <m/>
    <x v="167"/>
    <m/>
    <x v="951"/>
    <d v="2021-11-02T00:00:00"/>
    <x v="1"/>
    <m/>
    <d v="2024-09-06T00:00:00"/>
    <n v="-1039"/>
    <x v="2"/>
    <x v="4"/>
    <s v="86/Titan/19/12/16_x000a_ 3981216/SPR/ICON+/2016 06625/SPP/008/_x000a_ PUSAT/ICON+/2017 4500010291 08460/SPP/008/PUSAT/ICON+/2018 4500011388 | 09473/SPP/008/PUSAT/ICON+/2018 | 4500012025 | 11984/SPP/008/PUSAT/ICON+/2019 | 4500013602"/>
    <s v="14683/SPP/008/PUSAT/ICON+/2020"/>
    <n v="4500015895"/>
    <s v="Fajar Paramita"/>
    <s v="Bimo Yulianto"/>
    <s v="021-7451777 ext 1025"/>
    <m/>
    <m/>
    <s v="D318"/>
    <s v="E48"/>
    <m/>
    <m/>
    <m/>
    <m/>
    <s v="Sewa Collo"/>
  </r>
  <r>
    <n v="1568"/>
    <x v="495"/>
    <x v="541"/>
    <s v="Jl. Angkasa (Eks Gedung ADPEL Kemayoran Jakarta 10610"/>
    <m/>
    <s v="Gedung Datascrip Kemayoran"/>
    <s v="Sewa Tahunan"/>
    <x v="1"/>
    <x v="1011"/>
    <m/>
    <m/>
    <m/>
    <m/>
    <m/>
    <x v="384"/>
    <m/>
    <m/>
    <x v="491"/>
    <m/>
    <x v="952"/>
    <d v="2024-11-17T00:00:00"/>
    <x v="2"/>
    <m/>
    <d v="2024-09-06T00:00:00"/>
    <n v="72"/>
    <x v="2"/>
    <x v="1"/>
    <s v="09507/SPP/008/PUSAT/ICON+/2018 | 4500012038 | 12095/SPP/008/PUSAT/ICON+/2019 | 4500013879 | 14684/SPP/008/PUSAT/ICON+/2020 | 4500015363"/>
    <s v="2484/SPP/SBU/PLNICONPLUS/2024"/>
    <n v="4500022932"/>
    <s v="Fajar Paramita"/>
    <s v="Febri"/>
    <s v="021-4207688"/>
    <m/>
    <s v="B226"/>
    <m/>
    <s v="D87"/>
    <s v="E148"/>
    <s v="F5"/>
    <m/>
    <s v="H229"/>
    <s v="1.Jaminan Sewa Rp.4.950.000 2.Biaya Sewa 1 tahun datascript Rp.7.636.363 3.Biaya Sewa ke pengelola Lahan Rp.9.900.000 4.Biaya instalasi Data Script Rp.10.000.000 5.Biaya PKB Rp.32.469.337"/>
  </r>
  <r>
    <n v="1569"/>
    <x v="495"/>
    <x v="928"/>
    <s v="Jl. Angkasa (Eks Gedung ADPEL Kemayoran Jakarta 10610"/>
    <m/>
    <s v="JL TABING KOMPLEK KEMAYORAN B 16 NO 2 GUNUNG SAHARI UTARA, KEMAYORAN, Jakarta Pusat, DKI Jakarta, Indonesia, 10720"/>
    <s v="Sewa Tahunan"/>
    <x v="1"/>
    <x v="229"/>
    <m/>
    <m/>
    <m/>
    <m/>
    <m/>
    <x v="11"/>
    <m/>
    <m/>
    <x v="117"/>
    <m/>
    <x v="953"/>
    <d v="2024-12-16T00:00:00"/>
    <x v="2"/>
    <m/>
    <d v="2024-09-06T00:00:00"/>
    <n v="101"/>
    <x v="5"/>
    <x v="1"/>
    <s v="17563/SPP/008/PUSAT/ICON+/2021 | 4500017399 I  20468/SPP/008/PUSAT/ICON+/2022 I 4500019619"/>
    <s v="2499/SPP/SBU/ICON+/2023"/>
    <n v="4500022314"/>
    <s v="Fajar Paramita"/>
    <s v="Febri"/>
    <s v="021-4207688"/>
    <m/>
    <m/>
    <m/>
    <m/>
    <s v="F10"/>
    <s v="F462"/>
    <s v="H249"/>
    <m/>
    <s v="1. Penempatan Kabel Rp.14.280.000 | 2.Handhole Rp.400.000"/>
  </r>
  <r>
    <n v="1570"/>
    <x v="495"/>
    <x v="459"/>
    <s v="Jl. Angkasa (Eks Gedung ADPEL Kemayoran Jakarta 10612"/>
    <m/>
    <s v="Kantor Pusat Angksa Pura 1, Jalan Kota Bandar Baru Blok B. 12 Kav 2, Lantai 3, Kemayoran, Jakarta Pusat, DKI Jakarta, Indonesia, 10610"/>
    <s v="Sewa Tahunan"/>
    <x v="1"/>
    <x v="1012"/>
    <m/>
    <m/>
    <m/>
    <m/>
    <m/>
    <x v="250"/>
    <m/>
    <m/>
    <x v="245"/>
    <m/>
    <x v="492"/>
    <d v="2023-05-15T00:00:00"/>
    <x v="1"/>
    <m/>
    <d v="2024-09-06T00:00:00"/>
    <n v="-480"/>
    <x v="4"/>
    <x v="6"/>
    <s v="10964/SPP/008/PUSAT/ICON+/2019| 4500012892"/>
    <s v="18585/SPP/008/PUSAT/ICON+/2022"/>
    <n v="4500018014"/>
    <s v="Fajar Paramita"/>
    <s v="Febri"/>
    <s v="021-4207690"/>
    <m/>
    <m/>
    <s v="C60"/>
    <m/>
    <m/>
    <s v="F202"/>
    <m/>
    <m/>
    <s v="1.Biaya sewa tahunan sebesar 45.876.600"/>
  </r>
  <r>
    <n v="1571"/>
    <x v="495"/>
    <x v="929"/>
    <s v="Jl. Angkasa (Eks Gedung ADPEL Kemayoran Jakarta 10610"/>
    <m/>
    <s v="Kantor Pusat Basarnas - Jl. Angkasa No.2-3, RW.10, South Gunung Sahari, Kemayoran, Central Jakarta City, Jakarta 10610, Kemayoran, Jakarta Pusat, DKI Jakarta, Indonesia, 10610"/>
    <s v="Sewa Tahunan"/>
    <x v="1"/>
    <x v="196"/>
    <m/>
    <m/>
    <m/>
    <m/>
    <m/>
    <x v="480"/>
    <m/>
    <m/>
    <x v="492"/>
    <m/>
    <x v="954"/>
    <d v="2024-12-26T00:00:00"/>
    <x v="2"/>
    <m/>
    <d v="2024-09-06T00:00:00"/>
    <n v="111"/>
    <x v="5"/>
    <x v="1"/>
    <s v="17628/SPP/008/PUSAT/ICON+/2022 | 4500017450 | 20466/SPP/008/PUSAT/ICON+2022 | 4500019635"/>
    <s v="3298/SPP/SBU/PLNICONPLUS/2024"/>
    <m/>
    <s v="Fajar Paramita"/>
    <s v="Febri"/>
    <s v="021-4207688"/>
    <m/>
    <m/>
    <m/>
    <m/>
    <m/>
    <s v="F1"/>
    <s v="F463"/>
    <m/>
    <s v="1.Biaya Sewa Tahunan Rp.45.612.000"/>
  </r>
  <r>
    <n v="1572"/>
    <x v="495"/>
    <x v="56"/>
    <s v="Jl. Angkasa (Eks Gedung ADPEL Kemayoran Jakarta 10610"/>
    <m/>
    <s v="Lahan Komplek Kemayoran (Gedung Indogrosir Jl. Terusan Angkasa B2 kav.1 , Gunung Sahari Selatan, Jakarta Pusat(seberang MGK, masih di tepi jl Benyamin Sueb- PT Indomarco Prismatama)"/>
    <s v="Sewa Tahunan"/>
    <x v="1"/>
    <x v="1013"/>
    <m/>
    <m/>
    <m/>
    <m/>
    <m/>
    <x v="481"/>
    <m/>
    <m/>
    <x v="493"/>
    <m/>
    <x v="955"/>
    <d v="2022-07-07T00:00:00"/>
    <x v="1"/>
    <m/>
    <d v="2024-09-06T00:00:00"/>
    <n v="-792"/>
    <x v="1"/>
    <x v="2"/>
    <s v="100230/MI/004/PUSAT/ICON+/2013 | 08859/SPP/008/PUSAT/ICON+/2018_x000a_ 09275/SPR/008/PUSAT/ICON+/2013_x000a_ 4500009598 07689/SPP/008/PUSAT/ICON+/2017 4500011007 } 4500011683 | 11097/SPP/008/PUSAT/ICON+/2019 | 4500013586 | 13679/SPP/008/PUSAT/ICON+/2020 | 4500014776"/>
    <s v="16297/SPP/008/PUSAT/ICON+/2021"/>
    <n v="4500016698"/>
    <s v="Fajar Paramita"/>
    <s v="Febri"/>
    <s v="021-4207688"/>
    <n v="154"/>
    <s v="B185"/>
    <s v="C287"/>
    <s v="D322"/>
    <s v="E357"/>
    <m/>
    <m/>
    <m/>
    <s v="1. Jaminan bervariasi mulai dari Rp20.000.000,- s/d Rp50.000.000,-_x000a_ 2. Biaya One Time Charged Rp7.468.000 terdiri dari :_x000a_ a. Ijin galian Rp2.500/m' total 242 m'_x000a_ b. Biaya penyempurnaan bekas galian (pemeliharaan) Rp1.500/m' total 242 m'_x000a_ c. Ijin pembuatan bak kontrol Rp2000.000/titik total 1 titik_x000a_ d. Ijin penggunaan box utilitas Rp100.000/m total 30m_x000a_ e. Ijin boring/duct selam Rp1.500.000/titik total 1 titik_x000a_ 3. Biaya sewa Rp5000/m'/bulan total untuk 242 m' selama 3 (tiga) tahun Rp43.560.000"/>
  </r>
  <r>
    <n v="1573"/>
    <x v="495"/>
    <x v="930"/>
    <s v="Jl. Angkasa (Eks Gedung ADPEL Kemayoran Jakarta 10610"/>
    <m/>
    <s v="Lahan Komplek Kemayoran (Jl. Angkasa Blok B-9 Kav. 6 Kota Baru Bandar Kemayoran Central Jakarta 10610 _x000a_ (Jl. Angkasa s/d Jamkrindo)."/>
    <s v="Sewa Tahunan"/>
    <x v="1"/>
    <x v="1014"/>
    <m/>
    <m/>
    <m/>
    <m/>
    <m/>
    <x v="231"/>
    <m/>
    <m/>
    <x v="280"/>
    <m/>
    <x v="551"/>
    <d v="2023-09-02T00:00:00"/>
    <x v="1"/>
    <m/>
    <d v="2024-09-06T00:00:00"/>
    <n v="-370"/>
    <x v="7"/>
    <x v="6"/>
    <s v="4500009721 | 07667/SPP/008/PUSAT/ICON+/2017 | 4500011006 | 09029/SPP/008/PUSAT/ICON+/2018 | 4500011865 | 11651/SPP/008/PUSAT/ICON+/2019 | 4500013342 | 14143/SPP/008/PUSAT/ICON+/2020 | 4500015277 | 16559/SPP/008/PUSAT/ICON+/2021 | 4500016635"/>
    <s v="19686/SPP/008/PUSAT/ICON+/2022"/>
    <n v="4500018968"/>
    <s v="Fajar Paramita"/>
    <s v="Febri"/>
    <s v="021-4207688"/>
    <n v="156"/>
    <s v="B179"/>
    <s v="C231"/>
    <s v="D323"/>
    <s v="E392"/>
    <s v="F336"/>
    <m/>
    <m/>
    <s v="1. Jaminan bervariasi mulai dari Rp20.000.000,- s/d Rp50.000.000,-_x000a_ 2. Biaya One Time Charged Rp29.500.000,- terdiri dari :_x000a_ a. Ijin galian Rp2.500/m' total 750 m'_x000a_ b. Biaya penyempurnaan bekas galian (pemeliharaan) Rp1.500/m' total 750 m'_x000a_ c. Ijin penggunaan box utilitas Rp100.000/m total 20m'_x000a_ d. Ijin boring/duct selam Rp1.500.000/titik total 11 titik_x000a_ c. Mainhole Rp2.000.000/buah total 4 buah_x000a_ Udate Tahun 2015, terdapat Peraturan Mentri Keuangan No. 138/PMK.05/2014 . Dimana terdapat biaya sewa dengan rincian sebagai berikut :_x000a_ a. Penggunaan Tanah utk penempatan kabel Rp5.000/m/bulan total untuk 360 m'_x000a_ b. Instalasi Pipa diameter sd 300 mm Rp1.000/m/bulan_x000a_ c. Instalasi Pipa diameter 301 mm sd 500 mm Rp2.500/m/bulan_x000a_ d. Instalasi Pipa diameter 501 mm sd 1000 mm Rp5000/m/bulan_x000a_ e. Instalasi Pipa diameter &gt; 1000 mm Rp10.000/m/bulan"/>
  </r>
  <r>
    <n v="1574"/>
    <x v="495"/>
    <x v="241"/>
    <s v="Jl. Angkasa (Eks Gedung ADPEL Kemayoran Jakarta 10610"/>
    <m/>
    <s v="PPKK, Jl. Merpati B-14 No. 2, Kota Baru Bandar Kemayoran, Jakarta Pusat 10720"/>
    <s v="Sewa Tahunan"/>
    <x v="1"/>
    <x v="232"/>
    <m/>
    <m/>
    <m/>
    <m/>
    <m/>
    <x v="482"/>
    <m/>
    <m/>
    <x v="298"/>
    <m/>
    <x v="956"/>
    <d v="2024-09-23T00:00:00"/>
    <x v="2"/>
    <m/>
    <d v="2024-09-06T00:00:00"/>
    <n v="17"/>
    <x v="7"/>
    <x v="1"/>
    <s v="09034/SPP/008/PUSAT/ICON+/2018 | 4500011751 | 11527/SPP/008/PUSAT/ICON+/2019 | 4500013585 | 16066/SPP/008/PUSAT/ICON+/2021 | 4500016699 | 19708/SPP/008/PUSAT/ICON+/2022 | 4500018841"/>
    <s v="704/SPP/SBU/ICON+/2023"/>
    <n v="4500020940"/>
    <s v="Fajar Paramita"/>
    <s v="Febri"/>
    <s v="021-4207688"/>
    <m/>
    <m/>
    <m/>
    <s v="D84"/>
    <s v="E300"/>
    <s v="F424"/>
    <s v="G193"/>
    <m/>
    <s v="1.Biaya OTC Rp 5.000.000,- 3.Biaya Jaminan Sewa sebesar Rp.1.020.000,- 4.Biaya PKB sebesar Rp.14.208.957,-"/>
  </r>
  <r>
    <n v="1575"/>
    <x v="173"/>
    <x v="931"/>
    <s v="Jl.Asia Afrika No.8 Jakarta 10270"/>
    <s v="-"/>
    <s v="1.F11 Sentral Senayan II, JL. Asia Afrika Gelora Bung Karno, No. 8, Gelora, Tanah Abang, 10270 Jakarta Pusat, Indonesia, RT.1/RW.3, Gelora, Tanah Abang, Central Jakarta City, Jakarta 10270, Tanah Abang, Jakarta Pusat, DKI Jakarta, Indonesia, 10270 | _x000a_ 2.PT. Berlian Sistem Informasi Gedung Sentral Senayan 2 lt. 21, Jl. Asia Afrika No. 8, Jakarta, 10270,- ,- ,- ,Indonesia ,- |_x000a_ 3.PT Dipo Star Finance HO Sentral Senayan, Gedung Sentral Senayan II, Lt.3 Jl. Asia Afrika No.8, -, Jakarta Selatan, DKI Jakarta, Indonesia, 10270 |_x000a_ 4.Ruko Mega Mall Pluit/Lippo Village No. 48 Jalan Pluit indah no. 1, Pluit, Jakarta Utara, DKI Jakarta, Indonesia, 14450 |_x000a_ 5.Spazio Office Building 3rd Floor Unit 305 Jl.mayjend Yono Soewoyo Kav 3 Surabaya 60226, surabaya, Surabaya, Jawa Timur, Indonesia |"/>
    <s v="Sewa Tahunan"/>
    <x v="2"/>
    <x v="1015"/>
    <m/>
    <m/>
    <m/>
    <m/>
    <m/>
    <x v="483"/>
    <m/>
    <m/>
    <x v="23"/>
    <m/>
    <x v="957"/>
    <d v="2024-10-04T00:00:00"/>
    <x v="2"/>
    <m/>
    <d v="2024-09-06T00:00:00"/>
    <n v="28"/>
    <x v="6"/>
    <x v="1"/>
    <s v="16691/SPP/008/PUSAT/ICON+/2021 | 4500016890 | 19951 | 4500019201"/>
    <n v="2154"/>
    <n v="4500021979"/>
    <s v="Fajar Paramita"/>
    <s v="Denis"/>
    <m/>
    <m/>
    <m/>
    <m/>
    <m/>
    <s v="E260"/>
    <s v="F465"/>
    <s v="G423"/>
    <m/>
    <s v="-"/>
  </r>
  <r>
    <n v="1576"/>
    <x v="19"/>
    <x v="932"/>
    <s v="MyRepublik plaza lt 2 Wing A"/>
    <s v="[UID BANTEN- UP2D] DCC UP2D BANTEN"/>
    <s v="GH 611"/>
    <s v="Sewa Bulanan"/>
    <x v="0"/>
    <x v="1016"/>
    <s v="01000318708"/>
    <n v="0.995"/>
    <s v="IPVPN"/>
    <s v="3 Mbps"/>
    <m/>
    <x v="484"/>
    <m/>
    <m/>
    <x v="494"/>
    <m/>
    <x v="591"/>
    <d v="2025-01-26T00:00:00"/>
    <x v="2"/>
    <m/>
    <d v="2024-09-06T00:00:00"/>
    <n v="142"/>
    <x v="11"/>
    <x v="3"/>
    <n v="4500019690"/>
    <n v="2444"/>
    <n v="4500022181"/>
    <s v="Syifa Artianingsih"/>
    <s v="Dimas"/>
    <s v="0812-9844-8648"/>
    <m/>
    <m/>
    <m/>
    <m/>
    <m/>
    <m/>
    <n v="79"/>
    <s v="H49"/>
    <m/>
  </r>
  <r>
    <n v="1577"/>
    <x v="168"/>
    <x v="212"/>
    <s v="MyRepublik plaza lt 2 Wing A"/>
    <s v="-"/>
    <s v="Lulu Hypermarket Q-BIG MALL-Blok A Jl. BSD Raya Utama BSD City Tangerang 15345, Indonesia"/>
    <s v="Sewa Bulanan"/>
    <x v="0"/>
    <x v="1017"/>
    <s v="990000320522154"/>
    <n v="0.995"/>
    <s v="Internet Corporate "/>
    <s v="2 Mbps"/>
    <m/>
    <x v="485"/>
    <m/>
    <m/>
    <x v="56"/>
    <m/>
    <x v="907"/>
    <d v="2025-06-30T00:00:00"/>
    <x v="2"/>
    <m/>
    <d v="2024-09-06T00:00:00"/>
    <n v="297"/>
    <x v="3"/>
    <x v="3"/>
    <n v="4500020919"/>
    <n v="3219"/>
    <n v="4500022619"/>
    <s v="Syifa Artianingsih"/>
    <s v="Dimas"/>
    <s v="0812-9844-8648"/>
    <m/>
    <m/>
    <m/>
    <m/>
    <m/>
    <m/>
    <n v="153"/>
    <n v="137"/>
    <m/>
  </r>
  <r>
    <n v="1578"/>
    <x v="168"/>
    <x v="933"/>
    <s v="MyRepublik plaza lt 2 Wing A"/>
    <s v="-"/>
    <s v="AAB Astra Biz Center BSD, Bumi Serpong Damai, Lengkong Kulon, Pagedangan, Tangerang, Banten, 15331, Indonesia"/>
    <s v="Sewa Bulanan"/>
    <x v="0"/>
    <x v="1018"/>
    <s v="0990000320510452"/>
    <n v="0.995"/>
    <s v="Metronet"/>
    <s v="1 Mbps"/>
    <m/>
    <x v="231"/>
    <m/>
    <m/>
    <x v="75"/>
    <m/>
    <x v="907"/>
    <d v="2025-06-30T00:00:00"/>
    <x v="2"/>
    <m/>
    <d v="2024-09-06T00:00:00"/>
    <n v="297"/>
    <x v="3"/>
    <x v="3"/>
    <n v="4500020919"/>
    <n v="3219"/>
    <n v="4500022619"/>
    <s v="Syifa Artianingsih"/>
    <s v="Dimas"/>
    <s v="0812-9844-8648"/>
    <m/>
    <m/>
    <m/>
    <m/>
    <m/>
    <m/>
    <n v="153"/>
    <n v="137"/>
    <m/>
  </r>
  <r>
    <n v="1579"/>
    <x v="168"/>
    <x v="934"/>
    <s v="MyRepublik plaza lt 2 Wing A"/>
    <s v="-"/>
    <s v="Green Office Park 6 Wing A, 3rd Floor, Zone 6 Jl. Grand Boulevard BSD Green Office Park BSD City - Tangerang 15345 INDONESIA"/>
    <s v="Sewa Bulanan"/>
    <x v="0"/>
    <x v="1019"/>
    <s v="0990000320514382"/>
    <n v="0.995"/>
    <s v="Internet Corporate "/>
    <s v="3 Mbps"/>
    <m/>
    <x v="30"/>
    <m/>
    <m/>
    <x v="495"/>
    <m/>
    <x v="907"/>
    <d v="2025-06-30T00:00:00"/>
    <x v="2"/>
    <m/>
    <d v="2024-09-06T00:00:00"/>
    <n v="297"/>
    <x v="3"/>
    <x v="3"/>
    <n v="4500020919"/>
    <n v="3219"/>
    <n v="4500022619"/>
    <s v="Syifa Artianingsih"/>
    <s v="Dimas"/>
    <s v="0812-9844-8648"/>
    <m/>
    <m/>
    <m/>
    <m/>
    <m/>
    <m/>
    <n v="153"/>
    <n v="137"/>
    <m/>
  </r>
  <r>
    <n v="1580"/>
    <x v="168"/>
    <x v="935"/>
    <s v="MyRepublik plaza lt 2 Wing A"/>
    <s v="-"/>
    <s v="FIF Ruko The Icon A1-A2 West BSD"/>
    <s v="Sewa Bulanan"/>
    <x v="0"/>
    <x v="1020"/>
    <s v="01000014517"/>
    <n v="0.995"/>
    <s v="IPVPN"/>
    <s v="2 Mbps"/>
    <m/>
    <x v="204"/>
    <m/>
    <m/>
    <x v="56"/>
    <m/>
    <x v="907"/>
    <d v="2025-06-30T00:00:00"/>
    <x v="2"/>
    <m/>
    <d v="2024-09-06T00:00:00"/>
    <n v="297"/>
    <x v="3"/>
    <x v="3"/>
    <n v="4500020919"/>
    <n v="3219"/>
    <n v="4500022619"/>
    <s v="Syifa Artianingsih"/>
    <s v="Dimas"/>
    <s v="0812-9844-8648"/>
    <m/>
    <m/>
    <m/>
    <m/>
    <m/>
    <m/>
    <n v="153"/>
    <n v="137"/>
    <m/>
  </r>
  <r>
    <n v="1581"/>
    <x v="168"/>
    <x v="936"/>
    <s v="MyRepublik plaza lt 2 Wing A"/>
    <s v="-"/>
    <s v="Jl. A. Yani, Wua-WUA, Kota Kendari Sulawesi Tenggara, Indonesia 93117"/>
    <s v="Sewa Bulanan"/>
    <x v="0"/>
    <x v="1021"/>
    <s v="01000187625"/>
    <n v="0.995"/>
    <s v="Metronet"/>
    <s v="1 Mbps"/>
    <m/>
    <x v="156"/>
    <m/>
    <m/>
    <x v="75"/>
    <m/>
    <x v="907"/>
    <d v="2025-06-30T00:00:00"/>
    <x v="2"/>
    <m/>
    <d v="2024-09-06T00:00:00"/>
    <n v="297"/>
    <x v="3"/>
    <x v="3"/>
    <n v="4500020919"/>
    <n v="3219"/>
    <n v="4500022619"/>
    <s v="Syifa Artianingsih"/>
    <s v="Dimas"/>
    <s v="0812-9844-8648"/>
    <m/>
    <m/>
    <m/>
    <m/>
    <m/>
    <m/>
    <n v="153"/>
    <n v="137"/>
    <m/>
  </r>
  <r>
    <n v="1582"/>
    <x v="168"/>
    <x v="119"/>
    <s v="MyRepublik plaza lt 2 Wing A"/>
    <s v="-"/>
    <s v="ACC, BSD di ruko No. 7 dan No. 8 kawasan AFFCO Center, Asia Biz Center, BSD Indonesia"/>
    <s v="Sewa Bulanan"/>
    <x v="0"/>
    <x v="1022"/>
    <s v="0990000320514168"/>
    <n v="0.995"/>
    <s v="Metronet"/>
    <s v="2 Mbps"/>
    <m/>
    <x v="46"/>
    <m/>
    <m/>
    <x v="56"/>
    <m/>
    <x v="907"/>
    <d v="2025-06-30T00:00:00"/>
    <x v="2"/>
    <m/>
    <d v="2024-09-06T00:00:00"/>
    <n v="297"/>
    <x v="3"/>
    <x v="3"/>
    <n v="4500020919"/>
    <n v="3291"/>
    <n v="4500022619"/>
    <s v="Syifa Artianingsih"/>
    <s v="Dimas"/>
    <s v="0812-9844-8648"/>
    <m/>
    <m/>
    <m/>
    <m/>
    <m/>
    <m/>
    <n v="153"/>
    <n v="137"/>
    <m/>
  </r>
  <r>
    <n v="1583"/>
    <x v="168"/>
    <x v="937"/>
    <s v="MyRepublik plaza lt 2 Wing A"/>
    <s v="-"/>
    <s v="Astra Biz Center BSD, Lengkong Kulon, Pagedangan, Tangerang Banten, 15331"/>
    <s v="Sewa Bulanan"/>
    <x v="0"/>
    <x v="1023"/>
    <s v="0990000320519038 "/>
    <n v="0.995"/>
    <s v="IPVPN "/>
    <s v="2 Mbps"/>
    <m/>
    <x v="486"/>
    <m/>
    <m/>
    <x v="56"/>
    <m/>
    <x v="907"/>
    <d v="2025-06-30T00:00:00"/>
    <x v="2"/>
    <m/>
    <d v="2024-09-06T00:00:00"/>
    <n v="297"/>
    <x v="3"/>
    <x v="3"/>
    <n v="4500020919"/>
    <n v="3291"/>
    <n v="4500022619"/>
    <s v="Syifa Artianingsih"/>
    <s v="Dimas"/>
    <s v="0812-9844-8648"/>
    <m/>
    <m/>
    <m/>
    <m/>
    <m/>
    <m/>
    <n v="153"/>
    <n v="137"/>
    <m/>
  </r>
  <r>
    <n v="1584"/>
    <x v="168"/>
    <x v="938"/>
    <s v="MyRepublik plaza lt 2 Wing A"/>
    <m/>
    <s v="PT. GRAB TEKNOLOGI INDONESIA (Netsentia Private Limited) Jl Perum Astek No. 11, Lengkong Gudang Timur,_x000a_Tangsel, Kota Tangerang Selatan, Banten, Indonesia"/>
    <s v="Sewa Bulanan"/>
    <x v="0"/>
    <x v="542"/>
    <s v="01000199398"/>
    <s v="99,50%"/>
    <s v="Metronet"/>
    <s v="35 Mbps"/>
    <m/>
    <x v="276"/>
    <m/>
    <m/>
    <x v="271"/>
    <m/>
    <x v="677"/>
    <d v="2024-07-19T00:00:00"/>
    <x v="0"/>
    <m/>
    <d v="2024-09-06T00:00:00"/>
    <n v="-49"/>
    <x v="1"/>
    <x v="1"/>
    <n v="4500018282"/>
    <s v="757/SPP/SBU/ICON+/2023"/>
    <n v="4500021118"/>
    <s v="Syifa Artianingsih"/>
    <m/>
    <m/>
    <m/>
    <m/>
    <m/>
    <m/>
    <m/>
    <m/>
    <n v="267"/>
    <m/>
    <m/>
  </r>
  <r>
    <n v="1585"/>
    <x v="168"/>
    <x v="104"/>
    <s v="MyRepublik plaza lt 2 Wing A"/>
    <m/>
    <s v="Ruko Perkantoran, Jl. BSD Raya Utama No.31, Pagedangan, Kec Pagedangan, Kabupaten Tangerang, Banten 15339 (Foresta Business Loft 2)"/>
    <s v="Sewa Bulanan"/>
    <x v="0"/>
    <x v="1024"/>
    <s v="111202017283"/>
    <s v="99,50%"/>
    <s v="Metro P2P"/>
    <s v="10 Mbps"/>
    <m/>
    <x v="487"/>
    <m/>
    <n v="3000000"/>
    <x v="496"/>
    <m/>
    <x v="958"/>
    <d v="2024-08-08T00:00:00"/>
    <x v="0"/>
    <m/>
    <d v="2024-09-06T00:00:00"/>
    <n v="-29"/>
    <x v="12"/>
    <x v="1"/>
    <s v="Baru"/>
    <s v="534/SPP/SBU/ICON+/2023"/>
    <n v="4500020783"/>
    <s v="Syifa Artianingsih"/>
    <m/>
    <m/>
    <m/>
    <m/>
    <m/>
    <m/>
    <m/>
    <m/>
    <n v="190"/>
    <m/>
    <m/>
  </r>
  <r>
    <n v="1586"/>
    <x v="168"/>
    <x v="39"/>
    <s v="MyRepublik plaza lt 2 Wing A"/>
    <m/>
    <s v="Ruko Golden Madrid II Blok A 1-2,Bumi Serpong Damai ,Kota Tangerang Selatan ,Banten ,Indonesia ,15311   "/>
    <s v="Sewa Bulanan"/>
    <x v="0"/>
    <x v="564"/>
    <s v="01000191767"/>
    <s v="99,50%"/>
    <s v="IPVPN"/>
    <s v="5 Mbps"/>
    <m/>
    <x v="3"/>
    <m/>
    <m/>
    <x v="282"/>
    <m/>
    <x v="601"/>
    <d v="2024-08-31T00:00:00"/>
    <x v="2"/>
    <m/>
    <d v="2024-09-06T00:00:00"/>
    <n v="-6"/>
    <x v="12"/>
    <x v="1"/>
    <n v="4500018085"/>
    <n v="868"/>
    <n v="4500021029"/>
    <s v="Syifa Artianingsih"/>
    <m/>
    <m/>
    <m/>
    <m/>
    <m/>
    <m/>
    <m/>
    <m/>
    <n v="278"/>
    <m/>
    <s v="Proses One Drive"/>
  </r>
  <r>
    <n v="1587"/>
    <x v="168"/>
    <x v="504"/>
    <s v="MyRepublik plaza lt 2 Wing A"/>
    <s v="PLN Kantor Pusat"/>
    <s v="Rumah Dirut PLN (BPK Darmawan P), The Green BSD, Clustur Grand Canyon Blok i-2 No.25, Kota Tangerang, Banten, Indonesia, 15310"/>
    <s v="Sewa Bulanan"/>
    <x v="0"/>
    <x v="546"/>
    <s v="04000099114"/>
    <n v="0.995"/>
    <s v="Internet Corporate"/>
    <s v="50 Mbps"/>
    <m/>
    <x v="278"/>
    <m/>
    <m/>
    <x v="272"/>
    <m/>
    <x v="959"/>
    <d v="2024-09-28T00:00:00"/>
    <x v="0"/>
    <m/>
    <d v="2024-09-06T00:00:00"/>
    <n v="22"/>
    <x v="7"/>
    <x v="1"/>
    <n v="4500018573"/>
    <n v="1598"/>
    <n v="4500021441"/>
    <s v="Syifa Artianingsih"/>
    <m/>
    <m/>
    <m/>
    <m/>
    <m/>
    <m/>
    <m/>
    <m/>
    <n v="286"/>
    <m/>
    <s v="Menunggu PO Kembali"/>
  </r>
  <r>
    <n v="1588"/>
    <x v="168"/>
    <x v="499"/>
    <s v="MyRepublik plaza lt 2 Wing A"/>
    <m/>
    <s v="PT. ÆON INDONESIA Jl. BSD Raya Utama Unit M-02, Mezzanine Floor Desa Pagedangan, Pagedangan, Kabupaten Tangerang, Banten, Indonesia, 15820"/>
    <s v="Sewa Bulanan"/>
    <x v="0"/>
    <x v="1025"/>
    <s v="04000300722"/>
    <n v="0.995"/>
    <s v="Internet Corporate"/>
    <s v="20 Mbps"/>
    <m/>
    <x v="63"/>
    <m/>
    <m/>
    <x v="497"/>
    <m/>
    <x v="960"/>
    <d v="2024-09-20T00:00:00"/>
    <x v="2"/>
    <m/>
    <d v="2024-09-06T00:00:00"/>
    <n v="14"/>
    <x v="7"/>
    <x v="1"/>
    <n v="4500018568"/>
    <n v="1164"/>
    <n v="4500021243"/>
    <s v="Syifa Artianingsih"/>
    <m/>
    <m/>
    <m/>
    <m/>
    <m/>
    <m/>
    <m/>
    <m/>
    <n v="251"/>
    <m/>
    <m/>
  </r>
  <r>
    <n v="1589"/>
    <x v="19"/>
    <x v="939"/>
    <s v="MyRepublik plaza lt 2 Wing A"/>
    <m/>
    <s v="Backhaul Jabodetabek Gd Unilever BSD Tangerang Selatan"/>
    <s v="Sewa Bulanan"/>
    <x v="0"/>
    <x v="1026"/>
    <s v="0990000320476823"/>
    <n v="0.995"/>
    <s v="IPVPN"/>
    <s v="4 Mbps"/>
    <m/>
    <x v="69"/>
    <m/>
    <m/>
    <x v="498"/>
    <m/>
    <x v="403"/>
    <d v="2023-10-31T00:00:00"/>
    <x v="1"/>
    <m/>
    <d v="2024-09-06T00:00:00"/>
    <n v="-311"/>
    <x v="6"/>
    <x v="6"/>
    <n v="4500017491"/>
    <n v="19786"/>
    <n v="4500019221"/>
    <s v="Syifa Artianingsih"/>
    <m/>
    <m/>
    <m/>
    <m/>
    <m/>
    <m/>
    <m/>
    <m/>
    <n v="456"/>
    <m/>
    <m/>
  </r>
  <r>
    <n v="1590"/>
    <x v="19"/>
    <x v="940"/>
    <s v="MyRepublik plaza lt 2 Wing A"/>
    <m/>
    <s v="German Center jl Pahlawan Seribu BSD Tangerang"/>
    <s v="Sewa Bulanan"/>
    <x v="0"/>
    <x v="1027"/>
    <s v="0990000320497487"/>
    <n v="0.995"/>
    <s v="Internet Corporate "/>
    <s v="200 Mbps"/>
    <m/>
    <x v="112"/>
    <m/>
    <m/>
    <x v="499"/>
    <m/>
    <x v="403"/>
    <d v="2023-10-31T00:00:00"/>
    <x v="1"/>
    <m/>
    <d v="2024-09-06T00:00:00"/>
    <n v="-311"/>
    <x v="6"/>
    <x v="6"/>
    <n v="4500017491"/>
    <n v="19786"/>
    <n v="4500019221"/>
    <s v="Syifa Artianingsih"/>
    <m/>
    <m/>
    <m/>
    <m/>
    <m/>
    <m/>
    <m/>
    <m/>
    <n v="456"/>
    <m/>
    <m/>
  </r>
  <r>
    <n v="1591"/>
    <x v="19"/>
    <x v="941"/>
    <s v="MyRepublik plaza lt 2 Wing A"/>
    <s v="Gedung Unilever BSD Kota Tangerang Banten "/>
    <s v="Relokasi Ruangan di Unilever Indonesia Jakarta Head Office DRC Faasri Jl Pajajjaran Bogor Jawa Barat"/>
    <s v="Sewa Bulanan"/>
    <x v="0"/>
    <x v="1028"/>
    <s v="0990000320490000"/>
    <n v="0.995"/>
    <s v="Metronet"/>
    <s v="260 Mbps "/>
    <m/>
    <x v="112"/>
    <m/>
    <m/>
    <x v="500"/>
    <m/>
    <x v="403"/>
    <d v="2023-10-31T00:00:00"/>
    <x v="1"/>
    <m/>
    <d v="2024-09-06T00:00:00"/>
    <n v="-311"/>
    <x v="6"/>
    <x v="6"/>
    <n v="4500017491"/>
    <n v="19786"/>
    <n v="4500019221"/>
    <s v="Syifa Artianingsih"/>
    <m/>
    <m/>
    <m/>
    <m/>
    <m/>
    <m/>
    <m/>
    <m/>
    <n v="456"/>
    <m/>
    <m/>
  </r>
  <r>
    <n v="1592"/>
    <x v="168"/>
    <x v="942"/>
    <s v="MyRepublik plaza lt 2 Wing A"/>
    <s v="Serpong BSD"/>
    <s v="Serpong BSD"/>
    <s v="Sewa Tahunan"/>
    <x v="1"/>
    <x v="1029"/>
    <m/>
    <s v="-"/>
    <s v="-"/>
    <s v="-"/>
    <m/>
    <x v="488"/>
    <m/>
    <m/>
    <x v="145"/>
    <m/>
    <x v="486"/>
    <d v="2024-06-30T00:00:00"/>
    <x v="2"/>
    <m/>
    <d v="2024-09-06T00:00:00"/>
    <n v="-68"/>
    <x v="3"/>
    <x v="1"/>
    <n v="4500016843"/>
    <n v="2175"/>
    <n v="4500021833"/>
    <s v="Fajar Paramita"/>
    <m/>
    <m/>
    <m/>
    <m/>
    <m/>
    <m/>
    <m/>
    <m/>
    <s v="G420"/>
    <m/>
    <m/>
  </r>
  <r>
    <n v="1593"/>
    <x v="85"/>
    <x v="648"/>
    <s v="Plaza BII Tower 1 Lt.9 Jl. MH. Thamrin No. 51 Gondangdia Menteng Jakarta Pusat"/>
    <s v="BACKHAUL BANK SINARMAS (DRC PRIMARY) Jl. Pahlawan Seribu, Gd Smart Telecom, CBD BSD Lot 12.A Lengkong Wetan,Serpong ,Kota Tangerang Selatan ,Banten ,Indonesia ,15310"/>
    <m/>
    <s v="Sewa Tahunan"/>
    <x v="1"/>
    <x v="1030"/>
    <m/>
    <m/>
    <m/>
    <m/>
    <m/>
    <x v="100"/>
    <m/>
    <m/>
    <x v="35"/>
    <m/>
    <x v="587"/>
    <d v="2024-12-31T00:00:00"/>
    <x v="2"/>
    <m/>
    <d v="2024-09-06T00:00:00"/>
    <n v="116"/>
    <x v="5"/>
    <x v="1"/>
    <s v="4500010013 | 07859/SPP/008/PUSAT/ICON+/2017 | 4500011120 | 09732/SPP/008/PUSAT/ICON+/2018 | 4500012363 | 2338/SPP/008/PUSAT/ICON+/2019 | 4500013898 | 4500015429"/>
    <n v="3002"/>
    <n v="4500022522"/>
    <s v="Fajar Paramita"/>
    <s v="Aperiyeni"/>
    <s v="021-31902888"/>
    <m/>
    <s v="B21"/>
    <s v="C33"/>
    <s v="D40"/>
    <s v="D386"/>
    <m/>
    <m/>
    <s v="G145"/>
    <s v="-"/>
  </r>
  <r>
    <n v="1594"/>
    <x v="496"/>
    <x v="943"/>
    <s v="Gedung Graha Persada III Bekasi "/>
    <m/>
    <s v="LORD INDONESIA - MTX09741069, Graha Persada 2, Lt. 5 Jl. KH. Noer Alie 89A Kayuringin Jaya,  Kec. Bekasi Selatan,  Kota Bekasi,"/>
    <s v="Sewa Tahunan"/>
    <x v="2"/>
    <x v="556"/>
    <m/>
    <m/>
    <m/>
    <m/>
    <m/>
    <x v="284"/>
    <m/>
    <m/>
    <x v="277"/>
    <m/>
    <x v="550"/>
    <d v="2023-06-07T00:00:00"/>
    <x v="1"/>
    <m/>
    <d v="2024-09-06T00:00:00"/>
    <n v="-457"/>
    <x v="3"/>
    <x v="6"/>
    <s v="baru"/>
    <s v="18719/SPP/008/PUSAT/ICON+/2022"/>
    <n v="4500018075"/>
    <s v="Fajar Paramita"/>
    <m/>
    <m/>
    <m/>
    <m/>
    <m/>
    <m/>
    <m/>
    <s v="F191"/>
    <m/>
    <m/>
    <s v="1.Biaya Instalasi OTC Rp.1.500.000 | 2.Biaya Sewa Link per tahun Rp.11.250.000 | 3.Biaya Cross Connect Per tahun Rp.3.600.000"/>
  </r>
  <r>
    <n v="1595"/>
    <x v="497"/>
    <x v="944"/>
    <s v="Gedung cyber lt.8 Jakarta Selatan"/>
    <m/>
    <s v="Gedung cyber lt.8 Jakarta Selatan"/>
    <s v="Sewa Tahunan"/>
    <x v="1"/>
    <x v="1031"/>
    <m/>
    <m/>
    <m/>
    <m/>
    <m/>
    <x v="99"/>
    <m/>
    <m/>
    <x v="18"/>
    <m/>
    <x v="719"/>
    <d v="2024-03-31T00:00:00"/>
    <x v="2"/>
    <m/>
    <d v="2024-09-06T00:00:00"/>
    <n v="-159"/>
    <x v="8"/>
    <x v="1"/>
    <s v="baru"/>
    <s v="21743/SPP/008/PUSAT/ICON+/2023"/>
    <n v="4500020198"/>
    <s v="Fajar Paramita"/>
    <m/>
    <m/>
    <m/>
    <m/>
    <m/>
    <m/>
    <m/>
    <m/>
    <s v="G59"/>
    <m/>
    <s v="Biaya Tahunan Sewa Collo 1U_x0009_Rp.12.000.000_x000a_Instalasi Collo Rp.1.000.000_x000a_Biaya Tahunan Crossconnect MMR To Rack PT Fahasa Tri Data_x0009_Rp.1.000.000_x000a_Instalasi Crossconnect_x0009_Rp.1.000.000_x000a_Biaya Tahunan Crossconnect MMR To APJII Rack S Icon Rp.2.000.000_x000a_Instalasi Crossconnect Rp.1.000.000"/>
  </r>
  <r>
    <n v="1596"/>
    <x v="497"/>
    <x v="945"/>
    <s v="Jl. Kuningan Barat Raya RT 6 /RW 3 Kuningan Barat Mampang Prapatan Jakarta Selatan DKI Jakarta 12710"/>
    <s v="Gedung Cyber Lt. 1, Jl. Kuningan Barat Raya No.8, RT.1/RW.3, Kuningan Barat, Mampang Prapatan, Jakarta Selatan, DKI Jakarta"/>
    <s v="Jl. Nggulon, RT.02/RW.02, Krajan, Gemiring Lor, Jepara, Jawa Tengah"/>
    <s v="Sewa Bulanan"/>
    <x v="0"/>
    <x v="1032"/>
    <s v="01000296894"/>
    <n v="0.995"/>
    <s v="Metronet"/>
    <s v="2 Gbps"/>
    <m/>
    <x v="489"/>
    <m/>
    <m/>
    <x v="501"/>
    <m/>
    <x v="469"/>
    <d v="2023-11-30T00:00:00"/>
    <x v="0"/>
    <m/>
    <d v="2024-09-06T00:00:00"/>
    <n v="-281"/>
    <x v="2"/>
    <x v="6"/>
    <n v="4500018546"/>
    <s v="20661/SPP/008/PUSAT/ICON+/2022"/>
    <n v="4500019515"/>
    <s v="Syifa Artianingsih"/>
    <s v="Septi"/>
    <s v="0819-3405-2389"/>
    <m/>
    <m/>
    <m/>
    <m/>
    <m/>
    <n v="269"/>
    <m/>
    <m/>
    <m/>
  </r>
  <r>
    <n v="1597"/>
    <x v="497"/>
    <x v="945"/>
    <s v="Jl. Kuningan Barat Raya RT 6 /RW 3 Kuningan Barat Mampang Prapatan Jakarta Selatan DKI Jakarta 12710"/>
    <s v="Gedung Cyber Lt. 1, Jl. Kuningan Barat Raya No.8, RT.1/RW.3, Kuningan Barat, Mampang Prapatan, Jakarta Selatan, DKI Jakarta"/>
    <s v="Jl. Nggulon, RT.02/RW.02, Krajan, Gemiring Lor, Jepara, Jawa Tengah"/>
    <s v="Sewa Bulanan"/>
    <x v="0"/>
    <x v="1033"/>
    <s v="111204000010"/>
    <n v="0.995"/>
    <s v="P2P Kapasitas Besar"/>
    <s v="3 Gbps"/>
    <m/>
    <x v="489"/>
    <m/>
    <m/>
    <x v="502"/>
    <m/>
    <x v="961"/>
    <d v="2024-06-26T00:00:00"/>
    <x v="0"/>
    <m/>
    <d v="2024-09-06T00:00:00"/>
    <n v="-72"/>
    <x v="3"/>
    <x v="1"/>
    <n v="4500019515"/>
    <s v="647/SPP/SBU/ICON+/2023"/>
    <n v="4500020849"/>
    <s v="Galuh Rizki"/>
    <s v="Septi"/>
    <s v="0819-3405-2389"/>
    <m/>
    <m/>
    <m/>
    <m/>
    <m/>
    <m/>
    <n v="163"/>
    <m/>
    <m/>
  </r>
  <r>
    <n v="1598"/>
    <x v="497"/>
    <x v="945"/>
    <s v="Jl. Kuningan Barat Raya RT 6 /RW 3 Kuningan Barat Mampang Prapatan Jakarta Selatan DKI Jakarta 12710"/>
    <s v="Gedung Cyber Lt. 1, Jl. Kuningan Barat Raya No.8, RT.1/RW.3, Kuningan Barat, Mampang Prapatan, Jakarta Selatan, DKI Jakarta"/>
    <s v="Jl. Nggulon, RT.02/RW.02, Krajan, Gemiring Lor, Jepara, Jawa Tengah"/>
    <s v="Sewa Bulanan"/>
    <x v="0"/>
    <x v="1034"/>
    <s v="111204000058"/>
    <n v="0.995"/>
    <s v="Metro P2P"/>
    <s v="2 Gbps"/>
    <m/>
    <x v="489"/>
    <m/>
    <m/>
    <x v="18"/>
    <m/>
    <x v="962"/>
    <d v="2025-06-26T00:00:00"/>
    <x v="2"/>
    <m/>
    <d v="2024-09-06T00:00:00"/>
    <n v="293"/>
    <x v="3"/>
    <x v="3"/>
    <n v="4500020849"/>
    <s v="3566/SPP/SBU/PLNICONPLUS/2024"/>
    <n v="4500022925"/>
    <s v="Syifa Artianingsih"/>
    <s v="Septi"/>
    <s v="0819-3405-2389"/>
    <m/>
    <m/>
    <m/>
    <m/>
    <m/>
    <m/>
    <m/>
    <n v="194"/>
    <m/>
  </r>
  <r>
    <n v="1599"/>
    <x v="497"/>
    <x v="946"/>
    <s v="Jl. Kuningan Barat Raya RT 6 /RW 3 Kuningan Barat Mampang Prapatan Jakarta Selatan DKI Jakarta 12710"/>
    <s v="Jl. Kuningan Barat Raya No.8, RT.1/RW.3, Kuningan Bar.,  Kec. Mampang Prpt.,  Jakarta Selatan,  DKI Jakarta,  Indonesia,  12710"/>
    <s v="CBN Bali Istana Kuta Galeria  Blok PM 3 No. 7 Jl. Patih Jelantik,  Kuta,  Kabupaten Badung,  Bali,  Indonesia,  80361"/>
    <s v="Sewa Tahunan"/>
    <x v="2"/>
    <x v="1035"/>
    <m/>
    <m/>
    <m/>
    <m/>
    <m/>
    <x v="3"/>
    <m/>
    <m/>
    <x v="503"/>
    <m/>
    <x v="963"/>
    <d v="2024-12-04T00:00:00"/>
    <x v="2"/>
    <m/>
    <d v="2024-09-06T00:00:00"/>
    <n v="89"/>
    <x v="5"/>
    <x v="1"/>
    <s v="baru"/>
    <n v="1915"/>
    <n v="4500021661"/>
    <s v="Fajar Paramita"/>
    <m/>
    <m/>
    <m/>
    <m/>
    <m/>
    <m/>
    <m/>
    <m/>
    <s v="G310"/>
    <m/>
    <m/>
  </r>
  <r>
    <n v="1600"/>
    <x v="498"/>
    <x v="485"/>
    <s v="Gedung sanggar kesatria Liema ,Jalan Raya Pajajaran No.17 Baranangsiang Bogor timur "/>
    <s v="-"/>
    <s v="Gedung Elitery Lt. 5 Rack SYB Jl. Raya Padjajaran"/>
    <s v="Sewa Tahunan"/>
    <x v="2"/>
    <x v="1036"/>
    <m/>
    <m/>
    <m/>
    <m/>
    <m/>
    <x v="265"/>
    <m/>
    <m/>
    <x v="16"/>
    <m/>
    <x v="964"/>
    <d v="2025-03-20T00:00:00"/>
    <x v="2"/>
    <m/>
    <d v="2024-09-06T00:00:00"/>
    <n v="195"/>
    <x v="8"/>
    <x v="3"/>
    <s v="18233/SPP/008/PUSAT/ICON+/2022 | 4500017773 | 21626 | 4500020258"/>
    <n v="2563"/>
    <n v="4500022243"/>
    <s v="Fajar Paramita"/>
    <s v="Anggi"/>
    <s v="0877-7040-4299"/>
    <m/>
    <m/>
    <m/>
    <m/>
    <m/>
    <s v="F52"/>
    <s v="G99"/>
    <s v="H64"/>
    <s v="1.Biaya instalasi Rp.2.500.000 "/>
  </r>
  <r>
    <n v="1601"/>
    <x v="498"/>
    <x v="624"/>
    <s v="Gedung sanggar kesatria Liema ,Jalan Raya Pajajaran No.17 Baranangsiang Bogor timur "/>
    <s v="(DCI) JL. HALMAHERA NO.1, DANAU INDAH, KEC. CIKARANG BAR., KABUPATEN BEKASI, JAWA BARAT 17530"/>
    <s v="Elitery Jl. Raya Pajajaran No. 17, RT.06/RW.13, Baranangsiang, Kec. Bogor Tim, Kota Bogor, Jawa Barat"/>
    <s v="Sewa Tahunan"/>
    <x v="2"/>
    <x v="678"/>
    <m/>
    <m/>
    <m/>
    <m/>
    <m/>
    <x v="333"/>
    <m/>
    <m/>
    <x v="16"/>
    <m/>
    <x v="945"/>
    <d v="2024-11-14T00:00:00"/>
    <x v="2"/>
    <m/>
    <d v="2024-09-06T00:00:00"/>
    <n v="69"/>
    <x v="2"/>
    <x v="1"/>
    <s v="baru"/>
    <s v="2088/SPP/SBU/ICON+/2023"/>
    <n v="4500021704"/>
    <s v="Fajar Paramita"/>
    <s v="Anggi"/>
    <s v="0877-7040-4299"/>
    <m/>
    <m/>
    <m/>
    <m/>
    <m/>
    <m/>
    <s v="G311"/>
    <m/>
    <s v="1. Biaya Sewa Rp 12.000.000, 2. Biaya Instalasi Rp 2.500.000"/>
  </r>
  <r>
    <n v="1602"/>
    <x v="499"/>
    <x v="947"/>
    <s v="Graha Sucofindo Jl. Raya Pasar Minggu Kav. 34 Jakarta"/>
    <m/>
    <s v="Gedung Sucofindo Graha Sucofindo Jl. Raya Pasar Minggu Kav. 34 Jakarta Nestle - PT Wyeth Nutrition Sduaenam (dari luar menuju lt. 10) (PT Telekomunikasi Indonesia SO No. ICON-00/ACT/1609/0621)"/>
    <s v="Sewa Tahunan"/>
    <x v="1"/>
    <x v="1037"/>
    <m/>
    <m/>
    <m/>
    <m/>
    <m/>
    <x v="47"/>
    <m/>
    <m/>
    <x v="89"/>
    <m/>
    <x v="181"/>
    <d v="2022-12-12T00:00:00"/>
    <x v="1"/>
    <m/>
    <d v="2024-09-06T00:00:00"/>
    <n v="-634"/>
    <x v="5"/>
    <x v="2"/>
    <s v="2641216/SPR/ICON+/2016 | _x000a_ 2651216/SPR/ICON+/2016 07810/SPP/008/PUSAT/ICON+/2017 4500011084 | 09551/SPP/008/PUSAT/ICON+/2018 | 4500012062 | 12096/SPP/008/PUSAT/ICON+/2019 | 4500013592| 14759/SPP/008/PUSAT/ICON+/2020| 4500015424"/>
    <s v="17177/SPP/008/PUSAT/ICON+/2021"/>
    <n v="4500017226"/>
    <s v="Fajar Paramita"/>
    <s v="Amina"/>
    <s v="021-7990633"/>
    <n v="22"/>
    <s v="B249"/>
    <s v="C302"/>
    <s v="D299"/>
    <s v="E394"/>
    <m/>
    <m/>
    <m/>
    <s v="1.Biaya Sewa Pertahun sebesar Rp.5.400.000,-"/>
  </r>
  <r>
    <n v="1603"/>
    <x v="499"/>
    <x v="948"/>
    <s v="Graha Sucofindo Jl. Raya Pasar Minggu Kav. 34 Jakarta"/>
    <m/>
    <s v="LANTAI 1 - Graha Sucofindo, Jl. Raya Pasar Minggu, RT.4/RW.1, Pancoran, Kec. Pancoran, Kota Jakarta Selatan, Daerah Khusus Ibukota Jakarta 12780 "/>
    <s v="Sewa Tahunan"/>
    <x v="1"/>
    <x v="1038"/>
    <m/>
    <m/>
    <m/>
    <m/>
    <m/>
    <x v="3"/>
    <m/>
    <m/>
    <x v="504"/>
    <m/>
    <x v="571"/>
    <d v="2024-07-31T00:00:00"/>
    <x v="1"/>
    <m/>
    <d v="2024-09-06T00:00:00"/>
    <n v="-37"/>
    <x v="1"/>
    <x v="1"/>
    <s v="baru"/>
    <s v="733/SPP/SBU/ICON+/2023"/>
    <n v="4500020888"/>
    <s v="Fajar Paramita"/>
    <s v="Amina"/>
    <s v="021-7990633"/>
    <m/>
    <m/>
    <m/>
    <m/>
    <m/>
    <m/>
    <s v="G128"/>
    <m/>
    <s v="1.Biaya Sewa Pertahun sebesar Rp.7.590.000,-"/>
  </r>
  <r>
    <n v="1604"/>
    <x v="500"/>
    <x v="949"/>
    <s v="Jalan Gunung Sahari raya no 1 Jakarta"/>
    <m/>
    <s v="Komplek Mangga Dua Square Blok C No. 22, Jakarta Utara"/>
    <s v="Sewa Tahunan"/>
    <x v="2"/>
    <x v="1039"/>
    <m/>
    <m/>
    <m/>
    <m/>
    <m/>
    <x v="185"/>
    <m/>
    <m/>
    <x v="171"/>
    <m/>
    <x v="222"/>
    <d v="2022-07-22T00:00:00"/>
    <x v="0"/>
    <m/>
    <d v="2024-09-06T00:00:00"/>
    <n v="-777"/>
    <x v="1"/>
    <x v="2"/>
    <s v="baru"/>
    <s v="16250/SPP/008/PUSAT/ICON+/2021"/>
    <n v="4500016483"/>
    <s v="Fajar Paramita"/>
    <m/>
    <m/>
    <m/>
    <m/>
    <m/>
    <m/>
    <s v="E181"/>
    <m/>
    <m/>
    <m/>
    <s v="Sewa tray kabel Mangga Dua Square Rp.45.300.000"/>
  </r>
  <r>
    <n v="1605"/>
    <x v="501"/>
    <x v="8"/>
    <s v="105 Bulevar Diponegoro Lippo Karawaci Bencongan Curug Tangerang"/>
    <m/>
    <s v="Supermall Karawaci Jl. Bulevard Diponegoro 105 Lippo Karawaci 1200 Tangerang (PT Trans Retail Indonesia)"/>
    <s v="Sewa Tahunan"/>
    <x v="1"/>
    <x v="1040"/>
    <m/>
    <m/>
    <m/>
    <m/>
    <m/>
    <x v="35"/>
    <m/>
    <m/>
    <x v="75"/>
    <m/>
    <x v="965"/>
    <d v="2020-11-04T00:00:00"/>
    <x v="1"/>
    <m/>
    <d v="2024-09-06T00:00:00"/>
    <n v="-1402"/>
    <x v="2"/>
    <x v="5"/>
    <s v="0811016/SPR/ICON+/2016 07419/SPP/008/PUSAT/ICON+/2017 |4500010813 |08996/SPP/008/PUSAT/ICON+/2018"/>
    <s v="11725/SPP/008/PUSAT/ICON+/2019"/>
    <n v="4500013336"/>
    <s v="Fajar Paramita"/>
    <s v="Mulyadi Gunawan"/>
    <s v="021-5466666_x000a_ 021-5467777"/>
    <n v="104"/>
    <s v="B145"/>
    <s v="C206"/>
    <m/>
    <m/>
    <m/>
    <m/>
    <m/>
    <s v="1. Sewa penempatan OTB US83/m2/bulan atw Rp9.312.600/tahun_x000a_ 2. Legal Fee Rp181.818_x000a_ 3. Jaminan Rp12.000.000 dengan rincian :_x000a_ a. &lt; 50 m = Rp2.000.000_x000a_ b. 51 - 100 m = Rp4.000.000_x000a_ c. 101 - 500 m = Rp6.000.000_x000a_ d. 501- 1000 m = Rp8.000.000_x000a_ e. &gt; 1000 m = Rp12.000.000_x000a_ 4. Biaya sampah fit out dengan rincian :_x000a_ a. &lt; 50 m = Rp268.000_x000a_ b. 51-100 m = Rp570.000_x000a_ c. 101 - 500 m = Rp2.900.000_x000a_ d. 501 - 1000 m =Rp5.700.000_x000a_ e. &gt; 1000 m"/>
  </r>
  <r>
    <n v="1606"/>
    <x v="502"/>
    <x v="950"/>
    <s v="Rukan Artha Gading Niaga Blok C No. 31-32 Lahan Sentra Bisnis Artha Gading Jakarta 14240_x000a_ _x000a_ Jalan Rs. Fatmawati No. 50 Pondok Labu Jakarta Selatan"/>
    <m/>
    <s v="Outdoor Lahan Artha Gading (Allure Alluminio) Jl Teuku Umar KM 44 Cibitung"/>
    <s v="Sewa Tahunan"/>
    <x v="1"/>
    <x v="1041"/>
    <m/>
    <m/>
    <m/>
    <m/>
    <m/>
    <x v="490"/>
    <m/>
    <m/>
    <x v="110"/>
    <m/>
    <x v="966"/>
    <d v="2025-03-05T00:00:00"/>
    <x v="2"/>
    <m/>
    <d v="2024-09-06T00:00:00"/>
    <n v="180"/>
    <x v="8"/>
    <x v="3"/>
    <s v="450000936 | 4500010225 | 08280/SPP/008/PUSAT/ICON+/2018 | 4500011316 | 10586/SPP/008/PUSAT/ICON+/2019 | 4500012623| 15467/SPP/008/PUSAT/ICON+/2021| 4500016059| 18365/SPP/008/PUSAT/ICON+/2022 | 4500017915 | 4500021236 | 1354"/>
    <n v="2858"/>
    <n v="4500022409"/>
    <s v="Fajar Paramita"/>
    <s v="Tati_x000a_ Hendra Saputra (GM Estate)_x000a_ _x000a_ Sartono"/>
    <s v="021-45850888_x000a_ _x000a_ 021-75915344"/>
    <m/>
    <s v="B81"/>
    <s v="C84"/>
    <m/>
    <s v="E90"/>
    <s v="F139"/>
    <s v="G243"/>
    <s v="H111"/>
    <s v="1. Jaminan Rp20.000.000,- untuk Lahan Artha Gading (outdoor)_x000a_ 2.Perijinan Supervisi Penarikan/Penggalian Kabel Fiber Optik untuk Mall Artha Gading (Indoor) One Time Charged Rp25.000.000_x000a_ 3.Jaminan Rp10.000.000 untuk Mall Artha Gading (+ Jaminan Lahan)_x000a_ 4.Biaya supervise Penarikan/Penggalian Kabel Fiber Optik Rp1.100.000 s/d Rp1.350.000 untuk Lahan Artha Gading (non Resmi)_x000a_ 5. Jasa Man Hour Rp3.000.000_x000a_ 6. Sewa Jalur penempatan kabel fiber optik Outdoor - Lahan Rp42.000.000/tahun (All In)"/>
  </r>
  <r>
    <n v="1607"/>
    <x v="503"/>
    <x v="951"/>
    <s v="Jl Pahlawan Seribu Lot 12A"/>
    <m/>
    <s v="Backhaul H2H PT. Teknovatus Solusi Sejahtera, Jl. Pahlawan Seribu lot 12 A Lt. 3 BSD City, Lengkong Gudang, Tangerang, Banten"/>
    <s v="Sewa Tahunan"/>
    <x v="2"/>
    <x v="82"/>
    <m/>
    <m/>
    <m/>
    <m/>
    <m/>
    <x v="42"/>
    <m/>
    <m/>
    <x v="48"/>
    <m/>
    <x v="967"/>
    <d v="2021-08-25T00:00:00"/>
    <x v="0"/>
    <m/>
    <d v="2024-09-06T00:00:00"/>
    <n v="-1108"/>
    <x v="12"/>
    <x v="4"/>
    <s v="baru"/>
    <s v="14077/SPP/008/PUSAT/ICON+/2020"/>
    <n v="4500015170"/>
    <s v="Fajar Paramita"/>
    <m/>
    <m/>
    <m/>
    <m/>
    <m/>
    <s v="D267"/>
    <m/>
    <m/>
    <m/>
    <m/>
    <s v="1.Biaya Set up Teknovatus rp.1.500.000,- | 2.Biaya Sewa Teknovatus Rp.4.800.000,-"/>
  </r>
  <r>
    <n v="1608"/>
    <x v="503"/>
    <x v="952"/>
    <s v="Jl Pahlawan Seribu Lot 12A"/>
    <m/>
    <s v="H2H PT. Teknovatus Solusi Sejahtera, Jl Pahlawan Seribu lot 12 A lt 3 BSD City Tangerang Selatan"/>
    <s v="Sewa Tahunan"/>
    <x v="2"/>
    <x v="1042"/>
    <m/>
    <m/>
    <m/>
    <m/>
    <m/>
    <x v="103"/>
    <m/>
    <m/>
    <x v="48"/>
    <m/>
    <x v="135"/>
    <d v="2021-07-05T00:00:00"/>
    <x v="0"/>
    <m/>
    <d v="2024-09-06T00:00:00"/>
    <n v="-1159"/>
    <x v="1"/>
    <x v="4"/>
    <s v="baru"/>
    <s v="13880/SPP/008/PUSAT/ICON+/2020"/>
    <n v="4500014812"/>
    <s v="Fajar Paramita"/>
    <m/>
    <m/>
    <m/>
    <m/>
    <m/>
    <s v="D174"/>
    <m/>
    <m/>
    <m/>
    <m/>
    <s v="biaya sewa cross connect sebesar Rp.4.800.000"/>
  </r>
  <r>
    <n v="1609"/>
    <x v="503"/>
    <x v="953"/>
    <s v="Jl Pahlawan Seribu Lot 12A"/>
    <m/>
    <s v="Jl. Pahlawan Seribu Lot.12A, Gedung Smartfren BSD2 Lantai 2, Ruang Vault PT. SMART, Rack Network 16, Rack Unit 47, Lengkong Gudang"/>
    <s v="Sewa Tahunan"/>
    <x v="2"/>
    <x v="1043"/>
    <m/>
    <m/>
    <m/>
    <m/>
    <m/>
    <x v="41"/>
    <m/>
    <m/>
    <x v="48"/>
    <m/>
    <x v="474"/>
    <d v="2023-07-06T00:00:00"/>
    <x v="0"/>
    <m/>
    <d v="2024-09-06T00:00:00"/>
    <n v="-428"/>
    <x v="1"/>
    <x v="6"/>
    <s v="19382/SPP/008/PUSAT/ICON+/2022"/>
    <s v="19382/SPP/008/PUSAT/ICON+/2022"/>
    <n v="4500018509"/>
    <s v="Fajar Paramita"/>
    <m/>
    <m/>
    <m/>
    <m/>
    <m/>
    <m/>
    <m/>
    <s v="F248"/>
    <m/>
    <m/>
    <s v="1.Sewa Rack Unit 47 (1 Tahun) Rp.4.800.000 | 2.Biaya Setup Fee @ Rack Unit 47 Rp.1.500.000,-"/>
  </r>
  <r>
    <n v="1610"/>
    <x v="503"/>
    <x v="953"/>
    <s v="Jl Pahlawan Seribu Lot 12A"/>
    <m/>
    <s v="Jl. Pahlawan Seribu Lot.12A, Gedung Smartfren BSD2 Lantai 2, Ruang Vault PT. SMART, Rack Network 16, Rack Unit 47, Lengkong Gudang"/>
    <s v="Sewa Tahunan"/>
    <x v="2"/>
    <x v="1043"/>
    <m/>
    <m/>
    <m/>
    <m/>
    <m/>
    <x v="112"/>
    <m/>
    <m/>
    <x v="48"/>
    <m/>
    <x v="968"/>
    <d v="2025-07-06T00:00:00"/>
    <x v="2"/>
    <m/>
    <d v="2024-09-06T00:00:00"/>
    <n v="303"/>
    <x v="1"/>
    <x v="3"/>
    <m/>
    <s v=" 3933/SPP/SBU/PLNICONPLUS/2024"/>
    <n v="4500023148"/>
    <s v="Livia Indraswati"/>
    <m/>
    <m/>
    <m/>
    <m/>
    <m/>
    <m/>
    <m/>
    <m/>
    <m/>
    <s v="H266"/>
    <m/>
  </r>
  <r>
    <n v="1611"/>
    <x v="503"/>
    <x v="953"/>
    <s v="Jl Pahlawan Seribu Lot 12A"/>
    <m/>
    <s v="Jl. Pahlawan Seribu Lot.12A, Gedung Smartfren BSD2 Lantai 2, Ruang Vault PT. SMART, Rack Network 16, Rack Unit 47, Lengkong Gudang"/>
    <s v="Sewa Tahunan"/>
    <x v="2"/>
    <x v="1043"/>
    <m/>
    <m/>
    <m/>
    <m/>
    <m/>
    <x v="41"/>
    <m/>
    <m/>
    <x v="48"/>
    <m/>
    <x v="474"/>
    <d v="2023-07-06T00:00:00"/>
    <x v="0"/>
    <m/>
    <d v="2024-09-06T00:00:00"/>
    <n v="-428"/>
    <x v="1"/>
    <x v="6"/>
    <s v="19384/SPP/008/PUSAT/ICON+/2022 "/>
    <s v="19384/SPP/008/PUSAT/ICON+/2022 "/>
    <n v="4500018510"/>
    <s v="Fajar Paramita"/>
    <m/>
    <m/>
    <m/>
    <m/>
    <m/>
    <m/>
    <m/>
    <s v="F249"/>
    <m/>
    <m/>
    <s v="1.Sewa Rack Unit 47 (1 Tahun) Rp.4.800.000 | 2.Biaya Setup Fee @ Rack Unit 47 Rp.1.500.000,-"/>
  </r>
  <r>
    <n v="1612"/>
    <x v="503"/>
    <x v="953"/>
    <s v="Jl Pahlawan Seribu Lot 12A"/>
    <m/>
    <s v="Jl. Pahlawan Seribu Lot.12A, Gedung Smartfren BSD2 Lantai 2, Ruang Vault PT. SMART, Rack Network 16, Rack Unit 47, Lengkong Gudang"/>
    <s v="Sewa Tahunan"/>
    <x v="2"/>
    <x v="1043"/>
    <m/>
    <m/>
    <m/>
    <m/>
    <m/>
    <x v="112"/>
    <m/>
    <m/>
    <x v="48"/>
    <m/>
    <x v="968"/>
    <d v="2025-07-06T00:00:00"/>
    <x v="2"/>
    <m/>
    <d v="2024-09-06T00:00:00"/>
    <n v="303"/>
    <x v="1"/>
    <x v="3"/>
    <m/>
    <s v="3934/SPP/SBU/PLNICONPLUS/2024"/>
    <n v="4500023149"/>
    <s v="Livia Indraswati"/>
    <m/>
    <m/>
    <m/>
    <m/>
    <m/>
    <m/>
    <m/>
    <m/>
    <m/>
    <s v="H267"/>
    <m/>
  </r>
  <r>
    <n v="1613"/>
    <x v="503"/>
    <x v="824"/>
    <s v="Jl Pahlawan Seribu Lot 12A"/>
    <s v="NTT Nextdatacenter (CSF MMR) Kuningan Barat No 1 Jakarta"/>
    <s v="PT Teknovatus SS, Jl. Pahlawan Seribu Lot 12 A BSD CBD Serpong, Tangerang 15322"/>
    <s v="Sewa Tahunan"/>
    <x v="1"/>
    <x v="70"/>
    <m/>
    <m/>
    <m/>
    <m/>
    <m/>
    <x v="50"/>
    <m/>
    <m/>
    <x v="18"/>
    <m/>
    <x v="782"/>
    <d v="2024-11-22T00:00:00"/>
    <x v="2"/>
    <m/>
    <d v="2024-09-06T00:00:00"/>
    <n v="77"/>
    <x v="2"/>
    <x v="1"/>
    <s v="14606/SPP/008/PUSAT/ICON+/2020 | 4500015284 | 17226/SPP/008/PUSAT/ICON+/2021 | 4500017416 | 4500019976"/>
    <s v="3479/SPP/SBU/PLNICONPLUS/2024"/>
    <n v="4500022978"/>
    <s v="Fajar Paramita"/>
    <m/>
    <m/>
    <m/>
    <m/>
    <m/>
    <s v="D268"/>
    <m/>
    <s v="F81"/>
    <m/>
    <s v="H246"/>
    <s v="1.Biaya Sewa Crossconnect DC Teknovatus Rp.3.900.000 | 2.Biaya Instalasi Crossconnect DC Teknovatus Rp.1.500.000 | 3.Biaya Sewa Collocation 1U MMR DC Teknovatus Rp.18.000.000"/>
  </r>
  <r>
    <n v="1614"/>
    <x v="503"/>
    <x v="954"/>
    <s v="Jl Pahlawan Seribu Lot 12A"/>
    <m/>
    <m/>
    <s v="Sewa Tahunan"/>
    <x v="2"/>
    <x v="1044"/>
    <m/>
    <m/>
    <m/>
    <m/>
    <m/>
    <x v="11"/>
    <m/>
    <m/>
    <x v="277"/>
    <m/>
    <x v="969"/>
    <d v="2025-02-04T00:00:00"/>
    <x v="2"/>
    <m/>
    <d v="2024-09-06T00:00:00"/>
    <n v="151"/>
    <x v="9"/>
    <x v="3"/>
    <s v="baru"/>
    <s v="12509/SPP/008/PUSAT/ICON+/2020"/>
    <n v="4500013854"/>
    <s v="Fajar Paramita"/>
    <m/>
    <m/>
    <m/>
    <m/>
    <m/>
    <s v="D52"/>
    <m/>
    <m/>
    <m/>
    <m/>
    <s v="1.Biaya Instalasi TER (xconnect di DC Teknovatus) Rp.1.500.000,- 2.Biaya Sewa TER (xconnect di DC Teknovatus) Rp.3.600.000,- 3.Biaya PKB ORI Rp.7.396.463,-"/>
  </r>
  <r>
    <n v="1615"/>
    <x v="504"/>
    <x v="955"/>
    <s v="Graha Merah Putih Jl.Gatot Subroto Kav.52 Jakarta Selatan 12070"/>
    <m/>
    <s v="NEU CENTRIC DATA CENTER, Jl. K.H Mas Mansyur"/>
    <s v="Sewa Tahunan"/>
    <x v="2"/>
    <x v="558"/>
    <m/>
    <m/>
    <m/>
    <m/>
    <m/>
    <x v="286"/>
    <m/>
    <m/>
    <x v="278"/>
    <m/>
    <x v="538"/>
    <d v="2023-07-28T00:00:00"/>
    <x v="0"/>
    <m/>
    <d v="2024-09-06T00:00:00"/>
    <n v="-406"/>
    <x v="1"/>
    <x v="6"/>
    <s v="baru"/>
    <s v="19115/SPP/008/PUSAT/ICON+/2022"/>
    <n v="4500018401"/>
    <s v="Fajar Paramita"/>
    <m/>
    <m/>
    <m/>
    <m/>
    <m/>
    <m/>
    <m/>
    <s v="F188"/>
    <m/>
    <m/>
    <s v="1.1.Biaya Collo @ IT Hall (Tier II) /1 Tahun  Rp.18.000.000 | 2.Biaya OTC Intalasi collo Rp.1.500.000 | 3. Biaya Collo @ NER  /1 Tahun  Rp.18.000.000 | 4.Biaya OTC Intalasi collo Rp.1.500.000 | 5.Biaya Sewa Jalur Cable /1tahun Rp.3.600.000 | 6.Biaya Penyedian Power 2Amp Rp.10.200.000 | 7.Biaya OTC Penyedian Power 2 Amp Rp.400.000 | 8.Biaya Sewa  Cross Connect (Fiber)  /1 tahun Rp.6.000.000 | 9.Biaya Cross Connect (Fiber)  Rp.1.500.000 | 10.Biaya Sewa  Cross Connect (UTP)  Rp.1.200.000 | 11.Biaya Cross Connect (UTP)  Rp.1.000.000"/>
  </r>
  <r>
    <n v="1616"/>
    <x v="504"/>
    <x v="956"/>
    <s v="Jl.Kebon Sirih No.12 Jakarta Pusat 10110"/>
    <m/>
    <s v="SPBU-CIKUPA CITRA RAYA"/>
    <s v="Sewa Tahunan"/>
    <x v="2"/>
    <x v="406"/>
    <m/>
    <m/>
    <m/>
    <m/>
    <m/>
    <x v="86"/>
    <m/>
    <m/>
    <x v="505"/>
    <m/>
    <x v="543"/>
    <d v="2023-08-14T00:00:00"/>
    <x v="1"/>
    <m/>
    <d v="2024-09-06T00:00:00"/>
    <n v="-389"/>
    <x v="12"/>
    <x v="6"/>
    <s v="baru"/>
    <s v="19359/SPP/008/PUSAT/ICON+/2022"/>
    <n v="4500018513"/>
    <s v="Fajar Paramita"/>
    <m/>
    <m/>
    <m/>
    <m/>
    <m/>
    <m/>
    <m/>
    <s v="F245"/>
    <m/>
    <m/>
    <s v="biaya sewa tahunan sebesar 15.360.000 | OTC Rp.2.000.000. Skema Kerjasama berubah menjadi Interkoneksi"/>
  </r>
  <r>
    <n v="1617"/>
    <x v="505"/>
    <x v="957"/>
    <s v="Gedung Graha Telkomsigma Lt.5 Tangerang selatan 15321"/>
    <m/>
    <s v="Data Center Telkomsigma Sentul - Cijayanti_x000a_Menara Sentraya Lt. 20 (IP VPN)"/>
    <s v="Sewa Tahunan"/>
    <x v="1"/>
    <x v="1045"/>
    <m/>
    <m/>
    <m/>
    <m/>
    <m/>
    <x v="236"/>
    <m/>
    <m/>
    <x v="14"/>
    <m/>
    <x v="970"/>
    <d v="2024-01-16T00:00:00"/>
    <x v="2"/>
    <m/>
    <d v="2024-09-06T00:00:00"/>
    <n v="-234"/>
    <x v="11"/>
    <x v="1"/>
    <s v="baru"/>
    <s v="21056/SPP/008/PUSAT/ICON+/2023"/>
    <n v="4500019908"/>
    <s v="Fajar Paramita"/>
    <s v="Edhi"/>
    <m/>
    <m/>
    <m/>
    <m/>
    <m/>
    <m/>
    <m/>
    <s v="G7"/>
    <m/>
    <s v="1.Biaya Instalasi Rp.5.000.000 ,- | 2.Biaya Sewa Tahunan Rp.14.400.000,-"/>
  </r>
  <r>
    <n v="1618"/>
    <x v="505"/>
    <x v="957"/>
    <s v="Gedung Graha Telkomsigma Lt.5 Tangerang selatan 15322"/>
    <m/>
    <s v="Graha Telkomsigma d/h German Centre, 7th Floor - Jl. Kapten Soebijanto Djojohadikoesoemo, Bumi Serpong Damai_x000a_Menara Sentraya Lt. 20 (IP VPN)"/>
    <s v="Sewa Tahunan"/>
    <x v="1"/>
    <x v="1046"/>
    <m/>
    <m/>
    <m/>
    <m/>
    <m/>
    <x v="236"/>
    <m/>
    <m/>
    <x v="14"/>
    <m/>
    <x v="971"/>
    <d v="2024-01-29T00:00:00"/>
    <x v="2"/>
    <m/>
    <d v="2024-09-06T00:00:00"/>
    <n v="-221"/>
    <x v="11"/>
    <x v="1"/>
    <s v="baru"/>
    <s v="21030/SPP/008/PUSAT/ICON+/2023"/>
    <n v="4500019899"/>
    <s v="Fajar Paramita"/>
    <s v="Edhi"/>
    <m/>
    <m/>
    <m/>
    <m/>
    <m/>
    <m/>
    <m/>
    <s v="G5"/>
    <m/>
    <s v="1.Biaya Instalasi Rp.600.000 ,- | 2.Biaya Sewa Tahunan Rp.30.000.000,-"/>
  </r>
  <r>
    <n v="1619"/>
    <x v="505"/>
    <x v="683"/>
    <s v="Gedung Graha Telkomsigma Lt.5 Tangerang selatan 15322"/>
    <m/>
    <s v="(ODC BACKUP BRI SIGMA SENTUL H2H) JL. CIJAYANTI, KEC. BABAKAN MADANG, KABUPATEN BOGOR, JAWA BARAT 16810"/>
    <s v="Sewa Tahunan"/>
    <x v="1"/>
    <x v="1047"/>
    <m/>
    <m/>
    <m/>
    <m/>
    <m/>
    <x v="491"/>
    <m/>
    <m/>
    <x v="10"/>
    <m/>
    <x v="846"/>
    <d v="2024-08-21T00:00:00"/>
    <x v="2"/>
    <m/>
    <d v="2024-09-06T00:00:00"/>
    <n v="-16"/>
    <x v="12"/>
    <x v="1"/>
    <s v="baru"/>
    <s v="1154/SPP/SBU/ICON+/2023_x0009_"/>
    <n v="4500021196"/>
    <s v="Fajar Paramita"/>
    <s v="Edhi"/>
    <m/>
    <m/>
    <m/>
    <m/>
    <m/>
    <m/>
    <m/>
    <s v="G187"/>
    <m/>
    <s v="1.biaya Xconnect FO Core  @1 tahun  Rp.12.000.000 | 2.Biaya Intalasi FO Core Rp.6.000.000 | 3.biaya Xconnect Cable UTP  @1 tahun  Rp.12.000.000 | 4.Biaya Intalasi Cable UTP Rp.6.000.000"/>
  </r>
  <r>
    <n v="1620"/>
    <x v="505"/>
    <x v="45"/>
    <s v="Gedung Graha Telkomsigma Lt.5 Tangerang selatan 15322"/>
    <m/>
    <s v="Gedung Sigma German Center - BSD Tanggerang Lantai 6"/>
    <s v="Sewa Tahunan"/>
    <x v="1"/>
    <x v="1048"/>
    <m/>
    <m/>
    <m/>
    <m/>
    <m/>
    <x v="41"/>
    <m/>
    <m/>
    <x v="16"/>
    <m/>
    <x v="972"/>
    <d v="2024-05-23T00:00:00"/>
    <x v="2"/>
    <m/>
    <d v="2024-09-06T00:00:00"/>
    <n v="-106"/>
    <x v="4"/>
    <x v="1"/>
    <s v="baru"/>
    <s v="21331/SPP/008/PUSAT/ICON+/2023"/>
    <n v="4500020164"/>
    <s v="Fajar Paramita"/>
    <s v="Edhi"/>
    <m/>
    <m/>
    <m/>
    <m/>
    <m/>
    <m/>
    <m/>
    <s v="G45"/>
    <m/>
    <s v="1.biaya Xconnect FO Core  @1 tahun  Rp.12.000.000 | 2.Biaya Intalasi FO Core Rp.3.000.000"/>
  </r>
  <r>
    <n v="1621"/>
    <x v="505"/>
    <x v="958"/>
    <s v="Gedung Graha Telkomsigma Lt.5 Tangerang selatan 15322"/>
    <s v="BCA WISMA ASIA 2 JL. BRIGJEN KATAMSO NO.1, RT.4/RW.9, KOTA BAMBU SEL., KEC. PALMERAH, KOTA JAKARTA BARAT, DAERAH KHUSUS IBUKOTA JAKARTA 11420"/>
    <s v="TELKOM SIGMA DJ, BUMI SERPONG DAMAI, JALAN KAPTEN SUBIJANTO, LENGKONG GUDANG, KEC. SERPONG, KOTA TANGERANG SELATAN, BANTEN 15321"/>
    <s v="Sewa Tahunan"/>
    <x v="1"/>
    <x v="1049"/>
    <m/>
    <m/>
    <m/>
    <m/>
    <m/>
    <x v="204"/>
    <m/>
    <m/>
    <x v="5"/>
    <m/>
    <x v="704"/>
    <d v="2024-09-14T00:00:00"/>
    <x v="2"/>
    <m/>
    <d v="2024-09-06T00:00:00"/>
    <n v="8"/>
    <x v="7"/>
    <x v="1"/>
    <s v="baru"/>
    <s v="1323/SPP/SBU/ICON+/2023"/>
    <n v="4500021323"/>
    <s v="Fajar Paramita"/>
    <s v="Edhi"/>
    <m/>
    <m/>
    <m/>
    <m/>
    <m/>
    <m/>
    <m/>
    <s v="G231"/>
    <m/>
    <s v="1.biaya Xconnect FO Core  @1 tahun  Rp.6.000.000 | 2.Biaya Intalasi FO Core Rp.3.000.000"/>
  </r>
  <r>
    <n v="1622"/>
    <x v="505"/>
    <x v="602"/>
    <s v="German Centre Building 3rd and 5th floor Jl. Kapt. Subijanto DJ Bumi Serpong Damai"/>
    <s v="Data Center Telkomsigma, Jl. Ir. Hj Juanda Cijayanti, Sentul City,  Kec. Babakan Madang,  Kabupaten Bogor,  Jawa Barat,  Indonesia"/>
    <s v="(Relokasi Perangkat) BNC HQ Gozco Pancoran, Jl. Raya Pasar Minggu Kav. 3, Pancoran, Jakarta Selatan, DKI Jakarta, Indonesia"/>
    <s v="Sewa Tahunan"/>
    <x v="2"/>
    <x v="1050"/>
    <m/>
    <m/>
    <m/>
    <m/>
    <m/>
    <x v="492"/>
    <m/>
    <m/>
    <x v="18"/>
    <m/>
    <x v="973"/>
    <d v="2022-09-12T00:00:00"/>
    <x v="0"/>
    <m/>
    <d v="2024-09-06T00:00:00"/>
    <n v="-725"/>
    <x v="7"/>
    <x v="2"/>
    <s v="16554/SPP/008/PUSAT/ICON+/2021"/>
    <m/>
    <n v="4500016638"/>
    <s v="Fajar Paramita"/>
    <s v="yudi Sukma "/>
    <s v="+62 852-6603-5574"/>
    <m/>
    <m/>
    <m/>
    <m/>
    <s v="E263"/>
    <m/>
    <m/>
    <m/>
    <s v="1.Biaya Instalasi Cross connect DC Telkomsigma Rp.18.000.000"/>
  </r>
  <r>
    <n v="1623"/>
    <x v="505"/>
    <x v="431"/>
    <s v="German Centre Building 3rd and 5th floor Jl. Kapt. Subijanto DJ Bumi Serpong Damai"/>
    <s v="-"/>
    <s v="(Relokasi Pisah Port) Telkom sigma Bumi Serpong Damai, Jalan Kapt. Subijanto Dj, Lengkong Gudang"/>
    <s v="Sewa Tahunan"/>
    <x v="2"/>
    <x v="230"/>
    <m/>
    <m/>
    <m/>
    <m/>
    <m/>
    <x v="493"/>
    <m/>
    <m/>
    <x v="5"/>
    <m/>
    <x v="974"/>
    <d v="2024-12-22T00:00:00"/>
    <x v="2"/>
    <m/>
    <d v="2024-09-06T00:00:00"/>
    <n v="107"/>
    <x v="5"/>
    <x v="1"/>
    <s v="17589/SPP/008/PUSAT/ICON+/2021 | 4500017398"/>
    <s v="3149/SPP/SBU/PLNICONPLUS/2024"/>
    <n v="4500022658"/>
    <s v="Fajar Paramita"/>
    <s v="Yudhi Sukma"/>
    <m/>
    <m/>
    <m/>
    <m/>
    <m/>
    <m/>
    <s v="F3"/>
    <m/>
    <s v="H101"/>
    <s v="Biaya Cross Connect Rp.6.000.000 | Biaya OTC Rp.3.000.000"/>
  </r>
  <r>
    <n v="1624"/>
    <x v="505"/>
    <x v="959"/>
    <s v="German Centre Building 3rd and 5th floor Jl. Kapt. Subijanto DJ Bumi Serpong Damai"/>
    <s v="-"/>
    <s v="Backhaul BTN IPVPN Sinergi Insani Primalink Sigma Sentul Lt.2 Btn Enclosure Rack No.21"/>
    <s v="Sewa Tahunan"/>
    <x v="2"/>
    <x v="1051"/>
    <m/>
    <m/>
    <m/>
    <m/>
    <m/>
    <x v="3"/>
    <m/>
    <m/>
    <x v="5"/>
    <m/>
    <x v="975"/>
    <d v="2023-01-13T00:00:00"/>
    <x v="1"/>
    <m/>
    <d v="2024-09-06T00:00:00"/>
    <n v="-602"/>
    <x v="11"/>
    <x v="6"/>
    <s v="baru"/>
    <s v="17611/SPP/008/PUSAT/ICON+/2022"/>
    <n v="4500017495"/>
    <s v="Fajar Paramita"/>
    <s v="Edhi"/>
    <m/>
    <m/>
    <m/>
    <m/>
    <m/>
    <m/>
    <s v="F29"/>
    <m/>
    <m/>
    <s v="1. Biaya Instalasi Cross Connect Data Center Telkomsigma – (Sentul)_x0009_ Rp.3.000.000_x000a_2.Biaya Sewa Cross Connect Data Center Telkomsigma – (Sentul) 1 tahun Rp.6.000.000"/>
  </r>
  <r>
    <n v="1625"/>
    <x v="505"/>
    <x v="960"/>
    <s v="German Centre Building 3rd and 5th floor Jl. Kapt. Subijanto DJ Bumi Serpong Damai"/>
    <s v="Backhaul German Centre, Jalan Arteri Golf, Lantai 6 Timur, Pakulonan Barat, Serpong Utara, Tangerang, Banten"/>
    <s v="Backhaul German Centre, Jalan Arteri Golf, Lantai 6 Timur, Pakulonan Barat, Serpong Utara,Tangerang, Banten."/>
    <s v="Sewa Tahunan"/>
    <x v="2"/>
    <x v="1052"/>
    <m/>
    <m/>
    <m/>
    <m/>
    <m/>
    <x v="27"/>
    <m/>
    <m/>
    <x v="7"/>
    <m/>
    <x v="976"/>
    <d v="2020-09-05T00:00:00"/>
    <x v="0"/>
    <m/>
    <d v="2024-09-06T00:00:00"/>
    <n v="-1462"/>
    <x v="7"/>
    <x v="5"/>
    <s v="baru"/>
    <s v="11465/SPP/008/PUSAT/ICON+/2019"/>
    <n v="4500013158"/>
    <s v="Fajar Paramita"/>
    <s v="Edhi"/>
    <s v="0811-9561-704"/>
    <m/>
    <m/>
    <s v="C168"/>
    <m/>
    <m/>
    <m/>
    <m/>
    <m/>
    <s v="1.Biaya Sewa tahunan Rp.9.000.000,-"/>
  </r>
  <r>
    <n v="1626"/>
    <x v="505"/>
    <x v="960"/>
    <s v="German Centre Building 3rd and 5th floor Jl. Kapt. Subijanto DJ Bumi Serpong Damai"/>
    <s v="Backhaul German Centre, Jalan Arteri Golf, Lantai 6 Timur, Pakulonan Barat, Serpong Utara, Tangerang, Banten"/>
    <s v="Backhaul German Centre, Jalan Arteri Golf, Lantai 6 Timur, Pakulonan Barat, Serpong Utara,Tangerang, Banten."/>
    <s v="Sewa Tahunan"/>
    <x v="2"/>
    <x v="1052"/>
    <m/>
    <m/>
    <m/>
    <m/>
    <m/>
    <x v="27"/>
    <m/>
    <m/>
    <x v="7"/>
    <m/>
    <x v="976"/>
    <d v="2020-09-05T00:00:00"/>
    <x v="0"/>
    <m/>
    <d v="2024-09-06T00:00:00"/>
    <n v="-1462"/>
    <x v="7"/>
    <x v="5"/>
    <s v="baru"/>
    <s v="11465/SPP/008/PUSAT/ICON+/201"/>
    <n v="4500013158"/>
    <s v="Fajar Paramita"/>
    <s v="Edhi"/>
    <m/>
    <m/>
    <m/>
    <s v="C168"/>
    <m/>
    <m/>
    <m/>
    <m/>
    <m/>
    <s v="1.Biaya Cross Connect Rp.9.000.000"/>
  </r>
  <r>
    <n v="1627"/>
    <x v="505"/>
    <x v="961"/>
    <s v="German Centre Building 3rd and 5th floor Jl. Kapt. Subijanto DJ Bumi Serpong Damai"/>
    <s v="Bumi Serpong Damai, Jalan Kapt. Subijanto Dj, Lengkong Gudang, Kec. Serpong, Kota Tangerang Selatan, Banten 15321"/>
    <s v="Bank Kalbar Kubu Raya Jl.Jenderal Ahmad Yani, Tlk Kapuas, Sungai Raya, Kabupaten Kubu Raya, Kalimantan Barat 78121"/>
    <s v="Sewa Tahunan"/>
    <x v="2"/>
    <x v="1053"/>
    <m/>
    <m/>
    <m/>
    <m/>
    <m/>
    <x v="51"/>
    <m/>
    <m/>
    <x v="5"/>
    <m/>
    <x v="948"/>
    <d v="2021-10-20T00:00:00"/>
    <x v="0"/>
    <m/>
    <d v="2024-09-06T00:00:00"/>
    <n v="-1052"/>
    <x v="6"/>
    <x v="4"/>
    <s v="11790/SPP/008/PUSAT/ICON+/2019 | 4500013426"/>
    <s v="14163/SPP/008/PUSAT/ICON+/2020"/>
    <n v="4500013426"/>
    <s v="Fajar Paramita"/>
    <s v="Edhi"/>
    <m/>
    <m/>
    <m/>
    <s v="C215"/>
    <s v="D307"/>
    <m/>
    <m/>
    <m/>
    <m/>
    <s v="1.biaya sewa pertahun sebesar 9.000.000"/>
  </r>
  <r>
    <n v="1628"/>
    <x v="505"/>
    <x v="961"/>
    <s v="German Centre Building 3rd and 5th floor Jl. Kapt. Subijanto DJ Bumi Serpong Damai"/>
    <s v="Bumi Serpong Damai, Jalan Kapt. Subijanto Dj, Lengkong Gudang, Kec. Serpong, Kota Tangerang Selatan, Banten 15321"/>
    <s v="Bank Kalbar Kubu Raya Jl.Jenderal Ahmad Yani, Tlk Kapuas, Sungai Raya, Kabupaten Kubu Raya, Kalimantan Barat 78121"/>
    <s v="Sewa Tahunan"/>
    <x v="2"/>
    <x v="1053"/>
    <m/>
    <m/>
    <m/>
    <m/>
    <m/>
    <x v="51"/>
    <m/>
    <m/>
    <x v="5"/>
    <m/>
    <x v="948"/>
    <d v="2021-10-20T00:00:00"/>
    <x v="0"/>
    <m/>
    <d v="2024-09-06T00:00:00"/>
    <n v="-1052"/>
    <x v="6"/>
    <x v="4"/>
    <s v="baru"/>
    <s v="14163/SPP/008/PUSAT/ICON+/2020"/>
    <n v="4500015040"/>
    <s v="Fajar Paramita"/>
    <s v="Edhi"/>
    <m/>
    <m/>
    <m/>
    <m/>
    <m/>
    <s v="-"/>
    <m/>
    <m/>
    <m/>
    <s v="Biaya Sewa Cross Connect di Telkomsima (Rack Icon+ to Rack BPD Kalbar) Rp.6.000.000"/>
  </r>
  <r>
    <n v="1629"/>
    <x v="505"/>
    <x v="961"/>
    <s v="German Centre Building 3rd and 5th floor Jl. Kapt. Subijanto DJ Bumi Serpong Damai"/>
    <s v="Bumi Serpong Damai, Jalan Kapt. Subijanto Dj, Lengkong Gudang, Kec. Serpong, Kota Tangerang Selatan, Banten 15321"/>
    <s v="Bank Kalbar Kubu Raya Jl.Jenderal Ahmad Yani, Tlk Kapuas, Sungai Raya, Kabupaten Kubu Raya, Kalimantan Barat 78121."/>
    <s v="Sewa Tahunan"/>
    <x v="2"/>
    <x v="1053"/>
    <m/>
    <m/>
    <m/>
    <m/>
    <m/>
    <x v="51"/>
    <m/>
    <m/>
    <x v="5"/>
    <m/>
    <x v="659"/>
    <d v="2021-12-02T00:00:00"/>
    <x v="0"/>
    <m/>
    <d v="2024-09-06T00:00:00"/>
    <n v="-1009"/>
    <x v="5"/>
    <x v="4"/>
    <s v="11790/SPP/008/PUSAT/ICON+/2019 | 4500013741"/>
    <s v="14850/SPP/008/PUSAT/ICON+/2020"/>
    <n v="4500015484"/>
    <s v="Fajar Paramita"/>
    <s v="Edhi"/>
    <m/>
    <m/>
    <m/>
    <s v="C257"/>
    <s v="D369"/>
    <m/>
    <m/>
    <m/>
    <m/>
    <s v="1.Biaya Instalasi Cross Connect di Telkomsima (Rack Icon+ to Rack BPD Kalbar) sebesar Rp.3.000.000,- 2.Biaya Sewa Cross Connect di Telkomsima (Rack Icon+ to Rack BPD Kalbar) sebesar Rp.6.000.000,-"/>
  </r>
  <r>
    <n v="1630"/>
    <x v="505"/>
    <x v="962"/>
    <s v="German Centre Building 3rd and 5th floor Jl. Kapt. Subijanto DJ Bumi Serpong Damai"/>
    <s v="-"/>
    <s v="Bumi Serpong Damai, Jalan Kapt. Subijanto Dj, Lengkong Gudang, Kec. Serpong, Kota Tangerang Selatan, Banten 15321, Kota Tangerang Selatan, Banten, Indonesia."/>
    <s v="Sewa Tahunan"/>
    <x v="2"/>
    <x v="1054"/>
    <m/>
    <m/>
    <s v="IP VPN"/>
    <s v="64 Kbps"/>
    <m/>
    <x v="231"/>
    <m/>
    <m/>
    <x v="506"/>
    <m/>
    <x v="977"/>
    <d v="2025-01-22T00:00:00"/>
    <x v="2"/>
    <m/>
    <d v="2024-09-06T00:00:00"/>
    <n v="138"/>
    <x v="11"/>
    <x v="3"/>
    <s v="baru"/>
    <s v="3141/SPP/SBU/PLNICONPLUS/2024"/>
    <n v="4500022590"/>
    <s v="Fajar Paramita"/>
    <s v="Edhi"/>
    <m/>
    <m/>
    <m/>
    <s v="C180"/>
    <m/>
    <m/>
    <m/>
    <m/>
    <m/>
    <s v="1.Biaya Cross Connect Rp.9.000.000"/>
  </r>
  <r>
    <n v="1631"/>
    <x v="505"/>
    <x v="689"/>
    <s v="German Centre Building 3rd and 5th floor Jl. Kapt. Subijanto DJ Bumi Serpong Damai"/>
    <s v="DC KPK BSD Graha TelkomSigma BSD,  Lantai 5, Wing A (Gedung Sisi Barat), Bumi Serpong Damai, Jalan Kapt. Subijanto Dj, Lengkong Gudang, Kec. Serpong, Kota Tangerang Selatan, Banten,  BSD Tangsel,  Jakarta Selatan,  DKI Jakarta,  Indonesia,  15321"/>
    <s v="Cyber 2 Tower, Jl. H. R. Rasuna Said No.13, RT.7/RW.2, Kuningan, Kuningan Timur, Setiabudi, Jakarta Selatan"/>
    <s v="Sewa Tahunan"/>
    <x v="2"/>
    <x v="1055"/>
    <m/>
    <m/>
    <m/>
    <m/>
    <m/>
    <x v="494"/>
    <m/>
    <m/>
    <x v="18"/>
    <m/>
    <x v="978"/>
    <d v="2021-12-20T00:00:00"/>
    <x v="0"/>
    <m/>
    <d v="2024-09-06T00:00:00"/>
    <n v="-991"/>
    <x v="5"/>
    <x v="4"/>
    <s v="baru"/>
    <s v="14988/SPP/008/PUSAT/ICON+/2020"/>
    <n v="4500015511"/>
    <s v="Fajar Paramita"/>
    <s v="Yudhi Sukma"/>
    <s v="+62 852-6603-5574"/>
    <m/>
    <m/>
    <m/>
    <s v="D344"/>
    <m/>
    <m/>
    <m/>
    <m/>
    <s v="1.Biaya Sewa Cross Connect di Telkomsigma Rp.18.000.000"/>
  </r>
  <r>
    <n v="1632"/>
    <x v="505"/>
    <x v="497"/>
    <s v="German Centre Building 3rd and 5th floor Jl. Kapt. Subijanto DJ Bumi Serpong Damai"/>
    <s v="Data Center FIF, German Center Lt. 5, Jl. Kapt. Subijanto No.1 Bumi Serpong Damai, Tangerang,  Tangerang Selatan,  Jakarta,  .Banten - salah,  Indonesia,  15321"/>
    <s v="DRC FIF Lantai 2,Telkom Sigma JL. Bukit Bali Lakarsantri - Citraland Blok 3/2,  Citraland,  Surabaya,  Jawa Timur,  Indonesia,  60211"/>
    <s v="Sewa Tahunan"/>
    <x v="2"/>
    <x v="85"/>
    <m/>
    <m/>
    <s v="Metronet"/>
    <s v="1 Gbps"/>
    <m/>
    <x v="60"/>
    <m/>
    <m/>
    <x v="5"/>
    <m/>
    <x v="979"/>
    <d v="2025-04-15T00:00:00"/>
    <x v="2"/>
    <m/>
    <d v="2024-09-06T00:00:00"/>
    <n v="221"/>
    <x v="10"/>
    <x v="3"/>
    <s v="10753/SPP/008/PUSAT/ICON+/2019 | 4500012748 | 12976/SPP/008/PUSAT/ICON+/2020 | 4500014235| 15605/SPP/008/PUSAT/ICON+/2021| 4500016097 | 18324 | 4500017852 | 102"/>
    <s v="3134/SPP/SBU/PLNICONPLUS/2024"/>
    <n v="4500022574"/>
    <s v="Fajar Paramita"/>
    <s v="Yudhi Sukma"/>
    <m/>
    <m/>
    <m/>
    <s v="C42"/>
    <s v="D121"/>
    <s v="E191"/>
    <s v="F111"/>
    <s v="G47"/>
    <s v="H94"/>
    <s v="1. Biaya Sewa Rp 500.000/bln"/>
  </r>
  <r>
    <n v="1633"/>
    <x v="505"/>
    <x v="602"/>
    <s v="German Centre Building 3rd and 5th floor Jl. Kapt. Subijanto DJ Bumi Serpong Damai"/>
    <s v="Data Center Graha Telkom Sigma BSD, Jl. Kapt. Subianto DJ, BSD,  -,  Kota Tangerang Selatan,  Banten,  Indonesia, "/>
    <s v="Data Center Telkomsigma, Jl. Ir. Hj Juanda Cijayanti, Sentul City,  Kec. Babakan Madang,  Kabupaten Bogor,  Jawa Barat,  Indonesia"/>
    <s v="Sewa Tahunan"/>
    <x v="2"/>
    <x v="258"/>
    <m/>
    <m/>
    <m/>
    <m/>
    <m/>
    <x v="44"/>
    <m/>
    <m/>
    <x v="16"/>
    <m/>
    <x v="239"/>
    <d v="2022-06-06T00:00:00"/>
    <x v="0"/>
    <m/>
    <d v="2024-09-06T00:00:00"/>
    <n v="-823"/>
    <x v="3"/>
    <x v="2"/>
    <m/>
    <s v="15979/SPP/008/PUSAT/ICON+/2021"/>
    <n v="4500016294"/>
    <s v="Fajar Paramita"/>
    <s v="yudi Sukma "/>
    <s v="+62 852-6603-5574"/>
    <m/>
    <m/>
    <m/>
    <m/>
    <s v="E100"/>
    <m/>
    <m/>
    <m/>
    <s v="Pelanggan tidak lanjut berlangganan "/>
  </r>
  <r>
    <n v="1634"/>
    <x v="505"/>
    <x v="30"/>
    <s v="German Centre Building 3rd and 5th floor Jl. Kapt. Subijanto DJ Bumi Serpong Damai"/>
    <s v="-"/>
    <s v="Data Center on Telkom Sigma (German Center), Lantai 6 Timur Ruang 6460-1-2 Jl. Kapten Subijanto Dj, BSD, Tangerang, Banten"/>
    <s v="Sewa Tahunan"/>
    <x v="2"/>
    <x v="89"/>
    <m/>
    <m/>
    <m/>
    <m/>
    <m/>
    <x v="64"/>
    <m/>
    <m/>
    <x v="5"/>
    <m/>
    <x v="231"/>
    <d v="2022-01-22T00:00:00"/>
    <x v="0"/>
    <m/>
    <d v="2024-09-06T00:00:00"/>
    <n v="-958"/>
    <x v="11"/>
    <x v="2"/>
    <s v="12489/SPP/008/PUSAT/ICON+/2020 | 4500013806| 15094/SPP/008/PUSAT/ICON+/2021| 4500015665"/>
    <s v="17741/SPP/008/PUSAT/ICON+/2022"/>
    <n v="4500018119"/>
    <s v="Fajar Paramita"/>
    <s v="Edhi"/>
    <m/>
    <m/>
    <m/>
    <m/>
    <s v="D1"/>
    <s v="E87"/>
    <s v="F194"/>
    <m/>
    <m/>
    <s v="1.Biaya Instalasi Interkoneksi Telkomsigma Serpong Rp.3.000.000,- 2.Biaya Sewa Interkoneksi Telkomsigma Serpong Rp.6.000.000,-"/>
  </r>
  <r>
    <n v="1635"/>
    <x v="505"/>
    <x v="963"/>
    <s v="German Centre Building 3rd and 5th floor Jl. Kapt. Subijanto DJ Bumi Serpong Damai"/>
    <s v="-"/>
    <s v="Data Center Sigma German Centre _x000a_ German Center Building"/>
    <s v="Sewa Tahunan"/>
    <x v="1"/>
    <x v="1056"/>
    <m/>
    <m/>
    <m/>
    <m/>
    <m/>
    <x v="495"/>
    <m/>
    <m/>
    <x v="507"/>
    <m/>
    <x v="201"/>
    <d v="2022-12-31T00:00:00"/>
    <x v="0"/>
    <m/>
    <d v="2024-09-06T00:00:00"/>
    <n v="-615"/>
    <x v="5"/>
    <x v="2"/>
    <s v="07828/SPP/008/PUSAT/ICON+/2017 | 10141/SPP/008/PUSAT/ICON+/2019 | 4500011085 | 4500012444 | 12168/SPP/008/PUSAT/ICON+/2019 | 4500013983 | 4500015480"/>
    <s v="14873/SPP/008/PUSAT/ICON+/2020"/>
    <n v="4500017489"/>
    <s v="Fajar Paramita"/>
    <s v="Edhi"/>
    <m/>
    <m/>
    <s v="B03"/>
    <s v="C34"/>
    <s v="D101"/>
    <s v="D362"/>
    <m/>
    <m/>
    <m/>
    <m/>
  </r>
  <r>
    <n v="1636"/>
    <x v="505"/>
    <x v="964"/>
    <s v="German Centre Building 3rd and 5th floor Jl. Kapt. Subijanto DJ Bumi Serpong Damai"/>
    <s v="Jl. RS. Fatmawati Raya No.9 1 5, RT.1/RW.5, Gandaria Sel., Kec. Cilandak, Kota Jakarta Selatan, Daerah Khusus Ibukota Jakarta,  Cilandak,  Jakarta Selatan,  DKI Jakarta,  Indonesia,  12430"/>
    <s v="Data Center Telkom Sigma South Tangerang, Lengkong Gudang, Serpong Sub-District, South Tangerang City, Banten, Serpong, Kota Tangerang, Banten, Indonesia, 15310"/>
    <s v="Sewa Tahunan"/>
    <x v="2"/>
    <x v="1057"/>
    <m/>
    <m/>
    <m/>
    <m/>
    <m/>
    <x v="86"/>
    <m/>
    <m/>
    <x v="5"/>
    <m/>
    <x v="980"/>
    <d v="2025-03-15T00:00:00"/>
    <x v="2"/>
    <m/>
    <d v="2024-09-06T00:00:00"/>
    <n v="190"/>
    <x v="8"/>
    <x v="3"/>
    <s v="12892/SPP/008/PUSAT/ICON+/2020 | 4500014044 | 15518/SPP/008/PUSAT/ICON+/2021 | 4500015890 | 4500018099"/>
    <s v="3228/SPP/SBU/PLNICONPLUS/2024"/>
    <n v="4500022662"/>
    <s v="Fajar Paramita"/>
    <s v="Yudhi Sukma"/>
    <m/>
    <m/>
    <m/>
    <m/>
    <s v="D49"/>
    <s v="E274"/>
    <m/>
    <m/>
    <s v="H98"/>
    <s v="Biaya Instalasi Cross Connect di TelkomsigmaRp.3.000.000"/>
  </r>
  <r>
    <n v="1637"/>
    <x v="505"/>
    <x v="602"/>
    <s v="German Centre Building 3rd and 5th floor Jl. Kapt. Subijanto DJ Bumi Serpong Damai"/>
    <s v="Data Center Graha Telkom Sigma BSD, Jl. Kapt. Subianto DJ, BSD,  -,  Kota Tangerang Selatan,  Banten,  Indonesia, "/>
    <s v="Data Center Telkomsigma, Jl. Ir. Hj Juanda Cijayanti, Sentul City, Kec. Babakan Madang, Kabupaten Bogor, Jawa Barat, Indonesia"/>
    <s v="Sewa Tahunan"/>
    <x v="2"/>
    <x v="258"/>
    <m/>
    <m/>
    <m/>
    <m/>
    <m/>
    <x v="44"/>
    <m/>
    <m/>
    <x v="16"/>
    <m/>
    <x v="981"/>
    <d v="2022-05-24T00:00:00"/>
    <x v="0"/>
    <m/>
    <d v="2024-09-06T00:00:00"/>
    <n v="-836"/>
    <x v="4"/>
    <x v="2"/>
    <m/>
    <s v="15864/SPP/008/PUSAT/ICON+/2021"/>
    <n v="4500016202"/>
    <s v="Fajar Paramita"/>
    <s v="yudi Sukma "/>
    <s v="+62 852-6603-5574"/>
    <m/>
    <m/>
    <m/>
    <m/>
    <s v="E95"/>
    <m/>
    <m/>
    <m/>
    <s v="Pelanggan tidak lanjut berlangganan "/>
  </r>
  <r>
    <n v="1638"/>
    <x v="505"/>
    <x v="602"/>
    <s v="German Centre Building 3rd and 5th floor Jl. Kapt. Subijanto DJ Bumi Serpong Damai"/>
    <s v="Data Center Telkomsigma, Jl. Ir. Hj Juanda Cijayanti, Sentul City,  Kec. Babakan Madang,  Kabupaten Bogor,  Jawa Barat,  Indonesia"/>
    <s v="Data Center Telkomsigma, Jl. Ir. Hj Juanda Cijayanti, Sentul City, Kec. Babakan Madang, Kabupaten Bogor, Jawa Barat, Indonesia"/>
    <s v="Sewa Tahunan"/>
    <x v="2"/>
    <x v="1058"/>
    <m/>
    <m/>
    <m/>
    <m/>
    <m/>
    <x v="496"/>
    <m/>
    <m/>
    <x v="17"/>
    <m/>
    <x v="241"/>
    <d v="2022-06-01T00:00:00"/>
    <x v="0"/>
    <m/>
    <d v="2024-09-06T00:00:00"/>
    <n v="-828"/>
    <x v="3"/>
    <x v="2"/>
    <s v="15980/SPP/008/PUSAT/ICON+/2021 4500016293"/>
    <m/>
    <m/>
    <s v="Fajar Paramita"/>
    <s v="yudi Sukma "/>
    <s v="+62 852-6603-5574"/>
    <m/>
    <m/>
    <m/>
    <m/>
    <s v="E99"/>
    <m/>
    <m/>
    <m/>
    <s v="1.Biaya Instalasi Cross connect DC Telkomsigma Rp.12.000.000"/>
  </r>
  <r>
    <n v="1639"/>
    <x v="505"/>
    <x v="689"/>
    <s v="German Centre Building 3rd and 5th floor Jl. Kapt. Subijanto DJ Bumi Serpong Damai"/>
    <s v="DC KPK BSD Graha TelkomSigma BSD, Lantai 5, Wing A (Gedung Sisi Barat), Bumi Serpong Damai, Jalan Kapt. Subijanto Dj, Lengkong Gudang, Kec. Serpong, Kota Tangerang Selatan, Banten"/>
    <s v="DC KPK BSD Graha TelkomSigma BSD, Lantai 5, Wing A (Gedung Sisi Barat), Bumi Serpong Damai, Jalan Kapt. Subijanto Dj, Lengkong Gudang, Kec. Serpong, Kota Tangerang Selatan, Banten"/>
    <s v="Sewa Tahunan"/>
    <x v="2"/>
    <x v="1059"/>
    <m/>
    <m/>
    <m/>
    <m/>
    <m/>
    <x v="108"/>
    <m/>
    <m/>
    <x v="10"/>
    <m/>
    <x v="982"/>
    <d v="2022-09-05T00:00:00"/>
    <x v="0"/>
    <m/>
    <d v="2024-09-06T00:00:00"/>
    <n v="-732"/>
    <x v="7"/>
    <x v="2"/>
    <s v="11474/SPP/008/PUSAT/ICON+/2019 | 4500013154 | 14160/SPP/008/PUSAT/ICON+/2020 | 4500015026"/>
    <s v="16545/SPP/008/PUSAT/ICON+/2021"/>
    <n v="4500016631"/>
    <s v="Fajar Paramita"/>
    <s v="Yudhi Sukma"/>
    <s v="+62 852-6603-5574"/>
    <m/>
    <m/>
    <s v="C170"/>
    <s v="D258"/>
    <s v="E270"/>
    <m/>
    <m/>
    <m/>
    <s v="1.Biaya sewa cross connect sebesar Rp.54.000.000/thn"/>
  </r>
  <r>
    <n v="1640"/>
    <x v="505"/>
    <x v="689"/>
    <s v="German Centre Building 3rd and 5th floor Jl. Kapt. Subijanto DJ Bumi Serpong Damai"/>
    <s v="DC KPK BSD Graha TelkomSigma BSD, Lantai 5, Wing A (Gedung Sisi Barat), Bumi Serpong Damai, Jalan Kapt. Subijanto Dj, Lengkong Gudang, Kec. Serpong, Kota Tangerang Selatan, Banten_x000a__x000a__x000a__x000a__x000a__x000a_"/>
    <s v="DC KPK BSD Graha TelkomSigma BSD, Lantai 5, Wing A (Gedung Sisi Barat), Bumi Serpong Damai, Jalan Kapt. Subijanto Dj, Lengkong Gudang, Kec. Serpong, Kota Tangerang Selatan, Banten"/>
    <s v="Sewa Tahunan"/>
    <x v="1"/>
    <x v="1059"/>
    <m/>
    <m/>
    <m/>
    <m/>
    <m/>
    <x v="497"/>
    <m/>
    <m/>
    <x v="281"/>
    <m/>
    <x v="799"/>
    <d v="2024-09-05T00:00:00"/>
    <x v="2"/>
    <m/>
    <d v="2024-09-06T00:00:00"/>
    <n v="-1"/>
    <x v="7"/>
    <x v="1"/>
    <s v="| 17398/SPP/008/PUSAT/ICON+/2021 | 4500017228  | 19739/SPP/008/PUSAT/ICON+/2022  | 4500018961"/>
    <s v="3300/SPP/SBU/PLNICONPLUS/2024"/>
    <n v="4500022985"/>
    <s v="Fajar Paramita"/>
    <s v="Yudhi Sukma"/>
    <s v="+62 852-6603-5574"/>
    <m/>
    <m/>
    <s v="C169"/>
    <s v="D255"/>
    <s v="E395"/>
    <s v="F334"/>
    <m/>
    <m/>
    <m/>
  </r>
  <r>
    <n v="1641"/>
    <x v="505"/>
    <x v="965"/>
    <s v="German Centre Building 3rd and 5th floor Jl. Kapt. Subijanto DJ Bumi Serpong Damai"/>
    <s v="Jalan Tjilik Riwut Km 89,  Cempaga Hulu,  Kabupaten Kotawaringin Timur,  Kalimantan Tengah,  Indonesia,  74354"/>
    <s v="DC Sentul Cijayanti, Kecamatan Babakan Madang, Kabupaten Bogor, Jawa Barat, Indonesia, 16810"/>
    <s v="Sewa Tahunan"/>
    <x v="2"/>
    <x v="338"/>
    <m/>
    <m/>
    <m/>
    <m/>
    <m/>
    <x v="10"/>
    <m/>
    <m/>
    <x v="17"/>
    <m/>
    <x v="983"/>
    <d v="2022-03-15T00:00:00"/>
    <x v="0"/>
    <m/>
    <d v="2024-09-06T00:00:00"/>
    <n v="-906"/>
    <x v="8"/>
    <x v="2"/>
    <s v="baru"/>
    <s v="15484/SPP/008/PUSAT/ICON+/2021"/>
    <n v="4500015925"/>
    <s v="Fajar Paramita"/>
    <s v="Edhi"/>
    <m/>
    <m/>
    <m/>
    <m/>
    <m/>
    <s v="E21"/>
    <m/>
    <m/>
    <m/>
    <s v="1.Biaya Instalasi Telkomsigma Rp. 4.000.000 | Biaya Sewa Telkomsigma Rp.24.000.000"/>
  </r>
  <r>
    <n v="1642"/>
    <x v="505"/>
    <x v="966"/>
    <s v="German Centre Building 3rd and 5th floor Jl. Kapt. Subijanto DJ Bumi Serpong Damai"/>
    <m/>
    <s v="DC Sigma Sentul Lt. 1 Jl. Ir. H Djuanda No.F7 Sentul City, Kab. Bogor, Jawa Barat"/>
    <s v="Sewa Tahunan"/>
    <x v="2"/>
    <x v="158"/>
    <m/>
    <m/>
    <m/>
    <m/>
    <m/>
    <x v="498"/>
    <m/>
    <m/>
    <x v="193"/>
    <m/>
    <x v="984"/>
    <d v="2025-06-04T00:00:00"/>
    <x v="2"/>
    <m/>
    <d v="2024-09-06T00:00:00"/>
    <n v="271"/>
    <x v="3"/>
    <x v="3"/>
    <s v="13267/SPP/008/PUSAT/ICON+/2020 | 4500014282  | 16023/SPP/008/PUSAT/ICON+/2021 | 4500016336"/>
    <s v="3142/SPP/SBU/ICONPLUS/2024"/>
    <m/>
    <s v="Fajar Paramita"/>
    <s v="Edhi"/>
    <m/>
    <m/>
    <m/>
    <m/>
    <s v="D136"/>
    <s v="E251"/>
    <m/>
    <m/>
    <m/>
    <s v="1.Biaya Port Switch Per Tahun Rp.18.000.000 | 2.Biaya Sewa UTP Per Tahun Rp.6.000.000 | 3.Biaya UTP (OTC) Rp.3.000.000 | 4.Biaya Port Switch (OTC) Rp.1.000.000"/>
  </r>
  <r>
    <n v="1643"/>
    <x v="505"/>
    <x v="967"/>
    <s v="German Centre Building 3rd and 5th floor Jl. Kapt. Subijanto DJ Bumi Serpong Damai"/>
    <s v="-"/>
    <s v="DC Sigma Sentul Lt. 1 Jl. Ir. H Djuanda No.F7 Sentul City, Kabupaten Bogor,  Sentul,  Kabupaten Bogor,  Jawa Barat,"/>
    <s v="Sewa Tahunan"/>
    <x v="1"/>
    <x v="1060"/>
    <m/>
    <m/>
    <m/>
    <m/>
    <m/>
    <x v="226"/>
    <m/>
    <m/>
    <x v="230"/>
    <m/>
    <x v="875"/>
    <d v="2023-06-16T00:00:00"/>
    <x v="0"/>
    <m/>
    <d v="2024-09-06T00:00:00"/>
    <n v="-448"/>
    <x v="3"/>
    <x v="6"/>
    <s v="baru"/>
    <s v="18928/SPP/008/PUSAT/ICON+/2022"/>
    <n v="4500018188"/>
    <s v="Fajar Paramita"/>
    <s v="Edhi"/>
    <m/>
    <m/>
    <m/>
    <m/>
    <m/>
    <m/>
    <s v="F172"/>
    <m/>
    <m/>
    <s v="1.Biaya Instalasi Collocation DC Sentul – (Sentul) Rp.25.000.000 | 2.Biaya Sewa Collocation DC Sentul– (Sentul) 1 tahun Rp.168.000.000"/>
  </r>
  <r>
    <n v="1644"/>
    <x v="505"/>
    <x v="968"/>
    <s v="German Centre Building 3rd and 5th floor Jl. Kapt. Subijanto DJ Bumi Serpong Damai"/>
    <s v="H2H, (Backhaul) DCI data Center Jl. Halmahera Blok F1 No. 1 danau indah, Kec. Cikarang Barat, bekasi_x000a_"/>
    <s v="DC Telkomsigma BSD - PT Sarana Yukti Bandhana, Jl.Pahlawan Seribu No.1, Lengkong Wetan,,  Kec. Serpong,  Kota Tangerang Selatan"/>
    <s v="Sewa Tahunan"/>
    <x v="2"/>
    <x v="1061"/>
    <m/>
    <m/>
    <m/>
    <m/>
    <m/>
    <x v="30"/>
    <m/>
    <m/>
    <x v="5"/>
    <m/>
    <x v="456"/>
    <d v="2023-04-04T00:00:00"/>
    <x v="0"/>
    <m/>
    <d v="2024-09-06T00:00:00"/>
    <n v="-521"/>
    <x v="10"/>
    <x v="6"/>
    <s v="baru"/>
    <s v="18218/SPP/008/PUSAT/ICON+/2022"/>
    <n v="4500017772"/>
    <s v="Fajar Paramita"/>
    <s v="Edhi"/>
    <m/>
    <m/>
    <m/>
    <m/>
    <m/>
    <m/>
    <s v="F85"/>
    <m/>
    <m/>
    <s v="1. Biaya Instalasi Cross Connect Data Center Telkomsigma – (Sentul)_x0009_ Rp.3.000.000_x000a_2.Biaya Sewa Cross Connect Data Center Telkomsigma – (Sentul) 1 tahun Rp.6.000.000"/>
  </r>
  <r>
    <n v="1645"/>
    <x v="505"/>
    <x v="969"/>
    <s v="German Centre Building 3rd and 5th floor Jl. Kapt. Subijanto DJ Bumi Serpong Damai"/>
    <s v="-"/>
    <s v="DC Telkomsigma Sentul Jl.Ir.H DJuanda No.F7 Sentul City, Kab Bogor, Babakan Madang 16810"/>
    <s v="Sewa Tahunan"/>
    <x v="1"/>
    <x v="1062"/>
    <m/>
    <m/>
    <m/>
    <m/>
    <m/>
    <x v="112"/>
    <m/>
    <m/>
    <x v="508"/>
    <m/>
    <x v="985"/>
    <d v="2022-04-08T00:00:00"/>
    <x v="1"/>
    <m/>
    <d v="2024-09-06T00:00:00"/>
    <n v="-882"/>
    <x v="10"/>
    <x v="2"/>
    <s v="12817/SPP/008/PUSAT/ICON+/2020 | 4500014029"/>
    <s v="15794/SPP/008/PUSAT/ICON+/2021"/>
    <n v="4500016176"/>
    <s v="Fajar Paramita"/>
    <s v="Edhi"/>
    <m/>
    <m/>
    <m/>
    <m/>
    <s v="D71"/>
    <s v="E396"/>
    <m/>
    <m/>
    <m/>
    <s v="Biaya Sewa Collocation sebesar Rp.166.600.100"/>
  </r>
  <r>
    <n v="1646"/>
    <x v="505"/>
    <x v="957"/>
    <s v="German Centre Building 3rd and 5th floor Jl. Kapt. Subijanto DJ Bumi Serpong Damai"/>
    <s v="-"/>
    <s v="DC Telkomsigma, Jl. Ir H Juanda, Kab. Bogor, Jawa Barat"/>
    <s v="Sewa Tahunan"/>
    <x v="2"/>
    <x v="179"/>
    <m/>
    <m/>
    <m/>
    <m/>
    <m/>
    <x v="4"/>
    <m/>
    <m/>
    <x v="5"/>
    <m/>
    <x v="158"/>
    <d v="2022-02-17T00:00:00"/>
    <x v="0"/>
    <m/>
    <d v="2024-09-06T00:00:00"/>
    <n v="-932"/>
    <x v="9"/>
    <x v="2"/>
    <s v="baru"/>
    <s v="15277/SPP/008/PUSAT/ICON+/2021"/>
    <n v="4500015833"/>
    <s v="Fajar Paramita"/>
    <s v="Edhi"/>
    <m/>
    <m/>
    <m/>
    <m/>
    <m/>
    <s v="E8"/>
    <m/>
    <m/>
    <m/>
    <s v="1.Biaya Sewa Cross Connect di Telkomsigma Rp.6.000.000,- | 3.Biaya Instalasi Cross Connect di Telkomsigma Rp.3.000.000"/>
  </r>
  <r>
    <n v="1647"/>
    <x v="505"/>
    <x v="602"/>
    <s v="German Centre Building 3rd and 5th floor Jl. Kapt. Subijanto DJ Bumi Serpong Damai"/>
    <s v="Data Center Graha Telkom Sigma BSD, Jl. Kapt. Subianto DJ, BSD,  -,  Kota Tangerang,  Banten,  Indonesia,  "/>
    <s v="DC Telkomsigma, Jl. Ir H Juanda, Kab. Bogor, Jawa Barat"/>
    <s v="Sewa Tahunan"/>
    <x v="2"/>
    <x v="659"/>
    <m/>
    <m/>
    <m/>
    <m/>
    <m/>
    <x v="82"/>
    <m/>
    <m/>
    <x v="16"/>
    <m/>
    <x v="607"/>
    <d v="2025-05-24T00:00:00"/>
    <x v="2"/>
    <m/>
    <d v="2024-09-06T00:00:00"/>
    <n v="260"/>
    <x v="4"/>
    <x v="3"/>
    <s v="15850/SPP/008/PUSAT/ICON+/2021 |4500016204  | 18788/SPP/008/PUSAT/ICON+/2022 | 4500019621"/>
    <s v="3335/SPP/SBU/PLNICONPLUS/2024"/>
    <m/>
    <s v="Fajar Paramita"/>
    <s v="yudi Sukma "/>
    <s v="+62 852-6603-5574"/>
    <m/>
    <m/>
    <m/>
    <m/>
    <s v="E96"/>
    <m/>
    <m/>
    <m/>
    <s v="1.Biaya Sewa Cross Connect di Telkomsigma Rp.12.000.000,- | 3.Biaya Instalasi Cross Connect di Telkomsigma Rp.6.000.000"/>
  </r>
  <r>
    <n v="1648"/>
    <x v="505"/>
    <x v="770"/>
    <s v="German Centre Building 3rd and 5th floor Jl. Kapt. Subijanto DJ Bumi Serpong Damai"/>
    <s v="Site Kideco KM 40, Desa Batu Kajang,  Kecamtan Batu Sopang,  Kabupaten Paser,  Kalimantan Timur,  Indonesia"/>
    <s v="German Centre, DC Telkom Sigma, Bumi Serpong Damai, Jalan Kapt. Subijanto Dj, Lengkong Gudang,, Kecamatan Serpong, Kota Tangerang Selatan, Banten, Indonesia, 15321"/>
    <s v="Sewa Tahunan"/>
    <x v="2"/>
    <x v="187"/>
    <m/>
    <m/>
    <m/>
    <m/>
    <m/>
    <x v="499"/>
    <m/>
    <m/>
    <x v="16"/>
    <m/>
    <x v="792"/>
    <d v="2024-07-21T00:00:00"/>
    <x v="2"/>
    <m/>
    <d v="2024-09-06T00:00:00"/>
    <n v="-47"/>
    <x v="1"/>
    <x v="1"/>
    <s v="16311/SPP/008/PUSAT/ICON+/2021 | 4500016590"/>
    <s v="3135/SPP/SBU/PLNICONPLUS/2024"/>
    <n v="4500022620"/>
    <s v="Fajar Paramita"/>
    <s v="Yudhi Sukma"/>
    <m/>
    <m/>
    <m/>
    <m/>
    <m/>
    <s v="E107"/>
    <m/>
    <m/>
    <s v="H95"/>
    <s v="1.Biaya Sewa Cross connect DC Telkomsigma Rp. 12.000.000"/>
  </r>
  <r>
    <n v="1649"/>
    <x v="505"/>
    <x v="770"/>
    <s v="German Centre Building 3rd and 5th floor Jl. Kapt. Subijanto DJ Bumi Serpong Damai"/>
    <s v="Site Kideco KM 40, Desa Batu Kajang,  Kecamtan Batu Sopang,  Kabupaten Paser,  Kalimantan Timur,  Indonesia"/>
    <s v="German Centre, DC Telkom Sigma, Bumi Serpong Damai, Jalan Kapt. Subijanto Dj, Lengkong Gudang,, Kecamatan Serpong, Kota Tangerang Selatan, Banten, Indonesia, 15321"/>
    <s v="Sewa Tahunan"/>
    <x v="2"/>
    <x v="187"/>
    <m/>
    <m/>
    <m/>
    <m/>
    <m/>
    <x v="41"/>
    <m/>
    <m/>
    <x v="79"/>
    <m/>
    <x v="184"/>
    <d v="2022-08-30T00:00:00"/>
    <x v="0"/>
    <m/>
    <d v="2024-09-06T00:00:00"/>
    <n v="-738"/>
    <x v="12"/>
    <x v="2"/>
    <s v="baru"/>
    <s v="16488/SPP/008/PUSAT/ICON+/2021"/>
    <n v="4500016647"/>
    <s v="Fajar Paramita"/>
    <s v="Edhi"/>
    <m/>
    <m/>
    <m/>
    <m/>
    <m/>
    <s v="E255"/>
    <m/>
    <m/>
    <m/>
    <s v="1.Biaya Instalasi Cross connect DC Telkomsigma Rp.27.000.000"/>
  </r>
  <r>
    <n v="1650"/>
    <x v="505"/>
    <x v="683"/>
    <s v="German Centre Building 3rd and 5th floor Jl. Kapt. Subijanto DJ Bumi Serpong Damai"/>
    <s v="-"/>
    <s v="H2H SYB, DC Sigma, BSD LT 6 Timur, Jl. Kapten Subijanto Dj, Lengkong Gudang, Serpong, Tangerang Selatan, Banten"/>
    <s v="Sewa Tahunan"/>
    <x v="2"/>
    <x v="1063"/>
    <m/>
    <m/>
    <m/>
    <m/>
    <m/>
    <x v="87"/>
    <m/>
    <m/>
    <x v="5"/>
    <m/>
    <x v="980"/>
    <d v="2025-03-15T00:00:00"/>
    <x v="2"/>
    <m/>
    <d v="2024-09-06T00:00:00"/>
    <n v="190"/>
    <x v="8"/>
    <x v="3"/>
    <s v="12893/SPP/008/PUSAT/ICON+/2020 | 4500014045 | 15550/SPP/008/PUSAT/ICON+/2021 | 4500015891 | 4500018100"/>
    <s v="3243/SPP/SBU/PLNICONPLUS/2024"/>
    <n v="4500022725"/>
    <s v="Fajar Paramita"/>
    <s v="Yudhi Sukma"/>
    <m/>
    <m/>
    <m/>
    <m/>
    <s v="D48"/>
    <s v="E89"/>
    <m/>
    <m/>
    <s v="H100"/>
    <s v="1.Biaya Instalasi Interkoneksi Telkomsigma Serpong Rp.3.000.000,- 2.Biaya Sewa Interkoneksi Telkomsigma Serpong Rp.6.000.000,-"/>
  </r>
  <r>
    <n v="1651"/>
    <x v="505"/>
    <x v="198"/>
    <s v="German Centre Building 3rd and 5th floor Jl. Kapt. Subijanto DJ Bumi Serpong Damai"/>
    <s v="-"/>
    <s v="Internet - Graha Telkom Sigma Lt. 5; Jl. Kapt. Subijanto Dj. Bumi Serpong Damai, Lengkong Gudang, Serpong, Kota Tangerang Selatan, Banten, Indonesia, 15321"/>
    <s v="Sewa Tahunan"/>
    <x v="2"/>
    <x v="1064"/>
    <m/>
    <m/>
    <m/>
    <m/>
    <m/>
    <x v="98"/>
    <m/>
    <m/>
    <x v="5"/>
    <m/>
    <x v="129"/>
    <d v="2021-10-13T00:00:00"/>
    <x v="0"/>
    <m/>
    <d v="2024-09-06T00:00:00"/>
    <n v="-1059"/>
    <x v="6"/>
    <x v="4"/>
    <s v="baru"/>
    <s v="14386/SPP/008/PUSAT/ICON+/2020"/>
    <n v="4500015135"/>
    <s v="Fajar Paramita"/>
    <s v="Edhi"/>
    <m/>
    <m/>
    <m/>
    <m/>
    <s v="D225"/>
    <m/>
    <m/>
    <m/>
    <m/>
    <s v="1.Biaya Sewa Cross Connect di Telkomsigma Rp.6.000.000,- | 3.Biaya Instalasi Cross Connect di Telkomsigma Rp.3.000.000"/>
  </r>
  <r>
    <n v="1652"/>
    <x v="505"/>
    <x v="970"/>
    <s v="German Centre Building 3rd and 5th floor Jl. Kapt. Subijanto DJ Bumi Serpong Damai"/>
    <s v="-"/>
    <s v="Jalan Raya PLN EHP Gandul Limo, Cinere, Kota Depok, Jawa Barat, Indonesia, 16514"/>
    <s v="Sewa Tahunan"/>
    <x v="2"/>
    <x v="316"/>
    <m/>
    <m/>
    <m/>
    <m/>
    <m/>
    <x v="41"/>
    <m/>
    <m/>
    <x v="5"/>
    <m/>
    <x v="291"/>
    <d v="2022-04-25T00:00:00"/>
    <x v="0"/>
    <m/>
    <d v="2024-09-06T00:00:00"/>
    <n v="-865"/>
    <x v="10"/>
    <x v="2"/>
    <s v="baru"/>
    <s v="15783/SPP/008/PUSAT/ICON+/2021"/>
    <n v="4500016102"/>
    <s v="Fajar Paramita"/>
    <s v="Edhi"/>
    <m/>
    <m/>
    <m/>
    <m/>
    <m/>
    <s v="E32"/>
    <m/>
    <m/>
    <m/>
    <s v="1.Biaya Instalasi Cross connect DC Telkomsigma Rp.6.000.000"/>
  </r>
  <r>
    <n v="1653"/>
    <x v="505"/>
    <x v="629"/>
    <s v="German Centre Building 3rd and 5th floor Jl. Kapt. Subijanto DJ Bumi Serpong Damai"/>
    <s v="-"/>
    <s v="Lengkong Gudang, Kec. Serpong, Kota Tangerang Selatan, Banten, Indonesia, 15321"/>
    <s v="Sewa Tahunan"/>
    <x v="2"/>
    <x v="109"/>
    <m/>
    <m/>
    <m/>
    <m/>
    <m/>
    <x v="76"/>
    <m/>
    <m/>
    <x v="5"/>
    <m/>
    <x v="986"/>
    <d v="2025-03-03T00:00:00"/>
    <x v="2"/>
    <m/>
    <d v="2024-09-06T00:00:00"/>
    <n v="178"/>
    <x v="8"/>
    <x v="3"/>
    <s v="12652/SPP/008/PUSAT/ICON+/2020 | 4500014025 | 15508/SPP/008/PUSAT/ICON+/2021 | 4500015887 | 4500022404"/>
    <s v="3229/SPP/SBU/PLNICONPLUS/2024"/>
    <n v="4500022727"/>
    <s v="Fajar Paramita"/>
    <s v="Yudhi Sukma"/>
    <m/>
    <m/>
    <m/>
    <m/>
    <s v="D53"/>
    <s v="E88"/>
    <m/>
    <m/>
    <s v="H97"/>
    <s v="1.Biaya Instalasi (crossconnect Telkomsigma BSD) Rp.3.000.000,- 2.Biaya Sewa (crossconnect Telkomsigma BSD) Rp.6.000.000,-"/>
  </r>
  <r>
    <n v="1654"/>
    <x v="505"/>
    <x v="971"/>
    <s v="German Centre Building 3rd and 5th floor Jl. Kapt. Subijanto DJ Bumi Serpong Damai"/>
    <s v="NNI XL GD Cyber Lt 5 Jl. Kuningan Barat No. 8, Jakarta Selatan"/>
    <s v="PT Arthatech Selaras, [007C1177L30] DC Telkomsigma Sentul Lt. 1, Cijayanti, Kab. Bogor, Jawa Barat"/>
    <s v="Sewa Tahunan"/>
    <x v="2"/>
    <x v="370"/>
    <m/>
    <m/>
    <m/>
    <m/>
    <m/>
    <x v="7"/>
    <m/>
    <m/>
    <x v="17"/>
    <m/>
    <x v="987"/>
    <d v="2022-06-25T00:00:00"/>
    <x v="0"/>
    <m/>
    <d v="2024-09-06T00:00:00"/>
    <n v="-804"/>
    <x v="3"/>
    <x v="2"/>
    <s v="13468/SPP/008/PUSAT/ICON+/2020 | 4500014447"/>
    <s v="16024/SPP/008/PUSAT/ICON+/2021"/>
    <n v="4500016337"/>
    <s v="Fajar Paramita"/>
    <s v="Edhi"/>
    <m/>
    <m/>
    <m/>
    <m/>
    <s v="D114"/>
    <s v="E250"/>
    <m/>
    <m/>
    <m/>
    <s v="Biaya sewa perbulan Rp.24.000.000"/>
  </r>
  <r>
    <n v="1655"/>
    <x v="505"/>
    <x v="972"/>
    <s v="Jl Kapt Subijanto"/>
    <s v="-"/>
    <s v="PT Kereta Commuter Indonesia, DC Telkomsigma Jl. Cijayanti, Babakan Madang, Bogor, Jawa Barat"/>
    <s v="Sewa Tahunan"/>
    <x v="2"/>
    <x v="1065"/>
    <m/>
    <m/>
    <m/>
    <m/>
    <m/>
    <x v="21"/>
    <m/>
    <m/>
    <x v="5"/>
    <m/>
    <x v="988"/>
    <d v="2021-02-16T00:00:00"/>
    <x v="0"/>
    <m/>
    <d v="2024-09-06T00:00:00"/>
    <n v="-1298"/>
    <x v="9"/>
    <x v="4"/>
    <s v="Baru"/>
    <s v="12640/SPP/008/PUSAT/ICON+/2020"/>
    <n v="4500013949"/>
    <s v="Fajar Paramita"/>
    <s v="Edhi"/>
    <m/>
    <m/>
    <m/>
    <m/>
    <s v="D24"/>
    <m/>
    <m/>
    <m/>
    <m/>
    <s v="1.Biaya Instalasi (crossconnect Telkomsigma Sentul) Rp.3.000.000,-"/>
  </r>
  <r>
    <n v="1656"/>
    <x v="505"/>
    <x v="702"/>
    <s v="German Centre Building 3rd and 5th floor Jl. Kapt. Subijanto DJ Bumi Serpong Damai"/>
    <s v="-"/>
    <s v="PT. Kliring Penjaminan Efek Indonesia, Site Mvnet German Centre, Jl. Arteri Golf, Pakulonan Barat, Serpong Utara, Lengkong Gudang, Tangerang Selatan, Banten"/>
    <s v="Sewa Tahunan"/>
    <x v="2"/>
    <x v="166"/>
    <m/>
    <m/>
    <m/>
    <m/>
    <m/>
    <x v="204"/>
    <m/>
    <m/>
    <x v="16"/>
    <m/>
    <x v="811"/>
    <d v="2025-02-02T00:00:00"/>
    <x v="2"/>
    <m/>
    <d v="2024-09-06T00:00:00"/>
    <n v="149"/>
    <x v="9"/>
    <x v="3"/>
    <s v="12572/SPP/008/PUSAT/ICON+/2020 | 4500013872 | 15240/SPP/008/PUSAT/ICON+/2021 | 4500015776 | 4500018908"/>
    <s v="3150/SPP/SBU/PLNICONPLUS/2024"/>
    <n v="4500022659"/>
    <s v="Livia Indraswati"/>
    <s v="Yudhi Sukma"/>
    <m/>
    <m/>
    <m/>
    <m/>
    <s v="D19"/>
    <s v="E84"/>
    <m/>
    <m/>
    <s v="H102"/>
    <s v="1.Biaya Instalasi TER (cross connect Telkomsigma) Rp.6.000.000,-"/>
  </r>
  <r>
    <n v="1657"/>
    <x v="505"/>
    <x v="973"/>
    <s v="German Centre Building 3rd and 5th floor Jl. Kapt. Subijanto DJ Bumi Serpong Damai"/>
    <s v="-"/>
    <s v="PT. Telkom Sigma, DC Sentul, Jl. Ir. H. Juanda No. F7, Lantai Ground, Sentul City, Kabupaten Bogor, Jawa Barat, Indonesia,"/>
    <s v="Sewa Tahunan"/>
    <x v="2"/>
    <x v="1066"/>
    <m/>
    <m/>
    <m/>
    <m/>
    <m/>
    <x v="500"/>
    <m/>
    <m/>
    <x v="35"/>
    <m/>
    <x v="465"/>
    <d v="2025-04-14T00:00:00"/>
    <x v="2"/>
    <m/>
    <d v="2024-09-06T00:00:00"/>
    <n v="220"/>
    <x v="10"/>
    <x v="3"/>
    <s v="10642/SPP/008/PUSAT/ICON+/2019 | 4500012656 | 13157/SPP/008/PUSAT/ICON+/2020 | 4500014237| 15795/SPP/008/PUSAT/ICON+/2021| 4500016175 | 18320/SPP/008/PUSAT/ICON+/2022 | 4500017853"/>
    <s v="3371/SPP/SBU/PLNICONPLUS/2024"/>
    <n v="4500023001"/>
    <s v="Livia Indraswati"/>
    <s v="Yudhi Sukma"/>
    <m/>
    <m/>
    <m/>
    <s v="C64"/>
    <s v="D120"/>
    <s v="E227"/>
    <s v="F112"/>
    <m/>
    <s v="H151"/>
    <s v="1.Biaya Sewa 1 tahun Sebesar 48.000.000"/>
  </r>
  <r>
    <n v="1658"/>
    <x v="505"/>
    <x v="973"/>
    <s v="German Centre Building 3rd and 5th floor Jl. Kapt. Subijanto DJ Bumi Serpong Damai"/>
    <s v="-"/>
    <s v="PT. Telkom Sigma, DC Sentul, Jl. Ir. H. Juanda No. F7, Lantai Ground, Sentul City, Kabupaten Bogor, Jawa Barat, Indonesia,"/>
    <s v="Sewa Tahunan"/>
    <x v="1"/>
    <x v="1067"/>
    <m/>
    <m/>
    <m/>
    <m/>
    <m/>
    <x v="22"/>
    <m/>
    <m/>
    <x v="145"/>
    <m/>
    <x v="989"/>
    <d v="2022-04-14T00:00:00"/>
    <x v="0"/>
    <m/>
    <d v="2024-09-06T00:00:00"/>
    <n v="-876"/>
    <x v="10"/>
    <x v="2"/>
    <s v="10416/SPP/008/PUSAT/ICON+/2019 | 4500012519 | 13156/SPP/008/PUSAT/ICON+/2020 | 4500014236"/>
    <s v="15577/SPP/008/PUSAT/ICON+/2021"/>
    <n v="4500016096"/>
    <s v="Fajar Paramita"/>
    <s v="Edhi"/>
    <m/>
    <m/>
    <m/>
    <s v="C39"/>
    <s v="D119"/>
    <s v="E408"/>
    <m/>
    <m/>
    <m/>
    <s v="1.Biaya Sewa 1 tahun Sebesar 120.000.000"/>
  </r>
  <r>
    <n v="1659"/>
    <x v="505"/>
    <x v="689"/>
    <s v="German Centre Building 3rd and 5th floor Jl. Kapt. Subijanto DJ Bumi Serpong Damai"/>
    <s v="DC KPK BSD Graha TelkomSigma BSD, Lantai 5, Wing A (Gedung Sisi Barat), Bumi Serpong Damai, Jalan Kapt. Subijanto Dj, Lengkong Gudang, Kec. Serpong, Kota Tangerang Selatan, Banten"/>
    <s v="PT. XL Axiata. Tbk (Inbuilding JNB 2) Building di Jl. Sumba Blok A-B MM2100 , Cibitung, Bekasi (Rak KPK), Indonesia"/>
    <s v="Sewa Tahunan"/>
    <x v="2"/>
    <x v="1059"/>
    <m/>
    <m/>
    <m/>
    <m/>
    <m/>
    <x v="112"/>
    <m/>
    <m/>
    <x v="5"/>
    <m/>
    <x v="700"/>
    <d v="2024-09-08T00:00:00"/>
    <x v="2"/>
    <m/>
    <d v="2024-09-06T00:00:00"/>
    <n v="2"/>
    <x v="7"/>
    <x v="1"/>
    <s v="11614/SPP/008/PUSAT/ICON+/2019 | 4500013247 | 14161/SPP/008/PUSAT/ICON+/2020 | 4500015027| 16548/SPP/008/PUSAT/ICON+/2021| 4500016632 | 19740/SPP/008/PUSAT/ICON+/2022 | 4500018959"/>
    <s v="3326/SPP/SBU/PLNICONPLUS/2024"/>
    <m/>
    <s v="Fajar Paramita"/>
    <s v="Yudhi Sukma"/>
    <s v="+62 852-6603-5574"/>
    <m/>
    <m/>
    <s v="C188"/>
    <s v="D257"/>
    <s v="E268"/>
    <m/>
    <m/>
    <m/>
    <s v="Biaya Revenue masuk ke SPP 3300"/>
  </r>
  <r>
    <n v="1660"/>
    <x v="505"/>
    <x v="689"/>
    <s v="German Centre Building 3rd and 5th floor Jl. Kapt. Subijanto DJ Bumi Serpong Damai"/>
    <s v="DC KPK BSD Graha TelkomSigma BSD, Lantai 5, Wing A (Gedung Sisi Barat), Bumi Serpong Damai, Jalan Kapt. Subijanto Dj, Lengkong Gudang, Kec. Serpong, Kota Tangerang Selatan, Banten"/>
    <s v="PT. XL Axiata. Tbk (Inbuilding JNB 2) Building di Jl. Sumba Blok A-B MM2100 , Cibitung, Bekasi (Rak KPK), Indonesia"/>
    <s v="Sewa Tahunan"/>
    <x v="2"/>
    <x v="1059"/>
    <m/>
    <m/>
    <m/>
    <m/>
    <m/>
    <x v="112"/>
    <m/>
    <m/>
    <x v="18"/>
    <m/>
    <x v="700"/>
    <d v="2024-09-08T00:00:00"/>
    <x v="2"/>
    <m/>
    <d v="2024-09-06T00:00:00"/>
    <n v="2"/>
    <x v="7"/>
    <x v="1"/>
    <s v="11614/SPP/008/PUSAT/ICON+/2019 | 4500013247 | 14159/SPP/008/PUSAT/ICON+/2020 | 4500013249 | 4500015024| 16547/SPP/008/PUSAT/ICON+/2021| 4500016633 | 19738/SPP/008/PUSAT/ICON+/2022 | 4500018960"/>
    <s v="3327/SPP/SBU/PLNICONPLUS/2024"/>
    <m/>
    <s v="Fajar Paramita"/>
    <s v="Yudhi Sukma"/>
    <s v="+62 852-6603-5574"/>
    <m/>
    <m/>
    <s v="C189"/>
    <s v="D256"/>
    <s v="E267"/>
    <s v="F333"/>
    <m/>
    <m/>
    <s v="Biaya Revenue masuk ke SPP 3300"/>
  </r>
  <r>
    <n v="1661"/>
    <x v="505"/>
    <x v="974"/>
    <s v="German Centre Building 3rd and 5th floor Jl. Kapt. Subijanto DJ Bumi Serpong Damai"/>
    <s v="-"/>
    <s v="Ruang Server DC BSD Lt.6 Wing Timur"/>
    <s v="Sewa Tahunan"/>
    <x v="2"/>
    <x v="526"/>
    <m/>
    <m/>
    <m/>
    <m/>
    <m/>
    <x v="501"/>
    <m/>
    <m/>
    <x v="5"/>
    <m/>
    <x v="990"/>
    <d v="2025-02-13T00:00:00"/>
    <x v="2"/>
    <m/>
    <d v="2024-09-06T00:00:00"/>
    <n v="160"/>
    <x v="9"/>
    <x v="3"/>
    <s v="17688/SPP/008/PUSAT/ICON+/2022 | 4500017502"/>
    <s v="3244/SPP/SBU/PLNICONPLUS/2024"/>
    <n v="4500023002"/>
    <s v="Livia Indraswati"/>
    <s v="Yudhi Sukma"/>
    <m/>
    <m/>
    <m/>
    <m/>
    <m/>
    <m/>
    <s v="F38"/>
    <m/>
    <s v="H99"/>
    <s v="Biaya OTC 3.000.000 | Biaya Sewa pertahun 6.000.000"/>
  </r>
  <r>
    <n v="1662"/>
    <x v="505"/>
    <x v="975"/>
    <s v="German Centre Building 3rd and 5th floor Jl. Kapt. Subijanto DJ Bumi Serpong Damai"/>
    <s v="DC Telkom Sigma, Cijayanti,,  Kec. Babakan Madang,  Kabupaten Bogor,  Jawa Barat,  Indonesia,  "/>
    <s v="Server Bank Nagari DC Telkom Sigma Sentul,  Kec. Babakan Madang,  Kabupaten Bogor,  Jawa Barat,  Indonesia, "/>
    <s v="Sewa Tahunan"/>
    <x v="2"/>
    <x v="377"/>
    <m/>
    <m/>
    <m/>
    <m/>
    <m/>
    <x v="277"/>
    <m/>
    <m/>
    <x v="5"/>
    <m/>
    <x v="471"/>
    <d v="2023-09-19T00:00:00"/>
    <x v="0"/>
    <m/>
    <d v="2024-09-06T00:00:00"/>
    <n v="-353"/>
    <x v="7"/>
    <x v="6"/>
    <s v="baru"/>
    <s v="19702/SPP/008/PUSAT/ICON+/2022"/>
    <n v="4500018745"/>
    <s v="Fajar Paramita"/>
    <s v="Edhi"/>
    <m/>
    <m/>
    <m/>
    <m/>
    <m/>
    <m/>
    <s v="F283"/>
    <m/>
    <m/>
    <s v="Biaya Intslasi 3.000.000"/>
  </r>
  <r>
    <n v="1663"/>
    <x v="505"/>
    <x v="976"/>
    <s v="German Centre Building 3rd and 5th floor Jl. Kapt. Subijanto DJ Bumi Serpong Damai"/>
    <s v="-"/>
    <s v="SIGMA Serpong Kapt. Subijanto Dj. Bumi Serpong Damai Tangerang (Lantai 5)"/>
    <s v="Sewa Tahunan"/>
    <x v="2"/>
    <x v="53"/>
    <m/>
    <m/>
    <m/>
    <m/>
    <m/>
    <x v="39"/>
    <m/>
    <m/>
    <x v="5"/>
    <m/>
    <x v="991"/>
    <d v="2024-06-29T00:00:00"/>
    <x v="1"/>
    <m/>
    <d v="2024-09-06T00:00:00"/>
    <n v="-69"/>
    <x v="3"/>
    <x v="1"/>
    <s v="11153/SPP/008/PUSAT/ICON+/2019 | 4500012976 | 13592/SPP/008/PUSAT/ICON+/2020 | 4500014656| 16146/SPP/008/PUSAT/ICON+/2021| 4500016600 | 18847/SPP/008/PUSAT/ICON+/2022 | 4500018223 "/>
    <s v="107/SPP/SBU/ICON+/2023"/>
    <n v="4500020429"/>
    <s v="Fajar Paramita"/>
    <s v="Edhi"/>
    <m/>
    <m/>
    <m/>
    <s v="C137"/>
    <s v="D200"/>
    <s v="E412"/>
    <s v="F195"/>
    <s v="G171"/>
    <m/>
    <s v="Collocation 1U OTB dan Splicing 24 Core di NER CDCI Basement Rak 0F0310"/>
  </r>
  <r>
    <n v="1664"/>
    <x v="505"/>
    <x v="977"/>
    <s v="German Centre Building 3rd and 5th floor Jl. Kapt. Subijanto DJ Bumi Serpong Damai"/>
    <s v="-"/>
    <s v="Telkom Sigma (German Centre Jalan Arteri Golf, Pakulonan Barat, Serpong Utara, Lengkong Gudang, Serpong, Kota Tangerang Selatan)"/>
    <s v="Sewa Tahunan"/>
    <x v="1"/>
    <x v="1068"/>
    <m/>
    <m/>
    <m/>
    <m/>
    <m/>
    <x v="30"/>
    <m/>
    <m/>
    <x v="122"/>
    <m/>
    <x v="156"/>
    <d v="2022-03-28T00:00:00"/>
    <x v="0"/>
    <m/>
    <d v="2024-09-06T00:00:00"/>
    <n v="-893"/>
    <x v="8"/>
    <x v="2"/>
    <s v="baru"/>
    <s v="15483/SPP/008/PUSAT/ICON+/2021"/>
    <n v="4500015915"/>
    <s v="Fajar Paramita"/>
    <s v="Edhi"/>
    <m/>
    <m/>
    <m/>
    <m/>
    <m/>
    <s v="E15"/>
    <m/>
    <m/>
    <m/>
    <s v="1.Biaya Sewa Cross Connect di Telkomsigma Rp.6.000.000,- | 3.Biaya Collocation Rp.40.000.000"/>
  </r>
  <r>
    <n v="1665"/>
    <x v="505"/>
    <x v="431"/>
    <s v="German Centre Building 3rd and 5th floor Jl. Kapt. Subijanto DJ Bumi Serpong Damai"/>
    <s v="-"/>
    <s v="Telkom sigma Bumi Serpong Damai, Jalan Kapt. Subijanto Dj, Lengkong Gudang, Kec. Serpong, Tangerang, Banten"/>
    <s v="Sewa Tahunan"/>
    <x v="2"/>
    <x v="1069"/>
    <m/>
    <m/>
    <m/>
    <m/>
    <m/>
    <x v="26"/>
    <m/>
    <m/>
    <x v="5"/>
    <m/>
    <x v="992"/>
    <d v="2024-02-06T00:00:00"/>
    <x v="2"/>
    <m/>
    <d v="2024-09-06T00:00:00"/>
    <n v="-213"/>
    <x v="9"/>
    <x v="1"/>
    <s v="12573/SPP/008/PUSAT/ICON+/2020 | 4500013871 | 4500015878 | 17831/SPP/008/PUSAT/ICON+/2022"/>
    <s v="21412/SPP/008/PUSAT/ICON+/2023"/>
    <n v="4500021994"/>
    <s v="Fajar Paramita"/>
    <s v="Edhi"/>
    <m/>
    <m/>
    <m/>
    <m/>
    <s v="D18"/>
    <s v="E190"/>
    <m/>
    <s v="G422"/>
    <m/>
    <s v="1.Biaya Sewa TER (cross connect Telkomsigma) Rp.6.000.000"/>
  </r>
  <r>
    <n v="1666"/>
    <x v="505"/>
    <x v="431"/>
    <s v="German Centre Building 3rd and 5th floor Jl. Kapt. Subijanto DJ Bumi Serpong Damai"/>
    <m/>
    <s v="Telkom sigma Bumi Serpong Damai, Jalan Kapt. Subijanto Dj, Lengkong Gudang, Kec. Serpong, Tangerang, Banten"/>
    <s v="Sewa Tahunan"/>
    <x v="2"/>
    <x v="1070"/>
    <m/>
    <m/>
    <m/>
    <m/>
    <m/>
    <x v="502"/>
    <m/>
    <m/>
    <x v="5"/>
    <m/>
    <x v="455"/>
    <d v="2023-01-09T00:00:00"/>
    <x v="0"/>
    <m/>
    <d v="2024-09-06T00:00:00"/>
    <n v="-606"/>
    <x v="11"/>
    <x v="6"/>
    <s v="12437/SPP/008/PUSAT/ICON+/2019 | 4500013730| 15321/SPP/008/PUSAT/ICON+/2021| 4500015664"/>
    <s v="15321/SPP/008/PUSAT/ICON+/2021"/>
    <n v="4500018966"/>
    <s v="Fajar Paramita"/>
    <s v="Edhi"/>
    <m/>
    <m/>
    <m/>
    <s v="C268"/>
    <m/>
    <s v="E86"/>
    <m/>
    <m/>
    <m/>
    <s v="1.Biaya Instalasi Telkomsigma Rp.3.000.000 2.Biaya Sewa Telkomsigma Rp.6.000.000"/>
  </r>
  <r>
    <n v="1667"/>
    <x v="505"/>
    <x v="922"/>
    <s v="German Centre Building 3rd and 5th floor Jl. Kapt. Subijanto DJ Bumi Serpong Damai"/>
    <m/>
    <s v="Telkom Sigma Serpong, Lengkong Gudang, Kec. Serpong, Tangerang, Banten"/>
    <s v="Sewa Tahunan"/>
    <x v="2"/>
    <x v="1071"/>
    <m/>
    <m/>
    <m/>
    <m/>
    <m/>
    <x v="503"/>
    <m/>
    <m/>
    <x v="5"/>
    <m/>
    <x v="659"/>
    <d v="2021-12-02T00:00:00"/>
    <x v="0"/>
    <m/>
    <d v="2024-09-06T00:00:00"/>
    <n v="-1009"/>
    <x v="5"/>
    <x v="4"/>
    <s v="11975/SPP/008/PUSAT/ICON+/2019 | 4500013540"/>
    <s v="14889/SPP/008/PUSAT/ICON+/2020"/>
    <n v="4500015485"/>
    <s v="Fajar Paramita"/>
    <s v="Edhi"/>
    <m/>
    <m/>
    <m/>
    <s v="C241"/>
    <s v="D388"/>
    <m/>
    <m/>
    <m/>
    <m/>
    <s v="1.Biaya Sewa Crossconnect ORI sebesar Rp.6.000.000,- 2.Biaya Instalasi Crossconnect ORI sebesar Rp.3.000.000,-"/>
  </r>
  <r>
    <n v="1668"/>
    <x v="505"/>
    <x v="922"/>
    <s v="German Centre Building 3rd and 5th floor Jl. Kapt. Subijanto DJ Bumi Serpong Damai"/>
    <m/>
    <s v="TELKOMSIGMA BSD, German Center Sigma West Wing lantai 3 Rack number : DC/R04-0069 Perangkat : SW14 HRB sigma, Tangerang, Banten"/>
    <s v="Sewa Tahunan"/>
    <x v="2"/>
    <x v="1071"/>
    <m/>
    <m/>
    <m/>
    <m/>
    <m/>
    <x v="504"/>
    <m/>
    <m/>
    <x v="16"/>
    <m/>
    <x v="993"/>
    <d v="2021-12-10T00:00:00"/>
    <x v="0"/>
    <m/>
    <d v="2024-09-06T00:00:00"/>
    <n v="-1001"/>
    <x v="5"/>
    <x v="4"/>
    <s v="12170/SPP/008/PUSAT/ICON+/2019 | 4500013631"/>
    <s v="14888/SPP/008/PUSAT/ICON+/2020"/>
    <n v="4500015494"/>
    <s v="Fajar Paramita"/>
    <s v="Edhi"/>
    <m/>
    <m/>
    <m/>
    <s v="C260"/>
    <s v="D361"/>
    <m/>
    <m/>
    <m/>
    <m/>
    <s v="1.Biaya Instalasi Xconnect Telkomsigma 2 tarikan Rp.6.000.000,- 2.Biaya Sewa Xconnect Telkomsigma 2 tarikan Rp.12.000.000,-"/>
  </r>
  <r>
    <n v="1669"/>
    <x v="505"/>
    <x v="770"/>
    <s v="German Centre Building 3rd and 5th floor Jl. Kapt. Subijanto DJ Bumi Serpong Damai"/>
    <m/>
    <s v="Telkomsigma BSD, Jl. Kapt. Subijanto Dj, Lengkong Gudang, Serpong, Tangerang, Banten"/>
    <s v="Sewa Tahunan"/>
    <x v="2"/>
    <x v="110"/>
    <m/>
    <m/>
    <m/>
    <m/>
    <m/>
    <x v="5"/>
    <m/>
    <m/>
    <x v="18"/>
    <m/>
    <x v="105"/>
    <d v="2021-03-22T00:00:00"/>
    <x v="1"/>
    <m/>
    <d v="2024-09-06T00:00:00"/>
    <n v="-1264"/>
    <x v="8"/>
    <x v="4"/>
    <s v="baru"/>
    <s v="12926/SPP/008/PUSAT/ICON+/2020"/>
    <n v="4500014093"/>
    <s v="Fajar Paramita"/>
    <s v="Edhi"/>
    <m/>
    <m/>
    <m/>
    <m/>
    <s v="D51"/>
    <m/>
    <m/>
    <m/>
    <m/>
    <s v="1.Biaya Instalasi Crossconnect FO Telkomsigma Serpong Rp.6.000.000,- 2.Biaya Sewa Crossconnect FO Telkomsigma Serpong Rp.12.000.000,-"/>
  </r>
  <r>
    <n v="1670"/>
    <x v="505"/>
    <x v="978"/>
    <s v="German Centre Building 3rd and 5th floor Jl. Kapt. Subijanto DJ Bumi Serpong Damai"/>
    <m/>
    <s v="Telkomsigma Sentul, Cijayanti, Kec. Babakan Madang, Bogor, Jawa Barat 16810"/>
    <s v="Sewa Tahunan"/>
    <x v="2"/>
    <x v="302"/>
    <m/>
    <m/>
    <m/>
    <m/>
    <m/>
    <x v="35"/>
    <m/>
    <m/>
    <x v="18"/>
    <m/>
    <x v="973"/>
    <d v="2022-09-12T00:00:00"/>
    <x v="1"/>
    <m/>
    <d v="2024-09-06T00:00:00"/>
    <n v="-725"/>
    <x v="7"/>
    <x v="2"/>
    <s v="baru"/>
    <s v="16500/SPP/008/PUSAT/ICON+/2021"/>
    <n v="4500016616"/>
    <s v="Fajar Paramita"/>
    <s v="Edhi"/>
    <m/>
    <m/>
    <m/>
    <m/>
    <m/>
    <s v="E264"/>
    <m/>
    <m/>
    <m/>
    <s v="1.Biaya Sewa Port Switch Rp.18.000.000 | Biaya Sewa UTP Rp.6.000.000 | Biaya Instalasi Port Switch Rp.1.000.000 | Biaya Instalasi UTP Rp.3.000.000"/>
  </r>
  <r>
    <n v="1671"/>
    <x v="505"/>
    <x v="979"/>
    <s v="German Centre Building 3rd and 5th floor Jl. Kapt. Subijanto DJ Bumi Serpong Damai"/>
    <m/>
    <s v="Telkomsigma, Jl.Kapten Subijanto Dj Bumi Serpong Damai - Tangerang, Serpong, Tangerang, Banten"/>
    <s v="Sewa Tahunan"/>
    <x v="2"/>
    <x v="380"/>
    <m/>
    <m/>
    <s v="Metronet"/>
    <s v="30 Mbps"/>
    <m/>
    <x v="205"/>
    <m/>
    <m/>
    <x v="5"/>
    <m/>
    <x v="664"/>
    <d v="2025-03-08T00:00:00"/>
    <x v="2"/>
    <m/>
    <d v="2024-09-06T00:00:00"/>
    <n v="183"/>
    <x v="8"/>
    <x v="3"/>
    <s v="12770/SPP/008/PUSAT/ICON+/2020 | 4500014036| 15550/SPP/008/PUSAT/ICON+/2021| 4500016256 | 18357/SPP/008/PUSAT/ICON+/2022 | 4500018102"/>
    <s v="3133/SPP/SBU/PLNICONPLUS/2024"/>
    <n v="4500022575"/>
    <s v="Fajar Paramita"/>
    <s v="Yudhi Sukma"/>
    <m/>
    <m/>
    <m/>
    <m/>
    <s v="D56"/>
    <s v="E208"/>
    <s v="F244"/>
    <m/>
    <s v="H93"/>
    <s v="1.Biaya Instalasi Crossconnect Telkomsigma Rp.3.000.000,- 2.Biaya Sewa Crossconnect Telkomsigma Rp.6.000.000"/>
  </r>
  <r>
    <n v="1672"/>
    <x v="506"/>
    <x v="980"/>
    <s v="Tempo Scan tower lantai 19"/>
    <m/>
    <s v="Tempo Scan Tower Lt. 30"/>
    <s v="Sewa Tahunan"/>
    <x v="1"/>
    <x v="1072"/>
    <m/>
    <m/>
    <m/>
    <m/>
    <m/>
    <x v="30"/>
    <m/>
    <m/>
    <x v="14"/>
    <m/>
    <x v="994"/>
    <d v="2020-09-19T00:00:00"/>
    <x v="0"/>
    <m/>
    <d v="2024-09-06T00:00:00"/>
    <n v="-1448"/>
    <x v="7"/>
    <x v="5"/>
    <s v="07515/SPP/008/PUSAT/ICON+/2017 |4500011015 | 08875/SPP/008/PUSAT/ICON+/2018 | 4500011680"/>
    <s v="11131/SPP/008/PUSAT/ICON+/2019"/>
    <n v="4500012980"/>
    <s v="Fajar Paramita"/>
    <s v="Sugeng"/>
    <m/>
    <n v="128"/>
    <s v="B158"/>
    <s v="C139"/>
    <m/>
    <m/>
    <m/>
    <m/>
    <m/>
    <s v="1.Sewa tahunan sebesar 30.000.000"/>
  </r>
  <r>
    <n v="1673"/>
    <x v="507"/>
    <x v="981"/>
    <s v="GD Tifa Lt 8 Jl.Kuningan Barat No.26"/>
    <m/>
    <s v="Gedung Tifa, Jl. Kuningan Barat 1 No. 26 RT.6/RW.1 Kuningan Barat Mampang Prapatan DKI Jakarta 12710"/>
    <s v="Sewa Tahunan"/>
    <x v="1"/>
    <x v="1073"/>
    <m/>
    <m/>
    <m/>
    <m/>
    <m/>
    <x v="60"/>
    <m/>
    <m/>
    <x v="41"/>
    <m/>
    <x v="995"/>
    <d v="2020-01-31T00:00:00"/>
    <x v="0"/>
    <m/>
    <d v="2024-09-06T00:00:00"/>
    <n v="-1680"/>
    <x v="11"/>
    <x v="5"/>
    <s v="baru"/>
    <s v="10174/SPP/008/PUSAT/ICON+/2019"/>
    <n v="4500012447"/>
    <s v="Fajar Paramita"/>
    <s v="Riri (GM) | Tintin"/>
    <s v="813-1606-2654 | 818-0819-4502"/>
    <m/>
    <m/>
    <s v="C14"/>
    <m/>
    <m/>
    <m/>
    <m/>
    <m/>
    <s v="1.Biaya Sewa Tahunan sebesar 40.000.000"/>
  </r>
  <r>
    <n v="1674"/>
    <x v="508"/>
    <x v="30"/>
    <s v="Gedung Graha Kapital 2 Lt.2_x000a_ Jl. Kemang Raya I No. 7_x000a_ Jakarta 12730"/>
    <m/>
    <s v="Wisma Bakrie CSU/Graha Kapital Lt. 1 Jl. Kemang Raya No. 4 Jakarta Selatan 12730 (Bank Mega)"/>
    <s v="Sewa Tahunan"/>
    <x v="1"/>
    <x v="143"/>
    <m/>
    <m/>
    <m/>
    <m/>
    <m/>
    <x v="231"/>
    <m/>
    <m/>
    <x v="16"/>
    <m/>
    <x v="996"/>
    <d v="2025-06-17T00:00:00"/>
    <x v="2"/>
    <m/>
    <d v="2024-09-06T00:00:00"/>
    <n v="284"/>
    <x v="3"/>
    <x v="3"/>
    <s v="4500009511 |4500010501 | 4500011603 | 08730/SPP/008/PUSAT/ICON+/2018 | 10847/SPP/008/PUSAT/ICON+/2019 | 4500012963 | 13591/SPP/008/PUSAT/ICON+/2020 | 4500014749| 15947/SPP/008/PUSAT/ICON+/2021| 4500016468 | 4500018220 | 18909/SPP/008/PUSAT/ICON+/2022 | 4500018220 | 406/SPP/SBU/ICON+/2023 | 4500020668"/>
    <s v="3421/SPP/SBU/PLNICONPLUS/2024"/>
    <n v="4500022773"/>
    <s v="Fajar Paramita"/>
    <s v="Eri Priambodo"/>
    <s v="021-7198602"/>
    <s v="B122"/>
    <s v="B120"/>
    <s v="C135"/>
    <s v="D215"/>
    <s v="E246"/>
    <s v="F238"/>
    <s v="G132"/>
    <s v="H181"/>
    <s v="1. Uang Jaminan Rp3000.000,-_x000a_ 2. Sewa Shaft Rp12.000.000,-"/>
  </r>
  <r>
    <n v="1675"/>
    <x v="72"/>
    <x v="982"/>
    <s v="Gedung Lippo Kuningan LT 17 Jakarta Selatan"/>
    <m/>
    <s v="Backhaul Data Center Visionet Gedung UPH Lantai 5 Gedung C, Curug, -, Kota Tangerang, Banten,"/>
    <s v="Sewa Tahunan"/>
    <x v="1"/>
    <x v="1074"/>
    <m/>
    <m/>
    <m/>
    <m/>
    <m/>
    <x v="505"/>
    <m/>
    <m/>
    <x v="509"/>
    <m/>
    <x v="118"/>
    <d v="2021-06-30T00:00:00"/>
    <x v="0"/>
    <m/>
    <d v="2024-09-06T00:00:00"/>
    <n v="-1164"/>
    <x v="3"/>
    <x v="4"/>
    <s v="11082/SPP/008/PUSAT/ICON+/2019 | 4500012943"/>
    <s v="13597/SPP/008/PUSAT/ICON+/2020"/>
    <n v="4500014651"/>
    <s v="Fajar Paramita"/>
    <s v="Irpan Arlis"/>
    <n v="8129185971"/>
    <m/>
    <m/>
    <s v="C91"/>
    <s v="D300"/>
    <m/>
    <m/>
    <m/>
    <m/>
    <s v="Biaya Sewa tahunan sebesar Rp.10.093.272"/>
  </r>
  <r>
    <n v="1676"/>
    <x v="509"/>
    <x v="983"/>
    <s v="Pluit Timur Blok I Selatan 2 RT.03/RW 09 Kelurahan Pluit Kecamatan Pejaringan Jakarta Utara"/>
    <m/>
    <s v="Desa Lebak Gede Kecamatan Pulo Merak Kabupaten Cilegon Propinsi Baten"/>
    <s v="Sewa Tahunan"/>
    <x v="1"/>
    <x v="67"/>
    <m/>
    <m/>
    <m/>
    <m/>
    <m/>
    <x v="506"/>
    <m/>
    <m/>
    <x v="510"/>
    <m/>
    <x v="997"/>
    <d v="2020-09-21T00:00:00"/>
    <x v="0"/>
    <m/>
    <d v="2024-09-06T00:00:00"/>
    <n v="-1446"/>
    <x v="7"/>
    <x v="5"/>
    <s v="4500009843 |_x000a_ 101301.PJ/001/PUSAT/ICON+/2016"/>
    <s v="10597/SPP/008/PUSAT/ICON+/2019"/>
    <n v="4500012663"/>
    <s v="Fajar Paramita"/>
    <s v="Putri"/>
    <s v="021-6910382"/>
    <m/>
    <m/>
    <s v="C71"/>
    <m/>
    <m/>
    <m/>
    <m/>
    <m/>
    <s v="Sewa Lahan 225 m2 Rp68.148.148/tahun"/>
  </r>
  <r>
    <n v="1677"/>
    <x v="510"/>
    <x v="547"/>
    <s v="Jl. Dr. Ide Anak Agung Gde Agung Blok 6.2 Kuningan Timur Setiabudi Jakarta Selatan 12950"/>
    <s v="MENARA PRIMA LANTAI 29, JL. LINGKAR MEGA KUNINGAN,- ,- ,- ,Indonesia ,-   "/>
    <s v="Gedung Menara Prima (rack Colocation di ruang electrical )_x000a_ Jalan Lingkar Mega Kuningan Kav. E 3.2 No. 3 &amp; 4_x000a_ Kompleks Mega Kuningan_x000a_ Jakarta Selatan"/>
    <s v="Sewa Tahunan"/>
    <x v="1"/>
    <x v="59"/>
    <m/>
    <m/>
    <m/>
    <m/>
    <m/>
    <x v="43"/>
    <m/>
    <m/>
    <x v="511"/>
    <m/>
    <x v="924"/>
    <d v="2024-12-09T00:00:00"/>
    <x v="2"/>
    <m/>
    <d v="2024-09-06T00:00:00"/>
    <n v="94"/>
    <x v="5"/>
    <x v="1"/>
    <s v="1630117/SPR/ICON+/2017 | 011819_MI_1630117_SPR | 07538/SPP/008/PUSAT/ICON+/2017 | 4500010872 | 09759/SPP/008/PUSAT/ICON+/2018 | 4500012277 | 12341/SPP/008/PUSAT/ICON+/2019 | 4500013798 | 14777/SPP/008/PUSAT/ICON+/2020 | 4500015422 | 16994 | 4500017140"/>
    <n v="2087"/>
    <n v="4500022133"/>
    <s v="Fajar Paramita"/>
    <s v="Theo"/>
    <s v="021-5794 8000 ext. 120"/>
    <n v="108"/>
    <s v="B285"/>
    <s v="D60"/>
    <m/>
    <s v="E132"/>
    <s v="E411"/>
    <s v="H22"/>
    <m/>
    <s v="-"/>
  </r>
  <r>
    <n v="1678"/>
    <x v="511"/>
    <x v="984"/>
    <s v="Jl. Blok Pandai RT.01/17 Desa Cileungsi Kecamatan Cileungsi Kabupaten Bogor"/>
    <m/>
    <s v="Desa Cileungsi Bogor"/>
    <s v="Sewa Tahunan"/>
    <x v="1"/>
    <x v="67"/>
    <m/>
    <m/>
    <m/>
    <m/>
    <m/>
    <x v="56"/>
    <m/>
    <m/>
    <x v="512"/>
    <m/>
    <x v="998"/>
    <d v="2029-03-13T00:00:00"/>
    <x v="2"/>
    <m/>
    <d v="2024-09-06T00:00:00"/>
    <n v="1649"/>
    <x v="8"/>
    <x v="9"/>
    <s v="4500007024 | 10364 | 4500012510"/>
    <s v="-"/>
    <n v="4500022408"/>
    <s v="Fajar Paramita"/>
    <s v="H. Asep Saepudin"/>
    <m/>
    <m/>
    <s v="C58"/>
    <m/>
    <m/>
    <m/>
    <m/>
    <m/>
    <s v="H103"/>
    <s v="Sewa lahan Rp100.000/meter/bulan dan biaya ijin Rp10.000.000,- (OTC)"/>
  </r>
  <r>
    <n v="1679"/>
    <x v="309"/>
    <x v="985"/>
    <s v="Jln Dwikora II 1238"/>
    <m/>
    <s v="Jl. Pangeran Jayakarta 8 Komplek Artha Center Blok I No.6 /Jl. Pangeran Jayakarta 8 Komplek Artha Center Blok I No.6, Tamansari, Pinangsia, Jakarta"/>
    <s v="Sewa Tahunan"/>
    <x v="1"/>
    <x v="1075"/>
    <m/>
    <m/>
    <m/>
    <m/>
    <m/>
    <x v="185"/>
    <m/>
    <m/>
    <x v="66"/>
    <m/>
    <x v="841"/>
    <d v="2025-03-15T00:00:00"/>
    <x v="2"/>
    <m/>
    <d v="2024-09-06T00:00:00"/>
    <n v="190"/>
    <x v="8"/>
    <x v="3"/>
    <s v="12645/SPP/008/PUSAT/ICON+/2020 | 4500013955| 15536/SPP/008/PUSAT/ICON+/2021| 4500015913 | 18281/SPP/008/PUSAT/ICON+/2022 | 4500017850"/>
    <s v="3079/SPP/SBU/PLNICONPLUS/2024"/>
    <n v="4500022592"/>
    <s v="Fajar Paramita"/>
    <m/>
    <m/>
    <m/>
    <m/>
    <m/>
    <s v="D42"/>
    <s v="E131"/>
    <s v="F129"/>
    <s v="G208"/>
    <s v="H224"/>
    <s v="1.Biaya Sewa Pertahun sebesar Rp.3.000.000,-"/>
  </r>
  <r>
    <n v="1680"/>
    <x v="289"/>
    <x v="986"/>
    <s v="Tebet Raya RT 09/05 45D"/>
    <m/>
    <s v="Graha Pertamina No 6 RT.6/RW.1, Gambir, Jakarta Pusat, DKI Jakarta, Indonesia, 10110"/>
    <s v="Sewa Tahunan"/>
    <x v="1"/>
    <x v="303"/>
    <m/>
    <m/>
    <m/>
    <m/>
    <m/>
    <x v="5"/>
    <m/>
    <m/>
    <x v="513"/>
    <m/>
    <x v="999"/>
    <d v="2024-09-08T00:00:00"/>
    <x v="2"/>
    <m/>
    <d v="2024-09-06T00:00:00"/>
    <n v="2"/>
    <x v="7"/>
    <x v="1"/>
    <s v="16627/SPP/008/PUSAT/ICON+/2021|4500016710 | 19562/SPP/008/PUSAT/ICON+/2022 | 4500018692"/>
    <s v="869/SPP/SBU/ICON+/2023_x0009_"/>
    <n v="4500021140"/>
    <s v="Fajar Paramita"/>
    <m/>
    <m/>
    <m/>
    <m/>
    <m/>
    <m/>
    <s v="E265"/>
    <s v="F300"/>
    <s v="G234"/>
    <m/>
    <s v="1.Pembayaran sewa setahun Rp.96.000.000"/>
  </r>
  <r>
    <n v="1681"/>
    <x v="289"/>
    <x v="687"/>
    <s v="Tebet Raya RT 09/05 45D"/>
    <m/>
    <s v="JL. MEDAN MERDEKA TIM., RT.6/RW.1, GAMBIR, KECAMATAN GAMBIR, KOTA JAKARTA PUSAT, DAERAH KHUSUS IBUKOTA JAKARTA 10110"/>
    <s v="Sewa Tahunan"/>
    <x v="1"/>
    <x v="744"/>
    <m/>
    <m/>
    <m/>
    <m/>
    <m/>
    <x v="133"/>
    <m/>
    <m/>
    <x v="17"/>
    <m/>
    <x v="737"/>
    <d v="2024-08-14T00:00:00"/>
    <x v="2"/>
    <m/>
    <d v="2024-09-06T00:00:00"/>
    <n v="-23"/>
    <x v="12"/>
    <x v="1"/>
    <s v="baru"/>
    <s v="1017/SPP/SBU/ICON+/2023"/>
    <n v="4500021040"/>
    <s v="Fajar Paramita"/>
    <m/>
    <m/>
    <m/>
    <m/>
    <m/>
    <m/>
    <m/>
    <m/>
    <s v="G161"/>
    <m/>
    <s v="1.Pembayaran sewa setahun Rp.24.000.000"/>
  </r>
  <r>
    <n v="1682"/>
    <x v="289"/>
    <x v="866"/>
    <s v="Tebet Raya RT 09/05 45D"/>
    <m/>
    <s v=" _x000a_PSDC Graha Pertamina, Tower Fastron Lt. 3, MMR-A, Jl. Medan Merdeka Tim., RT.6/RW.1, Gambir"/>
    <s v="Sewa Tahunan"/>
    <x v="1"/>
    <x v="1076"/>
    <m/>
    <m/>
    <m/>
    <s v="10 Gbps"/>
    <m/>
    <x v="401"/>
    <m/>
    <m/>
    <x v="282"/>
    <m/>
    <x v="695"/>
    <d v="2024-03-16T00:00:00"/>
    <x v="1"/>
    <m/>
    <d v="2024-09-06T00:00:00"/>
    <n v="-174"/>
    <x v="8"/>
    <x v="1"/>
    <s v="baru"/>
    <s v="1148/SPP/SBU/ICON+/2023"/>
    <n v="4500021163"/>
    <s v="Fajar Paramita"/>
    <m/>
    <m/>
    <m/>
    <m/>
    <m/>
    <m/>
    <m/>
    <m/>
    <s v="G186"/>
    <m/>
    <s v="1.Pembayaran sewa shaft Rp.86.400.000"/>
  </r>
  <r>
    <n v="1683"/>
    <x v="445"/>
    <x v="628"/>
    <s v="Gedung Cyber 2 Tower, Lt 33 Jl. HP Rasuna Said Blok X-5 No. 13 Kuningan Timur Setiabudi Jakarta Selatan 12950"/>
    <m/>
    <s v="BSI Danareksa Lt.9, Jl Medan Merdeka Sel No.14, Rt.11/Rw.2, Gambir, Kecamatan Gambir, Kota Jakarta Pusat, DKI Jakarta, 10110"/>
    <s v="Sewa Bulanan"/>
    <x v="0"/>
    <x v="1077"/>
    <s v="111202017988"/>
    <n v="0.995"/>
    <s v="Metronet"/>
    <s v="200 Mbps"/>
    <m/>
    <x v="215"/>
    <m/>
    <m/>
    <x v="375"/>
    <m/>
    <x v="630"/>
    <d v="2024-11-30T00:00:00"/>
    <x v="2"/>
    <m/>
    <d v="2024-09-06T00:00:00"/>
    <n v="85"/>
    <x v="2"/>
    <x v="1"/>
    <m/>
    <n v="1681"/>
    <n v="4500021535"/>
    <s v="Syifa Artianingsih"/>
    <s v="Candra Viktor"/>
    <s v="0823-6712-1323"/>
    <m/>
    <m/>
    <m/>
    <m/>
    <m/>
    <m/>
    <s v="G296"/>
    <m/>
    <s v="Biaya OTC Rp 3,000,000"/>
  </r>
  <r>
    <n v="1684"/>
    <x v="444"/>
    <x v="987"/>
    <s v="Jl Simprug Garden 1 Blok W No.11 RT.07/RW.03, Grogol Selatan, Kebayoran Lama, Jakarta Selatan, DKI Jakarta, 12220"/>
    <s v="-"/>
    <s v="Permanent Jalur- Relokasi ke PHE Tower Jl Tb Simatupang No Kav.99 Rt.1/Rw.1, Kebagusan, Ps Minggu, Kota Jakarta Selatan, DKI Jakarta, 12520"/>
    <s v="Sewa Bulanan"/>
    <x v="0"/>
    <x v="1078"/>
    <s v="111205023272/ 01000358131"/>
    <n v="0.995"/>
    <s v="IPVPN"/>
    <s v="50 Mbps"/>
    <m/>
    <x v="507"/>
    <m/>
    <m/>
    <x v="204"/>
    <m/>
    <x v="575"/>
    <d v="2024-12-21T00:00:00"/>
    <x v="2"/>
    <m/>
    <d v="2024-09-06T00:00:00"/>
    <n v="106"/>
    <x v="5"/>
    <x v="1"/>
    <m/>
    <n v="2329"/>
    <n v="4500021947"/>
    <s v="Syifa Artianingsih"/>
    <s v=" Nadya"/>
    <s v="0899-6319-035"/>
    <m/>
    <m/>
    <m/>
    <m/>
    <m/>
    <m/>
    <s v="G401"/>
    <m/>
    <s v="Biaya OTC Rp 4.000.000"/>
  </r>
  <r>
    <n v="1685"/>
    <x v="444"/>
    <x v="193"/>
    <s v="Jl Simprug Garden 1 Blok W No.11 RT.07/RW.03, Grogol Selatan, Kebayoran Lama, Jakarta Selatan, DKI Jakarta, 12220"/>
    <s v="-"/>
    <s v="Gedung Graha Mitra Lt.1, Jl Jendral Gatot Subroto Kav 21"/>
    <s v="Sewa Bulanan"/>
    <x v="0"/>
    <x v="1079"/>
    <s v="310130300670/ 04000139224"/>
    <n v="0.995"/>
    <s v="Internet Corporate"/>
    <s v="50 Mbps"/>
    <m/>
    <x v="8"/>
    <m/>
    <m/>
    <x v="135"/>
    <m/>
    <x v="1000"/>
    <d v="2024-12-01T00:00:00"/>
    <x v="2"/>
    <m/>
    <d v="2024-09-06T00:00:00"/>
    <n v="86"/>
    <x v="5"/>
    <x v="1"/>
    <m/>
    <n v="2151"/>
    <n v="4500021840"/>
    <s v="Syifa Artianingsih"/>
    <s v=" Nadya"/>
    <s v="0899-6319-035"/>
    <m/>
    <m/>
    <m/>
    <m/>
    <m/>
    <m/>
    <s v="G402"/>
    <m/>
    <s v="-"/>
  </r>
  <r>
    <n v="1686"/>
    <x v="444"/>
    <x v="193"/>
    <s v="Jl Simprug Garden 1 Blok W No.11 RT.07/RW.03, Grogol Selatan, Kebayoran Lama, Jakarta Selatan, DKI Jakarta, 12220"/>
    <s v="-"/>
    <s v="Gedung Graha Mitra Lt.1, Jl Jendral Gatot Subroto Kav 22"/>
    <s v="Sewa Bulanan"/>
    <x v="0"/>
    <x v="1080"/>
    <s v="310120201248/ 01000139233"/>
    <n v="0.995"/>
    <s v="Metronet"/>
    <s v="30 Mbps"/>
    <m/>
    <x v="5"/>
    <m/>
    <m/>
    <x v="514"/>
    <m/>
    <x v="1000"/>
    <d v="2024-12-01T00:00:00"/>
    <x v="2"/>
    <m/>
    <d v="2024-09-06T00:00:00"/>
    <n v="86"/>
    <x v="5"/>
    <x v="1"/>
    <m/>
    <n v="2151"/>
    <n v="4500021840"/>
    <s v="Syifa Artianingsih"/>
    <m/>
    <m/>
    <m/>
    <m/>
    <m/>
    <m/>
    <m/>
    <m/>
    <m/>
    <m/>
    <s v="-"/>
  </r>
  <r>
    <n v="1687"/>
    <x v="444"/>
    <x v="988"/>
    <s v="Jl Simprug Garden 1 Blok W No.11 RT.07/RW.03, Grogol Selatan, Kebayoran Lama, Jakarta Selatan, DKI Jakarta, 12220"/>
    <s v="-"/>
    <s v="Gedung PHE Tower, Jl Tb Simatupang No Kav 99, Kebagusan, Pasar Minggu, Jakarta Selatan"/>
    <s v="Sewa Bulanan"/>
    <x v="0"/>
    <x v="1081"/>
    <s v="111303010621"/>
    <n v="0.995"/>
    <s v="Internet Corporate"/>
    <s v="300 Mbps"/>
    <m/>
    <x v="508"/>
    <m/>
    <m/>
    <x v="71"/>
    <m/>
    <x v="824"/>
    <d v="2024-11-28T00:00:00"/>
    <x v="2"/>
    <m/>
    <d v="2024-09-06T00:00:00"/>
    <n v="83"/>
    <x v="2"/>
    <x v="1"/>
    <m/>
    <n v="1437"/>
    <n v="4500021342"/>
    <s v="Syifa Artianingsih"/>
    <s v=" Nadya"/>
    <s v="0899-6319-035"/>
    <m/>
    <m/>
    <m/>
    <m/>
    <m/>
    <m/>
    <s v="G403"/>
    <m/>
    <s v="Biaya OTC Rp 4.000.000"/>
  </r>
  <r>
    <n v="1688"/>
    <x v="444"/>
    <x v="988"/>
    <s v="Jl Simprug Garden 1 Blok W No.11 RT.07/RW.03, Grogol Selatan, Kebayoran Lama, Jakarta Selatan, DKI Jakarta, 12220"/>
    <s v="-"/>
    <s v="Gedung RDTX, Jl Prof Dr Satrio Kav E-IV No.6, Jl Kuningan Barat Raya No.2, Rt.5, Kuningan, Kuningan Timur, Kec Setiabudi, Jakarta Selatan, DKI Jakarta "/>
    <s v="Sewa Bulanan"/>
    <x v="0"/>
    <x v="1082"/>
    <s v="111303010622"/>
    <n v="0.995"/>
    <s v="Internet Corporate"/>
    <s v="50 Mbps"/>
    <m/>
    <x v="509"/>
    <m/>
    <m/>
    <x v="35"/>
    <m/>
    <x v="640"/>
    <d v="2024-12-13T00:00:00"/>
    <x v="2"/>
    <m/>
    <d v="2024-09-06T00:00:00"/>
    <n v="98"/>
    <x v="5"/>
    <x v="1"/>
    <m/>
    <n v="1753"/>
    <n v="4500021579"/>
    <s v="Syifa Artianingsih"/>
    <s v=" Nadya"/>
    <s v="0899-6319-035"/>
    <m/>
    <m/>
    <m/>
    <m/>
    <m/>
    <m/>
    <s v="G413"/>
    <m/>
    <s v="Biaya OTC Rp 4.000.000"/>
  </r>
  <r>
    <n v="1689"/>
    <x v="444"/>
    <x v="988"/>
    <s v="Jl Simprug Garden 1 Blok W No.11 RT.07/RW.03, Grogol Selatan, Kebayoran Lama, Jakarta Selatan, DKI Jakarta, 12220"/>
    <m/>
    <s v="Gedung RDTX, Jl Prof Dr Satrio Kav E-IV No.6, Jl Kuningan Barat Raya No.2, Rt.5, Kuningan, Kuningan Timur, Kec Setiabudi, Jakarta Selatan, DKI Jakarta "/>
    <s v="Sewa Bulanan"/>
    <x v="1"/>
    <x v="1082"/>
    <s v="111303010622"/>
    <n v="0.995"/>
    <s v="Internet Corporate"/>
    <m/>
    <m/>
    <x v="112"/>
    <m/>
    <m/>
    <x v="10"/>
    <m/>
    <x v="854"/>
    <d v="2024-11-02T00:00:00"/>
    <x v="2"/>
    <m/>
    <d v="2024-09-06T00:00:00"/>
    <n v="57"/>
    <x v="2"/>
    <x v="1"/>
    <m/>
    <n v="1753"/>
    <n v="4500021579"/>
    <s v="Fajar Paramita"/>
    <m/>
    <m/>
    <m/>
    <m/>
    <m/>
    <m/>
    <m/>
    <m/>
    <m/>
    <m/>
    <s v="Biaya Collocation"/>
  </r>
  <r>
    <n v="1690"/>
    <x v="512"/>
    <x v="989"/>
    <s v="Jl Letjend S Parman Kav.77"/>
    <s v="Wisma Barito Pacific"/>
    <s v="PT Chandra Asri Petrochemical Anyer Cilegon"/>
    <s v="Sewa Bulanan"/>
    <x v="0"/>
    <x v="1083"/>
    <s v="111202018274"/>
    <n v="0.99"/>
    <s v="Metronet"/>
    <s v="10 Mbps"/>
    <m/>
    <x v="510"/>
    <m/>
    <m/>
    <x v="10"/>
    <m/>
    <x v="945"/>
    <d v="2024-11-14T00:00:00"/>
    <x v="2"/>
    <m/>
    <d v="2024-09-06T00:00:00"/>
    <n v="69"/>
    <x v="2"/>
    <x v="1"/>
    <m/>
    <n v="1987"/>
    <n v="4500021795"/>
    <s v="Syifa Artianingsih"/>
    <s v="Ivan"/>
    <s v="0812-8324-4480"/>
    <m/>
    <m/>
    <m/>
    <m/>
    <m/>
    <m/>
    <s v="G398"/>
    <m/>
    <m/>
  </r>
  <r>
    <n v="1691"/>
    <x v="512"/>
    <x v="989"/>
    <s v="Jl Letjend S Parman Kav.77"/>
    <s v="Wisma Barito Pacific"/>
    <s v="PT Chandra Asri Petrochemical Anyer Cilegon"/>
    <s v="Sewa Bulanan"/>
    <x v="0"/>
    <x v="1084"/>
    <s v="111202018273"/>
    <n v="0.99"/>
    <s v="Metronet"/>
    <s v="30 Mbps"/>
    <m/>
    <x v="128"/>
    <m/>
    <m/>
    <x v="35"/>
    <m/>
    <x v="945"/>
    <d v="2024-11-14T00:00:00"/>
    <x v="2"/>
    <m/>
    <d v="2024-09-06T00:00:00"/>
    <n v="69"/>
    <x v="2"/>
    <x v="1"/>
    <m/>
    <n v="1987"/>
    <n v="4500021795"/>
    <s v="Syifa Artianingsih"/>
    <m/>
    <m/>
    <m/>
    <m/>
    <m/>
    <m/>
    <m/>
    <m/>
    <m/>
    <m/>
    <m/>
  </r>
  <r>
    <n v="1692"/>
    <x v="512"/>
    <x v="989"/>
    <s v="Jl Letjend S Parman Kav.77"/>
    <s v="Wisma Barito Pacific"/>
    <s v="PT Chandra Asri Petrochemical Anyer Cilegon"/>
    <s v="Sewa Bulanan"/>
    <x v="0"/>
    <x v="1085"/>
    <s v="111303011048"/>
    <n v="0.99"/>
    <s v="Metronet"/>
    <s v="150 Mbps"/>
    <m/>
    <x v="511"/>
    <m/>
    <m/>
    <x v="213"/>
    <m/>
    <x v="945"/>
    <d v="2024-11-14T00:00:00"/>
    <x v="2"/>
    <m/>
    <d v="2024-09-06T00:00:00"/>
    <n v="69"/>
    <x v="2"/>
    <x v="1"/>
    <m/>
    <n v="1987"/>
    <n v="4500021795"/>
    <s v="Syifa Artianingsih"/>
    <m/>
    <m/>
    <m/>
    <m/>
    <m/>
    <m/>
    <m/>
    <m/>
    <m/>
    <m/>
    <s v="Biaya OTC Rp 10.000.000"/>
  </r>
  <r>
    <n v="1693"/>
    <x v="462"/>
    <x v="990"/>
    <s v="Centennial Tower 26th Floor, Unit D Jl. Gatot Subroto Kav 24-25 Jakarta 12950"/>
    <s v="IDC D3 NNI Link Net"/>
    <s v="PT Samudera Logistics Service, Jl Waru Blok F2 No.5 Lippo Cikarang, Cikarang, Indonesia"/>
    <s v="Sewa Bulanan"/>
    <x v="0"/>
    <x v="1086"/>
    <s v="111303010977"/>
    <n v="0.995"/>
    <s v="Internet Corporate  "/>
    <s v="75 Mbps"/>
    <m/>
    <x v="512"/>
    <m/>
    <m/>
    <x v="515"/>
    <m/>
    <x v="702"/>
    <d v="2024-10-30T00:00:00"/>
    <x v="2"/>
    <m/>
    <d v="2024-09-06T00:00:00"/>
    <n v="54"/>
    <x v="6"/>
    <x v="1"/>
    <m/>
    <n v="1608"/>
    <n v="4500021655"/>
    <s v="Syifa Artianingsih"/>
    <s v="Bunga"/>
    <s v="0812-8990-0771"/>
    <m/>
    <m/>
    <m/>
    <m/>
    <m/>
    <m/>
    <s v="G399"/>
    <m/>
    <s v="Biaya OTC Rp 5,000,000"/>
  </r>
  <r>
    <n v="1694"/>
    <x v="513"/>
    <x v="988"/>
    <s v="Ruko Puri Sentra Niaga Blok B 40/50"/>
    <s v="-"/>
    <s v="Pulau Pabelokan PHE Offshore, Land Point Lontar CRS"/>
    <s v="Sewa Bulanan"/>
    <x v="0"/>
    <x v="1087"/>
    <s v="111303010827"/>
    <n v="0.995"/>
    <s v="Internet Corporate  "/>
    <s v="50 Mbps"/>
    <n v="30000000"/>
    <x v="8"/>
    <m/>
    <m/>
    <x v="404"/>
    <m/>
    <x v="1001"/>
    <d v="2024-11-06T00:00:00"/>
    <x v="2"/>
    <m/>
    <d v="2024-09-06T00:00:00"/>
    <n v="61"/>
    <x v="2"/>
    <x v="1"/>
    <m/>
    <n v="1551"/>
    <n v="4500021777"/>
    <s v="Syifa Artianingsih"/>
    <s v="Hendra"/>
    <s v="0811-1805-557"/>
    <m/>
    <m/>
    <m/>
    <m/>
    <m/>
    <m/>
    <s v="G400"/>
    <m/>
    <s v="Biaya OTC Rp 45.000.000"/>
  </r>
  <r>
    <n v="1695"/>
    <x v="365"/>
    <x v="991"/>
    <s v="Gandaria 8 Office Tower, Lantai 6 - Unit H Jl. Sultan Iskandar Muda, Kebayoran Lama Utara, Jakarta Selatan 12240"/>
    <s v="IDC 3D, Jl Duren Tiga Raya No.7, Rt.9/Rw.5, Duren Tiga"/>
    <s v="Gedung Prudential Center, Lt.11 Unit A B C D E, Kota Kasablanca"/>
    <s v="Sewa Bulanan"/>
    <x v="0"/>
    <x v="1088"/>
    <s v="111205024274"/>
    <s v="99,8%"/>
    <s v="IPVPN"/>
    <s v="10 Mbps"/>
    <m/>
    <x v="513"/>
    <m/>
    <m/>
    <x v="516"/>
    <m/>
    <x v="1002"/>
    <d v="2024-11-20T00:00:00"/>
    <x v="2"/>
    <m/>
    <d v="2024-09-06T00:00:00"/>
    <n v="75"/>
    <x v="2"/>
    <x v="1"/>
    <n v="4500022070"/>
    <n v="2095"/>
    <n v="4500022070"/>
    <s v="Syifa Artianingsih"/>
    <s v="Irvan"/>
    <s v="0822-9957-7830"/>
    <m/>
    <m/>
    <m/>
    <m/>
    <m/>
    <m/>
    <s v="G410"/>
    <m/>
    <m/>
  </r>
  <r>
    <n v="1696"/>
    <x v="514"/>
    <x v="992"/>
    <s v="MidPlaza 2 Lantai 8 Jl. Jend Sudirman Kav 10 -11"/>
    <s v="-"/>
    <s v="PT Autocomp System Indonesia Gd Mid Plaza 2 Lt.10. Jl Jend Sudirman Kav 10.11.Jakpus"/>
    <s v="Sewa Bulanan"/>
    <x v="0"/>
    <x v="1089"/>
    <s v="111205024322"/>
    <n v="0.998"/>
    <s v="IPVPN"/>
    <s v="20 Mbps"/>
    <m/>
    <x v="99"/>
    <m/>
    <m/>
    <x v="25"/>
    <m/>
    <x v="1003"/>
    <d v="2024-11-23T00:00:00"/>
    <x v="2"/>
    <m/>
    <d v="2024-09-06T00:00:00"/>
    <n v="78"/>
    <x v="2"/>
    <x v="1"/>
    <m/>
    <n v="2096"/>
    <n v="4500021796"/>
    <s v="Syifa Artianingsih"/>
    <s v="Rurry"/>
    <s v="0878-7311-3027"/>
    <m/>
    <m/>
    <m/>
    <m/>
    <m/>
    <m/>
    <s v="G409"/>
    <m/>
    <s v="Biaya OTC Rp 5.000.000"/>
  </r>
  <r>
    <n v="1697"/>
    <x v="495"/>
    <x v="241"/>
    <s v="Jl. Angkasa (Eks Gedung ADPEL Kemayoran Jakarta 10610"/>
    <s v="[UID JAYA - UP2D] [UP3 BANDENGAN]"/>
    <s v="GH0307"/>
    <s v="Sewa Tahunan"/>
    <x v="1"/>
    <x v="1090"/>
    <m/>
    <m/>
    <m/>
    <m/>
    <m/>
    <x v="514"/>
    <m/>
    <m/>
    <x v="517"/>
    <m/>
    <x v="1004"/>
    <d v="2024-07-14T00:00:00"/>
    <x v="2"/>
    <m/>
    <d v="2024-09-06T00:00:00"/>
    <n v="-54"/>
    <x v="1"/>
    <x v="1"/>
    <s v="Baru"/>
    <n v="2514"/>
    <n v="4500022195"/>
    <s v="Fajar Paramita"/>
    <s v="Febri"/>
    <s v="021-4207688"/>
    <m/>
    <m/>
    <m/>
    <m/>
    <m/>
    <m/>
    <m/>
    <s v="H3"/>
    <s v="Konfirmais sales "/>
  </r>
  <r>
    <n v="1698"/>
    <x v="280"/>
    <x v="993"/>
    <s v="JL.Rasuna Said Blok X5 13 Jakarta"/>
    <s v="-"/>
    <s v="NEW BACKHAUL DC TGI- NEX NEX DC NOMOR NF3-01-03:, GED._x000a_CYBER 2 -JL. H. R. RASUNA SAID NO.13, RT.7/RW.2, KUNINGAN,_x000a_KECAMATAN SETIABUDI, KOTA JAKARTA"/>
    <s v="Sewa Tahunan"/>
    <x v="2"/>
    <x v="1091"/>
    <m/>
    <m/>
    <m/>
    <m/>
    <m/>
    <x v="128"/>
    <m/>
    <m/>
    <x v="31"/>
    <m/>
    <x v="1005"/>
    <d v="2024-12-06T00:00:00"/>
    <x v="2"/>
    <m/>
    <d v="2024-09-06T00:00:00"/>
    <n v="91"/>
    <x v="5"/>
    <x v="1"/>
    <s v="baru"/>
    <n v="2236"/>
    <n v="4500021978"/>
    <s v="Fajar Paramita"/>
    <s v="Erni Monalena / Helvi Susanti"/>
    <s v="859 9322 1320 (Erni)"/>
    <m/>
    <m/>
    <m/>
    <m/>
    <m/>
    <m/>
    <s v="G364"/>
    <m/>
    <m/>
  </r>
  <r>
    <n v="1699"/>
    <x v="90"/>
    <x v="695"/>
    <s v="WTP Building Jl.Jababeka IV Blok B No.12 Cikarang"/>
    <s v="-"/>
    <s v="Genero HH, Jl. Industri Selatan 1B Blok HH No. 1-4, Kawasan Industri Jababeka 2,_x000a_Cikarang - Bekasi 17550, -, -, -, Indonesia"/>
    <s v="Sewa Tahunan"/>
    <x v="2"/>
    <x v="1092"/>
    <m/>
    <m/>
    <m/>
    <m/>
    <m/>
    <x v="33"/>
    <m/>
    <m/>
    <x v="518"/>
    <m/>
    <x v="957"/>
    <d v="2024-09-30T00:00:00"/>
    <x v="2"/>
    <m/>
    <d v="2024-09-06T00:00:00"/>
    <n v="24"/>
    <x v="7"/>
    <x v="1"/>
    <s v="baru"/>
    <n v="2239"/>
    <n v="4500022129"/>
    <s v="Fajar Paramita"/>
    <s v="anggun"/>
    <m/>
    <m/>
    <m/>
    <m/>
    <m/>
    <m/>
    <m/>
    <m/>
    <s v="H75"/>
    <m/>
  </r>
  <r>
    <n v="1700"/>
    <x v="8"/>
    <x v="994"/>
    <s v="Jalan Kuningan Barat No.8 Cyber 1nd &amp; 2 nd jakarta selatam 12710"/>
    <s v="Cyber 1 Kuningan APJII "/>
    <s v="KP. WULANGSARI RT/RW 006/003 DESA MALINGPING UTARA_x000a_KEC. MALINGPING KAB. LEBAK PROV. BANTEN "/>
    <s v="Sewa Tahunan"/>
    <x v="2"/>
    <x v="1093"/>
    <m/>
    <m/>
    <m/>
    <m/>
    <m/>
    <x v="119"/>
    <m/>
    <m/>
    <x v="18"/>
    <m/>
    <x v="1006"/>
    <d v="2024-12-27T00:00:00"/>
    <x v="2"/>
    <m/>
    <d v="2024-09-06T00:00:00"/>
    <n v="112"/>
    <x v="5"/>
    <x v="1"/>
    <s v="baru"/>
    <n v="1984"/>
    <n v="4500022131"/>
    <s v="Fajar Paramita"/>
    <s v="ira"/>
    <s v="0819-3243-0596"/>
    <m/>
    <m/>
    <m/>
    <m/>
    <m/>
    <m/>
    <m/>
    <s v="H7"/>
    <s v="OTC Rp.1.500.000"/>
  </r>
  <r>
    <n v="1701"/>
    <x v="491"/>
    <x v="923"/>
    <s v="Gedung Cyber 1 No.8"/>
    <s v="SDI DC, CYBER 1, LEVEL 3,_x000a_RACK 93, JAKARTA"/>
    <s v="PT CHINA TELECOM INDONESIA, WISMA 46 – KOTA BNI, LT_x000a_17, SUITE 1712-1713, JL JEND. SUDIRMAN KAV. 1, JAKARTA_x000a_10220"/>
    <s v="Sewa Tahunan"/>
    <x v="2"/>
    <x v="1094"/>
    <m/>
    <m/>
    <m/>
    <m/>
    <m/>
    <x v="515"/>
    <m/>
    <m/>
    <x v="18"/>
    <m/>
    <x v="829"/>
    <d v="2025-01-10T00:00:00"/>
    <x v="2"/>
    <m/>
    <d v="2024-09-06T00:00:00"/>
    <n v="126"/>
    <x v="11"/>
    <x v="3"/>
    <s v="baru"/>
    <n v="2453"/>
    <n v="4500022176"/>
    <s v="Fajar Paramita"/>
    <m/>
    <m/>
    <m/>
    <m/>
    <m/>
    <m/>
    <m/>
    <m/>
    <m/>
    <s v="H6"/>
    <m/>
  </r>
  <r>
    <n v="1702"/>
    <x v="515"/>
    <x v="995"/>
    <s v="Lahan Berikat Nusantara SBU Lahan Tanjung Proik Marunda"/>
    <s v="-"/>
    <s v="MARUNDA JETTY, JL. MARUNDA 1 NO.5, RT.1/RW.7, CILINCING, KEC. CILINCING, JKT UTARA, DAERAH KHUSUS IBUKOTA_x000a_JAKARTA"/>
    <s v="Sewa Tahunan"/>
    <x v="1"/>
    <x v="1095"/>
    <m/>
    <m/>
    <m/>
    <m/>
    <m/>
    <x v="516"/>
    <m/>
    <m/>
    <x v="519"/>
    <m/>
    <x v="1007"/>
    <d v="2024-07-21T00:00:00"/>
    <x v="2"/>
    <m/>
    <d v="2024-09-06T00:00:00"/>
    <n v="-47"/>
    <x v="1"/>
    <x v="1"/>
    <s v="baru"/>
    <n v="2330"/>
    <n v="4500022106"/>
    <s v="Fajar Paramita"/>
    <s v="Mulyana "/>
    <m/>
    <m/>
    <m/>
    <m/>
    <m/>
    <m/>
    <m/>
    <s v="G372"/>
    <m/>
    <m/>
  </r>
  <r>
    <n v="1703"/>
    <x v="90"/>
    <x v="424"/>
    <s v="WTP Building Jl.Jababeka IV Blok B No.12 Cikarang"/>
    <s v="-"/>
    <s v="PT Sika Indonesia Cikarang, Jl.Jababeka V Blok I/1 Cikarang_x000a_Industrial, Estate Bekasi 17530 Indonesia, Bekasi , Jawa_x000a_Barat"/>
    <s v="Sewa Tahunan"/>
    <x v="2"/>
    <x v="1096"/>
    <m/>
    <m/>
    <m/>
    <m/>
    <m/>
    <x v="517"/>
    <m/>
    <m/>
    <x v="520"/>
    <m/>
    <x v="684"/>
    <d v="2024-09-30T00:00:00"/>
    <x v="2"/>
    <m/>
    <d v="2024-09-06T00:00:00"/>
    <n v="24"/>
    <x v="7"/>
    <x v="1"/>
    <s v="baru"/>
    <n v="1431"/>
    <n v="45000217732"/>
    <s v="Fajar Paramita"/>
    <s v="anggun"/>
    <m/>
    <m/>
    <m/>
    <m/>
    <m/>
    <m/>
    <m/>
    <s v="G304"/>
    <m/>
    <m/>
  </r>
  <r>
    <n v="1704"/>
    <x v="90"/>
    <x v="717"/>
    <s v="WTP Building Jl.Jababeka IV Blok B No.12 Cikarang"/>
    <s v="-"/>
    <s v="PT. RUDOLF CHEMICALS INDONESIA JABABEKA 1, KAV.K2FGH,_x000a_WANGUNHARJA, CIKARANG UTARA, BEKASI REGENCY, WEST JAVA_x000a_17530"/>
    <s v="Sewa Tahunan"/>
    <x v="2"/>
    <x v="1097"/>
    <m/>
    <m/>
    <m/>
    <m/>
    <m/>
    <x v="36"/>
    <m/>
    <m/>
    <x v="521"/>
    <m/>
    <x v="1008"/>
    <d v="2024-09-30T00:00:00"/>
    <x v="2"/>
    <m/>
    <d v="2024-09-06T00:00:00"/>
    <n v="24"/>
    <x v="7"/>
    <x v="1"/>
    <s v="baru"/>
    <n v="1756"/>
    <n v="4500022095"/>
    <s v="Fajar Paramita"/>
    <s v="anggun"/>
    <m/>
    <m/>
    <m/>
    <m/>
    <m/>
    <m/>
    <m/>
    <s v="G305"/>
    <m/>
    <m/>
  </r>
  <r>
    <n v="1705"/>
    <x v="90"/>
    <x v="996"/>
    <s v="WTP Building Jl.Jababeka IV Blok B No.12 Cikarang"/>
    <s v="-"/>
    <s v="CIKARANG DRY PORT - Jl. Dry Port Raya, Tanjungsari, Kec. Cikarang_x000a_Utara, Kabupaten Bekasi, Jawa Barat 17550"/>
    <s v="Sewa Tahunan"/>
    <x v="2"/>
    <x v="1098"/>
    <m/>
    <m/>
    <m/>
    <m/>
    <m/>
    <x v="518"/>
    <m/>
    <m/>
    <x v="522"/>
    <m/>
    <x v="918"/>
    <d v="2024-09-30T00:00:00"/>
    <x v="2"/>
    <m/>
    <d v="2024-09-06T00:00:00"/>
    <n v="24"/>
    <x v="7"/>
    <x v="1"/>
    <s v="baru"/>
    <n v="1872"/>
    <n v="4500022130"/>
    <s v="Fajar Paramita"/>
    <s v="anggun"/>
    <m/>
    <m/>
    <m/>
    <m/>
    <m/>
    <m/>
    <m/>
    <s v="G367"/>
    <m/>
    <m/>
  </r>
  <r>
    <n v="1706"/>
    <x v="90"/>
    <x v="28"/>
    <s v="WTP Building Jl.Jababeka IV Blok B No.12 Cikarang"/>
    <s v="-"/>
    <s v="PT. SUMBER CIPTA MULTINIAGA - (RELOKASI ALAMAT DSO CIKARANG) JL. INDUSTRI UTAMA, KAWASAN INDUSTRI JABABEKA II"/>
    <s v="Sewa Tahunan"/>
    <x v="2"/>
    <x v="1099"/>
    <m/>
    <m/>
    <m/>
    <m/>
    <m/>
    <x v="281"/>
    <m/>
    <m/>
    <x v="523"/>
    <m/>
    <x v="626"/>
    <d v="2023-09-30T00:00:00"/>
    <x v="0"/>
    <m/>
    <d v="2024-09-06T00:00:00"/>
    <n v="-342"/>
    <x v="7"/>
    <x v="6"/>
    <s v="baru"/>
    <n v="1288"/>
    <n v="4500021284"/>
    <s v="Fajar Paramita"/>
    <s v="anggun"/>
    <m/>
    <m/>
    <m/>
    <m/>
    <m/>
    <m/>
    <m/>
    <s v="G265"/>
    <m/>
    <m/>
  </r>
  <r>
    <n v="1707"/>
    <x v="363"/>
    <x v="369"/>
    <s v="ITC Cempaka Mas Mega Grosir Lt. 5 Jl. Letjen Suprapto kav. 1 Jakarta 10640"/>
    <m/>
    <m/>
    <s v="Sewa Tahunan"/>
    <x v="1"/>
    <x v="1089"/>
    <m/>
    <m/>
    <m/>
    <m/>
    <m/>
    <x v="112"/>
    <m/>
    <m/>
    <x v="41"/>
    <m/>
    <x v="853"/>
    <d v="2024-08-26T00:00:00"/>
    <x v="2"/>
    <m/>
    <d v="2024-09-06T00:00:00"/>
    <n v="-11"/>
    <x v="12"/>
    <x v="1"/>
    <s v="baru"/>
    <n v="2460"/>
    <n v="4500022149"/>
    <s v="Fajar Paramita"/>
    <m/>
    <m/>
    <m/>
    <m/>
    <m/>
    <m/>
    <m/>
    <m/>
    <m/>
    <m/>
    <m/>
  </r>
  <r>
    <n v="1708"/>
    <x v="336"/>
    <x v="997"/>
    <s v="Gedung Pusat Komputer dan Elektronik Lt. Basement Jl. Mangga Dua Raya Jakarta 10730"/>
    <s v="-"/>
    <s v="PLN DISJAYA - [UP3 BANDENGAN] GH0226 "/>
    <s v="Sewa Tahunan"/>
    <x v="1"/>
    <x v="1100"/>
    <m/>
    <m/>
    <m/>
    <m/>
    <m/>
    <x v="514"/>
    <m/>
    <m/>
    <x v="29"/>
    <m/>
    <x v="693"/>
    <d v="2025-01-31T00:00:00"/>
    <x v="2"/>
    <m/>
    <d v="2024-09-06T00:00:00"/>
    <n v="147"/>
    <x v="11"/>
    <x v="3"/>
    <s v="baru"/>
    <n v="1759"/>
    <n v="4500021644"/>
    <s v="Fajar Paramita"/>
    <s v="Fika Ririn"/>
    <s v="021-6129329-30-31"/>
    <m/>
    <m/>
    <m/>
    <m/>
    <m/>
    <m/>
    <m/>
    <s v="H32"/>
    <m/>
  </r>
  <r>
    <n v="1709"/>
    <x v="393"/>
    <x v="62"/>
    <s v="Gedung menara Selatan Lt.9 Jl. Jend. Gatot Subroto No. 38 Jakarta 12712"/>
    <m/>
    <s v="Lantai Basement 1 ke Lantai 20 Menara Selatan (Link Backup Ruang Direksi)"/>
    <s v="Sewa Tahunan"/>
    <x v="1"/>
    <x v="1101"/>
    <m/>
    <m/>
    <m/>
    <m/>
    <m/>
    <x v="41"/>
    <m/>
    <m/>
    <x v="51"/>
    <m/>
    <x v="1009"/>
    <d v="2025-02-24T00:00:00"/>
    <x v="2"/>
    <m/>
    <d v="2024-09-06T00:00:00"/>
    <n v="171"/>
    <x v="9"/>
    <x v="3"/>
    <m/>
    <n v="2901"/>
    <n v="4500022368"/>
    <s v="Fajar Paramita"/>
    <s v="Puty"/>
    <s v="021-5279317_x000a_ 021-52961504_x000a_ 021-52961511"/>
    <m/>
    <m/>
    <m/>
    <m/>
    <m/>
    <m/>
    <m/>
    <s v="H76"/>
    <m/>
  </r>
  <r>
    <n v="1710"/>
    <x v="416"/>
    <x v="998"/>
    <s v="Wisma 46 Kota BNI Lt. 5, Jl. Jend. Sudirman, Tanah Abang, Kota Jak Pusat, Daerah Khusus Ibukota Jak 10250, Indonesia"/>
    <m/>
    <s v="-"/>
    <s v="Sewa Tahunan"/>
    <x v="1"/>
    <x v="57"/>
    <m/>
    <m/>
    <m/>
    <m/>
    <m/>
    <x v="41"/>
    <m/>
    <m/>
    <x v="97"/>
    <m/>
    <x v="969"/>
    <d v="2024-02-04T00:00:00"/>
    <x v="2"/>
    <m/>
    <d v="2024-09-06T00:00:00"/>
    <n v="-215"/>
    <x v="9"/>
    <x v="1"/>
    <s v="baru"/>
    <n v="2626"/>
    <n v="4500022238"/>
    <s v="Fajar Paramita"/>
    <s v="Gite / Iffa (Finance"/>
    <s v="0856-1160-826 / 0856-8737-200"/>
    <m/>
    <m/>
    <m/>
    <m/>
    <m/>
    <m/>
    <m/>
    <s v="H53"/>
    <m/>
  </r>
  <r>
    <n v="1711"/>
    <x v="505"/>
    <x v="999"/>
    <s v="German Centre Building 3rd and 5th floor Jl. Kapt. Subijanto DJ Bumi Serpong Damai"/>
    <m/>
    <s v="GERMAN CENTER LANTAI 3 TIMUR DATA CENTER TELKOM SIGMA_x000a_DJ, BUMI SERPONG DAMAI, JALAN KAPTEN SUBIJANTO,_x000a_LENGKONG GUDANG, KEC. SERPONG, KOTA TANGERANG_x000a_SELATAN BANTEN"/>
    <s v="Sewa Tahunan"/>
    <x v="2"/>
    <x v="1102"/>
    <m/>
    <m/>
    <m/>
    <m/>
    <m/>
    <x v="489"/>
    <m/>
    <m/>
    <x v="5"/>
    <m/>
    <x v="684"/>
    <d v="2024-11-07T00:00:00"/>
    <x v="2"/>
    <m/>
    <d v="2024-09-06T00:00:00"/>
    <n v="62"/>
    <x v="2"/>
    <x v="1"/>
    <s v="baru"/>
    <n v="1848"/>
    <n v="4500022294"/>
    <s v="Fajar Paramita"/>
    <s v="Edhi"/>
    <m/>
    <m/>
    <m/>
    <m/>
    <m/>
    <m/>
    <m/>
    <s v="G119"/>
    <m/>
    <m/>
  </r>
  <r>
    <n v="1712"/>
    <x v="71"/>
    <x v="1000"/>
    <s v="Jalan Kuningan Barat No.8 Cyber 1nd &amp; 2 nd jakarta selatam 12710"/>
    <s v="-"/>
    <s v="Gedung Cyber. Joint All Customer ICONNET (Kebutuhan Upgrade PNI META 2X100)"/>
    <s v="Sewa Tahunan"/>
    <x v="2"/>
    <x v="57"/>
    <m/>
    <m/>
    <m/>
    <m/>
    <m/>
    <x v="519"/>
    <m/>
    <m/>
    <x v="10"/>
    <m/>
    <x v="969"/>
    <d v="2025-02-04T00:00:00"/>
    <x v="2"/>
    <m/>
    <d v="2024-09-06T00:00:00"/>
    <n v="151"/>
    <x v="9"/>
    <x v="3"/>
    <s v="baru"/>
    <n v="2627"/>
    <n v="4500022329"/>
    <s v="Fajar Paramita"/>
    <s v="ira"/>
    <s v="0819-3243-0596"/>
    <m/>
    <m/>
    <m/>
    <m/>
    <m/>
    <m/>
    <m/>
    <s v="H52"/>
    <s v="-"/>
  </r>
  <r>
    <n v="1713"/>
    <x v="505"/>
    <x v="1001"/>
    <s v="German Centre Building 3rd and 5th floor Jl. Kapt. Subijanto DJ Bumi Serpong Damai"/>
    <m/>
    <s v="DC Sentul, Telkomsigma Sentul, Cijayanti,  Babakan Madang,  Kabupaten Bogor,  Jawa Barat,  Indonesia,  16810"/>
    <s v="Sewa Tahunan"/>
    <x v="2"/>
    <x v="1103"/>
    <m/>
    <m/>
    <m/>
    <m/>
    <m/>
    <x v="520"/>
    <m/>
    <m/>
    <x v="163"/>
    <m/>
    <x v="977"/>
    <d v="2024-01-22T00:00:00"/>
    <x v="0"/>
    <m/>
    <d v="2024-09-06T00:00:00"/>
    <n v="-228"/>
    <x v="11"/>
    <x v="1"/>
    <s v="baru"/>
    <n v="21129"/>
    <n v="4500020010"/>
    <s v="Fajar Paramita"/>
    <s v="Edhi"/>
    <m/>
    <m/>
    <m/>
    <m/>
    <m/>
    <m/>
    <m/>
    <m/>
    <m/>
    <m/>
  </r>
  <r>
    <n v="1714"/>
    <x v="416"/>
    <x v="948"/>
    <s v="Wisma 46 Kota BNI Lt. 5, Jl. Jend. Sudirman, Tanah Abang, Kota Jak Pusat, Daerah Khusus Ibukota Jak 10250, Indonesia"/>
    <m/>
    <s v="Landmark Pluit, B9, LT. 10, Jalan Pluit Selatan Raya No.2, RT. 4, RW. 10, Pluit Penjaringan"/>
    <s v="Sewa Tahunan"/>
    <x v="2"/>
    <x v="1104"/>
    <m/>
    <m/>
    <m/>
    <m/>
    <m/>
    <x v="35"/>
    <m/>
    <m/>
    <x v="454"/>
    <m/>
    <x v="968"/>
    <d v="2024-07-06T00:00:00"/>
    <x v="1"/>
    <m/>
    <d v="2024-09-06T00:00:00"/>
    <n v="-62"/>
    <x v="1"/>
    <x v="1"/>
    <s v="baru"/>
    <n v="334"/>
    <n v="4500020640"/>
    <s v="Fajar Paramita"/>
    <s v="Gite / Iffa (Finance"/>
    <s v="0856-1160-826 / 0856-8737-200"/>
    <m/>
    <m/>
    <m/>
    <m/>
    <m/>
    <m/>
    <s v="H116"/>
    <m/>
    <m/>
  </r>
  <r>
    <n v="1715"/>
    <x v="516"/>
    <x v="424"/>
    <s v="Rasuna Office Park 3 Lt.4 Blok UO-11, Rasuna Epicentrum "/>
    <s v="Backhaul IDC D3"/>
    <s v="GEDUNG TEKNIS KUNINGAN (EPICENTRUM MALL PTSP), JL. HR RASUNA SAID KAV C / 21, KUNINGAN, JAKARTA SELATAN, DKI JAKARTA"/>
    <s v="Sewa Bulanan"/>
    <x v="0"/>
    <x v="1105"/>
    <s v="01000192946"/>
    <s v="99,50%"/>
    <s v="Metronet"/>
    <s v="50 Mbps"/>
    <m/>
    <x v="521"/>
    <m/>
    <m/>
    <x v="524"/>
    <m/>
    <x v="587"/>
    <d v="2024-12-31T00:00:00"/>
    <x v="2"/>
    <m/>
    <d v="2024-09-06T00:00:00"/>
    <n v="116"/>
    <x v="5"/>
    <x v="1"/>
    <s v="Baru"/>
    <s v="2462/SPP/SBU/ICON+/2024"/>
    <n v="4500022210"/>
    <s v="Syifa Artianingsih"/>
    <s v="Andi"/>
    <s v="0878-7879-9501"/>
    <m/>
    <m/>
    <m/>
    <m/>
    <m/>
    <m/>
    <m/>
    <n v="50"/>
    <m/>
  </r>
  <r>
    <n v="1716"/>
    <x v="460"/>
    <x v="958"/>
    <s v="Gedung Graha Dirgantara, Jl Raya Protokol Halim Perdana Kusuma No.8"/>
    <s v="WISMA ASIA II JL. BRIGJEN KATAMSO NO.1, RT.4/RW.9, KOTA BAMBU SEL., KEC. PALMERAH, KOTA JAKARTA BARAT, DAERAH KHUSUS IBUKOTA JAKARTA 11420"/>
    <s v="BCAF BEKASI JL. HARAPAN INDAH BOULEVARD-KOMPLEK MEGA OFFICE PARK BLOK P5 NO. 08, MEDAN SATRIA, KECAMATAN MEDAN SATRIA, KOTA BEKASI JAWA BARAT, 17132"/>
    <s v="Sewa Bulanan"/>
    <x v="0"/>
    <x v="1106"/>
    <s v="111303011435"/>
    <s v="99,50%"/>
    <s v="Internet Corporate"/>
    <s v="5 Mbps"/>
    <m/>
    <x v="35"/>
    <m/>
    <m/>
    <x v="17"/>
    <m/>
    <x v="587"/>
    <d v="2024-12-31T00:00:00"/>
    <x v="2"/>
    <m/>
    <d v="2024-09-06T00:00:00"/>
    <n v="116"/>
    <x v="5"/>
    <x v="1"/>
    <s v="Baru"/>
    <n v="2215"/>
    <n v="4500022080"/>
    <s v="Syifa Artianingsih"/>
    <s v="Bayu"/>
    <s v="0857-1160-7721"/>
    <m/>
    <m/>
    <m/>
    <m/>
    <m/>
    <m/>
    <m/>
    <s v="H20"/>
    <m/>
  </r>
  <r>
    <n v="1717"/>
    <x v="517"/>
    <x v="958"/>
    <s v="Gedung Graha Dirgantara, Jl Raya Protokol Halim Perdana Kusuma No.8"/>
    <s v="WISMA ASIA II JL. BRIGJEN KATAMSO NO.1, RT.4/RW.9, KOTA BAMBU SEL., KEC. PALMERAH, KOTA JAKARTA BARAT, DAERAH KHUSUS IBUKOTA JAKARTA 11420"/>
    <s v="BCAF BEKASI JL. HARAPAN INDAH BOULEVARD-KOMPLEK MEGA OFFICE PARK BLOK P5 NO. 08, MEDAN SATRIA, KECAMATAN MEDAN SATRIA, KOTA BEKASI JAWA BARAT, 17132"/>
    <s v="Sewa Bulanan"/>
    <x v="0"/>
    <x v="1107"/>
    <s v="111202018568"/>
    <s v="99,50%"/>
    <s v="Metronet"/>
    <s v="6 Mbps"/>
    <m/>
    <x v="349"/>
    <m/>
    <m/>
    <x v="525"/>
    <m/>
    <x v="587"/>
    <d v="2024-12-31T00:00:00"/>
    <x v="2"/>
    <m/>
    <d v="2024-09-06T00:00:00"/>
    <n v="116"/>
    <x v="5"/>
    <x v="1"/>
    <s v="Baru"/>
    <n v="2215"/>
    <n v="4500022080"/>
    <s v="Syifa Artianingsih"/>
    <m/>
    <m/>
    <m/>
    <m/>
    <m/>
    <m/>
    <m/>
    <m/>
    <m/>
    <m/>
    <m/>
  </r>
  <r>
    <n v="1718"/>
    <x v="480"/>
    <x v="1002"/>
    <s v="Graha Trans Hybrid Margonda raya Jl. Salak No. 520 Ruko B-C Depok Jawa Barat"/>
    <m/>
    <s v="BNI KCP PONDOK GEDE, KOMP, PLAZA PD. GEDE, JL. RAYA JATIWARINGIN BLK. H NO.1-2, RT.007/RW.009, JATICEMPAKA, KEC. PD. GEDE, KOTA BEKASI, JAWA BARAT, INDONESIA, 17411"/>
    <s v="Sewa Bulanan"/>
    <x v="0"/>
    <x v="1108"/>
    <s v="111401005678"/>
    <n v="0.995"/>
    <s v="Internet Broadband"/>
    <s v="30 Mbps"/>
    <m/>
    <x v="441"/>
    <m/>
    <m/>
    <x v="526"/>
    <m/>
    <x v="588"/>
    <d v="2025-01-11T00:00:00"/>
    <x v="2"/>
    <m/>
    <d v="2024-09-06T00:00:00"/>
    <n v="127"/>
    <x v="11"/>
    <x v="3"/>
    <s v="Baru"/>
    <n v="2352"/>
    <n v="4500022038"/>
    <s v="Syifa Artianingsih"/>
    <s v="Pak Adi"/>
    <s v="0812-2090-9395"/>
    <m/>
    <m/>
    <m/>
    <m/>
    <m/>
    <m/>
    <m/>
    <s v="H37"/>
    <s v="Biaya OTC Rp 225.225"/>
  </r>
  <r>
    <n v="1719"/>
    <x v="518"/>
    <x v="1003"/>
    <s v="Radio dalam Raya RT 003 RW 001 No 48 Kebayoran Baru "/>
    <s v="-"/>
    <s v="(Point Coffee Gedhe Km 42.5) Rest Area Km. 42, Tol Jakarta -_x000a_Cilegon No.5, Pabuaran, Kec. Jayanti, Kabupaten Tangerang,_x000a_Banten"/>
    <s v="Sewa Tahunan"/>
    <x v="1"/>
    <x v="1109"/>
    <m/>
    <m/>
    <m/>
    <m/>
    <m/>
    <x v="522"/>
    <m/>
    <m/>
    <x v="51"/>
    <m/>
    <x v="595"/>
    <d v="2025-02-27T00:00:00"/>
    <x v="2"/>
    <m/>
    <d v="2024-09-06T00:00:00"/>
    <n v="174"/>
    <x v="9"/>
    <x v="3"/>
    <s v="Baru"/>
    <n v="2653"/>
    <n v="4500022292"/>
    <s v="Fajar Paramita"/>
    <s v="Chairul "/>
    <m/>
    <m/>
    <m/>
    <m/>
    <m/>
    <m/>
    <m/>
    <m/>
    <s v="G5"/>
    <m/>
  </r>
  <r>
    <n v="1720"/>
    <x v="519"/>
    <x v="1004"/>
    <s v="Kalimantan CA2 1&amp;2 Gandasari Kabupaten Bekasi 17842"/>
    <s v="-"/>
    <s v="Bekasi Fajar (Befa Square) Bekasi "/>
    <s v="Sewa Tahunan"/>
    <x v="1"/>
    <x v="1110"/>
    <m/>
    <m/>
    <m/>
    <m/>
    <m/>
    <x v="523"/>
    <m/>
    <m/>
    <x v="161"/>
    <m/>
    <x v="672"/>
    <d v="2025-03-14T00:00:00"/>
    <x v="2"/>
    <m/>
    <d v="2024-09-06T00:00:00"/>
    <n v="189"/>
    <x v="8"/>
    <x v="3"/>
    <s v="baru "/>
    <n v="2184"/>
    <n v="4500022310"/>
    <s v="Fajar Paramita"/>
    <m/>
    <m/>
    <m/>
    <m/>
    <m/>
    <m/>
    <m/>
    <m/>
    <m/>
    <s v="G80"/>
    <s v="Biaya OTC Rp.1.500.000"/>
  </r>
  <r>
    <n v="1721"/>
    <x v="520"/>
    <x v="1005"/>
    <s v="Jl.wibawa Mukti II no.3D, Jatiasih - kota Bekasi"/>
    <m/>
    <s v="JL. BANGKA RAYA, RT.11/RW.7, PELA MAMPANG, KEC. MAMPANG PRPT., KOTA JAKARTA SELATAN, DAERAH KHUSUS IBUKOTA JAKARTA 12720"/>
    <s v="Sewa Bulanan"/>
    <x v="0"/>
    <x v="1111"/>
    <s v="231303000918"/>
    <s v="99,5%"/>
    <s v="Interner Corporate"/>
    <s v="50 Mbps"/>
    <m/>
    <x v="524"/>
    <m/>
    <m/>
    <x v="133"/>
    <m/>
    <x v="1010"/>
    <d v="2025-02-16T00:00:00"/>
    <x v="2"/>
    <m/>
    <d v="2024-09-06T00:00:00"/>
    <n v="163"/>
    <x v="9"/>
    <x v="3"/>
    <s v="Baru"/>
    <n v="2218"/>
    <n v="4500021946"/>
    <s v="Syifa Artianingsih"/>
    <s v="Lutfia"/>
    <s v="0812-8230-2775"/>
    <m/>
    <m/>
    <m/>
    <m/>
    <m/>
    <m/>
    <m/>
    <s v="H122"/>
    <s v="Biaya OTC Rp 5.000.000"/>
  </r>
  <r>
    <n v="1722"/>
    <x v="519"/>
    <x v="1006"/>
    <s v="Kalimantan CA2 1&amp;2 Gandasari Kabupaten Bekasi 17842"/>
    <s v="-"/>
    <s v="Bekasi Fajar (Befa Square) Bekasi "/>
    <s v="Sewa Tahunan"/>
    <x v="1"/>
    <x v="1112"/>
    <m/>
    <m/>
    <m/>
    <m/>
    <m/>
    <x v="89"/>
    <m/>
    <m/>
    <x v="17"/>
    <m/>
    <x v="672"/>
    <d v="2025-03-14T00:00:00"/>
    <x v="2"/>
    <m/>
    <d v="2024-09-06T00:00:00"/>
    <n v="189"/>
    <x v="8"/>
    <x v="3"/>
    <s v="baru "/>
    <n v="2184"/>
    <n v="4500022060"/>
    <s v="Fajar Paramita"/>
    <m/>
    <m/>
    <m/>
    <m/>
    <m/>
    <m/>
    <m/>
    <m/>
    <m/>
    <s v="G74"/>
    <s v="Biaya OTC Rp.1.500.000"/>
  </r>
  <r>
    <n v="1723"/>
    <x v="131"/>
    <x v="1007"/>
    <s v="MidPlaza 2 Lt. 8 Jl Jend. Sudirman 10-11 Jakarta 10220"/>
    <s v="-"/>
    <s v="H2H BRI - BPJS Kesehatan Jl.Biznet Technovillage"/>
    <s v="Sewa Tahunan"/>
    <x v="2"/>
    <x v="1113"/>
    <m/>
    <m/>
    <m/>
    <m/>
    <m/>
    <x v="525"/>
    <m/>
    <m/>
    <x v="17"/>
    <m/>
    <x v="630"/>
    <d v="2024-11-30T00:00:00"/>
    <x v="2"/>
    <m/>
    <d v="2024-09-06T00:00:00"/>
    <n v="85"/>
    <x v="2"/>
    <x v="1"/>
    <s v="baru"/>
    <n v="2213"/>
    <n v="4500021977"/>
    <s v="Fajar Paramita"/>
    <s v="Marissa"/>
    <s v="021-57998891"/>
    <m/>
    <m/>
    <m/>
    <m/>
    <m/>
    <m/>
    <s v="G359"/>
    <m/>
    <s v="OTC Sebesar Rp.5.000.000"/>
  </r>
  <r>
    <n v="1724"/>
    <x v="378"/>
    <x v="1008"/>
    <s v="Rukan Duren Tiga No. 7H_x000a_ Jl. Duren Tiga Raya No. 7 Jakarta Selatan 12760"/>
    <m/>
    <s v="IDC D3"/>
    <s v="Sewa Tahunan"/>
    <x v="2"/>
    <x v="1114"/>
    <m/>
    <m/>
    <m/>
    <m/>
    <m/>
    <x v="112"/>
    <m/>
    <m/>
    <x v="527"/>
    <m/>
    <x v="587"/>
    <d v="2024-12-31T00:00:00"/>
    <x v="2"/>
    <m/>
    <d v="2024-09-06T00:00:00"/>
    <n v="116"/>
    <x v="5"/>
    <x v="1"/>
    <s v="-"/>
    <n v="3370"/>
    <n v="4500022774"/>
    <s v="Fajar Paramita"/>
    <s v="Rahmat_x000a_ Galih / Nopita"/>
    <m/>
    <m/>
    <m/>
    <m/>
    <m/>
    <m/>
    <m/>
    <s v="G68"/>
    <m/>
    <m/>
  </r>
  <r>
    <n v="1725"/>
    <x v="8"/>
    <x v="1000"/>
    <s v="Jalan Kuningan Barat No.8 Cyber 1nd &amp; 2 nd jakarta selatam 12710"/>
    <s v="-"/>
    <s v="Gedung Cyber. Joint All Customer"/>
    <s v="Sewa Tahunan"/>
    <x v="2"/>
    <x v="57"/>
    <m/>
    <m/>
    <m/>
    <m/>
    <m/>
    <x v="112"/>
    <m/>
    <m/>
    <x v="10"/>
    <m/>
    <x v="1011"/>
    <d v="2025-02-26T00:00:00"/>
    <x v="2"/>
    <m/>
    <d v="2024-09-06T00:00:00"/>
    <n v="173"/>
    <x v="9"/>
    <x v="3"/>
    <s v="baru"/>
    <n v="2890"/>
    <n v="4500022457"/>
    <s v="Fajar Paramita"/>
    <s v="ira"/>
    <s v="0819-3243-0596"/>
    <m/>
    <m/>
    <m/>
    <m/>
    <m/>
    <m/>
    <m/>
    <s v="H87"/>
    <s v="-"/>
  </r>
  <r>
    <n v="1726"/>
    <x v="521"/>
    <x v="20"/>
    <s v="Indonet Rempoa Jl Rempoa Raya no 11 Rempoa Ciputat Tangerang Selatan Banten Indonesia 15412"/>
    <s v="PSN Mega Kuningan 5th Floor Ged. Kantor Taman A9 Unit C3 &amp; C4 Jl Mega Kuningan Raya Lot 8/9 no 9 Jakarta 12950"/>
    <s v="Indonet Rempoa Jl Rempoa Raya no 11 Rempoa Ciputat Tangerang Selatan Banten Indonesia 15412"/>
    <s v="Sewa Tahunan"/>
    <x v="1"/>
    <x v="435"/>
    <m/>
    <m/>
    <m/>
    <s v="Metronet"/>
    <m/>
    <x v="17"/>
    <m/>
    <m/>
    <x v="310"/>
    <m/>
    <x v="735"/>
    <d v="2025-05-07T00:00:00"/>
    <x v="2"/>
    <m/>
    <d v="2024-09-06T00:00:00"/>
    <n v="243"/>
    <x v="4"/>
    <x v="3"/>
    <n v="4500020669"/>
    <s v="3207/SPP/SBU/PLNICONPLUS/2024"/>
    <n v="4500022664"/>
    <s v="Fajar Paramita"/>
    <s v="Bapak Asep "/>
    <s v="0857-71777685"/>
    <m/>
    <m/>
    <m/>
    <m/>
    <m/>
    <m/>
    <m/>
    <s v="H115"/>
    <s v="Biaya sewa shaft Rp. 12.000.000"/>
  </r>
  <r>
    <n v="1727"/>
    <x v="9"/>
    <x v="1009"/>
    <s v="Equity Tower 17th floor suiteF SCBD lot_x000a_ Jl Jend Sudirman Kav 52-53 Jakarta 12193"/>
    <m/>
    <s v="Bank Mizuho Indonesia DCI (DRC) lt 1 Kawasan MM2100 Bekasi Cikarang Jawa Barat"/>
    <s v="Sewa Tahunan"/>
    <x v="2"/>
    <x v="54"/>
    <m/>
    <m/>
    <s v="Metronet "/>
    <m/>
    <m/>
    <x v="39"/>
    <m/>
    <m/>
    <x v="78"/>
    <m/>
    <x v="647"/>
    <d v="2025-06-23T00:00:00"/>
    <x v="2"/>
    <m/>
    <d v="2024-09-06T00:00:00"/>
    <n v="290"/>
    <x v="3"/>
    <x v="3"/>
    <n v="4500020592"/>
    <s v="3139/SPP/SBU/PLNICONPLUS/2024"/>
    <n v="4500022661"/>
    <s v="Fajar Paramita"/>
    <s v="Ibu Asima"/>
    <s v="0821-10851125"/>
    <m/>
    <m/>
    <m/>
    <m/>
    <m/>
    <m/>
    <m/>
    <s v="H161"/>
    <s v="Biaya sewa cross connect Rp 18.000.000"/>
  </r>
  <r>
    <n v="1728"/>
    <x v="9"/>
    <x v="214"/>
    <s v="Equity Tower 17th floor suiteF SCBD lot_x000a_ Jl Jend Sudirman Kav 52-53 Jakarta 12193"/>
    <s v="Data Center Graha Telkom Sigma BSD Jl Kapt Subianto DJ BSD Kota Tangerang Banten Indonesia"/>
    <s v="DCI Cibitung Akulaku Alicloud Jl Irian GG 5-1 Kawasan Industri MM2100 Cikarang Barat Bekasi Jawa Barat 17530"/>
    <s v="Sewa Tahunan"/>
    <x v="2"/>
    <x v="1115"/>
    <m/>
    <m/>
    <s v="Metronet"/>
    <s v="100 mbps"/>
    <m/>
    <x v="526"/>
    <m/>
    <m/>
    <x v="62"/>
    <m/>
    <x v="573"/>
    <d v="2025-06-10T00:00:00"/>
    <x v="2"/>
    <m/>
    <d v="2024-09-06T00:00:00"/>
    <n v="277"/>
    <x v="3"/>
    <x v="3"/>
    <n v="4500020748"/>
    <s v="3140/SPP/SBU/PLNICONPLUS/2024"/>
    <n v="4500022663"/>
    <s v="Fajar Paramita"/>
    <s v="Ibu Asima"/>
    <s v="0821-10851125"/>
    <m/>
    <m/>
    <m/>
    <m/>
    <m/>
    <m/>
    <m/>
    <s v="H162"/>
    <s v="Biaya sewa cross connect Rp 18.000.000"/>
  </r>
  <r>
    <n v="1729"/>
    <x v="490"/>
    <x v="921"/>
    <s v="Sampoerna Strategic Square  Tower A Lantai 19 Jalan Jenderal Sudirman Kav 45-46 RT 3 RW 4 Karet Semanggi Jakarta "/>
    <s v="Sampoerna Strategic Square  Tower A Lantai 19 Jalan Jenderal Sudirman Kav 45-46 RT 3 RW 4 Karet Semanggi Jakarta "/>
    <s v="Kantor Grup Belida Desa Sumber Baru C1 Mesuji Raya Kab Ogan Komering Ilir Sulawesi 30681"/>
    <s v="Sewa Tahunan"/>
    <x v="1"/>
    <x v="1116"/>
    <m/>
    <m/>
    <m/>
    <s v="Metronet "/>
    <m/>
    <x v="527"/>
    <m/>
    <m/>
    <x v="528"/>
    <m/>
    <x v="1012"/>
    <d v="2027-04-30T00:00:00"/>
    <x v="2"/>
    <m/>
    <d v="2024-09-06T00:00:00"/>
    <n v="966"/>
    <x v="10"/>
    <x v="8"/>
    <m/>
    <m/>
    <n v="4500022591"/>
    <s v="Fajar Paramita"/>
    <s v="Tri Sunarti"/>
    <s v="0878-82030053"/>
    <m/>
    <m/>
    <m/>
    <m/>
    <m/>
    <m/>
    <m/>
    <n v="163"/>
    <s v="Biaya sewa jalur kabel 3th Rp. 203.280.000"/>
  </r>
  <r>
    <n v="1730"/>
    <x v="505"/>
    <x v="1001"/>
    <s v="German Centre Building 3rd and 5th floor Jl. Kapt. Subijanto DJ Bumi Serpong Damai"/>
    <m/>
    <s v="DC Sentul, Telkomsigma Sentul, Cijayanti,  Babakan Madang,  Kabupaten Bogor,  Jawa Barat,  Indonesia,  16810"/>
    <s v="Sewa Tahunan"/>
    <x v="2"/>
    <x v="1103"/>
    <m/>
    <m/>
    <m/>
    <m/>
    <m/>
    <x v="520"/>
    <m/>
    <m/>
    <x v="163"/>
    <m/>
    <x v="857"/>
    <d v="2025-01-22T00:00:00"/>
    <x v="2"/>
    <m/>
    <d v="2024-09-06T00:00:00"/>
    <n v="138"/>
    <x v="11"/>
    <x v="3"/>
    <m/>
    <s v="3153/SPP/SBU/PLNICONPLUS/2024"/>
    <n v="4500023313"/>
    <s v="Livia Indraswati"/>
    <s v="Yudhi Sukma"/>
    <m/>
    <m/>
    <m/>
    <m/>
    <m/>
    <m/>
    <m/>
    <m/>
    <s v="H310"/>
    <m/>
  </r>
  <r>
    <n v="1731"/>
    <x v="505"/>
    <x v="1"/>
    <s v="Jl. Kapt Subijanto Dj Bumi Serpong Damai Tangerang 15321 "/>
    <m/>
    <s v="PLN SYB, SYB Data Center on Telkom Sigma (German Center) Lantai 6 Timur Ruang 6460 1-12 Jalan Kapten Subijanto DJ Bumi Serpong Damai Tangerang 15321"/>
    <s v="Sewa Tahunan"/>
    <x v="2"/>
    <x v="1117"/>
    <m/>
    <m/>
    <m/>
    <s v="IPVPN 64 Kbps"/>
    <m/>
    <x v="528"/>
    <m/>
    <m/>
    <x v="163"/>
    <m/>
    <x v="977"/>
    <d v="2025-01-22T00:00:00"/>
    <x v="2"/>
    <m/>
    <d v="2024-09-06T00:00:00"/>
    <n v="138"/>
    <x v="11"/>
    <x v="3"/>
    <s v="baru"/>
    <s v="3141/SPP/SBU/PLNICONPLUS/2024"/>
    <n v="4500022590"/>
    <s v="Fajar Paramita"/>
    <s v="Yudhi Sukma"/>
    <m/>
    <m/>
    <m/>
    <m/>
    <m/>
    <m/>
    <m/>
    <m/>
    <s v="H164"/>
    <s v="Biaya cross connect  Rp 12.000.000"/>
  </r>
  <r>
    <n v="1732"/>
    <x v="280"/>
    <x v="1010"/>
    <s v="Cyber 2 Tower 2nd Floor Jl HR Rasuna Said Kav X-5 No 13 Jakarta 12950"/>
    <m/>
    <s v="BCA MF H2H Indomart PT Klik Indomaret Sukses (KIS) Data Center Indomaret Cyber 2 Tower "/>
    <s v="Sewa Tahunan"/>
    <x v="2"/>
    <x v="1118"/>
    <m/>
    <m/>
    <m/>
    <m/>
    <m/>
    <x v="529"/>
    <m/>
    <m/>
    <x v="31"/>
    <m/>
    <x v="1013"/>
    <d v="2025-04-28T00:00:00"/>
    <x v="2"/>
    <m/>
    <d v="2024-09-06T00:00:00"/>
    <n v="234"/>
    <x v="10"/>
    <x v="3"/>
    <s v="baru"/>
    <s v="3204/SPP/SBU/PLNICONPLUS/2024_x0009_"/>
    <n v="4500022546"/>
    <s v="Fajar Paramita"/>
    <s v="Erni Monalena "/>
    <s v="0856-93221320 "/>
    <m/>
    <m/>
    <m/>
    <m/>
    <m/>
    <m/>
    <m/>
    <s v="H165"/>
    <s v="1. Biaya cross connect  Rp 8.000.000, 2. Biaya Instalasi Rp 2.000.000, 3. Biaya Material Rp 2.000.000"/>
  </r>
  <r>
    <n v="1733"/>
    <x v="522"/>
    <x v="1011"/>
    <s v="Graha Mandiri lantai 30 Jl Imam Bonjol no 61 Jakarta 10310"/>
    <s v="Backhaul Metronet Komplek Bank Mandiri Griya Rempoa Jl H Juanda np 27 Rempoa Ciputat Timur Tangerang Selatan Banten 15412"/>
    <s v="Graha Mandiri (BBD) Gedung Graha Mandiri Jl Imam Bonjol no 61 Menteng Jakarta Pusat 10310"/>
    <s v="Sewa Tahunan"/>
    <x v="1"/>
    <x v="1119"/>
    <m/>
    <m/>
    <m/>
    <s v="Metronet "/>
    <m/>
    <x v="530"/>
    <m/>
    <m/>
    <x v="529"/>
    <m/>
    <x v="739"/>
    <d v="2024-11-30T00:00:00"/>
    <x v="2"/>
    <m/>
    <d v="2024-09-06T00:00:00"/>
    <n v="85"/>
    <x v="2"/>
    <x v="1"/>
    <m/>
    <s v="3356/SPP/SBU/PLNICONPLUS/2024"/>
    <n v="4500022670"/>
    <s v="Fajar Paramita"/>
    <s v="Ibu Dinda"/>
    <s v="0812-85137756"/>
    <m/>
    <m/>
    <m/>
    <m/>
    <m/>
    <m/>
    <m/>
    <s v="H166"/>
    <s v="Biaya penempatan perangkat Rp 264.500.000"/>
  </r>
  <r>
    <n v="1734"/>
    <x v="521"/>
    <x v="240"/>
    <s v="Indonet Rempoa Jl Rempoa Raya no 11 Rempoa Ciputat Tangerang Selatan Banten Indonesia 15412"/>
    <m/>
    <s v="Data center  indonet rempoa"/>
    <s v="Sewa Tahunan"/>
    <x v="1"/>
    <x v="65"/>
    <m/>
    <m/>
    <m/>
    <s v="IPVPN 50 mbps"/>
    <m/>
    <x v="332"/>
    <m/>
    <m/>
    <x v="8"/>
    <m/>
    <x v="727"/>
    <d v="2025-04-13T00:00:00"/>
    <x v="2"/>
    <m/>
    <d v="2024-09-06T00:00:00"/>
    <n v="219"/>
    <x v="10"/>
    <x v="3"/>
    <m/>
    <s v="3094/SPP/SBU/PLNICONPLUS/2024"/>
    <n v="4500022686"/>
    <s v="Fajar Paramita"/>
    <s v="Bapak Asep "/>
    <s v="0857-71777685"/>
    <m/>
    <m/>
    <m/>
    <m/>
    <m/>
    <m/>
    <m/>
    <n v="167"/>
    <s v="Biaya Shaft Cable Rp. 2.500.000"/>
  </r>
  <r>
    <n v="1735"/>
    <x v="523"/>
    <x v="1012"/>
    <s v="Graha Pratama Building Jl MT Haryono Kav 15 Jakarta "/>
    <m/>
    <s v="Graha Pratama Building Jl MT Haryono Kav 15 Jakarta "/>
    <s v="Sewa Tahunan"/>
    <x v="1"/>
    <x v="1120"/>
    <m/>
    <m/>
    <m/>
    <s v="Internet Corporate 75 Mbps"/>
    <m/>
    <x v="531"/>
    <m/>
    <m/>
    <x v="312"/>
    <m/>
    <x v="1014"/>
    <d v="2025-03-19T00:00:00"/>
    <x v="2"/>
    <m/>
    <d v="2024-09-06T00:00:00"/>
    <n v="194"/>
    <x v="8"/>
    <x v="3"/>
    <m/>
    <s v="3137/SPP/SBU/PLNICONPLUS/2024"/>
    <n v="4500022543"/>
    <s v="Fajar Paramita"/>
    <m/>
    <m/>
    <m/>
    <m/>
    <m/>
    <m/>
    <m/>
    <m/>
    <m/>
    <s v="H90"/>
    <s v="Biaya sewa shaft Rp 7.000.000"/>
  </r>
  <r>
    <n v="1736"/>
    <x v="524"/>
    <x v="1013"/>
    <m/>
    <s v="Backhaul sinarmas DRC Primary jl. Pahlawan Seribu, gd smart telecom CBD CBD BSD lot 12 A Lengkong wetan serpong kota tangerang selatan Banten Indonesia"/>
    <m/>
    <s v="Sewa Tahunan"/>
    <x v="1"/>
    <x v="1121"/>
    <m/>
    <m/>
    <m/>
    <s v="IPVPN "/>
    <m/>
    <x v="61"/>
    <m/>
    <m/>
    <x v="530"/>
    <m/>
    <x v="587"/>
    <d v="2024-12-31T00:00:00"/>
    <x v="2"/>
    <m/>
    <d v="2024-09-06T00:00:00"/>
    <n v="116"/>
    <x v="5"/>
    <x v="1"/>
    <n v="4500020408"/>
    <s v="3002/SPP/SBU/PLNICONPLUS/2024"/>
    <n v="4500022522"/>
    <s v="Fajar Paramita"/>
    <m/>
    <m/>
    <m/>
    <m/>
    <m/>
    <m/>
    <m/>
    <m/>
    <m/>
    <s v="H145"/>
    <s v="Biaya sewa collo Rp 48.000.000"/>
  </r>
  <r>
    <n v="1737"/>
    <x v="342"/>
    <x v="157"/>
    <s v="Gedung Cyber Lt.11 Jl. Kuningan Barat No.8 Kuningan Barat Jakarta"/>
    <s v="Gedung Cyber Lt.1 (APJII), Jakarta Selatan"/>
    <m/>
    <s v="Sewa Tahunan"/>
    <x v="1"/>
    <x v="67"/>
    <m/>
    <m/>
    <m/>
    <s v="Metronet "/>
    <m/>
    <x v="440"/>
    <m/>
    <m/>
    <x v="16"/>
    <m/>
    <x v="592"/>
    <d v="2025-05-14T00:00:00"/>
    <x v="2"/>
    <m/>
    <d v="2024-09-06T00:00:00"/>
    <n v="250"/>
    <x v="4"/>
    <x v="3"/>
    <n v="4500020426"/>
    <s v="3288/SPP/SBU/PLNICONPLUS/2024"/>
    <n v="4500022601"/>
    <s v="Fajar Paramita"/>
    <s v="Ibu Dahlia "/>
    <s v="0858-92806821"/>
    <m/>
    <m/>
    <m/>
    <m/>
    <m/>
    <m/>
    <m/>
    <s v="H169"/>
    <s v="Biaya sewa OTB Rp 12.000.000"/>
  </r>
  <r>
    <n v="1738"/>
    <x v="71"/>
    <x v="157"/>
    <s v="Jalan Kuningan Barat No.8 Cyber 1nd &amp; 2 nd jakarta selatam 12710"/>
    <m/>
    <m/>
    <s v="Sewa Tahunan"/>
    <x v="1"/>
    <x v="67"/>
    <m/>
    <m/>
    <m/>
    <s v="Backhaul"/>
    <m/>
    <x v="112"/>
    <m/>
    <m/>
    <x v="417"/>
    <m/>
    <x v="693"/>
    <d v="2025-01-31T00:00:00"/>
    <x v="2"/>
    <m/>
    <d v="2024-09-06T00:00:00"/>
    <n v="147"/>
    <x v="11"/>
    <x v="3"/>
    <m/>
    <m/>
    <n v="4500019940"/>
    <s v="Fajar Paramita"/>
    <s v="Ira"/>
    <s v="+6281932430596"/>
    <m/>
    <m/>
    <m/>
    <m/>
    <m/>
    <m/>
    <m/>
    <n v="147"/>
    <s v="Private suite Rp 780.000.000 , OTB 2Y Rp 66.000.000, Mainhole CDCI Rp 35.000.000, Add electric Rp 510.000.000"/>
  </r>
  <r>
    <n v="1739"/>
    <x v="525"/>
    <x v="1014"/>
    <s v="Mega Telekomunikasi"/>
    <s v="Jl. RA Kartini No. Kav 14, Cilandak, Jakarta Selatan, DKI Jakarta, Indonesia, 12430"/>
    <s v="Jl. Ampera Raya No. 22, Pasar Minggu, Jakarta Selatan, DKI Jakarta, Indonesia 12560"/>
    <s v="BAGI HASIL"/>
    <x v="5"/>
    <x v="1122"/>
    <m/>
    <m/>
    <s v="Metronet"/>
    <m/>
    <m/>
    <x v="59"/>
    <m/>
    <m/>
    <x v="60"/>
    <n v="0.2"/>
    <x v="526"/>
    <d v="2025-02-07T00:00:00"/>
    <x v="2"/>
    <m/>
    <d v="2024-09-06T00:00:00"/>
    <n v="154"/>
    <x v="9"/>
    <x v="3"/>
    <m/>
    <m/>
    <m/>
    <s v="Syifa Fauziyah"/>
    <s v="Sena Adimuhaimin"/>
    <s v="+6285210389232"/>
    <m/>
    <m/>
    <m/>
    <m/>
    <m/>
    <m/>
    <m/>
    <m/>
    <m/>
  </r>
  <r>
    <n v="1740"/>
    <x v="312"/>
    <x v="168"/>
    <s v="Data Center Elitery Bogor-SOJATEK"/>
    <s v="-"/>
    <s v="Elitery (PT RHB OSK Securities Indonesia) Jl. Pajajaran no. 17 Bogor Indonesia"/>
    <s v="BAGI HASIL"/>
    <x v="5"/>
    <x v="67"/>
    <s v="990000320429056"/>
    <m/>
    <s v="Metronet"/>
    <m/>
    <m/>
    <x v="63"/>
    <m/>
    <m/>
    <x v="60"/>
    <n v="0.15"/>
    <x v="949"/>
    <d v="2025-04-30T00:00:00"/>
    <x v="2"/>
    <m/>
    <d v="2024-09-06T00:00:00"/>
    <n v="236"/>
    <x v="10"/>
    <x v="3"/>
    <m/>
    <m/>
    <m/>
    <s v="Syifa Fauziyah"/>
    <s v="Anggi, Danar"/>
    <s v="+62 877-7040-4299, +62 856-9456-6663"/>
    <m/>
    <m/>
    <m/>
    <m/>
    <m/>
    <m/>
    <m/>
    <m/>
    <m/>
  </r>
  <r>
    <n v="1741"/>
    <x v="312"/>
    <x v="1015"/>
    <s v="Data Center Elitery Bogor-SOJATEK"/>
    <s v="-"/>
    <s v="PT. Fujitsu Indonesia Jl. Raya Pajajaran no 17 Bogor, Indonesia"/>
    <s v="BAGI HASIL"/>
    <x v="5"/>
    <x v="67"/>
    <s v="990000320452699"/>
    <m/>
    <s v="IP Transit_x000a_"/>
    <m/>
    <m/>
    <x v="35"/>
    <m/>
    <m/>
    <x v="60"/>
    <n v="0.15"/>
    <x v="949"/>
    <d v="2025-04-30T00:00:00"/>
    <x v="2"/>
    <m/>
    <d v="2024-09-06T00:00:00"/>
    <n v="236"/>
    <x v="10"/>
    <x v="3"/>
    <m/>
    <m/>
    <m/>
    <s v="Syifa Fauziyah"/>
    <m/>
    <m/>
    <m/>
    <m/>
    <m/>
    <m/>
    <m/>
    <m/>
    <m/>
    <m/>
    <m/>
  </r>
  <r>
    <n v="1742"/>
    <x v="312"/>
    <x v="1016"/>
    <s v="Data Center Elitery Bogor-SOJATEK"/>
    <s v="Elitery Recovery Data Center,Jalan Padjajaran No.17 Sanggar Ksatria 5 Lantai 5 Bogor Jawa Barat"/>
    <s v="Sentral Senayan III, Lantai 22, Jl. Asia Afrika No. 8  Gelora Bung Karno, Senayan Jakarta 10270"/>
    <s v="BAGI HASIL"/>
    <x v="5"/>
    <x v="67"/>
    <s v="990000320470177"/>
    <m/>
    <s v="Metronet"/>
    <m/>
    <m/>
    <x v="321"/>
    <m/>
    <m/>
    <x v="60"/>
    <n v="0.15"/>
    <x v="949"/>
    <d v="2025-04-30T00:00:00"/>
    <x v="2"/>
    <m/>
    <d v="2024-09-06T00:00:00"/>
    <n v="236"/>
    <x v="10"/>
    <x v="3"/>
    <m/>
    <m/>
    <m/>
    <s v="Syifa Fauziyah"/>
    <m/>
    <m/>
    <m/>
    <m/>
    <m/>
    <m/>
    <m/>
    <m/>
    <m/>
    <m/>
    <m/>
  </r>
  <r>
    <n v="1743"/>
    <x v="312"/>
    <x v="1017"/>
    <s v="Data Center Elitery Bogor-SOJATEK"/>
    <s v="POP IDC Duren Tiga"/>
    <s v="PT. Sinarmas Sekuritas, Elitery Data Center, Jl. Pajajaran No. 17, Bogor"/>
    <s v="BAGI HASIL"/>
    <x v="5"/>
    <x v="67"/>
    <m/>
    <m/>
    <s v="Metronet"/>
    <m/>
    <m/>
    <x v="532"/>
    <m/>
    <m/>
    <x v="60"/>
    <n v="0.15"/>
    <x v="949"/>
    <d v="2025-04-30T00:00:00"/>
    <x v="2"/>
    <m/>
    <d v="2024-09-06T00:00:00"/>
    <n v="236"/>
    <x v="10"/>
    <x v="3"/>
    <m/>
    <m/>
    <m/>
    <s v="Syifa Fauziyah"/>
    <m/>
    <m/>
    <m/>
    <m/>
    <m/>
    <m/>
    <m/>
    <m/>
    <m/>
    <m/>
    <m/>
  </r>
  <r>
    <n v="1744"/>
    <x v="312"/>
    <x v="485"/>
    <s v="Data Center Elitery Bogor-SOJATEK"/>
    <s v="Gedung Elitery LT 4 Rack SYB Jl. Raya Padjajaran, Bogor, Kota Bogor, Jawa Barat, Indonesia, 16143"/>
    <s v="Kota Bogor, Jawa Barat, Indonesia"/>
    <s v="BAGI HASIL"/>
    <x v="5"/>
    <x v="67"/>
    <s v="1000193597"/>
    <m/>
    <s v="IPVPN_x000a_"/>
    <m/>
    <m/>
    <x v="265"/>
    <m/>
    <m/>
    <x v="60"/>
    <n v="0.15"/>
    <x v="949"/>
    <d v="2025-04-30T00:00:00"/>
    <x v="2"/>
    <m/>
    <d v="2024-09-06T00:00:00"/>
    <n v="236"/>
    <x v="10"/>
    <x v="3"/>
    <m/>
    <m/>
    <m/>
    <s v="Syifa Fauziyah"/>
    <m/>
    <m/>
    <m/>
    <m/>
    <m/>
    <m/>
    <m/>
    <m/>
    <m/>
    <m/>
    <m/>
  </r>
  <r>
    <n v="1745"/>
    <x v="526"/>
    <x v="1018"/>
    <s v="Kawasan Industri MM2100"/>
    <s v="Depo Cibitung,Kawasan MM2100,Jl.Jawa Blok M-31 Cibitung,Bekasi"/>
    <s v="Collocation Server Astra Otoparts,Gedung AAB,Jl.TB Simatupang,Jakarta"/>
    <s v="BAGI HASIL"/>
    <x v="5"/>
    <x v="1123"/>
    <m/>
    <m/>
    <s v="Metronet"/>
    <m/>
    <m/>
    <x v="533"/>
    <m/>
    <m/>
    <x v="60"/>
    <n v="0.1"/>
    <x v="1015"/>
    <d v="2028-05-20T00:00:00"/>
    <x v="2"/>
    <m/>
    <d v="2024-09-06T00:00:00"/>
    <n v="1352"/>
    <x v="4"/>
    <x v="10"/>
    <m/>
    <m/>
    <m/>
    <s v="Syifa Fauziyah"/>
    <s v="Rita"/>
    <s v="+62 878-8909-0239"/>
    <m/>
    <m/>
    <m/>
    <m/>
    <m/>
    <m/>
    <m/>
    <m/>
    <m/>
  </r>
  <r>
    <n v="1746"/>
    <x v="526"/>
    <x v="24"/>
    <s v="Kawasan Industri MM2100"/>
    <s v="PT Sanken MM2100 Industrial Town,Block GG-8,Cikarang Barat,Bekasi 17520,West Java,Indonesia (ID JAR 2013004247)"/>
    <s v="Node Lintasarta Jl.TB Simatupang"/>
    <s v="BAGI HASIL"/>
    <x v="5"/>
    <x v="67"/>
    <s v="0990000320327076"/>
    <m/>
    <s v="Metronet"/>
    <m/>
    <m/>
    <x v="34"/>
    <m/>
    <m/>
    <x v="60"/>
    <n v="0.1"/>
    <x v="1015"/>
    <d v="2028-05-20T00:00:00"/>
    <x v="2"/>
    <m/>
    <d v="2024-09-06T00:00:00"/>
    <n v="1352"/>
    <x v="4"/>
    <x v="10"/>
    <m/>
    <m/>
    <m/>
    <s v="Syifa Fauziyah"/>
    <m/>
    <m/>
    <m/>
    <m/>
    <m/>
    <m/>
    <m/>
    <m/>
    <m/>
    <m/>
    <m/>
  </r>
  <r>
    <n v="1747"/>
    <x v="526"/>
    <x v="1019"/>
    <s v="Kawasan Industri MM2100"/>
    <s v="Kawasan Industri MM2100, Jln Irian bl 003 DS Jatiwangi,cibitung Bekasi, Jawa Barat 17520 (BACKUP BACKHAUL)   "/>
    <s v="Sentra Latumenten Blok AA-10 Jln Prof Dr Latumenten no 50 JAKARTA 11460 (BACKHAUL )"/>
    <s v="BAGI HASIL"/>
    <x v="5"/>
    <x v="1124"/>
    <m/>
    <m/>
    <s v="Metronet"/>
    <m/>
    <m/>
    <x v="89"/>
    <m/>
    <m/>
    <x v="60"/>
    <n v="0.1"/>
    <x v="1015"/>
    <d v="2028-05-20T00:00:00"/>
    <x v="2"/>
    <m/>
    <d v="2024-09-06T00:00:00"/>
    <n v="1352"/>
    <x v="4"/>
    <x v="10"/>
    <m/>
    <m/>
    <m/>
    <s v="Syifa Fauziyah"/>
    <m/>
    <m/>
    <m/>
    <m/>
    <m/>
    <m/>
    <m/>
    <m/>
    <m/>
    <m/>
    <m/>
  </r>
  <r>
    <n v="1748"/>
    <x v="526"/>
    <x v="1020"/>
    <s v="Kawasan Industri MM2100"/>
    <s v="-"/>
    <s v="PT. Kansai Paint Indonesia, Kawasan Industri MM2100 Blok DD-7 dan DD-6 Desa Danau Indah, Cikarang Barat 17520 "/>
    <s v="BAGI HASIL"/>
    <x v="5"/>
    <x v="1125"/>
    <m/>
    <m/>
    <s v="Akses Internet"/>
    <m/>
    <m/>
    <x v="30"/>
    <m/>
    <m/>
    <x v="60"/>
    <n v="0.1"/>
    <x v="1015"/>
    <d v="2028-05-20T00:00:00"/>
    <x v="2"/>
    <m/>
    <d v="2024-09-06T00:00:00"/>
    <n v="1352"/>
    <x v="4"/>
    <x v="10"/>
    <m/>
    <m/>
    <m/>
    <s v="Syifa Fauziyah"/>
    <m/>
    <m/>
    <m/>
    <m/>
    <m/>
    <m/>
    <m/>
    <m/>
    <m/>
    <m/>
    <m/>
  </r>
  <r>
    <n v="1749"/>
    <x v="526"/>
    <x v="1021"/>
    <s v="Kawasan Industri MM2100"/>
    <s v="-"/>
    <s v="PT. Mitsuba Indonesia Pipe Parts, Kawasan Industri MM2100 Blok NN-12, Cikarang Barat, Bekasi 17520 Indonesia"/>
    <s v="BAGI HASIL"/>
    <x v="5"/>
    <x v="1126"/>
    <m/>
    <m/>
    <s v="Akses Internet"/>
    <m/>
    <m/>
    <x v="36"/>
    <m/>
    <m/>
    <x v="60"/>
    <n v="0.1"/>
    <x v="1015"/>
    <d v="2028-05-20T00:00:00"/>
    <x v="2"/>
    <m/>
    <d v="2024-09-06T00:00:00"/>
    <n v="1352"/>
    <x v="4"/>
    <x v="10"/>
    <m/>
    <m/>
    <m/>
    <s v="Syifa Fauziyah"/>
    <m/>
    <m/>
    <m/>
    <m/>
    <m/>
    <m/>
    <m/>
    <m/>
    <m/>
    <m/>
    <m/>
  </r>
  <r>
    <n v="1750"/>
    <x v="526"/>
    <x v="1022"/>
    <s v="Kawasan Industri MM2100"/>
    <s v="-"/>
    <s v="PT Tirta alam segar,Kawasan industri mm2100,Jln kalangan kav b1-2,Cikarang barat-bekasi"/>
    <s v="BAGI HASIL"/>
    <x v="5"/>
    <x v="1127"/>
    <m/>
    <m/>
    <s v="Akses Internet"/>
    <m/>
    <m/>
    <x v="35"/>
    <m/>
    <m/>
    <x v="60"/>
    <n v="0.1"/>
    <x v="1015"/>
    <d v="2028-05-20T00:00:00"/>
    <x v="2"/>
    <m/>
    <d v="2024-09-06T00:00:00"/>
    <n v="1352"/>
    <x v="4"/>
    <x v="10"/>
    <m/>
    <m/>
    <m/>
    <s v="Syifa Fauziyah"/>
    <m/>
    <m/>
    <m/>
    <m/>
    <m/>
    <m/>
    <m/>
    <m/>
    <m/>
    <m/>
    <m/>
  </r>
  <r>
    <n v="1751"/>
    <x v="526"/>
    <x v="1023"/>
    <s v="Kawasan Industri MM2100"/>
    <s v="-"/>
    <s v="Kawasan Industri MM 2100, Blok I, No.3-4 Gandamekar, Cikarang Barat, Bekasi 17520, Jawa Barat "/>
    <s v="BAGI HASIL"/>
    <x v="5"/>
    <x v="1128"/>
    <m/>
    <m/>
    <s v="Akses Internet"/>
    <m/>
    <m/>
    <x v="33"/>
    <m/>
    <m/>
    <x v="60"/>
    <n v="0.1"/>
    <x v="1015"/>
    <d v="2028-05-20T00:00:00"/>
    <x v="2"/>
    <m/>
    <d v="2024-09-06T00:00:00"/>
    <n v="1352"/>
    <x v="4"/>
    <x v="10"/>
    <m/>
    <m/>
    <m/>
    <s v="Syifa Fauziyah"/>
    <m/>
    <m/>
    <m/>
    <m/>
    <m/>
    <m/>
    <m/>
    <m/>
    <m/>
    <m/>
    <m/>
  </r>
  <r>
    <n v="1752"/>
    <x v="526"/>
    <x v="1024"/>
    <s v="Kawasan Industri MM2100"/>
    <s v="-"/>
    <s v="Kawasan Industri MM2100 Jl. Bali Block O 1-2 Cikarang Barat Bekasi – Jawa Barat 17520"/>
    <s v="BAGI HASIL"/>
    <x v="5"/>
    <x v="1129"/>
    <m/>
    <m/>
    <s v="Akses Internet"/>
    <m/>
    <m/>
    <x v="10"/>
    <m/>
    <m/>
    <x v="60"/>
    <n v="0.1"/>
    <x v="1015"/>
    <d v="2028-05-20T00:00:00"/>
    <x v="2"/>
    <m/>
    <d v="2024-09-06T00:00:00"/>
    <n v="1352"/>
    <x v="4"/>
    <x v="10"/>
    <m/>
    <m/>
    <m/>
    <s v="Syifa Fauziyah"/>
    <m/>
    <m/>
    <m/>
    <m/>
    <m/>
    <m/>
    <m/>
    <m/>
    <m/>
    <m/>
    <m/>
  </r>
  <r>
    <n v="1753"/>
    <x v="526"/>
    <x v="1025"/>
    <s v="Kawasan Industri MM2100"/>
    <s v="-"/>
    <s v="Kawasan Industri MM2100 Jl. Irian V Blok. KK-8 Cibitung Bekasi 17520"/>
    <s v="BAGI HASIL"/>
    <x v="5"/>
    <x v="1130"/>
    <m/>
    <m/>
    <s v="Akses Internet"/>
    <m/>
    <m/>
    <x v="99"/>
    <m/>
    <m/>
    <x v="60"/>
    <n v="0.1"/>
    <x v="1015"/>
    <d v="2028-05-20T00:00:00"/>
    <x v="2"/>
    <m/>
    <d v="2024-09-06T00:00:00"/>
    <n v="1352"/>
    <x v="4"/>
    <x v="10"/>
    <m/>
    <m/>
    <m/>
    <s v="Syifa Fauziyah"/>
    <m/>
    <m/>
    <m/>
    <m/>
    <m/>
    <m/>
    <m/>
    <m/>
    <m/>
    <m/>
    <m/>
  </r>
  <r>
    <n v="1754"/>
    <x v="526"/>
    <x v="1026"/>
    <s v="Kawasan Industri MM2100"/>
    <s v="IDC Duren 3 Lantai 3, Rack 26. Jl. Duren Tiga Raya No.7, RT.9/RW.5, Duren Tiga,  Kec. Pancoran,  Jakarta Selatan,  DKI Jakarta,  Indonesia,  12760"/>
    <s v="Rayovac Battery Indonesia, PT site Hanggar Bea Cukai Jl. Irian Blok MM 1 MM2100, Jatiwangi,  Kec. Cikarang Bar.,,  Kabupaten Bekasi,  Jawa Barat,  Indonesia,  17520"/>
    <s v="BAGI HASIL"/>
    <x v="5"/>
    <x v="1131"/>
    <m/>
    <m/>
    <s v="Akses Internet"/>
    <m/>
    <m/>
    <x v="46"/>
    <m/>
    <m/>
    <x v="60"/>
    <n v="0.1"/>
    <x v="1015"/>
    <d v="2028-05-20T00:00:00"/>
    <x v="2"/>
    <m/>
    <d v="2024-09-06T00:00:00"/>
    <n v="1352"/>
    <x v="4"/>
    <x v="10"/>
    <m/>
    <m/>
    <m/>
    <s v="Syifa Fauziyah"/>
    <m/>
    <m/>
    <m/>
    <m/>
    <m/>
    <m/>
    <m/>
    <m/>
    <m/>
    <m/>
    <m/>
  </r>
  <r>
    <n v="1755"/>
    <x v="526"/>
    <x v="1027"/>
    <s v="Kawasan Industri MM2100"/>
    <m/>
    <s v="MM 2100 Industrial Town - Jl. Irian Blok LL1, Jatiwangi,  Kec. Cikarang Barat,  Kabupaten Bekasi,  Jawa Barat,  Indonesia,  17530"/>
    <s v="BAGI HASIL"/>
    <x v="5"/>
    <x v="1132"/>
    <m/>
    <m/>
    <s v="Akses Internet"/>
    <m/>
    <m/>
    <x v="534"/>
    <m/>
    <m/>
    <x v="60"/>
    <n v="0.1"/>
    <x v="1015"/>
    <d v="2028-05-20T00:00:00"/>
    <x v="2"/>
    <m/>
    <d v="2024-09-06T00:00:00"/>
    <n v="1352"/>
    <x v="4"/>
    <x v="10"/>
    <m/>
    <m/>
    <m/>
    <s v="Syifa Fauziyah"/>
    <m/>
    <m/>
    <m/>
    <m/>
    <m/>
    <m/>
    <m/>
    <m/>
    <m/>
    <m/>
    <m/>
  </r>
  <r>
    <n v="1756"/>
    <x v="526"/>
    <x v="1027"/>
    <s v="Kawasan Industri MM2100"/>
    <m/>
    <s v="MM 2100 Industrial Town - Jl. Irian Blok LL1, Jatiwangi,  Kec. Cikarang Barat,  Kabupaten Bekasi,  Jawa Barat,  Indonesia,  17530"/>
    <s v="BAGI HASIL"/>
    <x v="5"/>
    <x v="1133"/>
    <m/>
    <m/>
    <s v="Akses Internet"/>
    <m/>
    <m/>
    <x v="535"/>
    <m/>
    <m/>
    <x v="60"/>
    <n v="0.1"/>
    <x v="1015"/>
    <d v="2028-05-20T00:00:00"/>
    <x v="2"/>
    <m/>
    <d v="2024-09-06T00:00:00"/>
    <n v="1352"/>
    <x v="4"/>
    <x v="10"/>
    <m/>
    <m/>
    <m/>
    <s v="Syifa Fauziyah"/>
    <m/>
    <m/>
    <m/>
    <m/>
    <m/>
    <m/>
    <m/>
    <m/>
    <m/>
    <m/>
    <m/>
  </r>
  <r>
    <n v="1757"/>
    <x v="526"/>
    <x v="585"/>
    <s v="Kawasan Industri MM2100"/>
    <m/>
    <s v="PT. Cipta Mortal Utama, MM2100 Industril Town Jl. Sumbawa Blok F1-1,  Cikarang Barat,  Kabupaten Bekasi,  Jawa Barat,  Indonesia,  175520"/>
    <s v="BAGI HASIL"/>
    <x v="5"/>
    <x v="1134"/>
    <m/>
    <m/>
    <s v="Akses Internet"/>
    <m/>
    <m/>
    <x v="536"/>
    <m/>
    <m/>
    <x v="60"/>
    <n v="0.1"/>
    <x v="1015"/>
    <d v="2028-05-20T00:00:00"/>
    <x v="2"/>
    <m/>
    <d v="2024-09-06T00:00:00"/>
    <n v="1352"/>
    <x v="4"/>
    <x v="10"/>
    <m/>
    <m/>
    <m/>
    <s v="Syifa Fauziyah"/>
    <m/>
    <m/>
    <m/>
    <m/>
    <m/>
    <m/>
    <m/>
    <m/>
    <m/>
    <m/>
    <m/>
  </r>
  <r>
    <n v="1758"/>
    <x v="526"/>
    <x v="1026"/>
    <s v="Kawasan Industri MM2100"/>
    <m/>
    <s v="PT. Hitachi Astemo Powertrain Systems Kawasan Industri MM 2100 Blok JJ No. 1, Jatiwangi,  Kec. Cikarang Bar.,  Kabupaten Bekasi,  Jawa Barat,  Indonesia,  17520"/>
    <s v="BAGI HASIL"/>
    <x v="5"/>
    <x v="1135"/>
    <m/>
    <m/>
    <s v="Akses Internet"/>
    <m/>
    <m/>
    <x v="107"/>
    <m/>
    <m/>
    <x v="60"/>
    <n v="0.1"/>
    <x v="1015"/>
    <d v="2028-05-20T00:00:00"/>
    <x v="2"/>
    <m/>
    <d v="2024-09-06T00:00:00"/>
    <n v="1352"/>
    <x v="4"/>
    <x v="10"/>
    <m/>
    <m/>
    <m/>
    <s v="Syifa Fauziyah"/>
    <m/>
    <m/>
    <m/>
    <m/>
    <m/>
    <m/>
    <m/>
    <m/>
    <m/>
    <m/>
    <m/>
  </r>
  <r>
    <n v="1759"/>
    <x v="526"/>
    <x v="614"/>
    <s v="Kawasan Industri MM2100"/>
    <m/>
    <s v="PT Ichikoh Indonesia, MM 2100 Industrial Town, Jl. Irian Blok LL1, Jatiwangi,  Kec. Cikarang Barat,  Kabupaten Bekasi,  Jawa Barat,  Indonesia,  17530"/>
    <s v="BAGI HASIL"/>
    <x v="5"/>
    <x v="1136"/>
    <m/>
    <m/>
    <s v="Akses Internet"/>
    <m/>
    <m/>
    <x v="537"/>
    <m/>
    <m/>
    <x v="60"/>
    <n v="0.1"/>
    <x v="1015"/>
    <d v="2028-05-20T00:00:00"/>
    <x v="2"/>
    <m/>
    <d v="2024-09-06T00:00:00"/>
    <n v="1352"/>
    <x v="4"/>
    <x v="10"/>
    <m/>
    <m/>
    <m/>
    <s v="Syifa Fauziyah"/>
    <m/>
    <m/>
    <m/>
    <m/>
    <m/>
    <m/>
    <m/>
    <m/>
    <m/>
    <m/>
    <m/>
  </r>
  <r>
    <n v="1760"/>
    <x v="526"/>
    <x v="1028"/>
    <s v="Kawasan Industri MM2100"/>
    <m/>
    <s v="MM2100 Industrial Town Jl. Irian Blok LL / 7-9, Jatiwangi, West Cikarang, Bekasi Regency, West Java 17520,Cikarang Barat ,Bekasi ,Jawa Barat ,Indonesia ,   "/>
    <s v="BAGI HASIL"/>
    <x v="5"/>
    <x v="1137"/>
    <m/>
    <m/>
    <s v="Akses Internet"/>
    <m/>
    <m/>
    <x v="67"/>
    <m/>
    <m/>
    <x v="60"/>
    <n v="0.1"/>
    <x v="1015"/>
    <d v="2028-05-20T00:00:00"/>
    <x v="2"/>
    <m/>
    <d v="2024-09-06T00:00:00"/>
    <n v="1352"/>
    <x v="4"/>
    <x v="10"/>
    <m/>
    <m/>
    <m/>
    <s v="Syifa Fauziyah"/>
    <m/>
    <m/>
    <m/>
    <m/>
    <m/>
    <m/>
    <m/>
    <m/>
    <m/>
    <m/>
    <m/>
  </r>
  <r>
    <n v="1761"/>
    <x v="526"/>
    <x v="1029"/>
    <s v="Kawasan Industri MM2100"/>
    <m/>
    <s v="PT Toyota Auto Body Tokai Extrusion, Kawasan Industri MM2100, Jalan Irian Blok LL-3, Jatiwangi,  Kec. Cikarang Bar.,  Kabupaten Bekasi,  Jawa Barat,  Indonesia,  17530"/>
    <s v="BAGI HASIL"/>
    <x v="5"/>
    <x v="1138"/>
    <m/>
    <m/>
    <s v="Akses Internet"/>
    <m/>
    <m/>
    <x v="538"/>
    <m/>
    <m/>
    <x v="60"/>
    <n v="0.1"/>
    <x v="1015"/>
    <d v="2028-05-20T00:00:00"/>
    <x v="2"/>
    <m/>
    <d v="2024-09-06T00:00:00"/>
    <n v="1352"/>
    <x v="4"/>
    <x v="10"/>
    <m/>
    <m/>
    <m/>
    <s v="Syifa Fauziyah"/>
    <m/>
    <m/>
    <m/>
    <m/>
    <m/>
    <m/>
    <m/>
    <m/>
    <m/>
    <m/>
    <m/>
  </r>
  <r>
    <n v="1762"/>
    <x v="526"/>
    <x v="1030"/>
    <s v="Kawasan Industri MM2100"/>
    <m/>
    <s v="Kawasan MM 2100 Jl. Jawa Blok HH No. 4 , Jatiwangi,  Kec. Cikarang Barat,  Kabupaten Bekasi,  Jawa Barat,  Indonesia,  17520"/>
    <s v="BAGI HASIL"/>
    <x v="5"/>
    <x v="1139"/>
    <m/>
    <m/>
    <s v="Akses Internet"/>
    <m/>
    <m/>
    <x v="2"/>
    <m/>
    <m/>
    <x v="60"/>
    <n v="0.1"/>
    <x v="1015"/>
    <d v="2028-05-20T00:00:00"/>
    <x v="2"/>
    <m/>
    <d v="2024-09-06T00:00:00"/>
    <n v="1352"/>
    <x v="4"/>
    <x v="10"/>
    <m/>
    <m/>
    <m/>
    <s v="Syifa Fauziyah"/>
    <m/>
    <m/>
    <m/>
    <m/>
    <m/>
    <m/>
    <m/>
    <m/>
    <m/>
    <m/>
    <m/>
  </r>
  <r>
    <n v="1763"/>
    <x v="526"/>
    <x v="1029"/>
    <s v="Kawasan Industri MM2100"/>
    <m/>
    <s v="PT. Shinto Kogyo Indonesia-Kawasan Industri MM2100, Jl. Bali Blok J No.17-2, Gandamekar,Kec. Cikarang Barat ,Kabupaten Bekasi ,Jawa Barat ,Indonesia ,17530   "/>
    <s v="BAGI HASIL"/>
    <x v="5"/>
    <x v="1140"/>
    <m/>
    <m/>
    <s v="Akses Internet"/>
    <m/>
    <m/>
    <x v="539"/>
    <m/>
    <m/>
    <x v="60"/>
    <n v="0.1"/>
    <x v="1015"/>
    <d v="2028-05-20T00:00:00"/>
    <x v="2"/>
    <m/>
    <d v="2024-09-06T00:00:00"/>
    <n v="1352"/>
    <x v="4"/>
    <x v="10"/>
    <m/>
    <m/>
    <m/>
    <s v="Syifa Fauziyah"/>
    <m/>
    <m/>
    <m/>
    <m/>
    <m/>
    <m/>
    <m/>
    <m/>
    <m/>
    <m/>
    <m/>
  </r>
  <r>
    <n v="1764"/>
    <x v="526"/>
    <x v="1031"/>
    <s v="Kawasan Industri MM2100"/>
    <m/>
    <s v="Kawasan Industri MM 2100 Blok KK No, 2 Jalan Irian 3 No.4, Jatiwangi,  Kec. Cikarang Barat,  Kabupaten Bekasi,  Jawa Barat,  Indonesia,  17530"/>
    <s v="BAGI HASIL"/>
    <x v="5"/>
    <x v="67"/>
    <m/>
    <m/>
    <s v="Akses Internet"/>
    <m/>
    <m/>
    <x v="540"/>
    <m/>
    <m/>
    <x v="60"/>
    <n v="0.1"/>
    <x v="1015"/>
    <d v="2028-05-20T00:00:00"/>
    <x v="2"/>
    <m/>
    <d v="2024-09-06T00:00:00"/>
    <n v="1352"/>
    <x v="4"/>
    <x v="10"/>
    <m/>
    <m/>
    <m/>
    <s v="Syifa Fauziyah"/>
    <m/>
    <m/>
    <m/>
    <m/>
    <m/>
    <m/>
    <m/>
    <m/>
    <m/>
    <m/>
    <m/>
  </r>
  <r>
    <n v="1765"/>
    <x v="527"/>
    <x v="155"/>
    <s v="Gedung Sequis Center-PT Prospero"/>
    <m/>
    <s v="PT. PLN Distribusi Jakarta Raya dan Tangerang Gedung F Jl. M.I Ridwan Rais No.1 Jakarta 10110 Telp 021-3512444"/>
    <s v="BAGI HASIL"/>
    <x v="5"/>
    <x v="67"/>
    <m/>
    <m/>
    <s v="Metronet"/>
    <m/>
    <m/>
    <x v="1"/>
    <m/>
    <m/>
    <x v="60"/>
    <n v="0.2"/>
    <x v="764"/>
    <d v="2025-10-15T00:00:00"/>
    <x v="2"/>
    <m/>
    <d v="2024-09-06T00:00:00"/>
    <n v="404"/>
    <x v="6"/>
    <x v="3"/>
    <m/>
    <m/>
    <m/>
    <s v="Syifa Fauziyah"/>
    <m/>
    <m/>
    <m/>
    <m/>
    <m/>
    <m/>
    <m/>
    <m/>
    <m/>
    <m/>
    <m/>
  </r>
  <r>
    <n v="1766"/>
    <x v="528"/>
    <x v="45"/>
    <s v="Data Center The Energy-PT Api Metra Graha"/>
    <m/>
    <s v="Jl. Gedung The Energy  (Medco Tower) Lot 11A SCB Jalan Sudirman Kav.52-53 Jakarta 12190"/>
    <s v="BAGI HASIL"/>
    <x v="5"/>
    <x v="1141"/>
    <m/>
    <m/>
    <s v="Metronet"/>
    <m/>
    <m/>
    <x v="265"/>
    <m/>
    <m/>
    <x v="60"/>
    <n v="0.12"/>
    <x v="916"/>
    <d v="2024-10-29T00:00:00"/>
    <x v="2"/>
    <m/>
    <d v="2024-09-06T00:00:00"/>
    <n v="53"/>
    <x v="6"/>
    <x v="1"/>
    <m/>
    <m/>
    <m/>
    <s v="Syifa Fauziyah"/>
    <s v="Putra"/>
    <s v="+62 813-9913-1331"/>
    <m/>
    <m/>
    <m/>
    <m/>
    <m/>
    <m/>
    <m/>
    <m/>
    <m/>
  </r>
  <r>
    <n v="1767"/>
    <x v="528"/>
    <x v="1032"/>
    <s v="Data Center The Energy-PT Api Metra Graha"/>
    <m/>
    <m/>
    <s v="BAGI HASIL"/>
    <x v="5"/>
    <x v="1142"/>
    <m/>
    <m/>
    <s v="IPVPN"/>
    <m/>
    <m/>
    <x v="98"/>
    <m/>
    <m/>
    <x v="60"/>
    <n v="0.12"/>
    <x v="916"/>
    <d v="2024-10-29T00:00:00"/>
    <x v="2"/>
    <m/>
    <d v="2024-09-06T00:00:00"/>
    <n v="53"/>
    <x v="6"/>
    <x v="1"/>
    <m/>
    <m/>
    <m/>
    <s v="Syifa Fauziyah"/>
    <m/>
    <m/>
    <m/>
    <m/>
    <m/>
    <m/>
    <m/>
    <m/>
    <m/>
    <m/>
    <m/>
  </r>
  <r>
    <n v="1768"/>
    <x v="529"/>
    <x v="1033"/>
    <s v="Gedung Wisma Keia/wisma kyoe prince"/>
    <m/>
    <s v="Kawasan Industri Indotaisei, Sektor IA Blok F-1A Kalihurip, Cikampek 41373, Jawa Barat"/>
    <s v="BAGI HASIL"/>
    <x v="5"/>
    <x v="67"/>
    <m/>
    <m/>
    <s v="Metronet"/>
    <m/>
    <m/>
    <x v="4"/>
    <m/>
    <m/>
    <x v="60"/>
    <n v="0.2"/>
    <x v="469"/>
    <d v="2024-11-30T00:00:00"/>
    <x v="2"/>
    <m/>
    <d v="2024-09-06T00:00:00"/>
    <n v="85"/>
    <x v="2"/>
    <x v="1"/>
    <m/>
    <m/>
    <m/>
    <s v="Syifa Fauziyah"/>
    <s v="Ella, Reza"/>
    <s v="+62 812-8325-0922, +62 852-2700-9180"/>
    <m/>
    <m/>
    <m/>
    <m/>
    <m/>
    <m/>
    <m/>
    <m/>
    <m/>
  </r>
  <r>
    <n v="1769"/>
    <x v="530"/>
    <x v="200"/>
    <s v="Kawasan Alam Sutera- Netciti Persada"/>
    <m/>
    <s v="Primacom, Gedung Primacom Alam Sutera"/>
    <s v="BAGI HASIL"/>
    <x v="5"/>
    <x v="67"/>
    <n v="1000010268"/>
    <m/>
    <s v="Metronet"/>
    <m/>
    <m/>
    <x v="10"/>
    <m/>
    <m/>
    <x v="60"/>
    <n v="0.35"/>
    <x v="1016"/>
    <d v="2025-11-25T00:00:00"/>
    <x v="2"/>
    <m/>
    <d v="2024-09-06T00:00:00"/>
    <n v="445"/>
    <x v="2"/>
    <x v="3"/>
    <m/>
    <m/>
    <m/>
    <s v="Syifa Fauziyah"/>
    <s v="Carolline, Bayu"/>
    <s v="+62 878-8796-8292, +62 812-8138-1207"/>
    <m/>
    <m/>
    <m/>
    <m/>
    <m/>
    <m/>
    <m/>
    <m/>
    <m/>
  </r>
  <r>
    <n v="1770"/>
    <x v="530"/>
    <x v="1034"/>
    <s v="Kawasan Alam Sutera- Netciti Persada"/>
    <m/>
    <s v="Jl. Raya Serpong Km.2 Pakulonan Serpong Tangerang 15325"/>
    <s v="BAGI HASIL"/>
    <x v="5"/>
    <x v="1143"/>
    <m/>
    <m/>
    <s v="Metronet"/>
    <m/>
    <m/>
    <x v="43"/>
    <m/>
    <m/>
    <x v="60"/>
    <n v="0.35"/>
    <x v="1016"/>
    <d v="2025-11-25T00:00:00"/>
    <x v="2"/>
    <m/>
    <d v="2024-09-06T00:00:00"/>
    <n v="445"/>
    <x v="2"/>
    <x v="3"/>
    <m/>
    <m/>
    <m/>
    <s v="Syifa Fauziyah"/>
    <s v="Carolline, Bayu"/>
    <m/>
    <m/>
    <m/>
    <m/>
    <m/>
    <m/>
    <m/>
    <m/>
    <m/>
    <m/>
  </r>
  <r>
    <n v="1771"/>
    <x v="530"/>
    <x v="192"/>
    <s v="Kawasan Alam Sutera- Netciti Persada"/>
    <m/>
    <m/>
    <s v="BAGI HASIL"/>
    <x v="5"/>
    <x v="67"/>
    <s v="110120202474 / 0990000320358255"/>
    <m/>
    <s v="Metronet"/>
    <m/>
    <m/>
    <x v="35"/>
    <m/>
    <m/>
    <x v="60"/>
    <n v="0.35"/>
    <x v="1016"/>
    <d v="2025-11-25T00:00:00"/>
    <x v="2"/>
    <m/>
    <d v="2024-09-06T00:00:00"/>
    <n v="445"/>
    <x v="2"/>
    <x v="3"/>
    <m/>
    <m/>
    <m/>
    <s v="Syifa Fauziyah"/>
    <s v="Carolline, Bayu"/>
    <m/>
    <m/>
    <m/>
    <m/>
    <m/>
    <m/>
    <m/>
    <m/>
    <m/>
    <m/>
  </r>
  <r>
    <n v="1772"/>
    <x v="530"/>
    <x v="168"/>
    <s v="Kawasan Alam Sutera- Netciti Persada"/>
    <m/>
    <s v="PT INDROBUANA BULK TRANSPORT, The Prominence Office Tower 19 th Jln Sutra Barat Kav 15 Alam Sutra Tanggerang"/>
    <s v="BAGI HASIL"/>
    <x v="5"/>
    <x v="67"/>
    <s v="0990000320501489"/>
    <m/>
    <s v="Metronet"/>
    <m/>
    <m/>
    <x v="30"/>
    <m/>
    <m/>
    <x v="60"/>
    <n v="0.35"/>
    <x v="1016"/>
    <d v="2025-11-25T00:00:00"/>
    <x v="2"/>
    <m/>
    <d v="2024-09-06T00:00:00"/>
    <n v="445"/>
    <x v="2"/>
    <x v="3"/>
    <m/>
    <m/>
    <m/>
    <s v="Syifa Fauziyah"/>
    <s v="Carolline, Bayu"/>
    <m/>
    <m/>
    <m/>
    <m/>
    <m/>
    <m/>
    <m/>
    <m/>
    <m/>
    <m/>
  </r>
  <r>
    <n v="1773"/>
    <x v="530"/>
    <x v="17"/>
    <s v="Kawasan Alam Sutera- Netciti Persada"/>
    <m/>
    <s v="KCP Tangerang - Alam Sutera Komp. Perumahan Alam Sutera, Jl. Jalur Sutera Kav. 29 D No. 25, Kel. Pakualam, Kec. Serpong, Tangerang"/>
    <s v="BAGI HASIL"/>
    <x v="5"/>
    <x v="1144"/>
    <m/>
    <m/>
    <s v="Metronet"/>
    <m/>
    <m/>
    <x v="135"/>
    <m/>
    <m/>
    <x v="60"/>
    <n v="0.35"/>
    <x v="1016"/>
    <d v="2025-11-25T00:00:00"/>
    <x v="2"/>
    <m/>
    <d v="2024-09-06T00:00:00"/>
    <n v="445"/>
    <x v="2"/>
    <x v="3"/>
    <m/>
    <m/>
    <m/>
    <s v="Syifa Fauziyah"/>
    <s v="Carolline, Bayu"/>
    <m/>
    <m/>
    <m/>
    <m/>
    <m/>
    <m/>
    <m/>
    <m/>
    <m/>
    <m/>
  </r>
  <r>
    <n v="1774"/>
    <x v="530"/>
    <x v="1035"/>
    <s v="Kawasan Alam Sutera- Netciti Persada"/>
    <m/>
    <s v="KCP ALAM SUTRA, RUKO JALUR ALAM SUTERA 29A NO.1 SERPONG, TANGERANG (INTERKONEKSI NETCITY)"/>
    <s v="BAGI HASIL"/>
    <x v="5"/>
    <x v="67"/>
    <s v="0990000320510486"/>
    <m/>
    <s v="IPVPN"/>
    <m/>
    <m/>
    <x v="255"/>
    <m/>
    <m/>
    <x v="60"/>
    <n v="0.35"/>
    <x v="1016"/>
    <d v="2025-11-25T00:00:00"/>
    <x v="2"/>
    <m/>
    <d v="2024-09-06T00:00:00"/>
    <n v="445"/>
    <x v="2"/>
    <x v="3"/>
    <m/>
    <m/>
    <m/>
    <s v="Syifa Fauziyah"/>
    <s v="Carolline, Bayu"/>
    <m/>
    <m/>
    <m/>
    <m/>
    <m/>
    <m/>
    <m/>
    <m/>
    <m/>
    <m/>
  </r>
  <r>
    <n v="1775"/>
    <x v="530"/>
    <x v="1036"/>
    <s v="Kawasan Alam Sutera- Netciti Persada"/>
    <m/>
    <s v="AC80 ALAM SUTERA 4 JL. JALUR SUTERA 10A NO. B 7 &amp; 8 KEL. KUNCIRAN, KEC. PINANG TANGERANG (Serpong)"/>
    <s v="BAGI HASIL"/>
    <x v="5"/>
    <x v="67"/>
    <s v="01000168013"/>
    <m/>
    <s v="Full Manage Service Router + IP VPN Link"/>
    <m/>
    <m/>
    <x v="541"/>
    <m/>
    <m/>
    <x v="60"/>
    <n v="0.35"/>
    <x v="1016"/>
    <d v="2025-11-25T00:00:00"/>
    <x v="2"/>
    <m/>
    <d v="2024-09-06T00:00:00"/>
    <n v="445"/>
    <x v="2"/>
    <x v="3"/>
    <m/>
    <m/>
    <m/>
    <s v="Syifa Fauziyah"/>
    <s v="Carolline, Bayu"/>
    <m/>
    <m/>
    <m/>
    <m/>
    <m/>
    <m/>
    <m/>
    <m/>
    <m/>
    <m/>
  </r>
  <r>
    <n v="1776"/>
    <x v="530"/>
    <x v="200"/>
    <s v="Kawasan Alam Sutera- Netciti Persada"/>
    <m/>
    <s v="PT Primacom Interbuana Gedung Prima Sejahtera Jl. Jalus Sutera Kav 5A, Kunciran Pinang, Kota Tangerang, Banten 15144"/>
    <s v="BAGI HASIL"/>
    <x v="5"/>
    <x v="1145"/>
    <m/>
    <m/>
    <s v="Metronet"/>
    <m/>
    <m/>
    <x v="542"/>
    <m/>
    <m/>
    <x v="60"/>
    <n v="0.35"/>
    <x v="1016"/>
    <d v="2025-11-25T00:00:00"/>
    <x v="2"/>
    <m/>
    <d v="2024-09-06T00:00:00"/>
    <n v="445"/>
    <x v="2"/>
    <x v="3"/>
    <m/>
    <m/>
    <m/>
    <s v="Syifa Fauziyah"/>
    <s v="Carolline, Bayu"/>
    <m/>
    <m/>
    <m/>
    <m/>
    <m/>
    <m/>
    <m/>
    <m/>
    <m/>
    <m/>
  </r>
  <r>
    <n v="1777"/>
    <x v="530"/>
    <x v="1037"/>
    <s v="Kawasan Alam Sutera- Netciti Persada"/>
    <m/>
    <s v="KCP Jakarta Serpong, Komplek Pertokoan Alam Sutra, jl. Jalur sutra Kav. 29A No. 3, pakualam, Serpong Utara, Kota tangerang Selatan, Banten Indonesia 15320"/>
    <s v="BAGI HASIL"/>
    <x v="5"/>
    <x v="1146"/>
    <m/>
    <m/>
    <s v="Metronet"/>
    <m/>
    <m/>
    <x v="543"/>
    <m/>
    <m/>
    <x v="60"/>
    <n v="0.35"/>
    <x v="1016"/>
    <d v="2025-11-25T00:00:00"/>
    <x v="2"/>
    <m/>
    <d v="2024-09-06T00:00:00"/>
    <n v="445"/>
    <x v="2"/>
    <x v="3"/>
    <m/>
    <m/>
    <m/>
    <s v="Syifa Fauziyah"/>
    <s v="Carolline, Bayu"/>
    <m/>
    <m/>
    <m/>
    <m/>
    <m/>
    <m/>
    <m/>
    <m/>
    <m/>
    <m/>
  </r>
  <r>
    <n v="1778"/>
    <x v="530"/>
    <x v="117"/>
    <s v="Kawasan Alam Sutera- Netciti Persada"/>
    <m/>
    <s v="AC80 ALAM SUTERA 4 JL. JALUR SUTERA 10A NO. B 7 &amp; 8 KEL. KUNCIRAN, KEC. PINANG TANGERANG (Serpong)"/>
    <s v="BAGI HASIL"/>
    <x v="5"/>
    <x v="1147"/>
    <s v="01000168013 "/>
    <m/>
    <s v="IPVPN"/>
    <m/>
    <m/>
    <x v="10"/>
    <m/>
    <m/>
    <x v="60"/>
    <n v="0.35"/>
    <x v="1016"/>
    <d v="2025-11-25T00:00:00"/>
    <x v="2"/>
    <m/>
    <d v="2024-09-06T00:00:00"/>
    <n v="445"/>
    <x v="2"/>
    <x v="3"/>
    <m/>
    <m/>
    <m/>
    <s v="Syifa Fauziyah"/>
    <s v="Carolline, Bayu"/>
    <m/>
    <m/>
    <m/>
    <m/>
    <m/>
    <m/>
    <m/>
    <m/>
    <m/>
    <m/>
  </r>
  <r>
    <n v="1779"/>
    <x v="530"/>
    <x v="1038"/>
    <s v="Kawasan Alam Sutera- Netciti Persada"/>
    <m/>
    <s v="(Node Serpong) Jl. Raya Serpong No.KM. 2, Pakulonan,  Kecamatan Serpong Utara,  Kota Tangerang Selatan,  Banten,  Indonesia,  15325"/>
    <s v="BAGI HASIL"/>
    <x v="5"/>
    <x v="1143"/>
    <m/>
    <m/>
    <s v="Metronet"/>
    <m/>
    <m/>
    <x v="1"/>
    <m/>
    <m/>
    <x v="60"/>
    <n v="0.35"/>
    <x v="1016"/>
    <d v="2025-11-25T00:00:00"/>
    <x v="2"/>
    <m/>
    <d v="2024-09-06T00:00:00"/>
    <n v="445"/>
    <x v="2"/>
    <x v="3"/>
    <m/>
    <m/>
    <m/>
    <s v="Syifa Fauziyah"/>
    <s v="Carolline, Bayu"/>
    <m/>
    <m/>
    <m/>
    <m/>
    <m/>
    <m/>
    <m/>
    <m/>
    <m/>
    <m/>
  </r>
  <r>
    <n v="1780"/>
    <x v="530"/>
    <x v="1039"/>
    <s v="Kawasan Alam Sutera- Netciti Persada"/>
    <m/>
    <s v="Ruko De Mansion Blok A. 10-12 Jl. Jalur Sutera, Kunciran, Pakualam, Kecamatan Pinang, Tangerang, Kabupaten Tangerang, Banten, Indonesia, 15320"/>
    <s v="BAGI HASIL"/>
    <x v="5"/>
    <x v="1148"/>
    <m/>
    <m/>
    <s v="Internet Corporate"/>
    <m/>
    <m/>
    <x v="544"/>
    <m/>
    <m/>
    <x v="60"/>
    <n v="0.35"/>
    <x v="1016"/>
    <d v="2025-11-25T00:00:00"/>
    <x v="2"/>
    <m/>
    <d v="2024-09-06T00:00:00"/>
    <n v="445"/>
    <x v="2"/>
    <x v="3"/>
    <m/>
    <m/>
    <m/>
    <s v="Syifa Fauziyah"/>
    <s v="Carolline, Bayu"/>
    <m/>
    <m/>
    <m/>
    <m/>
    <m/>
    <m/>
    <m/>
    <m/>
    <m/>
    <m/>
  </r>
  <r>
    <n v="1781"/>
    <x v="530"/>
    <x v="461"/>
    <s v="Kawasan Alam Sutera- Netciti Persada"/>
    <m/>
    <s v="Bank Mandiri Tangerang Kunciran"/>
    <s v="BAGI HASIL"/>
    <x v="5"/>
    <x v="67"/>
    <n v="1000331808"/>
    <m/>
    <s v="IPVPN"/>
    <m/>
    <m/>
    <x v="545"/>
    <m/>
    <m/>
    <x v="60"/>
    <n v="0.35"/>
    <x v="1016"/>
    <d v="2025-11-25T00:00:00"/>
    <x v="2"/>
    <m/>
    <d v="2024-09-06T00:00:00"/>
    <n v="445"/>
    <x v="2"/>
    <x v="3"/>
    <m/>
    <m/>
    <m/>
    <s v="Syifa Fauziyah"/>
    <s v="Carolline, Bayu"/>
    <m/>
    <m/>
    <m/>
    <m/>
    <m/>
    <m/>
    <m/>
    <m/>
    <m/>
    <m/>
  </r>
  <r>
    <n v="1782"/>
    <x v="530"/>
    <x v="1040"/>
    <s v="kawasan alam sutera- Netciti Persada"/>
    <m/>
    <s v="Gd. Waskita Rajawali tower Jl. MT Haryono Jl. Letjen M.T. Haryono No.Kav. 12-13, RT.4/RW.11, Bidara Cina, Kecamatan Jatinegara, Kota Jakarta Timur, Daerah Khusus Ibukota Jakarta 13330,Jati Negara ,Jakarta Timur"/>
    <s v="BAGI HASIL"/>
    <x v="5"/>
    <x v="67"/>
    <s v="08000192117"/>
    <m/>
    <s v="internet corporate"/>
    <m/>
    <m/>
    <x v="546"/>
    <m/>
    <m/>
    <x v="60"/>
    <n v="0.25"/>
    <x v="1017"/>
    <d v="2026-03-07T00:00:00"/>
    <x v="2"/>
    <m/>
    <d v="2024-09-06T00:00:00"/>
    <n v="547"/>
    <x v="8"/>
    <x v="7"/>
    <m/>
    <m/>
    <m/>
    <s v="Syifa Fauziyah"/>
    <s v="Carolline, Bayu"/>
    <s v="+62 878-8796-8292"/>
    <m/>
    <m/>
    <m/>
    <m/>
    <m/>
    <m/>
    <m/>
    <m/>
    <m/>
  </r>
  <r>
    <n v="1783"/>
    <x v="531"/>
    <x v="1041"/>
    <s v="Gedung Plaza Oleos"/>
    <m/>
    <s v="ASTELLAS PHARMA INC. 5th floor, Plaza Oleos Jl. TB Simatupang Kav. 53A, Jakarta Indonesia"/>
    <s v="BAGI HASIL"/>
    <x v="5"/>
    <x v="67"/>
    <m/>
    <m/>
    <s v="Metronet"/>
    <m/>
    <m/>
    <x v="128"/>
    <m/>
    <m/>
    <x v="60"/>
    <n v="0.125"/>
    <x v="1018"/>
    <d v="2024-09-12T00:00:00"/>
    <x v="1"/>
    <m/>
    <d v="2024-09-06T00:00:00"/>
    <n v="6"/>
    <x v="7"/>
    <x v="1"/>
    <m/>
    <m/>
    <m/>
    <s v="Syifa Fauziyah"/>
    <s v="Cattleya Ayu P"/>
    <s v="tr@plazaoleos.com, bm@plazaoleos.com"/>
    <m/>
    <m/>
    <m/>
    <m/>
    <m/>
    <m/>
    <m/>
    <m/>
    <s v="Deaktivasi"/>
  </r>
  <r>
    <n v="1784"/>
    <x v="532"/>
    <x v="63"/>
    <s v="Gedung AD Premier-Puriampera"/>
    <m/>
    <s v="Gedung AD Premier Tb.Simatupang Jl.Tb.Simatupang No.5 Lantai 6 Jakarta Selatan"/>
    <s v="BAGI HASIL"/>
    <x v="5"/>
    <x v="67"/>
    <s v="01000104273"/>
    <m/>
    <s v="Metronet"/>
    <m/>
    <m/>
    <x v="30"/>
    <m/>
    <m/>
    <x v="60"/>
    <n v="0.15"/>
    <x v="1019"/>
    <d v="2025-09-15T00:00:00"/>
    <x v="2"/>
    <m/>
    <d v="2024-09-06T00:00:00"/>
    <n v="374"/>
    <x v="7"/>
    <x v="3"/>
    <m/>
    <m/>
    <m/>
    <s v="Syifa Fauziyah"/>
    <s v="Dian"/>
    <s v="+62 853-1100-4452"/>
    <m/>
    <m/>
    <m/>
    <m/>
    <m/>
    <m/>
    <m/>
    <m/>
    <m/>
  </r>
  <r>
    <n v="1785"/>
    <x v="533"/>
    <x v="1042"/>
    <s v="Kawasan Summarecon Bekasi- JJUP"/>
    <m/>
    <s v="Toyota Astra Finance Bekasi, Ruko Emerald Blok UA No. 12 Summarecon Bekasi,"/>
    <s v="BAGI HASIL"/>
    <x v="5"/>
    <x v="1149"/>
    <m/>
    <m/>
    <s v="Metronet"/>
    <m/>
    <m/>
    <x v="156"/>
    <m/>
    <m/>
    <x v="60"/>
    <n v="0.12"/>
    <x v="1020"/>
    <d v="2028-06-05T00:00:00"/>
    <x v="2"/>
    <m/>
    <d v="2024-09-06T00:00:00"/>
    <n v="1368"/>
    <x v="3"/>
    <x v="10"/>
    <m/>
    <m/>
    <m/>
    <s v="Syifa Fauziyah"/>
    <s v="Cynthia"/>
    <s v="+62 821-1200-8400"/>
    <m/>
    <m/>
    <m/>
    <m/>
    <m/>
    <m/>
    <m/>
    <m/>
    <m/>
  </r>
  <r>
    <n v="1786"/>
    <x v="533"/>
    <x v="1043"/>
    <s v="Kawasan Summarecon Bekasi- JJUP"/>
    <m/>
    <s v="Menara Mandiri Bekasi, Jl. Boulevard ahmad yani RT06/02 Marga mulya(lokasi persis Kantor Pemasaran Summarecon Bekasi). Kec. Bekasi Utara Kota Bekasi."/>
    <s v="BAGI HASIL"/>
    <x v="5"/>
    <x v="1150"/>
    <m/>
    <m/>
    <s v="Metronet"/>
    <m/>
    <m/>
    <x v="547"/>
    <m/>
    <m/>
    <x v="60"/>
    <n v="0.25"/>
    <x v="126"/>
    <d v="2026-01-02T00:00:00"/>
    <x v="2"/>
    <m/>
    <d v="2024-09-06T00:00:00"/>
    <n v="483"/>
    <x v="11"/>
    <x v="7"/>
    <m/>
    <m/>
    <m/>
    <s v="Syifa Fauziyah"/>
    <s v="Cynthia"/>
    <s v="+62 821-1200-8400"/>
    <m/>
    <m/>
    <m/>
    <m/>
    <m/>
    <m/>
    <m/>
    <m/>
    <m/>
  </r>
  <r>
    <n v="1787"/>
    <x v="534"/>
    <x v="1044"/>
    <s v="Kawasan Krakatau Steel- KIT"/>
    <m/>
    <s v="PT sentral grain terminal site Cilegon, tegalratu, ciwandan, kota cilegon, banten"/>
    <s v="BAGI HASIL"/>
    <x v="5"/>
    <x v="1151"/>
    <m/>
    <m/>
    <s v="Internet Corporate"/>
    <s v="20 Mbps"/>
    <m/>
    <x v="293"/>
    <m/>
    <m/>
    <x v="60"/>
    <n v="0.35"/>
    <x v="1021"/>
    <d v="2028-08-31T00:00:00"/>
    <x v="2"/>
    <m/>
    <d v="2024-09-06T00:00:00"/>
    <n v="1455"/>
    <x v="12"/>
    <x v="10"/>
    <m/>
    <m/>
    <m/>
    <s v="Syifa Fauziyah"/>
    <s v="Diki, Desy"/>
    <s v="+62 878-6709-7788"/>
    <m/>
    <m/>
    <m/>
    <m/>
    <m/>
    <m/>
    <m/>
    <m/>
    <m/>
  </r>
  <r>
    <n v="1788"/>
    <x v="534"/>
    <x v="1045"/>
    <s v="Kawasan Krakatau Steel- KIT"/>
    <m/>
    <s v="JL. Amerika 1 kaw. Industri krakatau citangkil, kota cilegon, banten"/>
    <s v="BAGI HASIL"/>
    <x v="5"/>
    <x v="1152"/>
    <m/>
    <m/>
    <s v="Internet Corporate"/>
    <s v="100 Mbps"/>
    <m/>
    <x v="548"/>
    <m/>
    <m/>
    <x v="60"/>
    <n v="0.35"/>
    <x v="1021"/>
    <d v="2028-08-31T00:00:00"/>
    <x v="2"/>
    <m/>
    <d v="2024-09-06T00:00:00"/>
    <n v="1455"/>
    <x v="12"/>
    <x v="10"/>
    <m/>
    <m/>
    <m/>
    <s v="Syifa Fauziyah"/>
    <s v="Diki, Desy"/>
    <s v="+62 878-6709-7788"/>
    <m/>
    <m/>
    <m/>
    <m/>
    <m/>
    <m/>
    <m/>
    <m/>
    <m/>
  </r>
  <r>
    <n v="1789"/>
    <x v="534"/>
    <x v="1046"/>
    <s v="Kawasan Krakatau Steel- KIT"/>
    <m/>
    <s v="Jl. Asia 1 Kav G3. Kawasan Industri Krakatau. Kel. Kotasari, Ramanuju, Kec. Purwakarta, Cilegon, Banten, Indonesia 42436"/>
    <s v="BAGI HASIL"/>
    <x v="5"/>
    <x v="1153"/>
    <m/>
    <m/>
    <s v="Internet Corporate"/>
    <s v="5 Mbps"/>
    <m/>
    <x v="51"/>
    <m/>
    <m/>
    <x v="60"/>
    <n v="0.35"/>
    <x v="1021"/>
    <d v="2028-08-31T00:00:00"/>
    <x v="2"/>
    <m/>
    <d v="2024-09-06T00:00:00"/>
    <n v="1455"/>
    <x v="12"/>
    <x v="10"/>
    <m/>
    <m/>
    <m/>
    <s v="Syifa Fauziyah"/>
    <s v="Diki, Desy"/>
    <s v="+62 878-6709-7788"/>
    <m/>
    <m/>
    <m/>
    <m/>
    <m/>
    <m/>
    <m/>
    <m/>
    <m/>
  </r>
  <r>
    <n v="1790"/>
    <x v="534"/>
    <x v="1047"/>
    <s v="Kawasan Krakatau Steel- KIT"/>
    <m/>
    <s v="PT. Tokki EF (Ex PT GSU) Kawasan IEC, Jl. Australia I, Warnasari, Kec. Citangkil, Kota Cilegon, Banten, Indonesia 42443"/>
    <s v="BAGI HASIL"/>
    <x v="5"/>
    <x v="1153"/>
    <m/>
    <m/>
    <s v="Internet Corporate"/>
    <s v="50 mbps "/>
    <m/>
    <x v="128"/>
    <m/>
    <m/>
    <x v="60"/>
    <n v="0.35"/>
    <x v="1021"/>
    <d v="2028-08-31T00:00:00"/>
    <x v="2"/>
    <m/>
    <d v="2024-09-06T00:00:00"/>
    <n v="1455"/>
    <x v="12"/>
    <x v="10"/>
    <m/>
    <m/>
    <m/>
    <s v="Syifa Fauziyah"/>
    <s v="Diki, Desy"/>
    <s v="+62 878-6709-7788"/>
    <m/>
    <m/>
    <m/>
    <m/>
    <m/>
    <m/>
    <m/>
    <m/>
    <m/>
  </r>
  <r>
    <n v="1791"/>
    <x v="534"/>
    <x v="1048"/>
    <s v="Kawasan Krakatau Steel- KIT"/>
    <m/>
    <s v="PT SCG Barito Logistics (Pergudangan Australia) Cilegon, Ramanuju, Kec. Purwakarta, Kota Cilegon Banten, Indonesia 42432"/>
    <s v="BAGI HASIL"/>
    <x v="5"/>
    <x v="1154"/>
    <m/>
    <m/>
    <s v="Internet Corporate"/>
    <s v="30 Mbps"/>
    <m/>
    <x v="17"/>
    <m/>
    <m/>
    <x v="60"/>
    <n v="0.35"/>
    <x v="1021"/>
    <d v="2028-08-31T00:00:00"/>
    <x v="2"/>
    <m/>
    <d v="2024-09-06T00:00:00"/>
    <n v="1455"/>
    <x v="12"/>
    <x v="10"/>
    <m/>
    <m/>
    <m/>
    <s v="Syifa Fauziyah"/>
    <s v="Diki, Desy"/>
    <s v="+62 878-6709-7788"/>
    <m/>
    <m/>
    <m/>
    <m/>
    <m/>
    <m/>
    <m/>
    <m/>
    <m/>
  </r>
  <r>
    <n v="1792"/>
    <x v="534"/>
    <x v="1049"/>
    <s v="Kawasan Krakatau Steel- KIT"/>
    <m/>
    <s v="PT Rohm and Haas Indonesia  Jl. Eropa III Kav M2 Krakatau Industrial Estate Cilegon Warnasari,  Citangkil,  Kota Cilegon,  Banten"/>
    <s v="BAGI HASIL"/>
    <x v="5"/>
    <x v="1155"/>
    <m/>
    <m/>
    <s v="Internet Corporate"/>
    <s v="5 Mbps"/>
    <m/>
    <x v="35"/>
    <m/>
    <m/>
    <x v="60"/>
    <n v="0.35"/>
    <x v="1021"/>
    <d v="2028-08-31T00:00:00"/>
    <x v="2"/>
    <m/>
    <d v="2024-09-06T00:00:00"/>
    <n v="1455"/>
    <x v="12"/>
    <x v="10"/>
    <m/>
    <m/>
    <m/>
    <s v="Syifa Fauziyah"/>
    <s v="Diki, Desy"/>
    <s v="+62 878-6709-7788"/>
    <m/>
    <m/>
    <m/>
    <m/>
    <m/>
    <m/>
    <m/>
    <m/>
    <m/>
  </r>
  <r>
    <n v="1793"/>
    <x v="534"/>
    <x v="1050"/>
    <s v="Kawasan Krakatau Steel- KIT"/>
    <m/>
    <s v="PT Daekyung Heavy Industry Kawasan KIEC Jalan Australia II Kavling 1, Kec. Citangkil, Kota Cilegon, Banten, Indonesia. 42443"/>
    <s v="BAGI HASIL"/>
    <x v="5"/>
    <x v="1156"/>
    <m/>
    <m/>
    <s v="Internet Corporate"/>
    <s v="20 Mbps"/>
    <m/>
    <x v="317"/>
    <m/>
    <m/>
    <x v="60"/>
    <n v="0.35"/>
    <x v="1021"/>
    <d v="2028-08-31T00:00:00"/>
    <x v="2"/>
    <m/>
    <d v="2024-09-06T00:00:00"/>
    <n v="1455"/>
    <x v="12"/>
    <x v="10"/>
    <m/>
    <m/>
    <m/>
    <s v="Syifa Fauziyah"/>
    <s v="Diki, Desy"/>
    <s v="+62 878-6709-7788"/>
    <m/>
    <m/>
    <m/>
    <m/>
    <m/>
    <m/>
    <m/>
    <m/>
    <m/>
  </r>
  <r>
    <n v="1794"/>
    <x v="534"/>
    <x v="1051"/>
    <s v="Kawasan Krakatau Steel- KIT"/>
    <m/>
    <s v="Jl. Eropa II, Kav E3 KIEC. Cilegon - Banten, Cilegon, Banten, Indonesia, 42435"/>
    <s v="BAGI HASIL"/>
    <x v="5"/>
    <x v="1157"/>
    <m/>
    <m/>
    <s v="Internet Corporate"/>
    <s v="50 Mbps dan Bronze Units"/>
    <m/>
    <x v="42"/>
    <m/>
    <m/>
    <x v="60"/>
    <n v="0.35"/>
    <x v="1021"/>
    <d v="2028-08-31T00:00:00"/>
    <x v="2"/>
    <m/>
    <d v="2024-09-06T00:00:00"/>
    <n v="1455"/>
    <x v="12"/>
    <x v="10"/>
    <m/>
    <m/>
    <m/>
    <s v="Syifa Fauziyah"/>
    <s v="Diki, Desy"/>
    <s v="+62 878-6709-7788"/>
    <m/>
    <m/>
    <m/>
    <m/>
    <m/>
    <m/>
    <m/>
    <m/>
    <m/>
  </r>
  <r>
    <n v="1795"/>
    <x v="534"/>
    <x v="1052"/>
    <s v="Kawasan Krakatau Steel- KIT"/>
    <m/>
    <s v="PT Timah Industri Jl. Eropa 1 Kav A3 Kawasan Industrial Estate, Kotasari, Kec. Cilegon, Cilegon, Banten, Indonesia 42435"/>
    <s v="BAGI HASIL"/>
    <x v="5"/>
    <x v="1158"/>
    <m/>
    <m/>
    <s v="Internet Corporate"/>
    <s v="50 Mbps"/>
    <m/>
    <x v="2"/>
    <m/>
    <m/>
    <x v="60"/>
    <n v="0.35"/>
    <x v="1021"/>
    <d v="2028-08-31T00:00:00"/>
    <x v="2"/>
    <m/>
    <d v="2024-09-06T00:00:00"/>
    <n v="1455"/>
    <x v="12"/>
    <x v="10"/>
    <m/>
    <m/>
    <m/>
    <s v="Syifa Fauziyah"/>
    <s v="Diki, Desy"/>
    <s v="+62 878-6709-7788"/>
    <m/>
    <m/>
    <m/>
    <m/>
    <m/>
    <m/>
    <m/>
    <m/>
    <m/>
  </r>
  <r>
    <n v="1796"/>
    <x v="534"/>
    <x v="1053"/>
    <s v="Kawasan Krakatau Steel- KIT"/>
    <m/>
    <s v="Jl. Eropa 1 Kav P2 KOTASARI CILEGON Kawasan Industrial Estate, Kotasari, Kec. Cilegon, Cilegon, Banten, Indonesia 42435"/>
    <s v="BAGI HASIL"/>
    <x v="5"/>
    <x v="1159"/>
    <m/>
    <m/>
    <s v="internet corporate"/>
    <s v="50 Mbps"/>
    <m/>
    <x v="50"/>
    <m/>
    <m/>
    <x v="60"/>
    <n v="0.35"/>
    <x v="1021"/>
    <d v="2028-08-31T00:00:00"/>
    <x v="2"/>
    <m/>
    <d v="2024-09-06T00:00:00"/>
    <n v="1455"/>
    <x v="12"/>
    <x v="10"/>
    <m/>
    <m/>
    <m/>
    <s v="Syifa Fauziyah"/>
    <s v="Diki, Desy"/>
    <s v="+62 878-6709-7788"/>
    <m/>
    <m/>
    <m/>
    <m/>
    <m/>
    <m/>
    <m/>
    <m/>
    <m/>
  </r>
  <r>
    <n v="1797"/>
    <x v="535"/>
    <x v="1054"/>
    <s v="CENTRA SARANA DATA"/>
    <m/>
    <s v="Jakarta office UOB plaza, Lt.37, unit 2- jl. M.H. thamrin no. kav. 8-10, rt.14/rw.20, kb. Melati, kec. Tanah abang, jakarta pusat"/>
    <s v="BAGI HASIL"/>
    <x v="5"/>
    <x v="67"/>
    <s v="1000118630"/>
    <m/>
    <s v="IPVPN"/>
    <m/>
    <m/>
    <x v="549"/>
    <m/>
    <m/>
    <x v="60"/>
    <n v="0.2"/>
    <x v="538"/>
    <d v="2024-07-28T00:00:00"/>
    <x v="2"/>
    <m/>
    <d v="2024-09-06T00:00:00"/>
    <n v="-40"/>
    <x v="1"/>
    <x v="1"/>
    <m/>
    <m/>
    <m/>
    <s v="Syifa Fauziyah"/>
    <s v="Reza, ella"/>
    <s v="+62 852-2700-9180"/>
    <m/>
    <m/>
    <m/>
    <m/>
    <m/>
    <m/>
    <m/>
    <m/>
    <s v="Permintaan pic gedung sementara di hold dulu karena internal sedang ada proses perubahan akta,  setelah perubahan sudah selesai akan kami infokan kembali, addendum di backdate"/>
  </r>
  <r>
    <n v="1798"/>
    <x v="536"/>
    <x v="1055"/>
    <s v="Gedung Graha Pertamina- Patra Jasa"/>
    <m/>
    <s v="H2H BRI Pertamina, PT. Patra Jasa Graha Pertamina Building Management, Ground Floor, JL. Medan Merdeka Timur Kav. 11-13, Gambir Jakarta Pusat, DKI Jakarta"/>
    <s v="BAGI HASIL"/>
    <x v="5"/>
    <x v="1160"/>
    <m/>
    <m/>
    <s v="IPVPN"/>
    <m/>
    <m/>
    <x v="550"/>
    <m/>
    <m/>
    <x v="60"/>
    <n v="0.2"/>
    <x v="1022"/>
    <d v="2026-09-20T00:00:00"/>
    <x v="2"/>
    <m/>
    <d v="2024-09-06T00:00:00"/>
    <n v="744"/>
    <x v="7"/>
    <x v="7"/>
    <m/>
    <m/>
    <m/>
    <s v="Syifa Fauziyah"/>
    <s v="Abel, Rudi"/>
    <s v="+62 815-1763-0007, +62 878-7836-6269"/>
    <m/>
    <m/>
    <m/>
    <m/>
    <m/>
    <m/>
    <m/>
    <m/>
    <m/>
  </r>
  <r>
    <n v="1799"/>
    <x v="536"/>
    <x v="1056"/>
    <s v="Gedung Graha Pertamina- Patra Jasa"/>
    <m/>
    <s v="Graha pertamina, II, Jl. Medan Merdeka Timur No. 6, RT6/RW1, Gambir, Kec. Gambir, Jakarta Pusat."/>
    <s v="BAGI HASIL"/>
    <x v="5"/>
    <x v="1161"/>
    <m/>
    <m/>
    <s v="Metronet"/>
    <m/>
    <m/>
    <x v="5"/>
    <m/>
    <m/>
    <x v="60"/>
    <n v="0.2"/>
    <x v="1022"/>
    <d v="2026-09-20T00:00:00"/>
    <x v="2"/>
    <m/>
    <d v="2024-09-06T00:00:00"/>
    <n v="744"/>
    <x v="7"/>
    <x v="7"/>
    <m/>
    <m/>
    <m/>
    <s v="Syifa Fauziyah"/>
    <s v="Abel, Rudi"/>
    <m/>
    <m/>
    <m/>
    <m/>
    <m/>
    <m/>
    <m/>
    <m/>
    <m/>
    <m/>
  </r>
  <r>
    <n v="1800"/>
    <x v="536"/>
    <x v="1056"/>
    <s v="Gedung Graha Pertamina- Patra Jasa"/>
    <m/>
    <s v="Graha pertamina, II, Jl. Medan Merdeka Timur No. 6, RT6/RW1, Gambir, Kec. Gambir, Jakarta Pusat."/>
    <s v="BAGI HASIL"/>
    <x v="5"/>
    <x v="1162"/>
    <m/>
    <m/>
    <s v="Metronet"/>
    <m/>
    <m/>
    <x v="5"/>
    <m/>
    <m/>
    <x v="60"/>
    <n v="0.2"/>
    <x v="1022"/>
    <d v="2026-09-20T00:00:00"/>
    <x v="2"/>
    <m/>
    <d v="2024-09-06T00:00:00"/>
    <n v="744"/>
    <x v="7"/>
    <x v="7"/>
    <m/>
    <m/>
    <m/>
    <s v="Syifa Fauziyah"/>
    <s v="Abel, Rudi"/>
    <m/>
    <m/>
    <m/>
    <m/>
    <m/>
    <m/>
    <m/>
    <m/>
    <m/>
    <m/>
  </r>
  <r>
    <n v="1801"/>
    <x v="536"/>
    <x v="1057"/>
    <s v="Gedung Graha Pertamina- Patra Jasa"/>
    <m/>
    <s v="Graha Pertamina, II, JL. Medan Merdeka Timur No. 6, Rt6/RW1, Gambir, Kec. Gambar, Jakarta Pusat"/>
    <s v="BAGI HASIL"/>
    <x v="5"/>
    <x v="1163"/>
    <m/>
    <m/>
    <s v="IPVPN"/>
    <m/>
    <m/>
    <x v="551"/>
    <m/>
    <m/>
    <x v="60"/>
    <n v="0.2"/>
    <x v="1022"/>
    <d v="2026-09-20T00:00:00"/>
    <x v="2"/>
    <m/>
    <d v="2024-09-06T00:00:00"/>
    <n v="744"/>
    <x v="7"/>
    <x v="7"/>
    <m/>
    <m/>
    <m/>
    <s v="Syifa Fauziyah"/>
    <s v="Abel, Rudi"/>
    <m/>
    <m/>
    <m/>
    <m/>
    <m/>
    <m/>
    <m/>
    <m/>
    <m/>
    <m/>
  </r>
  <r>
    <n v="1802"/>
    <x v="536"/>
    <x v="1057"/>
    <s v="Gedung Graha Pertamina- Patra Jasa"/>
    <m/>
    <s v="Graha Pertamina, II, JL. Medan Merdeka Timur No. 6, Rt6/RW1, Gambir, Kec. Gambar, Jakarta Pusat"/>
    <s v="BAGI HASIL"/>
    <x v="5"/>
    <x v="1164"/>
    <m/>
    <m/>
    <s v="Metronet"/>
    <m/>
    <m/>
    <x v="202"/>
    <m/>
    <m/>
    <x v="60"/>
    <n v="0.2"/>
    <x v="1022"/>
    <d v="2026-09-20T00:00:00"/>
    <x v="2"/>
    <m/>
    <d v="2024-09-06T00:00:00"/>
    <n v="744"/>
    <x v="7"/>
    <x v="7"/>
    <m/>
    <m/>
    <m/>
    <s v="Syifa Fauziyah"/>
    <s v="Abel, Rudi"/>
    <m/>
    <m/>
    <m/>
    <m/>
    <m/>
    <m/>
    <m/>
    <m/>
    <m/>
    <m/>
  </r>
  <r>
    <n v="1803"/>
    <x v="536"/>
    <x v="1058"/>
    <s v="Gedung Graha Pertamina- Patra Jasa"/>
    <m/>
    <s v="Graha Pertamina, II, JL. Medan Merdeka Timur No. 6, Rt6/RW1, Gambir, Kec. Gambar, Jakarta Pusat"/>
    <s v="BAGI HASIL"/>
    <x v="5"/>
    <x v="1165"/>
    <m/>
    <m/>
    <s v="IP Transit IX_x000a_"/>
    <m/>
    <m/>
    <x v="552"/>
    <m/>
    <m/>
    <x v="60"/>
    <n v="0.2"/>
    <x v="1022"/>
    <d v="2026-09-20T00:00:00"/>
    <x v="2"/>
    <m/>
    <d v="2024-09-06T00:00:00"/>
    <n v="744"/>
    <x v="7"/>
    <x v="7"/>
    <m/>
    <m/>
    <m/>
    <s v="Syifa Fauziyah"/>
    <s v="Abel, Rudi"/>
    <m/>
    <m/>
    <m/>
    <m/>
    <m/>
    <m/>
    <m/>
    <m/>
    <m/>
    <m/>
  </r>
  <r>
    <n v="1804"/>
    <x v="536"/>
    <x v="1059"/>
    <s v="Gedung Graha Pertamina- Patra Jasa"/>
    <m/>
    <s v="Graha Pertamina, II, JL. Medan Merdeka Timur No. 6, Rt6/RW1, Gambir, Kec. Gambar, Jakarta Pusat"/>
    <s v="BAGI HASIL"/>
    <x v="5"/>
    <x v="1166"/>
    <m/>
    <m/>
    <s v="IPVPN"/>
    <m/>
    <m/>
    <x v="2"/>
    <m/>
    <m/>
    <x v="60"/>
    <n v="0.2"/>
    <x v="1022"/>
    <d v="2026-09-20T00:00:00"/>
    <x v="2"/>
    <m/>
    <d v="2024-09-06T00:00:00"/>
    <n v="744"/>
    <x v="7"/>
    <x v="7"/>
    <m/>
    <m/>
    <m/>
    <s v="Syifa Fauziyah"/>
    <s v="Abel, Rudi"/>
    <m/>
    <m/>
    <m/>
    <m/>
    <m/>
    <m/>
    <m/>
    <m/>
    <m/>
    <m/>
  </r>
  <r>
    <n v="1805"/>
    <x v="117"/>
    <x v="1060"/>
    <s v="Nex Data Center- CBN"/>
    <m/>
    <s v="NEX Data Center  (gedung Menara Tendean). Jl. Kapt Tendean no. 20C,,Kuningan Barat ,Jakarta Selatan ,DKI Jakarta ,Indonesia ,12710   "/>
    <s v="BAGI HASIL"/>
    <x v="5"/>
    <x v="1167"/>
    <m/>
    <m/>
    <s v="IPVPN"/>
    <m/>
    <m/>
    <x v="27"/>
    <m/>
    <m/>
    <x v="60"/>
    <n v="0.15"/>
    <x v="1023"/>
    <d v="2027-06-14T00:00:00"/>
    <x v="2"/>
    <m/>
    <d v="2024-09-06T00:00:00"/>
    <n v="1011"/>
    <x v="3"/>
    <x v="8"/>
    <m/>
    <m/>
    <m/>
    <s v="Syifa Fauziyah"/>
    <s v="Haryanto"/>
    <s v="+62 857-1543-8354"/>
    <m/>
    <m/>
    <m/>
    <m/>
    <m/>
    <m/>
    <m/>
    <m/>
    <m/>
  </r>
  <r>
    <n v="1806"/>
    <x v="117"/>
    <x v="1061"/>
    <s v="Nex Data Center- CBN"/>
    <m/>
    <s v="Perumahan puri krakatau hijau blok b3 no 12,  Gerogol,  Kota Cilegon,  Banten,  Indonesia,  "/>
    <s v="BAGI HASIL"/>
    <x v="5"/>
    <x v="1168"/>
    <m/>
    <m/>
    <s v="Metronet"/>
    <m/>
    <m/>
    <x v="259"/>
    <m/>
    <m/>
    <x v="60"/>
    <n v="0.15"/>
    <x v="1023"/>
    <d v="2027-06-14T00:00:00"/>
    <x v="2"/>
    <m/>
    <d v="2024-09-06T00:00:00"/>
    <n v="1011"/>
    <x v="3"/>
    <x v="8"/>
    <m/>
    <m/>
    <m/>
    <s v="Syifa Fauziyah"/>
    <s v="Haryanto"/>
    <s v="+62 857-1543-8354"/>
    <m/>
    <m/>
    <m/>
    <m/>
    <m/>
    <m/>
    <m/>
    <m/>
    <m/>
  </r>
  <r>
    <n v="1807"/>
    <x v="117"/>
    <x v="1062"/>
    <s v="Nex Data Center- CBN"/>
    <m/>
    <s v="Desa Pasurenan RT 03/02 Pasurenan Batur, Banjarnegara 53456,  Batur,  Kabupaten Banjarnegara,  Jawa Tengah,  Indonesia,  53456"/>
    <s v="BAGI HASIL"/>
    <x v="5"/>
    <x v="1169"/>
    <m/>
    <m/>
    <s v="Metronet"/>
    <m/>
    <m/>
    <x v="16"/>
    <m/>
    <m/>
    <x v="60"/>
    <n v="0.15"/>
    <x v="1023"/>
    <d v="2027-06-14T00:00:00"/>
    <x v="2"/>
    <m/>
    <d v="2024-09-06T00:00:00"/>
    <n v="1011"/>
    <x v="3"/>
    <x v="8"/>
    <m/>
    <m/>
    <m/>
    <s v="Syifa Fauziyah"/>
    <s v="Haryanto"/>
    <s v="+62 857-1543-8354"/>
    <m/>
    <m/>
    <m/>
    <m/>
    <m/>
    <m/>
    <m/>
    <m/>
    <m/>
  </r>
  <r>
    <n v="1808"/>
    <x v="117"/>
    <x v="1063"/>
    <s v="Nex Data Center- CBN"/>
    <m/>
    <s v="NEX Data Center Menara Tendean Lt. 6, Jl. Kapten Tendean No.20C,  Mampang Prapatan,  Jakarta Selatan,  DKI Jakarta,  Indonesia,  12710"/>
    <s v="BAGI HASIL"/>
    <x v="5"/>
    <x v="1170"/>
    <m/>
    <m/>
    <s v="Metronet"/>
    <m/>
    <m/>
    <x v="11"/>
    <m/>
    <m/>
    <x v="60"/>
    <n v="0.15"/>
    <x v="1023"/>
    <d v="2027-06-14T00:00:00"/>
    <x v="2"/>
    <m/>
    <d v="2024-09-06T00:00:00"/>
    <n v="1011"/>
    <x v="3"/>
    <x v="8"/>
    <m/>
    <m/>
    <m/>
    <s v="Syifa Fauziyah"/>
    <s v="Haryanto"/>
    <s v="+62 857-1543-8354"/>
    <m/>
    <m/>
    <m/>
    <m/>
    <m/>
    <m/>
    <m/>
    <m/>
    <m/>
  </r>
  <r>
    <n v="1809"/>
    <x v="537"/>
    <x v="410"/>
    <s v="Gedung The Vida"/>
    <m/>
    <s v="PT Ingenico International Indonesia. Gedung The Vida Jl. Perjuangan No. 8 RT1/RW7. kb.Jeruk, Kebun Jeruk Jakarta Barat "/>
    <s v="BAGI HASIL"/>
    <x v="5"/>
    <x v="67"/>
    <s v="01000309354"/>
    <m/>
    <s v="Metronet"/>
    <s v="15 Mbps"/>
    <m/>
    <x v="27"/>
    <m/>
    <m/>
    <x v="60"/>
    <n v="0.15"/>
    <x v="660"/>
    <d v="2026-10-31T00:00:00"/>
    <x v="2"/>
    <m/>
    <d v="2024-09-06T00:00:00"/>
    <n v="785"/>
    <x v="6"/>
    <x v="7"/>
    <m/>
    <m/>
    <m/>
    <s v="Syifa Fauziyah"/>
    <s v="Bili Haksari, Nuni"/>
    <s v="+62 878-8852-2364, +62 812-5438-210"/>
    <m/>
    <m/>
    <m/>
    <m/>
    <m/>
    <m/>
    <m/>
    <m/>
    <m/>
  </r>
  <r>
    <n v="1810"/>
    <x v="537"/>
    <x v="1064"/>
    <s v="Gedung The Vida"/>
    <m/>
    <s v="PT Selago Makmur Plantation Jl. Raya Perjuangan No. 8 Kebon Jeruk, Jakarta Barat 11530"/>
    <s v="BAGI HASIL"/>
    <x v="5"/>
    <x v="67"/>
    <s v="04000006625"/>
    <m/>
    <s v="Akses internet"/>
    <s v="10 Mbps"/>
    <m/>
    <x v="7"/>
    <m/>
    <m/>
    <x v="60"/>
    <n v="0.15"/>
    <x v="660"/>
    <d v="2026-10-31T00:00:00"/>
    <x v="2"/>
    <m/>
    <d v="2024-09-06T00:00:00"/>
    <n v="785"/>
    <x v="6"/>
    <x v="7"/>
    <m/>
    <m/>
    <m/>
    <s v="Syifa Fauziyah"/>
    <s v="Bili Haksari, Nuni"/>
    <m/>
    <m/>
    <m/>
    <m/>
    <m/>
    <m/>
    <m/>
    <m/>
    <m/>
    <m/>
  </r>
  <r>
    <n v="1811"/>
    <x v="538"/>
    <x v="1065"/>
    <s v="AEON MALL "/>
    <m/>
    <s v="PT AEON INDONESIA Jl. BSD Raya Utama Unit M-02 Mezzanine Floor desa pagedangan, pagedangan, kabupaten tangerang, banten.15820"/>
    <s v="BAGI HASIL"/>
    <x v="5"/>
    <x v="67"/>
    <s v="04000300722"/>
    <m/>
    <s v="Internet Corporate"/>
    <s v="20 Mbps"/>
    <m/>
    <x v="63"/>
    <m/>
    <m/>
    <x v="60"/>
    <n v="0.15"/>
    <x v="1024"/>
    <d v="2029-09-01T00:00:00"/>
    <x v="2"/>
    <m/>
    <d v="2024-09-06T00:00:00"/>
    <n v="1821"/>
    <x v="7"/>
    <x v="9"/>
    <m/>
    <m/>
    <m/>
    <s v="Syifa Fauziyah"/>
    <s v="Riki"/>
    <s v="+62 813-1775-0724"/>
    <m/>
    <m/>
    <m/>
    <m/>
    <m/>
    <m/>
    <m/>
    <m/>
    <s v="tahap reminder pengelola"/>
  </r>
  <r>
    <n v="1812"/>
    <x v="539"/>
    <x v="1066"/>
    <s v="Gd. Midpoint"/>
    <m/>
    <s v="Jl. H. Fachrudin No.26, RT.9/RW.5, Kp. Bali, Kecamatan Tanah Abang, Kota Jakarta Pusat, Daerah Khusus Ibukota Jakarta,- ,Jakarta Pusat ,DKI Jakarta ,Indonesia ,10250"/>
    <s v="BAGI HASIL"/>
    <x v="5"/>
    <x v="67"/>
    <s v="111303010635"/>
    <m/>
    <s v="Metronet"/>
    <s v="100 Mbps"/>
    <m/>
    <x v="553"/>
    <m/>
    <m/>
    <x v="60"/>
    <n v="0.2"/>
    <x v="594"/>
    <d v="2027-02-28T00:00:00"/>
    <x v="2"/>
    <m/>
    <d v="2024-09-06T00:00:00"/>
    <n v="905"/>
    <x v="9"/>
    <x v="8"/>
    <m/>
    <m/>
    <m/>
    <s v="Syifa Fauziyah"/>
    <s v="Hendro"/>
    <s v="+62 859-2124-0288"/>
    <m/>
    <m/>
    <m/>
    <m/>
    <m/>
    <m/>
    <m/>
    <m/>
    <m/>
  </r>
  <r>
    <n v="1813"/>
    <x v="539"/>
    <x v="1066"/>
    <s v="Gd. Midpoint"/>
    <m/>
    <s v="Jl. H. Fachrudin No.26, RT.9/RW.5, Kp. Bali, Kecamatan Tanah Abang, Kota Jakarta Pusat, Daerah Khusus Ibukota Jakarta,- ,Jakarta Pusat ,DKI Jakarta ,Indonesia ,10250"/>
    <s v="BAGI HASIL"/>
    <x v="5"/>
    <x v="67"/>
    <s v="111302003779"/>
    <m/>
    <s v="IIX "/>
    <s v="50 Mbps"/>
    <m/>
    <x v="59"/>
    <m/>
    <m/>
    <x v="60"/>
    <n v="0.2"/>
    <x v="594"/>
    <d v="2027-02-28T00:00:00"/>
    <x v="2"/>
    <m/>
    <d v="2024-09-06T00:00:00"/>
    <n v="905"/>
    <x v="9"/>
    <x v="8"/>
    <m/>
    <m/>
    <m/>
    <s v="Syifa Fauziyah"/>
    <s v="Hendro"/>
    <s v="+62 859-2124-0288"/>
    <m/>
    <m/>
    <m/>
    <m/>
    <m/>
    <m/>
    <m/>
    <m/>
    <m/>
  </r>
  <r>
    <n v="1814"/>
    <x v="539"/>
    <x v="1066"/>
    <s v="Gd. Midpoint"/>
    <m/>
    <s v="Jl. H. Fachrudin No.26, RT.9/RW.5, Kp. Bali, Kecamatan Tanah Abang, Kota Jakarta Pusat, Daerah Khusus Ibukota Jakarta,- ,Jakarta Pusat ,DKI Jakarta ,Indonesia ,10250"/>
    <s v="BAGI HASIL"/>
    <x v="5"/>
    <x v="67"/>
    <s v="111601011652"/>
    <m/>
    <s v="Router Gold    (gold unit)"/>
    <m/>
    <m/>
    <x v="11"/>
    <m/>
    <m/>
    <x v="60"/>
    <n v="0.2"/>
    <x v="594"/>
    <d v="2027-02-28T00:00:00"/>
    <x v="2"/>
    <m/>
    <d v="2024-09-06T00:00:00"/>
    <n v="905"/>
    <x v="9"/>
    <x v="8"/>
    <m/>
    <m/>
    <m/>
    <s v="Syifa Fauziyah"/>
    <s v="Hendro"/>
    <s v="+62 859-2124-0288"/>
    <m/>
    <m/>
    <m/>
    <m/>
    <m/>
    <m/>
    <m/>
    <m/>
    <m/>
  </r>
  <r>
    <n v="1815"/>
    <x v="539"/>
    <x v="1066"/>
    <s v="Gd. Midpoint"/>
    <m/>
    <s v="Jl. H. Fachrudin No.26, RT.9/RW.5, Kp. Bali, Kecamatan Tanah Abang, Kota Jakarta Pusat, Daerah Khusus Ibukota Jakarta,- ,Jakarta Pusat ,DKI Jakarta ,Indonesia ,10251"/>
    <s v="BAGI HASIL"/>
    <x v="5"/>
    <x v="67"/>
    <s v="111610001541"/>
    <m/>
    <s v="Internet corporate (access point)"/>
    <s v="1 Mbps"/>
    <m/>
    <x v="540"/>
    <m/>
    <m/>
    <x v="60"/>
    <n v="0.2"/>
    <x v="594"/>
    <d v="2027-02-28T00:00:00"/>
    <x v="2"/>
    <m/>
    <d v="2024-09-06T00:00:00"/>
    <n v="905"/>
    <x v="9"/>
    <x v="8"/>
    <m/>
    <m/>
    <m/>
    <s v="Syifa Fauziyah"/>
    <s v="Hendro"/>
    <s v="+62 859-2124-0288"/>
    <m/>
    <m/>
    <m/>
    <m/>
    <m/>
    <m/>
    <m/>
    <m/>
    <m/>
  </r>
  <r>
    <n v="1816"/>
    <x v="539"/>
    <x v="1066"/>
    <s v="Gd. Midpoint"/>
    <m/>
    <s v="Jl. H. Fachrudin No.26, RT.9/RW.5, Kp. Bali, Kecamatan Tanah Abang, Kota Jakarta Pusat, Daerah Khusus Ibukota Jakarta,- ,Jakarta Pusat ,DKI Jakarta ,Indonesia ,10252"/>
    <s v="BAGI HASIL"/>
    <x v="5"/>
    <x v="67"/>
    <s v="111610001542"/>
    <m/>
    <s v="Internet corporate  (access point)"/>
    <s v="1 Mbps"/>
    <m/>
    <x v="540"/>
    <m/>
    <m/>
    <x v="60"/>
    <n v="0.2"/>
    <x v="594"/>
    <d v="2027-02-28T00:00:00"/>
    <x v="2"/>
    <m/>
    <d v="2024-09-06T00:00:00"/>
    <n v="905"/>
    <x v="9"/>
    <x v="8"/>
    <m/>
    <m/>
    <m/>
    <s v="Syifa Fauziyah"/>
    <s v="Hendro"/>
    <s v="+62 859-2124-0288"/>
    <m/>
    <m/>
    <m/>
    <m/>
    <m/>
    <m/>
    <m/>
    <m/>
    <m/>
  </r>
  <r>
    <n v="1817"/>
    <x v="539"/>
    <x v="1066"/>
    <s v="Gd. Midpoint"/>
    <m/>
    <s v="Jl. H. Fachrudin No.26, RT.9/RW.5, Kp. Bali, Kecamatan Tanah Abang, Kota Jakarta Pusat, Daerah Khusus Ibukota Jakarta,- ,Jakarta Pusat ,DKI Jakarta ,Indonesia ,10253"/>
    <s v="BAGI HASIL"/>
    <x v="5"/>
    <x v="67"/>
    <s v="111610001543"/>
    <m/>
    <s v="Internet corporate  (access point)"/>
    <s v="1 Mbps"/>
    <m/>
    <x v="540"/>
    <m/>
    <m/>
    <x v="60"/>
    <n v="0.2"/>
    <x v="594"/>
    <d v="2027-02-28T00:00:00"/>
    <x v="2"/>
    <m/>
    <d v="2024-09-06T00:00:00"/>
    <n v="905"/>
    <x v="9"/>
    <x v="8"/>
    <m/>
    <m/>
    <m/>
    <s v="Syifa Fauziyah"/>
    <s v="Hendro"/>
    <s v="+62 859-2124-0288"/>
    <m/>
    <m/>
    <m/>
    <m/>
    <m/>
    <m/>
    <m/>
    <m/>
    <m/>
  </r>
  <r>
    <n v="1818"/>
    <x v="539"/>
    <x v="1066"/>
    <s v="Gd. Midpoint"/>
    <m/>
    <s v="Jl. H. Fachrudin No.26, RT.9/RW.5, Kp. Bali, Kecamatan Tanah Abang, Kota Jakarta Pusat, Daerah Khusus Ibukota Jakarta,- ,Jakarta Pusat ,DKI Jakarta ,Indonesia ,10254"/>
    <s v="BAGI HASIL"/>
    <x v="5"/>
    <x v="67"/>
    <s v="110130308948 / 04000354168"/>
    <m/>
    <s v="Access internet "/>
    <s v="30 Mbps"/>
    <m/>
    <x v="554"/>
    <m/>
    <m/>
    <x v="60"/>
    <n v="0.2"/>
    <x v="594"/>
    <d v="2027-02-28T00:00:00"/>
    <x v="2"/>
    <m/>
    <d v="2024-09-06T00:00:00"/>
    <n v="905"/>
    <x v="9"/>
    <x v="8"/>
    <m/>
    <m/>
    <m/>
    <s v="Syifa Fauziyah"/>
    <s v="Hendro"/>
    <s v="+62 859-2124-0288"/>
    <m/>
    <m/>
    <m/>
    <m/>
    <m/>
    <m/>
    <m/>
    <m/>
    <m/>
  </r>
  <r>
    <n v="1819"/>
    <x v="539"/>
    <x v="1066"/>
    <s v="Gd. Midpoint"/>
    <m/>
    <s v="Jl. H. Fachrudin No.26, RT.9/RW.5, Kp. Bali, Kecamatan Tanah Abang, Kota Jakarta Pusat, Daerah Khusus Ibukota Jakarta,- ,Jakarta Pusat ,DKI Jakarta ,Indonesia ,10255"/>
    <s v="BAGI HASIL"/>
    <x v="5"/>
    <x v="67"/>
    <s v="110130203277 / 04000355368"/>
    <m/>
    <s v="Access internet "/>
    <s v="80 Mbps"/>
    <m/>
    <x v="555"/>
    <m/>
    <m/>
    <x v="60"/>
    <n v="0.2"/>
    <x v="594"/>
    <d v="2027-02-28T00:00:00"/>
    <x v="2"/>
    <m/>
    <d v="2024-09-06T00:00:00"/>
    <n v="905"/>
    <x v="9"/>
    <x v="8"/>
    <m/>
    <m/>
    <m/>
    <s v="Syifa Fauziyah"/>
    <s v="Hendro"/>
    <s v="+62 859-2124-0288"/>
    <m/>
    <m/>
    <m/>
    <m/>
    <m/>
    <m/>
    <m/>
    <m/>
    <m/>
  </r>
  <r>
    <n v="1820"/>
    <x v="539"/>
    <x v="1066"/>
    <s v="Gd. Midpoint"/>
    <m/>
    <s v="Jl. H. Fachrudin No.26, RT.9/RW.5, Kp. Bali, Kecamatan Tanah Abang, Kota Jakarta Pusat, Daerah Khusus Ibukota Jakarta,- ,Jakarta Pusat ,DKI Jakarta ,Indonesia ,10256"/>
    <s v="BAGI HASIL"/>
    <x v="5"/>
    <x v="67"/>
    <s v="110160109313 / 02000355372"/>
    <m/>
    <s v="GOLD"/>
    <m/>
    <m/>
    <x v="556"/>
    <m/>
    <m/>
    <x v="60"/>
    <n v="0.2"/>
    <x v="594"/>
    <d v="2027-02-28T00:00:00"/>
    <x v="2"/>
    <m/>
    <d v="2024-09-06T00:00:00"/>
    <n v="905"/>
    <x v="9"/>
    <x v="8"/>
    <m/>
    <m/>
    <m/>
    <s v="Syifa Fauziyah"/>
    <s v="Hendro"/>
    <s v="+62 859-2124-0288"/>
    <m/>
    <m/>
    <m/>
    <m/>
    <m/>
    <m/>
    <m/>
    <m/>
    <m/>
  </r>
  <r>
    <n v="1821"/>
    <x v="540"/>
    <x v="1067"/>
    <s v="Kawasan Blessindo"/>
    <m/>
    <s v="Jl. Raya H. Tabrani No.228 Cirarab, Legok, Kabupaten Tangerang. Banten."/>
    <s v="BAGI HASIL"/>
    <x v="5"/>
    <x v="1171"/>
    <s v="04000334582"/>
    <m/>
    <s v="Internet BB    "/>
    <s v="100 Mbps"/>
    <m/>
    <x v="11"/>
    <m/>
    <m/>
    <x v="60"/>
    <n v="0.15"/>
    <x v="436"/>
    <d v="2023-12-31T00:00:00"/>
    <x v="0"/>
    <m/>
    <d v="2024-09-06T00:00:00"/>
    <n v="-250"/>
    <x v="5"/>
    <x v="6"/>
    <m/>
    <m/>
    <m/>
    <s v="Syifa Fauziyah"/>
    <s v="Rivando"/>
    <s v="+62 811 8985 953"/>
    <m/>
    <m/>
    <m/>
    <m/>
    <m/>
    <m/>
    <m/>
    <m/>
    <s v="proses addendum perpanjangan"/>
  </r>
  <r>
    <n v="1822"/>
    <x v="534"/>
    <x v="1068"/>
    <s v="Kawasan Krakatau Steel- KIT"/>
    <m/>
    <s v="Jl. Amerika kawasan industri krakatau"/>
    <s v="BAGI HASIL"/>
    <x v="5"/>
    <x v="67"/>
    <s v="111303010377"/>
    <m/>
    <s v="internet corp"/>
    <s v="100 Mbps"/>
    <m/>
    <x v="224"/>
    <m/>
    <m/>
    <x v="60"/>
    <n v="0.35"/>
    <x v="1021"/>
    <d v="2028-08-31T00:00:00"/>
    <x v="2"/>
    <m/>
    <d v="2024-09-06T00:00:00"/>
    <n v="1455"/>
    <x v="12"/>
    <x v="10"/>
    <m/>
    <m/>
    <m/>
    <s v="Syifa Fauziyah"/>
    <s v="Diki "/>
    <s v="+62 878-6709-7788"/>
    <m/>
    <m/>
    <m/>
    <m/>
    <m/>
    <m/>
    <m/>
    <m/>
    <m/>
  </r>
  <r>
    <n v="1823"/>
    <x v="117"/>
    <x v="1069"/>
    <s v="Nex Data Center- CBN"/>
    <m/>
    <s v="Gd. Mten Jl. Kap. Tendean Jakarta selatan"/>
    <s v="BAGI HASIL"/>
    <x v="5"/>
    <x v="67"/>
    <s v="111202017456"/>
    <m/>
    <s v="Metronet"/>
    <s v=" 30 Mbps"/>
    <m/>
    <x v="557"/>
    <m/>
    <m/>
    <x v="60"/>
    <n v="0.15"/>
    <x v="1023"/>
    <d v="2027-06-14T00:00:00"/>
    <x v="2"/>
    <m/>
    <d v="2024-09-06T00:00:00"/>
    <n v="1011"/>
    <x v="3"/>
    <x v="8"/>
    <m/>
    <m/>
    <m/>
    <s v="Syifa Fauziyah"/>
    <s v="Haryanto"/>
    <s v="+62 857-1543-8354"/>
    <m/>
    <m/>
    <m/>
    <m/>
    <m/>
    <m/>
    <m/>
    <m/>
    <m/>
  </r>
  <r>
    <n v="1824"/>
    <x v="117"/>
    <x v="1070"/>
    <s v="Nex Data Center- CBN"/>
    <m/>
    <s v="Gd. Mten Jl. Kap. Tendean Jakarta selatan"/>
    <s v="BAGI HASIL"/>
    <x v="5"/>
    <x v="67"/>
    <s v="111601011685"/>
    <m/>
    <s v="Metronet"/>
    <m/>
    <m/>
    <x v="558"/>
    <m/>
    <m/>
    <x v="60"/>
    <n v="0.15"/>
    <x v="1023"/>
    <d v="2027-06-14T00:00:00"/>
    <x v="2"/>
    <m/>
    <d v="2024-09-06T00:00:00"/>
    <n v="1011"/>
    <x v="3"/>
    <x v="8"/>
    <m/>
    <m/>
    <m/>
    <s v="Syifa Fauziyah"/>
    <s v="Haryanto"/>
    <s v="+62 857-1543-8354"/>
    <m/>
    <m/>
    <m/>
    <m/>
    <m/>
    <m/>
    <m/>
    <m/>
    <m/>
  </r>
  <r>
    <n v="1825"/>
    <x v="319"/>
    <x v="1071"/>
    <s v="Jl. MH. Thamrin Kav.3 Menara Thamrin Lt. 3 Kampung Bali Tanah Abang "/>
    <m/>
    <s v="Thamrin Menara Tower, Jl. M.H. Thamrin No.3, RT.10/RW.10, Kebon Sirih,, Kecamatan Menteng, Jakarta Pusat, DKI Jakarta, Indonesia, 10340, Lantai 25"/>
    <s v="BAGI HASIL"/>
    <x v="5"/>
    <x v="67"/>
    <s v="01000323064"/>
    <m/>
    <s v="Metronet"/>
    <s v="300 Mbps"/>
    <m/>
    <x v="559"/>
    <m/>
    <m/>
    <x v="60"/>
    <s v="7,5%"/>
    <x v="504"/>
    <d v="2025-12-31T00:00:00"/>
    <x v="2"/>
    <m/>
    <d v="2024-09-06T00:00:00"/>
    <n v="481"/>
    <x v="5"/>
    <x v="3"/>
    <m/>
    <m/>
    <m/>
    <s v="Syifa Fauziyah"/>
    <s v="Tika"/>
    <s v="+62 817-877-344"/>
    <m/>
    <m/>
    <m/>
    <m/>
    <m/>
    <m/>
    <m/>
    <m/>
    <m/>
  </r>
  <r>
    <n v="1826"/>
    <x v="516"/>
    <x v="424"/>
    <s v="Rasuna Office Park 3 Lt.4 Blok UO-11, Rasuna Epicentrum "/>
    <s v="Backhaul IDC D3"/>
    <s v="GEDUNG TEKNIS KUNINGAN (EPICENTRUM MALL PTSP), JL. HR RASUNA SAID KAV C / 21, KUNINGAN, JAKARTA SELATAN, DKI JAKARTA"/>
    <s v="Sewa Bulanan"/>
    <x v="0"/>
    <x v="1172"/>
    <s v="01000192946"/>
    <s v="99,50%"/>
    <s v="Metronet"/>
    <s v="100 Mbps"/>
    <m/>
    <x v="259"/>
    <m/>
    <m/>
    <x v="531"/>
    <m/>
    <x v="891"/>
    <d v="2025-04-30T00:00:00"/>
    <x v="2"/>
    <m/>
    <d v="2024-09-06T00:00:00"/>
    <n v="236"/>
    <x v="10"/>
    <x v="3"/>
    <s v="2462/SPP/SBU/ICON+/2024 | 4500022210"/>
    <s v="3412/SPP/SBU/PLNICONPLUS/2024"/>
    <n v="4500022819"/>
    <s v="Syifa Artianingsih"/>
    <s v="Andi"/>
    <s v="0878-7879-9501"/>
    <m/>
    <m/>
    <m/>
    <m/>
    <m/>
    <m/>
    <m/>
    <n v="221"/>
    <s v="Upgrade untuk PO 4500022210"/>
  </r>
  <r>
    <n v="1827"/>
    <x v="505"/>
    <x v="20"/>
    <s v="German Centre Building 3rd and 5th floor Jl. Kapt. Subijanto DJ Bumi Serpong Damai"/>
    <s v="PSN Mega Kuningan, 5th Floor Ged. Kantor Taman A9 Unit C3 &amp; C4Jl. Mega Kuningan Ray"/>
    <s v="DC Graha Telkomsigma/German Center BSD, Jalan Arteri Golf, Pakulonan Barat, Serpong Utara, Lengkong, Gudang, Kec. Serpong, Kota Tangerang Selatan, Banten"/>
    <s v="Sewa Tahunan"/>
    <x v="2"/>
    <x v="1173"/>
    <m/>
    <m/>
    <m/>
    <m/>
    <m/>
    <x v="560"/>
    <m/>
    <m/>
    <x v="16"/>
    <m/>
    <x v="508"/>
    <d v="2024-11-21T00:00:00"/>
    <x v="2"/>
    <m/>
    <d v="2024-09-06T00:00:00"/>
    <n v="76"/>
    <x v="2"/>
    <x v="1"/>
    <s v="17118/SPP/008/PUSAT/ICON+/2021 | 4500017256"/>
    <s v="3136/SPP/SBU/PLNICONPLUS/2024 "/>
    <n v="4500022576"/>
    <s v="Livia Indraswati"/>
    <s v="Yudhi Sukma"/>
    <m/>
    <m/>
    <m/>
    <m/>
    <m/>
    <m/>
    <m/>
    <m/>
    <s v="H96"/>
    <s v="1. Biaya cross connect Rp 12.000.000/thn From : ICON+ Lt. 3 Wing Barat dan To : PSN Lt. 2 Tengah"/>
  </r>
  <r>
    <n v="1828"/>
    <x v="29"/>
    <x v="341"/>
    <s v="Equity Tower 17th floor suiteF SCBD lot_x000a_ Jl Jend Sudirman Kav 52-53 Jakarta 12193"/>
    <s v="DCI CIBITUNG | JL. HALMAHERA NO.1 BLOK F1, DANAU INDAH, KEC. CIKARANG BAR., KABUPATEN BEKASI, JAWA BARAT 17530"/>
    <s v="DCI CIBITUNG | JL. HALMAHERA NO.1 BLOK F1, DANAU INDAH, KEC. CIKARANG BAR., KABUPATEN BEKASI, JAWA BARAT 17530"/>
    <s v="Sewa Tahunan"/>
    <x v="2"/>
    <x v="1174"/>
    <m/>
    <m/>
    <s v="Internet Corporate"/>
    <s v="500 Mbps"/>
    <m/>
    <x v="561"/>
    <m/>
    <m/>
    <x v="160"/>
    <m/>
    <x v="1025"/>
    <d v="2025-05-20T00:00:00"/>
    <x v="2"/>
    <m/>
    <d v="2024-09-06T00:00:00"/>
    <n v="256"/>
    <x v="4"/>
    <x v="3"/>
    <s v="baru"/>
    <s v="3468/SPP/SBU/PLNICONPLUS/2024"/>
    <n v="4500022817"/>
    <s v="Livia Indraswati"/>
    <s v="Ibu Asima"/>
    <s v="0821-10851125"/>
    <m/>
    <m/>
    <m/>
    <m/>
    <m/>
    <m/>
    <m/>
    <s v="H156"/>
    <s v="1. Biaya Sewa Cross Connect Rp 12.000.000/thn 2. Biaya OTC Rp 16.000.000"/>
  </r>
  <r>
    <n v="1829"/>
    <x v="444"/>
    <x v="1072"/>
    <s v="Jl Simprug Garden 1 Blok W No.11 RT.07/RW.03, Grogol Selatan, Kebayoran Lama, Jakarta Selatan, DKI Jakarta, 12220"/>
    <m/>
    <s v="GEDUNG PHE TOWER, JL. LETJEN. TB SIMATUPANG KAV. 99, JAKARTA SELATAN"/>
    <s v="Sewa Tahunan"/>
    <x v="1"/>
    <x v="1175"/>
    <m/>
    <m/>
    <s v="Metro Qinq"/>
    <s v="10 Gbps"/>
    <m/>
    <x v="562"/>
    <m/>
    <m/>
    <x v="17"/>
    <m/>
    <x v="1026"/>
    <d v="2025-04-02T00:00:00"/>
    <x v="2"/>
    <m/>
    <d v="2024-09-06T00:00:00"/>
    <n v="208"/>
    <x v="10"/>
    <x v="3"/>
    <s v="baru"/>
    <s v="3075/SPP/SBU/PLNICONPLUS/2024"/>
    <n v="4500022613"/>
    <s v="Livia Indraswati"/>
    <s v="Cindy Pratiwi"/>
    <s v="0857-2207-8712"/>
    <m/>
    <m/>
    <m/>
    <m/>
    <m/>
    <m/>
    <m/>
    <m/>
    <m/>
  </r>
  <r>
    <n v="1830"/>
    <x v="425"/>
    <x v="1073"/>
    <s v="Komplek Nilai Alam Ruko 1 KM 19"/>
    <m/>
    <s v="Backhaul DC BDDC Atria - Jl. Daan Mogot Km. 18 No. 18, Kalideres, Jakarta Barat - 11840"/>
    <s v="Sewa Tahunan"/>
    <x v="2"/>
    <x v="1176"/>
    <m/>
    <m/>
    <s v="IPVPN"/>
    <s v="100 Mbps"/>
    <m/>
    <x v="21"/>
    <m/>
    <s v="2.000.000"/>
    <x v="16"/>
    <m/>
    <x v="1027"/>
    <d v="2025-05-06T00:00:00"/>
    <x v="2"/>
    <m/>
    <d v="2024-09-06T00:00:00"/>
    <n v="242"/>
    <x v="4"/>
    <x v="3"/>
    <s v="baru"/>
    <s v="3372/SPP/SBU/PLNICONPLUS/2024"/>
    <n v="4500022736"/>
    <s v="Livia Indraswati"/>
    <s v="Debbi"/>
    <s v="0878-8221-1493"/>
    <m/>
    <m/>
    <m/>
    <m/>
    <m/>
    <m/>
    <m/>
    <s v="H152"/>
    <s v="1. Biaya Sewa 12.000.000 2. Biaya OTC Rp 2.000.000"/>
  </r>
  <r>
    <n v="1831"/>
    <x v="87"/>
    <x v="1074"/>
    <s v="Gedung Cyber Jl. Kuningan Barat No.8 Kuningan Barat Jakarta"/>
    <m/>
    <s v="Gedung Cyber LT 1, DC PT. Multitech Infomedia Rack B-14, Jakarta Selatan, DKI Jakarta, Indonesia."/>
    <s v="Sewa Tahunan"/>
    <x v="1"/>
    <x v="1177"/>
    <m/>
    <m/>
    <m/>
    <m/>
    <m/>
    <x v="563"/>
    <m/>
    <m/>
    <x v="9"/>
    <m/>
    <x v="1028"/>
    <d v="2024-03-30T00:00:00"/>
    <x v="0"/>
    <m/>
    <d v="2024-09-06T00:00:00"/>
    <n v="-160"/>
    <x v="8"/>
    <x v="1"/>
    <s v="baru"/>
    <s v="2670/SPP/SBU/ICON+/2024"/>
    <n v="4500022418"/>
    <s v="Livia Indraswati"/>
    <s v="Tito"/>
    <s v="021-5269588 Ext. 620"/>
    <m/>
    <m/>
    <m/>
    <m/>
    <m/>
    <m/>
    <m/>
    <s v="H10"/>
    <s v="1. Biaya sewa shaft Rp 17.000.000 (dari APJII ke Multitech di Lantai 1) untuk Perjanjian Kontrak 330/KN/Cable Shaft/III/2021"/>
  </r>
  <r>
    <n v="1832"/>
    <x v="87"/>
    <x v="1074"/>
    <s v="Gedung Cyber Jl. Kuningan Barat No.8 Kuningan Barat Jakarta"/>
    <m/>
    <s v="Gedung Cyber LT 1, DC PT. Multitech Infomedia Rack B-14, Jakarta Selatan, DKI Jakarta, Indonesia."/>
    <s v="Sewa Tahunan"/>
    <x v="1"/>
    <x v="1177"/>
    <m/>
    <m/>
    <m/>
    <m/>
    <m/>
    <x v="116"/>
    <m/>
    <m/>
    <x v="9"/>
    <m/>
    <x v="720"/>
    <d v="2025-03-30T00:00:00"/>
    <x v="2"/>
    <m/>
    <d v="2024-09-06T00:00:00"/>
    <n v="205"/>
    <x v="8"/>
    <x v="1"/>
    <m/>
    <s v="3938/SPP/SBU/ICON+/2024"/>
    <n v="4500023153"/>
    <s v="Livia Indraswati"/>
    <s v="Tito"/>
    <s v="021-5269588 Ext. 620"/>
    <m/>
    <m/>
    <m/>
    <m/>
    <m/>
    <m/>
    <m/>
    <s v="H269"/>
    <m/>
  </r>
  <r>
    <n v="1833"/>
    <x v="8"/>
    <x v="1075"/>
    <s v="Jalan Kuningan Barat No.8 Cyber 1nd &amp; 2 nd jakarta selatam 12710"/>
    <m/>
    <s v="Cyber 1"/>
    <s v="Sewa Tahunan"/>
    <x v="2"/>
    <x v="1178"/>
    <m/>
    <m/>
    <s v="Kapasitas Besar"/>
    <s v="5000 Mbps"/>
    <m/>
    <x v="60"/>
    <m/>
    <m/>
    <x v="18"/>
    <m/>
    <x v="1029"/>
    <d v="2025-05-28T00:00:00"/>
    <x v="2"/>
    <m/>
    <d v="2024-09-06T00:00:00"/>
    <n v="264"/>
    <x v="4"/>
    <x v="3"/>
    <s v="baru"/>
    <s v="3571/SPP/SBU/PLNICONPLUS/2024"/>
    <n v="4500022844"/>
    <s v="Livia Indraswati"/>
    <s v="Ira"/>
    <s v="0819-3243-0596"/>
    <m/>
    <m/>
    <m/>
    <m/>
    <m/>
    <m/>
    <m/>
    <s v="H171"/>
    <s v="1. Biaya Sewa 1.500.000/bln 2. Biaya OTC Rp 1.500.000"/>
  </r>
  <r>
    <n v="1834"/>
    <x v="8"/>
    <x v="62"/>
    <s v="Jalan Kuningan Barat No.8 Cyber 1nd &amp; 2 nd jakarta selatam 12710"/>
    <m/>
    <s v="Jl. Gatot Subroto No.Kav.38, Rt.6/Rw.1, Kuningan Bar., Kec. Mampang Prpt., Kota Jakarta Selatan, Daerah Khusus Ibukota Jakarta 12710. "/>
    <s v="Sewa Tahunan"/>
    <x v="2"/>
    <x v="1101"/>
    <m/>
    <m/>
    <s v="Internet Corporate"/>
    <s v="1 Gbps"/>
    <m/>
    <x v="56"/>
    <m/>
    <m/>
    <x v="18"/>
    <m/>
    <x v="1030"/>
    <d v="2025-05-16T00:00:00"/>
    <x v="2"/>
    <m/>
    <d v="2024-09-06T00:00:00"/>
    <n v="252"/>
    <x v="4"/>
    <x v="3"/>
    <s v="baru"/>
    <s v="3526/SPP/SBU/PLNICONPLUS/2024"/>
    <n v="4500022826"/>
    <s v="Livia Indraswati"/>
    <s v="Ira"/>
    <s v="0819-3243-0596"/>
    <m/>
    <m/>
    <m/>
    <m/>
    <m/>
    <m/>
    <m/>
    <s v="H157"/>
    <s v="1. Biaya Sewa 1.500.000/bln 2. Biaya OTC Rp 1.500.000"/>
  </r>
  <r>
    <n v="1835"/>
    <x v="162"/>
    <x v="1076"/>
    <s v="IDC Data Center Duren Tiga"/>
    <m/>
    <m/>
    <s v="Sewa Tahunan"/>
    <x v="2"/>
    <x v="67"/>
    <m/>
    <m/>
    <m/>
    <m/>
    <m/>
    <x v="56"/>
    <m/>
    <m/>
    <x v="327"/>
    <m/>
    <x v="587"/>
    <d v="2024-12-31T00:00:00"/>
    <x v="2"/>
    <m/>
    <d v="2024-06-24T00:00:00"/>
    <n v="190"/>
    <x v="5"/>
    <x v="1"/>
    <s v="baru"/>
    <s v="3369/SPP/SBU/PLNICONPLUS/2024"/>
    <n v="4500022782"/>
    <s v="Syifa Fauziyah"/>
    <m/>
    <m/>
    <m/>
    <m/>
    <m/>
    <m/>
    <m/>
    <m/>
    <m/>
    <s v="H218"/>
    <m/>
  </r>
  <r>
    <n v="1836"/>
    <x v="541"/>
    <x v="17"/>
    <s v="Roxy Square Lt. Basement Jl. Kyai Tapa No. 1 Jakarta Indonesia"/>
    <m/>
    <s v="ROXY SQUARE (Jl Kyai Tapa No 1 RT 010 RW010 Unit D3 Lower Ground) dan  ROXY SQUARE PRIMARY (Jl Kyai Tapa No 1 RT 010 RW010 Unit Lantai 3)"/>
    <s v="Sewa Tahunan"/>
    <x v="1"/>
    <x v="1179"/>
    <m/>
    <m/>
    <s v="Internet Dedicated"/>
    <m/>
    <m/>
    <x v="564"/>
    <m/>
    <m/>
    <x v="532"/>
    <m/>
    <x v="907"/>
    <d v="2025-06-30T00:00:00"/>
    <x v="2"/>
    <m/>
    <d v="2024-09-06T00:00:00"/>
    <n v="297"/>
    <x v="1"/>
    <x v="3"/>
    <s v="Baru"/>
    <s v="3467/SPP/SBU/PLNICONPLUS/2024"/>
    <n v="4500022816"/>
    <s v="Livia Indraswati"/>
    <s v="Rini"/>
    <s v="0896-5136-2528"/>
    <m/>
    <m/>
    <m/>
    <m/>
    <m/>
    <m/>
    <m/>
    <s v="H154"/>
    <s v="1. Biaya Sewa Penempatan Perangkat Rp 52.500.000 untuk Lantai LG dan Lantai 3"/>
  </r>
  <r>
    <n v="1837"/>
    <x v="542"/>
    <x v="1077"/>
    <s v="German Centre Building 3rd and 5th floor Jl. Kapt. Subijanto DJ Bumi Serpong Damai"/>
    <m/>
    <s v="BTN DC Sentul, Jl. IR. Juanda F07, Sentul City Babakan Madang, Bogor"/>
    <s v="Sewa Tahunan"/>
    <x v="2"/>
    <x v="1180"/>
    <m/>
    <m/>
    <s v="Metronet"/>
    <s v="100 Mbps"/>
    <m/>
    <x v="565"/>
    <m/>
    <m/>
    <x v="5"/>
    <m/>
    <x v="1030"/>
    <d v="2025-05-16T00:00:00"/>
    <x v="2"/>
    <m/>
    <d v="2024-09-06T00:00:00"/>
    <n v="252"/>
    <x v="4"/>
    <x v="3"/>
    <s v="baru"/>
    <s v="3531/SPP/SBU/PLNICONPLUS/2024 "/>
    <n v="4500022869"/>
    <s v="Syifa Fauziyah"/>
    <s v="Yudhi Sukma"/>
    <m/>
    <m/>
    <m/>
    <m/>
    <m/>
    <m/>
    <m/>
    <m/>
    <s v="H150"/>
    <s v="1. Biaya Sewa cross connect Rp 500.000/bln 2. Biaya OTC Rp 3.000.000 From : Rack ICON+ L2 MMR B To : Rack BTN L2 Rack 19"/>
  </r>
  <r>
    <n v="1838"/>
    <x v="542"/>
    <x v="268"/>
    <s v="German Centre Building 3rd and 5th floor Jl. Kapt. Subijanto DJ Bumi Serpong Damai"/>
    <m/>
    <s v="DC Telkomsigma Sentul Cijayanti"/>
    <s v="Sewa Tahunan"/>
    <x v="2"/>
    <x v="1181"/>
    <m/>
    <m/>
    <s v="Metronet"/>
    <s v="5 Mbps"/>
    <m/>
    <x v="510"/>
    <m/>
    <m/>
    <x v="5"/>
    <m/>
    <x v="1031"/>
    <d v="2025-03-04T00:00:00"/>
    <x v="2"/>
    <m/>
    <d v="2024-09-06T00:00:00"/>
    <n v="179"/>
    <x v="10"/>
    <x v="3"/>
    <s v="baru"/>
    <s v="3223/SPP/SBU/PLNICONPLUS/2024 "/>
    <n v="4500022735"/>
    <s v="Syifa Fauziyah"/>
    <s v="Yudhi Sukma"/>
    <m/>
    <m/>
    <m/>
    <m/>
    <m/>
    <m/>
    <m/>
    <m/>
    <s v="H149"/>
    <s v="1. Biaya Sewa cross connect Rp 500.000/bln 2. Biaya OTC Rp 3.000.000 From : Rack ICON+ L2 MMR B Rack STL01 To : Cage Jalin Rack 2 (End Customer - PT Bangun Andalan Perkasa)"/>
  </r>
  <r>
    <n v="1839"/>
    <x v="519"/>
    <x v="1078"/>
    <s v="Kalimantan CA2 1&amp;2 Gandasari Kabupaten Bekasi 17842"/>
    <m/>
    <s v="Bekasi Fajar (Befa Square) Bekasi "/>
    <s v="Sewa Tahunan"/>
    <x v="1"/>
    <x v="1182"/>
    <m/>
    <m/>
    <s v="Metronet"/>
    <s v="100 Mbps"/>
    <m/>
    <x v="82"/>
    <m/>
    <m/>
    <x v="533"/>
    <m/>
    <x v="1032"/>
    <d v="2025-06-14T00:00:00"/>
    <x v="2"/>
    <m/>
    <d v="2024-09-06T00:00:00"/>
    <n v="281"/>
    <x v="3"/>
    <x v="3"/>
    <s v="baru "/>
    <s v="3558/SPP/SBU/PLNICONPLUS/2024"/>
    <n v="4500022786"/>
    <s v="Syifa Fauziyah"/>
    <s v="Marissa"/>
    <s v="0812-8799-2496"/>
    <m/>
    <m/>
    <m/>
    <m/>
    <m/>
    <m/>
    <m/>
    <s v="H170"/>
    <s v="1. Biaya OTC Rp 5.000.000"/>
  </r>
  <r>
    <n v="1840"/>
    <x v="378"/>
    <x v="1079"/>
    <s v="Rukan Duren Tiga No. 7H_x000a_ Jl. Duren Tiga Raya No. 7 Jakarta Selatan 12760"/>
    <m/>
    <s v="Gedung IDC 3D Jl.Duren Tiga raya 7 Jakarta selatan (UTP dan FO)"/>
    <s v="Sewa Tahunan"/>
    <x v="2"/>
    <x v="57"/>
    <m/>
    <m/>
    <s v="Metronet"/>
    <s v="500 Mbps"/>
    <m/>
    <x v="566"/>
    <m/>
    <m/>
    <x v="534"/>
    <m/>
    <x v="587"/>
    <d v="2024-12-31T00:00:00"/>
    <x v="2"/>
    <m/>
    <d v="2024-06-24T00:00:00"/>
    <n v="190"/>
    <x v="5"/>
    <x v="1"/>
    <s v="baru"/>
    <s v="3354/SPP/SBU/PLNICONPLUS/2024"/>
    <n v="4500022738"/>
    <s v="Fajar Paramita"/>
    <s v="Rahmat_x000a_ Galih / Nopita"/>
    <s v="021-7987982"/>
    <m/>
    <m/>
    <m/>
    <m/>
    <m/>
    <m/>
    <m/>
    <s v="H5"/>
    <s v="1.pembayaran sewa collocation Rp.235.200.000"/>
  </r>
  <r>
    <n v="1841"/>
    <x v="519"/>
    <x v="1080"/>
    <s v="Kalimantan CA2 1&amp;2 Gandasari Kabupaten Bekasi 17842"/>
    <m/>
    <s v="Bekasi Fajar (Befa Square) Bekasi "/>
    <s v="Sewa Tahunan"/>
    <x v="1"/>
    <x v="1183"/>
    <m/>
    <m/>
    <s v="IPVPN"/>
    <s v="1 Mbps"/>
    <m/>
    <x v="567"/>
    <m/>
    <m/>
    <x v="17"/>
    <m/>
    <x v="1032"/>
    <d v="2025-06-14T00:00:00"/>
    <x v="2"/>
    <m/>
    <d v="2024-09-06T00:00:00"/>
    <n v="281"/>
    <x v="3"/>
    <x v="3"/>
    <s v="baru "/>
    <s v="3076/SPP/SBU/PLNICONPLUS/2024"/>
    <n v="4500022603"/>
    <s v="Syifa Fauziyah"/>
    <s v="Marissa"/>
    <s v="0812-8799-2496"/>
    <m/>
    <m/>
    <m/>
    <m/>
    <m/>
    <m/>
    <m/>
    <s v="H46"/>
    <s v="1. Biaya OTC Rp 5.000.000"/>
  </r>
  <r>
    <n v="1842"/>
    <x v="387"/>
    <x v="1081"/>
    <s v="Jl. Pulokambing No. 1 Lahan Industri Pulogadung Jakarta Timur 13290"/>
    <m/>
    <s v="Lahan Industri Pulogadung, Jl. Pulogadung No. 22, RW. 9, Jatinegara, Kec. Pulogadung, Kota Jakarta Timur, DKI Jakarta 13920. "/>
    <s v="Sewa Tahunan"/>
    <x v="1"/>
    <x v="1184"/>
    <m/>
    <m/>
    <s v="Internet Corporate"/>
    <m/>
    <m/>
    <x v="568"/>
    <m/>
    <m/>
    <x v="535"/>
    <m/>
    <x v="966"/>
    <d v="2025-03-05T00:00:00"/>
    <x v="2"/>
    <m/>
    <d v="2024-09-06T00:00:00"/>
    <n v="180"/>
    <x v="8"/>
    <x v="3"/>
    <s v="baru"/>
    <s v="2757/SPP/SBU/ICON+/2024"/>
    <n v="4500022376"/>
    <s v="Livia Indraswati"/>
    <s v="Dana"/>
    <s v="0821-2973-8604"/>
    <m/>
    <m/>
    <m/>
    <m/>
    <m/>
    <m/>
    <m/>
    <s v="H77"/>
    <s v="-"/>
  </r>
  <r>
    <n v="1843"/>
    <x v="543"/>
    <x v="1082"/>
    <s v="Lahan Ruko Inkopal Kokan Plaza Kelapa Gading Jl.Boulevard Bar. Raya No. 16"/>
    <m/>
    <s v="Kokan Plaza Kelapa Gading, Lahan Inkopal Jl. Boulevard Barat Raya No. 16 Blok C RT. 2/RW.9, Klp. Gading Barat, Kec. Klp Gading Jkt Utara"/>
    <s v="Sewa Tahunan"/>
    <x v="1"/>
    <x v="1185"/>
    <m/>
    <m/>
    <s v="Internet Broadband Corporate"/>
    <s v="20 Mbps"/>
    <m/>
    <x v="569"/>
    <m/>
    <m/>
    <x v="49"/>
    <m/>
    <x v="1033"/>
    <d v="2025-05-31T00:00:00"/>
    <x v="2"/>
    <m/>
    <d v="2024-09-06T00:00:00"/>
    <n v="267"/>
    <x v="4"/>
    <x v="3"/>
    <s v="Baru"/>
    <s v="3261/SPP/SBU/PLNICONPLUS/2024"/>
    <n v="4500022682"/>
    <s v="Livia Indraswati"/>
    <s v="Dimas Yudhistira"/>
    <s v="0878-0878-2910"/>
    <m/>
    <m/>
    <m/>
    <m/>
    <m/>
    <m/>
    <m/>
    <s v="H92"/>
    <s v="1. Biaya Sewa Lahan Rp 50.000.000/thn per titik. Untuk Kebutuhan di Lahan Inkopal Blok C"/>
  </r>
  <r>
    <n v="1844"/>
    <x v="29"/>
    <x v="1083"/>
    <s v="Equity Tower 17th floor suiteF SCBD lot_x000a_ Jl Jend Sudirman Kav 52-53 Jakarta 12193"/>
    <m/>
    <s v="DCI Cibitung"/>
    <s v="Sewa Tahunan"/>
    <x v="2"/>
    <x v="1186"/>
    <m/>
    <m/>
    <s v="Internet Corporate"/>
    <s v="500 Mbps"/>
    <m/>
    <x v="570"/>
    <m/>
    <m/>
    <x v="18"/>
    <m/>
    <x v="797"/>
    <d v="2025-05-27T00:00:00"/>
    <x v="2"/>
    <m/>
    <d v="2024-09-06T00:00:00"/>
    <n v="263"/>
    <x v="4"/>
    <x v="3"/>
    <s v="baru"/>
    <s v="3567/SPP/SBU/PLNICONPLUS/2024"/>
    <n v="4500022874"/>
    <s v="Livia Indraswati"/>
    <s v="Ibu Asima"/>
    <s v="0821-10851125"/>
    <m/>
    <m/>
    <m/>
    <m/>
    <m/>
    <m/>
    <m/>
    <s v="H183"/>
    <s v="1. Biaya Sewa Cross Connect Rp 1.500.000/bln kalau setahun jadi Rp 18.000.000/thn  2. Biaya OTC Rp 1.500.000"/>
  </r>
  <r>
    <n v="1845"/>
    <x v="544"/>
    <x v="1072"/>
    <s v="Jl Simprug Garden 1 Blok W No.11 RT.07/RW.03, Grogol Selatan, Kebayoran Lama, Jakarta Selatan, DKI Jakarta, 12220"/>
    <s v="PSDC-Gedung Graha Pertamina, Tower Fastron (Graha), Jalan Medan Merdeka Timur No.11-12, Jakarta Pusat."/>
    <s v="PHE - Gedung PHE Tower, Jl. Letjen. Tb Simatupang Kav. 99, Jakarta Selatan – 12520"/>
    <s v="Sewa Bulanan"/>
    <x v="0"/>
    <x v="1175"/>
    <s v="111202018857"/>
    <n v="0.995"/>
    <s v="Metro Qinq"/>
    <s v="2 Gbps"/>
    <m/>
    <x v="562"/>
    <m/>
    <m/>
    <x v="536"/>
    <m/>
    <x v="1026"/>
    <d v="2025-04-02T00:00:00"/>
    <x v="2"/>
    <m/>
    <d v="2024-09-06T00:00:00"/>
    <n v="208"/>
    <x v="10"/>
    <x v="3"/>
    <s v="Baru"/>
    <n v="3008"/>
    <n v="4500022618"/>
    <s v="Syifa Artianingsih"/>
    <s v="Cindy Pratiwi"/>
    <s v="0857-2207-8712"/>
    <m/>
    <m/>
    <m/>
    <m/>
    <m/>
    <m/>
    <m/>
    <s v="H159"/>
    <s v="Biaya OTC Rp 4.000.000"/>
  </r>
  <r>
    <n v="1846"/>
    <x v="161"/>
    <x v="893"/>
    <s v="Centennial Tower 26th Floor, Unit D Jl. Gatot Subroto Kav 24-25 Jakarta 12950"/>
    <s v="IDC Durentiga"/>
    <s v="Menara Sentraya 23 Jl Iskandarsyah Raya Kebayoran Baru, Jakarta Selatan, DKI Jakarta, Indonesia"/>
    <s v="Sewa Bulanan"/>
    <x v="0"/>
    <x v="1187"/>
    <s v="110120204249"/>
    <n v="0.995"/>
    <s v="Metronet"/>
    <s v="150 Mbps"/>
    <m/>
    <x v="571"/>
    <m/>
    <m/>
    <x v="537"/>
    <m/>
    <x v="1034"/>
    <d v="2024-05-05T00:00:00"/>
    <x v="1"/>
    <m/>
    <d v="2024-09-06T00:00:00"/>
    <n v="-124"/>
    <x v="4"/>
    <x v="1"/>
    <m/>
    <n v="3121"/>
    <n v="4500022891"/>
    <s v="Syifa Artianingsih"/>
    <s v="Bunga"/>
    <s v="0812-8990-0771"/>
    <m/>
    <m/>
    <m/>
    <m/>
    <m/>
    <m/>
    <m/>
    <n v="231"/>
    <s v="Proses SPP"/>
  </r>
  <r>
    <n v="1847"/>
    <x v="291"/>
    <x v="248"/>
    <s v="Gedung Cyber 2 Tower, Lt 33 Jl. HP Rasuna Said Blok X-5 No. 13 Kuningan Timur Setiabudi Jakarta Selatan 12950"/>
    <m/>
    <s v="Gedung Graha Irama Lt.9 Blok B dan C. Jl HR Rasuna Said Kav.10"/>
    <s v="Sewa Bulanan"/>
    <x v="0"/>
    <x v="1188"/>
    <s v="111303011676"/>
    <n v="0.995"/>
    <s v="Metronet"/>
    <s v="10 Mbps"/>
    <n v="208333"/>
    <x v="97"/>
    <m/>
    <n v="3000000"/>
    <x v="525"/>
    <m/>
    <x v="605"/>
    <d v="2025-03-31T00:00:00"/>
    <x v="2"/>
    <m/>
    <d v="2024-09-06T00:00:00"/>
    <n v="206"/>
    <x v="8"/>
    <x v="3"/>
    <m/>
    <n v="2637"/>
    <n v="4500022503"/>
    <s v="Syifa Artianingsih"/>
    <s v="Cristian "/>
    <s v="0812-9804-5188"/>
    <m/>
    <m/>
    <m/>
    <m/>
    <m/>
    <m/>
    <m/>
    <n v="192"/>
    <m/>
  </r>
  <r>
    <n v="1848"/>
    <x v="79"/>
    <x v="1084"/>
    <s v="Lintasarta Building , Jl.TB Simatupang Kav 10. Jakarta Selatan 12430"/>
    <s v="PRODUCTION - PLTU JAWA 7, JL. RAYA BOJONEGARA, DESA TERATE, KEC. KRAMATWATU, KAB.SERANG, BANTEN (-5.993661687479815, 106.08849158465594)"/>
    <s v="APL TOWER LT. 39 UNIT T9 PODOMORO CITY JL. LETJEN S. PARMAN KAV. 28 KEL. TANJUNG DUREN SELATAN, KEC. GROGOL PETAMBURAN JAKARTA BARAT -"/>
    <s v="Sewa Bulanan"/>
    <x v="0"/>
    <x v="1189"/>
    <s v="111202018338"/>
    <s v="99,50%"/>
    <s v="Metronet"/>
    <s v="50 Mbps"/>
    <m/>
    <x v="155"/>
    <m/>
    <n v="10000000"/>
    <x v="538"/>
    <m/>
    <x v="928"/>
    <d v="2025-01-05T00:00:00"/>
    <x v="2"/>
    <m/>
    <d v="2024-09-06T00:00:00"/>
    <n v="121"/>
    <x v="11"/>
    <x v="3"/>
    <m/>
    <n v="2497"/>
    <n v="4500022240"/>
    <s v="Syifa Artianingsih"/>
    <s v="Ilham"/>
    <s v="0823-6997-0039"/>
    <m/>
    <m/>
    <m/>
    <m/>
    <m/>
    <m/>
    <m/>
    <n v="17"/>
    <s v="Hardcopy PO Belum Kembali"/>
  </r>
  <r>
    <n v="1849"/>
    <x v="545"/>
    <x v="1085"/>
    <s v="Wisma 46 Kota BNI Lt. 5, Jl. Jend. Sudirman, Tanah Abang, Kota Jak Pusat, Daerah Khusus Ibukota Jak 10250, Indonesia"/>
    <s v="SDI DC, Cyber 1, Level 3, Rack 93, Jakarta"/>
    <s v="Wisma 46- Kota BNI, Lt.17, Suite 1712-1713, Jl Jend Sudirman Kav 1, Jakarta 10220"/>
    <s v="Sewa Bulanan"/>
    <x v="0"/>
    <x v="1190"/>
    <s v="111202018527"/>
    <s v="99,50%"/>
    <s v="Metronet"/>
    <s v="20 Mbps"/>
    <n v="11000000"/>
    <x v="515"/>
    <m/>
    <n v="5000000"/>
    <x v="57"/>
    <m/>
    <x v="597"/>
    <d v="2025-03-04T00:00:00"/>
    <x v="2"/>
    <m/>
    <d v="2024-09-06T00:00:00"/>
    <n v="179"/>
    <x v="8"/>
    <x v="3"/>
    <s v="baru"/>
    <n v="2511"/>
    <n v="4500022193"/>
    <s v="Syifa Artianingsih"/>
    <s v="Iffa "/>
    <s v="0856-8737-200"/>
    <m/>
    <m/>
    <m/>
    <m/>
    <m/>
    <m/>
    <m/>
    <n v="121"/>
    <s v="Hardcopy PO Belum Kembali"/>
  </r>
  <r>
    <n v="1850"/>
    <x v="546"/>
    <x v="1086"/>
    <s v="Graha Matapel, Jl Arjuna Utara No.46, Jakarta Barat 11510"/>
    <m/>
    <s v="Ruko Great Wall, Jl Green Lake City Boulevard No.17-20, Rt.5/Rw.8, Petir, Cipondoh, Kota Tangerang, Banten, 15147"/>
    <s v="Sewa Bulanan"/>
    <x v="0"/>
    <x v="1191"/>
    <s v="111401007217"/>
    <s v="99,50%"/>
    <s v="Internet BB Corporate"/>
    <s v="500 Mbps"/>
    <n v="3000000"/>
    <x v="572"/>
    <m/>
    <n v="3500000"/>
    <x v="88"/>
    <m/>
    <x v="1035"/>
    <d v="2025-06-01T00:00:00"/>
    <x v="2"/>
    <m/>
    <d v="2024-09-06T00:00:00"/>
    <n v="268"/>
    <x v="3"/>
    <x v="3"/>
    <s v="baru"/>
    <s v="3553/SPP/SBU/PLNICONPLUS/2024"/>
    <n v="4500022847"/>
    <s v="Syifa Artianingsih"/>
    <s v="Herwiko"/>
    <s v="0811-1994-9328"/>
    <m/>
    <m/>
    <m/>
    <m/>
    <m/>
    <m/>
    <m/>
    <n v="193"/>
    <s v="Hardcopy PO Belum Kembali"/>
  </r>
  <r>
    <n v="1851"/>
    <x v="547"/>
    <x v="1087"/>
    <s v="PT Krakatau Information Technology Jl. Anyer KM. 3 Cilegon 42441 Banten"/>
    <m/>
    <s v="Jl. Amerika I, Kawasan Industri Krakatau, Citangkil, Kota Cilegon, Banten, Indonesia, 42443"/>
    <s v="BAGI HASIL"/>
    <x v="5"/>
    <x v="67"/>
    <s v="01000362396"/>
    <m/>
    <s v="IPVPN"/>
    <s v="1 Mbps"/>
    <m/>
    <x v="224"/>
    <m/>
    <m/>
    <x v="60"/>
    <n v="0.35"/>
    <x v="1021"/>
    <d v="2028-08-31T00:00:00"/>
    <x v="2"/>
    <m/>
    <d v="2024-09-06T00:00:00"/>
    <n v="1455"/>
    <x v="12"/>
    <x v="10"/>
    <m/>
    <m/>
    <m/>
    <s v="Syifa Fauziyah"/>
    <s v="Diki"/>
    <s v="+62 878-6709-7788"/>
    <m/>
    <m/>
    <m/>
    <m/>
    <m/>
    <m/>
    <m/>
    <m/>
    <m/>
  </r>
  <r>
    <n v="1852"/>
    <x v="79"/>
    <x v="92"/>
    <s v="Lintasarta Building , Jl.TB Simatupang Kav 10. Jakarta Selatan 12430"/>
    <s v="IDC Duren Tiga Rak AU 217, AU 218"/>
    <s v="BDX Taman Tekno (Lintasarta) Hall 2B Rack AK 23"/>
    <s v="Sewa Tahunan"/>
    <x v="2"/>
    <x v="1192"/>
    <m/>
    <m/>
    <m/>
    <m/>
    <n v="2702703"/>
    <x v="573"/>
    <m/>
    <n v="2702703"/>
    <x v="14"/>
    <m/>
    <x v="668"/>
    <d v="2025-05-29T00:00:00"/>
    <x v="2"/>
    <m/>
    <d v="2024-09-06T00:00:00"/>
    <n v="265"/>
    <x v="4"/>
    <x v="3"/>
    <s v="baru"/>
    <s v="3536/SPP/SBU/PLNICONPLUS/2024"/>
    <n v="4500022970"/>
    <s v="Livia Indraswati"/>
    <s v="Ilham"/>
    <s v="0823-6997-0039"/>
    <m/>
    <m/>
    <m/>
    <m/>
    <m/>
    <m/>
    <m/>
    <s v="H155"/>
    <m/>
  </r>
  <r>
    <n v="1853"/>
    <x v="387"/>
    <x v="1088"/>
    <s v="Jl. Pulokambing No. 1 Lahan Industri Pulogadung Jakarta Timur 13290"/>
    <m/>
    <s v="Kawasan Industri Pulogadung GH 0017"/>
    <s v="Sewa Tahunan"/>
    <x v="1"/>
    <x v="1193"/>
    <m/>
    <m/>
    <s v="Internet Corporate"/>
    <m/>
    <n v="5000000"/>
    <x v="574"/>
    <m/>
    <m/>
    <x v="539"/>
    <m/>
    <x v="966"/>
    <d v="2025-03-05T00:00:00"/>
    <x v="2"/>
    <m/>
    <d v="2024-09-06T00:00:00"/>
    <n v="180"/>
    <x v="8"/>
    <x v="3"/>
    <s v="baru"/>
    <s v="2767/SPP/SBU/ICON+/2024"/>
    <n v="4500022547"/>
    <s v="Syifa Fauziyah"/>
    <m/>
    <m/>
    <m/>
    <m/>
    <m/>
    <m/>
    <m/>
    <m/>
    <m/>
    <s v="H60"/>
    <m/>
  </r>
  <r>
    <n v="1854"/>
    <x v="8"/>
    <x v="1089"/>
    <s v="Jalan Kuningan Barat No.8 Cyber 1nd &amp; 2 nd jakarta selatam 12710"/>
    <s v="Cyber 1 Jl. Kuningan Barat Raya No.9b 3, Rt.3/Rw.2, Kuningan Bar., Kec. Mampang Prpt., Kota Jakarta Selatan, Daerah Khusus Ibukota Jakarta 12710 "/>
    <s v="DSP Plumpang VV6X+PV3, Unnamed Road, Rt.1/Rw.4, Rawabadak Sel., Kec. Koja, Jkt Utara, Daerah Khusus Ibukota Jakarta 14230"/>
    <s v="Sewa Tahunan"/>
    <x v="2"/>
    <x v="1194"/>
    <m/>
    <m/>
    <s v="Metronet"/>
    <m/>
    <n v="5000000"/>
    <x v="575"/>
    <m/>
    <n v="1500000"/>
    <x v="18"/>
    <m/>
    <x v="573"/>
    <d v="2025-06-10T00:00:00"/>
    <x v="2"/>
    <m/>
    <d v="2024-09-06T00:00:00"/>
    <n v="277"/>
    <x v="3"/>
    <x v="3"/>
    <s v="baru"/>
    <s v="3724/SPP/SBU/PLNICONPLUS/2024"/>
    <n v="4500022972"/>
    <s v="Livia Indraswati"/>
    <s v="Ira"/>
    <s v="0819-3243-0596"/>
    <m/>
    <m/>
    <m/>
    <m/>
    <m/>
    <m/>
    <m/>
    <s v="H214"/>
    <s v="1. Biaya Sewa 1.500.000/bln 2. Biaya OTC Rp 1.500.000"/>
  </r>
  <r>
    <n v="1855"/>
    <x v="8"/>
    <x v="1090"/>
    <s v="Jalan Kuningan Barat No.8 Cyber 1nd &amp; 2 nd jakarta selatam 12710"/>
    <m/>
    <s v="Cyber 1 CDC"/>
    <s v="Sewa Tahunan"/>
    <x v="2"/>
    <x v="1195"/>
    <m/>
    <m/>
    <s v="Kapasitas Besar"/>
    <s v="70 Gbps"/>
    <m/>
    <x v="576"/>
    <m/>
    <n v="1500000"/>
    <x v="18"/>
    <m/>
    <x v="573"/>
    <d v="2025-06-10T00:00:00"/>
    <x v="2"/>
    <m/>
    <d v="2024-09-06T00:00:00"/>
    <n v="277"/>
    <x v="3"/>
    <x v="3"/>
    <s v="baru"/>
    <s v="3725/SPP/SBU/PLNICONPLUS/2024"/>
    <n v="4500022971"/>
    <s v="Livia Indraswati"/>
    <s v="Ira"/>
    <s v="0819-3243-0596"/>
    <m/>
    <m/>
    <m/>
    <m/>
    <m/>
    <m/>
    <m/>
    <s v="H213"/>
    <s v="1. Biaya Sewa 1.500.000/bln 2. Biaya OTC Rp 1.500.000"/>
  </r>
  <r>
    <n v="1856"/>
    <x v="344"/>
    <x v="259"/>
    <s v="Kalimantan CA2 1&amp;2 Gandasari Kabupaten Bekasi 17842"/>
    <m/>
    <s v="TOYOTA ASTRA MOTOR NEW SITE 2, JL. SELAYAR KAV. B10 KAWASAN INDUSTRI MM2100 (TTC)"/>
    <s v="Sewa Tahunan"/>
    <x v="1"/>
    <x v="1196"/>
    <s v="990000320655320"/>
    <m/>
    <s v="INTERNET CORPORATE     "/>
    <s v="  200 Mbps "/>
    <m/>
    <x v="577"/>
    <m/>
    <n v="5000000"/>
    <x v="540"/>
    <m/>
    <x v="1036"/>
    <d v="2025-07-19T00:00:00"/>
    <x v="2"/>
    <m/>
    <d v="2024-09-06T00:00:00"/>
    <n v="316"/>
    <x v="1"/>
    <x v="3"/>
    <s v="baru"/>
    <s v="3822/SPP/SBU/PLNICONPLUS/2024"/>
    <n v="4500023022"/>
    <s v="Syifa Fauziyah"/>
    <s v="Marisa"/>
    <s v="+62 812-8799-2496"/>
    <m/>
    <m/>
    <m/>
    <m/>
    <m/>
    <m/>
    <m/>
    <s v="H198"/>
    <m/>
  </r>
  <r>
    <n v="1857"/>
    <x v="344"/>
    <x v="259"/>
    <s v="Kalimantan CA2 1&amp;2 Gandasari Kabupaten Bekasi 17842"/>
    <m/>
    <s v="TOYOTA ASTRA MOTOR NEW SITE 2, JL. SELAYAR KAV. B10 KAWASAN INDUSTRI MM2100 (TTC)"/>
    <s v="Sewa Tahunan"/>
    <x v="1"/>
    <x v="1197"/>
    <s v="0990000320330180"/>
    <m/>
    <s v="Metronet "/>
    <s v="4 MBPS"/>
    <m/>
    <x v="4"/>
    <m/>
    <n v="5000000"/>
    <x v="17"/>
    <m/>
    <x v="1036"/>
    <d v="2025-07-19T00:00:00"/>
    <x v="2"/>
    <m/>
    <d v="2024-09-06T00:00:00"/>
    <n v="316"/>
    <x v="1"/>
    <x v="3"/>
    <s v="baru"/>
    <s v=" 3825/SPP/SBU/PLNICONPLUS/2024"/>
    <n v="4500023023"/>
    <s v="Syifa Fauziyah"/>
    <s v="Marisa"/>
    <s v="+62 812-8799-2496"/>
    <m/>
    <m/>
    <m/>
    <m/>
    <m/>
    <m/>
    <m/>
    <s v="H199"/>
    <m/>
  </r>
  <r>
    <n v="1858"/>
    <x v="344"/>
    <x v="259"/>
    <s v="Kalimantan CA2 1&amp;2 Gandasari Kabupaten Bekasi 17842"/>
    <m/>
    <s v="TOYOTA ASTRA MOTOR NEW SITE 2, JL. SELAYAR KAV. B10 KAWASAN INDUSTRI MM2100 (TTC)"/>
    <s v="Sewa Tahunan"/>
    <x v="1"/>
    <x v="1198"/>
    <s v="0990000320655959"/>
    <m/>
    <s v="Metronet "/>
    <s v="50 MBPS"/>
    <m/>
    <x v="8"/>
    <m/>
    <n v="5000000"/>
    <x v="110"/>
    <m/>
    <x v="1037"/>
    <d v="2025-09-07T00:00:00"/>
    <x v="2"/>
    <m/>
    <d v="2024-09-06T00:00:00"/>
    <n v="366"/>
    <x v="7"/>
    <x v="3"/>
    <s v="baru"/>
    <s v="3826/SPP/SBU/PLNICONPLUS/2024"/>
    <n v="4500023024"/>
    <s v="Syifa Fauziyah"/>
    <s v="Marisa"/>
    <s v="+62 812-8799-2496"/>
    <m/>
    <m/>
    <m/>
    <m/>
    <m/>
    <m/>
    <m/>
    <s v="H200"/>
    <m/>
  </r>
  <r>
    <n v="1859"/>
    <x v="344"/>
    <x v="254"/>
    <s v="Kalimantan CA2 1&amp;2 Gandasari Kabupaten Bekasi 17842"/>
    <m/>
    <s v="KAWASAN INDUSTRI MM2100 JALAN SELAYAR II BLOK. H7-H8, JATIWANGI, CIKARANG BARAT, BEKASI REGENCY, WEST JAVA 17530"/>
    <s v="Sewa Tahunan"/>
    <x v="1"/>
    <x v="1199"/>
    <s v="111303012682"/>
    <m/>
    <s v="METRONET"/>
    <s v="50 Mbps"/>
    <m/>
    <x v="36"/>
    <m/>
    <n v="5000000"/>
    <x v="110"/>
    <m/>
    <x v="1036"/>
    <d v="2025-07-19T00:00:00"/>
    <x v="2"/>
    <m/>
    <d v="2024-09-06T00:00:00"/>
    <n v="316"/>
    <x v="1"/>
    <x v="3"/>
    <s v="baru"/>
    <s v="3821/SPP/SBU/PLNICONPLUS/2024"/>
    <n v="4500023020"/>
    <s v="Syifa Fauziyah"/>
    <s v="Marisa"/>
    <s v="+62 812-8799-2496"/>
    <m/>
    <m/>
    <m/>
    <m/>
    <m/>
    <m/>
    <m/>
    <s v="H197"/>
    <m/>
  </r>
  <r>
    <n v="1860"/>
    <x v="19"/>
    <x v="504"/>
    <s v="Komplek Ruko Golden Road Blok C26 No 100 - 108 Kota Taerang Selatan, Banten 15310"/>
    <s v="PLN Kantor Pusat"/>
    <s v="PT PLN Kantor Pusat Rumah Dirut PLN (Bapak Darmawan P), The Green BSD, Clustur Grand Canyon Blok i-2 No 25, Kota Tangerang 15310"/>
    <s v="Sewa Bulanan"/>
    <x v="0"/>
    <x v="1200"/>
    <s v="04000099114"/>
    <s v="99,50%"/>
    <s v="Internet Corporate"/>
    <s v="50 Mbps"/>
    <m/>
    <x v="278"/>
    <m/>
    <m/>
    <x v="272"/>
    <m/>
    <x v="1038"/>
    <d v="2025-09-28T00:00:00"/>
    <x v="2"/>
    <m/>
    <d v="2024-07-22T00:00:00"/>
    <n v="433"/>
    <x v="7"/>
    <x v="3"/>
    <n v="4500021441"/>
    <s v="3848/SPP/SBU/PLNICONPLUS/2024"/>
    <s v="4500023083"/>
    <s v="Renata Simanjuntak"/>
    <s v="Dimas"/>
    <s v="+62 812-9844-8648"/>
    <m/>
    <m/>
    <m/>
    <m/>
    <m/>
    <m/>
    <m/>
    <s v="H329"/>
    <s v="Hardcopy PO Belum Kembali"/>
  </r>
  <r>
    <n v="1861"/>
    <x v="19"/>
    <x v="499"/>
    <s v="Komplek Ruko Golden Road Blok C26 No 100 - 108 Kota Taerang Selatan, Banten 15310"/>
    <m/>
    <s v="PT AEON Indonesia JL. BSD Raya Utama Unit M-02 Mezzanine Floor Desa Pegedangan, Pagedagan, Kabupaten Tangerang Banten, Indonesia 15820"/>
    <s v="Sewa Bulanan"/>
    <x v="0"/>
    <x v="1025"/>
    <s v="110130308313/4000300722"/>
    <s v="99,50%"/>
    <s v="Internet Corporate"/>
    <s v="20 Mbps"/>
    <m/>
    <x v="63"/>
    <m/>
    <m/>
    <x v="269"/>
    <m/>
    <x v="1039"/>
    <d v="2025-09-20T00:00:00"/>
    <x v="2"/>
    <m/>
    <d v="2024-07-23T00:00:00"/>
    <n v="424"/>
    <x v="7"/>
    <x v="3"/>
    <n v="4500021243"/>
    <m/>
    <m/>
    <s v="Renata Simanjuntak"/>
    <s v="Dimas"/>
    <s v="+62 812-9844-8648"/>
    <m/>
    <m/>
    <m/>
    <m/>
    <m/>
    <m/>
    <m/>
    <s v="H230"/>
    <s v="Proses SPP"/>
  </r>
  <r>
    <n v="1862"/>
    <x v="291"/>
    <x v="1002"/>
    <s v="Jl.HR Rasuna Said Blok X5 No.13 Jakarta Selatan 12950"/>
    <m/>
    <s v="Bank Negara Indonesia : BNI KC Mega Kuningan Gedung Satrio Tower Lantai Dasar &amp; Mezzanine Jl. Prof DR Satrio Kav C4 RT/RW 07/02, Kec, Setiabudi, Jakarta Selatan, DKI Jakarta, Indonesia, 12950"/>
    <s v="SEWA BULANAN "/>
    <x v="0"/>
    <x v="1201"/>
    <m/>
    <m/>
    <s v="Internet Broadband"/>
    <s v="5 Mbps"/>
    <m/>
    <x v="578"/>
    <m/>
    <s v="Rp. 3.000.000"/>
    <x v="60"/>
    <m/>
    <x v="791"/>
    <d v="2025-07-15T00:00:00"/>
    <x v="2"/>
    <m/>
    <d v="2024-07-23T00:00:00"/>
    <n v="357"/>
    <x v="1"/>
    <x v="3"/>
    <m/>
    <s v="3849/SPP/SBU/PLNICONPLUS/2024"/>
    <s v="4500023114"/>
    <s v="Renata Simanjuntak"/>
    <s v="Cristian "/>
    <s v="0812-9804-5188"/>
    <m/>
    <m/>
    <m/>
    <m/>
    <m/>
    <m/>
    <m/>
    <s v="H238"/>
    <s v="Proses Permintaan Aktivasi Link"/>
  </r>
  <r>
    <n v="1863"/>
    <x v="90"/>
    <x v="1091"/>
    <s v="WTP Building Jl.Jababeka IV Blok B No.12 Cikarang"/>
    <m/>
    <s v="Jl. Jababeka VI Blok B J7B, Harja Mekar, Kec. Cikarang Utara, Kabupaten Bekasi, Jawa Barat 17530"/>
    <s v="Sewa Tahunan"/>
    <x v="2"/>
    <x v="1202"/>
    <m/>
    <m/>
    <m/>
    <m/>
    <m/>
    <x v="269"/>
    <m/>
    <m/>
    <x v="541"/>
    <m/>
    <x v="1040"/>
    <d v="2024-09-30T00:00:00"/>
    <x v="2"/>
    <m/>
    <d v="2024-09-06T00:00:00"/>
    <n v="24"/>
    <x v="7"/>
    <x v="1"/>
    <m/>
    <s v="2483/SPP/SBU/PLNICONPLUS/2024"/>
    <n v="4500022616"/>
    <s v="Livia Indraswati"/>
    <s v="anggun"/>
    <m/>
    <m/>
    <m/>
    <m/>
    <m/>
    <m/>
    <m/>
    <m/>
    <s v="H9"/>
    <m/>
  </r>
  <r>
    <n v="1864"/>
    <x v="90"/>
    <x v="1092"/>
    <s v="WTP Building Jl.Jababeka IV Blok B No.12 Cikarang"/>
    <m/>
    <s v="Kawasan Industri Jababeka Jl. Jababeka IX B Blok Q2. Wangunharja, Cikarang Utara, Kabupaten Bekasi, Jawa Barat, Indonesia 17530"/>
    <s v="Sewa Tahunan"/>
    <x v="2"/>
    <x v="1203"/>
    <m/>
    <m/>
    <m/>
    <m/>
    <m/>
    <x v="579"/>
    <m/>
    <m/>
    <x v="542"/>
    <m/>
    <x v="1041"/>
    <d v="2024-09-30T00:00:00"/>
    <x v="2"/>
    <m/>
    <d v="2024-09-06T00:00:00"/>
    <n v="24"/>
    <x v="7"/>
    <x v="1"/>
    <m/>
    <s v="3114/SPP/SBU/PLNICONPLUS/2024"/>
    <n v="4500022617"/>
    <s v="Livia Indraswati"/>
    <s v="anggun"/>
    <m/>
    <m/>
    <m/>
    <m/>
    <m/>
    <m/>
    <m/>
    <m/>
    <s v="H91"/>
    <m/>
  </r>
  <r>
    <n v="1865"/>
    <x v="548"/>
    <x v="1093"/>
    <s v="Jl. Daan Mogot 1 34"/>
    <m/>
    <s v="Gedung Cyber"/>
    <s v="Sewa Tahunan"/>
    <x v="2"/>
    <x v="1204"/>
    <m/>
    <m/>
    <m/>
    <m/>
    <m/>
    <x v="7"/>
    <m/>
    <n v="1500000"/>
    <x v="14"/>
    <m/>
    <x v="1042"/>
    <d v="2025-07-02T00:00:00"/>
    <x v="2"/>
    <m/>
    <d v="2024-09-06T00:00:00"/>
    <n v="299"/>
    <x v="1"/>
    <x v="3"/>
    <m/>
    <s v="3902/SPP/SBU/PLNICONPLUS/2024"/>
    <n v="4500023129"/>
    <s v="Livia Indraswati"/>
    <s v="Richard/Liyana"/>
    <m/>
    <m/>
    <m/>
    <m/>
    <m/>
    <m/>
    <m/>
    <m/>
    <s v="H210"/>
    <m/>
  </r>
  <r>
    <n v="1866"/>
    <x v="549"/>
    <x v="1094"/>
    <s v="Apartemen Bassura City Jalan Basuki Rahmat No. 1A Cipinang Besar Selatan, Jakarta Timur"/>
    <m/>
    <s v="MALL BASSURA - JL. JEND. BASUKI RACHMAT NO.1A, CIPINANG BESAR SEL., KECAMATAN JATINEGARA, KOTA JAKARTA TIMUR, DAERAH KHUSUS IBUKOTA JAKARTA 13410"/>
    <s v="Sewa Tahunan"/>
    <x v="1"/>
    <x v="1205"/>
    <m/>
    <m/>
    <m/>
    <m/>
    <n v="11700628"/>
    <x v="16"/>
    <m/>
    <m/>
    <x v="10"/>
    <m/>
    <x v="907"/>
    <d v="2025-06-30T00:00:00"/>
    <x v="2"/>
    <m/>
    <d v="2024-09-06T00:00:00"/>
    <n v="297"/>
    <x v="3"/>
    <x v="3"/>
    <m/>
    <s v="3832/SPP/SBU/PLNICONPLUS/2024"/>
    <n v="4500023090"/>
    <s v="Livia Indraswati"/>
    <s v="Ridwan"/>
    <m/>
    <m/>
    <m/>
    <m/>
    <m/>
    <m/>
    <m/>
    <m/>
    <s v="H260"/>
    <m/>
  </r>
  <r>
    <n v="1867"/>
    <x v="98"/>
    <x v="662"/>
    <s v="Gedung Graha Niaga Lantai 1 Jl. Jendral Sudirman Kav. 58 Jakarta 12190"/>
    <m/>
    <s v="Gedung Graha Niaga"/>
    <s v="Sewa Tahunan"/>
    <x v="1"/>
    <x v="718"/>
    <m/>
    <m/>
    <m/>
    <m/>
    <m/>
    <x v="174"/>
    <m/>
    <m/>
    <x v="543"/>
    <m/>
    <x v="1043"/>
    <d v="2025-07-20T00:00:00"/>
    <x v="2"/>
    <m/>
    <d v="2024-09-06T00:00:00"/>
    <n v="317"/>
    <x v="1"/>
    <x v="3"/>
    <m/>
    <s v="3939/SPP/SBU/PLNICONPLUS/2024"/>
    <n v="4500023191"/>
    <s v="Livia Indraswati"/>
    <s v="Kun Suta"/>
    <m/>
    <m/>
    <m/>
    <m/>
    <m/>
    <m/>
    <m/>
    <m/>
    <s v="H258"/>
    <m/>
  </r>
  <r>
    <n v="1868"/>
    <x v="79"/>
    <x v="1086"/>
    <s v="Lintasarta Building , Jl.TB Simatupang Kav 10. Jakarta Selatan 12430"/>
    <m/>
    <s v="LINTASARTA TECHNOPARK DC) Perangkat PT Solusi Pembayaran Elektronik DC Lintas Arta Taman Tekno lantai 2 RACK DC-2B-AV23_x000a_KOMPLEK PERGUDANGAN TAMAN TEKNO BLOK D NO.8, BSD, SETU, KEC. SETU, KOTA TANGERANG SELATAN, BANTEN 15314"/>
    <s v="Sewa Tahunan"/>
    <x v="2"/>
    <x v="1206"/>
    <m/>
    <m/>
    <m/>
    <m/>
    <n v="3500000"/>
    <x v="511"/>
    <m/>
    <n v="2500000"/>
    <x v="88"/>
    <m/>
    <x v="1044"/>
    <d v="2025-06-25T00:00:00"/>
    <x v="2"/>
    <m/>
    <d v="2024-09-06T00:00:00"/>
    <n v="292"/>
    <x v="3"/>
    <x v="3"/>
    <m/>
    <s v="3237/SPP/SBU/PLNICONPLUS/2024"/>
    <n v="4500022969"/>
    <s v="Livia Indraswati"/>
    <s v="Ilham"/>
    <s v="0823-6997-0039"/>
    <m/>
    <m/>
    <m/>
    <m/>
    <m/>
    <m/>
    <m/>
    <s v="H158"/>
    <m/>
  </r>
  <r>
    <n v="1869"/>
    <x v="8"/>
    <x v="1095"/>
    <s v="Jalan Kuningan Barat No.8 Cyber 1nd &amp; 2 nd jakarta selatam 12710"/>
    <m/>
    <s v="Gedung Cyber"/>
    <s v="Sewa Tahunan"/>
    <x v="2"/>
    <x v="1207"/>
    <m/>
    <m/>
    <s v="Metronet"/>
    <m/>
    <m/>
    <x v="112"/>
    <m/>
    <n v="3000000"/>
    <x v="18"/>
    <m/>
    <x v="1045"/>
    <d v="2025-06-05T00:00:00"/>
    <x v="2"/>
    <m/>
    <d v="2024-09-06T00:00:00"/>
    <n v="272"/>
    <x v="3"/>
    <x v="3"/>
    <s v="baru"/>
    <s v="3737/SPP/SBU/PLNICONPLUS/2024"/>
    <n v="4500023105"/>
    <s v="Livia Indraswati"/>
    <s v="Ira"/>
    <s v="0819-3243-0596"/>
    <m/>
    <m/>
    <m/>
    <m/>
    <m/>
    <m/>
    <m/>
    <s v="H259"/>
    <s v="1. Biaya Sewa 1.500.000/bln 2. Biaya OTC Rp 3.000.000"/>
  </r>
  <r>
    <n v="1870"/>
    <x v="544"/>
    <x v="1096"/>
    <s v="Jl Simprug Garden 1 Blok W No.11 RT.07/RW.03, Grogol Selatan, Kebayoran Lama, Jakarta Selatan, DKI Jakarta, 12220"/>
    <m/>
    <s v="Gedung PHE  Tower, Jl. Tb Simatupang No. Kav. 99, RT.1/Rw.1, Kebagusan, Pasar Minggu, Kota Jakarta Selatan, Daerah Khusus Ibukota Jakarta 12520"/>
    <s v="Sewa Bulanan"/>
    <x v="0"/>
    <x v="1208"/>
    <s v="111303010621"/>
    <n v="0.995"/>
    <s v="Internet Corporate"/>
    <s v="600 Mbps"/>
    <m/>
    <x v="580"/>
    <m/>
    <m/>
    <x v="544"/>
    <m/>
    <x v="775"/>
    <d v="2025-05-31T00:00:00"/>
    <x v="2"/>
    <m/>
    <d v="2024-08-01T00:00:00"/>
    <n v="303"/>
    <x v="4"/>
    <x v="3"/>
    <s v="1437/SPP/SBU/ICON+/2023 | 4500021342"/>
    <s v="3533/SPP/SBU/PLNICONPLUS/2024"/>
    <s v="4500022850"/>
    <s v="Syifa Artianingsih"/>
    <s v="Cindy Pratiwi"/>
    <s v="0857-2207-8712"/>
    <m/>
    <m/>
    <m/>
    <m/>
    <m/>
    <m/>
    <m/>
    <n v="187"/>
    <m/>
  </r>
  <r>
    <n v="1871"/>
    <x v="444"/>
    <x v="1097"/>
    <s v="Jl Simprug Garden 1 Blok W No.11 RT.07/RW.03, Grogol Selatan, Kebayoran Lama, Jakarta Selatan, DKI Jakarta, 12220"/>
    <m/>
    <s v="Gedung RDTX, Jl. Prof. Dr. Satrio Kav. E-IV No.6, Jalan Kuningan Barat Raya No.2, Rt.5/Rw.Rw, Kuningan Tim, Kecamatan Setiabudi, Kota Jakarta Selatan, Daerah Khusus IbuKota Jakarta 12950"/>
    <s v="Sewa Bulanan"/>
    <x v="0"/>
    <x v="1209"/>
    <s v="111303010622"/>
    <n v="0.995"/>
    <s v="Internet Corporate"/>
    <s v="100 Mbps"/>
    <m/>
    <x v="581"/>
    <m/>
    <m/>
    <x v="545"/>
    <m/>
    <x v="775"/>
    <d v="2025-05-31T00:00:00"/>
    <x v="2"/>
    <m/>
    <d v="2024-08-01T00:00:00"/>
    <n v="303"/>
    <x v="4"/>
    <x v="3"/>
    <s v="1753/SPP/SBU/ICON+/2023 | 4500021579"/>
    <s v="3535/SPP/SBU/PLNICONPLUS/2024"/>
    <s v="4500022849"/>
    <s v="Syifa Artianingsih"/>
    <s v="Cindy Pratiwi"/>
    <s v="0857-2207-8712"/>
    <m/>
    <m/>
    <m/>
    <m/>
    <m/>
    <m/>
    <m/>
    <n v="190"/>
    <m/>
  </r>
  <r>
    <n v="1872"/>
    <x v="0"/>
    <x v="1098"/>
    <m/>
    <s v="PT Astra International Gd. Amdi A JL. Gaya Motor Raya No.8 Sunter II (Backhaul), Indonesia"/>
    <s v="T152 -TSO Sudirman Menara Astra, Gedung Astra Tower, Lt 01-02, Jln. Jend. Sudirman Kav 5-6, Sudirman, Jakarta Pusat, DKI Jakarta, Indonesia"/>
    <s v="Sewa Bulanan"/>
    <x v="0"/>
    <x v="925"/>
    <s v="01000045514"/>
    <s v="99,50%"/>
    <s v="Metronet"/>
    <s v="3 Mbps"/>
    <m/>
    <x v="255"/>
    <m/>
    <m/>
    <x v="124"/>
    <m/>
    <x v="1046"/>
    <d v="2025-10-09T00:00:00"/>
    <x v="2"/>
    <m/>
    <d v="2024-08-01T00:00:00"/>
    <n v="434"/>
    <x v="6"/>
    <x v="3"/>
    <m/>
    <s v="3839/SPP/SBU/PLNICONPLUS/2024"/>
    <s v="4500023084"/>
    <s v="Syifa Artianingsih"/>
    <s v="Fenny"/>
    <s v="0838-7383-8967"/>
    <m/>
    <m/>
    <m/>
    <m/>
    <m/>
    <m/>
    <m/>
    <n v="186"/>
    <m/>
  </r>
  <r>
    <n v="1873"/>
    <x v="0"/>
    <x v="1099"/>
    <m/>
    <s v="PT. Astra International Gd. Amdi A JL. Gaya Motor Raya No.8 Sunter II (Backhaul), Indonesia"/>
    <s v="t152 - TSO Sudirman Menara Astra, Gedung Astra Tower, Lt 01-02, Jln. Jend. Sudirman Kav 5-6, Sudirman, Jakarta Pusat, DKI Jakarta, Indonesia"/>
    <s v="Sewa Bulanan"/>
    <x v="0"/>
    <x v="925"/>
    <s v="01000045514"/>
    <s v="99,50%"/>
    <s v="Metronet"/>
    <s v="3 Mbps"/>
    <m/>
    <x v="255"/>
    <m/>
    <m/>
    <x v="546"/>
    <m/>
    <x v="1047"/>
    <d v="2025-09-30T00:00:00"/>
    <x v="2"/>
    <m/>
    <d v="2024-08-01T00:00:00"/>
    <n v="425"/>
    <x v="7"/>
    <x v="3"/>
    <m/>
    <s v="3837/SPP/SBU/PLNICONPLUS/2024"/>
    <s v="4500023085"/>
    <s v="Syifa Artianingsih"/>
    <s v="Fenny"/>
    <s v="0838-7383-8967"/>
    <m/>
    <m/>
    <m/>
    <m/>
    <m/>
    <m/>
    <m/>
    <n v="189"/>
    <m/>
  </r>
  <r>
    <n v="1874"/>
    <x v="90"/>
    <x v="1100"/>
    <s v="WTP Building Jl. Jababeka IV Blok B No. 12 "/>
    <m/>
    <s v="Kawasan Jababeka Jl. Jababeka IX B Blok Q2"/>
    <s v="Sewa Tahunan"/>
    <x v="2"/>
    <x v="1210"/>
    <s v="111303011739"/>
    <m/>
    <s v="Metronet"/>
    <s v="25 Mbps"/>
    <m/>
    <x v="582"/>
    <m/>
    <m/>
    <x v="547"/>
    <m/>
    <x v="1048"/>
    <d v="2024-09-30T00:00:00"/>
    <x v="2"/>
    <m/>
    <d v="2024-08-02T00:00:00"/>
    <n v="59"/>
    <x v="7"/>
    <x v="1"/>
    <m/>
    <s v="3466/SPP/SBU/PLNICONPLUS/2024"/>
    <s v="4500022821"/>
    <s v="Syifa Fauziyah"/>
    <s v="Aksho, Riski"/>
    <s v="0821-1496-4496"/>
    <m/>
    <m/>
    <m/>
    <m/>
    <m/>
    <m/>
    <m/>
    <s v="H4"/>
    <m/>
  </r>
  <r>
    <n v="1875"/>
    <x v="90"/>
    <x v="1101"/>
    <s v="WTP Building Jl. Jababeka IV Blok B No. 12"/>
    <m/>
    <s v="Jababeka industrial park Jl. jbbk IV Kav. 28-36, "/>
    <s v="Sewa Tahunan"/>
    <x v="2"/>
    <x v="1211"/>
    <s v="1124041800095"/>
    <m/>
    <s v="Metronet"/>
    <s v="60 Mbps"/>
    <m/>
    <x v="583"/>
    <m/>
    <m/>
    <x v="548"/>
    <m/>
    <x v="1049"/>
    <d v="2024-09-30T00:00:00"/>
    <x v="2"/>
    <m/>
    <d v="2024-08-02T00:00:00"/>
    <n v="59"/>
    <x v="7"/>
    <x v="1"/>
    <m/>
    <s v="3559/SPP/SBU/PLNICONPLUS/2024"/>
    <s v="4500022862"/>
    <s v="Syifa Fauziyah"/>
    <s v="Aksho, Riski"/>
    <s v="0821-1496-4496"/>
    <m/>
    <m/>
    <m/>
    <m/>
    <m/>
    <m/>
    <m/>
    <s v="H153"/>
    <m/>
  </r>
  <r>
    <n v="1876"/>
    <x v="548"/>
    <x v="1074"/>
    <s v="Jl. Daan Mogot 1 34"/>
    <s v="Multitech Data Center / PT.Multitech Infomedia lokasi di Gedung Cyber, LT. 1, JL. Kuningan Barat, No. 8, Kuningan Barat, Mampang Prapatan untuk Rack utama JSN berada di Rack B14 MDC ,KECAMATAN MAMPANG ,Jakarta Selatan ,DKI Jakarta"/>
    <s v="CV. HAANSIRO, RT.4 RW.1 Ds. Jontro, Jl Wijayakusuma No 6 RT 05 RW III, Perum Griya Sekar Asri, Sekarkurung, Desa, Sekarkurung, Muktiharjo, 59163,Kecamatan Wedarijaksa ,Kabupaten Pati ,Jawa Tengah"/>
    <s v="Sewa Tahunan"/>
    <x v="2"/>
    <x v="1212"/>
    <m/>
    <m/>
    <m/>
    <m/>
    <m/>
    <x v="112"/>
    <m/>
    <n v="1500000"/>
    <x v="135"/>
    <m/>
    <x v="1050"/>
    <d v="2024-09-04T00:00:00"/>
    <x v="0"/>
    <m/>
    <d v="2024-09-06T00:00:00"/>
    <n v="-2"/>
    <x v="7"/>
    <x v="1"/>
    <m/>
    <s v="1322/SPP/SBU/ICON+/2023"/>
    <n v="4500021287"/>
    <s v="Livia Indraswati"/>
    <s v="Richard/Liyana"/>
    <m/>
    <m/>
    <m/>
    <m/>
    <m/>
    <m/>
    <m/>
    <s v="G232"/>
    <m/>
    <m/>
  </r>
  <r>
    <n v="1877"/>
    <x v="548"/>
    <x v="1074"/>
    <s v="Jl. Daan Mogot 1 34"/>
    <s v="Multitech Data Center / PT.Multitech Infomedia lokasi di Gedung Cyber, LT. 1, JL. Kuningan Barat, No. 8, Kuningan Barat, Mampang Prapatan untuk Rack utama JSN berada di Rack B14 MDC ,KECAMATAN MAMPANG ,Jakarta Selatan ,DKI Jakarta"/>
    <s v="CV. HAANSIRO, RT.4 RW.1 Ds. Jontro, Jl Wijayakusuma No 6 RT 05 RW III, Perum Griya Sekar Asri, Sekarkurung, Desa, Sekarkurung, Muktiharjo, 59163,Kecamatan Wedarijaksa ,Kabupaten Pati ,Jawa Tengah"/>
    <s v="Sewa Tahunan"/>
    <x v="2"/>
    <x v="1212"/>
    <m/>
    <m/>
    <m/>
    <m/>
    <m/>
    <x v="112"/>
    <m/>
    <m/>
    <x v="135"/>
    <m/>
    <x v="1051"/>
    <d v="2025-09-04T00:00:00"/>
    <x v="2"/>
    <m/>
    <d v="2024-09-06T00:00:00"/>
    <n v="363"/>
    <x v="7"/>
    <x v="3"/>
    <m/>
    <s v="4119/SPP/SBU/PLNICONPLUS/2024"/>
    <n v="4500023249"/>
    <s v="Livia Indraswati"/>
    <s v="Richard/Liyana"/>
    <m/>
    <m/>
    <m/>
    <m/>
    <m/>
    <m/>
    <m/>
    <m/>
    <s v="H308"/>
    <m/>
  </r>
  <r>
    <n v="1878"/>
    <x v="29"/>
    <x v="1102"/>
    <s v="Equity Tower 17th floor suiteF SCBD lot_x000a_ Jl Jend Sudirman Kav 52-53 Jakarta 12193"/>
    <m/>
    <s v="AWS Data Center Jakarta Jl. Jend. Sudirman, SCBD Lot 9, 52-53 Equity Tower 49th Floor"/>
    <s v="Sewa Tahunan"/>
    <x v="2"/>
    <x v="1213"/>
    <m/>
    <m/>
    <s v="Metronet "/>
    <s v="2 Gbps"/>
    <m/>
    <x v="584"/>
    <m/>
    <n v="8000000"/>
    <x v="128"/>
    <m/>
    <x v="1052"/>
    <d v="2025-07-16T00:00:00"/>
    <x v="2"/>
    <m/>
    <d v="2024-09-06T00:00:00"/>
    <n v="313"/>
    <x v="4"/>
    <x v="3"/>
    <s v="baru"/>
    <s v="4047/SPP/SBU/PLNICONPLUS/2024"/>
    <n v="4500023227"/>
    <s v="Livia Indraswati"/>
    <s v="Ibu Asima"/>
    <s v="0821-10851125"/>
    <m/>
    <m/>
    <m/>
    <m/>
    <m/>
    <m/>
    <m/>
    <s v="H284"/>
    <s v="1. Biaya Sewa Cross Connect Rp 6.000.000/bln kalau setahun jadi Rp 72.000.000/thn  2. Biaya OTC Rp 8.000.000"/>
  </r>
  <r>
    <n v="1879"/>
    <x v="79"/>
    <x v="1103"/>
    <s v="Lintasarta Building , Jl.TB Simatupang Kav 10. Jakarta Selatan 12430"/>
    <m/>
    <s v="DC Infinitium Gedung Lintasarta Lantai 3 Jl. Tahi Bonar Simatupang Raya No. 16"/>
    <s v="Sewa Tahunan"/>
    <x v="2"/>
    <x v="1214"/>
    <m/>
    <m/>
    <s v="IPVPN"/>
    <s v="128 Kbps"/>
    <n v="5000000"/>
    <x v="585"/>
    <m/>
    <n v="2500000"/>
    <x v="18"/>
    <m/>
    <x v="907"/>
    <d v="2025-06-30T00:00:00"/>
    <x v="2"/>
    <m/>
    <d v="2024-09-06T00:00:00"/>
    <n v="297"/>
    <x v="3"/>
    <x v="3"/>
    <m/>
    <s v="3664/SPP/SBU/PLNICONPLUS/2024"/>
    <n v="4500022968"/>
    <s v="Livia Indraswati"/>
    <s v="Ilham"/>
    <s v="0823-6997-0039"/>
    <m/>
    <m/>
    <m/>
    <m/>
    <m/>
    <m/>
    <m/>
    <s v="H211"/>
    <m/>
  </r>
  <r>
    <n v="1880"/>
    <x v="280"/>
    <x v="1104"/>
    <s v="Cyber 2 Tower 2nd Floor Jl HR Rasuna Said Kav X-5 No 13 Jakarta 12950"/>
    <m/>
    <s v="NEX Cyber 2 - Kawasan Mulia Industri Jl. Raya Pasirsari Cikarang"/>
    <s v="Sewa Tahunan"/>
    <x v="2"/>
    <x v="1215"/>
    <m/>
    <m/>
    <m/>
    <m/>
    <n v="3500000"/>
    <x v="586"/>
    <m/>
    <m/>
    <x v="31"/>
    <m/>
    <x v="795"/>
    <d v="2025-07-28T00:00:00"/>
    <x v="2"/>
    <m/>
    <d v="2024-09-06T00:00:00"/>
    <n v="325"/>
    <x v="1"/>
    <x v="3"/>
    <s v="baru"/>
    <s v="4002/SPP/SBU/PLNICONPLUS/2024_x0009_"/>
    <n v="4500023226"/>
    <s v="Livia Indraswati"/>
    <s v="Erni Monalena "/>
    <s v="0856-93221320 "/>
    <m/>
    <m/>
    <m/>
    <m/>
    <m/>
    <m/>
    <m/>
    <s v="H283"/>
    <s v="1. Biaya cross connect  Rp 8.000.000, 2. Biaya Instalasi Rp 2.000.000, 3. Biaya Material Rp 2.000.000"/>
  </r>
  <r>
    <n v="1881"/>
    <x v="493"/>
    <x v="927"/>
    <s v="Wisma Mulia Jalan Gatot Subroto No. 42 Kuningan Barat Mampang Prapatan Jakarta 12710"/>
    <m/>
    <s v="Wisma Mulia Jl. Jend. Gatot Subroto No. 42 Jakarta"/>
    <s v="Sewa Tahunan"/>
    <x v="1"/>
    <x v="1009"/>
    <m/>
    <m/>
    <m/>
    <m/>
    <m/>
    <x v="587"/>
    <m/>
    <m/>
    <x v="549"/>
    <m/>
    <x v="680"/>
    <d v="2025-07-31T00:00:00"/>
    <x v="2"/>
    <m/>
    <d v="2024-09-06T00:00:00"/>
    <n v="328"/>
    <x v="1"/>
    <x v="3"/>
    <m/>
    <s v="3979/SPP/SBU/PLNICONPLUS/2024"/>
    <n v="4500023159"/>
    <s v="Fajar Paramita"/>
    <s v="Metty"/>
    <s v="021-30002008"/>
    <m/>
    <m/>
    <m/>
    <m/>
    <m/>
    <m/>
    <m/>
    <s v="H282"/>
    <m/>
  </r>
  <r>
    <n v="1882"/>
    <x v="542"/>
    <x v="120"/>
    <s v="German Centre Building 3rd and 5th floor Jl. Kapt. Subijanto DJ Bumi Serpong Damai"/>
    <m/>
    <s v="ODC Backup BRI Sigma H2H Sentul Jl. Cijayanti Kec. Babakan Madang"/>
    <s v="Sewa Tahunan"/>
    <x v="2"/>
    <x v="1216"/>
    <m/>
    <m/>
    <s v="IPVPN"/>
    <s v="4 Mbps"/>
    <m/>
    <x v="588"/>
    <m/>
    <n v="12000000"/>
    <x v="17"/>
    <m/>
    <x v="1053"/>
    <d v="2025-03-26T00:00:00"/>
    <x v="2"/>
    <m/>
    <d v="2024-09-06T00:00:00"/>
    <n v="201"/>
    <x v="10"/>
    <x v="3"/>
    <m/>
    <s v="3223/SPP/SBU/PLNICONPLUS/2024 "/>
    <n v="4500022671"/>
    <s v="Livia Indraswati"/>
    <s v="Yudhi Sukma"/>
    <m/>
    <m/>
    <m/>
    <m/>
    <m/>
    <m/>
    <m/>
    <m/>
    <s v="H89"/>
    <s v="1. Biaya Sewa cross connect Rp 24.000.000/thn 2. Biaya OTC Rp 12.000.000 From : ICON (Half Rack) Lt. GF MMR A To : Cage BRI L1 Rack 19"/>
  </r>
  <r>
    <n v="1883"/>
    <x v="351"/>
    <x v="564"/>
    <s v="Jl. Lingkar Luar Barat Kavling 88"/>
    <m/>
    <s v="PT Samchem Prasandha - The Blugreen Boutique Office Tower A-Blue Lantai 2 Unit AB-0, 2, Jl. Lkr. Luar Barat, RT.6/RW.1"/>
    <s v="Sewa Tahunan"/>
    <x v="1"/>
    <x v="476"/>
    <m/>
    <m/>
    <m/>
    <m/>
    <m/>
    <x v="35"/>
    <m/>
    <m/>
    <x v="63"/>
    <m/>
    <x v="1047"/>
    <d v="2025-09-30T00:00:00"/>
    <x v="2"/>
    <m/>
    <d v="2024-09-06T00:00:00"/>
    <n v="389"/>
    <x v="7"/>
    <x v="3"/>
    <m/>
    <s v="4050/SPP/SBU/PLNICONPLUS/2024"/>
    <n v="4500023314"/>
    <s v="Livia Indraswati"/>
    <m/>
    <m/>
    <m/>
    <m/>
    <m/>
    <m/>
    <m/>
    <m/>
    <m/>
    <s v="H309"/>
    <m/>
  </r>
  <r>
    <n v="1884"/>
    <x v="161"/>
    <x v="893"/>
    <s v="Centennial Tower 26th Floor, Unit D, Jl. Gatot Subroto Kav 24-25, Jakarta 12930"/>
    <s v="IDC Durentiga"/>
    <s v="Menara Sentraya, Jl. Iskandarsyah Raya No.1A, Rt.3/Rw.1, Kelurahan Melawai"/>
    <s v="Sewa Bulanan"/>
    <x v="0"/>
    <x v="1187"/>
    <s v="110120204249"/>
    <s v="99,50%"/>
    <s v="Metronet"/>
    <s v="150 Mbps"/>
    <m/>
    <x v="589"/>
    <m/>
    <m/>
    <x v="550"/>
    <m/>
    <x v="1054"/>
    <d v="2024-08-31T00:00:00"/>
    <x v="2"/>
    <m/>
    <d v="2024-09-06T00:00:00"/>
    <n v="-6"/>
    <x v="12"/>
    <x v="1"/>
    <s v="3121/SPP/SBU/PLNICONPLUS/2024 | 4500022891"/>
    <s v="3857/SPP/SBU/PLNICONPLUS/2024"/>
    <n v="4500023117"/>
    <s v="Syifa Artianingsih"/>
    <s v="Bunga "/>
    <s v="0812-8990-0771"/>
    <m/>
    <m/>
    <m/>
    <m/>
    <m/>
    <m/>
    <m/>
    <n v="289"/>
    <s v="Perpanjangan 3 Bulan 26 Hari"/>
  </r>
  <r>
    <n v="1885"/>
    <x v="407"/>
    <x v="56"/>
    <s v="Jl Rasuna Said X-8 Kav 2-3 Jakarta Selatan"/>
    <m/>
    <s v="Indomaret Tower, RT. 6/RW. 2, Kamal Muara, Kec. Penjaringan (Interkoneksi Fiberstar), -, Jakarta Utara, DKI Jakarta, Indonesia, 14470"/>
    <s v="Sewa Tahunan"/>
    <x v="1"/>
    <x v="855"/>
    <m/>
    <m/>
    <m/>
    <m/>
    <m/>
    <x v="197"/>
    <m/>
    <m/>
    <x v="10"/>
    <m/>
    <x v="708"/>
    <d v="2024-12-29T00:00:00"/>
    <x v="2"/>
    <m/>
    <d v="2024-09-06T00:00:00"/>
    <n v="114"/>
    <x v="5"/>
    <x v="1"/>
    <m/>
    <s v="3036/SPP/SBU/PLNICONPLUS/2024"/>
    <n v="4500023109"/>
    <s v="Fajar Paramita"/>
    <m/>
    <m/>
    <m/>
    <m/>
    <m/>
    <m/>
    <m/>
    <m/>
    <s v="H320"/>
    <m/>
    <m/>
  </r>
  <r>
    <n v="1886"/>
    <x v="291"/>
    <x v="523"/>
    <s v="Gedung Cyber 2 Tower, Lt 33 Jl. HP Rasuna Said Blok X-5 No. 13 Kuningan Timur Setiabudi Jakarta Selatan 12950"/>
    <m/>
    <s v="DBS Marketing Office Citra Towers Kemayoran, Jl Benyamin Suaeb, RT.13/RW.06, Kebon Kosong, Kamayoran, Kota Jakarta Pusat, Jakarta, Indonesia"/>
    <s v="Sewa Bulanan"/>
    <x v="0"/>
    <x v="938"/>
    <s v="111202017399"/>
    <s v="99,50%"/>
    <s v="Metronet"/>
    <s v="2 Mbps"/>
    <m/>
    <x v="27"/>
    <m/>
    <m/>
    <x v="18"/>
    <m/>
    <x v="1055"/>
    <d v="2025-08-21T00:00:00"/>
    <x v="2"/>
    <m/>
    <d v="2024-07-23T00:00:00"/>
    <n v="394"/>
    <x v="12"/>
    <x v="3"/>
    <s v="_x0009_906/SPP/SBU/ICON+/2023 | 4500020994"/>
    <s v="3833/SPP/SBU/PLNICONPLUS/2024"/>
    <s v="4500023087"/>
    <s v="Syifa Artianingsih"/>
    <s v="Cristian "/>
    <s v="0812-9804-5188"/>
    <m/>
    <m/>
    <m/>
    <m/>
    <m/>
    <m/>
    <m/>
    <n v="188"/>
    <m/>
  </r>
  <r>
    <n v="1887"/>
    <x v="291"/>
    <x v="528"/>
    <s v="Gedung Cyber 2 Tower, Lt 33 Jl. HP Rasuna Said Blok X-5 No. 13 Kuningan Timur Setiabudi Jakarta Selatan 12950"/>
    <m/>
    <s v="Bidakara Jl Jend Gatot Subroto Kav 71-73 Jakarta Selatan, Indonesia"/>
    <s v="Sewa Bulanan"/>
    <x v="0"/>
    <x v="1217"/>
    <s v="0990000320452408"/>
    <n v="0.995"/>
    <s v="IPVPN"/>
    <s v="2 Mbps"/>
    <m/>
    <x v="216"/>
    <m/>
    <m/>
    <x v="14"/>
    <m/>
    <x v="907"/>
    <d v="2025-06-30T00:00:00"/>
    <x v="2"/>
    <m/>
    <d v="2024-07-23T00:00:00"/>
    <n v="342"/>
    <x v="3"/>
    <x v="3"/>
    <s v="539/SPP/SBU/ICON+/2023 | 4500021003"/>
    <s v="3982/SPP/SBU/PLNICONPLUS/2024"/>
    <n v="4500023316"/>
    <s v="Syifa Artianingsih"/>
    <s v="Cristian "/>
    <s v="0812-9804-5188"/>
    <m/>
    <m/>
    <m/>
    <m/>
    <m/>
    <m/>
    <m/>
    <n v="359"/>
    <m/>
  </r>
  <r>
    <n v="1888"/>
    <x v="445"/>
    <x v="333"/>
    <s v="Gedung Cyber 2 Tower, Lt 33 Jl. HP Rasuna Said Blok X-5 No. 13 Kuningan Timur Setiabudi Jakarta Selatan 12950"/>
    <m/>
    <s v="Gedung Sahid Sudirman Center Lt 10 Jl Jendral Sudirman no 86 Jakarta, 10220, Indonesia"/>
    <s v="Sewa Bulanan"/>
    <x v="0"/>
    <x v="937"/>
    <s v="110120202002/0990000320517045"/>
    <n v="0.995"/>
    <s v="Metronet"/>
    <s v="10 Mbps"/>
    <m/>
    <x v="194"/>
    <m/>
    <m/>
    <x v="213"/>
    <m/>
    <x v="907"/>
    <d v="2025-06-30T00:00:00"/>
    <x v="2"/>
    <m/>
    <d v="2024-07-23T00:00:00"/>
    <n v="342"/>
    <x v="3"/>
    <x v="3"/>
    <s v="539/SPP/SBU/ICON+/2023 | 4500021003"/>
    <s v="_x0009_3983/SPP/SBU/PLNICONPLUS/2024"/>
    <s v="4500023126"/>
    <s v="Syifa Artianingsih"/>
    <s v="Cristian "/>
    <s v="0812-9804-5188"/>
    <m/>
    <m/>
    <m/>
    <m/>
    <m/>
    <m/>
    <m/>
    <n v="354"/>
    <m/>
  </r>
  <r>
    <n v="1889"/>
    <x v="445"/>
    <x v="875"/>
    <s v="Gedung Cyber 2 Tower, Lt 33 Jl. HP Rasuna Said Blok X-5 No. 13 Kuningan Timur Setiabudi Jakarta Selatan 12950"/>
    <s v="(H2H) Plaza Bank Mandiri Jl. Gatot Subroto Kav 36-38 RT 7/RW 1 Senayan Jakarta Selatan DKI Jakarta 12190"/>
    <s v="(H2H) Mall Taman Anggrek Jl Letjen S Parman No 28 RT 9 RW 1, Tomang, Kec. Grogol Petamburan, Kota Jakarta Barat, Daerah Khusus Ibu Kota Jakarta 11440"/>
    <s v="Sewa Bulanan"/>
    <x v="0"/>
    <x v="1218"/>
    <s v="01000100102"/>
    <n v="0.995"/>
    <s v="IPVPN"/>
    <s v="512 Kbps"/>
    <m/>
    <x v="27"/>
    <m/>
    <m/>
    <x v="163"/>
    <m/>
    <x v="907"/>
    <d v="2025-06-30T00:00:00"/>
    <x v="2"/>
    <m/>
    <d v="2024-09-06T00:00:00"/>
    <n v="297"/>
    <x v="3"/>
    <x v="3"/>
    <s v="226/SPP/SBU/ICON+/2023 | 4500020618"/>
    <s v="_x0009_3287/SPP/SBU/PLNICONPLUS/2024"/>
    <s v="4500022722"/>
    <s v="Syifa Artianingsih"/>
    <s v="Cristian "/>
    <s v="0812-9804-5188"/>
    <m/>
    <m/>
    <m/>
    <m/>
    <m/>
    <m/>
    <m/>
    <n v="138"/>
    <m/>
  </r>
  <r>
    <n v="1890"/>
    <x v="445"/>
    <x v="406"/>
    <s v="Gedung Cyber 2 Tower, Lt 33 Jl. HP Rasuna Said Blok X-5 No. 13 Kuningan Timur Setiabudi Jakarta Selatan 12950"/>
    <s v="Backhaul BSD- Jl Pahlawan Seribu Kav 201 Sektor 5 Th Floor, Lengkong Gudang, Serpong, Tangerang Selatan, Banten, Indonesia, 15310"/>
    <s v="Mall Taman Anggrek Ground Floor G-42, Jl S Parman Kav.21 RT 12/RW 1 Tanjung Duren Selatan, Grogol Petamburan, Jakarta Barat, DKI Jakarta"/>
    <s v="Sewa Bulanan"/>
    <x v="0"/>
    <x v="940"/>
    <n v="111205023926"/>
    <n v="0.995"/>
    <s v="IPVPN"/>
    <s v="2 Mbps"/>
    <m/>
    <x v="21"/>
    <m/>
    <m/>
    <x v="18"/>
    <m/>
    <x v="1056"/>
    <d v="2025-09-24T00:00:00"/>
    <x v="2"/>
    <m/>
    <d v="2024-09-06T00:00:00"/>
    <n v="383"/>
    <x v="7"/>
    <x v="3"/>
    <s v="1286/SPP/SBU/ICON+/2023 | 4500021421"/>
    <s v="3840/SPP/SBU/PLNICONPLUS/2024"/>
    <s v="4500023086"/>
    <s v="Syifa Artianingsih"/>
    <s v="Cristian "/>
    <s v="0812-9804-5188"/>
    <m/>
    <m/>
    <m/>
    <m/>
    <m/>
    <m/>
    <m/>
    <n v="241"/>
    <m/>
  </r>
  <r>
    <n v="1891"/>
    <x v="276"/>
    <x v="878"/>
    <s v="Gedung Transmedia Lt 3A, Jl. Kapt Tendean Kav. 12 – 14A, Jakarta 12790"/>
    <s v="Menara Bank Mega lt.8 Jl. Kapten Tendean No.12-14A, RT.2/RW.2, Mampang Prapatan,  -,  Jakarta Selatan,  DKI Jakarta,  Indonesia,  12790"/>
    <s v="(interkoneksi dengan Detik di Cyber) Trans ICON Surabaya, Jl. Ahmad Yani No.260, Siwalankerto,  Wonocolo,  Surabaya,  Jawa Timur,  Indonesia,  60235"/>
    <s v="Sewa Bulanan"/>
    <x v="0"/>
    <x v="552"/>
    <s v="110120521933 / 01000301813"/>
    <n v="0.995"/>
    <s v="IPVPN"/>
    <s v="1 Mbps"/>
    <m/>
    <x v="281"/>
    <m/>
    <m/>
    <x v="551"/>
    <m/>
    <x v="938"/>
    <d v="2025-08-01T00:00:00"/>
    <x v="2"/>
    <m/>
    <d v="2024-09-06T00:00:00"/>
    <n v="329"/>
    <x v="12"/>
    <x v="3"/>
    <s v="1027/SPP/SBU/ICON+/2023 | 4500021377"/>
    <s v="4148/SPP/SBU/PLNICONPLUS/2024"/>
    <s v="4500023325"/>
    <s v="Syifa Artianingsih"/>
    <m/>
    <m/>
    <m/>
    <m/>
    <m/>
    <m/>
    <m/>
    <m/>
    <m/>
    <n v="355"/>
    <m/>
  </r>
  <r>
    <n v="1892"/>
    <x v="544"/>
    <x v="508"/>
    <s v="Jl Simprug Garden 1 Blok W No.11 RT.07/RW.03, Grogol Selatan, Kebayoran Lama, Jakarta Selatan, DKI Jakarta, 12220"/>
    <s v="-"/>
    <s v="RDTX Square Jl. Prof. DR. Satrio No.26 Setiabudi, Jakarta Selatan, DKI Jakarta, Indonesia"/>
    <s v="Sewa Bulanan"/>
    <x v="0"/>
    <x v="1219"/>
    <s v="110130306065 / 04000297324"/>
    <n v="0.995"/>
    <s v="Internet Corporate"/>
    <s v="500 Mbps"/>
    <m/>
    <x v="280"/>
    <m/>
    <m/>
    <x v="274"/>
    <m/>
    <x v="1055"/>
    <d v="2025-08-21T00:00:00"/>
    <x v="2"/>
    <m/>
    <d v="2024-09-06T00:00:00"/>
    <n v="349"/>
    <x v="12"/>
    <x v="3"/>
    <s v="848/SPP/SBU/ICON+/2023 | 4500021171"/>
    <s v="4079/SPP/SBU/PLNICONPLUS/2024"/>
    <s v="4500023261"/>
    <s v="Syifa Artianingsih"/>
    <s v="Cindy Pratiwi"/>
    <s v="0857-2207-8712"/>
    <m/>
    <m/>
    <m/>
    <m/>
    <m/>
    <m/>
    <m/>
    <n v="360"/>
    <m/>
  </r>
  <r>
    <n v="1893"/>
    <x v="550"/>
    <x v="36"/>
    <s v="Ruko 53A, Jl. KH Abdullah Syafei No. 53 A RT 005 RW 002 Kelurahan Manggarai Selatan Kecamatan Tebet Jakarta Selatan 12860"/>
    <s v="Jalan Yos Sudarso, Sunter Jaya, Tj. Priok, Jakarta Utara, DKI Jakarta, Indonesia"/>
    <s v="Gedung Permata Kuningan Jl. Kuningan Mulia Kav 9C Lantai 9 Guntur, Setiabudi, Jakarta Selatan, DKI Jakarta, Indonesia,"/>
    <s v="Sewa Bulanan"/>
    <x v="0"/>
    <x v="948"/>
    <s v="110120209018 / 01000192190"/>
    <s v="99,50%"/>
    <s v="Metronet"/>
    <s v="50 Mbps"/>
    <m/>
    <x v="113"/>
    <m/>
    <m/>
    <x v="168"/>
    <m/>
    <x v="1057"/>
    <d v="2025-09-08T00:00:00"/>
    <x v="2"/>
    <m/>
    <d v="2024-09-06T00:00:00"/>
    <n v="367"/>
    <x v="7"/>
    <x v="3"/>
    <s v="1091/SPP/SBU/ICON+/2023 | 4500021200"/>
    <s v="4150/SPP/SBU/PLNICONPLUS/2024"/>
    <n v="4500023263"/>
    <s v="Syifa Artianingsih"/>
    <s v="Norman"/>
    <s v="0813-2398-2041"/>
    <m/>
    <m/>
    <m/>
    <m/>
    <m/>
    <m/>
    <m/>
    <n v="352"/>
    <m/>
  </r>
  <r>
    <n v="1894"/>
    <x v="19"/>
    <x v="104"/>
    <s v="MyRepublik plaza lt 2 Wing A"/>
    <s v="HSBC WTC1 Lantai 5. Jl Jend Sudirman Kab 29-31, Jakarta 12920"/>
    <s v="Ruko Perkantoran, Jl. BSD Raya Utama No.31, Pagedangan, Kec Pagedangan, Kabupaten Tangerang, Banten 15339 (Foresta Business Loft 2)"/>
    <s v="Sewa Bulanan"/>
    <x v="0"/>
    <x v="962"/>
    <s v="111202017283"/>
    <s v="99,50%"/>
    <s v="Metronet"/>
    <s v="10 Mbps"/>
    <m/>
    <x v="590"/>
    <m/>
    <m/>
    <x v="552"/>
    <m/>
    <x v="1058"/>
    <d v="2025-08-08T00:00:00"/>
    <x v="2"/>
    <m/>
    <d v="2024-09-06T00:00:00"/>
    <n v="336"/>
    <x v="12"/>
    <x v="3"/>
    <s v="534/SPP/SBU/ICON+/2023 | 4500020783"/>
    <s v="4078/SPP/SBU/PLNICONPLUS/2024"/>
    <n v="4500023262"/>
    <s v="Syifa Artianingsih"/>
    <m/>
    <m/>
    <m/>
    <m/>
    <m/>
    <m/>
    <m/>
    <m/>
    <m/>
    <n v="353"/>
    <m/>
  </r>
  <r>
    <n v="1895"/>
    <x v="19"/>
    <x v="938"/>
    <s v="MyRepublik plaza lt 2 Wing A"/>
    <m/>
    <s v="PT. GRAB TEKNOLOGI INDONESIA (Netsentia Private Limited) Jl Perum Astek No. 11, Lengkong Gudang Timur,_x000a_Tangsel, Kota Tangerang Selatan, Banten, Indonesia"/>
    <s v="Sewa Bulanan"/>
    <x v="0"/>
    <x v="542"/>
    <s v="01000199398"/>
    <s v="99,50%"/>
    <s v="Metronet"/>
    <s v="35 Mbps"/>
    <m/>
    <x v="276"/>
    <m/>
    <m/>
    <x v="271"/>
    <m/>
    <x v="1036"/>
    <d v="2025-07-19T00:00:00"/>
    <x v="2"/>
    <m/>
    <d v="2024-09-06T00:00:00"/>
    <n v="316"/>
    <x v="1"/>
    <x v="3"/>
    <s v="757/SPP/SBU/ICON+/2023 | 4500021118"/>
    <s v="3731/SPP/SBU/PLNICONPLUS/2024"/>
    <n v="4500023116"/>
    <s v="Syifa Artianingsih"/>
    <m/>
    <m/>
    <m/>
    <m/>
    <m/>
    <m/>
    <m/>
    <m/>
    <m/>
    <n v="235"/>
    <m/>
  </r>
  <r>
    <n v="1896"/>
    <x v="127"/>
    <x v="184"/>
    <s v="Gedung GKM Lt 2, Jalan Cikini Raya No 12 – 14, Menteng – Jakarta Pusat"/>
    <m/>
    <s v="EXCELSO Living Plaza Jababeka Jl Niaga, Raya Cikarang Unit : G-26,G-26A, Cikarang, Bekasi, Jawa Barat, Indonesia, 17530"/>
    <s v="Sewa Bulanan"/>
    <x v="0"/>
    <x v="171"/>
    <s v="04000127029"/>
    <n v="0.995"/>
    <s v="Internet Corporate"/>
    <s v="2 Mbps"/>
    <m/>
    <x v="27"/>
    <m/>
    <m/>
    <x v="294"/>
    <m/>
    <x v="1059"/>
    <d v="2025-08-18T00:00:00"/>
    <x v="2"/>
    <m/>
    <d v="2024-09-06T00:00:00"/>
    <n v="346"/>
    <x v="12"/>
    <x v="3"/>
    <s v="1003/SPP/SBU/ICON+/2023 | 4500021051"/>
    <s v="3693/SPP/SBU/PLNICONPLUS/2024"/>
    <n v="4500022922"/>
    <s v="Syifa Artianingsih"/>
    <s v="Hapsah"/>
    <s v="0815-9821-393"/>
    <m/>
    <m/>
    <m/>
    <m/>
    <m/>
    <m/>
    <m/>
    <n v="195"/>
    <m/>
  </r>
  <r>
    <n v="1897"/>
    <x v="551"/>
    <x v="56"/>
    <s v="Jl. HR. Rasuna Said x-5 Kav 2-3"/>
    <m/>
    <s v="Indomaret Tower, RT. 6/RW. 2, Kamal Muara, Kec. Penjaringan (Interkoneksi Fiberstar),  -,  Jakarta Utara,  DKI Jakarta,  Indonesia,  14470"/>
    <s v="Sewa Bulanan"/>
    <x v="0"/>
    <x v="359"/>
    <s v="01000135261"/>
    <s v="99,50%"/>
    <s v="IPVPN"/>
    <s v="100 Mbps"/>
    <m/>
    <x v="197"/>
    <m/>
    <m/>
    <x v="474"/>
    <m/>
    <x v="682"/>
    <d v="2025-07-08T00:00:00"/>
    <x v="2"/>
    <m/>
    <d v="2024-09-06T00:00:00"/>
    <n v="305"/>
    <x v="1"/>
    <x v="3"/>
    <s v="718/SPP/SBU/ICON+/2023 | 4500020920"/>
    <s v="3695/SPP/SBU/PLNICONPLUS/2024"/>
    <n v="4500022921"/>
    <s v="Syifa Artianingsih"/>
    <s v="Adi"/>
    <s v="0812-8611-4490"/>
    <m/>
    <m/>
    <m/>
    <m/>
    <m/>
    <m/>
    <m/>
    <n v="196"/>
    <m/>
  </r>
  <r>
    <n v="1898"/>
    <x v="70"/>
    <x v="1105"/>
    <s v="Ruko Kebayoran Centre Blok A No. 5"/>
    <m/>
    <s v="(Kemenag-Bekasi) Kemenag Kabupaten Bekasi Komplek Perkantoran Pemda Blok E-3 Kel Sukamahi Kec.Cikarang Pusat, Kab Bekasi Jawa Barat"/>
    <s v="Sewa Bulanan"/>
    <x v="0"/>
    <x v="1220"/>
    <s v="111205024701"/>
    <n v="0.995"/>
    <s v="IPVPN"/>
    <s v="1 Mbps"/>
    <m/>
    <x v="591"/>
    <m/>
    <n v="5000000"/>
    <x v="17"/>
    <m/>
    <x v="1060"/>
    <d v="2025-06-27T00:00:00"/>
    <x v="2"/>
    <m/>
    <d v="2024-09-06T00:00:00"/>
    <n v="294"/>
    <x v="3"/>
    <x v="3"/>
    <s v="Baru"/>
    <s v="2892/SPP/SBU/ICON+/2024"/>
    <s v="4500022586"/>
    <s v="Syifa Artianingsih"/>
    <s v="Airlin"/>
    <s v="0815-7224-2424"/>
    <m/>
    <m/>
    <m/>
    <m/>
    <m/>
    <m/>
    <m/>
    <n v="326"/>
    <m/>
  </r>
  <r>
    <n v="1899"/>
    <x v="70"/>
    <x v="1106"/>
    <s v="Ruko Kebayoran Centre Blok A No. 5"/>
    <m/>
    <s v="Deltamas-Bekasi Ruko Spanish Square Blok A No.2 Kota Delta Mas Kel Hegarmukti Kec. Cikarang Pusat Kab. Bekasi Jawa Barat"/>
    <s v="Sewa Bulanan"/>
    <x v="0"/>
    <x v="1221"/>
    <s v="111205024690"/>
    <n v="0.995"/>
    <s v="IPVPN"/>
    <s v="1 Mbps"/>
    <m/>
    <x v="591"/>
    <m/>
    <n v="5000000"/>
    <x v="17"/>
    <m/>
    <x v="1061"/>
    <d v="2025-06-12T00:00:00"/>
    <x v="2"/>
    <m/>
    <d v="2024-09-06T00:00:00"/>
    <n v="279"/>
    <x v="3"/>
    <x v="3"/>
    <s v="Baru"/>
    <s v="2891/SPP/SBU/ICON+/2024"/>
    <s v="4500022584"/>
    <s v="Syifa Artianingsih"/>
    <s v="Airlin"/>
    <s v="0815-7224-2424"/>
    <m/>
    <m/>
    <m/>
    <m/>
    <m/>
    <m/>
    <m/>
    <n v="325"/>
    <m/>
  </r>
  <r>
    <n v="1900"/>
    <x v="70"/>
    <x v="1107"/>
    <s v="Ruko Kebayoran Centre Blok A No. 5"/>
    <m/>
    <s v="(Pancoran Mas-Depok) Ruko ITC Depok No.18 Jl. Margonda Raya RT.002 RW.011 Kel Pancoran Mas Kec Pancoran Mas Depok Jawa Barat"/>
    <s v="Sewa Bulanan"/>
    <x v="0"/>
    <x v="1222"/>
    <s v="111205024709"/>
    <n v="0.995"/>
    <s v="IPVPN"/>
    <s v="1 Mbps"/>
    <m/>
    <x v="591"/>
    <m/>
    <n v="5000000"/>
    <x v="17"/>
    <m/>
    <x v="1044"/>
    <d v="2025-06-25T00:00:00"/>
    <x v="2"/>
    <m/>
    <d v="2024-09-06T00:00:00"/>
    <n v="292"/>
    <x v="3"/>
    <x v="3"/>
    <s v="Baru"/>
    <s v="2894/SPP/SBU/ICON+/2024"/>
    <s v="4500022587"/>
    <s v="Syifa Artianingsih"/>
    <s v="Airlin"/>
    <s v="0815-7224-2424"/>
    <m/>
    <m/>
    <m/>
    <m/>
    <m/>
    <m/>
    <m/>
    <n v="324"/>
    <m/>
  </r>
  <r>
    <n v="1901"/>
    <x v="0"/>
    <x v="862"/>
    <s v="Jl. MH Thamrin No. 1 Menara BCA Lt 43"/>
    <s v="NTT Nexcenter (CSF) jl Kuningan Barat no 8 Jakarta 12710"/>
    <s v="Bank Mizuho Menara Astra Jl Jend Sudirman Kav 5-6, Rt.0/Rw.4, Gondangdia, Menteng, Sudirman, Jakarta Pusat, DKI Jakarta "/>
    <s v="Sewa Bulanan"/>
    <x v="0"/>
    <x v="537"/>
    <s v="110120211171 / 01000190070"/>
    <n v="0.995"/>
    <s v="Metronet"/>
    <s v="150 Mbps"/>
    <m/>
    <x v="0"/>
    <m/>
    <m/>
    <x v="443"/>
    <m/>
    <x v="789"/>
    <d v="2025-07-21T00:00:00"/>
    <x v="2"/>
    <m/>
    <d v="2024-09-06T00:00:00"/>
    <n v="318"/>
    <x v="1"/>
    <x v="3"/>
    <s v="805/SPP/SBU/ICON+/2023 | 4500021129"/>
    <s v="4073/SPP/SBU/PLNICONPLUS/2024"/>
    <n v="4500023319"/>
    <s v="Syifa Artianingsih"/>
    <m/>
    <m/>
    <m/>
    <m/>
    <m/>
    <m/>
    <m/>
    <m/>
    <m/>
    <n v="356"/>
    <m/>
  </r>
  <r>
    <n v="1902"/>
    <x v="352"/>
    <x v="863"/>
    <s v="Jl. MH Thamrin No. 1 Menara BCA Lt 43"/>
    <s v="NTT Nexcenter (CSF) jl Kuningan Barat no 8 Jakarta 12710"/>
    <s v="Bank Mizuho Menara Astra Jl Jend Sudirman Kav 5-6, Rt.0/Rw.4, Gondangdia, Menteng, Sudirman, Jakarta Pusat, DKI Jakarta "/>
    <s v="Sewa Bulanan"/>
    <x v="0"/>
    <x v="537"/>
    <s v="110120211171 / 01000190070"/>
    <n v="0.995"/>
    <s v="Metronet"/>
    <s v="150 Mbps"/>
    <m/>
    <x v="0"/>
    <m/>
    <m/>
    <x v="145"/>
    <m/>
    <x v="789"/>
    <d v="2025-07-21T00:00:00"/>
    <x v="2"/>
    <m/>
    <d v="2024-09-06T00:00:00"/>
    <n v="318"/>
    <x v="1"/>
    <x v="3"/>
    <s v="803/SPP/SBU/ICON+/2023 | 4500021107"/>
    <s v="4074/SPP/SBU/PLNICONPLUS/2024"/>
    <n v="4500023318"/>
    <s v="Syifa Artianingsih"/>
    <m/>
    <m/>
    <m/>
    <m/>
    <m/>
    <m/>
    <m/>
    <m/>
    <m/>
    <n v="358"/>
    <m/>
  </r>
  <r>
    <n v="1903"/>
    <x v="477"/>
    <x v="908"/>
    <s v="Jl.Kebon Sirih No.12, 10110 Jakarta Pusat"/>
    <m/>
    <s v="SPBU-Cikupa Citra Raya, Jl Citraraya Utama Timur Cikupa, Kota Tangerang, Banten, Indonesia"/>
    <s v="Sewa Bulanan"/>
    <x v="0"/>
    <x v="406"/>
    <s v="110140100471 / 04000206699"/>
    <n v="0.99"/>
    <s v="Internet Broadband"/>
    <s v="10 Mbps"/>
    <m/>
    <x v="86"/>
    <m/>
    <m/>
    <x v="208"/>
    <m/>
    <x v="1062"/>
    <d v="2025-08-14T00:00:00"/>
    <x v="2"/>
    <m/>
    <d v="2024-09-06T00:00:00"/>
    <n v="342"/>
    <x v="12"/>
    <x v="3"/>
    <s v="1121/SPP/SBU/ICON+/2023 | 4500021340"/>
    <s v="3841/SPP/SBU/PLNICONPLUS/2024"/>
    <n v="4500023260"/>
    <s v="Syifa Artianingsih"/>
    <s v="Ikhsan"/>
    <s v="0822-3382-4661"/>
    <m/>
    <m/>
    <m/>
    <m/>
    <m/>
    <m/>
    <m/>
    <n v="240"/>
    <m/>
  </r>
  <r>
    <n v="1904"/>
    <x v="552"/>
    <x v="793"/>
    <s v="Jl. Jababeka IV No.12 jbbk"/>
    <s v="ruko green market B08, simpangan cikarang"/>
    <s v="Jl. Kuningan Barat Raya No.8"/>
    <s v="Sewa Tahunan"/>
    <x v="2"/>
    <x v="1223"/>
    <s v="111202019315"/>
    <m/>
    <s v="Metronet"/>
    <s v="30 Mbps"/>
    <n v="3000000"/>
    <x v="592"/>
    <m/>
    <m/>
    <x v="553"/>
    <m/>
    <x v="1063"/>
    <d v="2024-12-31T00:00:00"/>
    <x v="2"/>
    <m/>
    <d v="2024-09-03T00:00:00"/>
    <n v="119"/>
    <x v="5"/>
    <x v="1"/>
    <m/>
    <s v="3845/SPP/SBU/PLNICONPLUS/2024"/>
    <s v="4500023155"/>
    <s v="Syifa Fauziyah"/>
    <s v="Aksho"/>
    <s v="082114964496"/>
    <m/>
    <m/>
    <m/>
    <m/>
    <m/>
    <m/>
    <m/>
    <n v="215"/>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0">
  <r>
    <n v="-14"/>
    <s v="Bit Teknologi Nusantara "/>
    <s v="PT NTT Indonesia"/>
    <s v="Jakarta 12210"/>
    <x v="0"/>
    <m/>
    <m/>
    <s v="Sewa Tahunan"/>
    <s v="Interkoneksi"/>
    <s v="AR/ACT/1904/10733"/>
    <m/>
    <m/>
    <m/>
    <m/>
    <m/>
    <n v="556800000"/>
    <m/>
    <m/>
    <n v="460800000"/>
    <m/>
    <d v="2020-07-22T00:00:00"/>
    <d v="2021-07-21T00:00:00"/>
    <x v="0"/>
    <m/>
    <m/>
    <m/>
    <m/>
    <m/>
    <s v="13763/SPP/008/PUSAT/ICON+/2020"/>
    <n v="4500014678"/>
    <m/>
    <m/>
    <m/>
    <m/>
    <m/>
    <m/>
    <m/>
    <m/>
    <m/>
    <m/>
    <m/>
    <m/>
    <m/>
    <m/>
  </r>
  <r>
    <n v="-13"/>
    <s v="Duta Pertiwi"/>
    <s v="Bank Mega "/>
    <s v="y"/>
    <x v="0"/>
    <m/>
    <m/>
    <s v="Sewa Tahunan"/>
    <s v="Colocation"/>
    <s v="PA/ACT /1808/0396"/>
    <m/>
    <m/>
    <m/>
    <m/>
    <m/>
    <n v="34800000"/>
    <m/>
    <m/>
    <n v="8750000"/>
    <m/>
    <d v="2020-12-04T00:00:00"/>
    <d v="2021-11-04T00:00:00"/>
    <x v="0"/>
    <m/>
    <m/>
    <m/>
    <m/>
    <m/>
    <m/>
    <n v="4500014316"/>
    <m/>
    <m/>
    <m/>
    <m/>
    <m/>
    <m/>
    <m/>
    <m/>
    <m/>
    <m/>
    <m/>
    <m/>
    <m/>
    <m/>
  </r>
  <r>
    <n v="-12"/>
    <s v="Graha Inti Fauzi"/>
    <s v="Commonwealth"/>
    <s v="Jakarta Selatan 12510"/>
    <x v="0"/>
    <m/>
    <m/>
    <s v="Sewa Tahunan"/>
    <s v="Colocation"/>
    <s v="AL/1812/17142"/>
    <m/>
    <m/>
    <m/>
    <m/>
    <m/>
    <n v="120000000"/>
    <m/>
    <m/>
    <n v="70000000"/>
    <m/>
    <d v="2020-09-25T00:00:00"/>
    <d v="2021-09-24T00:00:00"/>
    <x v="0"/>
    <m/>
    <m/>
    <m/>
    <m/>
    <m/>
    <s v="14227/SPP/008/PUSAT/ICON+/2020"/>
    <n v="4500015016"/>
    <m/>
    <m/>
    <m/>
    <m/>
    <m/>
    <m/>
    <m/>
    <m/>
    <m/>
    <m/>
    <m/>
    <m/>
    <m/>
    <m/>
  </r>
  <r>
    <n v="-11"/>
    <s v="Graha Pena Jawa Pos"/>
    <s v="PT Jawa Pos Koran"/>
    <s v="Jakarta 12210"/>
    <x v="0"/>
    <m/>
    <m/>
    <s v="Sewa Tahunan"/>
    <s v="Colocation"/>
    <s v="ICON-00/ACT/1501/0690"/>
    <m/>
    <m/>
    <m/>
    <m/>
    <m/>
    <n v="120000000"/>
    <m/>
    <m/>
    <n v="52656247"/>
    <m/>
    <d v="2020-02-01T00:00:00"/>
    <d v="2021-01-01T00:00:00"/>
    <x v="0"/>
    <m/>
    <m/>
    <m/>
    <m/>
    <m/>
    <s v="12451/SPP/008/PUSAT/ICON+/2020"/>
    <n v="4500013795"/>
    <m/>
    <m/>
    <m/>
    <m/>
    <m/>
    <m/>
    <m/>
    <m/>
    <m/>
    <m/>
    <m/>
    <m/>
    <m/>
    <m/>
  </r>
  <r>
    <n v="-10"/>
    <s v="Karyagraha Nusantara"/>
    <s v="PT Primacom Interbuana "/>
    <s v="Jakarta 12710"/>
    <x v="0"/>
    <m/>
    <m/>
    <s v="Sewa Tahunan"/>
    <s v="Colocation"/>
    <s v="AL/1809/9066"/>
    <m/>
    <m/>
    <m/>
    <m/>
    <m/>
    <n v="30000000"/>
    <m/>
    <m/>
    <n v="7500000"/>
    <m/>
    <d v="2020-04-05T00:00:00"/>
    <d v="2021-03-05T00:00:00"/>
    <x v="0"/>
    <m/>
    <m/>
    <m/>
    <m/>
    <m/>
    <s v="13421/SPP/008/PUSAT/ICON+/2020"/>
    <n v="4500014438"/>
    <m/>
    <m/>
    <m/>
    <m/>
    <m/>
    <m/>
    <m/>
    <m/>
    <m/>
    <m/>
    <m/>
    <m/>
    <m/>
    <m/>
  </r>
  <r>
    <n v="-9"/>
    <s v="CBN Nusantara"/>
    <s v="Kaldu Sari Nabati"/>
    <s v="Jakarta 00000"/>
    <x v="0"/>
    <m/>
    <m/>
    <s v="Sewa Tahunan"/>
    <s v="Colocation"/>
    <s v="PA/ACT /1803/0827"/>
    <m/>
    <m/>
    <m/>
    <m/>
    <m/>
    <n v="144000000"/>
    <m/>
    <m/>
    <n v="6000000"/>
    <m/>
    <d v="2020-07-18T00:00:00"/>
    <d v="2021-07-17T00:00:00"/>
    <x v="0"/>
    <m/>
    <m/>
    <m/>
    <m/>
    <m/>
    <s v="13722/SPP/008/PUSAT/ICON+/2020"/>
    <n v="4500014714"/>
    <m/>
    <m/>
    <m/>
    <m/>
    <m/>
    <m/>
    <m/>
    <m/>
    <m/>
    <m/>
    <m/>
    <m/>
    <m/>
    <m/>
  </r>
  <r>
    <n v="-8"/>
    <s v="Metropolitan Kencana"/>
    <s v="PT Mattel Trading Indonesia"/>
    <s v="Jakarta 00000"/>
    <x v="0"/>
    <m/>
    <m/>
    <s v="Sewa Tahunan"/>
    <s v="Colocation"/>
    <s v="ICON-00/ACT/1603/0405"/>
    <m/>
    <m/>
    <m/>
    <m/>
    <m/>
    <n v="240000000"/>
    <m/>
    <m/>
    <n v="35000000"/>
    <m/>
    <d v="2020-01-23T00:00:00"/>
    <d v="2021-01-22T00:00:00"/>
    <x v="0"/>
    <m/>
    <m/>
    <m/>
    <m/>
    <m/>
    <s v="12502/SPP/008/PUSAT/ICON+/2020"/>
    <n v="4500014043"/>
    <m/>
    <m/>
    <m/>
    <m/>
    <m/>
    <m/>
    <m/>
    <m/>
    <m/>
    <m/>
    <m/>
    <m/>
    <m/>
    <m/>
  </r>
  <r>
    <n v="-7"/>
    <s v="Centrin Online Prima"/>
    <s v="PT GH EMM Indonesia"/>
    <s v="Jakarta 12930"/>
    <x v="0"/>
    <m/>
    <m/>
    <s v="Sewa Tahunan"/>
    <s v="Interkoneksi"/>
    <s v="PA/UPG /2001/0203"/>
    <m/>
    <m/>
    <m/>
    <m/>
    <m/>
    <n v="420000000"/>
    <m/>
    <n v="15000000"/>
    <n v="9000000"/>
    <m/>
    <d v="2020-07-07T00:00:00"/>
    <d v="2021-06-07T00:00:00"/>
    <x v="0"/>
    <m/>
    <m/>
    <m/>
    <m/>
    <m/>
    <s v="13339/SPP/008/PUSAT/ICON+/2020"/>
    <n v="4500014385"/>
    <m/>
    <m/>
    <m/>
    <m/>
    <m/>
    <m/>
    <m/>
    <m/>
    <m/>
    <m/>
    <m/>
    <m/>
    <m/>
    <m/>
  </r>
  <r>
    <n v="-6"/>
    <s v="Duta Pertiwi"/>
    <s v="PT Trans Retail Indonesia"/>
    <s v="Jakarta Utara 14430"/>
    <x v="0"/>
    <m/>
    <m/>
    <s v="Sewa Tahunan"/>
    <s v="Colocation"/>
    <s v="ICON-00/SOP/1403/0019"/>
    <m/>
    <m/>
    <m/>
    <m/>
    <m/>
    <s v="Serpong Mas Telematika"/>
    <m/>
    <m/>
    <n v="35000000"/>
    <m/>
    <d v="2020-08-27T00:00:00"/>
    <d v="2021-08-26T00:00:00"/>
    <x v="0"/>
    <m/>
    <m/>
    <m/>
    <m/>
    <m/>
    <s v="13725/SPP/008/PUSAT/ICON+/2020"/>
    <n v="4500014634"/>
    <m/>
    <m/>
    <m/>
    <m/>
    <m/>
    <m/>
    <m/>
    <m/>
    <m/>
    <m/>
    <m/>
    <m/>
    <m/>
    <m/>
  </r>
  <r>
    <n v="-5"/>
    <s v="Media Nusantara Data Global"/>
    <s v="PT Pinus Merah Abadi"/>
    <s v="Jakarta Selatan 12710"/>
    <x v="0"/>
    <m/>
    <m/>
    <s v="Sewa Tahunan"/>
    <s v="Cross Connect"/>
    <s v="PA/ACT /2006/1164/TER"/>
    <m/>
    <m/>
    <m/>
    <m/>
    <n v="3500000"/>
    <n v="300000000"/>
    <m/>
    <m/>
    <n v="2500000"/>
    <m/>
    <d v="2020-06-07T00:00:00"/>
    <d v="2021-05-07T00:00:00"/>
    <x v="0"/>
    <m/>
    <m/>
    <m/>
    <m/>
    <m/>
    <m/>
    <n v="4500014669"/>
    <m/>
    <m/>
    <m/>
    <m/>
    <m/>
    <m/>
    <m/>
    <m/>
    <m/>
    <m/>
    <m/>
    <m/>
    <m/>
    <m/>
  </r>
  <r>
    <n v="-4"/>
    <s v="Karyagraha Nusantara"/>
    <s v="PT XL Axiata Tbk"/>
    <s v="Jakarta 12210"/>
    <x v="0"/>
    <m/>
    <m/>
    <s v="Sewa Tahunan"/>
    <s v="Colocation"/>
    <s v="ICON-00/ACT/1409/0507"/>
    <m/>
    <m/>
    <m/>
    <m/>
    <m/>
    <n v="66240000"/>
    <m/>
    <m/>
    <n v="35000000"/>
    <m/>
    <d v="2020-05-28T00:00:00"/>
    <d v="2021-05-27T00:00:00"/>
    <x v="0"/>
    <m/>
    <m/>
    <m/>
    <m/>
    <m/>
    <s v="13359/SPP/008/PUSAT/ICON+/2020"/>
    <n v="4500014450"/>
    <m/>
    <m/>
    <m/>
    <m/>
    <m/>
    <m/>
    <m/>
    <m/>
    <m/>
    <m/>
    <m/>
    <m/>
    <m/>
    <m/>
  </r>
  <r>
    <n v="-3"/>
    <s v="CBN Nusantara"/>
    <s v="Bank Perkreditan Rakyat"/>
    <s v="Jakarta 00000"/>
    <x v="0"/>
    <m/>
    <m/>
    <s v="Sewa Tahunan"/>
    <s v="Colocation"/>
    <s v="ICON-00/ACT/1707/0184, ICON-00/ACT/1706/0551, ICON-00/ACT/1707/0086"/>
    <m/>
    <m/>
    <m/>
    <m/>
    <m/>
    <n v="84000000"/>
    <m/>
    <m/>
    <n v="6000000"/>
    <m/>
    <d v="2020-09-14T00:00:00"/>
    <d v="2021-09-13T00:00:00"/>
    <x v="0"/>
    <m/>
    <m/>
    <m/>
    <m/>
    <m/>
    <s v="13981/SPP/008/PUSAT/ICON+/2020"/>
    <n v="4500014893"/>
    <m/>
    <m/>
    <m/>
    <m/>
    <m/>
    <m/>
    <m/>
    <m/>
    <m/>
    <m/>
    <m/>
    <m/>
    <m/>
    <m/>
  </r>
  <r>
    <n v="-2"/>
    <s v="Karyagraha Nusantara"/>
    <s v="PT Indointernet"/>
    <s v="Jakarta 12710"/>
    <x v="0"/>
    <m/>
    <m/>
    <s v="Sewa Tahunan"/>
    <s v="Colocation"/>
    <s v="ICON-00/SBC/1704/002, ICON-00/SBC/1509/002"/>
    <m/>
    <m/>
    <m/>
    <m/>
    <m/>
    <n v="84000000"/>
    <m/>
    <m/>
    <n v="17000000"/>
    <m/>
    <d v="2020-06-09T00:00:00"/>
    <d v="2021-05-09T00:00:00"/>
    <x v="0"/>
    <m/>
    <m/>
    <m/>
    <m/>
    <m/>
    <s v="13983/SPP/008/PUSAT/ICON+/2020"/>
    <n v="4500014857"/>
    <m/>
    <m/>
    <m/>
    <m/>
    <m/>
    <m/>
    <m/>
    <m/>
    <m/>
    <m/>
    <m/>
    <m/>
    <m/>
    <m/>
  </r>
  <r>
    <n v="-1"/>
    <s v="DCI Indonesia"/>
    <s v="PT Airpay International Indonesia"/>
    <s v="Jakarta 12190"/>
    <x v="0"/>
    <m/>
    <m/>
    <s v="Sewa Tahunan"/>
    <s v="Cross Connect"/>
    <s v="PA/ACT /1912/2626"/>
    <m/>
    <m/>
    <m/>
    <m/>
    <n v="5000000"/>
    <n v="42000000"/>
    <m/>
    <n v="4000000"/>
    <n v="36000000"/>
    <m/>
    <d v="2020-01-27T00:00:00"/>
    <d v="2021-01-26T00:00:00"/>
    <x v="0"/>
    <m/>
    <m/>
    <m/>
    <m/>
    <m/>
    <s v="12521/SPP/008/PUSAT/ICON+/2020"/>
    <n v="4500013824"/>
    <m/>
    <m/>
    <m/>
    <m/>
    <m/>
    <m/>
    <m/>
    <m/>
    <m/>
    <m/>
    <m/>
    <m/>
    <m/>
    <m/>
  </r>
  <r>
    <n v="0"/>
    <s v="Bit Teknologi Nusantara "/>
    <s v="Astra International"/>
    <s v="Jakarta 12710"/>
    <x v="0"/>
    <m/>
    <m/>
    <s v="Sewa Tahunan"/>
    <s v="Interkoneksi"/>
    <s v="PA/ACT /2002/2222"/>
    <m/>
    <m/>
    <m/>
    <m/>
    <m/>
    <n v="290400000"/>
    <m/>
    <m/>
    <n v="8400000"/>
    <m/>
    <d v="2020-01-07T00:00:00"/>
    <d v="2020-08-31T00:00:00"/>
    <x v="0"/>
    <m/>
    <m/>
    <m/>
    <m/>
    <m/>
    <s v="13955/SPP/008/PUSAT/ICON+/2020"/>
    <n v="4500014789"/>
    <m/>
    <m/>
    <m/>
    <m/>
    <m/>
    <m/>
    <m/>
    <m/>
    <m/>
    <m/>
    <m/>
    <m/>
    <m/>
    <m/>
  </r>
  <r>
    <n v="1"/>
    <s v="Media Nusantara Data Global"/>
    <s v="PT Signal Indo Sukses"/>
    <s v="Jakarta Selatan 12710"/>
    <x v="0"/>
    <m/>
    <m/>
    <s v="Sewa Tahunan"/>
    <s v="Cross Connect"/>
    <s v="PA/ACT /2008/1120"/>
    <m/>
    <m/>
    <m/>
    <m/>
    <n v="1000000"/>
    <n v="840000000"/>
    <m/>
    <n v="2500000"/>
    <n v="2500000"/>
    <m/>
    <d v="2020-09-25T00:00:00"/>
    <d v="2021-09-24T00:00:00"/>
    <x v="0"/>
    <m/>
    <m/>
    <m/>
    <m/>
    <m/>
    <s v="14222/SPP/008/PUSAT/ICON+/2020"/>
    <n v="4500015013"/>
    <m/>
    <m/>
    <m/>
    <m/>
    <m/>
    <m/>
    <m/>
    <m/>
    <m/>
    <m/>
    <m/>
    <m/>
    <m/>
    <m/>
  </r>
  <r>
    <n v="2"/>
    <s v="Perhimpunan Penghuni Menara Kadin"/>
    <s v="PT Bukit Asam, Bank Mega"/>
    <s v="Jakarta 00000"/>
    <x v="0"/>
    <m/>
    <m/>
    <s v="Sewa Tahunan"/>
    <s v="Colocation"/>
    <s v="AL/1904/5372, AL/1912/56534, PA/ACT/1802/2046"/>
    <m/>
    <m/>
    <m/>
    <m/>
    <m/>
    <n v="368114352"/>
    <m/>
    <m/>
    <n v="25000000"/>
    <m/>
    <d v="2020-05-04T00:00:00"/>
    <d v="2021-04-04T00:00:00"/>
    <x v="0"/>
    <m/>
    <m/>
    <m/>
    <m/>
    <m/>
    <s v="12759/SPP/008/PUSAT/ICON+/2020"/>
    <n v="4500013982"/>
    <m/>
    <m/>
    <m/>
    <m/>
    <m/>
    <m/>
    <m/>
    <m/>
    <m/>
    <m/>
    <m/>
    <m/>
    <m/>
    <m/>
  </r>
  <r>
    <n v="3"/>
    <s v="Jakarta Sinar Intertrade "/>
    <s v="Bank Sinarmas"/>
    <s v="Jakarta 10730"/>
    <x v="0"/>
    <m/>
    <m/>
    <s v="Sewa Tahunan"/>
    <s v="Colocation"/>
    <s v="AL/2005/15084"/>
    <m/>
    <m/>
    <m/>
    <m/>
    <m/>
    <n v="34560000"/>
    <m/>
    <m/>
    <n v="26000000"/>
    <m/>
    <d v="2020-01-08T00:00:00"/>
    <d v="2021-07-31T00:00:00"/>
    <x v="0"/>
    <m/>
    <m/>
    <m/>
    <m/>
    <m/>
    <m/>
    <n v="4500014819"/>
    <m/>
    <m/>
    <m/>
    <m/>
    <m/>
    <m/>
    <m/>
    <m/>
    <m/>
    <m/>
    <m/>
    <m/>
    <m/>
    <m/>
  </r>
  <r>
    <n v="4"/>
    <s v="Aston Inti Makmur"/>
    <s v="PT Nugraha Indah Citrarasa"/>
    <s v="Jakarta Selatan 00000"/>
    <x v="0"/>
    <m/>
    <m/>
    <s v="Sewa Tahunan"/>
    <s v="Colocation"/>
    <s v="PA/RLK/1902/0056, PA/RLK/1902/0058, PA/RLK/1920/0057"/>
    <m/>
    <m/>
    <m/>
    <m/>
    <m/>
    <n v="180000000"/>
    <m/>
    <m/>
    <n v="30000000"/>
    <m/>
    <d v="2020-01-03T00:00:00"/>
    <d v="2021-02-28T00:00:00"/>
    <x v="0"/>
    <m/>
    <m/>
    <m/>
    <m/>
    <m/>
    <s v="12586/SPP/008/PUSAT/ICON+/2020"/>
    <n v="4500013907"/>
    <m/>
    <m/>
    <m/>
    <m/>
    <m/>
    <m/>
    <m/>
    <m/>
    <m/>
    <m/>
    <m/>
    <m/>
    <m/>
    <m/>
  </r>
  <r>
    <n v="5"/>
    <s v="Perhimpunan Penghuni Crown Court Executive Condominium"/>
    <s v="Hanasta Dakara"/>
    <s v="Jakarta 00000"/>
    <x v="0"/>
    <m/>
    <m/>
    <s v="Sewa Tahunan"/>
    <s v="Colocation"/>
    <n v="1000029813"/>
    <m/>
    <m/>
    <m/>
    <m/>
    <m/>
    <n v="84000000"/>
    <m/>
    <m/>
    <n v="21850005"/>
    <m/>
    <d v="2020-01-10T00:00:00"/>
    <d v="2021-09-30T00:00:00"/>
    <x v="0"/>
    <m/>
    <m/>
    <m/>
    <m/>
    <m/>
    <s v="14093/SPP/008/PUSAT/ICON+/2020"/>
    <n v="4500015007"/>
    <m/>
    <m/>
    <m/>
    <m/>
    <m/>
    <m/>
    <m/>
    <m/>
    <m/>
    <m/>
    <m/>
    <m/>
    <m/>
    <m/>
  </r>
  <r>
    <n v="6"/>
    <s v="Indointernet "/>
    <s v="PT Pasifik Satelit Nusantara"/>
    <s v="Ciputat 00000"/>
    <x v="0"/>
    <m/>
    <m/>
    <s v="Sewa Tahunan"/>
    <s v="Colocation"/>
    <s v="PA/ACT /2003/0542"/>
    <m/>
    <m/>
    <m/>
    <m/>
    <n v="3000000"/>
    <n v="64800000"/>
    <m/>
    <n v="1000000"/>
    <n v="12000000"/>
    <m/>
    <d v="2020-08-03T00:00:00"/>
    <d v="2021-07-03T00:00:00"/>
    <x v="0"/>
    <m/>
    <m/>
    <m/>
    <m/>
    <m/>
    <s v="13317/SPP/008/PUSAT/ICON+/2020"/>
    <n v="4500014386"/>
    <m/>
    <m/>
    <m/>
    <m/>
    <m/>
    <m/>
    <m/>
    <m/>
    <m/>
    <m/>
    <m/>
    <m/>
    <m/>
    <m/>
  </r>
  <r>
    <n v="7"/>
    <s v="Karunia Mega Perkasa"/>
    <s v="Iforte Global Internet"/>
    <s v="Jakarta Barat 11730"/>
    <x v="0"/>
    <m/>
    <m/>
    <s v="Sewa Tahunan"/>
    <s v="Colocation"/>
    <s v="ICON-00/SBC/1802/0442"/>
    <m/>
    <m/>
    <m/>
    <m/>
    <m/>
    <n v="39600000"/>
    <m/>
    <m/>
    <n v="12000000"/>
    <m/>
    <d v="2020-07-20T00:00:00"/>
    <d v="2021-07-19T00:00:00"/>
    <x v="0"/>
    <m/>
    <m/>
    <m/>
    <m/>
    <m/>
    <s v="13553/SPP/008/PUSAT/ICON+/2020"/>
    <n v="4500014492"/>
    <m/>
    <m/>
    <m/>
    <m/>
    <m/>
    <m/>
    <m/>
    <m/>
    <m/>
    <m/>
    <m/>
    <m/>
    <m/>
    <m/>
  </r>
  <r>
    <n v="8"/>
    <s v="Karunia Mega Perkasa"/>
    <s v="Bank Syariah Mandiri, PT Bank Panin"/>
    <s v="Jakarta Barat 11730"/>
    <x v="0"/>
    <m/>
    <m/>
    <s v="Sewa Tahunan"/>
    <s v="Colocation"/>
    <s v="357849/1285644652/103|170000211820025, 170000218240011"/>
    <m/>
    <m/>
    <m/>
    <m/>
    <m/>
    <n v="157418184"/>
    <m/>
    <m/>
    <n v="24000000"/>
    <m/>
    <d v="2020-07-20T00:00:00"/>
    <d v="2021-07-19T00:00:00"/>
    <x v="0"/>
    <m/>
    <m/>
    <m/>
    <m/>
    <m/>
    <s v="13547/SPP/008/PUSAT/ICON+/2020"/>
    <n v="4500014491"/>
    <m/>
    <m/>
    <m/>
    <m/>
    <m/>
    <m/>
    <m/>
    <m/>
    <m/>
    <m/>
    <m/>
    <m/>
    <m/>
    <m/>
  </r>
  <r>
    <n v="9"/>
    <s v="DCI Indonesia"/>
    <s v="PT Primacom Interbuana "/>
    <s v="Jakarta 12190"/>
    <x v="0"/>
    <m/>
    <m/>
    <s v="Sewa Tahunan"/>
    <s v="Colocation"/>
    <s v="ICON-00/SBC/1507/0516"/>
    <m/>
    <m/>
    <m/>
    <m/>
    <m/>
    <n v="33000000"/>
    <m/>
    <m/>
    <n v="18000000"/>
    <m/>
    <d v="2020-01-06T00:00:00"/>
    <d v="2021-05-31T00:00:00"/>
    <x v="0"/>
    <m/>
    <m/>
    <m/>
    <m/>
    <m/>
    <m/>
    <n v="4500014432"/>
    <m/>
    <m/>
    <m/>
    <m/>
    <m/>
    <m/>
    <m/>
    <m/>
    <m/>
    <m/>
    <m/>
    <m/>
    <m/>
    <m/>
  </r>
  <r>
    <n v="10"/>
    <s v="Sigma Cipta Cakara"/>
    <s v="PT Cyber Network Indonesia"/>
    <s v="Tanggerang 15321"/>
    <x v="0"/>
    <m/>
    <m/>
    <s v="Sewa Tahunan"/>
    <s v="Cross Connect"/>
    <s v="PA/ACT /2001/1658/TER"/>
    <m/>
    <m/>
    <m/>
    <m/>
    <n v="3000000"/>
    <n v="43200000"/>
    <m/>
    <n v="3000000"/>
    <n v="6000000"/>
    <m/>
    <d v="2020-02-17T00:00:00"/>
    <d v="2021-02-16T00:00:00"/>
    <x v="0"/>
    <m/>
    <m/>
    <m/>
    <m/>
    <m/>
    <s v="12640/SPP/008/PUSAT/ICON+/2020"/>
    <n v="4500013949"/>
    <m/>
    <m/>
    <m/>
    <m/>
    <m/>
    <m/>
    <m/>
    <m/>
    <m/>
    <m/>
    <m/>
    <m/>
    <m/>
    <m/>
  </r>
  <r>
    <n v="11"/>
    <s v="Circlecom Nusantara Indonesia"/>
    <s v="PT Aplikanusa Lintasarta"/>
    <s v="Kebayoran Baru, Jakarta Selatan 12190"/>
    <x v="0"/>
    <m/>
    <m/>
    <s v="Sewa Tahunan"/>
    <s v="Colocation"/>
    <s v="PA/ACT/1801/0234"/>
    <m/>
    <m/>
    <m/>
    <m/>
    <m/>
    <n v="42000000"/>
    <m/>
    <m/>
    <n v="12000000"/>
    <m/>
    <d v="2020-01-04T00:00:00"/>
    <d v="2021-03-31T00:00:00"/>
    <x v="0"/>
    <m/>
    <m/>
    <m/>
    <m/>
    <m/>
    <s v="12988/SPP/008/PUSAT/ICON+/2020"/>
    <n v="4500014234"/>
    <m/>
    <m/>
    <m/>
    <m/>
    <m/>
    <m/>
    <m/>
    <m/>
    <m/>
    <m/>
    <m/>
    <m/>
    <m/>
    <m/>
  </r>
  <r>
    <n v="12"/>
    <s v="Sigma Cipta Cakara"/>
    <s v="PT Bank BTPN Syariah, Bank Bukopin"/>
    <s v="Tanggerang 15321"/>
    <x v="0"/>
    <m/>
    <m/>
    <s v="Sewa Tahunan"/>
    <s v="Colocation"/>
    <s v="ICON-00/ACT/1511/0021, PA/ACT/1902/0567, PA/ACT/1902/0568,  PA/ACT/1902/0569,  PA/ACT/1902/0571,  PA/ACT/1902/0572"/>
    <m/>
    <m/>
    <m/>
    <m/>
    <m/>
    <n v="439800000"/>
    <m/>
    <m/>
    <n v="151200000"/>
    <m/>
    <d v="2020-04-15T00:00:00"/>
    <d v="2021-04-14T00:00:00"/>
    <x v="0"/>
    <m/>
    <m/>
    <m/>
    <m/>
    <m/>
    <s v="13156/SPP/008/PUSAT/ICON+/2020"/>
    <n v="4500014236"/>
    <m/>
    <m/>
    <m/>
    <m/>
    <m/>
    <m/>
    <m/>
    <m/>
    <m/>
    <m/>
    <m/>
    <m/>
    <m/>
    <m/>
  </r>
  <r>
    <n v="13"/>
    <s v="Sigma Cipta Cakara"/>
    <s v="PT Bank BTPN Syariah, Bank Bukopin"/>
    <s v="Tanggerang 15321"/>
    <x v="0"/>
    <m/>
    <m/>
    <s v="Sewa Tahunan"/>
    <s v="Cross Connect"/>
    <s v="ICON-00/ACT/1511/0021, PA/ACT/1902/0567, PA/ACT/1902/0568,  PA/ACT/1902/0569,  PA/ACT/1902/0571,  PA/ACT/1902/0572"/>
    <m/>
    <m/>
    <m/>
    <m/>
    <m/>
    <n v="439800000"/>
    <m/>
    <m/>
    <n v="151200000"/>
    <m/>
    <d v="2020-04-15T00:00:00"/>
    <d v="2021-04-14T00:00:00"/>
    <x v="0"/>
    <m/>
    <m/>
    <m/>
    <m/>
    <m/>
    <s v="13157/SPP/008/PUSAT/ICON+/2020"/>
    <n v="4500014237"/>
    <m/>
    <m/>
    <m/>
    <m/>
    <m/>
    <m/>
    <m/>
    <m/>
    <m/>
    <m/>
    <m/>
    <m/>
    <m/>
    <m/>
  </r>
  <r>
    <n v="14"/>
    <s v="Biznet Data Center"/>
    <s v="PT Bank Central Asia Tbk"/>
    <s v="Jakarta Pusat 10220"/>
    <x v="0"/>
    <m/>
    <m/>
    <s v="Sewa Tahunan"/>
    <s v="Cross Connect"/>
    <s v="PA/RLK/2001/0030/TER"/>
    <m/>
    <m/>
    <m/>
    <m/>
    <n v="2500000"/>
    <n v="28800000"/>
    <m/>
    <n v="5000000"/>
    <n v="12000000"/>
    <m/>
    <d v="2020-01-31T00:00:00"/>
    <d v="2021-01-30T00:00:00"/>
    <x v="0"/>
    <m/>
    <m/>
    <m/>
    <m/>
    <m/>
    <s v="11680/SPP/008/PUSAT/ICON+/2020"/>
    <n v="4500013932"/>
    <m/>
    <m/>
    <m/>
    <m/>
    <m/>
    <m/>
    <m/>
    <m/>
    <m/>
    <m/>
    <m/>
    <m/>
    <m/>
    <m/>
  </r>
  <r>
    <n v="15"/>
    <s v="Serpong Mas Telematika"/>
    <s v="PT Maxpower Indonesia"/>
    <s v="Jakarta 15345"/>
    <x v="0"/>
    <m/>
    <m/>
    <s v="Sewa Tahunan"/>
    <s v="Cross Connect"/>
    <s v="PA/RLK/2007/0001"/>
    <m/>
    <m/>
    <m/>
    <m/>
    <n v="5000000"/>
    <n v="180000000"/>
    <m/>
    <m/>
    <n v="3000000"/>
    <m/>
    <d v="2020-07-23T00:00:00"/>
    <d v="2021-07-22T00:00:00"/>
    <x v="0"/>
    <m/>
    <m/>
    <m/>
    <m/>
    <m/>
    <s v="13831/SPP/008/PUSAT/ICON+/2020"/>
    <n v="4500014708"/>
    <m/>
    <m/>
    <s v="Masrukhan"/>
    <s v="+62 812-9844-8648"/>
    <m/>
    <m/>
    <m/>
    <m/>
    <m/>
    <m/>
    <m/>
    <m/>
    <m/>
    <m/>
  </r>
  <r>
    <n v="16"/>
    <s v="NTT Indonesia "/>
    <s v="PT Sumber Cipta Multiniaga"/>
    <s v="Jakarta 12710"/>
    <x v="0"/>
    <m/>
    <m/>
    <s v="Sewa Tahunan"/>
    <s v="Cross Connect"/>
    <s v="PA/ACT /2004/0168 PA/ACT/2004/0585"/>
    <m/>
    <m/>
    <m/>
    <m/>
    <n v="10000000"/>
    <s v="1890000000"/>
    <m/>
    <m/>
    <n v="24000000"/>
    <m/>
    <d v="2020-04-25T00:00:00"/>
    <d v="2021-04-24T00:00:00"/>
    <x v="0"/>
    <m/>
    <m/>
    <m/>
    <m/>
    <m/>
    <s v="13275/SPP/008/PUSAT/ICON+/2020"/>
    <n v="4500014318"/>
    <m/>
    <m/>
    <m/>
    <m/>
    <m/>
    <m/>
    <m/>
    <m/>
    <m/>
    <m/>
    <m/>
    <m/>
    <m/>
    <m/>
  </r>
  <r>
    <n v="17"/>
    <s v="PT Sampoerna Land "/>
    <s v="PT Aek Tarum, PT Binasawit Makmur"/>
    <s v="Jakarta Selatan 12930"/>
    <x v="0"/>
    <m/>
    <m/>
    <s v="Sewa Tahunan"/>
    <s v="Colocation"/>
    <s v="PA/ACT /1901/1720, PA/ACT/1901/1721"/>
    <m/>
    <m/>
    <m/>
    <m/>
    <n v="20000000"/>
    <n v="180000000"/>
    <m/>
    <m/>
    <n v="60500000"/>
    <m/>
    <d v="2020-01-05T00:00:00"/>
    <d v="2021-04-30T00:00:00"/>
    <x v="0"/>
    <m/>
    <m/>
    <m/>
    <m/>
    <m/>
    <s v="12491/SPP/008/PUSAT/ICON+/2020"/>
    <n v="4500013808"/>
    <m/>
    <m/>
    <m/>
    <m/>
    <m/>
    <m/>
    <m/>
    <m/>
    <m/>
    <m/>
    <m/>
    <m/>
    <m/>
    <m/>
  </r>
  <r>
    <n v="18"/>
    <s v="Phinisindo Zamrud Nusantara"/>
    <s v="Bank Mega"/>
    <s v="Depok 16431"/>
    <x v="0"/>
    <m/>
    <m/>
    <s v="Sewa Tahunan"/>
    <s v="Colocation"/>
    <s v="ICON-00/ACT/1706/0466"/>
    <m/>
    <m/>
    <m/>
    <m/>
    <m/>
    <n v="34800000"/>
    <m/>
    <m/>
    <n v="3000000"/>
    <m/>
    <d v="2020-08-01T00:00:00"/>
    <d v="2021-07-01T00:00:00"/>
    <x v="0"/>
    <m/>
    <m/>
    <m/>
    <m/>
    <m/>
    <s v="12455/SPP/008/PUSAT/ICON+/2020"/>
    <n v="4500013766"/>
    <m/>
    <m/>
    <m/>
    <m/>
    <m/>
    <m/>
    <m/>
    <m/>
    <m/>
    <m/>
    <m/>
    <m/>
    <m/>
    <m/>
  </r>
  <r>
    <n v="19"/>
    <s v="Media Nusantara Data Global"/>
    <s v="PT Djarum "/>
    <s v="Jakarta Selatan 12710"/>
    <x v="0"/>
    <m/>
    <m/>
    <s v="Sewa Tahunan"/>
    <s v="Cross Connect"/>
    <s v="PA/ACT /2003/0168"/>
    <m/>
    <m/>
    <m/>
    <m/>
    <n v="5000000"/>
    <s v="1476000000"/>
    <m/>
    <m/>
    <n v="38500000"/>
    <m/>
    <d v="2020-03-07T00:00:00"/>
    <d v="2021-02-07T00:00:00"/>
    <x v="0"/>
    <m/>
    <m/>
    <m/>
    <m/>
    <m/>
    <s v="13482/SPP/008/PUSAT/ICON+/2020"/>
    <n v="4500014453"/>
    <m/>
    <m/>
    <m/>
    <m/>
    <m/>
    <m/>
    <m/>
    <m/>
    <m/>
    <m/>
    <m/>
    <m/>
    <m/>
    <m/>
  </r>
  <r>
    <n v="20"/>
    <s v="Sigma Cipta Cakara"/>
    <s v="PT XL Axiata Tbk"/>
    <s v="Tanggerang 15321"/>
    <x v="0"/>
    <m/>
    <m/>
    <s v="Sewa Tahunan"/>
    <s v="Cross Connect"/>
    <s v="PA/ACT /2005/0446"/>
    <m/>
    <m/>
    <m/>
    <m/>
    <n v="5000000"/>
    <n v="54000000"/>
    <m/>
    <n v="4000000"/>
    <n v="24000000"/>
    <m/>
    <d v="2020-07-26T00:00:00"/>
    <d v="2021-07-25T00:00:00"/>
    <x v="0"/>
    <m/>
    <m/>
    <m/>
    <m/>
    <m/>
    <s v="13468/SPP/008/PUSAT/ICON+/2020"/>
    <n v="4500014447"/>
    <m/>
    <m/>
    <m/>
    <m/>
    <m/>
    <m/>
    <m/>
    <m/>
    <m/>
    <m/>
    <m/>
    <m/>
    <m/>
    <m/>
  </r>
  <r>
    <n v="21"/>
    <s v="Media Nusantara Data Global "/>
    <s v="PT Bangun Ummat Sejahtera"/>
    <s v="Jakarta 12710"/>
    <x v="0"/>
    <m/>
    <m/>
    <s v="Sewa Tahunan"/>
    <s v="Cross Connect"/>
    <s v="PA/ACT /2009/0311"/>
    <m/>
    <m/>
    <m/>
    <m/>
    <n v="3000000"/>
    <n v="300000000"/>
    <m/>
    <n v="2500000"/>
    <n v="2500000"/>
    <m/>
    <d v="2020-09-29T00:00:00"/>
    <d v="2021-09-28T00:00:00"/>
    <x v="0"/>
    <m/>
    <m/>
    <m/>
    <m/>
    <m/>
    <s v="14285/SPP/008/PUSAT/ICON+/2020"/>
    <n v="4500015060"/>
    <m/>
    <m/>
    <m/>
    <m/>
    <m/>
    <m/>
    <m/>
    <m/>
    <m/>
    <m/>
    <m/>
    <m/>
    <m/>
    <m/>
  </r>
  <r>
    <n v="22"/>
    <s v="PT Sanggar Mustika Indah"/>
    <s v="PT Hutchison 3 Indonesia"/>
    <s v="Jakarta 00000"/>
    <x v="0"/>
    <m/>
    <m/>
    <s v="Sewa Tahunan"/>
    <s v="Colocation"/>
    <s v="ICON-00/ACT/1609/0540"/>
    <m/>
    <m/>
    <m/>
    <m/>
    <m/>
    <n v="840000000"/>
    <m/>
    <m/>
    <n v="110000000"/>
    <m/>
    <d v="2020-01-08T00:00:00"/>
    <d v="2021-07-31T00:00:00"/>
    <x v="0"/>
    <m/>
    <m/>
    <m/>
    <m/>
    <m/>
    <s v="13600/SPP/008/PUSAT/ICON+/2020"/>
    <n v="4500014650"/>
    <m/>
    <m/>
    <m/>
    <m/>
    <m/>
    <m/>
    <m/>
    <m/>
    <m/>
    <m/>
    <m/>
    <m/>
    <m/>
    <m/>
  </r>
  <r>
    <n v="23"/>
    <s v="Sigma Cipta Cakara"/>
    <s v="Badan Pengelola Pendapatan Daerah Provinsi Jawa Tengah "/>
    <s v="Tanggerang 15321"/>
    <x v="0"/>
    <m/>
    <m/>
    <s v="Sewa Tahunan"/>
    <s v="Cross Connect"/>
    <s v="PA/ACT/2001/3141/TER, PA/ACT/2001/3142"/>
    <m/>
    <m/>
    <m/>
    <m/>
    <m/>
    <n v="238909080"/>
    <m/>
    <n v="3000000"/>
    <n v="6000000"/>
    <m/>
    <d v="2020-07-02T00:00:00"/>
    <d v="2021-06-02T00:00:00"/>
    <x v="0"/>
    <m/>
    <m/>
    <m/>
    <m/>
    <m/>
    <s v="12573/SPP/008/PUSAT/ICON+/2020"/>
    <n v="4500013871"/>
    <m/>
    <m/>
    <m/>
    <m/>
    <m/>
    <m/>
    <m/>
    <m/>
    <m/>
    <m/>
    <m/>
    <m/>
    <m/>
    <m/>
  </r>
  <r>
    <n v="24"/>
    <s v="PC 24 Telekomunikasi Indonesia"/>
    <s v="PT Bank Rakyat Indonesia Tbk"/>
    <s v="Jakarta Selatan 12240"/>
    <x v="0"/>
    <m/>
    <m/>
    <s v="Sewa Tahunan"/>
    <s v="Interkoneksi"/>
    <s v="PA/ACT/2008/0810"/>
    <m/>
    <m/>
    <m/>
    <m/>
    <m/>
    <n v="36000000"/>
    <m/>
    <n v="1500000"/>
    <n v="18000000"/>
    <m/>
    <d v="2020-09-15T00:00:00"/>
    <d v="2021-09-14T00:00:00"/>
    <x v="0"/>
    <m/>
    <m/>
    <m/>
    <m/>
    <m/>
    <s v="14178/SPP/008/PUSAT/ICON+/2020"/>
    <n v="4500015790"/>
    <m/>
    <m/>
    <m/>
    <m/>
    <m/>
    <m/>
    <m/>
    <m/>
    <m/>
    <m/>
    <m/>
    <m/>
    <m/>
    <m/>
  </r>
  <r>
    <n v="25"/>
    <s v="Pelabuhan Indonesia II  (Persero)/PELINDO II"/>
    <s v="PT Toyota Motor Manufacturing Indonesia"/>
    <s v="Jl Raya Pelabuhan No 9 Tanjung Priok"/>
    <x v="0"/>
    <m/>
    <m/>
    <s v="Sewa Tahunan"/>
    <s v="Colocation"/>
    <s v="ICON-00/SBC/1601/0379/ICON-00/ACT/1407/0018"/>
    <m/>
    <m/>
    <m/>
    <m/>
    <s v="-"/>
    <n v="144000000"/>
    <m/>
    <n v="200000"/>
    <n v="109511230"/>
    <m/>
    <d v="2020-01-01T00:00:00"/>
    <d v="2021-08-31T00:00:00"/>
    <x v="0"/>
    <m/>
    <m/>
    <m/>
    <m/>
    <m/>
    <s v="13865/SPP/008/PUSAT/ICON+/2020"/>
    <n v="4500014841"/>
    <m/>
    <m/>
    <m/>
    <m/>
    <m/>
    <m/>
    <m/>
    <m/>
    <m/>
    <m/>
    <m/>
    <m/>
    <m/>
    <m/>
  </r>
  <r>
    <n v="26"/>
    <s v="Pelabuhan Indonesia II  (Persero)/PELINDO II"/>
    <s v="PT Taruna Bina Saran  "/>
    <s v="Jl Raya Pelabuhan No 1"/>
    <x v="0"/>
    <m/>
    <m/>
    <s v="Sewa Tahunan"/>
    <s v="Colocation"/>
    <s v="ICON-00/SBC/1802/0359"/>
    <m/>
    <m/>
    <m/>
    <m/>
    <s v="-"/>
    <n v="49200000"/>
    <m/>
    <s v="- "/>
    <n v="10000000"/>
    <m/>
    <d v="2020-01-01T00:00:00"/>
    <d v="2021-12-31T00:00:00"/>
    <x v="0"/>
    <m/>
    <m/>
    <m/>
    <m/>
    <m/>
    <s v="12200/SPP/008/PUSAT/ICON+/2019"/>
    <n v="4500003887"/>
    <m/>
    <m/>
    <m/>
    <m/>
    <m/>
    <m/>
    <m/>
    <m/>
    <m/>
    <m/>
    <m/>
    <m/>
    <m/>
    <m/>
  </r>
  <r>
    <n v="27"/>
    <s v="MORA TELEMATIKA INDONESIA "/>
    <s v="Asuransi ASEI Indonesia "/>
    <s v="Grha9 lt.6 Jl.Penataran 9"/>
    <x v="0"/>
    <m/>
    <m/>
    <s v="Sewa Tahunan"/>
    <s v="Colocation"/>
    <s v="AL/1908/32235"/>
    <m/>
    <m/>
    <m/>
    <m/>
    <s v="-"/>
    <n v="61704000"/>
    <m/>
    <s v="- "/>
    <n v="9900000"/>
    <m/>
    <d v="2020-04-18T00:00:00"/>
    <d v="2021-04-17T00:00:00"/>
    <x v="0"/>
    <m/>
    <m/>
    <m/>
    <m/>
    <m/>
    <m/>
    <s v="12973/SPP/008/PUSAT/ICON+/2020"/>
    <n v="4500014156"/>
    <m/>
    <m/>
    <m/>
    <m/>
    <m/>
    <m/>
    <m/>
    <m/>
    <m/>
    <m/>
    <m/>
    <m/>
    <m/>
  </r>
  <r>
    <n v="28"/>
    <s v="DCI Indonesia "/>
    <s v="PT Prodia Widyahusada"/>
    <s v="Jl Jend Surdiman Kav 52-53"/>
    <x v="0"/>
    <m/>
    <m/>
    <s v="Sewa Tahunan"/>
    <s v="Cross Connect"/>
    <s v="OPT/1801/1896"/>
    <m/>
    <m/>
    <m/>
    <m/>
    <s v="-"/>
    <n v="72000000"/>
    <m/>
    <s v="- "/>
    <n v="18000000"/>
    <m/>
    <d v="2020-03-09T00:00:00"/>
    <d v="2021-03-08T00:00:00"/>
    <x v="0"/>
    <m/>
    <m/>
    <m/>
    <m/>
    <m/>
    <m/>
    <s v="12832/SPP/008/PUSAT/ICON+/2020"/>
    <n v="4500014090"/>
    <m/>
    <m/>
    <m/>
    <m/>
    <m/>
    <m/>
    <m/>
    <m/>
    <m/>
    <m/>
    <m/>
    <m/>
    <m/>
  </r>
  <r>
    <n v="29"/>
    <s v="Indointernet "/>
    <s v="PT JAYA FAJAR DEWATAMA"/>
    <s v="Jl Rempoa Raya 11"/>
    <x v="0"/>
    <m/>
    <m/>
    <s v="Sewa Tahunan"/>
    <s v="Colocation"/>
    <s v="ICON-00/SBC/1606/0029"/>
    <m/>
    <m/>
    <m/>
    <m/>
    <s v="-"/>
    <n v="27000000"/>
    <m/>
    <s v="- "/>
    <n v="2500000"/>
    <m/>
    <d v="2020-04-21T00:00:00"/>
    <d v="2021-04-20T00:00:00"/>
    <x v="0"/>
    <m/>
    <m/>
    <m/>
    <m/>
    <m/>
    <m/>
    <s v="13120/SPP/008/PUSAT/ICON+/2020"/>
    <n v="4500014193"/>
    <m/>
    <m/>
    <m/>
    <m/>
    <m/>
    <m/>
    <m/>
    <m/>
    <m/>
    <m/>
    <m/>
    <m/>
    <m/>
  </r>
  <r>
    <n v="30"/>
    <s v="P3SRS THE CITY TOWER,PT"/>
    <s v=" PT Salim Ivomas "/>
    <s v="Jl MH Thamrin 81 Menteng"/>
    <x v="0"/>
    <m/>
    <m/>
    <s v="Sewa Tahunan"/>
    <s v="Colocation"/>
    <s v="PA/ACT/1805/0890"/>
    <m/>
    <m/>
    <m/>
    <m/>
    <s v="-"/>
    <n v="5500000"/>
    <m/>
    <s v="- "/>
    <n v="23888889"/>
    <m/>
    <d v="2020-02-01T00:00:00"/>
    <d v="2021-01-31T00:00:00"/>
    <x v="0"/>
    <m/>
    <m/>
    <m/>
    <m/>
    <m/>
    <m/>
    <s v="12593/SPP/008/PUSAT/ICON+/2020"/>
    <n v="4500013954"/>
    <m/>
    <m/>
    <m/>
    <m/>
    <m/>
    <m/>
    <m/>
    <m/>
    <m/>
    <m/>
    <m/>
    <m/>
    <m/>
  </r>
  <r>
    <n v="31"/>
    <s v="Indointernet "/>
    <s v="PT SUNVONE SOLUSINDO"/>
    <s v="Jl Rempoa Raya 11"/>
    <x v="0"/>
    <m/>
    <m/>
    <s v="Sewa Tahunan"/>
    <s v="Colocation"/>
    <s v="PA/ACT/1811/1730"/>
    <m/>
    <m/>
    <m/>
    <m/>
    <s v="-"/>
    <n v="66000000"/>
    <m/>
    <s v="- "/>
    <n v="3500000"/>
    <m/>
    <d v="2020-01-01T00:00:00"/>
    <d v="2020-12-31T00:00:00"/>
    <x v="0"/>
    <m/>
    <m/>
    <m/>
    <m/>
    <m/>
    <m/>
    <m/>
    <n v="4500013749"/>
    <m/>
    <m/>
    <m/>
    <m/>
    <m/>
    <m/>
    <m/>
    <m/>
    <m/>
    <m/>
    <m/>
    <m/>
    <m/>
  </r>
  <r>
    <n v="32"/>
    <s v="Indointernet "/>
    <s v="PT PRIMACOM INTERBUANA LINK BANK AGRIS"/>
    <s v="Jl Rempoa Raya 11"/>
    <x v="0"/>
    <m/>
    <m/>
    <s v="Sewa Tahunan"/>
    <s v="Colocation"/>
    <s v="ICON-00/SBC/1504/0028"/>
    <m/>
    <m/>
    <m/>
    <m/>
    <s v="-"/>
    <n v="27000000"/>
    <m/>
    <s v="- "/>
    <n v="2500000"/>
    <m/>
    <d v="2020-03-03T00:00:00"/>
    <d v="2021-03-02T00:00:00"/>
    <x v="0"/>
    <m/>
    <m/>
    <m/>
    <m/>
    <m/>
    <m/>
    <s v="12706/SPP/008/PUSAT/ICON+/2020"/>
    <n v="4500013985"/>
    <m/>
    <m/>
    <m/>
    <m/>
    <m/>
    <m/>
    <m/>
    <m/>
    <m/>
    <m/>
    <m/>
    <m/>
    <m/>
  </r>
  <r>
    <n v="33"/>
    <s v="DCI Indonesia "/>
    <s v="NAP Info"/>
    <s v="Jl Jend Surdiman Kav 52-53"/>
    <x v="0"/>
    <m/>
    <m/>
    <s v="Sewa Tahunan"/>
    <s v="Cross Connect"/>
    <s v="ICON-00/SBC/1711/0073"/>
    <m/>
    <m/>
    <m/>
    <m/>
    <s v="-"/>
    <n v="54000000"/>
    <m/>
    <s v="- "/>
    <n v="18000000"/>
    <m/>
    <d v="2020-07-17T00:00:00"/>
    <d v="2021-07-16T00:00:00"/>
    <x v="0"/>
    <m/>
    <m/>
    <m/>
    <m/>
    <m/>
    <m/>
    <m/>
    <n v="4500014528"/>
    <m/>
    <m/>
    <m/>
    <m/>
    <m/>
    <m/>
    <m/>
    <m/>
    <m/>
    <m/>
    <m/>
    <m/>
    <m/>
  </r>
  <r>
    <n v="34"/>
    <s v="Agung Sedayu Propertindo / Badan Pengelola Harco Mangga Dua"/>
    <s v="BANK WOORI SAUDARA"/>
    <s v="Jl Mangga Dua Raya"/>
    <x v="0"/>
    <m/>
    <m/>
    <s v="Sewa Tahunan"/>
    <s v="Colocation"/>
    <s v="PA/UPG/1909/0275"/>
    <m/>
    <m/>
    <m/>
    <m/>
    <s v="-"/>
    <n v="48600000"/>
    <m/>
    <s v="- "/>
    <n v="20000000"/>
    <m/>
    <d v="2020-06-11T00:00:00"/>
    <d v="2021-06-10T00:00:00"/>
    <x v="0"/>
    <m/>
    <m/>
    <m/>
    <m/>
    <m/>
    <m/>
    <s v="13596/SPP/008/PUSAT/ICON+/2020"/>
    <n v="4500014585"/>
    <m/>
    <m/>
    <m/>
    <m/>
    <m/>
    <m/>
    <m/>
    <m/>
    <m/>
    <m/>
    <m/>
    <m/>
    <m/>
  </r>
  <r>
    <n v="35"/>
    <s v="Graha Pratama Joint Operation"/>
    <s v="PT Circlecom Nusantara Indonesia"/>
    <s v="Jl M.T.Haryono Kav.15"/>
    <x v="0"/>
    <m/>
    <m/>
    <s v="Sewa Tahunan"/>
    <s v="Colocation"/>
    <s v="ICON-00/SBC/1611/0594"/>
    <m/>
    <m/>
    <m/>
    <m/>
    <s v="-"/>
    <n v="60000000"/>
    <m/>
    <s v="- "/>
    <n v="6050000"/>
    <m/>
    <d v="2020-09-27T00:00:00"/>
    <d v="2021-09-26T00:00:00"/>
    <x v="0"/>
    <m/>
    <m/>
    <m/>
    <m/>
    <m/>
    <m/>
    <s v="13989/SPP/008/PUSAT/ICON+/2020"/>
    <n v="4500014889"/>
    <m/>
    <m/>
    <m/>
    <m/>
    <m/>
    <m/>
    <m/>
    <m/>
    <m/>
    <m/>
    <m/>
    <m/>
    <m/>
  </r>
  <r>
    <n v="36"/>
    <s v="DCI Indonesia "/>
    <s v="PT PRIMACOM INTERBUANA "/>
    <s v="Jl Jend Surdiman Kav 52-53"/>
    <x v="0"/>
    <m/>
    <m/>
    <s v="Sewa Tahunan"/>
    <s v="Cross Connect"/>
    <s v="ICON-00/SBC/1611/0224"/>
    <m/>
    <m/>
    <m/>
    <m/>
    <s v="-"/>
    <n v="66000000"/>
    <m/>
    <s v="- "/>
    <n v="18000000"/>
    <m/>
    <d v="2020-09-29T00:00:00"/>
    <d v="2021-09-28T00:00:00"/>
    <x v="0"/>
    <m/>
    <m/>
    <m/>
    <m/>
    <m/>
    <m/>
    <s v="13714/SPP/008/PUSAT/ICON+/2020"/>
    <n v="4500014632"/>
    <m/>
    <m/>
    <m/>
    <m/>
    <m/>
    <m/>
    <m/>
    <m/>
    <m/>
    <m/>
    <m/>
    <m/>
    <m/>
  </r>
  <r>
    <n v="37"/>
    <s v="CBN Nusantara"/>
    <s v="PT INTI DUNIA SUKSES"/>
    <s v="Jl.H.R.Rasuna Said Blok X5 13"/>
    <x v="0"/>
    <m/>
    <m/>
    <s v="Sewa Tahunan"/>
    <s v="Cross Connect"/>
    <s v="PA/ACT/1908/0561"/>
    <m/>
    <m/>
    <m/>
    <m/>
    <s v="-"/>
    <n v="108000000"/>
    <m/>
    <s v="- "/>
    <n v="8000000"/>
    <m/>
    <d v="2020-09-01T00:00:00"/>
    <d v="2021-08-31T00:00:00"/>
    <x v="0"/>
    <m/>
    <m/>
    <m/>
    <m/>
    <m/>
    <m/>
    <s v="13842/SPP/008/PUSAT/ICON+/2020"/>
    <n v="4500014745"/>
    <m/>
    <m/>
    <m/>
    <m/>
    <m/>
    <m/>
    <m/>
    <m/>
    <m/>
    <m/>
    <m/>
    <m/>
    <m/>
  </r>
  <r>
    <n v="38"/>
    <s v="Duta Pertiwi "/>
    <s v="PT IPWAN GLOBAL TELECOM"/>
    <s v="Gd JITC Lt 7&amp;8 Jl Mangga Dua Jakarta"/>
    <x v="0"/>
    <m/>
    <m/>
    <s v="Sewa Tahunan"/>
    <s v="Colocation"/>
    <s v="AL/1910/51950"/>
    <m/>
    <m/>
    <m/>
    <m/>
    <s v="-"/>
    <n v="13800000"/>
    <m/>
    <s v="- "/>
    <n v="10500000"/>
    <m/>
    <d v="2020-08-19T00:00:00"/>
    <d v="2021-08-18T00:00:00"/>
    <x v="0"/>
    <m/>
    <m/>
    <m/>
    <m/>
    <m/>
    <m/>
    <s v="13829/SPP/008/PUSAT/ICON+/2020"/>
    <n v="4500014744"/>
    <m/>
    <m/>
    <m/>
    <m/>
    <m/>
    <m/>
    <m/>
    <m/>
    <m/>
    <m/>
    <m/>
    <m/>
    <m/>
  </r>
  <r>
    <n v="39"/>
    <s v="CBN Nusantara"/>
    <s v="PT BANK CENRALASIA TBK"/>
    <s v="Jl.H.R.Rasuna Said Blok X5 13"/>
    <x v="0"/>
    <m/>
    <m/>
    <s v="Sewa Tahunan"/>
    <s v="Colocation"/>
    <s v="AL/1809/9566"/>
    <m/>
    <m/>
    <m/>
    <m/>
    <s v="-"/>
    <n v="28800000"/>
    <m/>
    <s v="- "/>
    <n v="6000000"/>
    <m/>
    <d v="2020-07-24T00:00:00"/>
    <d v="2021-07-23T00:00:00"/>
    <x v="0"/>
    <m/>
    <m/>
    <m/>
    <m/>
    <m/>
    <m/>
    <s v="13721/SPP/008/PUSAT/ICON+/2020"/>
    <n v="4500014715"/>
    <m/>
    <m/>
    <m/>
    <m/>
    <m/>
    <m/>
    <m/>
    <m/>
    <m/>
    <m/>
    <m/>
    <m/>
    <m/>
  </r>
  <r>
    <n v="40"/>
    <s v="Sigma Cipta Caraka, PT"/>
    <s v="PT.SEMEN INDONESIA (PERSERO)TBK"/>
    <s v="Jl Kapt.Subijanto DJ"/>
    <x v="0"/>
    <m/>
    <m/>
    <s v="Sewa Tahunan"/>
    <s v="Cross Connect"/>
    <s v="PA/ACT/1906/1841/TER"/>
    <m/>
    <m/>
    <m/>
    <m/>
    <s v="-"/>
    <n v="252000000"/>
    <m/>
    <s v="- "/>
    <n v="6000000"/>
    <m/>
    <d v="2020-06-30T00:00:00"/>
    <d v="2021-06-29T00:00:00"/>
    <x v="0"/>
    <m/>
    <m/>
    <m/>
    <m/>
    <m/>
    <m/>
    <s v="13592/SPP/008/PUSAT/ICON+/2020"/>
    <n v="4500014656"/>
    <m/>
    <m/>
    <m/>
    <m/>
    <m/>
    <m/>
    <m/>
    <m/>
    <m/>
    <m/>
    <m/>
    <m/>
    <m/>
  </r>
  <r>
    <n v="41"/>
    <s v="DCI Indonesia "/>
    <s v="NTT Indonesia"/>
    <s v="Jl Jend Surdiman Kav 52-53"/>
    <x v="0"/>
    <m/>
    <m/>
    <s v="Sewa Tahunan"/>
    <s v="Colocation"/>
    <s v="ICON-00/SBC/1611/0056"/>
    <m/>
    <m/>
    <m/>
    <m/>
    <s v="-"/>
    <n v="168000000"/>
    <m/>
    <s v="- "/>
    <n v="18000000"/>
    <m/>
    <d v="2020-06-24T00:00:00"/>
    <d v="2021-06-23T00:00:00"/>
    <x v="0"/>
    <m/>
    <m/>
    <m/>
    <m/>
    <m/>
    <m/>
    <m/>
    <n v="4500014434"/>
    <m/>
    <m/>
    <m/>
    <m/>
    <m/>
    <m/>
    <m/>
    <m/>
    <m/>
    <m/>
    <m/>
    <m/>
    <m/>
  </r>
  <r>
    <n v="42"/>
    <s v="DCI Indonesia "/>
    <s v="PT SOKONINDO"/>
    <s v="Jl Jend Surdiman Kav 52-53"/>
    <x v="0"/>
    <m/>
    <m/>
    <s v="Sewa Tahunan"/>
    <s v="Cross Connect"/>
    <s v="PA/ACT/1905/0269"/>
    <m/>
    <m/>
    <m/>
    <m/>
    <s v="-"/>
    <n v="155730480"/>
    <m/>
    <s v="- "/>
    <n v="20000000"/>
    <m/>
    <d v="2020-01-10T00:00:00"/>
    <d v="2021-01-09T00:00:00"/>
    <x v="0"/>
    <m/>
    <m/>
    <m/>
    <m/>
    <m/>
    <m/>
    <s v="12559/SPP/008/PUSAT/ICON+/2020"/>
    <n v="4500013953"/>
    <m/>
    <m/>
    <m/>
    <m/>
    <m/>
    <m/>
    <m/>
    <m/>
    <m/>
    <m/>
    <m/>
    <m/>
    <m/>
  </r>
  <r>
    <n v="43"/>
    <s v="DCI Indonesia "/>
    <s v="Aplikanusa Lintasarta"/>
    <s v="Jl Jend Surdiman Kav 52-53"/>
    <x v="0"/>
    <m/>
    <m/>
    <s v="Sewa Tahunan"/>
    <s v="Colocation"/>
    <s v="AR/ACT/1810/18452"/>
    <m/>
    <m/>
    <m/>
    <m/>
    <s v="-"/>
    <n v="60000000"/>
    <m/>
    <s v="- "/>
    <n v="18000000"/>
    <m/>
    <d v="2020-06-16T00:00:00"/>
    <d v="2021-06-15T00:00:00"/>
    <x v="0"/>
    <m/>
    <m/>
    <m/>
    <m/>
    <m/>
    <m/>
    <m/>
    <n v="4500014433"/>
    <m/>
    <m/>
    <m/>
    <m/>
    <m/>
    <m/>
    <m/>
    <m/>
    <m/>
    <m/>
    <m/>
    <m/>
    <m/>
  </r>
  <r>
    <n v="44"/>
    <s v="Karyagraha Nusantara"/>
    <s v="PT DANKOM MITRA ABADI"/>
    <s v="Jl Kuningan Barat 8"/>
    <x v="0"/>
    <m/>
    <m/>
    <s v="Sewa Tahunan"/>
    <s v="Colocation"/>
    <s v="-"/>
    <m/>
    <m/>
    <m/>
    <m/>
    <s v="-"/>
    <s v="-"/>
    <m/>
    <s v="- "/>
    <n v="7500000"/>
    <m/>
    <d v="2020-08-31T00:00:00"/>
    <d v="2021-08-30T00:00:00"/>
    <x v="0"/>
    <m/>
    <m/>
    <m/>
    <m/>
    <m/>
    <m/>
    <m/>
    <n v="4500014683"/>
    <m/>
    <m/>
    <m/>
    <m/>
    <m/>
    <m/>
    <m/>
    <m/>
    <m/>
    <m/>
    <m/>
    <m/>
    <m/>
  </r>
  <r>
    <n v="45"/>
    <s v="NTT Indonesia "/>
    <s v="PT BUKTI MAKMUR MANDIRI UTAMA"/>
    <s v="Jl Kuningan Barat 8"/>
    <x v="0"/>
    <m/>
    <m/>
    <s v="Sewa Tahunan"/>
    <s v="Cross Connect"/>
    <s v="PA/RLK/2005/0035"/>
    <m/>
    <m/>
    <m/>
    <m/>
    <n v="2500000"/>
    <n v="78000000"/>
    <m/>
    <s v="- "/>
    <n v="12000000"/>
    <m/>
    <d v="2020-05-28T00:00:00"/>
    <d v="2021-05-27T00:00:00"/>
    <x v="0"/>
    <m/>
    <m/>
    <m/>
    <m/>
    <m/>
    <m/>
    <s v="13506/SPP/008/PUSAT/ICON+/2020"/>
    <n v="4500014489"/>
    <m/>
    <m/>
    <m/>
    <m/>
    <m/>
    <m/>
    <m/>
    <m/>
    <m/>
    <m/>
    <m/>
    <m/>
    <m/>
  </r>
  <r>
    <n v="46"/>
    <s v="Wiratara Prima"/>
    <s v="PT PRIMACOM INTERBUANA "/>
    <s v="Jl DR IDE ANAK AGUNG GDE AGUNG G.2"/>
    <x v="0"/>
    <m/>
    <m/>
    <s v="Sewa Tahunan"/>
    <s v="Colocation"/>
    <s v="ICON-00/SBC/1608/0499"/>
    <m/>
    <m/>
    <m/>
    <m/>
    <s v="-"/>
    <n v="32400000"/>
    <m/>
    <s v="- "/>
    <n v="19360000"/>
    <m/>
    <d v="2020-12-10T00:00:00"/>
    <d v="2021-12-09T00:00:00"/>
    <x v="0"/>
    <m/>
    <m/>
    <m/>
    <m/>
    <m/>
    <m/>
    <m/>
    <n v="4500015422"/>
    <m/>
    <m/>
    <m/>
    <m/>
    <m/>
    <m/>
    <m/>
    <m/>
    <m/>
    <m/>
    <m/>
    <m/>
    <m/>
  </r>
  <r>
    <n v="47"/>
    <s v="CBN Nusantara"/>
    <s v="PT INDOMARCO PRISMATAMA"/>
    <s v="Jl H R Rasuna Said Blok X5 13"/>
    <x v="0"/>
    <m/>
    <m/>
    <s v="Sewa Tahunan"/>
    <s v="Colocation"/>
    <s v="PA/ACT/1811/3222"/>
    <m/>
    <m/>
    <m/>
    <m/>
    <s v="-"/>
    <n v="216000000"/>
    <m/>
    <s v="- "/>
    <n v="6000000"/>
    <m/>
    <d v="2020-03-01T00:00:00"/>
    <d v="2021-02-28T00:00:00"/>
    <x v="0"/>
    <m/>
    <m/>
    <m/>
    <m/>
    <m/>
    <m/>
    <m/>
    <n v="4500013940"/>
    <m/>
    <m/>
    <m/>
    <m/>
    <m/>
    <m/>
    <m/>
    <m/>
    <m/>
    <m/>
    <m/>
    <m/>
    <m/>
  </r>
  <r>
    <n v="48"/>
    <s v="Serpong Mas Telematika"/>
    <s v="PT PLN (PERSERO)KANTOR PUSAT"/>
    <s v="MyRepublic Plaza lt 2 WING A"/>
    <x v="0"/>
    <m/>
    <m/>
    <s v="Sewa Tahunan"/>
    <s v="Interkoneksi"/>
    <s v="PA/RLK/1903/0003"/>
    <m/>
    <m/>
    <m/>
    <m/>
    <s v="-"/>
    <n v="89296800"/>
    <m/>
    <s v="- "/>
    <n v="11160000"/>
    <m/>
    <d v="2020-12-01T00:00:00"/>
    <d v="2021-11-30T00:00:00"/>
    <x v="0"/>
    <m/>
    <m/>
    <m/>
    <m/>
    <m/>
    <m/>
    <m/>
    <n v="4500015427"/>
    <m/>
    <s v="Masrukhan"/>
    <s v="+62 812-9844-8648"/>
    <m/>
    <m/>
    <m/>
    <m/>
    <m/>
    <m/>
    <m/>
    <m/>
    <m/>
    <m/>
  </r>
  <r>
    <n v="49"/>
    <s v="Agung Sedayu Propertindo / Badan Pengelola Harco Mangga Dua"/>
    <s v="Bank BCA Syariah"/>
    <s v="Jl Mangga Dua Raya"/>
    <x v="0"/>
    <m/>
    <m/>
    <s v="Sewa Tahunan"/>
    <s v="Colocation"/>
    <s v="ICON-00/ACT/1409/0073/ICON-00/SBC/1503/0447"/>
    <m/>
    <m/>
    <m/>
    <m/>
    <s v="-"/>
    <n v="33600000"/>
    <m/>
    <s v="- "/>
    <n v="20000000"/>
    <m/>
    <d v="2020-12-22T00:00:00"/>
    <d v="2021-12-21T00:00:00"/>
    <x v="0"/>
    <m/>
    <m/>
    <m/>
    <m/>
    <m/>
    <m/>
    <m/>
    <n v="4500017117"/>
    <m/>
    <m/>
    <m/>
    <m/>
    <m/>
    <m/>
    <m/>
    <m/>
    <m/>
    <m/>
    <m/>
    <m/>
    <m/>
  </r>
  <r>
    <n v="50"/>
    <s v="PRESTASI PIRANTI INFORMASI, PT"/>
    <s v="BANK WOORI"/>
    <s v="Gd Menara Kadin Lt 11 Unit E-G"/>
    <x v="0"/>
    <m/>
    <m/>
    <s v="Sewa Tahunan"/>
    <s v="Interkoneksi"/>
    <s v="PA/UPG/1909/0264"/>
    <m/>
    <m/>
    <m/>
    <m/>
    <s v="-"/>
    <n v="48600000"/>
    <m/>
    <s v="- "/>
    <n v="48000000"/>
    <m/>
    <d v="2020-12-01T00:00:00"/>
    <d v="2021-11-30T00:00:00"/>
    <x v="0"/>
    <m/>
    <m/>
    <m/>
    <m/>
    <m/>
    <m/>
    <m/>
    <n v="4500015361"/>
    <m/>
    <m/>
    <m/>
    <m/>
    <m/>
    <m/>
    <m/>
    <m/>
    <m/>
    <m/>
    <m/>
    <m/>
    <m/>
  </r>
  <r>
    <n v="51"/>
    <s v="LOKA AMAPANG INDAH REALTY, PT"/>
    <s v="PT TELEKOMUNIKASI INDONESIA,Tbk"/>
    <s v="Jl Let Jend T B Simatupang Kav 88"/>
    <x v="0"/>
    <m/>
    <m/>
    <s v="Sewa Tahunan"/>
    <s v="Colocation"/>
    <s v="ICON-00/ACT/1702/0224"/>
    <m/>
    <m/>
    <m/>
    <m/>
    <s v="-"/>
    <n v="116298000"/>
    <m/>
    <s v="-"/>
    <n v="23100000"/>
    <m/>
    <d v="2020-12-02T00:00:00"/>
    <d v="2021-12-01T00:00:00"/>
    <x v="0"/>
    <m/>
    <m/>
    <m/>
    <m/>
    <m/>
    <m/>
    <m/>
    <n v="4500015616"/>
    <m/>
    <m/>
    <m/>
    <m/>
    <m/>
    <m/>
    <m/>
    <m/>
    <m/>
    <m/>
    <m/>
    <m/>
    <m/>
  </r>
  <r>
    <n v="52"/>
    <s v="Indointernet "/>
    <s v="PT Prodia Widyahusada"/>
    <s v="Jl Rempoa Raya 11"/>
    <x v="0"/>
    <m/>
    <m/>
    <s v="Sewa Tahunan"/>
    <s v="Colocation"/>
    <s v="PA/ACT/1803/0184"/>
    <m/>
    <m/>
    <m/>
    <m/>
    <s v="-"/>
    <n v="72000000"/>
    <m/>
    <s v="-"/>
    <n v="2500000"/>
    <m/>
    <d v="2020-04-14T00:00:00"/>
    <d v="2021-04-13T00:00:00"/>
    <x v="0"/>
    <m/>
    <m/>
    <m/>
    <m/>
    <m/>
    <m/>
    <s v="13050/SPP/008/PUSAT/ICON+/2021"/>
    <n v="4500014248"/>
    <m/>
    <m/>
    <m/>
    <m/>
    <m/>
    <m/>
    <m/>
    <m/>
    <m/>
    <m/>
    <m/>
    <m/>
    <m/>
  </r>
  <r>
    <n v="53"/>
    <s v="PC 24 Telekomunikasi Indonesia"/>
    <s v="PT BANK SYARIAH BRI"/>
    <s v="RUKO KEBAYORAN CENTRE BLOKA NO 5"/>
    <x v="0"/>
    <m/>
    <m/>
    <s v="Sewa Tahunan"/>
    <s v="Interkoneksi"/>
    <s v="PA/ACT/2009/0322/TER, PA/ACT/2008/2026"/>
    <m/>
    <m/>
    <m/>
    <m/>
    <n v="1636364"/>
    <n v="15272724"/>
    <m/>
    <n v="1500000"/>
    <n v="12000000"/>
    <m/>
    <d v="2020-09-17T00:00:00"/>
    <d v="2021-09-16T00:00:00"/>
    <x v="0"/>
    <m/>
    <m/>
    <m/>
    <m/>
    <m/>
    <m/>
    <s v="16464/SPP/008/PUSAT/ICON+/2021"/>
    <n v="4500016559"/>
    <m/>
    <m/>
    <m/>
    <m/>
    <m/>
    <m/>
    <m/>
    <m/>
    <m/>
    <m/>
    <m/>
    <m/>
    <m/>
  </r>
  <r>
    <n v="54"/>
    <s v="IDC (Internetindo Data Centra Indonesia) "/>
    <s v="PT INDONESIA COMNETS PLUS"/>
    <s v="Jl. Kuningan Barat No.8 Cyber Building 7, Jakarta Selatan 12710"/>
    <x v="0"/>
    <m/>
    <m/>
    <s v="Sewa Tahunan"/>
    <s v="Colocation"/>
    <m/>
    <m/>
    <m/>
    <m/>
    <m/>
    <s v="-"/>
    <s v="-"/>
    <m/>
    <s v="-"/>
    <n v="104500008"/>
    <m/>
    <d v="2020-11-01T00:00:00"/>
    <d v="2021-10-31T00:00:00"/>
    <x v="0"/>
    <m/>
    <m/>
    <m/>
    <m/>
    <m/>
    <m/>
    <m/>
    <n v="4500015278"/>
    <m/>
    <m/>
    <m/>
    <m/>
    <m/>
    <m/>
    <m/>
    <m/>
    <m/>
    <m/>
    <m/>
    <m/>
    <m/>
  </r>
  <r>
    <n v="55"/>
    <s v="Indointernet "/>
    <s v="PT DATA SINERGITAMA JAYA"/>
    <s v="Jl Rempoa Raya 11"/>
    <x v="0"/>
    <m/>
    <m/>
    <s v="Sewa Tahunan"/>
    <s v="Interkoneksi"/>
    <s v="ICON-00/SBC/1801/0589"/>
    <m/>
    <m/>
    <m/>
    <m/>
    <s v="-"/>
    <n v="354000000"/>
    <m/>
    <s v="-"/>
    <n v="180000000"/>
    <m/>
    <d v="2020-12-10T00:00:00"/>
    <d v="2021-12-09T00:00:00"/>
    <x v="0"/>
    <m/>
    <m/>
    <m/>
    <m/>
    <m/>
    <m/>
    <m/>
    <n v="4500015643"/>
    <m/>
    <m/>
    <m/>
    <m/>
    <m/>
    <m/>
    <m/>
    <m/>
    <m/>
    <m/>
    <m/>
    <m/>
    <m/>
  </r>
  <r>
    <n v="56"/>
    <s v="Karyagraha Nusantara"/>
    <s v="PT LINTAS JARINGAN NUSANTARA PERIODE 2020/2021"/>
    <s v="Jl kuningan Barat 8"/>
    <x v="0"/>
    <m/>
    <m/>
    <s v="Sewa Tahunan"/>
    <s v="Colocation"/>
    <s v="PA/ACT/2002/2405"/>
    <m/>
    <m/>
    <m/>
    <m/>
    <n v="3000000"/>
    <n v="240000000"/>
    <m/>
    <s v="-"/>
    <n v="7000000"/>
    <s v="     "/>
    <d v="2020-04-29T00:00:00"/>
    <d v="2021-04-28T00:00:00"/>
    <x v="0"/>
    <m/>
    <m/>
    <m/>
    <m/>
    <m/>
    <m/>
    <s v="13024/SPP/008/PUSAT/ICON+/2020"/>
    <n v="4500014161"/>
    <m/>
    <m/>
    <m/>
    <m/>
    <m/>
    <m/>
    <m/>
    <m/>
    <m/>
    <m/>
    <m/>
    <m/>
    <m/>
  </r>
  <r>
    <n v="57"/>
    <s v="Teknovatus Solusi Sejahtera,PT "/>
    <s v="PT NTT INDONESIA "/>
    <s v="Jl Pahlan Seribu Lot.12A"/>
    <x v="0"/>
    <m/>
    <m/>
    <s v="Sewa Tahunan"/>
    <s v="Colocation"/>
    <s v="PA/ACT/2010/1221"/>
    <m/>
    <m/>
    <m/>
    <m/>
    <n v="5000000"/>
    <n v="162000000"/>
    <m/>
    <s v="-"/>
    <n v="21900000"/>
    <m/>
    <d v="2020-11-23T00:00:00"/>
    <d v="2021-11-22T00:00:00"/>
    <x v="0"/>
    <m/>
    <m/>
    <m/>
    <m/>
    <m/>
    <m/>
    <s v="14606/SPP/008/PUSAT/ICON+/2020"/>
    <n v="4500015284"/>
    <m/>
    <m/>
    <m/>
    <m/>
    <m/>
    <m/>
    <m/>
    <m/>
    <m/>
    <m/>
    <m/>
    <m/>
    <m/>
  </r>
  <r>
    <n v="58"/>
    <s v="NTT Indonesia "/>
    <s v="BCA MULTI FINANCE PERIODE 2020/2021"/>
    <s v="Jl.Jend.Sudirman Kav.1 Wisma 46 kota BNI 5 Jakarta pusat"/>
    <x v="0"/>
    <m/>
    <m/>
    <s v="Sewa Tahunan"/>
    <s v="Cross Connect"/>
    <s v="PA/ACT/1907/2400"/>
    <m/>
    <m/>
    <m/>
    <m/>
    <s v="-"/>
    <s v="-"/>
    <m/>
    <s v="-"/>
    <n v="40000000"/>
    <m/>
    <d v="2020-02-25T00:00:00"/>
    <d v="2021-02-24T00:00:00"/>
    <x v="0"/>
    <m/>
    <m/>
    <m/>
    <m/>
    <m/>
    <m/>
    <s v="12592/SPP/008/PUSAT/ICON+/2020"/>
    <n v="4500013999"/>
    <m/>
    <m/>
    <m/>
    <m/>
    <m/>
    <m/>
    <m/>
    <m/>
    <m/>
    <m/>
    <m/>
    <m/>
    <m/>
  </r>
  <r>
    <n v="59"/>
    <s v="Biznet Data Center,PT"/>
    <s v="PT REKSO NASIONAL FOOD PERIODE 2020/2021"/>
    <s v="Jl.Jend.Sudirman Kav 10-11 Midlaza 2 8"/>
    <x v="0"/>
    <m/>
    <m/>
    <s v="Sewa Tahunan"/>
    <s v="Colocation"/>
    <s v="ICON-00/ACT/1604/0047"/>
    <m/>
    <m/>
    <m/>
    <m/>
    <s v="-"/>
    <n v="84000000"/>
    <m/>
    <s v="-"/>
    <n v="2000000"/>
    <m/>
    <d v="2020-04-20T00:00:00"/>
    <d v="2021-04-19T00:00:00"/>
    <x v="0"/>
    <m/>
    <m/>
    <m/>
    <m/>
    <m/>
    <m/>
    <s v="12698/SPP/008/PUSAT/ICON+/2020"/>
    <n v="4500013998"/>
    <m/>
    <m/>
    <m/>
    <m/>
    <m/>
    <m/>
    <m/>
    <m/>
    <m/>
    <m/>
    <m/>
    <m/>
    <m/>
  </r>
  <r>
    <n v="60"/>
    <s v="DCI Indonesia "/>
    <s v="PT NAP INFOLINTASNUSA (CIGNA) PERIODE 2020/2021"/>
    <s v="Jl.jend. Sudirman kav 52-53"/>
    <x v="0"/>
    <m/>
    <m/>
    <s v="Sewa Tahunan"/>
    <s v="Cross Connect"/>
    <s v="ICON-00/SBC/1708/0918"/>
    <m/>
    <m/>
    <m/>
    <m/>
    <s v="-"/>
    <n v="90000000"/>
    <m/>
    <s v="-"/>
    <n v="18000000"/>
    <m/>
    <d v="2020-05-11T00:00:00"/>
    <d v="2021-05-10T00:00:00"/>
    <x v="0"/>
    <m/>
    <m/>
    <m/>
    <m/>
    <m/>
    <m/>
    <s v="13126/SPP/008/PUSAT/ICON+/2020"/>
    <n v="4500014317"/>
    <m/>
    <m/>
    <m/>
    <m/>
    <m/>
    <m/>
    <m/>
    <m/>
    <m/>
    <m/>
    <m/>
    <m/>
    <m/>
  </r>
  <r>
    <n v="61"/>
    <s v="Praja Puri indah Real Estate,PT "/>
    <s v="BCA DI PASAR PAGI MANGGA DUA UNTUK PERIODE 2020/2021"/>
    <s v="Gd.Grosir Pasar pagi Mangga dua"/>
    <x v="0"/>
    <m/>
    <m/>
    <s v="Sewa Tahunan"/>
    <s v="Colocation"/>
    <s v="ICON-00/SBC/1605/0306"/>
    <m/>
    <m/>
    <m/>
    <m/>
    <s v="-"/>
    <n v="39600000"/>
    <m/>
    <s v="- "/>
    <n v="6363000"/>
    <m/>
    <d v="2020-04-15T00:00:00"/>
    <d v="2021-04-14T00:00:00"/>
    <x v="0"/>
    <m/>
    <m/>
    <m/>
    <m/>
    <m/>
    <m/>
    <s v="13121/SPP/008/PUSAT/ICON+/2020"/>
    <n v="4500014887"/>
    <m/>
    <m/>
    <m/>
    <m/>
    <m/>
    <m/>
    <m/>
    <m/>
    <m/>
    <m/>
    <m/>
    <m/>
    <m/>
  </r>
  <r>
    <n v="62"/>
    <s v="Bit Teknologi Nusantara "/>
    <s v="PT SERASI AUTORAYA PERIODE 2020/2021"/>
    <s v="Jl.Tentara Pelajar"/>
    <x v="0"/>
    <m/>
    <m/>
    <s v="Sewa Tahunan"/>
    <s v="Interkoneksi"/>
    <s v="PA/ACT/1907 /1761/TER"/>
    <m/>
    <m/>
    <m/>
    <m/>
    <s v="-"/>
    <n v="99120000"/>
    <m/>
    <s v="- "/>
    <n v="69360000"/>
    <m/>
    <d v="2020-07-29T00:00:00"/>
    <d v="2021-07-28T00:00:00"/>
    <x v="0"/>
    <m/>
    <m/>
    <m/>
    <m/>
    <m/>
    <m/>
    <s v="13763/SPP/008/PUSAT/ICON+/2020"/>
    <n v="4500014675"/>
    <m/>
    <m/>
    <m/>
    <m/>
    <m/>
    <m/>
    <m/>
    <m/>
    <m/>
    <m/>
    <m/>
    <m/>
    <m/>
  </r>
  <r>
    <n v="63"/>
    <s v="Perwira Margasakti,PT "/>
    <s v="BANK SINARMAS PERIODE 2020/2021"/>
    <s v="ITC Kuningan 10th Floor,Prof Satrio"/>
    <x v="0"/>
    <m/>
    <m/>
    <s v="Sewa Tahunan"/>
    <s v="Colocation"/>
    <s v="ICON-00/SBC/1703/0371"/>
    <m/>
    <m/>
    <m/>
    <m/>
    <s v="-"/>
    <n v="55860000"/>
    <m/>
    <s v="-"/>
    <n v="28000000"/>
    <m/>
    <d v="2020-02-13T00:00:00"/>
    <d v="2021-02-12T00:00:00"/>
    <x v="0"/>
    <m/>
    <m/>
    <m/>
    <m/>
    <m/>
    <m/>
    <s v="12568/SPP/008/PUSAT/ICON+/2020"/>
    <n v="4500013901"/>
    <m/>
    <m/>
    <m/>
    <m/>
    <m/>
    <m/>
    <m/>
    <m/>
    <m/>
    <m/>
    <m/>
    <m/>
    <m/>
  </r>
  <r>
    <n v="64"/>
    <s v="Loka Mampang indah Realty,PT"/>
    <s v="PT. Telekomunikasi Indonesia,TBK "/>
    <s v="Jl.Let.Jend.T.B Simatupang Kav.88"/>
    <x v="0"/>
    <m/>
    <m/>
    <s v="Sewa Tahunan"/>
    <s v="Colocation"/>
    <s v="ICON-00/ACT/1702/0224"/>
    <m/>
    <m/>
    <m/>
    <m/>
    <s v="- "/>
    <n v="116298000"/>
    <m/>
    <s v="-"/>
    <n v="25000000"/>
    <m/>
    <d v="2019-12-02T00:00:00"/>
    <d v="2020-12-01T00:00:00"/>
    <x v="0"/>
    <m/>
    <m/>
    <m/>
    <m/>
    <m/>
    <m/>
    <s v="12014/SPP/008/PUSAT/ICON+/2020"/>
    <n v="4500014086"/>
    <m/>
    <m/>
    <m/>
    <m/>
    <m/>
    <m/>
    <m/>
    <m/>
    <m/>
    <m/>
    <m/>
    <m/>
    <m/>
  </r>
  <r>
    <n v="65"/>
    <s v="CBN Nusantara"/>
    <s v="PT SAMPOERNA TELEKOMUNIKASI INDONESIA PERIODE 2020/2021"/>
    <s v="Jl.H.R Rasuna Said Blok X5 13"/>
    <x v="0"/>
    <m/>
    <m/>
    <s v="Sewa Tahunan"/>
    <s v="Colocation"/>
    <s v="PA/DOW/1812/0052"/>
    <m/>
    <m/>
    <m/>
    <m/>
    <s v="-"/>
    <n v="45540000"/>
    <m/>
    <s v="-"/>
    <n v="8000000"/>
    <m/>
    <d v="2020-01-03T00:00:00"/>
    <d v="2021-01-02T00:00:00"/>
    <x v="0"/>
    <m/>
    <m/>
    <m/>
    <m/>
    <m/>
    <m/>
    <s v="12627/SPP/008/PUSAT/ICON+/2020"/>
    <n v="4500013964"/>
    <m/>
    <m/>
    <m/>
    <m/>
    <m/>
    <m/>
    <m/>
    <m/>
    <m/>
    <m/>
    <m/>
    <m/>
    <m/>
  </r>
  <r>
    <n v="66"/>
    <s v="Bizne Data Center,PT"/>
    <s v="PT Berlian System Informasi qq PT DIPO STAR FINANCE PERIODE 2020/2021"/>
    <s v="Jl.jend. Sudirman kav 10-11 Midlaza 2 8"/>
    <x v="0"/>
    <m/>
    <m/>
    <s v="Sewa Tahunan"/>
    <s v="Cross Connect"/>
    <s v="AL/1904/7057"/>
    <m/>
    <m/>
    <m/>
    <m/>
    <s v="-"/>
    <n v="138000000"/>
    <m/>
    <s v="-"/>
    <n v="11000000"/>
    <m/>
    <d v="2020-03-13T00:00:00"/>
    <d v="2021-03-12T00:00:00"/>
    <x v="0"/>
    <m/>
    <m/>
    <m/>
    <m/>
    <m/>
    <m/>
    <s v="12630/SPP/008/PUSAT/ICON+/2020"/>
    <n v="4500014042"/>
    <m/>
    <m/>
    <m/>
    <m/>
    <m/>
    <m/>
    <m/>
    <m/>
    <m/>
    <m/>
    <m/>
    <m/>
    <m/>
  </r>
  <r>
    <n v="67"/>
    <s v="Biznet Data Center,PT"/>
    <s v="PT MULTI ADIPRAKARSA MANUNGGAL RACK ICON+ TO SECURE CAGE GIO PERIODE 2020/2021 "/>
    <s v="Jl.Jend. Sudirman Kav 101-11 Midlaza 2 8"/>
    <x v="0"/>
    <m/>
    <m/>
    <s v="Sewa Tahunan"/>
    <s v="Cross Connect"/>
    <s v="PA/ACT/1903/0976"/>
    <m/>
    <m/>
    <m/>
    <m/>
    <s v="-"/>
    <n v="66000000"/>
    <m/>
    <s v="-"/>
    <n v="12000000"/>
    <m/>
    <d v="2020-03-21T00:00:00"/>
    <d v="2021-03-20T00:00:00"/>
    <x v="0"/>
    <m/>
    <m/>
    <m/>
    <m/>
    <m/>
    <m/>
    <s v="12634/SPP/008/PUSAT/ICON+/2020"/>
    <n v="4500014041"/>
    <m/>
    <m/>
    <m/>
    <m/>
    <m/>
    <m/>
    <m/>
    <m/>
    <m/>
    <m/>
    <m/>
    <m/>
    <m/>
  </r>
  <r>
    <n v="68"/>
    <s v="BPJS KETENAGAKERJAAN "/>
    <s v="PELANGGAN ICON+ "/>
    <s v="GD Menara jamsostek"/>
    <x v="0"/>
    <m/>
    <m/>
    <s v="Sewa Tahunan"/>
    <s v="Colocation"/>
    <m/>
    <m/>
    <m/>
    <m/>
    <m/>
    <n v="0"/>
    <n v="0"/>
    <m/>
    <n v="0"/>
    <n v="7500000"/>
    <m/>
    <d v="2020-07-15T00:00:00"/>
    <d v="2021-07-15T00:00:00"/>
    <x v="0"/>
    <m/>
    <m/>
    <m/>
    <m/>
    <m/>
    <m/>
    <s v="13583/SPP/008/PUSAT/ICON+/2020"/>
    <n v="4500014586"/>
    <m/>
    <m/>
    <m/>
    <m/>
    <m/>
    <m/>
    <m/>
    <m/>
    <m/>
    <m/>
    <m/>
    <m/>
    <m/>
  </r>
  <r>
    <n v="69"/>
    <s v="NTT Indonesia "/>
    <s v="PT DJARUM PERIODE 2020/2021"/>
    <s v="Jl.Kuningan Barat No.8"/>
    <x v="0"/>
    <m/>
    <m/>
    <s v="Sewa Tahunan"/>
    <s v="Cross Connect"/>
    <s v="PA/ACT/2003/0168"/>
    <m/>
    <m/>
    <m/>
    <m/>
    <n v="5000000"/>
    <n v="1476000000"/>
    <m/>
    <n v="0"/>
    <n v="12000000"/>
    <m/>
    <d v="2020-05-14T00:00:00"/>
    <d v="2021-05-13T00:00:00"/>
    <x v="0"/>
    <m/>
    <m/>
    <m/>
    <m/>
    <m/>
    <m/>
    <s v="1327/SPP/008/PUSAT/ICON+/2020"/>
    <n v="4500014399"/>
    <m/>
    <m/>
    <m/>
    <m/>
    <m/>
    <m/>
    <m/>
    <m/>
    <m/>
    <m/>
    <m/>
    <m/>
    <m/>
  </r>
  <r>
    <n v="70"/>
    <s v="Sigma cipta caraka,PT"/>
    <s v="BANK BJB SYARIAH PERIODE 2020/2021"/>
    <s v="Jl. Kapt. Subijianto DJ"/>
    <x v="0"/>
    <m/>
    <m/>
    <s v="Sewa Tahunan"/>
    <s v="Colocation"/>
    <m/>
    <m/>
    <m/>
    <m/>
    <m/>
    <n v="0"/>
    <n v="0"/>
    <m/>
    <n v="0"/>
    <n v="166600100"/>
    <m/>
    <d v="2020-04-09T00:00:00"/>
    <d v="2021-04-08T00:00:00"/>
    <x v="0"/>
    <m/>
    <m/>
    <m/>
    <m/>
    <m/>
    <m/>
    <s v="12817/SPP/008/PUSAT/ICON+/2020"/>
    <n v="4500014029"/>
    <m/>
    <m/>
    <m/>
    <m/>
    <m/>
    <m/>
    <m/>
    <m/>
    <m/>
    <m/>
    <m/>
    <m/>
    <m/>
  </r>
  <r>
    <n v="71"/>
    <s v="NTT Indonesia "/>
    <s v="PT BUKIT MAKMUR MANDIRI UTAMA PERIODE 2020/2021"/>
    <s v="Jl.kuningan Barat No.8"/>
    <x v="0"/>
    <m/>
    <m/>
    <s v="Sewa Tahunan"/>
    <s v="Cross Connect"/>
    <s v="PA/RLK/2004/0088/ORI"/>
    <m/>
    <m/>
    <m/>
    <m/>
    <n v="5000000"/>
    <n v="174000000"/>
    <m/>
    <n v="0"/>
    <n v="12000000"/>
    <m/>
    <d v="2020-05-28T00:00:00"/>
    <d v="2021-05-27T00:00:00"/>
    <x v="0"/>
    <m/>
    <m/>
    <m/>
    <m/>
    <m/>
    <m/>
    <s v="13471/SPP/008/PUSAT/ICON+/2020"/>
    <n v="4500014488"/>
    <m/>
    <m/>
    <m/>
    <m/>
    <m/>
    <m/>
    <m/>
    <m/>
    <m/>
    <m/>
    <m/>
    <m/>
    <m/>
  </r>
  <r>
    <n v="72"/>
    <s v="Teknovatus Solusi Sejahtera, PT"/>
    <s v="PT. ARRANET INDONESIA SEJAHTERA "/>
    <s v="Jl. Pahlawan Seribu Lot.12A Tanggerang 15322"/>
    <x v="0"/>
    <m/>
    <m/>
    <s v="Sewa Tahunan "/>
    <s v="Cross Connect"/>
    <s v="PA/ACT/2008/1896"/>
    <m/>
    <m/>
    <m/>
    <m/>
    <n v="7000000"/>
    <n v="78000000"/>
    <m/>
    <n v="1500000"/>
    <n v="4800000"/>
    <m/>
    <d v="2020-08-26T00:00:00"/>
    <d v="2021-08-25T00:00:00"/>
    <x v="0"/>
    <m/>
    <m/>
    <m/>
    <m/>
    <m/>
    <m/>
    <s v="14077/SPP/008/PUSAT/ICON+/2020"/>
    <n v="4500015170"/>
    <m/>
    <m/>
    <m/>
    <m/>
    <m/>
    <m/>
    <m/>
    <m/>
    <m/>
    <m/>
    <m/>
    <m/>
    <m/>
  </r>
  <r>
    <n v="73"/>
    <s v="Indointernet "/>
    <s v="Primacom qq Bank Jasa Jakarta"/>
    <s v="Jl. Rempoa Raya 11"/>
    <x v="0"/>
    <m/>
    <m/>
    <s v="Sewa Tahunan "/>
    <s v="Colocation"/>
    <s v="ICON-00/SBC/1309/0461"/>
    <m/>
    <m/>
    <m/>
    <m/>
    <s v="-"/>
    <n v="30000000"/>
    <m/>
    <s v="-"/>
    <n v="2500000"/>
    <m/>
    <d v="2020-02-15T00:00:00"/>
    <d v="2021-02-14T00:00:00"/>
    <x v="0"/>
    <m/>
    <m/>
    <m/>
    <m/>
    <m/>
    <m/>
    <s v="12656/SPP/008/PUSAT/ICON+/2020"/>
    <n v="4500014171"/>
    <m/>
    <m/>
    <m/>
    <m/>
    <m/>
    <m/>
    <m/>
    <m/>
    <m/>
    <m/>
    <m/>
    <m/>
    <m/>
  </r>
  <r>
    <n v="74"/>
    <s v="Perhimpunan Menara Karya"/>
    <s v="PELANGGAN BUKIT ASAM "/>
    <s v="G.M.Karya Jl. Rasuna Said B.x-5 Kav. 1-2 Jakarta Selatan 12950"/>
    <x v="0"/>
    <m/>
    <m/>
    <s v="Sewa Tahunan "/>
    <s v="Colocation"/>
    <m/>
    <m/>
    <m/>
    <m/>
    <m/>
    <s v="-"/>
    <s v="-"/>
    <m/>
    <s v="-"/>
    <n v="50000000"/>
    <m/>
    <d v="2021-01-01T00:00:00"/>
    <d v="2021-12-31T00:00:00"/>
    <x v="0"/>
    <m/>
    <m/>
    <m/>
    <m/>
    <m/>
    <m/>
    <m/>
    <n v="4500015689"/>
    <m/>
    <m/>
    <m/>
    <m/>
    <m/>
    <m/>
    <m/>
    <m/>
    <m/>
    <m/>
    <m/>
    <m/>
    <m/>
  </r>
  <r>
    <n v="75"/>
    <s v="DCI Indonesia "/>
    <s v="PT. Bank Mayapada Internasional"/>
    <s v="Jl. Jend Sudirman Kav 52-53 Jakarta 12190"/>
    <x v="0"/>
    <m/>
    <m/>
    <s v="Sewa Tahunan "/>
    <s v="Cross Connect"/>
    <s v="PA/RLK/1803/0020/TER"/>
    <m/>
    <m/>
    <m/>
    <m/>
    <s v="-"/>
    <n v="48000000"/>
    <m/>
    <s v="-"/>
    <n v="19000000"/>
    <m/>
    <d v="2021-03-19T00:00:00"/>
    <d v="2021-03-18T00:00:00"/>
    <x v="0"/>
    <m/>
    <m/>
    <m/>
    <m/>
    <m/>
    <m/>
    <s v="12773/SPP/008/PUSAT/ICON+/2020"/>
    <n v="4500014092"/>
    <m/>
    <m/>
    <m/>
    <m/>
    <m/>
    <m/>
    <m/>
    <m/>
    <m/>
    <m/>
    <m/>
    <m/>
    <m/>
  </r>
  <r>
    <n v="76"/>
    <s v="Indointernet "/>
    <s v="PT SUNVONE SOLUSINDO"/>
    <s v="Jl. Rempoa Raya 11"/>
    <x v="0"/>
    <m/>
    <m/>
    <s v="Sewa Tahunan "/>
    <s v="Colocation"/>
    <s v="PA/ACT/1811/1730"/>
    <m/>
    <m/>
    <m/>
    <m/>
    <s v="-"/>
    <n v="66000000"/>
    <m/>
    <s v="-"/>
    <n v="5000000"/>
    <m/>
    <d v="2020-01-01T00:00:00"/>
    <d v="2020-12-31T00:00:00"/>
    <x v="0"/>
    <m/>
    <m/>
    <m/>
    <m/>
    <m/>
    <m/>
    <s v="11968/SPP/008/PUSAT/ICON+/2019"/>
    <n v="4500013749"/>
    <m/>
    <m/>
    <m/>
    <m/>
    <m/>
    <m/>
    <m/>
    <m/>
    <m/>
    <m/>
    <m/>
    <m/>
    <m/>
  </r>
  <r>
    <n v="77"/>
    <s v="Sigma Cipta Caraka, PT"/>
    <s v="Federal Internasional Finance"/>
    <s v="Jl.Kapt.Subijanto DJ Tanggerang 15321"/>
    <x v="0"/>
    <m/>
    <m/>
    <s v="Sewa Tahunan "/>
    <s v="Cross Connect"/>
    <s v="PA/ACT/1812/0388"/>
    <m/>
    <m/>
    <m/>
    <m/>
    <s v="-"/>
    <n v="480000000"/>
    <m/>
    <s v="-"/>
    <n v="6000000"/>
    <m/>
    <d v="2020-04-16T00:00:00"/>
    <d v="2021-04-15T00:00:00"/>
    <x v="0"/>
    <m/>
    <m/>
    <m/>
    <m/>
    <m/>
    <m/>
    <s v="12976/SPP/008/PUSAT/ICON+/2020"/>
    <n v="4500014235"/>
    <m/>
    <m/>
    <m/>
    <m/>
    <m/>
    <m/>
    <m/>
    <m/>
    <m/>
    <m/>
    <m/>
    <m/>
    <m/>
  </r>
  <r>
    <n v="78"/>
    <s v="Biznet Data Center, PT"/>
    <s v="PT BAHANA SYSFO UTAMA"/>
    <s v="Jl. Jend Sudirman Kav 10-11 Midplaza 2 8 Jakarta Pusat 10220"/>
    <x v="0"/>
    <m/>
    <m/>
    <s v="Sewa Tahunan "/>
    <s v="Cross Connect"/>
    <s v="ICON-00/SBC/1702/0689"/>
    <m/>
    <m/>
    <m/>
    <m/>
    <s v="-"/>
    <n v="66000000"/>
    <m/>
    <s v="-"/>
    <n v="2000000"/>
    <m/>
    <d v="2020-01-01T00:00:00"/>
    <d v="2020-12-31T00:00:00"/>
    <x v="0"/>
    <m/>
    <m/>
    <m/>
    <m/>
    <m/>
    <m/>
    <m/>
    <n v="4500013733"/>
    <m/>
    <m/>
    <m/>
    <m/>
    <m/>
    <m/>
    <m/>
    <m/>
    <m/>
    <m/>
    <m/>
    <m/>
    <m/>
  </r>
  <r>
    <n v="79"/>
    <s v="Media Nusantara Data Global "/>
    <s v="PT YESI MEDIA UTAMA WONOGIRI"/>
    <s v="Jl. Kuningan Barat No. 8 Cyber Building 1st &amp; 2nd Jakarta Selatan 12710"/>
    <x v="0"/>
    <m/>
    <m/>
    <s v="Sewa Tahunan "/>
    <s v="Cross Connect"/>
    <s v="PA/ACT/2006/1779"/>
    <m/>
    <m/>
    <m/>
    <m/>
    <n v="3500000"/>
    <n v="318000000"/>
    <m/>
    <s v="-"/>
    <n v="2500000"/>
    <m/>
    <d v="2020-07-16T00:00:00"/>
    <d v="2021-07-15T00:00:00"/>
    <x v="0"/>
    <m/>
    <m/>
    <m/>
    <m/>
    <m/>
    <m/>
    <s v="13812/SPP/008/PUSAT/ICON+/2020"/>
    <n v="4500014674"/>
    <m/>
    <m/>
    <m/>
    <m/>
    <m/>
    <m/>
    <m/>
    <m/>
    <m/>
    <m/>
    <m/>
    <m/>
    <m/>
  </r>
  <r>
    <n v="80"/>
    <s v="Praja Puri Indah Real Estate, PT"/>
    <s v="BANK MANDIRI  DI PASAR PAGI MANGGA DUA "/>
    <s v="Gd. Grosir Pasar Pagi Mangga Dua Jakarta 14430"/>
    <x v="0"/>
    <m/>
    <m/>
    <s v="Sewa Tahunan "/>
    <s v="Colocation"/>
    <s v="PA/UPG/1907/0071"/>
    <m/>
    <m/>
    <m/>
    <m/>
    <s v="-"/>
    <n v="20727276"/>
    <m/>
    <s v="-"/>
    <n v="6363636"/>
    <m/>
    <d v="2020-10-20T00:00:00"/>
    <d v="2021-10-19T00:00:00"/>
    <x v="0"/>
    <m/>
    <m/>
    <m/>
    <m/>
    <m/>
    <m/>
    <s v="14052/SPP/008/PUSAT/ICON+/2020"/>
    <n v="4500014924"/>
    <m/>
    <m/>
    <m/>
    <m/>
    <m/>
    <m/>
    <m/>
    <m/>
    <m/>
    <m/>
    <m/>
    <m/>
    <m/>
  </r>
  <r>
    <n v="81"/>
    <s v="CBN Nusantara"/>
    <s v="PT INDOMARCO PRISMATAMA "/>
    <s v="Jl.H.R.Rasuna Said Blok X5 13"/>
    <x v="0"/>
    <m/>
    <m/>
    <s v="Sewa Tahunan "/>
    <s v="Colocation"/>
    <s v="PA/ACT/1811/3222"/>
    <m/>
    <m/>
    <m/>
    <m/>
    <s v="-"/>
    <n v="114000000"/>
    <m/>
    <s v="-"/>
    <n v="2000000"/>
    <m/>
    <d v="2020-04-28T00:00:00"/>
    <d v="2021-04-27T00:00:00"/>
    <x v="0"/>
    <m/>
    <m/>
    <m/>
    <m/>
    <m/>
    <m/>
    <s v="12658/SPP/008/PUSAT/ICON+/2020"/>
    <n v="4500013996"/>
    <m/>
    <m/>
    <m/>
    <m/>
    <m/>
    <m/>
    <m/>
    <m/>
    <m/>
    <m/>
    <m/>
    <m/>
    <m/>
  </r>
  <r>
    <n v="82"/>
    <s v="Sigma Cipta Caraka, PT"/>
    <s v="PT BANK MEGA "/>
    <s v="Jl.Kapt.Subijanto DJ Tanggerang 15321"/>
    <x v="0"/>
    <m/>
    <m/>
    <s v="Sewa Tahunan "/>
    <s v="Cross Connect"/>
    <s v="PA/RLK/2001/0008/TER"/>
    <m/>
    <m/>
    <m/>
    <m/>
    <n v="3000000"/>
    <n v="13200000"/>
    <m/>
    <n v="3000000"/>
    <n v="6000000"/>
    <m/>
    <d v="2020-01-23T00:00:00"/>
    <d v="2021-01-22T00:00:00"/>
    <x v="0"/>
    <m/>
    <m/>
    <m/>
    <m/>
    <m/>
    <m/>
    <s v="12489/SPP/008/PUSAT/ICON+/2020"/>
    <n v="4500013806"/>
    <m/>
    <m/>
    <m/>
    <m/>
    <m/>
    <m/>
    <m/>
    <m/>
    <m/>
    <m/>
    <m/>
    <m/>
    <m/>
  </r>
  <r>
    <n v="83"/>
    <s v="CBN Nusantara"/>
    <s v="PT BANGUN ANDALAN PERKASA "/>
    <s v="Jl.H.R.Rasuna Said Blok X5 13"/>
    <x v="0"/>
    <m/>
    <m/>
    <s v="Sewa Tahunan "/>
    <s v="Cross Connect"/>
    <s v="PA/ACT/2002/0170"/>
    <m/>
    <m/>
    <m/>
    <m/>
    <n v="5000000"/>
    <n v="7500000"/>
    <m/>
    <n v="2000000"/>
    <n v="10000000"/>
    <m/>
    <d v="2020-02-13T00:00:00"/>
    <d v="2021-02-12T00:00:00"/>
    <x v="0"/>
    <m/>
    <m/>
    <m/>
    <m/>
    <m/>
    <m/>
    <s v="12666/SPP/008/PUSAT/ICON+/2020"/>
    <n v="4500013948"/>
    <m/>
    <m/>
    <m/>
    <m/>
    <m/>
    <m/>
    <m/>
    <m/>
    <m/>
    <m/>
    <m/>
    <m/>
    <m/>
  </r>
  <r>
    <n v="84"/>
    <s v="Karyagraha Nusantara"/>
    <s v="PT. IPWAN GLOBAL TELECOM"/>
    <s v="Jl.Kuningan Barat 8 Jakarta 12710"/>
    <x v="0"/>
    <m/>
    <m/>
    <s v="Sewa Tahunan "/>
    <s v="Colocation"/>
    <s v="ICON-00/ACT/1412/0261"/>
    <m/>
    <m/>
    <m/>
    <m/>
    <s v="-"/>
    <n v="84000000"/>
    <m/>
    <s v="-"/>
    <n v="7000000"/>
    <m/>
    <d v="2020-01-29T00:00:00"/>
    <d v="2021-01-28T00:00:00"/>
    <x v="0"/>
    <m/>
    <m/>
    <m/>
    <m/>
    <m/>
    <m/>
    <m/>
    <n v="4500013868"/>
    <m/>
    <m/>
    <m/>
    <m/>
    <m/>
    <m/>
    <m/>
    <m/>
    <m/>
    <m/>
    <m/>
    <m/>
    <m/>
  </r>
  <r>
    <n v="85"/>
    <s v="Karyagraha Nusantara"/>
    <s v="PT. IPWAN GLOBAL TELECOM"/>
    <s v="Jl.Kuningan Barat 8 Jakarta 12710"/>
    <x v="0"/>
    <m/>
    <m/>
    <s v="Sewa Tahunan "/>
    <s v="Colocation"/>
    <s v="PA/DOW/1901/0107"/>
    <m/>
    <m/>
    <m/>
    <m/>
    <s v="-"/>
    <n v="33000000"/>
    <m/>
    <s v="-"/>
    <n v="7000000"/>
    <m/>
    <d v="2020-01-21T00:00:00"/>
    <d v="2021-01-20T00:00:00"/>
    <x v="0"/>
    <m/>
    <m/>
    <m/>
    <m/>
    <m/>
    <m/>
    <s v="12503/SPP/008/PUSAT/ICON+/2020"/>
    <n v="4500013867"/>
    <m/>
    <m/>
    <m/>
    <m/>
    <m/>
    <m/>
    <m/>
    <m/>
    <m/>
    <m/>
    <m/>
    <m/>
    <m/>
  </r>
  <r>
    <n v="86"/>
    <s v="Data sinergitama Jaya, PT"/>
    <s v="PT BANK CENTRAL ASIA TBK"/>
    <s v="Jl. RS Fatmawati Ruko Fatmawati Blok A1 Kav 108"/>
    <x v="0"/>
    <m/>
    <m/>
    <s v="Sewa Tahunan "/>
    <s v="Cross Connect"/>
    <s v="PA/ACT/2011/1785/TER"/>
    <m/>
    <m/>
    <m/>
    <m/>
    <n v="2500000"/>
    <n v="60000000"/>
    <m/>
    <n v="1500000"/>
    <n v="2400000"/>
    <m/>
    <d v="2020-12-18T00:00:00"/>
    <d v="2021-12-17T00:00:00"/>
    <x v="0"/>
    <m/>
    <m/>
    <m/>
    <m/>
    <m/>
    <m/>
    <s v="14861/SPP/008/PUSAT/ICON+/2020"/>
    <n v="4500015466"/>
    <m/>
    <m/>
    <m/>
    <m/>
    <m/>
    <m/>
    <m/>
    <m/>
    <m/>
    <m/>
    <m/>
    <m/>
    <m/>
  </r>
  <r>
    <n v="87"/>
    <s v="NTT Indonesia "/>
    <s v="PT GPAY DIGITAL ASIA"/>
    <s v="Jl. Kuningan Barat No. 8 Jakarta Selatan 12710"/>
    <x v="0"/>
    <m/>
    <m/>
    <s v="Sewa Tahunan "/>
    <s v="Cross Connect"/>
    <s v="PA/ACT/2010/1221"/>
    <m/>
    <m/>
    <m/>
    <m/>
    <n v="5000000"/>
    <n v="162000000"/>
    <m/>
    <n v="1500000"/>
    <n v="33900000"/>
    <m/>
    <d v="2020-10-26T00:00:00"/>
    <d v="2021-10-25T00:00:00"/>
    <x v="0"/>
    <m/>
    <m/>
    <m/>
    <m/>
    <m/>
    <m/>
    <m/>
    <n v="4500015237"/>
    <m/>
    <m/>
    <m/>
    <m/>
    <m/>
    <m/>
    <m/>
    <m/>
    <m/>
    <m/>
    <m/>
    <m/>
    <m/>
  </r>
  <r>
    <n v="88"/>
    <s v="Indointernet "/>
    <s v="BANK WOORI SAUDARA"/>
    <s v="Jl. Rempoa Raya 11"/>
    <x v="0"/>
    <m/>
    <m/>
    <s v="Sewa Tahunan "/>
    <s v="Cross Connect"/>
    <s v="PA/UPG/1910/0022"/>
    <m/>
    <m/>
    <m/>
    <m/>
    <s v="-"/>
    <n v="43200000"/>
    <m/>
    <s v="-"/>
    <n v="2500000"/>
    <m/>
    <d v="2020-04-21T00:00:00"/>
    <d v="2021-04-20T00:00:00"/>
    <x v="0"/>
    <m/>
    <m/>
    <m/>
    <m/>
    <m/>
    <m/>
    <s v="13123/SPP/008/PUSAT/ICON+/2020"/>
    <n v="4500014203"/>
    <m/>
    <m/>
    <m/>
    <m/>
    <m/>
    <m/>
    <m/>
    <m/>
    <m/>
    <m/>
    <m/>
    <m/>
    <m/>
  </r>
  <r>
    <n v="89"/>
    <s v="Indointernet "/>
    <s v="PRIMACOM INTERBUANA QQ BANK HARDA "/>
    <s v="Jl. Rempoa Raya 11"/>
    <x v="0"/>
    <m/>
    <m/>
    <s v="Sewa Tahunan "/>
    <s v="Colocation"/>
    <s v="PA/ACT/1804/1335/TER"/>
    <m/>
    <m/>
    <m/>
    <m/>
    <s v="-"/>
    <n v="36000000"/>
    <m/>
    <s v="-"/>
    <n v="2500000"/>
    <m/>
    <d v="2020-06-08T00:00:00"/>
    <d v="2021-06-07T00:00:00"/>
    <x v="0"/>
    <m/>
    <m/>
    <m/>
    <m/>
    <m/>
    <m/>
    <s v="13706/SPP/008/PUSAT/ICON+/2020"/>
    <n v="4500014679"/>
    <m/>
    <m/>
    <m/>
    <m/>
    <m/>
    <m/>
    <m/>
    <m/>
    <m/>
    <m/>
    <m/>
    <m/>
    <m/>
  </r>
  <r>
    <n v="90"/>
    <s v="Sigma Cipta Caraka, PT"/>
    <s v="PT BANK PEMBANGUNAN DAERAH JAWA TIMUR "/>
    <s v="Jl.Kapt.Subijanto DJ Tanggerang 15321"/>
    <x v="0"/>
    <m/>
    <m/>
    <s v="Sewa Tahunan "/>
    <s v="Cross Connect"/>
    <s v="PA/ACT/2009/0246"/>
    <m/>
    <m/>
    <m/>
    <m/>
    <s v="-"/>
    <n v="818181816"/>
    <m/>
    <n v="9000000"/>
    <n v="18000000"/>
    <s v="   "/>
    <d v="2020-10-12T00:00:00"/>
    <d v="2021-10-11T00:00:00"/>
    <x v="0"/>
    <m/>
    <m/>
    <m/>
    <m/>
    <m/>
    <m/>
    <s v="14836/SPP/008/PUSAT/ICON+/2020"/>
    <n v="4500015465"/>
    <m/>
    <m/>
    <m/>
    <m/>
    <m/>
    <m/>
    <m/>
    <m/>
    <m/>
    <m/>
    <m/>
    <m/>
    <m/>
  </r>
  <r>
    <n v="91"/>
    <s v="Sarana Titan Manunggal"/>
    <s v="CYBERINDO ADITAMA "/>
    <s v="Jl. Boulevard Bintaro Blok B/B1 sektor 7 5"/>
    <x v="0"/>
    <m/>
    <m/>
    <s v="Sewa Tahunan "/>
    <s v="Colocation"/>
    <s v="ICON-00/SBC/1612/0017"/>
    <m/>
    <m/>
    <m/>
    <m/>
    <s v="-"/>
    <n v="90000000"/>
    <m/>
    <s v="-"/>
    <n v="36300000"/>
    <m/>
    <d v="2020-11-03T00:00:00"/>
    <d v="2021-11-02T00:00:00"/>
    <x v="0"/>
    <m/>
    <m/>
    <m/>
    <m/>
    <m/>
    <m/>
    <m/>
    <n v="4500015895"/>
    <m/>
    <m/>
    <m/>
    <m/>
    <m/>
    <m/>
    <m/>
    <m/>
    <m/>
    <m/>
    <m/>
    <m/>
    <m/>
  </r>
  <r>
    <n v="92"/>
    <s v="Samudera Data Indonesia"/>
    <s v="PT. Abadi Tambah Mulia Internasional (ATMI)"/>
    <s v="Gedung Cyber 1 No. 8 Jakarta Selatan 12710"/>
    <x v="0"/>
    <m/>
    <m/>
    <s v="Sewa Tahunan "/>
    <s v="Cross Connect"/>
    <s v="PA/ACT/1908/2157, PA/ACT/1908/2158, PA/ACT/1908/2160"/>
    <m/>
    <m/>
    <m/>
    <m/>
    <s v="-"/>
    <n v="46800000"/>
    <m/>
    <s v="-"/>
    <n v="25200000"/>
    <m/>
    <d v="2020-10-01T00:00:00"/>
    <d v="2021-09-30T00:00:00"/>
    <x v="0"/>
    <m/>
    <m/>
    <m/>
    <m/>
    <m/>
    <m/>
    <s v="16077/SPP/008/PUSAT/ICON+/2021"/>
    <n v="4500016329"/>
    <m/>
    <m/>
    <m/>
    <m/>
    <m/>
    <m/>
    <m/>
    <m/>
    <m/>
    <m/>
    <m/>
    <m/>
    <m/>
  </r>
  <r>
    <n v="93"/>
    <s v="SMARTFREN TELECOM, PT"/>
    <s v="BANK WOORI SAUDARA"/>
    <s v="Jl. H. Agus Salim 45 Jakarta 10340"/>
    <x v="0"/>
    <m/>
    <m/>
    <s v="Sewa Tahunan "/>
    <s v="Interkoneksi"/>
    <s v="PA/UPG/1909/0243, PA/ACT/1907/3735"/>
    <m/>
    <m/>
    <m/>
    <m/>
    <s v="-"/>
    <n v="86550000"/>
    <m/>
    <s v="-"/>
    <n v="57600000"/>
    <m/>
    <d v="2020-12-16T00:00:00"/>
    <d v="2021-12-15T00:00:00"/>
    <x v="0"/>
    <m/>
    <m/>
    <m/>
    <m/>
    <m/>
    <m/>
    <m/>
    <n v="4500015652"/>
    <m/>
    <m/>
    <m/>
    <m/>
    <m/>
    <m/>
    <m/>
    <m/>
    <m/>
    <m/>
    <m/>
    <m/>
    <m/>
  </r>
  <r>
    <n v="94"/>
    <s v="Serpong Mas Telematika"/>
    <s v="PT LINTASARTA QQ UNILEVER"/>
    <s v="MyRepublic Plaza lt 2 WING A Jakarta 15345"/>
    <x v="0"/>
    <m/>
    <m/>
    <s v="Sewa Tahunan "/>
    <s v="Interkoneksi"/>
    <s v="1000127778"/>
    <m/>
    <m/>
    <m/>
    <m/>
    <s v="-"/>
    <n v="1443846000"/>
    <m/>
    <s v="-"/>
    <n v="393120000"/>
    <m/>
    <d v="2020-11-01T00:00:00"/>
    <d v="2021-10-31T00:00:00"/>
    <x v="0"/>
    <m/>
    <m/>
    <m/>
    <m/>
    <m/>
    <m/>
    <m/>
    <n v="4500015923"/>
    <m/>
    <s v="Masrukhan"/>
    <s v="+62 812-9844-8648"/>
    <m/>
    <m/>
    <m/>
    <m/>
    <m/>
    <m/>
    <m/>
    <m/>
    <m/>
    <m/>
  </r>
  <r>
    <n v="95"/>
    <s v="Karyagraha Nusantara"/>
    <s v="PT Indonesia Comnet Plus (ICON+)"/>
    <s v="Jl.Kuningan Barat 8 Jakarta 12710"/>
    <x v="0"/>
    <m/>
    <m/>
    <s v="Sewa Tahunan "/>
    <s v="Colocation"/>
    <m/>
    <m/>
    <m/>
    <m/>
    <m/>
    <s v="-"/>
    <s v="-"/>
    <m/>
    <s v="-"/>
    <n v="35000000"/>
    <m/>
    <d v="2020-12-29T00:00:00"/>
    <d v="2021-12-28T00:00:00"/>
    <x v="0"/>
    <m/>
    <m/>
    <m/>
    <m/>
    <m/>
    <m/>
    <m/>
    <n v="4500015420"/>
    <m/>
    <m/>
    <m/>
    <m/>
    <m/>
    <m/>
    <m/>
    <m/>
    <m/>
    <m/>
    <m/>
    <m/>
    <m/>
  </r>
  <r>
    <n v="96"/>
    <s v="DCI  Indonesia "/>
    <s v="PT INDOMARCO PRISMATAMA "/>
    <s v="Jl. Jend Sudirman Kav 52-53 Jakarta 12190"/>
    <x v="0"/>
    <m/>
    <m/>
    <s v="Sewa Tahunan "/>
    <s v="Cross Connect"/>
    <s v="ICON-00/ACT/1711/1089"/>
    <m/>
    <m/>
    <m/>
    <m/>
    <s v="-"/>
    <n v="28500000"/>
    <m/>
    <s v="-"/>
    <n v="2893223"/>
    <m/>
    <d v="2020-12-03T00:00:00"/>
    <d v="2021-12-02T00:00:00"/>
    <x v="0"/>
    <m/>
    <m/>
    <m/>
    <m/>
    <m/>
    <m/>
    <m/>
    <n v="4500015482"/>
    <m/>
    <m/>
    <m/>
    <m/>
    <m/>
    <m/>
    <m/>
    <m/>
    <m/>
    <m/>
    <m/>
    <m/>
    <m/>
  </r>
  <r>
    <n v="97"/>
    <s v="Karyagraha Nusantara"/>
    <s v="PT. XL AXIATA TBK."/>
    <s v="Jl.Kuningan Barat 8 Jakarta 12710"/>
    <x v="0"/>
    <m/>
    <m/>
    <s v="Sewa Tahunan "/>
    <s v="Colocation"/>
    <m/>
    <m/>
    <m/>
    <m/>
    <m/>
    <s v="-"/>
    <n v="187451000"/>
    <m/>
    <s v="-"/>
    <n v="7500000"/>
    <m/>
    <d v="2020-12-29T00:00:00"/>
    <d v="2021-12-28T00:00:00"/>
    <x v="0"/>
    <m/>
    <m/>
    <m/>
    <m/>
    <m/>
    <m/>
    <m/>
    <n v="4500015421"/>
    <m/>
    <m/>
    <m/>
    <m/>
    <m/>
    <m/>
    <m/>
    <m/>
    <m/>
    <m/>
    <m/>
    <m/>
    <m/>
  </r>
  <r>
    <n v="98"/>
    <s v="PC 24 Telekomunikasi Indonesia"/>
    <s v="PT Bank Syariah BRI"/>
    <s v="Jakarta Selatan 12240"/>
    <x v="0"/>
    <m/>
    <m/>
    <s v="Sewa Tahunan"/>
    <s v="Cross Connect "/>
    <s v="PA/ACT/2005/1127/TER"/>
    <m/>
    <m/>
    <m/>
    <m/>
    <n v="2000000"/>
    <n v="12000000"/>
    <m/>
    <m/>
    <m/>
    <m/>
    <d v="2020-05-19T00:00:00"/>
    <d v="2021-05-18T00:00:00"/>
    <x v="0"/>
    <m/>
    <m/>
    <m/>
    <m/>
    <m/>
    <m/>
    <s v="14173/SPP/008/PUSAT/ICON+/2020"/>
    <n v="4500015139"/>
    <m/>
    <m/>
    <m/>
    <m/>
    <m/>
    <m/>
    <m/>
    <m/>
    <m/>
    <m/>
    <m/>
    <m/>
    <m/>
  </r>
  <r>
    <n v="99"/>
    <s v="Media Nusantara Data Global "/>
    <s v="PT Angkasa Pura Suport qq Bandara YIA"/>
    <s v="Jalan Kuningan Barat No.8 Cyber Building 1st&amp;2nd"/>
    <x v="0"/>
    <m/>
    <m/>
    <s v="Sewa Tahunan"/>
    <s v="Cross Connect "/>
    <s v="14128/SPP/008/PUSAT/ICON+/2020"/>
    <m/>
    <m/>
    <m/>
    <m/>
    <n v="3000000"/>
    <n v="180000000"/>
    <m/>
    <m/>
    <m/>
    <m/>
    <d v="2020-12-31T00:00:00"/>
    <d v="2021-09-17T00:00:00"/>
    <x v="0"/>
    <m/>
    <m/>
    <m/>
    <m/>
    <m/>
    <m/>
    <s v="14128/SPP/008/PUSAT/ICON+/2020"/>
    <n v="4500015140"/>
    <m/>
    <m/>
    <m/>
    <m/>
    <m/>
    <m/>
    <m/>
    <m/>
    <m/>
    <m/>
    <m/>
    <m/>
    <m/>
  </r>
  <r>
    <n v="100"/>
    <s v="Visionet Data International"/>
    <s v="PT Siloam International Hospital"/>
    <s v="Lippo Cyber Park. Jalan Boulevard Gajah Mada No. 2120, Lippo Karawaci, Tangerang 15811"/>
    <x v="0"/>
    <m/>
    <m/>
    <s v="Sewa Tahunan"/>
    <s v="Colocation"/>
    <s v="PA/ACT/1806/0736"/>
    <m/>
    <m/>
    <m/>
    <m/>
    <s v="-"/>
    <n v="21120000"/>
    <m/>
    <m/>
    <m/>
    <m/>
    <d v="2020-09-01T00:00:00"/>
    <d v="2021-08-31T00:00:00"/>
    <x v="0"/>
    <m/>
    <m/>
    <m/>
    <m/>
    <m/>
    <m/>
    <s v="14200/SPP/008/PUSAT/ICON+/2020"/>
    <n v="4500015141"/>
    <m/>
    <m/>
    <m/>
    <m/>
    <m/>
    <m/>
    <m/>
    <m/>
    <m/>
    <m/>
    <m/>
    <m/>
    <m/>
  </r>
  <r>
    <n v="101"/>
    <s v="Sigma Cipta Caraka "/>
    <s v="Komisi Pemberantas Korupsi"/>
    <s v="Jl. Kapt.Subijanto DJ, Tangerang 15321"/>
    <x v="0"/>
    <m/>
    <m/>
    <s v="Sewa Tahunan"/>
    <s v="Cross Connect "/>
    <s v="PA/ACT/1907/2013/TER"/>
    <m/>
    <m/>
    <m/>
    <m/>
    <s v="-"/>
    <n v="182000000"/>
    <m/>
    <m/>
    <m/>
    <m/>
    <d v="2020-09-06T00:00:00"/>
    <d v="2021-09-05T00:00:00"/>
    <x v="0"/>
    <m/>
    <m/>
    <m/>
    <m/>
    <m/>
    <m/>
    <m/>
    <n v="4500015026"/>
    <m/>
    <m/>
    <m/>
    <m/>
    <m/>
    <m/>
    <m/>
    <m/>
    <m/>
    <m/>
    <m/>
    <m/>
    <m/>
  </r>
  <r>
    <n v="102"/>
    <s v="Biznet"/>
    <s v="PT Bank Sinarmas CID 5008"/>
    <s v="Jl. Jend Sudirman Kav 10-11 Midplaza 2 8 Jakarta Pusat 10220"/>
    <x v="0"/>
    <m/>
    <m/>
    <s v="Sewa Tahunan"/>
    <s v="Cross Connect "/>
    <s v="ICON-00//SBC/1706/0035"/>
    <m/>
    <m/>
    <m/>
    <m/>
    <s v="-"/>
    <n v="276000000"/>
    <m/>
    <m/>
    <n v="12000000"/>
    <m/>
    <d v="2020-03-01T00:00:00"/>
    <d v="2021-02-28T00:00:00"/>
    <x v="0"/>
    <m/>
    <m/>
    <m/>
    <m/>
    <m/>
    <m/>
    <s v="12587/SPP/PUSAT/ICON+/2020"/>
    <n v="4500014038"/>
    <m/>
    <m/>
    <m/>
    <m/>
    <m/>
    <m/>
    <m/>
    <m/>
    <m/>
    <m/>
    <m/>
    <m/>
    <m/>
  </r>
  <r>
    <n v="103"/>
    <s v="Sigma Cipta Caraka "/>
    <s v="PT Bank HSBC Indonesia"/>
    <s v="Jl. Kapt.Subijanto DJ, Tangerang 15321"/>
    <x v="0"/>
    <m/>
    <m/>
    <s v="Sewa Tahunan"/>
    <s v="Cross Connect "/>
    <s v="PA/ACT/2002/1094"/>
    <m/>
    <m/>
    <m/>
    <m/>
    <n v="4000000"/>
    <n v="46800000"/>
    <m/>
    <n v="3000000"/>
    <n v="6000000"/>
    <m/>
    <d v="2020-03-09T00:00:00"/>
    <d v="2021-03-08T00:00:00"/>
    <x v="0"/>
    <m/>
    <m/>
    <m/>
    <m/>
    <m/>
    <m/>
    <s v="12770/SPP/008/PUSAT/ICON+/2020"/>
    <n v="4500014036"/>
    <m/>
    <m/>
    <m/>
    <m/>
    <m/>
    <m/>
    <m/>
    <m/>
    <m/>
    <m/>
    <m/>
    <m/>
    <m/>
  </r>
  <r>
    <n v="104"/>
    <s v="Biznet Data Center"/>
    <s v="PT Aeon Credit Services Indonesia"/>
    <s v="Jl. Jend Sudirman Kav 10-11 Midplaza 2 8 Jakarta Pusat 10220"/>
    <x v="0"/>
    <m/>
    <m/>
    <s v="Sewa Tahunan"/>
    <s v="Cross Connect"/>
    <s v="PA/ACT/2001/3966"/>
    <m/>
    <m/>
    <m/>
    <m/>
    <n v="6050000"/>
    <n v="63360000"/>
    <m/>
    <n v="3000000"/>
    <n v="6000000"/>
    <m/>
    <d v="2020-03-04T00:00:00"/>
    <d v="2021-03-03T00:00:00"/>
    <x v="0"/>
    <m/>
    <m/>
    <m/>
    <m/>
    <m/>
    <m/>
    <s v="12681/SPP/008/PUSAT/ICON+/2020"/>
    <n v="4500014024"/>
    <m/>
    <m/>
    <m/>
    <m/>
    <m/>
    <m/>
    <m/>
    <m/>
    <m/>
    <m/>
    <m/>
    <m/>
    <m/>
  </r>
  <r>
    <n v="105"/>
    <s v="Sigma Cipta Caraka "/>
    <s v="PT Aeon Credit Services Indonesia"/>
    <s v="Jl. Kapt.Subijanto DJ, Tangerang 15321"/>
    <x v="0"/>
    <m/>
    <m/>
    <s v="Sewa Tahunan"/>
    <s v="Cross Connect"/>
    <s v="PA/ACT/2001/3966/TER"/>
    <m/>
    <m/>
    <m/>
    <m/>
    <n v="6050000"/>
    <n v="63360000"/>
    <m/>
    <n v="3000000"/>
    <n v="6000000"/>
    <m/>
    <d v="2020-03-04T00:00:00"/>
    <d v="2021-03-03T00:00:00"/>
    <x v="0"/>
    <m/>
    <m/>
    <m/>
    <m/>
    <m/>
    <m/>
    <s v="12652/SPP/008/PUSAT/ICON+/2020"/>
    <n v="4500014025"/>
    <m/>
    <m/>
    <m/>
    <m/>
    <m/>
    <m/>
    <m/>
    <m/>
    <m/>
    <m/>
    <m/>
    <m/>
    <m/>
  </r>
  <r>
    <n v="106"/>
    <s v="Sigma Cipta Caraka "/>
    <s v="PT Kideco Jaya Agung "/>
    <s v="Jl. Kapt.Subijanto DJ, Tangerang 15321"/>
    <x v="0"/>
    <m/>
    <m/>
    <s v="Sewa Tahunan"/>
    <s v="Cross Connect"/>
    <s v="PA/ACT/2003/0160"/>
    <m/>
    <m/>
    <m/>
    <m/>
    <n v="20000000"/>
    <n v="240000000"/>
    <m/>
    <n v="6000000"/>
    <n v="12000000"/>
    <m/>
    <d v="2020-03-23T00:00:00"/>
    <d v="2021-03-22T00:00:00"/>
    <x v="0"/>
    <m/>
    <m/>
    <m/>
    <m/>
    <m/>
    <m/>
    <s v="12926/SPP/008/PUSAT/ICON+/2020"/>
    <n v="4500014093"/>
    <m/>
    <m/>
    <m/>
    <m/>
    <m/>
    <m/>
    <m/>
    <m/>
    <m/>
    <m/>
    <m/>
    <m/>
    <m/>
  </r>
  <r>
    <n v="107"/>
    <s v="DCI Indonesia"/>
    <s v="PT Tokopedia"/>
    <s v="Jl. Jend Sudirman Kav 52-53 Jakarta 12190"/>
    <x v="0"/>
    <m/>
    <m/>
    <s v="Sewa Tahunan"/>
    <s v="Cross Connect"/>
    <s v="PA/ACT/2002/2086"/>
    <m/>
    <m/>
    <m/>
    <m/>
    <n v="54000000"/>
    <n v="6500000"/>
    <m/>
    <n v="1500000"/>
    <n v="18000000"/>
    <m/>
    <d v="2020-03-09T00:00:00"/>
    <d v="2021-03-08T00:00:00"/>
    <x v="0"/>
    <m/>
    <m/>
    <m/>
    <m/>
    <m/>
    <m/>
    <s v="12820/SPP/008/PUSAT/ICON+/2020"/>
    <n v="4500014027"/>
    <m/>
    <m/>
    <m/>
    <m/>
    <m/>
    <m/>
    <m/>
    <m/>
    <m/>
    <m/>
    <m/>
    <m/>
    <m/>
  </r>
  <r>
    <n v="108"/>
    <s v="DCI Indonesia"/>
    <s v="PT Pasifik Satelit Nusantara"/>
    <s v="Jl. Jend Sudirman Kav 52-53 Jakarta 12190"/>
    <x v="0"/>
    <m/>
    <m/>
    <s v="Sewa Tahunan"/>
    <s v="Cross Connect"/>
    <s v="PA/ACT/2003/0541"/>
    <m/>
    <m/>
    <m/>
    <m/>
    <n v="3000000"/>
    <n v="70800000"/>
    <m/>
    <n v="1500000"/>
    <n v="18000000"/>
    <m/>
    <d v="2020-03-23T00:00:00"/>
    <d v="2021-03-22T00:00:00"/>
    <x v="0"/>
    <m/>
    <m/>
    <m/>
    <m/>
    <m/>
    <m/>
    <s v="12942/SPP/008/PUSAT/ICON+/2020"/>
    <n v="4500014094"/>
    <m/>
    <m/>
    <m/>
    <m/>
    <m/>
    <m/>
    <m/>
    <m/>
    <m/>
    <m/>
    <m/>
    <m/>
    <m/>
  </r>
  <r>
    <n v="109"/>
    <s v="Indointernet "/>
    <s v="Primacom qq Bank Ina Perdana"/>
    <s v="Jl. Rempoa Raya 11 Ciputat"/>
    <x v="0"/>
    <m/>
    <m/>
    <s v="Sewa Tahunan"/>
    <s v="Colocation"/>
    <s v="PA/ACT/1812/0776"/>
    <m/>
    <m/>
    <m/>
    <m/>
    <s v="-"/>
    <n v="30000000"/>
    <m/>
    <m/>
    <n v="2000000"/>
    <m/>
    <d v="2020-02-20T00:00:00"/>
    <d v="2021-02-19T00:00:00"/>
    <x v="0"/>
    <m/>
    <m/>
    <m/>
    <m/>
    <m/>
    <m/>
    <s v="12655/SPP/008/PUSAT/ICON+/2020"/>
    <n v="4500014170"/>
    <m/>
    <m/>
    <m/>
    <m/>
    <m/>
    <m/>
    <m/>
    <m/>
    <m/>
    <m/>
    <m/>
    <m/>
    <m/>
  </r>
  <r>
    <n v="110"/>
    <s v="Envision"/>
    <s v="Olam"/>
    <s v="Ged. Perkantoran Prudential Centre Kota Kasablanka Jakarta 0000"/>
    <x v="0"/>
    <m/>
    <m/>
    <s v="Sewa Tahunan"/>
    <s v="Colocation"/>
    <s v="PA/ACT/1810/0186"/>
    <m/>
    <m/>
    <m/>
    <m/>
    <s v="-"/>
    <n v="216000000"/>
    <m/>
    <m/>
    <n v="66000000"/>
    <m/>
    <d v="2020-04-20T00:00:00"/>
    <d v="2021-04-19T00:00:00"/>
    <x v="0"/>
    <m/>
    <m/>
    <m/>
    <m/>
    <m/>
    <m/>
    <s v="12975/SPP/008/PUSAT/ICON+/2020"/>
    <n v="4500014155"/>
    <m/>
    <m/>
    <m/>
    <m/>
    <m/>
    <m/>
    <m/>
    <m/>
    <m/>
    <m/>
    <m/>
    <m/>
    <m/>
  </r>
  <r>
    <n v="111"/>
    <s v="PT Hadisurjo Propertama"/>
    <s v="Mora Telematika Indonesia"/>
    <s v="Jl. Raya Perjuangan No. 88, Jakarta 0000"/>
    <x v="0"/>
    <m/>
    <m/>
    <s v="Sewa Tahunan"/>
    <s v="Colocation"/>
    <s v="ICON-00/ACT/1403/0570/0990000320347478/ICON-00/SBC/1411/0452"/>
    <m/>
    <m/>
    <m/>
    <m/>
    <s v="-"/>
    <n v="49032000"/>
    <m/>
    <m/>
    <n v="37000000"/>
    <m/>
    <d v="2020-05-01T00:00:00"/>
    <d v="2021-04-30T00:00:00"/>
    <x v="0"/>
    <m/>
    <m/>
    <m/>
    <m/>
    <m/>
    <m/>
    <s v="12648/SPP/008/PUSAT/ICON+/2020"/>
    <n v="4500014608"/>
    <m/>
    <m/>
    <m/>
    <m/>
    <m/>
    <m/>
    <m/>
    <m/>
    <m/>
    <m/>
    <m/>
    <m/>
    <m/>
  </r>
  <r>
    <n v="112"/>
    <s v="Global Pahala Jasatama"/>
    <s v="PT Astari Niagara Internasional"/>
    <s v="Jln Gatot Subroto Kav. 51-52"/>
    <x v="0"/>
    <m/>
    <m/>
    <s v="Sewa Tahunan"/>
    <s v="Colocation"/>
    <s v="ICON-00/SBC/1710/2251"/>
    <m/>
    <m/>
    <m/>
    <m/>
    <s v="-"/>
    <n v="103800000"/>
    <m/>
    <m/>
    <n v="15000000"/>
    <m/>
    <d v="2020-05-25T00:00:00"/>
    <d v="2021-05-24T00:00:00"/>
    <x v="0"/>
    <m/>
    <m/>
    <m/>
    <m/>
    <m/>
    <m/>
    <s v="13395/SPP/008/PUSAT/ICON+/2020"/>
    <n v="4500014396"/>
    <m/>
    <m/>
    <m/>
    <m/>
    <m/>
    <m/>
    <m/>
    <m/>
    <m/>
    <m/>
    <m/>
    <m/>
    <m/>
  </r>
  <r>
    <n v="113"/>
    <s v="DCI Indonesia"/>
    <s v="NTT Indonesia"/>
    <s v="Jl. Jend Sudirman Kav 52-53 Jakarta 12190"/>
    <x v="0"/>
    <m/>
    <m/>
    <s v="Sewa Tahunan"/>
    <s v="Colocation"/>
    <s v="ICON-00/ACT/1605/0716, ICON-00/ACT/1605/0717, ICON-00/ACT/1605/0718, ICON-00/ACT/1605/0720, ICON-00/ACT/1605/0719"/>
    <m/>
    <m/>
    <m/>
    <m/>
    <s v="-"/>
    <n v="984000000"/>
    <m/>
    <m/>
    <n v="18000000"/>
    <m/>
    <d v="2020-06-24T00:00:00"/>
    <d v="2021-06-23T00:00:00"/>
    <x v="0"/>
    <m/>
    <m/>
    <m/>
    <m/>
    <m/>
    <m/>
    <m/>
    <n v="4500014435"/>
    <m/>
    <m/>
    <m/>
    <m/>
    <m/>
    <m/>
    <m/>
    <m/>
    <m/>
    <m/>
    <m/>
    <m/>
    <m/>
  </r>
  <r>
    <n v="114"/>
    <s v="Aplikanusa Lintasarta"/>
    <s v="PT Prima Vista Solusi"/>
    <s v="Jl. M. H. Thamrin Kav 3, Jakarta Pusat 10250"/>
    <x v="0"/>
    <m/>
    <m/>
    <s v="Sewa Tahunan"/>
    <s v="Cross Connect"/>
    <s v="AL/1906/14578, PA/ACT/1904/2085"/>
    <m/>
    <m/>
    <m/>
    <m/>
    <s v="-"/>
    <n v="36000000"/>
    <m/>
    <m/>
    <n v="15000000"/>
    <m/>
    <d v="2020-05-10T00:00:00"/>
    <d v="2021-05-09T00:00:00"/>
    <x v="0"/>
    <m/>
    <m/>
    <m/>
    <m/>
    <m/>
    <m/>
    <m/>
    <n v="4500014207"/>
    <m/>
    <m/>
    <m/>
    <m/>
    <m/>
    <m/>
    <m/>
    <m/>
    <m/>
    <m/>
    <m/>
    <m/>
    <m/>
  </r>
  <r>
    <n v="115"/>
    <s v="Aplikanusa Lintasarta"/>
    <s v="Jatelindo Perkasa Abadi"/>
    <s v="Jl. M. H. Thamrin Kav 3, Jakarta Pusat 10251"/>
    <x v="0"/>
    <m/>
    <m/>
    <s v="Sewa Tahunan"/>
    <s v="Colocation"/>
    <s v="ICON-00/SBC/1208/0067, ICON-00/SBC/1208/0068"/>
    <m/>
    <m/>
    <m/>
    <m/>
    <s v="-"/>
    <n v="210000000"/>
    <m/>
    <m/>
    <n v="19500000"/>
    <m/>
    <d v="2020-05-31T00:00:00"/>
    <d v="2021-05-30T00:00:00"/>
    <x v="0"/>
    <m/>
    <m/>
    <m/>
    <m/>
    <m/>
    <m/>
    <s v="13406/SPP?008/PUSAT/ICON+/2020"/>
    <n v="4500014397"/>
    <m/>
    <m/>
    <m/>
    <m/>
    <m/>
    <m/>
    <m/>
    <m/>
    <m/>
    <m/>
    <m/>
    <m/>
    <m/>
  </r>
  <r>
    <n v="116"/>
    <s v="Penghimpun Penghuni Menara Karya"/>
    <s v="Bukit Asam"/>
    <s v="G.M Karya Jl. HR. Rasuna Said B. X-5 Kav. 1-2 Jakarta Selatan 12950"/>
    <x v="0"/>
    <m/>
    <m/>
    <s v="Sewa Tahunan"/>
    <s v="Colocation"/>
    <s v="PA/UPG/1905/0156"/>
    <m/>
    <m/>
    <m/>
    <m/>
    <s v="-"/>
    <n v="75000000"/>
    <m/>
    <m/>
    <n v="55000000"/>
    <m/>
    <d v="2020-01-01T00:00:00"/>
    <d v="2020-12-31T00:00:00"/>
    <x v="0"/>
    <m/>
    <m/>
    <m/>
    <m/>
    <m/>
    <m/>
    <s v="12187/SPP/008/PUSAT/ICON+/2019"/>
    <n v="4500013876"/>
    <m/>
    <m/>
    <m/>
    <m/>
    <m/>
    <m/>
    <m/>
    <m/>
    <m/>
    <m/>
    <m/>
    <m/>
    <m/>
  </r>
  <r>
    <n v="117"/>
    <s v="DCI Indonesia"/>
    <s v="PT Lintas Arta QQ Prudential"/>
    <s v="Jl. Jend Sudirman Kav 52-53 Jakarta 12190"/>
    <x v="0"/>
    <m/>
    <m/>
    <s v="Sewa Tahunan"/>
    <s v="Cross Connect"/>
    <s v="PA/ACT/1810/1684"/>
    <m/>
    <m/>
    <m/>
    <m/>
    <s v="-"/>
    <n v="60000000"/>
    <m/>
    <m/>
    <n v="18000000"/>
    <m/>
    <d v="2020-11-01T00:00:00"/>
    <d v="2021-10-31T00:00:00"/>
    <x v="0"/>
    <m/>
    <m/>
    <m/>
    <m/>
    <m/>
    <m/>
    <s v="14022/SPP/008/PUSAT/ICON+/2020"/>
    <n v="4500014890"/>
    <m/>
    <m/>
    <m/>
    <m/>
    <m/>
    <m/>
    <m/>
    <m/>
    <m/>
    <m/>
    <m/>
    <m/>
    <m/>
  </r>
  <r>
    <n v="118"/>
    <s v="Circlecom Nusantara Indonesia"/>
    <s v="PT Trans Retail Indonesia"/>
    <s v="Jl. Jend Sudirman Kav 52-53 Jakarta 12190"/>
    <x v="0"/>
    <m/>
    <m/>
    <s v="Sewa Tahunan"/>
    <s v="Colocation"/>
    <s v="ICON-00/SOP/1403/0020"/>
    <m/>
    <m/>
    <m/>
    <m/>
    <s v="-"/>
    <n v="54000000"/>
    <m/>
    <m/>
    <n v="7200000"/>
    <m/>
    <d v="2020-09-30T00:00:00"/>
    <d v="2021-09-29T00:00:00"/>
    <x v="0"/>
    <m/>
    <m/>
    <m/>
    <m/>
    <m/>
    <m/>
    <m/>
    <n v="4500014934"/>
    <m/>
    <m/>
    <m/>
    <m/>
    <m/>
    <m/>
    <m/>
    <m/>
    <m/>
    <m/>
    <m/>
    <m/>
    <m/>
  </r>
  <r>
    <n v="119"/>
    <s v="CBN Nusantara"/>
    <s v="PT Infinys System Indonesia"/>
    <s v="Jl. H.R. Rasuna Said Blok X5 13 Jakarta 0000"/>
    <x v="0"/>
    <m/>
    <m/>
    <s v="Sewa Tahunan"/>
    <s v="Colocation"/>
    <s v="PA/ACT/1910/4038"/>
    <m/>
    <m/>
    <m/>
    <m/>
    <n v="5000000"/>
    <n v="108000000"/>
    <m/>
    <n v="2000000"/>
    <n v="7000000"/>
    <m/>
    <d v="2020-11-01T00:00:00"/>
    <d v="2021-10-31T00:00:00"/>
    <x v="0"/>
    <m/>
    <m/>
    <m/>
    <m/>
    <m/>
    <m/>
    <m/>
    <n v="4500015267"/>
    <m/>
    <m/>
    <m/>
    <m/>
    <m/>
    <m/>
    <m/>
    <m/>
    <m/>
    <m/>
    <m/>
    <m/>
    <m/>
  </r>
  <r>
    <n v="120"/>
    <s v="Biznet Data Center"/>
    <s v="PT Sumber Alfaria Trijaya"/>
    <s v="Jl. Jend Sudirman Kav 10-11 Midplaza 2 8 Jakarta Pusat 10220"/>
    <x v="0"/>
    <m/>
    <m/>
    <s v="Sewa Tahunan "/>
    <s v="Cross Connect"/>
    <s v="ICON-00/ACT/1510/0150"/>
    <m/>
    <m/>
    <m/>
    <m/>
    <s v="-"/>
    <n v="282000000"/>
    <m/>
    <m/>
    <n v="3000000"/>
    <m/>
    <d v="2020-01-01T00:00:00"/>
    <d v="2020-12-31T00:00:00"/>
    <x v="0"/>
    <m/>
    <m/>
    <m/>
    <m/>
    <m/>
    <m/>
    <m/>
    <n v="4500013734"/>
    <m/>
    <m/>
    <m/>
    <m/>
    <m/>
    <m/>
    <m/>
    <m/>
    <m/>
    <m/>
    <m/>
    <m/>
    <m/>
  </r>
  <r>
    <n v="121"/>
    <s v="Biznet DataCenter"/>
    <s v="PT Bank Sinarmas CID 1939"/>
    <s v="Jl. Jend Sudirman Kav 10-11 Midplaza 2 8 Jakarta Pusat 10220"/>
    <x v="0"/>
    <m/>
    <m/>
    <s v="Sewa Tahunan"/>
    <s v="Cross Connect"/>
    <s v="ICON-00/SBC/1706/0035, ICON-00/SBC/1704/0227"/>
    <m/>
    <m/>
    <m/>
    <m/>
    <s v="-"/>
    <n v="552000000"/>
    <m/>
    <m/>
    <n v="2000000"/>
    <m/>
    <d v="2020-02-01T00:00:00"/>
    <d v="2021-01-31T00:00:00"/>
    <x v="0"/>
    <m/>
    <m/>
    <m/>
    <m/>
    <m/>
    <m/>
    <s v="12450/SPP/008/PUSAT/ICON+/2019"/>
    <n v="4500013745"/>
    <m/>
    <m/>
    <m/>
    <m/>
    <m/>
    <m/>
    <m/>
    <m/>
    <m/>
    <m/>
    <m/>
    <m/>
    <m/>
  </r>
  <r>
    <n v="122"/>
    <s v="Sigma Cipta Caraka "/>
    <s v="PT Astra Sedaya Finance"/>
    <s v="Jl. Kapt.Subijanto DJ, Tangerang 15321"/>
    <x v="0"/>
    <m/>
    <m/>
    <s v="Sewa Tahunan "/>
    <s v="Cross Connect"/>
    <s v="PA/RLK/2003/0178/TER"/>
    <m/>
    <m/>
    <m/>
    <m/>
    <n v="5000000"/>
    <n v="24000000"/>
    <m/>
    <n v="3000000"/>
    <n v="6000000"/>
    <m/>
    <d v="2020-03-16T00:00:00"/>
    <d v="2021-03-15T00:00:00"/>
    <x v="0"/>
    <m/>
    <m/>
    <m/>
    <m/>
    <m/>
    <m/>
    <s v="12892/SPP/008/PUSAT/ICON+/2020"/>
    <n v="4500014044"/>
    <m/>
    <m/>
    <m/>
    <m/>
    <m/>
    <m/>
    <m/>
    <m/>
    <m/>
    <m/>
    <m/>
    <m/>
    <m/>
  </r>
  <r>
    <n v="123"/>
    <s v="Sigma Cipta Caraka "/>
    <s v="PT Bank Rakyat Indonesia"/>
    <s v="Jl. Kapt.Subijanto DJ, Tangerang 15322"/>
    <x v="0"/>
    <m/>
    <m/>
    <s v="Sewa Tahunan"/>
    <s v="Cross Connect"/>
    <s v="PA/RLK/2003/0008/TER"/>
    <m/>
    <m/>
    <m/>
    <m/>
    <n v="2000000"/>
    <n v="27272724"/>
    <m/>
    <n v="3000000"/>
    <n v="6000000"/>
    <m/>
    <d v="2020-03-16T00:00:00"/>
    <d v="2021-03-15T00:00:00"/>
    <x v="0"/>
    <m/>
    <m/>
    <m/>
    <m/>
    <m/>
    <m/>
    <s v="12893/SPP/008/PUSAT/ICON+/2020"/>
    <n v="4500014045"/>
    <m/>
    <m/>
    <m/>
    <m/>
    <m/>
    <m/>
    <m/>
    <m/>
    <m/>
    <m/>
    <m/>
    <m/>
    <m/>
  </r>
  <r>
    <n v="124"/>
    <s v="Zainal Johamsa "/>
    <s v="PT Sumber Mentari Elektrindo"/>
    <s v="Jln Dwikora II 1238 Palembang 0000"/>
    <x v="0"/>
    <m/>
    <m/>
    <s v="Sewa Tahunan"/>
    <s v="Colocation"/>
    <s v="SPA/ACT/1911/000485"/>
    <m/>
    <m/>
    <m/>
    <m/>
    <s v="-"/>
    <n v="51534546"/>
    <m/>
    <m/>
    <n v="15516048"/>
    <m/>
    <d v="2020-03-16T00:00:00"/>
    <d v="2021-03-15T00:00:00"/>
    <x v="0"/>
    <m/>
    <m/>
    <m/>
    <m/>
    <m/>
    <m/>
    <m/>
    <n v="4500013955"/>
    <m/>
    <m/>
    <m/>
    <m/>
    <m/>
    <m/>
    <m/>
    <m/>
    <m/>
    <m/>
    <m/>
    <m/>
    <m/>
  </r>
  <r>
    <n v="125"/>
    <s v="NTT Indonesia "/>
    <s v="Aplikanusa Lintasarta"/>
    <s v="Jl. Jend Sudirman Kav. 1 Wisma 46 Kota BNI 5 Jakarta Pusat 10220"/>
    <x v="0"/>
    <m/>
    <m/>
    <s v="Sewa Tahunan"/>
    <s v="Cross Connect"/>
    <s v="PA/ACT/1810/1684"/>
    <m/>
    <m/>
    <m/>
    <m/>
    <s v="-"/>
    <n v="102000000"/>
    <m/>
    <m/>
    <n v="12000000"/>
    <m/>
    <d v="2020-02-13T00:00:00"/>
    <d v="2021-02-12T00:00:00"/>
    <x v="0"/>
    <m/>
    <m/>
    <m/>
    <m/>
    <m/>
    <m/>
    <m/>
    <n v="4500013965"/>
    <m/>
    <m/>
    <m/>
    <m/>
    <m/>
    <m/>
    <m/>
    <m/>
    <m/>
    <m/>
    <m/>
    <m/>
    <m/>
  </r>
  <r>
    <n v="126"/>
    <s v="Arthamas Solusindo"/>
    <s v="Bank Mega"/>
    <s v="Jl MH Thamrin Lantai 9 No. 51 Jakarta Pusat 10350"/>
    <x v="0"/>
    <m/>
    <m/>
    <s v="Sewa Tahunan "/>
    <s v="Colocation"/>
    <s v="PA/ACT/1808/0394"/>
    <m/>
    <m/>
    <m/>
    <m/>
    <s v="-"/>
    <n v="34800000"/>
    <m/>
    <m/>
    <n v="12500000"/>
    <m/>
    <d v="2020-01-01T00:00:00"/>
    <d v="2020-12-31T00:00:00"/>
    <x v="0"/>
    <m/>
    <m/>
    <m/>
    <m/>
    <m/>
    <m/>
    <s v="12338/SPP/008/ICON+?2019"/>
    <n v="4500013898"/>
    <m/>
    <m/>
    <m/>
    <m/>
    <m/>
    <m/>
    <m/>
    <m/>
    <m/>
    <m/>
    <m/>
    <m/>
    <m/>
  </r>
  <r>
    <n v="127"/>
    <s v="Circlecom Nusantara Indonesia"/>
    <s v="Bank Woori "/>
    <s v="Jl Jend Sudirman Kav. 52-53 Kebayoran Baru, Jakarta Selatan 12190"/>
    <x v="0"/>
    <m/>
    <m/>
    <s v="Sewa Tahunan"/>
    <s v="Colocation"/>
    <s v="AL/1809/10470"/>
    <m/>
    <m/>
    <m/>
    <m/>
    <s v="-"/>
    <n v="75420000"/>
    <m/>
    <m/>
    <n v="12000000"/>
    <m/>
    <d v="2020-03-27T00:00:00"/>
    <d v="2021-03-26T00:00:00"/>
    <x v="0"/>
    <m/>
    <m/>
    <m/>
    <m/>
    <m/>
    <m/>
    <s v="12668/SPP/008/PUSAT/ICON+/2020"/>
    <n v="4500013963"/>
    <m/>
    <m/>
    <m/>
    <m/>
    <m/>
    <m/>
    <m/>
    <m/>
    <m/>
    <m/>
    <m/>
    <m/>
    <m/>
  </r>
  <r>
    <n v="128"/>
    <s v="Envision"/>
    <s v="ACE Hardware"/>
    <s v="Ged. Perkantoran Prudential Centre Kota Kasablanka Jakarta 0000"/>
    <x v="0"/>
    <m/>
    <m/>
    <s v="Sewa Tahunan"/>
    <s v="Colocation"/>
    <s v="PA/ACT/1802/2350"/>
    <m/>
    <m/>
    <m/>
    <m/>
    <s v="-"/>
    <n v="48000000"/>
    <m/>
    <m/>
    <n v="36000000"/>
    <m/>
    <d v="2020-07-01T00:00:00"/>
    <d v="2021-06-30T00:00:00"/>
    <x v="0"/>
    <m/>
    <m/>
    <m/>
    <m/>
    <m/>
    <m/>
    <s v="13715/SPP/008/PUSAT/ICON+/2020"/>
    <n v="4500014680"/>
    <m/>
    <m/>
    <m/>
    <m/>
    <m/>
    <m/>
    <m/>
    <m/>
    <m/>
    <m/>
    <m/>
    <m/>
    <m/>
  </r>
  <r>
    <n v="129"/>
    <s v="CBN Nusantara"/>
    <s v="PT Jatelindo Perkasa Abadi"/>
    <s v="Jl. H.R. Rasuna Said Blok X5 13 Jakarta 0000"/>
    <x v="0"/>
    <m/>
    <m/>
    <s v="Sewa Tahunan"/>
    <s v="Colocation"/>
    <s v="PA/ACT/1905/1258"/>
    <m/>
    <m/>
    <m/>
    <m/>
    <s v="-"/>
    <n v="120000000"/>
    <m/>
    <m/>
    <n v="6000000"/>
    <m/>
    <d v="2020-06-01T00:00:00"/>
    <d v="2021-05-31T00:00:00"/>
    <x v="0"/>
    <m/>
    <m/>
    <m/>
    <m/>
    <m/>
    <m/>
    <s v="13394/SPP/008/PUSAT/ICO+/2020"/>
    <n v="4500014363"/>
    <m/>
    <m/>
    <m/>
    <m/>
    <m/>
    <m/>
    <m/>
    <m/>
    <m/>
    <m/>
    <m/>
    <m/>
    <m/>
  </r>
  <r>
    <n v="130"/>
    <s v="Media Nusantara Data Global "/>
    <s v="PT Jala Lintas Media qq  IAIN Kediri"/>
    <s v="Jl. Kuningan Barat No. 8 Cyber Building 1st &amp; 2nd Jakarta Selatan 12710"/>
    <x v="0"/>
    <m/>
    <m/>
    <s v="Sewa Tahunan "/>
    <s v="Cross Connect"/>
    <s v="PA/ACT/2001/0748"/>
    <m/>
    <m/>
    <m/>
    <m/>
    <n v="3000000"/>
    <n v="285600000"/>
    <m/>
    <m/>
    <n v="5000000"/>
    <m/>
    <d v="2020-07-22T00:00:00"/>
    <d v="2021-07-21T00:00:00"/>
    <x v="0"/>
    <m/>
    <m/>
    <m/>
    <m/>
    <m/>
    <m/>
    <s v="13898/SPP/008/PUSAT/ICON+/2020"/>
    <n v="4500014743"/>
    <m/>
    <m/>
    <m/>
    <m/>
    <m/>
    <m/>
    <m/>
    <m/>
    <m/>
    <m/>
    <m/>
    <m/>
    <m/>
  </r>
  <r>
    <n v="131"/>
    <s v="Lekom Maras"/>
    <s v="PT Telekomunikasi Indonesia Tbk"/>
    <s v="Jl. TB Simatupang Kav 1B Jakarta Selatan 12560"/>
    <x v="0"/>
    <m/>
    <m/>
    <s v="Sewa Tahunan "/>
    <s v="Colocation"/>
    <s v="AL/1903/5178"/>
    <m/>
    <m/>
    <m/>
    <m/>
    <s v="-"/>
    <n v="72000000"/>
    <m/>
    <m/>
    <n v="36000000"/>
    <m/>
    <d v="2020-01-01T00:00:00"/>
    <d v="2020-12-31T00:00:00"/>
    <x v="0"/>
    <m/>
    <m/>
    <m/>
    <m/>
    <m/>
    <m/>
    <s v="1195/SPP/008/PUSAT/ICON+/2019"/>
    <n v="4500013750"/>
    <m/>
    <m/>
    <m/>
    <m/>
    <m/>
    <m/>
    <m/>
    <m/>
    <m/>
    <m/>
    <m/>
    <m/>
    <m/>
  </r>
  <r>
    <n v="132"/>
    <s v="Karyagraha Nusantara "/>
    <s v="PT hanasta Dakara"/>
    <s v="Jl. Kuningan Barat 8 Jakarta 12710"/>
    <x v="0"/>
    <m/>
    <m/>
    <s v="Sewa Tahunan"/>
    <s v="Colocation"/>
    <s v="PA/UPG/1804/0816"/>
    <m/>
    <m/>
    <m/>
    <m/>
    <s v="-"/>
    <n v="558000000"/>
    <m/>
    <m/>
    <n v="35000000"/>
    <m/>
    <d v="2020-08-23T00:00:00"/>
    <d v="2021-08-22T00:00:00"/>
    <x v="0"/>
    <m/>
    <m/>
    <m/>
    <m/>
    <m/>
    <m/>
    <s v="13799/SPP/008/PUSAT/ICON+/2020"/>
    <n v="4500014682"/>
    <m/>
    <m/>
    <m/>
    <m/>
    <m/>
    <m/>
    <m/>
    <m/>
    <m/>
    <m/>
    <m/>
    <m/>
    <m/>
  </r>
  <r>
    <n v="133"/>
    <s v="Pusat Pengelolaan Komplek Kemayoran"/>
    <s v="PT Angkasa Pura Logistik"/>
    <s v="Jl. Angkasa Kemayoran Jakarta 10610"/>
    <x v="0"/>
    <m/>
    <m/>
    <s v="Sewa Tahunan"/>
    <s v="Colocation"/>
    <s v="PA/RLK/1809/0059"/>
    <m/>
    <m/>
    <m/>
    <m/>
    <s v="-"/>
    <n v="114545448"/>
    <m/>
    <m/>
    <n v="10890000"/>
    <m/>
    <d v="2020-11-18T00:00:00"/>
    <d v="2021-11-17T00:00:00"/>
    <x v="0"/>
    <m/>
    <m/>
    <m/>
    <m/>
    <m/>
    <m/>
    <m/>
    <n v="4500015363"/>
    <m/>
    <m/>
    <m/>
    <m/>
    <m/>
    <m/>
    <m/>
    <m/>
    <m/>
    <m/>
    <m/>
    <m/>
    <m/>
  </r>
  <r>
    <n v="134"/>
    <s v="NTT Indonesia "/>
    <s v="BCA Multifinance "/>
    <s v="Jl. Jend Sudirman Kav. 1 Wisma 46 Kota BNI 5 Jakarta Pusat 10220"/>
    <x v="0"/>
    <m/>
    <m/>
    <s v="Sewa Tahunan"/>
    <s v="Cross Connect"/>
    <s v="PA/ACT/1907/2400"/>
    <m/>
    <m/>
    <m/>
    <m/>
    <s v="-"/>
    <s v="-"/>
    <m/>
    <s v="-"/>
    <n v="12000000"/>
    <m/>
    <d v="2020-02-25T00:00:00"/>
    <d v="2021-02-24T00:00:00"/>
    <x v="0"/>
    <m/>
    <m/>
    <m/>
    <m/>
    <m/>
    <m/>
    <m/>
    <n v="4500013999"/>
    <m/>
    <m/>
    <m/>
    <m/>
    <m/>
    <m/>
    <m/>
    <m/>
    <m/>
    <m/>
    <m/>
    <m/>
    <m/>
  </r>
  <r>
    <n v="135"/>
    <s v="Persatuan Penghuni Perkantoran Plaz"/>
    <s v="PT Orbit Terminal Merak"/>
    <s v="Gedung Plaza Asia Jl. Jend. Sudirman Kav 59 Jakarta 12190"/>
    <x v="0"/>
    <m/>
    <m/>
    <s v="Sewa Tahunan"/>
    <s v="Colocation"/>
    <m/>
    <m/>
    <m/>
    <m/>
    <m/>
    <s v="-"/>
    <s v="-"/>
    <m/>
    <s v="-"/>
    <n v="16666668"/>
    <m/>
    <d v="2020-12-04T00:00:00"/>
    <d v="2021-12-03T00:00:00"/>
    <x v="0"/>
    <m/>
    <m/>
    <m/>
    <m/>
    <m/>
    <m/>
    <m/>
    <n v="4500015606"/>
    <m/>
    <m/>
    <m/>
    <m/>
    <m/>
    <m/>
    <m/>
    <m/>
    <m/>
    <m/>
    <m/>
    <m/>
    <m/>
  </r>
  <r>
    <n v="136"/>
    <s v="CBN Nusantara"/>
    <s v="Cyberindo Aditama"/>
    <s v="Jl. H.R. Rasuna Said Blok X5 13 Jakarta 0000"/>
    <x v="0"/>
    <m/>
    <m/>
    <s v="Sewa Tahunan"/>
    <s v="Colocation"/>
    <s v="ICON-00/SBC/1710/1222"/>
    <m/>
    <m/>
    <m/>
    <m/>
    <s v="-"/>
    <n v="276000000"/>
    <m/>
    <s v="-"/>
    <n v="108000000"/>
    <m/>
    <d v="2021-04-03T00:00:00"/>
    <d v="2022-04-02T00:00:00"/>
    <x v="0"/>
    <m/>
    <m/>
    <m/>
    <m/>
    <m/>
    <m/>
    <m/>
    <n v="4500015428"/>
    <m/>
    <m/>
    <m/>
    <m/>
    <m/>
    <m/>
    <m/>
    <m/>
    <m/>
    <m/>
    <m/>
    <m/>
    <m/>
  </r>
  <r>
    <n v="137"/>
    <s v="Infrastruktur Cakrawala Telekomunikasi"/>
    <s v="All Pelanggan"/>
    <s v="WTP Building Jl Jababeka IV Blok B No.n12 Jbbk"/>
    <x v="0"/>
    <m/>
    <m/>
    <s v="Sewa Tahunan "/>
    <s v="Cross Connect"/>
    <s v="ICON-00/SBC/1801/0258"/>
    <m/>
    <m/>
    <m/>
    <m/>
    <s v="-"/>
    <n v="4251745800"/>
    <m/>
    <s v="-"/>
    <n v="1275024444"/>
    <m/>
    <d v="2020-10-01T00:00:00"/>
    <d v="2021-09-30T00:00:00"/>
    <x v="0"/>
    <m/>
    <m/>
    <m/>
    <m/>
    <m/>
    <m/>
    <s v="14338/SPP/008/PUSAT/ICON+/2020"/>
    <n v="4500015634"/>
    <m/>
    <m/>
    <m/>
    <m/>
    <m/>
    <m/>
    <m/>
    <m/>
    <m/>
    <m/>
    <m/>
    <m/>
    <m/>
  </r>
  <r>
    <n v="138"/>
    <s v="CBN Nusantara"/>
    <s v="Cyberindo Aditama"/>
    <s v="Jl. H.R. Rasuna Said Blok X5 13 Jakarta 0000"/>
    <x v="0"/>
    <m/>
    <m/>
    <s v="Sewa Tahunan"/>
    <s v="Colocation"/>
    <s v="AL/2008/41053"/>
    <m/>
    <m/>
    <m/>
    <m/>
    <s v="-"/>
    <n v="216000000"/>
    <m/>
    <s v="-"/>
    <n v="108000000"/>
    <m/>
    <d v="2021-01-01T00:00:00"/>
    <d v="2021-12-31T00:00:00"/>
    <x v="0"/>
    <m/>
    <m/>
    <m/>
    <m/>
    <m/>
    <m/>
    <m/>
    <n v="4500015428"/>
    <m/>
    <m/>
    <m/>
    <m/>
    <m/>
    <m/>
    <m/>
    <m/>
    <m/>
    <m/>
    <m/>
    <m/>
    <m/>
  </r>
  <r>
    <n v="139"/>
    <s v="Biznet Data Center"/>
    <s v="Seluruh Pelanggan"/>
    <s v="Jl. Jend Sudirman Kav 10-11 Midplaza 2 8 Jakarta Pusat 10220"/>
    <x v="0"/>
    <m/>
    <m/>
    <s v="Sewa Tahunan"/>
    <s v="Colocation"/>
    <m/>
    <m/>
    <m/>
    <m/>
    <m/>
    <s v="-"/>
    <n v="270000000"/>
    <m/>
    <s v="-"/>
    <n v="171000000"/>
    <m/>
    <d v="2021-01-01T00:00:00"/>
    <d v="2021-12-31T00:00:00"/>
    <x v="0"/>
    <m/>
    <m/>
    <m/>
    <m/>
    <m/>
    <m/>
    <s v="15076/SPP/008/PUSAT/ICON+/2020"/>
    <m/>
    <m/>
    <m/>
    <m/>
    <m/>
    <m/>
    <m/>
    <m/>
    <m/>
    <m/>
    <m/>
    <m/>
    <m/>
    <m/>
  </r>
  <r>
    <n v="140"/>
    <s v="PT Sigma Cipta Caraka "/>
    <s v="Komisi Pemberantas Korupsi "/>
    <s v="Tanggerang 15321"/>
    <x v="0"/>
    <m/>
    <s v=" "/>
    <s v="Sewa Tahunan "/>
    <s v="Cross Connect"/>
    <s v="PA/ACT/1907/2013/TER"/>
    <m/>
    <m/>
    <m/>
    <m/>
    <m/>
    <n v="182400000"/>
    <m/>
    <m/>
    <m/>
    <m/>
    <d v="2020-09-09T00:00:00"/>
    <d v="2021-09-08T00:00:00"/>
    <x v="0"/>
    <m/>
    <m/>
    <m/>
    <m/>
    <m/>
    <m/>
    <m/>
    <n v="4500015027"/>
    <m/>
    <m/>
    <m/>
    <m/>
    <m/>
    <m/>
    <m/>
    <m/>
    <m/>
    <m/>
    <m/>
    <m/>
    <m/>
  </r>
  <r>
    <n v="141"/>
    <s v="PT Sigma Cipta Caraka "/>
    <s v="Komisi Pemberantas Korupsi"/>
    <s v="Tanggerang 15321"/>
    <x v="0"/>
    <m/>
    <m/>
    <s v="Sewa Tahunan "/>
    <s v="Colocation"/>
    <s v="PA/ACT/1907/2013/TER"/>
    <m/>
    <m/>
    <m/>
    <m/>
    <m/>
    <n v="182400000"/>
    <m/>
    <m/>
    <m/>
    <m/>
    <d v="2020-09-06T00:00:00"/>
    <d v="2021-09-05T00:00:00"/>
    <x v="0"/>
    <m/>
    <m/>
    <m/>
    <m/>
    <m/>
    <m/>
    <m/>
    <n v="4500015025"/>
    <m/>
    <m/>
    <m/>
    <m/>
    <m/>
    <m/>
    <m/>
    <m/>
    <m/>
    <m/>
    <m/>
    <m/>
    <m/>
  </r>
  <r>
    <n v="142"/>
    <s v="Mora Telematika Indonesia"/>
    <s v="PT GPAY Digital Asia "/>
    <s v="Jakarta Pusat 10320"/>
    <x v="0"/>
    <m/>
    <m/>
    <s v="Sewa Tahunan "/>
    <s v="Cross Connect"/>
    <s v="PA/ACT/2009/0738/ORI"/>
    <m/>
    <m/>
    <m/>
    <m/>
    <n v="3500000"/>
    <n v="330000000"/>
    <m/>
    <n v="1000000"/>
    <n v="9000000"/>
    <m/>
    <d v="2020-10-16T00:00:00"/>
    <d v="2021-10-15T00:00:00"/>
    <x v="0"/>
    <m/>
    <m/>
    <m/>
    <m/>
    <m/>
    <m/>
    <s v="14387/SPP/008/PUSAT/ICON+/2020"/>
    <n v="4500015136"/>
    <m/>
    <m/>
    <m/>
    <m/>
    <m/>
    <m/>
    <m/>
    <m/>
    <m/>
    <m/>
    <m/>
    <m/>
    <m/>
  </r>
  <r>
    <n v="143"/>
    <s v="PT Sigma Cipta Caraka "/>
    <s v="Commonwealth Bank "/>
    <s v="Tanggerang 15321"/>
    <x v="0"/>
    <m/>
    <m/>
    <s v="Sewa Tahunan "/>
    <s v="Cross Connect"/>
    <s v="PA/ACT/2009/0142/TER"/>
    <m/>
    <m/>
    <m/>
    <m/>
    <n v="4000000"/>
    <n v="228000000"/>
    <m/>
    <n v="3000000"/>
    <n v="6000000"/>
    <m/>
    <d v="2020-10-14T00:00:00"/>
    <d v="2021-10-13T00:00:00"/>
    <x v="0"/>
    <m/>
    <m/>
    <m/>
    <m/>
    <m/>
    <m/>
    <s v="14386/SPP/008/PUSAT/ICON+/2020"/>
    <n v="4500015135"/>
    <m/>
    <m/>
    <m/>
    <m/>
    <m/>
    <m/>
    <m/>
    <m/>
    <m/>
    <m/>
    <m/>
    <m/>
    <m/>
  </r>
  <r>
    <n v="144"/>
    <s v="PT Reksa Griya Antam"/>
    <s v="Gedung Antam"/>
    <s v="Jakarta 00000"/>
    <x v="0"/>
    <m/>
    <m/>
    <s v="Sewa Tahunan "/>
    <s v="Colocation"/>
    <s v="ICON-00/ACT/1108/3949"/>
    <m/>
    <m/>
    <m/>
    <m/>
    <m/>
    <n v="192000000"/>
    <m/>
    <m/>
    <n v="29300000"/>
    <m/>
    <d v="2020-01-01T00:00:00"/>
    <d v="2020-12-31T00:00:00"/>
    <x v="0"/>
    <m/>
    <m/>
    <m/>
    <m/>
    <m/>
    <m/>
    <s v="12339/SPP/008/PUSAT/ICON+/2019"/>
    <n v="4500014599"/>
    <m/>
    <m/>
    <m/>
    <m/>
    <m/>
    <m/>
    <m/>
    <m/>
    <m/>
    <m/>
    <m/>
    <m/>
    <m/>
  </r>
  <r>
    <n v="145"/>
    <s v="Turun Temurun Makmur Sejahtera "/>
    <s v="Bank Mega "/>
    <s v="Jl.Kemang Graha Kapital Basement Jakarta Selatan 12730"/>
    <x v="0"/>
    <m/>
    <m/>
    <s v="Sewa Tahunan "/>
    <s v="Colocation"/>
    <s v="PA/ACT/1808/0376"/>
    <m/>
    <m/>
    <m/>
    <m/>
    <m/>
    <n v="34800000"/>
    <m/>
    <m/>
    <n v="13200000"/>
    <m/>
    <d v="2020-06-18T00:00:00"/>
    <d v="2021-06-17T00:00:00"/>
    <x v="0"/>
    <m/>
    <m/>
    <m/>
    <m/>
    <m/>
    <m/>
    <s v="13591/SPP/008/PUSAT/ICON+/2020"/>
    <n v="4500014749"/>
    <m/>
    <m/>
    <m/>
    <m/>
    <m/>
    <m/>
    <m/>
    <m/>
    <m/>
    <m/>
    <m/>
    <m/>
    <m/>
  </r>
  <r>
    <n v="146"/>
    <s v="Asosiasi penyelenggara Jasa Internet Indonesia (APJII)"/>
    <s v="PT Adeaksa Indo Jayatama"/>
    <s v="Jakarta 12170"/>
    <x v="0"/>
    <m/>
    <m/>
    <s v="Sewa Tahunan "/>
    <s v="Colocation"/>
    <s v="PA/ACT/2008/2588"/>
    <m/>
    <m/>
    <m/>
    <m/>
    <m/>
    <n v="582000000"/>
    <m/>
    <n v="1000000"/>
    <n v="12000000"/>
    <m/>
    <d v="2020-09-18T00:00:00"/>
    <d v="2021-09-17T00:00:00"/>
    <x v="0"/>
    <m/>
    <m/>
    <m/>
    <m/>
    <m/>
    <m/>
    <s v="14166/SPP/008/PUSAT/ICON+/2020"/>
    <n v="4500015137"/>
    <m/>
    <m/>
    <m/>
    <m/>
    <m/>
    <m/>
    <m/>
    <m/>
    <m/>
    <m/>
    <m/>
    <m/>
    <m/>
  </r>
  <r>
    <n v="147"/>
    <s v="The East Building "/>
    <s v="PT Mora Telematika Indonesia"/>
    <s v="Jakarta 12950"/>
    <x v="0"/>
    <m/>
    <m/>
    <s v="Sewa Tahunan "/>
    <s v="Colocation"/>
    <s v="ACT/1810/0036/AL/1811/13"/>
    <m/>
    <m/>
    <m/>
    <m/>
    <m/>
    <n v="51600000"/>
    <m/>
    <m/>
    <n v="88330000"/>
    <m/>
    <d v="2020-08-01T00:00:00"/>
    <d v="2021-07-31T00:00:00"/>
    <x v="0"/>
    <m/>
    <m/>
    <m/>
    <m/>
    <m/>
    <m/>
    <s v="13888/SPP/008/PUSAT/ICON+/2020"/>
    <n v="4500014817"/>
    <m/>
    <m/>
    <m/>
    <m/>
    <m/>
    <m/>
    <m/>
    <m/>
    <m/>
    <m/>
    <m/>
    <m/>
    <m/>
  </r>
  <r>
    <n v="148"/>
    <s v="PT Anpa International  "/>
    <s v="Bank Syariah Mandiri "/>
    <s v="Jakarta 10110"/>
    <x v="0"/>
    <m/>
    <m/>
    <s v="Sewa Tahunan "/>
    <s v="Colocation"/>
    <s v="ICON-00/SBC/1408/0274/0990000320354328"/>
    <m/>
    <m/>
    <m/>
    <m/>
    <m/>
    <n v="74181816"/>
    <m/>
    <m/>
    <n v="38500000"/>
    <m/>
    <d v="2020-07-01T00:00:00"/>
    <d v="2021-06-30T00:00:00"/>
    <x v="0"/>
    <m/>
    <m/>
    <m/>
    <m/>
    <m/>
    <m/>
    <s v="13599/SPP/008/PUSAT/ICON+/2020"/>
    <n v="4500014595"/>
    <m/>
    <m/>
    <m/>
    <m/>
    <m/>
    <m/>
    <m/>
    <m/>
    <m/>
    <m/>
    <m/>
    <m/>
    <m/>
  </r>
  <r>
    <n v="149"/>
    <s v="Grahaniaga Tatautama "/>
    <s v="BUT.Sarulla Operations LTD"/>
    <s v="Jakarta 12190"/>
    <x v="0"/>
    <m/>
    <m/>
    <s v="Sewa Tahunan "/>
    <s v="Colocation"/>
    <s v="ICON-00/ACT/1709/1154"/>
    <m/>
    <m/>
    <m/>
    <m/>
    <m/>
    <n v="228000000"/>
    <m/>
    <m/>
    <n v="22550000"/>
    <m/>
    <d v="2020-07-21T00:00:00"/>
    <d v="2021-07-20T00:00:00"/>
    <x v="0"/>
    <m/>
    <m/>
    <m/>
    <m/>
    <m/>
    <m/>
    <s v="13595/SPP/008/PUSAT/ICON+/2020"/>
    <n v="4500014584"/>
    <m/>
    <m/>
    <m/>
    <m/>
    <m/>
    <m/>
    <m/>
    <m/>
    <m/>
    <m/>
    <m/>
    <m/>
    <m/>
  </r>
  <r>
    <n v="150"/>
    <s v="Global Pahala Jasatama"/>
    <s v="PT Berlian Sistem Informasi "/>
    <s v="Jakarta 10260"/>
    <x v="0"/>
    <m/>
    <m/>
    <s v="Sewa Tahunan "/>
    <s v="Colocation"/>
    <s v="CT/1908/0063/TER/AL/1912/5"/>
    <m/>
    <m/>
    <m/>
    <m/>
    <m/>
    <n v="42000000"/>
    <m/>
    <m/>
    <n v="15000000"/>
    <m/>
    <d v="2020-11-02T00:00:00"/>
    <d v="2021-11-01T00:00:00"/>
    <x v="0"/>
    <m/>
    <m/>
    <m/>
    <m/>
    <m/>
    <m/>
    <s v="14019/SPP/008/PUSAT/ICON+/2020"/>
    <n v="4500014888"/>
    <m/>
    <m/>
    <m/>
    <m/>
    <m/>
    <m/>
    <m/>
    <m/>
    <m/>
    <m/>
    <m/>
    <m/>
    <m/>
  </r>
  <r>
    <n v="151"/>
    <s v="Phinisindo Zamrud Nusantara"/>
    <s v="PT Trans Retail Indonesia"/>
    <s v="Depok 16431"/>
    <x v="0"/>
    <m/>
    <m/>
    <s v="Sewa Tahunan "/>
    <s v="Colocation"/>
    <s v="ICON-00/SOP/1404/0010"/>
    <m/>
    <m/>
    <m/>
    <m/>
    <m/>
    <n v="54000000"/>
    <m/>
    <m/>
    <n v="14000000"/>
    <m/>
    <d v="2020-09-12T00:00:00"/>
    <d v="2021-09-11T00:00:00"/>
    <x v="0"/>
    <m/>
    <m/>
    <m/>
    <m/>
    <m/>
    <m/>
    <m/>
    <n v="4500014892"/>
    <m/>
    <m/>
    <m/>
    <m/>
    <m/>
    <m/>
    <m/>
    <m/>
    <m/>
    <m/>
    <m/>
    <m/>
    <m/>
  </r>
  <r>
    <n v="152"/>
    <s v="Indointernet "/>
    <s v="PT Tokopedia"/>
    <s v="Ciputat 00000"/>
    <x v="0"/>
    <m/>
    <m/>
    <s v="Sewa Tahunan "/>
    <s v="Colocation"/>
    <s v="PA/ACT/1907/3933 , PA/ACT/1907/3934 , PA/ACT/1907/3935"/>
    <m/>
    <m/>
    <m/>
    <m/>
    <n v="19500000"/>
    <n v="180000000"/>
    <m/>
    <m/>
    <n v="54000000"/>
    <m/>
    <d v="2020-05-10T00:00:00"/>
    <d v="2021-05-09T00:00:00"/>
    <x v="0"/>
    <m/>
    <m/>
    <m/>
    <m/>
    <m/>
    <m/>
    <s v="13890/SPP/008/PUSAT/ICON+/2020"/>
    <n v="4500016393"/>
    <m/>
    <m/>
    <m/>
    <m/>
    <m/>
    <m/>
    <m/>
    <m/>
    <m/>
    <m/>
    <m/>
    <m/>
    <m/>
  </r>
  <r>
    <n v="153"/>
    <s v="PT Teknovatus Solusi Sejahtera"/>
    <s v="PT Bank Syariah Bukopin"/>
    <s v="Tanggerang 15322"/>
    <x v="0"/>
    <m/>
    <m/>
    <s v="Sewa Tahunan "/>
    <s v="Cross Connect"/>
    <s v="PA/ACT/2007/0099/TER"/>
    <m/>
    <m/>
    <m/>
    <m/>
    <n v="2500000"/>
    <n v="45600000"/>
    <m/>
    <n v="1500000"/>
    <n v="4800000"/>
    <m/>
    <d v="2020-07-06T00:00:00"/>
    <d v="2021-07-05T00:00:00"/>
    <x v="0"/>
    <m/>
    <m/>
    <m/>
    <m/>
    <m/>
    <m/>
    <m/>
    <n v="4500014812"/>
    <m/>
    <m/>
    <m/>
    <m/>
    <m/>
    <m/>
    <m/>
    <m/>
    <m/>
    <m/>
    <m/>
    <m/>
    <m/>
  </r>
  <r>
    <n v="154"/>
    <s v="PT Teknologi Nusantara "/>
    <s v="Astra International Tbk"/>
    <s v="Jakarta 12210"/>
    <x v="0"/>
    <m/>
    <m/>
    <s v="Sewa Tahunan "/>
    <s v="Colocation"/>
    <s v="PA/ACT/2002/2222/TER"/>
    <m/>
    <m/>
    <m/>
    <m/>
    <m/>
    <n v="290400000"/>
    <m/>
    <m/>
    <n v="36000000"/>
    <m/>
    <d v="2020-09-01T00:00:00"/>
    <d v="2021-08-31T00:00:00"/>
    <x v="0"/>
    <m/>
    <m/>
    <m/>
    <m/>
    <m/>
    <m/>
    <s v="13965/SPP/008/PUSAT/ICON+/2020"/>
    <n v="4500014387"/>
    <m/>
    <m/>
    <m/>
    <m/>
    <m/>
    <m/>
    <m/>
    <m/>
    <m/>
    <m/>
    <m/>
    <m/>
    <m/>
  </r>
  <r>
    <n v="155"/>
    <s v="DCI Indonesia"/>
    <s v="PT Airpray International Indonesia"/>
    <s v="Jakarta 12190"/>
    <x v="0"/>
    <m/>
    <m/>
    <s v="Sewa Tahunan "/>
    <s v="Cross Connect"/>
    <s v="PA/ACT/1908/0899"/>
    <m/>
    <m/>
    <m/>
    <m/>
    <m/>
    <n v="66000000"/>
    <m/>
    <m/>
    <n v="36000000"/>
    <m/>
    <d v="2020-08-16T00:00:00"/>
    <d v="2021-08-15T00:00:00"/>
    <x v="0"/>
    <m/>
    <m/>
    <m/>
    <m/>
    <m/>
    <m/>
    <s v="13316/SPP/008/PUSAT/ICON+/2020"/>
    <n v="4500014787"/>
    <m/>
    <m/>
    <m/>
    <m/>
    <m/>
    <m/>
    <m/>
    <m/>
    <m/>
    <m/>
    <m/>
    <m/>
    <m/>
  </r>
  <r>
    <n v="156"/>
    <s v="Omega Propertindo"/>
    <s v="PT Japfa Comfeed Indonesia"/>
    <s v="Jakarta 00000"/>
    <x v="0"/>
    <m/>
    <m/>
    <s v="Sewa Tahunan "/>
    <s v="Colocation"/>
    <s v="PA/ACT/1912/3172"/>
    <m/>
    <m/>
    <m/>
    <m/>
    <m/>
    <n v="72000000"/>
    <m/>
    <m/>
    <n v="29000000"/>
    <m/>
    <d v="2020-02-03T00:00:00"/>
    <d v="2021-02-02T00:00:00"/>
    <x v="0"/>
    <m/>
    <m/>
    <m/>
    <m/>
    <m/>
    <m/>
    <s v="12625/SPP/008/PUSAT/ICON+/2020"/>
    <n v="4500014005"/>
    <m/>
    <m/>
    <m/>
    <m/>
    <m/>
    <m/>
    <m/>
    <m/>
    <m/>
    <m/>
    <m/>
    <m/>
    <m/>
  </r>
  <r>
    <n v="157"/>
    <s v="Media Nusantara Data Global "/>
    <s v="PT Giga Patra Multumedia , IAIAN Salatiga"/>
    <s v="Jakarta Selatan 12710"/>
    <x v="0"/>
    <m/>
    <m/>
    <s v="Sewa Tahunan "/>
    <s v="Colocation"/>
    <s v="1000106862 , 1000094688"/>
    <m/>
    <m/>
    <m/>
    <m/>
    <m/>
    <n v="285600000"/>
    <m/>
    <n v="2500000"/>
    <n v="54500000"/>
    <m/>
    <d v="2020-07-11T00:00:00"/>
    <d v="2021-07-10T00:00:00"/>
    <x v="0"/>
    <m/>
    <m/>
    <m/>
    <m/>
    <m/>
    <m/>
    <s v="13825/SPP/008/PUSAT/ICON+/2020"/>
    <n v="4500014668"/>
    <m/>
    <m/>
    <m/>
    <m/>
    <m/>
    <m/>
    <m/>
    <m/>
    <m/>
    <m/>
    <m/>
    <m/>
    <m/>
  </r>
  <r>
    <n v="158"/>
    <s v="Karyagraha Nusantara"/>
    <s v="Cyberindo Aditama"/>
    <s v="Jakarta 12710"/>
    <x v="0"/>
    <m/>
    <m/>
    <s v="Sewa Tahunan "/>
    <s v="Colocation"/>
    <s v="MIG/1705/0004"/>
    <m/>
    <m/>
    <m/>
    <m/>
    <m/>
    <n v="780000000"/>
    <m/>
    <m/>
    <n v="42500000"/>
    <m/>
    <d v="2020-05-10T00:00:00"/>
    <d v="2021-05-09T00:00:00"/>
    <x v="0"/>
    <m/>
    <m/>
    <m/>
    <m/>
    <m/>
    <m/>
    <s v="13509/SPP/008/PUSAT/ICON+/2020"/>
    <n v="4500014574"/>
    <m/>
    <m/>
    <m/>
    <m/>
    <m/>
    <m/>
    <m/>
    <m/>
    <m/>
    <m/>
    <m/>
    <m/>
    <m/>
  </r>
  <r>
    <n v="159"/>
    <s v="PT Caltumas Kelola Sukses"/>
    <s v="PT Krisbow Indonesia"/>
    <s v="Jakarta Pusat 10440"/>
    <x v="0"/>
    <m/>
    <m/>
    <s v="Sewa Tahunan "/>
    <s v="Colocation"/>
    <s v="PA/ACT/1811/3227"/>
    <m/>
    <m/>
    <m/>
    <m/>
    <m/>
    <n v="36000000"/>
    <m/>
    <m/>
    <n v="17500000"/>
    <m/>
    <d v="2020-04-01T00:00:00"/>
    <d v="2021-03-31T00:00:00"/>
    <x v="0"/>
    <m/>
    <m/>
    <m/>
    <m/>
    <m/>
    <m/>
    <s v="12631/SPP/008/PUSAT/ICON+/2020"/>
    <n v="4500013903"/>
    <m/>
    <m/>
    <m/>
    <m/>
    <m/>
    <m/>
    <m/>
    <m/>
    <m/>
    <m/>
    <m/>
    <m/>
    <m/>
  </r>
  <r>
    <n v="160"/>
    <s v="PT Sigma Cipta Caraka "/>
    <s v="PT Bank Mandiri Tespen Jakarta "/>
    <s v="Tanggerang 15321"/>
    <x v="0"/>
    <m/>
    <m/>
    <s v="Sewa Tahunan "/>
    <s v="Cross Connect"/>
    <s v="PA/ACT/2003/1096"/>
    <m/>
    <m/>
    <m/>
    <m/>
    <n v="17300000"/>
    <n v="205200000"/>
    <m/>
    <n v="4000000"/>
    <n v="24000000"/>
    <m/>
    <d v="2020-06-05T00:00:00"/>
    <d v="2021-06-04T00:00:00"/>
    <x v="0"/>
    <m/>
    <m/>
    <m/>
    <m/>
    <m/>
    <m/>
    <s v="13267/SPP/008/PUSAT/ICON+/2020"/>
    <n v="4500014282"/>
    <m/>
    <m/>
    <m/>
    <m/>
    <m/>
    <m/>
    <m/>
    <m/>
    <m/>
    <m/>
    <m/>
    <m/>
    <m/>
  </r>
  <r>
    <n v="161"/>
    <s v="Jaya Land "/>
    <s v="Bank Mega "/>
    <s v="Jakarta 10340"/>
    <x v="0"/>
    <m/>
    <m/>
    <s v="Sewa Tahunan "/>
    <s v="Colocation"/>
    <s v="PA/ACT/1808/0394"/>
    <m/>
    <m/>
    <m/>
    <m/>
    <m/>
    <n v="34800000"/>
    <m/>
    <m/>
    <n v="12500000"/>
    <m/>
    <d v="2020-02-01T00:00:00"/>
    <d v="2021-01-31T00:00:00"/>
    <x v="0"/>
    <m/>
    <m/>
    <m/>
    <m/>
    <m/>
    <m/>
    <s v="12664/SPP/008/PUSAT/ICON+/2020"/>
    <n v="4500014000"/>
    <m/>
    <m/>
    <m/>
    <m/>
    <m/>
    <m/>
    <m/>
    <m/>
    <m/>
    <m/>
    <m/>
    <m/>
    <m/>
  </r>
  <r>
    <n v="162"/>
    <s v="PT Biznet Data Center"/>
    <s v="PT Cyberindo Aditama "/>
    <s v="Jakarta Pusat 10220"/>
    <x v="0"/>
    <m/>
    <m/>
    <s v="Sewa Tahunan "/>
    <s v="Cross Connect"/>
    <s v="AL/1908/31866"/>
    <m/>
    <m/>
    <m/>
    <m/>
    <m/>
    <n v="143400000"/>
    <m/>
    <m/>
    <n v="12000000"/>
    <m/>
    <d v="2020-05-15T00:00:00"/>
    <d v="2021-05-14T00:00:00"/>
    <x v="0"/>
    <m/>
    <m/>
    <m/>
    <m/>
    <m/>
    <m/>
    <m/>
    <n v="4500014192"/>
    <m/>
    <m/>
    <m/>
    <m/>
    <m/>
    <m/>
    <m/>
    <m/>
    <m/>
    <m/>
    <m/>
    <m/>
    <m/>
  </r>
  <r>
    <n v="163"/>
    <s v="PT Biznet Data Center"/>
    <s v="Bank UMFG "/>
    <s v="Jakarta Pusat 10220"/>
    <x v="0"/>
    <m/>
    <m/>
    <s v="Sewa Tahunan "/>
    <s v="Colocation"/>
    <s v="ICON-00/SBC/1506/0252"/>
    <m/>
    <m/>
    <m/>
    <m/>
    <m/>
    <n v="36000000"/>
    <m/>
    <m/>
    <n v="2000000"/>
    <m/>
    <d v="2020-04-06T00:00:00"/>
    <d v="2021-04-05T00:00:00"/>
    <x v="0"/>
    <m/>
    <m/>
    <m/>
    <m/>
    <m/>
    <m/>
    <s v="12694/SPP/008/PUSAT/ICON+/2020"/>
    <n v="4500014194"/>
    <m/>
    <m/>
    <m/>
    <m/>
    <m/>
    <m/>
    <m/>
    <m/>
    <m/>
    <m/>
    <m/>
    <m/>
    <m/>
  </r>
  <r>
    <n v="164"/>
    <s v="NTT Indonesia "/>
    <s v="PT NTT Indonesia"/>
    <s v="Jakarta Selatan 12710"/>
    <x v="0"/>
    <m/>
    <m/>
    <s v="Sewa Tahunan "/>
    <s v="Cross Connect"/>
    <s v="PA/ACT/2010/1221"/>
    <m/>
    <m/>
    <m/>
    <m/>
    <n v="5000000"/>
    <n v="162000000"/>
    <m/>
    <n v="1500000"/>
    <n v="33900000"/>
    <m/>
    <d v="2020-11-23T00:00:00"/>
    <d v="2021-11-22T00:00:00"/>
    <x v="0"/>
    <m/>
    <m/>
    <m/>
    <m/>
    <m/>
    <m/>
    <s v="14660/SPP/008/PUSAT/ICON+/2020"/>
    <n v="4500015285"/>
    <m/>
    <m/>
    <m/>
    <m/>
    <m/>
    <m/>
    <m/>
    <m/>
    <m/>
    <m/>
    <m/>
    <m/>
    <m/>
  </r>
  <r>
    <n v="165"/>
    <s v="Aplikanusa Lintasarta"/>
    <s v="PT Gclub Digital Asia"/>
    <s v="Jakarta Pusat 10250"/>
    <x v="0"/>
    <m/>
    <m/>
    <s v="Sewa Tahunan "/>
    <s v="Cross Connect"/>
    <s v="PA/ACT/22010/1261/TER"/>
    <m/>
    <m/>
    <m/>
    <m/>
    <n v="3500000"/>
    <n v="33000000"/>
    <m/>
    <n v="2000000"/>
    <n v="15000000"/>
    <m/>
    <d v="2020-11-30T00:00:00"/>
    <d v="2021-11-29T00:00:00"/>
    <x v="0"/>
    <m/>
    <m/>
    <m/>
    <m/>
    <m/>
    <m/>
    <s v="14732/SPP/008/PUSAT/ICON+/2020"/>
    <n v="4500015410"/>
    <m/>
    <m/>
    <m/>
    <m/>
    <m/>
    <m/>
    <m/>
    <m/>
    <m/>
    <m/>
    <m/>
    <m/>
    <m/>
  </r>
  <r>
    <n v="166"/>
    <s v="DCI Indonesia"/>
    <s v="PT Gclub Digital Asia"/>
    <s v="Jakarta 12190"/>
    <x v="0"/>
    <m/>
    <m/>
    <s v="Sewa Tahunan "/>
    <s v="Cross Connect"/>
    <s v="PA/ACT/2010/1259"/>
    <m/>
    <m/>
    <m/>
    <m/>
    <n v="3500000"/>
    <n v="38400000"/>
    <m/>
    <n v="1500000"/>
    <n v="18000000"/>
    <m/>
    <d v="2020-11-23T00:00:00"/>
    <d v="2021-11-22T00:00:00"/>
    <x v="0"/>
    <m/>
    <m/>
    <m/>
    <m/>
    <m/>
    <m/>
    <s v="14734/SPP/008/PUSAT/ICON+/2020"/>
    <n v="4500015378"/>
    <m/>
    <m/>
    <m/>
    <m/>
    <m/>
    <m/>
    <m/>
    <m/>
    <m/>
    <m/>
    <m/>
    <m/>
    <m/>
  </r>
  <r>
    <n v="167"/>
    <s v="PT Sigma Cipta Caraka "/>
    <s v="Komisi Pemberantasan Korupsi"/>
    <s v="Tanggerang 15321"/>
    <x v="0"/>
    <m/>
    <m/>
    <s v="Sewa Tahunan "/>
    <s v="Cross Connect"/>
    <s v="PA/ACT/1907/2014/TER , PA/ACT/1907/2013/TER , PA/ACT/1907/2012/TER , PA/ACT/1907/2010/TER , PA/ACT/1907/2009/TER , PA/ACT/1907/2007/TER"/>
    <m/>
    <m/>
    <m/>
    <m/>
    <m/>
    <n v="1067040000"/>
    <m/>
    <m/>
    <n v="330900000"/>
    <m/>
    <d v="2020-09-09T00:00:00"/>
    <d v="2021-09-08T00:00:00"/>
    <x v="0"/>
    <m/>
    <m/>
    <m/>
    <m/>
    <m/>
    <m/>
    <m/>
    <n v="4500015024"/>
    <m/>
    <m/>
    <m/>
    <m/>
    <m/>
    <m/>
    <m/>
    <m/>
    <m/>
    <m/>
    <m/>
    <m/>
    <m/>
  </r>
  <r>
    <n v="168"/>
    <s v="PT Royal Oriental"/>
    <s v="PT Smart Tbk"/>
    <s v="Jakarta 10350"/>
    <x v="0"/>
    <m/>
    <m/>
    <s v="Sewa Tahunan "/>
    <s v="Colocation"/>
    <s v="PA/ACT/2005/0486"/>
    <m/>
    <m/>
    <m/>
    <m/>
    <n v="10000000"/>
    <n v="180000000"/>
    <m/>
    <m/>
    <n v="96000000"/>
    <m/>
    <d v="2020-06-30T00:00:00"/>
    <d v="2021-06-29T00:00:00"/>
    <x v="0"/>
    <m/>
    <m/>
    <m/>
    <m/>
    <m/>
    <m/>
    <s v="13938/SPP/008/PUSAT/ICON+/2020"/>
    <n v="4500014791"/>
    <m/>
    <m/>
    <m/>
    <m/>
    <m/>
    <m/>
    <m/>
    <m/>
    <m/>
    <m/>
    <m/>
    <m/>
    <m/>
  </r>
  <r>
    <n v="169"/>
    <s v="Media Nusantara Data Global "/>
    <s v="PT Adeaksa Indo Jayatama"/>
    <s v="Jakarta Selatan 12710"/>
    <x v="0"/>
    <m/>
    <m/>
    <s v="Sewa Tahunan "/>
    <s v="Cross Connect"/>
    <s v="PA/ACT/2007/1607 , PA/ACT/2007/1030"/>
    <m/>
    <m/>
    <m/>
    <m/>
    <n v="3500000"/>
    <n v="600000000"/>
    <m/>
    <m/>
    <n v="5000000"/>
    <m/>
    <d v="2020-08-12T00:00:00"/>
    <d v="2021-08-11T00:00:00"/>
    <x v="0"/>
    <m/>
    <m/>
    <m/>
    <m/>
    <m/>
    <m/>
    <s v="13975/SPP/008/PUSAT/ICON+/2020"/>
    <n v="4500014802"/>
    <m/>
    <m/>
    <m/>
    <m/>
    <m/>
    <m/>
    <m/>
    <m/>
    <m/>
    <m/>
    <m/>
    <m/>
    <m/>
  </r>
  <r>
    <n v="170"/>
    <s v="PT Sigma Cipta Caraka "/>
    <s v="PT Mitra Visioner Pratama"/>
    <s v="Jakarta 15321"/>
    <x v="0"/>
    <m/>
    <m/>
    <s v="Sewa Tahunan "/>
    <s v="Cross Connect"/>
    <s v="PA/ACT/2001/0546/TER"/>
    <m/>
    <m/>
    <m/>
    <m/>
    <n v="2500000"/>
    <n v="44400000"/>
    <m/>
    <n v="6000000"/>
    <n v="12000000"/>
    <m/>
    <d v="2020-02-03T00:00:00"/>
    <d v="2021-02-02T00:00:00"/>
    <x v="0"/>
    <m/>
    <m/>
    <m/>
    <m/>
    <m/>
    <m/>
    <s v="12572/SPP/008/PUSAT/ICON+/2020"/>
    <n v="4500013872"/>
    <m/>
    <m/>
    <m/>
    <m/>
    <m/>
    <m/>
    <m/>
    <m/>
    <m/>
    <m/>
    <m/>
    <m/>
    <m/>
  </r>
  <r>
    <n v="171"/>
    <s v="Media Nusantara Data Global "/>
    <s v="PT Bitniaga Cipta Gemilang"/>
    <s v="Jakarta Selatan 12710"/>
    <x v="0"/>
    <m/>
    <m/>
    <s v="Sewa Tahunan "/>
    <s v="Cross Connect"/>
    <s v="PA/ACT/2005/0949"/>
    <m/>
    <m/>
    <m/>
    <m/>
    <n v="2800000"/>
    <n v="51264000"/>
    <m/>
    <m/>
    <n v="2500000"/>
    <m/>
    <d v="2020-06-03T00:00:00"/>
    <d v="2021-06-02T00:00:00"/>
    <x v="0"/>
    <m/>
    <m/>
    <m/>
    <m/>
    <m/>
    <m/>
    <s v="13469/SPP/008/PUSAT/ICON+/2020"/>
    <n v="4500014448"/>
    <m/>
    <m/>
    <m/>
    <m/>
    <m/>
    <m/>
    <m/>
    <m/>
    <m/>
    <m/>
    <m/>
    <m/>
    <m/>
  </r>
  <r>
    <n v="172"/>
    <s v="PT Sigma Cipta Caraka "/>
    <m/>
    <s v="Tanggerang 15321"/>
    <x v="0"/>
    <m/>
    <m/>
    <s v="Sewa Tahunan "/>
    <s v="Colocation"/>
    <m/>
    <m/>
    <m/>
    <m/>
    <m/>
    <m/>
    <m/>
    <m/>
    <m/>
    <n v="106800000"/>
    <m/>
    <d v="2020-01-01T00:00:00"/>
    <d v="2020-12-31T00:00:00"/>
    <x v="0"/>
    <m/>
    <m/>
    <m/>
    <m/>
    <m/>
    <m/>
    <s v="12168/SPP/008/PUSAT/ICON+/2020"/>
    <n v="4500013983"/>
    <m/>
    <m/>
    <m/>
    <m/>
    <m/>
    <m/>
    <m/>
    <m/>
    <m/>
    <m/>
    <m/>
    <m/>
    <m/>
  </r>
  <r>
    <n v="173"/>
    <s v="PT Cakra Nusa Utama"/>
    <s v="PT Cyber Network Indonesia"/>
    <s v="Jakarta 12930"/>
    <x v="0"/>
    <m/>
    <m/>
    <s v="Sewa Tahunan "/>
    <s v="Colocation"/>
    <s v="PA/ACT/1901/0690"/>
    <m/>
    <m/>
    <m/>
    <m/>
    <m/>
    <n v="222000000"/>
    <m/>
    <m/>
    <n v="96000000"/>
    <m/>
    <d v="2020-03-01T00:00:00"/>
    <d v="2021-02-28T00:00:00"/>
    <x v="0"/>
    <m/>
    <m/>
    <m/>
    <m/>
    <m/>
    <m/>
    <s v="12654/SPP/008/PUSAT/ICON+/2020"/>
    <n v="4500013910"/>
    <m/>
    <m/>
    <m/>
    <m/>
    <m/>
    <m/>
    <m/>
    <m/>
    <m/>
    <m/>
    <m/>
    <m/>
    <m/>
  </r>
  <r>
    <n v="174"/>
    <s v="PT Patra Jasa Office Tower"/>
    <m/>
    <s v="Jakarta 12950"/>
    <x v="0"/>
    <m/>
    <m/>
    <s v="Sewa Tahunan "/>
    <s v="Colocation"/>
    <m/>
    <m/>
    <m/>
    <m/>
    <m/>
    <m/>
    <m/>
    <m/>
    <m/>
    <n v="29400000"/>
    <m/>
    <d v="2020-06-15T00:00:00"/>
    <d v="2021-06-14T00:00:00"/>
    <x v="0"/>
    <m/>
    <m/>
    <m/>
    <m/>
    <m/>
    <m/>
    <s v="13678/SPP/008/PUSAT/ICON+/2020"/>
    <n v="4500014747"/>
    <m/>
    <m/>
    <m/>
    <m/>
    <m/>
    <m/>
    <m/>
    <m/>
    <m/>
    <m/>
    <m/>
    <m/>
    <m/>
  </r>
  <r>
    <n v="175"/>
    <s v="NTT Indonesia "/>
    <s v="PT BCA Multifinance , PT NTT Indonesia , PT Link Net"/>
    <s v="Jakarta Pusat 10220"/>
    <x v="0"/>
    <m/>
    <m/>
    <s v="Sewa Tahunan "/>
    <s v="Colocation"/>
    <s v="AR/UPG/1905/1992 , AR/ACT/1712/0967 , AR/ACT/2005/14669"/>
    <m/>
    <m/>
    <m/>
    <m/>
    <m/>
    <n v="732000000"/>
    <m/>
    <m/>
    <n v="60000000"/>
    <m/>
    <d v="2020-08-27T00:00:00"/>
    <d v="2021-08-26T00:00:00"/>
    <x v="0"/>
    <m/>
    <m/>
    <m/>
    <m/>
    <m/>
    <m/>
    <s v="13889/SPP/008/PUSAT/ICON+/2020"/>
    <n v="4500014788"/>
    <m/>
    <m/>
    <m/>
    <m/>
    <m/>
    <m/>
    <m/>
    <m/>
    <m/>
    <m/>
    <m/>
    <m/>
    <m/>
  </r>
  <r>
    <n v="176"/>
    <s v="NTT Indonesia "/>
    <s v="PT Bank Keb Hana Indonesia"/>
    <s v="Jakarta Selatan 12710"/>
    <x v="0"/>
    <m/>
    <m/>
    <s v="Sewa Tahunan "/>
    <s v="Colocation"/>
    <s v="PA/ACT/2002/2197/TER"/>
    <m/>
    <m/>
    <m/>
    <m/>
    <n v="3000000"/>
    <n v="102000000"/>
    <m/>
    <n v="2500000"/>
    <n v="30000000"/>
    <m/>
    <d v="2020-06-18T00:00:00"/>
    <d v="2021-06-17T00:00:00"/>
    <x v="0"/>
    <m/>
    <m/>
    <m/>
    <m/>
    <m/>
    <m/>
    <m/>
    <n v="4500014483"/>
    <m/>
    <m/>
    <m/>
    <m/>
    <m/>
    <m/>
    <m/>
    <m/>
    <m/>
    <m/>
    <m/>
    <m/>
    <m/>
  </r>
  <r>
    <n v="177"/>
    <s v="Infrastruktur Bina Sejahtera"/>
    <s v="PT Exceiso Multirasa"/>
    <s v="Jakarta Pusat 10350"/>
    <x v="0"/>
    <m/>
    <m/>
    <s v="Sewa Tahunan "/>
    <s v="Interkoneksi"/>
    <s v="PA/ACT/2008/0804"/>
    <m/>
    <m/>
    <m/>
    <m/>
    <n v="5000000"/>
    <n v="36000000"/>
    <m/>
    <n v="500000"/>
    <n v="6600000"/>
    <m/>
    <d v="2020-08-19T00:00:00"/>
    <d v="2021-08-18T00:00:00"/>
    <x v="0"/>
    <m/>
    <m/>
    <m/>
    <m/>
    <m/>
    <m/>
    <s v="16015/SPP/008/PUSAT/ICON+/2021"/>
    <n v="4500016306"/>
    <m/>
    <m/>
    <m/>
    <m/>
    <m/>
    <m/>
    <m/>
    <m/>
    <m/>
    <m/>
    <m/>
    <m/>
    <m/>
  </r>
  <r>
    <n v="178"/>
    <s v="Indointernet "/>
    <s v="Pratama Link"/>
    <s v="Ciputat 00000"/>
    <x v="0"/>
    <m/>
    <m/>
    <s v="Sewa Tahunan "/>
    <s v="Colocation"/>
    <s v="ICON-00/SBC/1610/0269"/>
    <m/>
    <m/>
    <m/>
    <m/>
    <m/>
    <n v="42000000"/>
    <m/>
    <m/>
    <n v="3500000"/>
    <m/>
    <d v="2020-09-23T00:00:00"/>
    <d v="2021-09-22T00:00:00"/>
    <x v="0"/>
    <m/>
    <m/>
    <m/>
    <m/>
    <m/>
    <m/>
    <s v="13982/SPP/008/PUSAT/ICON+/2021"/>
    <n v="4500014894"/>
    <m/>
    <m/>
    <m/>
    <m/>
    <m/>
    <m/>
    <m/>
    <m/>
    <m/>
    <m/>
    <m/>
    <m/>
    <m/>
  </r>
  <r>
    <n v="179"/>
    <s v="Indosat Tbk "/>
    <s v="Komisi Pemberantas Korupsi "/>
    <s v="Jakarta 10110"/>
    <x v="0"/>
    <m/>
    <m/>
    <s v="Sewa Tahunan"/>
    <s v="Cross Connect"/>
    <s v="PA/ACT/2012/0399"/>
    <m/>
    <m/>
    <m/>
    <m/>
    <n v="5000000"/>
    <n v="105168000"/>
    <m/>
    <n v="2500000"/>
    <n v="25200000"/>
    <m/>
    <d v="2021-02-01T00:00:00"/>
    <d v="2022-01-31T00:00:00"/>
    <x v="0"/>
    <m/>
    <m/>
    <m/>
    <m/>
    <m/>
    <m/>
    <s v="15147/SPP/008/PUSAT/ICON+/2021"/>
    <n v="4500015758"/>
    <m/>
    <m/>
    <m/>
    <m/>
    <m/>
    <m/>
    <m/>
    <m/>
    <m/>
    <m/>
    <m/>
    <m/>
    <m/>
  </r>
  <r>
    <n v="180"/>
    <s v="XL Axiata"/>
    <s v="Komisi Pemberantas Korupsi "/>
    <s v="Kuningan Timur Setiabudi 00000"/>
    <x v="0"/>
    <m/>
    <m/>
    <s v="Sewa Tahunan"/>
    <s v="Interkoneksi"/>
    <s v="PA/ACT/2012/0459"/>
    <m/>
    <m/>
    <m/>
    <m/>
    <n v="5000000"/>
    <n v="105168000"/>
    <m/>
    <n v="10000000"/>
    <n v="70200000"/>
    <m/>
    <d v="2021-01-28T00:00:00"/>
    <d v="2022-01-27T00:00:00"/>
    <x v="0"/>
    <m/>
    <m/>
    <m/>
    <m/>
    <m/>
    <m/>
    <s v="15063/SPP/008/PUSAT/ICON+/2020"/>
    <n v="4500015596"/>
    <m/>
    <m/>
    <m/>
    <m/>
    <m/>
    <m/>
    <m/>
    <m/>
    <m/>
    <m/>
    <m/>
    <m/>
    <m/>
  </r>
  <r>
    <n v="181"/>
    <s v="Media Nusantara Data Global "/>
    <s v="PLN Icon Plus"/>
    <s v="Jl.Kuningan Barat NO.8 Cyber-1"/>
    <x v="0"/>
    <m/>
    <m/>
    <s v="Sewa Tahunan"/>
    <s v="Cross Connect"/>
    <m/>
    <m/>
    <m/>
    <m/>
    <m/>
    <m/>
    <m/>
    <m/>
    <m/>
    <n v="18000000"/>
    <m/>
    <d v="2021-03-12T00:00:00"/>
    <d v="2022-03-11T00:00:00"/>
    <x v="0"/>
    <m/>
    <m/>
    <m/>
    <m/>
    <m/>
    <m/>
    <s v="15532/SPP/008/PUSAT/ICON+/2021"/>
    <n v="4500015925"/>
    <m/>
    <m/>
    <m/>
    <m/>
    <m/>
    <m/>
    <m/>
    <m/>
    <m/>
    <m/>
    <m/>
    <m/>
    <m/>
  </r>
  <r>
    <n v="182"/>
    <s v="Media Nusantara Data Global "/>
    <s v="PT Bina Informatika Solusi"/>
    <s v="Jakarta Selatan 12710"/>
    <x v="0"/>
    <m/>
    <m/>
    <s v="Sewa Tahunan"/>
    <s v="Cross Connect"/>
    <s v="PA/ACT/2103/0262"/>
    <m/>
    <m/>
    <m/>
    <m/>
    <n v="2500000"/>
    <n v="288000000"/>
    <m/>
    <n v="1500000"/>
    <n v="18000000"/>
    <m/>
    <d v="2021-03-10T00:00:00"/>
    <d v="2022-03-09T00:00:00"/>
    <x v="0"/>
    <m/>
    <m/>
    <m/>
    <m/>
    <m/>
    <m/>
    <s v="15531/SPP/008/PUSAT/ICON+/2021"/>
    <n v="4500015896"/>
    <m/>
    <m/>
    <m/>
    <m/>
    <m/>
    <m/>
    <m/>
    <m/>
    <m/>
    <m/>
    <m/>
    <m/>
    <m/>
  </r>
  <r>
    <n v="183"/>
    <s v="Indointernet "/>
    <s v="PT Umggaran Sari Germents"/>
    <s v="Jl.Rempoa Raya 11 Ciputat 00000"/>
    <x v="0"/>
    <m/>
    <m/>
    <s v="Sewa Bulanan"/>
    <s v="Interkoneksi"/>
    <s v="PA/UPG/2008/0002 , PA/UPG/2008/0011/TER . PA/UPG/2008/0003"/>
    <m/>
    <m/>
    <m/>
    <m/>
    <m/>
    <n v="74161290"/>
    <m/>
    <m/>
    <n v="13785478"/>
    <m/>
    <d v="2020-09-04T00:00:00"/>
    <d v="2020-12-05T00:00:00"/>
    <x v="0"/>
    <m/>
    <m/>
    <m/>
    <m/>
    <m/>
    <m/>
    <s v="15281/SPP/008/PUSAT/ICON+/2021"/>
    <n v="4500015865"/>
    <m/>
    <m/>
    <m/>
    <m/>
    <m/>
    <m/>
    <m/>
    <m/>
    <m/>
    <m/>
    <m/>
    <m/>
    <m/>
  </r>
  <r>
    <n v="184"/>
    <s v="PT Sigma Cipta Caraka "/>
    <s v="Kementrian Energi dan Sumber Daya Mineral"/>
    <s v="Jl.Kapt.Subijanto DJ Tanggerang 15321"/>
    <x v="0"/>
    <m/>
    <m/>
    <s v="Sewa Tahunan"/>
    <s v="Colocation"/>
    <s v="PA/ACT/2102/0766/TER , PA/ACT/2102/0781/TER , PA/ACT/2102/0767/TER "/>
    <m/>
    <m/>
    <m/>
    <m/>
    <m/>
    <n v="72000000"/>
    <m/>
    <n v="5000000"/>
    <n v="49000000"/>
    <m/>
    <d v="2021-03-29T00:00:00"/>
    <d v="2022-03-28T00:00:00"/>
    <x v="0"/>
    <m/>
    <m/>
    <m/>
    <m/>
    <m/>
    <m/>
    <s v="15532/SPP/008/PUSAT/ICON+/2021"/>
    <n v="4500015915"/>
    <m/>
    <m/>
    <m/>
    <m/>
    <m/>
    <m/>
    <m/>
    <m/>
    <m/>
    <m/>
    <m/>
    <m/>
    <m/>
  </r>
  <r>
    <n v="185"/>
    <s v="Infrastruktur Cakrawala Telekomunikasi"/>
    <s v="PT Cahaya Jakarta"/>
    <s v="Bekasi 17530"/>
    <x v="0"/>
    <m/>
    <m/>
    <s v="Sewa Bulanan"/>
    <s v="Cross Connect"/>
    <s v="PA/ACT/2101/0388"/>
    <m/>
    <m/>
    <m/>
    <m/>
    <m/>
    <n v="72000000"/>
    <m/>
    <m/>
    <n v="39458424"/>
    <m/>
    <d v="2021-01-21T00:00:00"/>
    <d v="2021-09-30T00:00:00"/>
    <x v="0"/>
    <m/>
    <m/>
    <m/>
    <m/>
    <m/>
    <m/>
    <s v="15177/SPP/008/PUSAT/ICON+/2021"/>
    <n v="4500015811"/>
    <m/>
    <m/>
    <m/>
    <m/>
    <m/>
    <m/>
    <m/>
    <m/>
    <m/>
    <m/>
    <m/>
    <m/>
    <m/>
  </r>
  <r>
    <n v="186"/>
    <s v="PT Sigma Cipta Caraka "/>
    <s v="PT Kereta Commuter Indonesia"/>
    <s v="Jl.Kapt.Subijanto DJ Tanggerang 15321"/>
    <x v="0"/>
    <m/>
    <m/>
    <s v="Sewa Tahunan"/>
    <s v="Cross Connect"/>
    <s v="PA/ACT/2102/0657"/>
    <m/>
    <m/>
    <m/>
    <m/>
    <n v="1000000"/>
    <n v="144000000"/>
    <m/>
    <n v="3000000"/>
    <n v="6000000"/>
    <m/>
    <d v="2021-02-18T00:00:00"/>
    <d v="2022-02-17T00:00:00"/>
    <x v="0"/>
    <m/>
    <m/>
    <m/>
    <m/>
    <m/>
    <m/>
    <s v="15277/SPP/008/PUSAT/ICON+/2021"/>
    <n v="4500015833"/>
    <m/>
    <m/>
    <m/>
    <m/>
    <m/>
    <m/>
    <m/>
    <m/>
    <m/>
    <m/>
    <m/>
    <m/>
    <m/>
  </r>
  <r>
    <n v="187"/>
    <s v="CBN Nusantara"/>
    <s v="PT Cyberindo Aditama"/>
    <s v="JL.H.R.Rasuna Said Blok X5 13 Jakarta 00000"/>
    <x v="0"/>
    <m/>
    <m/>
    <s v="Sewa Tahunan"/>
    <s v="Cross Connect"/>
    <s v="PA/ACT/2101/1877"/>
    <m/>
    <m/>
    <m/>
    <m/>
    <n v="5000000"/>
    <n v="324000000"/>
    <m/>
    <n v="4000000"/>
    <n v="8000000"/>
    <m/>
    <d v="2021-02-09T00:00:00"/>
    <d v="2022-02-08T00:00:00"/>
    <x v="0"/>
    <m/>
    <m/>
    <m/>
    <m/>
    <m/>
    <m/>
    <s v="15221/SPP/008/PUSAT/ICON+/2021"/>
    <n v="4500015766"/>
    <m/>
    <m/>
    <m/>
    <m/>
    <m/>
    <m/>
    <m/>
    <m/>
    <m/>
    <m/>
    <m/>
    <m/>
    <m/>
  </r>
  <r>
    <n v="188"/>
    <s v="Bit Teknologi Nusantara "/>
    <s v="PT Serasi Autoraya"/>
    <s v="Jl.Tentara Pelajar Jakarta 12210"/>
    <x v="0"/>
    <m/>
    <m/>
    <s v="Sewa Tahunan"/>
    <s v="Interkoneksi"/>
    <s v="PA/ACT/1907/1761/TER"/>
    <m/>
    <m/>
    <m/>
    <m/>
    <m/>
    <n v="99120000"/>
    <m/>
    <m/>
    <n v="39120000"/>
    <m/>
    <d v="2021-07-29T00:00:00"/>
    <d v="2022-07-28T00:00:00"/>
    <x v="0"/>
    <m/>
    <m/>
    <m/>
    <m/>
    <m/>
    <m/>
    <m/>
    <n v="4500016426"/>
    <m/>
    <m/>
    <m/>
    <m/>
    <m/>
    <m/>
    <m/>
    <m/>
    <m/>
    <m/>
    <m/>
    <m/>
    <m/>
  </r>
  <r>
    <n v="189"/>
    <s v="Karyagraha Nusantara"/>
    <s v="Cyberindo Aditama"/>
    <s v="Jl.Kuningan Barat 8 Jakarta 12170"/>
    <x v="0"/>
    <m/>
    <m/>
    <s v="Sewa Tahunan"/>
    <s v="Colocation"/>
    <s v="MIG/1705/0004/ICON-00/SBC/1710/0706"/>
    <m/>
    <m/>
    <m/>
    <m/>
    <m/>
    <n v="780000000"/>
    <m/>
    <m/>
    <n v="42500000"/>
    <m/>
    <d v="2021-05-10T00:00:00"/>
    <d v="2022-05-09T00:00:00"/>
    <x v="0"/>
    <m/>
    <m/>
    <m/>
    <m/>
    <m/>
    <m/>
    <m/>
    <n v="4500016300"/>
    <m/>
    <m/>
    <m/>
    <m/>
    <m/>
    <m/>
    <m/>
    <m/>
    <m/>
    <m/>
    <m/>
    <m/>
    <m/>
  </r>
  <r>
    <n v="190"/>
    <s v="Indointernet "/>
    <s v="PT Hatachi Contruction Machinery Indonesia"/>
    <s v="Jl.Rempoa Raya 11 Ciputat 00000"/>
    <x v="0"/>
    <m/>
    <m/>
    <s v="Sewa Tahunan"/>
    <s v="Interkoneksi"/>
    <s v="PA/UPG/1909/0027"/>
    <m/>
    <m/>
    <m/>
    <m/>
    <m/>
    <n v="156000000"/>
    <m/>
    <m/>
    <n v="90000000"/>
    <m/>
    <d v="2021-08-01T00:00:00"/>
    <d v="2022-08-31T00:00:00"/>
    <x v="0"/>
    <m/>
    <m/>
    <m/>
    <m/>
    <m/>
    <m/>
    <m/>
    <n v="4500016433"/>
    <m/>
    <m/>
    <m/>
    <m/>
    <m/>
    <m/>
    <m/>
    <m/>
    <m/>
    <m/>
    <m/>
    <m/>
    <m/>
  </r>
  <r>
    <n v="191"/>
    <s v="Cyberindo Aditama"/>
    <s v="PT Bank Mandiri (PERSERO) Tbk , Asuransi Umum BCA "/>
    <s v="Jl.Gatot Subroto Jakarta 10270"/>
    <x v="0"/>
    <m/>
    <m/>
    <s v="Sewa Tahunan"/>
    <s v="Interkoneksi"/>
    <s v="PA/UPG/1906/0029 , ICON-00/SBC/1711/0683"/>
    <m/>
    <m/>
    <m/>
    <m/>
    <m/>
    <n v="112745460"/>
    <m/>
    <m/>
    <n v="104400000"/>
    <m/>
    <d v="2021-07-01T00:00:00"/>
    <d v="2022-06-30T00:00:00"/>
    <x v="0"/>
    <m/>
    <m/>
    <m/>
    <m/>
    <m/>
    <m/>
    <m/>
    <n v="4500016429"/>
    <m/>
    <m/>
    <m/>
    <m/>
    <m/>
    <m/>
    <m/>
    <m/>
    <m/>
    <m/>
    <m/>
    <m/>
    <m/>
  </r>
  <r>
    <n v="192"/>
    <s v="Circlecom Nusantara Indonesia"/>
    <s v="Bank Woori Saudara"/>
    <s v="Jakarta Selatan 12190"/>
    <x v="0"/>
    <m/>
    <m/>
    <s v="Sewa Tahunan"/>
    <s v="Interkoneksi"/>
    <s v="PA/ACT/1809/1618 , PA/ACT/1809/1782"/>
    <m/>
    <m/>
    <m/>
    <m/>
    <m/>
    <n v="316680000"/>
    <m/>
    <m/>
    <n v="204000000"/>
    <m/>
    <d v="2021-07-01T00:00:00"/>
    <d v="2022-06-30T00:00:00"/>
    <x v="0"/>
    <m/>
    <m/>
    <m/>
    <m/>
    <m/>
    <m/>
    <m/>
    <n v="4500016428"/>
    <m/>
    <m/>
    <m/>
    <m/>
    <m/>
    <m/>
    <m/>
    <m/>
    <m/>
    <m/>
    <m/>
    <m/>
    <m/>
  </r>
  <r>
    <n v="193"/>
    <s v="Infrastruktur Cakrawala Telekomunikasi"/>
    <s v="PT DHL Supply Chain Indonesia"/>
    <s v="Bekasi 17530"/>
    <x v="0"/>
    <m/>
    <m/>
    <s v="Sewa Tahunan"/>
    <s v="Cross Connect"/>
    <s v="PA/ACT/2106/1509"/>
    <m/>
    <m/>
    <m/>
    <m/>
    <n v="2000000"/>
    <n v="84000000"/>
    <m/>
    <m/>
    <n v="26970084"/>
    <m/>
    <d v="2021-07-05T00:00:00"/>
    <d v="2022-07-05T00:00:00"/>
    <x v="0"/>
    <m/>
    <m/>
    <m/>
    <m/>
    <m/>
    <m/>
    <s v="16106/SPP/008/PUSAT/ICON+/2021"/>
    <n v="4500016365"/>
    <m/>
    <m/>
    <m/>
    <m/>
    <m/>
    <m/>
    <m/>
    <m/>
    <m/>
    <m/>
    <m/>
    <m/>
    <m/>
  </r>
  <r>
    <n v="194"/>
    <s v="PT Sigma Cipta Caraka "/>
    <s v="PT Kideco Jaya Agung "/>
    <s v="Jl.Kapt.Subijanto DJ Tanggerang 15321"/>
    <x v="0"/>
    <m/>
    <m/>
    <s v="Sewa Tahunan"/>
    <s v="Cross Connect"/>
    <s v="PA/ACT/2107/0545"/>
    <m/>
    <m/>
    <m/>
    <m/>
    <n v="15000000"/>
    <n v="240000000"/>
    <m/>
    <n v="6000000"/>
    <n v="12000000"/>
    <m/>
    <d v="2021-07-22T00:00:00"/>
    <d v="2022-07-21T00:00:00"/>
    <x v="0"/>
    <m/>
    <m/>
    <m/>
    <m/>
    <m/>
    <m/>
    <s v="16311/SPP/008/PUSAT/ICON+/2021"/>
    <n v="4500016590"/>
    <m/>
    <m/>
    <m/>
    <m/>
    <m/>
    <m/>
    <m/>
    <m/>
    <m/>
    <m/>
    <m/>
    <m/>
    <m/>
  </r>
  <r>
    <n v="195"/>
    <s v="Cyberindo Aditama"/>
    <s v="PT Olam Idonesia "/>
    <s v="Jl.Gatot Subroto Jakarta 10270"/>
    <x v="0"/>
    <m/>
    <m/>
    <s v="Sewa Harian"/>
    <s v="Interkoneksi"/>
    <s v="PA/ACT/2106/0018"/>
    <m/>
    <m/>
    <m/>
    <m/>
    <m/>
    <n v="5000000"/>
    <m/>
    <m/>
    <n v="1500000"/>
    <m/>
    <d v="2021-06-29T00:00:00"/>
    <d v="2021-06-30T00:00:00"/>
    <x v="0"/>
    <m/>
    <m/>
    <m/>
    <m/>
    <m/>
    <m/>
    <s v="16136/SPP/008/PUSAT/ICON+/2021"/>
    <n v="4500016357"/>
    <m/>
    <m/>
    <m/>
    <m/>
    <m/>
    <m/>
    <m/>
    <m/>
    <m/>
    <m/>
    <m/>
    <m/>
    <m/>
  </r>
  <r>
    <n v="196"/>
    <s v="Infrastruktur Cakrawala Telekomunikasi"/>
    <s v="PT Grafindo Mitrasemesta"/>
    <s v="Bekasi 17530"/>
    <x v="0"/>
    <m/>
    <m/>
    <s v="Sewa Tahunan"/>
    <s v="Cross Connect"/>
    <s v="PA/ACT/2104/2615"/>
    <m/>
    <m/>
    <m/>
    <m/>
    <n v="3500000"/>
    <n v="60000000"/>
    <m/>
    <m/>
    <n v="39458424"/>
    <m/>
    <d v="2021-05-27T00:00:00"/>
    <d v="2022-05-26T00:00:00"/>
    <x v="0"/>
    <m/>
    <m/>
    <m/>
    <m/>
    <m/>
    <m/>
    <m/>
    <n v="4500016354"/>
    <m/>
    <m/>
    <m/>
    <m/>
    <m/>
    <m/>
    <m/>
    <m/>
    <m/>
    <m/>
    <m/>
    <m/>
    <m/>
  </r>
  <r>
    <n v="197"/>
    <s v="Agung Sedayu Propertindo / Badan Pengelola Harco Mangga Dua"/>
    <s v="Platinum Ceramics "/>
    <s v="Jl.Mangga Dua Raya Jakarta Pusat 10730"/>
    <x v="0"/>
    <m/>
    <m/>
    <s v="Sewa Tahunan"/>
    <s v="Colocation"/>
    <s v="AL/2001/2467"/>
    <m/>
    <m/>
    <m/>
    <m/>
    <m/>
    <n v="42000000"/>
    <m/>
    <m/>
    <n v="20000000"/>
    <m/>
    <d v="2021-05-30T00:00:00"/>
    <d v="2022-05-29T00:00:00"/>
    <x v="0"/>
    <m/>
    <m/>
    <m/>
    <m/>
    <m/>
    <m/>
    <m/>
    <n v="4500016170"/>
    <m/>
    <m/>
    <m/>
    <m/>
    <m/>
    <m/>
    <m/>
    <m/>
    <m/>
    <m/>
    <m/>
    <m/>
    <m/>
  </r>
  <r>
    <n v="198"/>
    <s v="Duta Pertiwi "/>
    <s v="PT Trans Retail Indonesia"/>
    <s v="Gd JITC Lt 7&amp;8 Jl Mangga Dua Jakarta Utara 14430"/>
    <x v="0"/>
    <m/>
    <m/>
    <s v="Sewa Tahunan"/>
    <s v="Colocation"/>
    <s v="AR/CHT/2103/1186"/>
    <m/>
    <m/>
    <m/>
    <m/>
    <m/>
    <n v="37713600"/>
    <m/>
    <m/>
    <n v="9375000"/>
    <m/>
    <d v="2021-04-12T00:00:00"/>
    <d v="2022-04-11T00:00:00"/>
    <x v="0"/>
    <m/>
    <m/>
    <m/>
    <m/>
    <m/>
    <m/>
    <m/>
    <n v="4500016054"/>
    <m/>
    <m/>
    <m/>
    <m/>
    <m/>
    <m/>
    <m/>
    <m/>
    <m/>
    <m/>
    <m/>
    <m/>
    <m/>
  </r>
  <r>
    <n v="199"/>
    <s v="The East Building"/>
    <s v="PT Astra Sedaya Finance , PT Mora Telematika Indonesia , PT Tirta Sari Surya , PT Kirana Megatara , PT Djambi Waras"/>
    <s v="Jakarta 12950"/>
    <x v="0"/>
    <m/>
    <m/>
    <s v="Sewa Tahunan"/>
    <s v="Colocation"/>
    <s v="ACT/1810/0036/AL/1811/13 , AR/ACT/1909/30972 , AR/UPG/1905/1914 , AR/UPG/1905/1913 , AR/UPG/1905/1918"/>
    <m/>
    <m/>
    <m/>
    <m/>
    <m/>
    <n v="357000000"/>
    <m/>
    <m/>
    <n v="88330000"/>
    <m/>
    <d v="2021-08-01T00:00:00"/>
    <d v="2022-07-31T00:00:00"/>
    <x v="0"/>
    <m/>
    <m/>
    <m/>
    <m/>
    <m/>
    <m/>
    <m/>
    <n v="4500016264"/>
    <m/>
    <m/>
    <m/>
    <m/>
    <m/>
    <m/>
    <m/>
    <m/>
    <m/>
    <m/>
    <m/>
    <m/>
    <m/>
  </r>
  <r>
    <n v="200"/>
    <s v="Media Nusantara Data Global "/>
    <s v="PT Trisula Media Data"/>
    <s v="Jakarta Selatan 12710"/>
    <x v="0"/>
    <m/>
    <m/>
    <s v="Sewa Tahunan"/>
    <s v="Cross Connect"/>
    <s v="PA/ACT/2010/1353"/>
    <m/>
    <m/>
    <m/>
    <m/>
    <m/>
    <n v="57000000"/>
    <m/>
    <m/>
    <n v="18000000"/>
    <m/>
    <d v="2021-12-24T00:00:00"/>
    <d v="2022-12-23T00:00:00"/>
    <x v="0"/>
    <m/>
    <m/>
    <m/>
    <m/>
    <m/>
    <m/>
    <m/>
    <n v="4500017434"/>
    <m/>
    <m/>
    <m/>
    <m/>
    <m/>
    <m/>
    <m/>
    <m/>
    <m/>
    <m/>
    <m/>
    <m/>
    <m/>
  </r>
  <r>
    <n v="201"/>
    <s v="CBN Nusantara"/>
    <s v="PT Inti Dunia Sukses"/>
    <s v="Jakarta 00000"/>
    <x v="0"/>
    <m/>
    <m/>
    <s v="Sewa Tahunan"/>
    <s v="Cross Connect"/>
    <s v="PA/ACT/1912/0149/TER"/>
    <m/>
    <m/>
    <m/>
    <m/>
    <m/>
    <n v="36000000"/>
    <m/>
    <m/>
    <n v="8000000"/>
    <m/>
    <d v="2021-12-18T00:00:00"/>
    <d v="2022-12-17T00:00:00"/>
    <x v="0"/>
    <m/>
    <m/>
    <m/>
    <m/>
    <m/>
    <m/>
    <m/>
    <n v="4500017405"/>
    <m/>
    <m/>
    <m/>
    <m/>
    <m/>
    <m/>
    <m/>
    <m/>
    <m/>
    <m/>
    <m/>
    <m/>
    <m/>
  </r>
  <r>
    <n v="202"/>
    <s v="Media Nusantara Data Global "/>
    <s v="PT Bank Central Asia Tbk"/>
    <s v="Jakarta Selatan 12710"/>
    <x v="0"/>
    <m/>
    <m/>
    <s v="Sewa Tahunan"/>
    <s v="Cross Connect"/>
    <s v="PA/RLK/2009/0090/TER"/>
    <m/>
    <m/>
    <m/>
    <m/>
    <m/>
    <n v="28800000"/>
    <m/>
    <m/>
    <n v="18000000"/>
    <m/>
    <d v="2021-12-24T00:00:00"/>
    <d v="2022-12-23T00:00:00"/>
    <x v="0"/>
    <m/>
    <m/>
    <m/>
    <m/>
    <m/>
    <m/>
    <m/>
    <n v="4500017432"/>
    <m/>
    <m/>
    <m/>
    <m/>
    <m/>
    <m/>
    <m/>
    <m/>
    <m/>
    <m/>
    <m/>
    <m/>
    <m/>
  </r>
  <r>
    <n v="203"/>
    <s v="Pusat Pengelolaan Komplek Kemayoran"/>
    <s v="PT Cakra Waskita Teknologi , BASARNAS"/>
    <s v="Kemayoran Jakarta 10610"/>
    <x v="0"/>
    <m/>
    <m/>
    <s v="Sewa Tahunan"/>
    <s v="Colocation"/>
    <s v="PA/ACT/2111/3315/TER"/>
    <m/>
    <m/>
    <m/>
    <m/>
    <n v="5000000"/>
    <n v="270000000"/>
    <m/>
    <m/>
    <n v="45612000"/>
    <m/>
    <d v="2021-12-27T00:00:00"/>
    <d v="2022-12-26T00:00:00"/>
    <x v="0"/>
    <m/>
    <m/>
    <m/>
    <m/>
    <m/>
    <m/>
    <s v="17628/SPP/008/PUSAT/ICON+/2022"/>
    <n v="4500017450"/>
    <m/>
    <m/>
    <m/>
    <m/>
    <m/>
    <m/>
    <m/>
    <m/>
    <m/>
    <m/>
    <m/>
    <m/>
    <m/>
  </r>
  <r>
    <n v="204"/>
    <s v="Indointernet"/>
    <s v="Bank BCA Syariah "/>
    <s v="Ciputat 00000"/>
    <x v="0"/>
    <m/>
    <m/>
    <s v="Sewa Tahunan"/>
    <s v="Colocation"/>
    <s v="AL/1903/4924/0990000320376164 , AL/1903/4934/0990000320376162"/>
    <m/>
    <m/>
    <m/>
    <m/>
    <m/>
    <n v="154800000"/>
    <m/>
    <m/>
    <n v="2500000"/>
    <m/>
    <d v="2021-11-19T00:00:00"/>
    <d v="2022-11-18T00:00:00"/>
    <x v="0"/>
    <m/>
    <m/>
    <m/>
    <m/>
    <m/>
    <m/>
    <s v="17323/SPP/008/PUSAT/ICON+/2022"/>
    <n v="4500017890"/>
    <m/>
    <m/>
    <m/>
    <m/>
    <m/>
    <m/>
    <m/>
    <m/>
    <m/>
    <m/>
    <m/>
    <m/>
    <m/>
  </r>
  <r>
    <n v="205"/>
    <s v="Pusat Pengelolaan Komplek Kemayoran"/>
    <s v="PT Angkasa Pura Logisik , PT Caraka Waskita Teknologi"/>
    <s v="Jakarta 10610"/>
    <x v="0"/>
    <m/>
    <m/>
    <s v="Sewa Tahunan"/>
    <s v="Colocation"/>
    <s v="PA/ACT/1904/0156 "/>
    <m/>
    <m/>
    <m/>
    <m/>
    <m/>
    <n v="337200000"/>
    <m/>
    <m/>
    <n v="14660000"/>
    <m/>
    <d v="2021-11-18T00:00:00"/>
    <d v="2022-11-17T00:00:00"/>
    <x v="0"/>
    <m/>
    <m/>
    <m/>
    <m/>
    <m/>
    <m/>
    <s v="17571/SPP/008/PUSAT/ICON+/2021"/>
    <n v="4500017412"/>
    <m/>
    <m/>
    <m/>
    <m/>
    <m/>
    <m/>
    <m/>
    <m/>
    <m/>
    <m/>
    <m/>
    <m/>
    <m/>
  </r>
  <r>
    <n v="206"/>
    <s v="Infrastruktur Cakrawala Telekomunikasi"/>
    <s v="PT Softex Indonesia "/>
    <s v="Bekasi 17530"/>
    <x v="0"/>
    <m/>
    <m/>
    <s v="Sewa Tahunan"/>
    <s v="Cross Connect"/>
    <s v="PA/ACT/2109/1806/TER"/>
    <m/>
    <m/>
    <m/>
    <m/>
    <n v="3500000"/>
    <n v="108000000"/>
    <m/>
    <m/>
    <n v="101500000"/>
    <m/>
    <d v="2021-10-26T00:00:00"/>
    <d v="2022-09-30T00:00:00"/>
    <x v="0"/>
    <m/>
    <m/>
    <m/>
    <m/>
    <m/>
    <m/>
    <s v="16813/SPP/008/PUSAT/ICON+/2021"/>
    <n v="4500016810"/>
    <m/>
    <m/>
    <m/>
    <m/>
    <m/>
    <m/>
    <m/>
    <m/>
    <m/>
    <m/>
    <m/>
    <m/>
    <m/>
  </r>
  <r>
    <n v="207"/>
    <s v="Media Nusantara Data Global "/>
    <s v="PT Jaya Media Express"/>
    <s v="Jakarta Selatan 12710"/>
    <x v="0"/>
    <m/>
    <m/>
    <s v="Sewa Tahunan"/>
    <s v="Cross Connect"/>
    <s v="PA/ACT/2109/0110"/>
    <m/>
    <m/>
    <m/>
    <m/>
    <m/>
    <n v="300000000"/>
    <m/>
    <n v="1500000"/>
    <n v="36000000"/>
    <m/>
    <d v="2021-10-14T00:00:00"/>
    <d v="2022-10-13T00:00:00"/>
    <x v="0"/>
    <m/>
    <m/>
    <m/>
    <m/>
    <m/>
    <m/>
    <s v="16886/SPP/008/PUSAT/ICON+/2021"/>
    <n v="4500016925"/>
    <m/>
    <m/>
    <m/>
    <m/>
    <m/>
    <m/>
    <m/>
    <m/>
    <m/>
    <m/>
    <m/>
    <m/>
    <m/>
  </r>
  <r>
    <n v="208"/>
    <s v="Artha Telekomindo  "/>
    <s v="PT Fermentech Indonesia"/>
    <s v="Jakarta 12190"/>
    <x v="0"/>
    <m/>
    <m/>
    <s v="Sewa Tahunan"/>
    <s v="Interkoneksi"/>
    <s v="PA/UPG/1902/0037 , PA/UPG/1902/0043"/>
    <m/>
    <m/>
    <m/>
    <m/>
    <m/>
    <n v="96000000"/>
    <m/>
    <m/>
    <n v="111000000"/>
    <m/>
    <d v="2021-07-01T00:00:00"/>
    <d v="2022-06-30T00:00:00"/>
    <x v="0"/>
    <m/>
    <m/>
    <m/>
    <m/>
    <m/>
    <m/>
    <m/>
    <n v="4500016936"/>
    <m/>
    <m/>
    <m/>
    <m/>
    <m/>
    <m/>
    <m/>
    <m/>
    <m/>
    <m/>
    <m/>
    <m/>
    <m/>
  </r>
  <r>
    <n v="209"/>
    <s v="Infrastruktur Bisnis Sejahtera"/>
    <s v="PT Excelso Multirasa"/>
    <s v="Jakarta Pusat 10350"/>
    <x v="0"/>
    <m/>
    <m/>
    <s v="Sewa Tahunan"/>
    <s v="Interkoneksi"/>
    <s v="PA/ACT/2008/0804"/>
    <m/>
    <m/>
    <m/>
    <m/>
    <m/>
    <n v="36000000"/>
    <m/>
    <m/>
    <n v="6600000"/>
    <m/>
    <d v="2021-08-19T00:00:00"/>
    <d v="2022-08-18T00:00:00"/>
    <x v="0"/>
    <m/>
    <m/>
    <m/>
    <m/>
    <m/>
    <m/>
    <m/>
    <n v="4500016793"/>
    <m/>
    <m/>
    <m/>
    <m/>
    <m/>
    <m/>
    <m/>
    <m/>
    <m/>
    <m/>
    <m/>
    <m/>
    <m/>
  </r>
  <r>
    <n v="210"/>
    <s v="Asosiasi penyelenggara Jasa Internet Indonesia (APJII)"/>
    <s v="PT Indonesia Comnet Plus"/>
    <s v="Jakarta 12710"/>
    <x v="0"/>
    <m/>
    <m/>
    <s v="Sewa Tahunan"/>
    <s v="Colocation"/>
    <m/>
    <m/>
    <m/>
    <m/>
    <m/>
    <m/>
    <m/>
    <m/>
    <m/>
    <n v="12000000"/>
    <m/>
    <d v="2021-10-29T00:00:00"/>
    <d v="2022-10-28T00:00:00"/>
    <x v="0"/>
    <m/>
    <m/>
    <m/>
    <m/>
    <m/>
    <m/>
    <m/>
    <n v="4500016735"/>
    <m/>
    <m/>
    <m/>
    <m/>
    <m/>
    <m/>
    <m/>
    <m/>
    <m/>
    <m/>
    <m/>
    <m/>
    <m/>
  </r>
  <r>
    <n v="211"/>
    <s v="Infrastruktur Cakrawala Telekomunikasi"/>
    <s v="PT Hipernet Indodata , PT Citra Plastik Makmur"/>
    <s v="Bekasi 17530"/>
    <x v="0"/>
    <m/>
    <m/>
    <s v="Sewa Bulanan"/>
    <s v="Cross Connect"/>
    <s v="PA/ACT/2105/0443/TER"/>
    <m/>
    <m/>
    <m/>
    <m/>
    <n v="3000000"/>
    <n v="10950000"/>
    <m/>
    <m/>
    <n v="18981108"/>
    <m/>
    <d v="2021-06-04T00:00:00"/>
    <d v="2021-09-30T00:00:00"/>
    <x v="0"/>
    <m/>
    <m/>
    <m/>
    <m/>
    <m/>
    <m/>
    <s v="15881/SPP/008/PUSAT/ICON+/2021"/>
    <n v="4500016199"/>
    <m/>
    <m/>
    <m/>
    <m/>
    <m/>
    <m/>
    <m/>
    <m/>
    <m/>
    <m/>
    <m/>
    <m/>
    <m/>
  </r>
  <r>
    <n v="212"/>
    <s v="PT Integra Kreasitama Solusindo "/>
    <s v="Bank Mandiri , Bank Mega"/>
    <s v="Jakarta 12410"/>
    <x v="0"/>
    <m/>
    <m/>
    <s v="Sewa Tahunan"/>
    <s v="Interkoneksi"/>
    <s v="PA/UPG/1906/0069 , PA/ACT/1805/0437"/>
    <m/>
    <m/>
    <m/>
    <m/>
    <m/>
    <n v="65345460"/>
    <m/>
    <n v="5500000"/>
    <n v="45000000"/>
    <m/>
    <d v="2021-09-21T00:00:00"/>
    <d v="2022-09-20T00:00:00"/>
    <x v="0"/>
    <m/>
    <m/>
    <m/>
    <m/>
    <m/>
    <m/>
    <m/>
    <n v="4500016774"/>
    <m/>
    <m/>
    <m/>
    <m/>
    <m/>
    <m/>
    <m/>
    <m/>
    <m/>
    <m/>
    <m/>
    <m/>
    <m/>
  </r>
  <r>
    <n v="213"/>
    <s v="Aplikanusa Lintasarta"/>
    <s v="Kementrian Energi dan Sumber Daya Mineral"/>
    <s v="Jakarta Pusat 10250"/>
    <x v="0"/>
    <m/>
    <m/>
    <s v="Sewa Tahunan"/>
    <s v="Interkoneksi"/>
    <s v="PA/ACT/2110/0365"/>
    <m/>
    <m/>
    <m/>
    <m/>
    <m/>
    <n v="370909092"/>
    <m/>
    <n v="2500000"/>
    <n v="66000000"/>
    <m/>
    <d v="2021-12-13T00:00:00"/>
    <d v="2022-12-12T00:00:00"/>
    <x v="0"/>
    <m/>
    <m/>
    <m/>
    <m/>
    <m/>
    <m/>
    <s v="16930/SPP/008/PUSAT/ICON+/2021"/>
    <n v="4500016990"/>
    <m/>
    <m/>
    <m/>
    <m/>
    <m/>
    <m/>
    <m/>
    <m/>
    <m/>
    <m/>
    <m/>
    <m/>
    <m/>
  </r>
  <r>
    <n v="214"/>
    <s v="Cyberindo Aditama"/>
    <s v="PT Olam Idonesia "/>
    <s v="Jakarta 10270"/>
    <x v="0"/>
    <m/>
    <m/>
    <s v="Sewa Harian"/>
    <s v="Interkoneksi"/>
    <s v="PA/UOD/2110/0010"/>
    <m/>
    <m/>
    <m/>
    <m/>
    <m/>
    <n v="5000000"/>
    <m/>
    <m/>
    <n v="1500000"/>
    <m/>
    <d v="2021-10-06T00:00:00"/>
    <d v="2021-10-07T00:00:00"/>
    <x v="0"/>
    <m/>
    <m/>
    <m/>
    <m/>
    <m/>
    <m/>
    <m/>
    <n v="4500017073"/>
    <m/>
    <m/>
    <m/>
    <m/>
    <m/>
    <m/>
    <m/>
    <m/>
    <m/>
    <m/>
    <m/>
    <m/>
    <m/>
  </r>
  <r>
    <n v="215"/>
    <s v="DCI Indonesia"/>
    <s v="PT Artinus Komunika Lima"/>
    <s v="Jakarta 12190"/>
    <x v="0"/>
    <m/>
    <m/>
    <s v="Sewa Tahunan"/>
    <s v="Cross Connect"/>
    <m/>
    <m/>
    <m/>
    <m/>
    <m/>
    <m/>
    <m/>
    <m/>
    <m/>
    <n v="40000000"/>
    <m/>
    <d v="2021-09-27T00:00:00"/>
    <d v="2022-09-26T00:00:00"/>
    <x v="0"/>
    <m/>
    <m/>
    <m/>
    <m/>
    <m/>
    <m/>
    <s v="16780/SPP/008/PUSAT/ICON+/2021"/>
    <n v="4500016819"/>
    <m/>
    <m/>
    <m/>
    <m/>
    <m/>
    <m/>
    <m/>
    <m/>
    <m/>
    <m/>
    <m/>
    <m/>
    <m/>
  </r>
  <r>
    <n v="216"/>
    <s v="PT Sigma Cipta Caraka "/>
    <s v="PT Indonesia Comnet Plus"/>
    <s v="Tanggerang 15321"/>
    <x v="0"/>
    <m/>
    <m/>
    <s v="Sewa Tahunan"/>
    <s v="Cross Connect"/>
    <m/>
    <m/>
    <m/>
    <m/>
    <m/>
    <m/>
    <m/>
    <m/>
    <m/>
    <n v="81000000"/>
    <m/>
    <d v="2021-08-31T00:00:00"/>
    <d v="2022-08-30T00:00:00"/>
    <x v="0"/>
    <m/>
    <m/>
    <m/>
    <m/>
    <m/>
    <m/>
    <s v="16488/SPP/008/PUSAT/ICON+/2021"/>
    <n v="4500016647"/>
    <m/>
    <m/>
    <m/>
    <m/>
    <m/>
    <m/>
    <m/>
    <m/>
    <m/>
    <m/>
    <m/>
    <m/>
    <m/>
  </r>
  <r>
    <n v="217"/>
    <s v="Dinamika Raya Prima"/>
    <s v="Rekso Nasional Food"/>
    <s v="Jakarta Pusat 00000"/>
    <x v="0"/>
    <m/>
    <m/>
    <s v="Sewa Tahunan"/>
    <s v="Colocation"/>
    <s v="ICON-00/SBC/1609/0292"/>
    <m/>
    <m/>
    <m/>
    <m/>
    <m/>
    <n v="84000000"/>
    <m/>
    <m/>
    <n v="2000000"/>
    <m/>
    <d v="2021-04-20T00:00:00"/>
    <d v="2022-04-19T00:00:00"/>
    <x v="0"/>
    <m/>
    <m/>
    <m/>
    <m/>
    <m/>
    <m/>
    <m/>
    <n v="4500016056"/>
    <m/>
    <m/>
    <m/>
    <m/>
    <m/>
    <m/>
    <m/>
    <m/>
    <m/>
    <m/>
    <m/>
    <m/>
    <m/>
  </r>
  <r>
    <n v="218"/>
    <s v="Infrastruktur Cakrawala Telekomunikasi"/>
    <s v="PT Hipernet Indodata qq PT Surya Internusa Hotels"/>
    <s v="Bekasi 17530"/>
    <x v="0"/>
    <m/>
    <m/>
    <s v="Sewa Tahunan"/>
    <s v="Cross Connect"/>
    <s v="PA/ACT/2102/2076/TER"/>
    <m/>
    <m/>
    <m/>
    <m/>
    <n v="5000000"/>
    <n v="44400000"/>
    <m/>
    <m/>
    <n v="18981108"/>
    <m/>
    <d v="2021-03-03T00:00:00"/>
    <d v="2022-02-03T00:00:00"/>
    <x v="0"/>
    <m/>
    <m/>
    <m/>
    <m/>
    <m/>
    <m/>
    <s v="15458/SPP/008/PUSAT/ICON+/2021"/>
    <n v="4500015860"/>
    <m/>
    <m/>
    <m/>
    <m/>
    <m/>
    <m/>
    <m/>
    <m/>
    <m/>
    <m/>
    <m/>
    <m/>
    <m/>
  </r>
  <r>
    <n v="219"/>
    <s v="Link Net"/>
    <s v="PT Indonesia Comnets Plus"/>
    <s v="Jakarta 12950"/>
    <x v="0"/>
    <m/>
    <m/>
    <s v="Sewa Bulanan"/>
    <s v="Interkoneksi"/>
    <s v="PA/ACT/2011/1679/TER"/>
    <m/>
    <m/>
    <m/>
    <m/>
    <m/>
    <n v="734597695"/>
    <m/>
    <n v="5000000"/>
    <n v="69600000"/>
    <m/>
    <d v="2021-01-29T00:00:00"/>
    <d v="2021-05-30T00:00:00"/>
    <x v="0"/>
    <m/>
    <m/>
    <m/>
    <m/>
    <m/>
    <m/>
    <s v="15143/SPP/008/PUSAT/ICON+/2021"/>
    <n v="4500015809"/>
    <m/>
    <m/>
    <m/>
    <m/>
    <m/>
    <m/>
    <m/>
    <m/>
    <m/>
    <m/>
    <m/>
    <m/>
    <m/>
  </r>
  <r>
    <n v="220"/>
    <s v="Infrastruktur Cakrawala Telekomunikasi"/>
    <s v="PT Hipernet Indodata qq PT Mitsuyoshi Manufacturing Indonesia"/>
    <s v="Bekasi 17530"/>
    <x v="0"/>
    <m/>
    <m/>
    <s v="Sewa Tahunan"/>
    <s v="Cross Connect"/>
    <s v="PA/UPG/2102/0694"/>
    <m/>
    <m/>
    <m/>
    <m/>
    <m/>
    <n v="67200000"/>
    <m/>
    <m/>
    <n v="26143452"/>
    <m/>
    <d v="2021-02-25T00:00:00"/>
    <d v="2022-02-24T00:00:00"/>
    <x v="0"/>
    <m/>
    <m/>
    <m/>
    <m/>
    <m/>
    <m/>
    <s v="15454/SPP/008/PUSAT/ICON+/2021"/>
    <n v="4500015859"/>
    <m/>
    <m/>
    <m/>
    <m/>
    <m/>
    <m/>
    <m/>
    <m/>
    <m/>
    <m/>
    <m/>
    <m/>
    <m/>
  </r>
  <r>
    <n v="221"/>
    <s v="Bali Towerindo Sentra Tbk"/>
    <s v="PT Caturkarda Depo Bangunan"/>
    <s v="Bali 00000"/>
    <x v="0"/>
    <m/>
    <m/>
    <s v="Sewa Tahunan"/>
    <s v="Cross Connect"/>
    <s v="PA/RLK/2101/0116/TER"/>
    <m/>
    <m/>
    <m/>
    <m/>
    <n v="5000000"/>
    <n v="120000000"/>
    <m/>
    <n v="1000000"/>
    <n v="78000000"/>
    <m/>
    <d v="2021-05-03T00:00:00"/>
    <d v="2022-04-03T00:00:00"/>
    <x v="0"/>
    <m/>
    <m/>
    <m/>
    <m/>
    <m/>
    <m/>
    <s v="15325/SPP/008/PUSAT/ICON+/2021"/>
    <n v="4500015834"/>
    <m/>
    <m/>
    <m/>
    <m/>
    <m/>
    <m/>
    <m/>
    <m/>
    <m/>
    <m/>
    <m/>
    <m/>
    <m/>
  </r>
  <r>
    <n v="222"/>
    <s v="PT Marmitria Land"/>
    <s v="PT Kideco Jaya Agung"/>
    <s v="Jakarta Selatan 00000"/>
    <x v="0"/>
    <m/>
    <m/>
    <s v="Sewa Tahunan"/>
    <s v="Colocation"/>
    <s v="PA/ACT/2012/2393/TER"/>
    <m/>
    <m/>
    <m/>
    <m/>
    <n v="10000000"/>
    <n v="180000000"/>
    <m/>
    <m/>
    <n v="6000000"/>
    <m/>
    <d v="2021-10-03T00:00:00"/>
    <d v="2022-09-03T00:00:00"/>
    <x v="0"/>
    <m/>
    <m/>
    <m/>
    <m/>
    <m/>
    <m/>
    <s v="15383/SPP/008/PUSAT/ICON+/2021"/>
    <n v="4500015835"/>
    <m/>
    <m/>
    <m/>
    <m/>
    <m/>
    <m/>
    <m/>
    <m/>
    <m/>
    <m/>
    <m/>
    <m/>
    <m/>
  </r>
  <r>
    <n v="223"/>
    <s v="Media Nusantara Data Global "/>
    <s v="PT Data Buana Nusantara"/>
    <s v="Jakarta Selatan 12710"/>
    <x v="0"/>
    <m/>
    <m/>
    <s v="Sewa Tahunan"/>
    <s v="Cross Connect"/>
    <s v="PA/ACT/2012/0489"/>
    <m/>
    <m/>
    <m/>
    <m/>
    <n v="2500000"/>
    <n v="288000000"/>
    <m/>
    <m/>
    <n v="18000000"/>
    <m/>
    <d v="2021-05-02T00:00:00"/>
    <d v="2022-04-02T00:00:00"/>
    <x v="0"/>
    <m/>
    <m/>
    <m/>
    <m/>
    <m/>
    <m/>
    <s v="15187/SPP/008/PUSAT/ICON+/2021"/>
    <n v="4500015757"/>
    <m/>
    <m/>
    <m/>
    <m/>
    <m/>
    <m/>
    <m/>
    <m/>
    <m/>
    <m/>
    <m/>
    <m/>
    <m/>
  </r>
  <r>
    <n v="224"/>
    <s v="Media Nusantara Data Global "/>
    <s v="PT Data Buana Nusantara"/>
    <s v="Jakarta Selatan 12710"/>
    <x v="0"/>
    <m/>
    <m/>
    <s v="Sewa Tahunan"/>
    <s v="Cross Connect"/>
    <s v="PA/ACT/2012/2159"/>
    <m/>
    <m/>
    <m/>
    <m/>
    <n v="2500000"/>
    <n v="288000000"/>
    <m/>
    <m/>
    <n v="18000000"/>
    <m/>
    <d v="2021-05-02T00:00:00"/>
    <d v="2022-04-02T00:00:00"/>
    <x v="0"/>
    <m/>
    <m/>
    <m/>
    <m/>
    <m/>
    <m/>
    <s v="15188/SPP/008/PUSAT/ICON+/2021"/>
    <n v="4500015756"/>
    <m/>
    <m/>
    <m/>
    <m/>
    <m/>
    <m/>
    <m/>
    <m/>
    <m/>
    <m/>
    <m/>
    <m/>
    <m/>
  </r>
  <r>
    <n v="225"/>
    <s v="IDC (Internetindo Data Centra Indonesia) "/>
    <s v="PT Indonesia Comnets Plus"/>
    <s v="Jl. Kuningan Barat No.8 Cyber Building 7, Jakarta Selatan 12710"/>
    <x v="0"/>
    <m/>
    <m/>
    <s v="Sewa Tahunan"/>
    <s v="Cross Connect"/>
    <s v="110214067/MI/07/PST/2020"/>
    <m/>
    <m/>
    <m/>
    <m/>
    <m/>
    <n v="126000000"/>
    <m/>
    <m/>
    <n v="115500000"/>
    <m/>
    <d v="2021-01-14T00:00:00"/>
    <d v="2021-12-13T00:00:00"/>
    <x v="0"/>
    <m/>
    <m/>
    <m/>
    <m/>
    <m/>
    <m/>
    <s v="15097/SPP/008/PUSAT/ICON+/2021"/>
    <n v="4500015736"/>
    <m/>
    <m/>
    <m/>
    <m/>
    <m/>
    <m/>
    <m/>
    <m/>
    <m/>
    <m/>
    <m/>
    <m/>
    <m/>
  </r>
  <r>
    <n v="226"/>
    <s v="CBN Nusantara"/>
    <s v="PT Adaro Indonesia"/>
    <s v="Jakarta 00000"/>
    <x v="0"/>
    <m/>
    <m/>
    <s v="Sewa Tahunan"/>
    <s v="Cross Connect"/>
    <s v="PA/ACT/1904/2037/TER"/>
    <m/>
    <m/>
    <m/>
    <m/>
    <m/>
    <n v="60000000"/>
    <m/>
    <m/>
    <n v="8000000"/>
    <m/>
    <d v="2021-05-15T00:00:00"/>
    <d v="2022-05-14T00:00:00"/>
    <x v="0"/>
    <m/>
    <m/>
    <m/>
    <m/>
    <m/>
    <m/>
    <m/>
    <n v="4500016427"/>
    <m/>
    <m/>
    <m/>
    <m/>
    <m/>
    <m/>
    <m/>
    <m/>
    <m/>
    <m/>
    <m/>
    <m/>
    <m/>
  </r>
  <r>
    <n v="227"/>
    <s v="Cyberindo Aditama"/>
    <s v="PT Kaldu Sari Nabati"/>
    <s v="Jakarta 10270"/>
    <x v="0"/>
    <m/>
    <m/>
    <s v="Sewa Tahunan"/>
    <s v="Interkoneksi"/>
    <s v="PA/ACT/1803/0827"/>
    <m/>
    <m/>
    <m/>
    <m/>
    <m/>
    <n v="144000000"/>
    <m/>
    <m/>
    <n v="66992000"/>
    <m/>
    <d v="2021-09-07T00:00:00"/>
    <d v="2022-08-07T00:00:00"/>
    <x v="0"/>
    <m/>
    <m/>
    <m/>
    <m/>
    <m/>
    <m/>
    <m/>
    <n v="4500016430"/>
    <m/>
    <m/>
    <m/>
    <m/>
    <m/>
    <m/>
    <m/>
    <m/>
    <m/>
    <m/>
    <m/>
    <m/>
    <m/>
  </r>
  <r>
    <n v="228"/>
    <s v="Indointernet"/>
    <s v="PT Astra Daihatsu Motor"/>
    <s v="Ciputat 00000"/>
    <x v="0"/>
    <m/>
    <m/>
    <s v="Sewa Tahunan"/>
    <s v="Interkoneksi"/>
    <s v="ICON-00/ACT/1705/1412"/>
    <m/>
    <m/>
    <m/>
    <m/>
    <m/>
    <n v="120000000"/>
    <m/>
    <m/>
    <n v="90000000"/>
    <m/>
    <d v="2021-07-29T00:00:00"/>
    <d v="2022-07-28T00:00:00"/>
    <x v="0"/>
    <m/>
    <m/>
    <m/>
    <m/>
    <m/>
    <m/>
    <m/>
    <n v="4500016432"/>
    <m/>
    <m/>
    <m/>
    <m/>
    <m/>
    <m/>
    <m/>
    <m/>
    <m/>
    <m/>
    <m/>
    <m/>
    <m/>
  </r>
  <r>
    <n v="229"/>
    <s v="Hipernet Indodata "/>
    <s v="Commonwealth Bank"/>
    <s v="Grogol, Petamburan,Jakarta Barat 11450"/>
    <x v="0"/>
    <m/>
    <m/>
    <s v="Sewa Tahunan"/>
    <s v="Interkoneksi"/>
    <s v="AL/1912/61745"/>
    <m/>
    <m/>
    <m/>
    <m/>
    <m/>
    <n v="66000000"/>
    <m/>
    <m/>
    <n v="30000000"/>
    <m/>
    <d v="2021-01-07T00:00:00"/>
    <d v="2022-06-30T00:00:00"/>
    <x v="0"/>
    <m/>
    <m/>
    <m/>
    <m/>
    <m/>
    <m/>
    <m/>
    <n v="4500016431"/>
    <m/>
    <m/>
    <m/>
    <m/>
    <m/>
    <m/>
    <m/>
    <m/>
    <m/>
    <m/>
    <m/>
    <m/>
    <m/>
  </r>
  <r>
    <n v="230"/>
    <s v="Bit Teknologi Nusantara "/>
    <s v="PT NTT Indonesia"/>
    <s v="Jakarta 12210"/>
    <x v="0"/>
    <m/>
    <m/>
    <s v="Sewa Tahunan"/>
    <s v="Interkoneksi"/>
    <s v="AR/ACT/1904/10733"/>
    <m/>
    <m/>
    <m/>
    <m/>
    <m/>
    <n v="556800000"/>
    <m/>
    <m/>
    <n v="460800000"/>
    <m/>
    <d v="2021-07-22T00:00:00"/>
    <d v="2022-07-21T00:00:00"/>
    <x v="0"/>
    <m/>
    <m/>
    <m/>
    <m/>
    <m/>
    <m/>
    <m/>
    <n v="4500016425"/>
    <m/>
    <m/>
    <m/>
    <m/>
    <m/>
    <m/>
    <m/>
    <m/>
    <m/>
    <m/>
    <m/>
    <m/>
    <m/>
  </r>
  <r>
    <n v="231"/>
    <s v="Infrastruktur Cakrawala Telekomunikasi"/>
    <s v="PT Mattel Indonesia"/>
    <s v="Bekasi 17530"/>
    <x v="0"/>
    <m/>
    <m/>
    <s v="Sewa Tahunan"/>
    <s v="Cross Connect"/>
    <s v="PA/UPG/2106/0232/TER"/>
    <m/>
    <m/>
    <m/>
    <m/>
    <m/>
    <n v="93600000"/>
    <m/>
    <m/>
    <n v="79425018"/>
    <m/>
    <d v="2021-07-22T00:00:00"/>
    <d v="2022-08-21T00:00:00"/>
    <x v="0"/>
    <m/>
    <m/>
    <m/>
    <m/>
    <m/>
    <m/>
    <s v="16107/SPP/008/PUSAT/ICON+/2021"/>
    <n v="4500016356"/>
    <m/>
    <m/>
    <m/>
    <m/>
    <m/>
    <m/>
    <m/>
    <m/>
    <m/>
    <m/>
    <m/>
    <m/>
    <m/>
  </r>
  <r>
    <n v="232"/>
    <s v="Indointernet"/>
    <s v="PT Primacom Interbuana"/>
    <s v="Ciputat 00000"/>
    <x v="0"/>
    <m/>
    <m/>
    <s v="Sewa Tahunan"/>
    <s v="Cross Connect"/>
    <s v="PA/ACT/2107/0057/TER"/>
    <m/>
    <m/>
    <m/>
    <m/>
    <n v="5000000"/>
    <n v="48000000"/>
    <m/>
    <n v="1000000"/>
    <n v="12000000"/>
    <m/>
    <d v="2021-09-08T00:00:00"/>
    <d v="2022-08-08T00:00:00"/>
    <x v="0"/>
    <m/>
    <m/>
    <m/>
    <m/>
    <m/>
    <m/>
    <s v="16199/SPP/008/PUSAT/ICON+/2021"/>
    <n v="4500016416"/>
    <m/>
    <m/>
    <m/>
    <m/>
    <m/>
    <m/>
    <m/>
    <m/>
    <m/>
    <m/>
    <m/>
    <m/>
    <m/>
  </r>
  <r>
    <n v="233"/>
    <s v="Infrastruktur Cakrawala Telekomunikasi"/>
    <s v="PT Hipernet Indodata qq PT ICI Paints Indonesia"/>
    <s v="Bekasi 17530"/>
    <x v="0"/>
    <m/>
    <m/>
    <s v="Sewa Tahunan"/>
    <s v="Cross Connect"/>
    <s v="PA/ACT/2104/2730/TER"/>
    <m/>
    <m/>
    <m/>
    <m/>
    <n v="3000000"/>
    <n v="36000000"/>
    <m/>
    <m/>
    <n v="15399936"/>
    <m/>
    <d v="2021-05-27T00:00:00"/>
    <d v="2022-05-26T00:00:00"/>
    <x v="0"/>
    <m/>
    <m/>
    <m/>
    <m/>
    <m/>
    <m/>
    <s v="16111/SPP/008/PUSAT/ICON+/2021"/>
    <n v="4500016355"/>
    <m/>
    <m/>
    <m/>
    <m/>
    <m/>
    <m/>
    <m/>
    <m/>
    <m/>
    <m/>
    <m/>
    <m/>
    <m/>
  </r>
  <r>
    <n v="234"/>
    <s v="Crisis Menara Permai"/>
    <s v="PT Link Net qq PT Pana Persada Nusantara"/>
    <s v="Bogor 00000"/>
    <x v="0"/>
    <m/>
    <m/>
    <s v="Sewa Tahunan"/>
    <s v="Cross Connect"/>
    <s v="PA/ACT/2104/1125"/>
    <m/>
    <m/>
    <m/>
    <m/>
    <n v="5000000"/>
    <n v="126000000"/>
    <m/>
    <m/>
    <n v="30000000"/>
    <m/>
    <d v="2021-06-30T00:00:00"/>
    <d v="2026-06-29T00:00:00"/>
    <x v="0"/>
    <m/>
    <m/>
    <m/>
    <m/>
    <m/>
    <m/>
    <s v="16149/SPP/008/PUSAT/ICON+/2021"/>
    <n v="4500016364"/>
    <m/>
    <m/>
    <m/>
    <m/>
    <m/>
    <m/>
    <m/>
    <m/>
    <m/>
    <m/>
    <m/>
    <m/>
    <m/>
  </r>
  <r>
    <n v="235"/>
    <s v="PT Anpa International "/>
    <s v="Bank Syariah Mandiri"/>
    <s v="Jakarta 10110"/>
    <x v="0"/>
    <m/>
    <m/>
    <s v="Sewa Tahunan"/>
    <s v="Colocation"/>
    <s v="PA/UPG/2101/0395"/>
    <m/>
    <m/>
    <m/>
    <m/>
    <m/>
    <n v="436363632"/>
    <m/>
    <m/>
    <n v="38500000"/>
    <m/>
    <d v="2021-01-07T00:00:00"/>
    <d v="2022-06-30T00:00:00"/>
    <x v="0"/>
    <m/>
    <m/>
    <m/>
    <m/>
    <m/>
    <m/>
    <m/>
    <n v="4500016269"/>
    <m/>
    <m/>
    <m/>
    <m/>
    <m/>
    <m/>
    <m/>
    <m/>
    <m/>
    <m/>
    <m/>
    <m/>
    <m/>
  </r>
  <r>
    <n v="236"/>
    <s v="Phinisindo Zamrud Nusantara"/>
    <s v="Bank Mega"/>
    <s v="Depok 16431"/>
    <x v="0"/>
    <m/>
    <m/>
    <s v="Sewa Tahunan"/>
    <s v="Colocation"/>
    <s v="ICON-00/ACT/1706/0466"/>
    <m/>
    <m/>
    <m/>
    <m/>
    <m/>
    <n v="34800000"/>
    <m/>
    <m/>
    <n v="1700000"/>
    <m/>
    <d v="2021-08-01T00:00:00"/>
    <d v="2022-07-01T00:00:00"/>
    <x v="0"/>
    <m/>
    <m/>
    <m/>
    <m/>
    <m/>
    <m/>
    <m/>
    <n v="4500015663"/>
    <m/>
    <m/>
    <m/>
    <m/>
    <m/>
    <m/>
    <m/>
    <m/>
    <m/>
    <m/>
    <m/>
    <m/>
    <m/>
  </r>
  <r>
    <n v="237"/>
    <s v="Mora Telematika Indonesia"/>
    <s v="Bank Bukopin"/>
    <s v="Jakarta Pusat 10320"/>
    <x v="0"/>
    <m/>
    <m/>
    <s v="Sewa Tahunan"/>
    <s v="Interkoneksi"/>
    <s v="PA/UPG/1810/0006"/>
    <m/>
    <m/>
    <m/>
    <m/>
    <m/>
    <n v="72000000"/>
    <m/>
    <m/>
    <n v="36000000"/>
    <m/>
    <d v="2021-01-07T00:00:00"/>
    <d v="2022-06-30T00:00:00"/>
    <x v="0"/>
    <m/>
    <m/>
    <m/>
    <m/>
    <m/>
    <m/>
    <m/>
    <n v="4500016435"/>
    <m/>
    <m/>
    <m/>
    <m/>
    <m/>
    <m/>
    <m/>
    <m/>
    <m/>
    <m/>
    <m/>
    <m/>
    <m/>
  </r>
  <r>
    <n v="238"/>
    <s v="Aplikanusa Lintasarta"/>
    <s v="Indosat, Bank Sinarmas, Jala Lintas Media"/>
    <s v="Jakarta Pusat 10250"/>
    <x v="0"/>
    <m/>
    <m/>
    <s v="Sewa Tahunan"/>
    <s v="Interkoneksi"/>
    <s v="0990000320511772/ICON-00/SBC/1707/0137, AL/2005/15476, AR/DOW/1804/0075"/>
    <m/>
    <m/>
    <m/>
    <m/>
    <m/>
    <n v="285600000"/>
    <m/>
    <m/>
    <n v="96000000"/>
    <m/>
    <d v="2021-01-07T00:00:00"/>
    <d v="2022-06-30T00:00:00"/>
    <x v="0"/>
    <m/>
    <m/>
    <m/>
    <m/>
    <m/>
    <m/>
    <m/>
    <n v="4500016424"/>
    <m/>
    <m/>
    <m/>
    <m/>
    <m/>
    <m/>
    <m/>
    <m/>
    <m/>
    <m/>
    <m/>
    <m/>
    <m/>
  </r>
  <r>
    <n v="239"/>
    <s v="PT Telekomunikasi Indonesia"/>
    <s v="Badan Riset dan Inovasi Nasional"/>
    <s v="Jakarta Selatan 12017"/>
    <x v="0"/>
    <m/>
    <m/>
    <s v="Sewa Bulanan"/>
    <s v="Interkoneksi"/>
    <s v="PA/ACT/2112/2143"/>
    <m/>
    <m/>
    <m/>
    <m/>
    <m/>
    <n v="21818181"/>
    <m/>
    <m/>
    <n v="282200000"/>
    <m/>
    <d v="2022-01-01T00:00:00"/>
    <d v="2022-12-31T00:00:00"/>
    <x v="0"/>
    <m/>
    <m/>
    <m/>
    <m/>
    <m/>
    <m/>
    <s v="17602/SPP/008/PUSAT/ICON+/2021"/>
    <n v="4500017443"/>
    <m/>
    <m/>
    <m/>
    <m/>
    <m/>
    <m/>
    <m/>
    <m/>
    <m/>
    <m/>
    <m/>
    <m/>
    <m/>
  </r>
  <r>
    <n v="240"/>
    <s v="CBN Nusantara"/>
    <s v="PT Inti Dunia Sukses"/>
    <s v="Jakarta 00000"/>
    <x v="0"/>
    <m/>
    <m/>
    <s v="Sewa Tahunan"/>
    <s v="Colocation"/>
    <s v="ICON-00/ACT/1711/1437"/>
    <m/>
    <m/>
    <m/>
    <m/>
    <m/>
    <n v="72000000"/>
    <m/>
    <m/>
    <n v="6000000"/>
    <m/>
    <d v="2021-12-18T00:00:00"/>
    <d v="2022-12-17T00:00:00"/>
    <x v="0"/>
    <m/>
    <m/>
    <m/>
    <m/>
    <m/>
    <m/>
    <m/>
    <n v="4500017405"/>
    <m/>
    <m/>
    <m/>
    <m/>
    <m/>
    <m/>
    <m/>
    <m/>
    <m/>
    <m/>
    <m/>
    <m/>
    <m/>
  </r>
  <r>
    <n v="241"/>
    <s v="Media Nusantara Data Global "/>
    <s v="PT Trisula Media Data"/>
    <s v="Jakarta Selatan 12710"/>
    <x v="0"/>
    <m/>
    <m/>
    <s v="Sewa Tahunan"/>
    <s v="Cross Connect"/>
    <s v="PA/ACT/2011/0709"/>
    <m/>
    <m/>
    <m/>
    <m/>
    <n v="1000000"/>
    <n v="324000000"/>
    <m/>
    <m/>
    <n v="18000000"/>
    <m/>
    <d v="2021-12-29T00:00:00"/>
    <d v="2022-12-28T00:00:00"/>
    <x v="0"/>
    <m/>
    <m/>
    <m/>
    <m/>
    <m/>
    <m/>
    <m/>
    <n v="4500017435"/>
    <m/>
    <m/>
    <m/>
    <m/>
    <m/>
    <m/>
    <m/>
    <m/>
    <m/>
    <m/>
    <m/>
    <m/>
    <m/>
  </r>
  <r>
    <n v="242"/>
    <s v="Pusat Pengelolaan Komplek Kemayoran"/>
    <s v="PT Hijau Solusi Utama"/>
    <s v="Jakarta 10610"/>
    <x v="0"/>
    <m/>
    <m/>
    <s v="Sewa Tahunan"/>
    <s v="Colocation"/>
    <s v="PA/ACT/2109/2254/TER"/>
    <m/>
    <m/>
    <m/>
    <m/>
    <m/>
    <n v="42000000"/>
    <m/>
    <m/>
    <n v="14680000"/>
    <m/>
    <d v="2021-12-17T00:00:00"/>
    <d v="2022-12-16T00:00:00"/>
    <x v="0"/>
    <m/>
    <m/>
    <m/>
    <m/>
    <m/>
    <m/>
    <s v="17563/SPP/008/PUSAT/ICON+/2021"/>
    <n v="4500017399"/>
    <m/>
    <m/>
    <m/>
    <m/>
    <m/>
    <m/>
    <m/>
    <m/>
    <m/>
    <m/>
    <m/>
    <m/>
    <m/>
  </r>
  <r>
    <n v="243"/>
    <s v="PT Sigma Cipta Caraka"/>
    <s v="Badan Pengelola Pendapatan Daerah Jawa Tengah"/>
    <s v="Tanggerang 15321"/>
    <x v="0"/>
    <m/>
    <m/>
    <s v="Sewa Tahunan"/>
    <s v="Cross Connect"/>
    <s v="PA/RLK/2112/0084/TER"/>
    <m/>
    <m/>
    <m/>
    <m/>
    <m/>
    <n v="130548000"/>
    <m/>
    <n v="3000000"/>
    <n v="6000000"/>
    <m/>
    <d v="2021-12-23T00:00:00"/>
    <d v="2022-12-22T00:00:00"/>
    <x v="0"/>
    <m/>
    <m/>
    <m/>
    <m/>
    <m/>
    <m/>
    <s v="17589/SPP/008/PUSAT/ICON+/2021"/>
    <n v="4500017398"/>
    <m/>
    <m/>
    <m/>
    <m/>
    <m/>
    <m/>
    <m/>
    <m/>
    <m/>
    <m/>
    <m/>
    <m/>
    <m/>
  </r>
  <r>
    <n v="244"/>
    <s v="Aplikanusa Lintasarta"/>
    <s v="PT Primacom Interbuana"/>
    <s v="Jakarta Pusat 10250"/>
    <x v="0"/>
    <m/>
    <m/>
    <s v="Sewa Tahunan"/>
    <s v="Cross Connect"/>
    <s v="PA/ACT/2108/1751/TER"/>
    <m/>
    <m/>
    <m/>
    <m/>
    <n v="6000000"/>
    <n v="48000000"/>
    <m/>
    <n v="1000000"/>
    <n v="24000000"/>
    <m/>
    <d v="2021-10-09T00:00:00"/>
    <d v="2022-09-09T00:00:00"/>
    <x v="0"/>
    <m/>
    <m/>
    <m/>
    <m/>
    <m/>
    <m/>
    <s v="16538/SPP/008/PUSAT/ICON+/2021"/>
    <n v="4500016617"/>
    <m/>
    <m/>
    <m/>
    <m/>
    <m/>
    <m/>
    <m/>
    <m/>
    <m/>
    <m/>
    <m/>
    <m/>
    <m/>
  </r>
  <r>
    <n v="245"/>
    <s v="Pusat Pengelolaan Komplek Kemayoran"/>
    <s v="PT PLN"/>
    <s v="Jakarta 10610"/>
    <x v="0"/>
    <m/>
    <m/>
    <s v="Sewa Tahunan"/>
    <s v="Colocation"/>
    <s v="PA/ACT/1805/0063"/>
    <m/>
    <m/>
    <m/>
    <m/>
    <m/>
    <n v="87387600"/>
    <m/>
    <m/>
    <n v="22440000"/>
    <m/>
    <d v="2021-09-24T00:00:00"/>
    <d v="2022-09-23T00:00:00"/>
    <x v="0"/>
    <m/>
    <m/>
    <m/>
    <m/>
    <m/>
    <m/>
    <s v="16066/SPP/008/PUSAT/ICON+/2021"/>
    <n v="4500016699"/>
    <m/>
    <m/>
    <m/>
    <m/>
    <m/>
    <m/>
    <m/>
    <m/>
    <m/>
    <m/>
    <m/>
    <m/>
    <m/>
  </r>
  <r>
    <n v="246"/>
    <s v="Perhimpunan Penghuni Crown Court Executive Condominium"/>
    <s v="Hanasta Dakara"/>
    <s v="Jakarta 00000"/>
    <x v="0"/>
    <m/>
    <m/>
    <s v="Sewa Tahunan"/>
    <s v="Colocation"/>
    <n v="1000029813"/>
    <m/>
    <m/>
    <m/>
    <m/>
    <m/>
    <n v="84000000"/>
    <m/>
    <m/>
    <n v="20900000"/>
    <m/>
    <d v="2021-01-10T00:00:00"/>
    <d v="2022-09-30T00:00:00"/>
    <x v="0"/>
    <m/>
    <m/>
    <m/>
    <m/>
    <m/>
    <m/>
    <m/>
    <n v="4500016708"/>
    <m/>
    <m/>
    <m/>
    <m/>
    <m/>
    <m/>
    <m/>
    <m/>
    <m/>
    <m/>
    <m/>
    <m/>
    <m/>
  </r>
  <r>
    <n v="247"/>
    <s v="Circlecom Nusantara Indonesia"/>
    <s v="PT Bank Central Asia"/>
    <s v="Jakarta Selatan 12190"/>
    <x v="0"/>
    <m/>
    <m/>
    <s v="Sewa Tahunan"/>
    <s v="Interkoneksi"/>
    <s v="PA/ACT/2109/1556/TER"/>
    <m/>
    <m/>
    <m/>
    <m/>
    <n v="2500000"/>
    <n v="48000000"/>
    <m/>
    <n v="2500000"/>
    <n v="36000000"/>
    <m/>
    <d v="2021-10-16T00:00:00"/>
    <d v="2022-10-15T00:00:00"/>
    <x v="0"/>
    <m/>
    <m/>
    <m/>
    <m/>
    <m/>
    <m/>
    <s v="16823/SPP/008/PUSAT/ICON+/2021"/>
    <n v="4500016833"/>
    <m/>
    <m/>
    <m/>
    <m/>
    <m/>
    <m/>
    <m/>
    <m/>
    <m/>
    <m/>
    <m/>
    <m/>
    <m/>
  </r>
  <r>
    <n v="248"/>
    <s v="PT Sunvone Communication "/>
    <s v="PT Moda Integrasi Transpotasi Jabodetabek"/>
    <s v="Jakarta 00000"/>
    <x v="0"/>
    <m/>
    <m/>
    <s v="Sewa Tahunan"/>
    <s v="Interkoneksi"/>
    <s v="PA/ACT/2004/1165/TER"/>
    <m/>
    <m/>
    <m/>
    <m/>
    <m/>
    <n v="12100000"/>
    <m/>
    <m/>
    <n v="3300538"/>
    <m/>
    <d v="2021-06-24T00:00:00"/>
    <d v="2022-07-22T00:00:00"/>
    <x v="0"/>
    <m/>
    <m/>
    <m/>
    <m/>
    <m/>
    <m/>
    <s v="16338/SPP/008/PUSAT/ICON+/2021"/>
    <n v="4500016712"/>
    <m/>
    <m/>
    <m/>
    <m/>
    <m/>
    <m/>
    <m/>
    <m/>
    <m/>
    <m/>
    <m/>
    <m/>
    <m/>
  </r>
  <r>
    <n v="249"/>
    <s v="Karyagraha Nusantara"/>
    <s v="PT Dankom Mitra Abadi"/>
    <s v="Jakarta 12710"/>
    <x v="0"/>
    <m/>
    <m/>
    <s v="Sewa Tahunan"/>
    <s v="Colocation"/>
    <s v="PA/UPG/1812/0585"/>
    <m/>
    <m/>
    <m/>
    <m/>
    <m/>
    <n v="901800000"/>
    <m/>
    <m/>
    <n v="7500000"/>
    <m/>
    <d v="2021-08-31T00:00:00"/>
    <d v="2022-08-30T00:00:00"/>
    <x v="0"/>
    <m/>
    <m/>
    <m/>
    <m/>
    <m/>
    <m/>
    <m/>
    <n v="4500016495"/>
    <m/>
    <m/>
    <m/>
    <m/>
    <m/>
    <m/>
    <m/>
    <m/>
    <m/>
    <m/>
    <m/>
    <m/>
    <m/>
  </r>
  <r>
    <n v="250"/>
    <s v="Serpong Mas Telematika "/>
    <s v="PT Lulu Group Retail"/>
    <s v="Jakarta 15345"/>
    <x v="0"/>
    <m/>
    <m/>
    <s v="Sewa Tahunan"/>
    <s v="Interkoneksi"/>
    <s v="ICON-00/SBC/1711/0550"/>
    <m/>
    <m/>
    <m/>
    <m/>
    <m/>
    <n v="265200000"/>
    <m/>
    <m/>
    <n v="143100000"/>
    <m/>
    <d v="2021-01-07T00:00:00"/>
    <d v="2022-06-30T00:00:00"/>
    <x v="0"/>
    <m/>
    <m/>
    <m/>
    <m/>
    <m/>
    <m/>
    <s v="16413/SPP/008/PUSAT/ICON+/2021"/>
    <n v="4500016646"/>
    <m/>
    <s v="Masrukhan"/>
    <s v="+62 812-9844-8648"/>
    <m/>
    <m/>
    <m/>
    <m/>
    <m/>
    <m/>
    <m/>
    <m/>
    <m/>
    <m/>
  </r>
  <r>
    <n v="251"/>
    <s v="PT Sanggar Mustika Indah"/>
    <s v="PT Indonesia Comnets Plus"/>
    <s v="Jakarta 00000"/>
    <x v="0"/>
    <m/>
    <m/>
    <s v="Sewa Bulanan"/>
    <s v="Colocation"/>
    <m/>
    <m/>
    <m/>
    <m/>
    <m/>
    <m/>
    <m/>
    <m/>
    <m/>
    <n v="46000000"/>
    <m/>
    <d v="2021-01-08T00:00:00"/>
    <d v="2021-12-31T00:00:00"/>
    <x v="0"/>
    <m/>
    <m/>
    <m/>
    <m/>
    <m/>
    <m/>
    <s v="16252/SPP/008/PUSAT/ICON+/2021"/>
    <n v="4500016454"/>
    <m/>
    <m/>
    <m/>
    <m/>
    <m/>
    <m/>
    <m/>
    <m/>
    <m/>
    <m/>
    <m/>
    <m/>
    <m/>
  </r>
  <r>
    <n v="252"/>
    <s v="Indosat Tbk "/>
    <s v="PT Trans Retail Indonesia"/>
    <s v="Jakarta 10110"/>
    <x v="0"/>
    <m/>
    <m/>
    <s v="Sewa Tahunan"/>
    <s v="Interkoneksi"/>
    <s v="ICON-00/ACT/1711/1474, ICON-00/ACT/1705/1419"/>
    <m/>
    <m/>
    <m/>
    <m/>
    <m/>
    <n v="108000000"/>
    <m/>
    <m/>
    <n v="81840000"/>
    <m/>
    <d v="2021-01-01T00:00:00"/>
    <d v="2021-12-31T00:00:00"/>
    <x v="0"/>
    <m/>
    <m/>
    <m/>
    <m/>
    <m/>
    <m/>
    <s v="14937/SPP/008/PUSAT/ICON+/2020"/>
    <n v="4500015650"/>
    <m/>
    <m/>
    <m/>
    <m/>
    <m/>
    <m/>
    <m/>
    <m/>
    <m/>
    <m/>
    <m/>
    <m/>
    <m/>
  </r>
  <r>
    <n v="253"/>
    <s v="DCI Indonesia"/>
    <s v="PT Nap Infolintasnusa (CIGNA)"/>
    <s v="Jl. Jend Sudirman Kav 52-53 Jakarta 12190"/>
    <x v="0"/>
    <m/>
    <m/>
    <s v="Sewa Tahunan"/>
    <s v="Cross Connect"/>
    <s v="ICON-00/SBC/1708/0918"/>
    <m/>
    <m/>
    <m/>
    <m/>
    <s v="-"/>
    <n v="90000000"/>
    <m/>
    <s v="-"/>
    <n v="18000000"/>
    <m/>
    <d v="2021-05-11T00:00:00"/>
    <d v="2022-05-10T00:00:00"/>
    <x v="0"/>
    <m/>
    <m/>
    <m/>
    <m/>
    <m/>
    <m/>
    <m/>
    <n v="4500016044"/>
    <m/>
    <m/>
    <m/>
    <m/>
    <m/>
    <m/>
    <m/>
    <m/>
    <m/>
    <m/>
    <m/>
    <m/>
    <m/>
  </r>
  <r>
    <n v="254"/>
    <s v="Bit Teknologi Nusantara "/>
    <s v="Astra International"/>
    <s v="Jl. Tentara Pelajar Jakarta 12210"/>
    <x v="0"/>
    <m/>
    <m/>
    <s v="Sewa Tahunan"/>
    <s v="Interkoneksi"/>
    <s v="PA/ACT/1902/1519"/>
    <m/>
    <m/>
    <m/>
    <m/>
    <s v="-"/>
    <n v="25200000"/>
    <m/>
    <s v="-"/>
    <n v="4620000"/>
    <m/>
    <d v="2021-10-10T00:00:00"/>
    <d v="2022-10-09T00:00:00"/>
    <x v="0"/>
    <m/>
    <m/>
    <m/>
    <m/>
    <m/>
    <m/>
    <m/>
    <n v="4500017006"/>
    <m/>
    <m/>
    <m/>
    <m/>
    <m/>
    <m/>
    <m/>
    <m/>
    <m/>
    <m/>
    <m/>
    <m/>
    <m/>
  </r>
  <r>
    <n v="255"/>
    <s v="Jaya Land "/>
    <s v="Bank Mega "/>
    <s v="Ged. Jaya Jl. MH Thamrin no. 12 Jakarta Pusat 10340"/>
    <x v="0"/>
    <m/>
    <m/>
    <s v="Sewa Tahunan"/>
    <s v="Colocation"/>
    <s v="PA/ACT/1808/0394"/>
    <m/>
    <m/>
    <m/>
    <m/>
    <s v="-"/>
    <n v="2900000"/>
    <m/>
    <s v="-"/>
    <n v="13000000"/>
    <m/>
    <d v="2021-02-01T00:00:00"/>
    <d v="2022-01-31T00:00:00"/>
    <x v="0"/>
    <m/>
    <m/>
    <m/>
    <m/>
    <m/>
    <m/>
    <m/>
    <n v="4500015608"/>
    <m/>
    <m/>
    <m/>
    <m/>
    <m/>
    <m/>
    <m/>
    <m/>
    <m/>
    <m/>
    <m/>
    <m/>
    <m/>
  </r>
  <r>
    <n v="256"/>
    <s v="DCI Indonesia"/>
    <s v="PT Bank Neo Commerce Tbk"/>
    <s v="Jl. Jend Sudirman Kav 52-53 Jakarta 12190"/>
    <x v="0"/>
    <m/>
    <m/>
    <s v="Sewa Tahunan"/>
    <s v="Cross Connect"/>
    <s v="PA/ACT/2104/2393"/>
    <m/>
    <m/>
    <m/>
    <m/>
    <n v="10500000"/>
    <n v="246000000"/>
    <m/>
    <n v="1500000"/>
    <n v="18000000"/>
    <m/>
    <d v="2021-06-09T00:00:00"/>
    <d v="2022-06-08T00:00:00"/>
    <x v="0"/>
    <m/>
    <m/>
    <m/>
    <m/>
    <m/>
    <m/>
    <s v="15970/SPP/008/PUSAT/ICON+/2021"/>
    <n v="4500016290"/>
    <m/>
    <m/>
    <m/>
    <m/>
    <m/>
    <m/>
    <m/>
    <m/>
    <m/>
    <m/>
    <m/>
    <m/>
    <m/>
  </r>
  <r>
    <n v="257"/>
    <s v="APJII"/>
    <s v="Sekertariat Jendral Kementerian Hukum "/>
    <s v="Jl. Kuningan Barat 8 Jakarta 12710"/>
    <x v="0"/>
    <m/>
    <m/>
    <s v="Sewa Tahunan"/>
    <s v="Colocation"/>
    <s v="PA/ACT/1812/1562/TER"/>
    <m/>
    <m/>
    <m/>
    <m/>
    <s v="-"/>
    <s v="-"/>
    <m/>
    <s v="-"/>
    <n v="24000000"/>
    <m/>
    <d v="2020-05-15T00:00:00"/>
    <d v="2022-05-14T00:00:00"/>
    <x v="0"/>
    <m/>
    <m/>
    <m/>
    <m/>
    <m/>
    <m/>
    <s v="15667/SPP/008/PUSAT/ICON+/2021"/>
    <n v="4500016104"/>
    <m/>
    <m/>
    <m/>
    <m/>
    <m/>
    <m/>
    <m/>
    <m/>
    <m/>
    <m/>
    <m/>
    <m/>
    <m/>
  </r>
  <r>
    <n v="258"/>
    <s v="Mora Telematika Indonesia"/>
    <s v="Bank BJB "/>
    <s v="Grha9 lt.6 Jl. Penataran 9"/>
    <x v="0"/>
    <m/>
    <m/>
    <s v="Sewa Tahunan"/>
    <s v="Interkoneksi"/>
    <s v="PA/RLK/2104/0013"/>
    <m/>
    <m/>
    <m/>
    <m/>
    <n v="2500000"/>
    <n v="44400000"/>
    <m/>
    <n v="3000000"/>
    <n v="36000000"/>
    <m/>
    <d v="2021-08-21T00:00:00"/>
    <d v="2022-08-20T00:00:00"/>
    <x v="0"/>
    <m/>
    <m/>
    <m/>
    <m/>
    <m/>
    <m/>
    <s v="15917/SPP/008/PUSAT/ICON+/2021"/>
    <n v="4500016190"/>
    <m/>
    <m/>
    <m/>
    <m/>
    <m/>
    <m/>
    <m/>
    <m/>
    <m/>
    <m/>
    <m/>
    <m/>
    <m/>
  </r>
  <r>
    <n v="259"/>
    <s v="PT MNC Kabel Mediacom"/>
    <s v="PT Santos Jaya Abadi"/>
    <s v="MNC Tower, Jl. Kebon Sirih No 17 Jakarta 10340"/>
    <x v="0"/>
    <m/>
    <m/>
    <s v="Sewa Tahunan"/>
    <s v="Interkoneksi"/>
    <s v="PA/UPG/2104/0197"/>
    <m/>
    <m/>
    <m/>
    <m/>
    <s v="-"/>
    <n v="120000000"/>
    <m/>
    <s v="-"/>
    <n v="56300000"/>
    <m/>
    <d v="2021-04-25T00:00:00"/>
    <d v="2022-04-24T00:00:00"/>
    <x v="0"/>
    <m/>
    <m/>
    <m/>
    <m/>
    <m/>
    <m/>
    <s v="15781/SPP/008/PUSAT/ICON+/2021"/>
    <n v="4500016194"/>
    <m/>
    <m/>
    <m/>
    <m/>
    <m/>
    <m/>
    <m/>
    <m/>
    <m/>
    <m/>
    <m/>
    <m/>
    <m/>
  </r>
  <r>
    <n v="260"/>
    <s v="PT Prestasi Piranti Informasi"/>
    <s v="Lotte Chemical Titan Nusantara"/>
    <s v="Gd. Menara Kadin Lt. 11 Unit E-G DKI Jakarta 00000"/>
    <x v="0"/>
    <m/>
    <m/>
    <s v="Sewa Tahunan"/>
    <s v="Interkoneksi"/>
    <s v="PA/UPG/2104/0111"/>
    <m/>
    <m/>
    <m/>
    <m/>
    <s v="-"/>
    <n v="120000000"/>
    <m/>
    <s v="-"/>
    <n v="66000000"/>
    <m/>
    <d v="2021-04-13T00:00:00"/>
    <d v="2022-04-12T00:00:00"/>
    <x v="0"/>
    <m/>
    <m/>
    <m/>
    <m/>
    <m/>
    <m/>
    <m/>
    <n v="4500016193"/>
    <m/>
    <m/>
    <m/>
    <m/>
    <m/>
    <m/>
    <m/>
    <m/>
    <m/>
    <m/>
    <m/>
    <m/>
    <m/>
  </r>
  <r>
    <n v="261"/>
    <s v="Dinamika Raya Prima"/>
    <s v="PT Cyberindo Aditama"/>
    <s v="Jl. Jend Sudirman Kav 10-11 Jakarta Pusat 00000"/>
    <x v="0"/>
    <m/>
    <m/>
    <s v="Sewa Tahunan"/>
    <s v="Cross Connect"/>
    <s v="AL/1908/31866"/>
    <m/>
    <m/>
    <m/>
    <m/>
    <s v="-"/>
    <n v="143400000"/>
    <m/>
    <s v="-"/>
    <n v="12000000"/>
    <m/>
    <d v="2021-03-15T00:00:00"/>
    <d v="2022-03-14T00:00:00"/>
    <x v="0"/>
    <m/>
    <m/>
    <m/>
    <m/>
    <m/>
    <m/>
    <m/>
    <n v="4500016050"/>
    <m/>
    <m/>
    <m/>
    <m/>
    <m/>
    <m/>
    <m/>
    <m/>
    <m/>
    <m/>
    <m/>
    <m/>
    <m/>
  </r>
  <r>
    <n v="262"/>
    <s v="DCI Indonesia"/>
    <s v="Primacom Link Bank Sahabat"/>
    <s v="Jl. Jend Sudirman Kav 52-53 Jakarta 12190"/>
    <x v="0"/>
    <m/>
    <m/>
    <s v="Sewa Tahunan"/>
    <s v="Colocation"/>
    <s v="ICON-00/SBC/1507/0516"/>
    <m/>
    <m/>
    <m/>
    <m/>
    <s v="-"/>
    <n v="33000000"/>
    <m/>
    <s v="-"/>
    <n v="18000000"/>
    <m/>
    <d v="2021-06-01T00:00:00"/>
    <d v="2022-05-31T00:00:00"/>
    <x v="0"/>
    <m/>
    <m/>
    <m/>
    <m/>
    <m/>
    <m/>
    <m/>
    <n v="4500016057"/>
    <m/>
    <m/>
    <m/>
    <m/>
    <m/>
    <m/>
    <m/>
    <m/>
    <m/>
    <m/>
    <m/>
    <m/>
    <m/>
  </r>
  <r>
    <n v="263"/>
    <s v="Perhimpun Penghuni Menara Karya"/>
    <s v="Bukit Asam"/>
    <s v="G.M.Karya Jl. H.R Rasuna Said B. X-5 Kav. 1-2"/>
    <x v="0"/>
    <m/>
    <m/>
    <s v="Sewa Tahunan"/>
    <s v="Colocation"/>
    <s v="PA/UPG/1905/0156"/>
    <m/>
    <m/>
    <m/>
    <m/>
    <s v="-"/>
    <n v="75000000"/>
    <m/>
    <s v="-"/>
    <n v="50000000"/>
    <m/>
    <d v="2021-01-01T00:00:00"/>
    <d v="2021-12-31T00:00:00"/>
    <x v="0"/>
    <m/>
    <m/>
    <m/>
    <m/>
    <m/>
    <m/>
    <m/>
    <n v="4500015689"/>
    <m/>
    <m/>
    <m/>
    <m/>
    <m/>
    <m/>
    <m/>
    <m/>
    <m/>
    <m/>
    <m/>
    <m/>
    <m/>
  </r>
  <r>
    <n v="264"/>
    <s v="Indointernet"/>
    <s v="Bank Woori"/>
    <s v="Jl. Rempoa Raya 11 Ciputat 00000"/>
    <x v="0"/>
    <m/>
    <m/>
    <s v="Sewa Tahunan "/>
    <s v="Colocation"/>
    <s v="PA/UPG/1910/0022"/>
    <m/>
    <m/>
    <m/>
    <m/>
    <s v="-"/>
    <n v="43200000"/>
    <m/>
    <s v="-"/>
    <n v="2500000"/>
    <m/>
    <d v="2021-04-21T00:00:00"/>
    <d v="2022-04-20T00:00:00"/>
    <x v="0"/>
    <m/>
    <m/>
    <m/>
    <m/>
    <m/>
    <m/>
    <m/>
    <n v="4500016055"/>
    <m/>
    <m/>
    <m/>
    <m/>
    <m/>
    <m/>
    <m/>
    <m/>
    <m/>
    <m/>
    <m/>
    <m/>
    <m/>
  </r>
  <r>
    <n v="265"/>
    <s v="Alfa Goldland Realty"/>
    <s v="PT Bank Syariah Mandiri"/>
    <s v="Jl. Griya Hijau Kav. F Jakarta 00000"/>
    <x v="0"/>
    <m/>
    <m/>
    <s v="Sewa Tahunan"/>
    <s v="Colocation"/>
    <s v="PA/ACT/2107/0553"/>
    <m/>
    <m/>
    <m/>
    <m/>
    <n v="2727273"/>
    <n v="21181818160"/>
    <m/>
    <s v="-"/>
    <n v="56000000"/>
    <m/>
    <d v="2021-07-23T00:00:00"/>
    <d v="2022-07-22T00:00:00"/>
    <x v="0"/>
    <m/>
    <m/>
    <m/>
    <m/>
    <m/>
    <m/>
    <s v="16260/SPP/008/PUSAT/ICON+/2021"/>
    <n v="4500016461"/>
    <m/>
    <m/>
    <m/>
    <m/>
    <m/>
    <m/>
    <m/>
    <m/>
    <m/>
    <m/>
    <m/>
    <m/>
    <m/>
  </r>
  <r>
    <n v="266"/>
    <s v="Media Nusantara Data Global "/>
    <s v="PT Cyberindo Aditama"/>
    <s v="Jl. Kuningan Barat No.8 Cyber Building 1st &amp; 2nd Jakarta Selatan 12710"/>
    <x v="0"/>
    <m/>
    <m/>
    <s v="Sewa Tahunan "/>
    <s v="Colocation"/>
    <s v="PA/ACT/2107/0206"/>
    <m/>
    <m/>
    <m/>
    <m/>
    <n v="7000000"/>
    <n v="180000000"/>
    <m/>
    <n v="2500000"/>
    <n v="72000000"/>
    <m/>
    <d v="2021-08-03T00:00:00"/>
    <d v="2022-08-02T00:00:00"/>
    <x v="0"/>
    <m/>
    <m/>
    <m/>
    <m/>
    <m/>
    <m/>
    <s v="16370/SPP/008//PUSAT/ICON+/2021"/>
    <n v="4500016522"/>
    <m/>
    <m/>
    <m/>
    <m/>
    <m/>
    <m/>
    <m/>
    <m/>
    <m/>
    <m/>
    <m/>
    <m/>
    <m/>
  </r>
  <r>
    <n v="267"/>
    <s v="Karyagraha Nusantara"/>
    <s v="PT Ipwan Global Telecom "/>
    <s v="Jl. Kuningan Barat 8 Jakarta 12710"/>
    <x v="0"/>
    <m/>
    <m/>
    <s v="Sewa Tahunan"/>
    <s v="Colocation"/>
    <s v="AL/2010/50624"/>
    <m/>
    <m/>
    <m/>
    <m/>
    <s v="-"/>
    <n v="54000000"/>
    <m/>
    <s v="-"/>
    <n v="7000000"/>
    <m/>
    <d v="2021-01-29T00:00:00"/>
    <d v="2022-01-28T00:00:00"/>
    <x v="0"/>
    <m/>
    <m/>
    <m/>
    <m/>
    <m/>
    <m/>
    <m/>
    <n v="4500015725"/>
    <m/>
    <m/>
    <m/>
    <m/>
    <m/>
    <m/>
    <m/>
    <m/>
    <m/>
    <m/>
    <m/>
    <m/>
    <m/>
  </r>
  <r>
    <n v="268"/>
    <s v="Dinamika Raya Prima "/>
    <s v="PT Bank Sinarmas CID 5008"/>
    <s v="Jl. Jend Sudirman Kav 10-11 Jakarta Pusat 00000"/>
    <x v="0"/>
    <m/>
    <m/>
    <s v="Sewa Tahunan"/>
    <s v="Cross Connect"/>
    <s v="AL/2005/15474, AL/2005/15475"/>
    <m/>
    <m/>
    <m/>
    <m/>
    <s v="-"/>
    <n v="324000000"/>
    <m/>
    <s v="-"/>
    <n v="2000000"/>
    <m/>
    <d v="2021-03-01T00:00:00"/>
    <d v="2022-02-28T00:00:00"/>
    <x v="0"/>
    <m/>
    <m/>
    <m/>
    <m/>
    <m/>
    <m/>
    <m/>
    <n v="4500015683"/>
    <m/>
    <m/>
    <m/>
    <m/>
    <m/>
    <m/>
    <m/>
    <m/>
    <m/>
    <m/>
    <m/>
    <m/>
    <m/>
  </r>
  <r>
    <n v="269"/>
    <s v="Dinamika Raya Prima "/>
    <s v="PT Bank Sinarmas CID 1939"/>
    <s v="Jl. Jend Sudirman Kav 10-11 Jakarta Pusat 00000"/>
    <x v="0"/>
    <m/>
    <m/>
    <s v="Sewa Tahunan"/>
    <s v="Cross Connect"/>
    <s v="AL/2005/15474, AL/2005/15475"/>
    <m/>
    <m/>
    <m/>
    <m/>
    <s v="-"/>
    <n v="324000000"/>
    <m/>
    <s v="-"/>
    <n v="2000000"/>
    <m/>
    <d v="2021-02-01T00:00:00"/>
    <d v="2022-01-31T00:00:00"/>
    <x v="0"/>
    <m/>
    <m/>
    <m/>
    <m/>
    <m/>
    <m/>
    <m/>
    <n v="4500015682"/>
    <m/>
    <m/>
    <m/>
    <m/>
    <m/>
    <m/>
    <m/>
    <m/>
    <m/>
    <m/>
    <m/>
    <m/>
    <m/>
  </r>
  <r>
    <n v="270"/>
    <s v="CBN Nusantara"/>
    <s v="PT Kaldu Sari Nabati"/>
    <s v="Jl. H. R Rasuna Said Blok X5 13 Jakarta 0000"/>
    <x v="0"/>
    <m/>
    <m/>
    <s v="Sewa Tahunan"/>
    <s v="Cross Connect"/>
    <s v="PA/ACT/1806/1081"/>
    <m/>
    <m/>
    <m/>
    <m/>
    <s v="-"/>
    <n v="144000000"/>
    <m/>
    <s v="-"/>
    <n v="6600000"/>
    <m/>
    <d v="2021-04-01T00:00:00"/>
    <d v="2022-03-31T00:00:00"/>
    <x v="0"/>
    <m/>
    <m/>
    <m/>
    <m/>
    <m/>
    <m/>
    <s v="15419/SPP/008/PUSAT/ICON+/2021"/>
    <n v="4500015888"/>
    <m/>
    <m/>
    <m/>
    <m/>
    <m/>
    <m/>
    <m/>
    <m/>
    <m/>
    <m/>
    <m/>
    <m/>
    <m/>
  </r>
  <r>
    <n v="271"/>
    <s v="PT Bumi Serpong Damai "/>
    <s v="PT Bank Fama International"/>
    <m/>
    <x v="0"/>
    <m/>
    <m/>
    <s v="Sewa Tahunan"/>
    <s v="Colocation"/>
    <s v="PA/ACT/1809/0799"/>
    <m/>
    <m/>
    <m/>
    <m/>
    <s v="-"/>
    <n v="18000000"/>
    <m/>
    <s v="-"/>
    <n v="48015000"/>
    <m/>
    <d v="2021-01-01T00:00:00"/>
    <d v="2021-12-31T00:00:00"/>
    <x v="0"/>
    <m/>
    <m/>
    <m/>
    <m/>
    <m/>
    <m/>
    <m/>
    <n v="4500015365"/>
    <m/>
    <m/>
    <m/>
    <m/>
    <m/>
    <m/>
    <m/>
    <m/>
    <m/>
    <m/>
    <m/>
    <m/>
    <m/>
  </r>
  <r>
    <n v="272"/>
    <s v="DCI Indonesia"/>
    <s v="Airpay Intenational Indonesia "/>
    <s v="Jl. Jend Sudirman Kav 52-53 Jakarta 12190"/>
    <x v="0"/>
    <m/>
    <m/>
    <s v="Sewa Tahunan "/>
    <s v="Cross Connect"/>
    <s v="PA/ACT/1912/2626"/>
    <m/>
    <m/>
    <m/>
    <m/>
    <s v="-"/>
    <n v="84000000"/>
    <m/>
    <s v="-"/>
    <n v="36000000"/>
    <m/>
    <d v="2021-01-27T00:00:00"/>
    <d v="2022-01-26T00:00:00"/>
    <x v="0"/>
    <m/>
    <m/>
    <m/>
    <m/>
    <m/>
    <m/>
    <m/>
    <n v="4500015714"/>
    <m/>
    <m/>
    <m/>
    <m/>
    <m/>
    <m/>
    <m/>
    <m/>
    <m/>
    <m/>
    <m/>
    <m/>
    <m/>
  </r>
  <r>
    <n v="273"/>
    <s v="Indointernet"/>
    <s v="PT Jaring Solusi Aplikasi"/>
    <s v="Jl. Rempoa Raya 11 Ciputat 00000"/>
    <x v="0"/>
    <m/>
    <m/>
    <s v="Sewa Tahunan"/>
    <s v="Colocation"/>
    <s v="PA/ACT/1912/0025"/>
    <m/>
    <m/>
    <m/>
    <m/>
    <s v="-"/>
    <n v="36000000"/>
    <m/>
    <s v="-"/>
    <n v="2500000"/>
    <m/>
    <d v="2021-01-18T00:00:00"/>
    <d v="2022-01-17T00:00:00"/>
    <x v="0"/>
    <m/>
    <m/>
    <m/>
    <m/>
    <m/>
    <m/>
    <m/>
    <n v="4500015691"/>
    <m/>
    <m/>
    <m/>
    <m/>
    <m/>
    <m/>
    <m/>
    <m/>
    <m/>
    <m/>
    <m/>
    <m/>
    <m/>
  </r>
  <r>
    <n v="274"/>
    <s v="Circlecom Nusantara Indonesia"/>
    <s v="Bank Woori "/>
    <s v="Jl. Jend Sudirman Kav. 52-53 Kebayoran Baru, Jakarta Selatan 12190"/>
    <x v="0"/>
    <m/>
    <m/>
    <s v="Sewa Tahunan"/>
    <s v="Colocation"/>
    <s v="AL/1809/10470/ICON-00/1606/0123"/>
    <m/>
    <m/>
    <m/>
    <m/>
    <s v="-"/>
    <n v="75420000"/>
    <m/>
    <s v="-"/>
    <n v="12000000"/>
    <m/>
    <d v="2021-03-27T00:00:00"/>
    <d v="2022-03-26T00:00:00"/>
    <x v="0"/>
    <m/>
    <m/>
    <m/>
    <m/>
    <m/>
    <m/>
    <m/>
    <n v="4500015719"/>
    <m/>
    <m/>
    <m/>
    <m/>
    <m/>
    <m/>
    <m/>
    <m/>
    <m/>
    <m/>
    <m/>
    <m/>
    <m/>
  </r>
  <r>
    <n v="275"/>
    <s v="Indointernet"/>
    <s v="BCA Kota Baru Parahyangan"/>
    <s v="Jl. Rempoa Raya 11 Ciputat 00000"/>
    <x v="0"/>
    <m/>
    <m/>
    <s v="Sewa Tahunan"/>
    <s v="Interkoneksi"/>
    <s v="PA/ACT/2002/0814"/>
    <m/>
    <m/>
    <m/>
    <m/>
    <s v="-"/>
    <n v="123600000"/>
    <m/>
    <s v="-"/>
    <n v="18000000"/>
    <m/>
    <d v="2021-02-22T00:00:00"/>
    <d v="2022-02-21T00:00:00"/>
    <x v="0"/>
    <m/>
    <m/>
    <m/>
    <m/>
    <m/>
    <m/>
    <m/>
    <n v="4500015720"/>
    <m/>
    <m/>
    <m/>
    <m/>
    <m/>
    <m/>
    <m/>
    <m/>
    <m/>
    <m/>
    <m/>
    <m/>
    <m/>
  </r>
  <r>
    <n v="276"/>
    <s v="CBN Nusantara"/>
    <s v="Indomarco Prismatama"/>
    <s v="Jl. H. R Rasuna Said Blok X5 13 Jakarta 0000"/>
    <x v="0"/>
    <m/>
    <m/>
    <s v="Sewa Tahunan"/>
    <s v="Interkoneksi"/>
    <s v="PA/ACT/2006/1141"/>
    <m/>
    <m/>
    <m/>
    <m/>
    <s v="-"/>
    <n v="42000000"/>
    <m/>
    <s v="-"/>
    <n v="6000000"/>
    <m/>
    <d v="2021-03-01T00:00:00"/>
    <d v="2022-02-28T00:00:00"/>
    <x v="0"/>
    <m/>
    <m/>
    <m/>
    <m/>
    <m/>
    <m/>
    <m/>
    <n v="4500015717"/>
    <m/>
    <m/>
    <m/>
    <m/>
    <m/>
    <m/>
    <m/>
    <m/>
    <m/>
    <m/>
    <m/>
    <m/>
    <m/>
  </r>
  <r>
    <n v="277"/>
    <s v="Metropolitan Kencana Tbk"/>
    <s v="PT Mattel Trading Indonesia"/>
    <m/>
    <x v="0"/>
    <m/>
    <m/>
    <s v="Sewa Tahunan"/>
    <s v="Colocation"/>
    <s v="AL/2012/78421"/>
    <m/>
    <m/>
    <m/>
    <m/>
    <s v="-"/>
    <n v="240000000"/>
    <m/>
    <s v="-"/>
    <n v="30000000"/>
    <m/>
    <d v="2021-01-23T00:00:00"/>
    <d v="2022-01-22T00:00:00"/>
    <x v="0"/>
    <m/>
    <m/>
    <m/>
    <m/>
    <m/>
    <m/>
    <m/>
    <n v="4500015685"/>
    <m/>
    <m/>
    <m/>
    <m/>
    <m/>
    <m/>
    <m/>
    <m/>
    <m/>
    <m/>
    <m/>
    <m/>
    <m/>
  </r>
  <r>
    <n v="278"/>
    <s v="Bit Teknologi Nusantara "/>
    <s v="Data Sinergitama Jaya QQ Prima Sarana Jaya"/>
    <s v="Jl. Tentara Pelajar Jakarta 12210"/>
    <x v="0"/>
    <m/>
    <m/>
    <s v="Sewa Tahunan"/>
    <s v="Interkoneksi"/>
    <s v="ICON-00/SBC/1806/0021"/>
    <m/>
    <m/>
    <m/>
    <m/>
    <s v="-"/>
    <n v="60000000"/>
    <m/>
    <s v="-"/>
    <n v="30000000"/>
    <m/>
    <d v="2021-03-09T00:00:00"/>
    <d v="2022-03-08T00:00:00"/>
    <x v="0"/>
    <m/>
    <m/>
    <m/>
    <m/>
    <m/>
    <m/>
    <m/>
    <n v="4500015721"/>
    <m/>
    <m/>
    <m/>
    <m/>
    <m/>
    <m/>
    <m/>
    <m/>
    <m/>
    <m/>
    <m/>
    <m/>
    <m/>
  </r>
  <r>
    <n v="279"/>
    <s v="CBN Nusantara"/>
    <s v="PT Sampoerna Telekomunikasi Indonesia"/>
    <s v="Jl. H. R Rasuna Said Blok X5 13 Jakarta 0000"/>
    <x v="0"/>
    <m/>
    <m/>
    <s v="Sewa Tahunan"/>
    <s v="Colocation"/>
    <s v="PA/DOW/1812/0052"/>
    <m/>
    <m/>
    <m/>
    <m/>
    <s v="-"/>
    <n v="45540000"/>
    <m/>
    <s v="-"/>
    <n v="8000000"/>
    <m/>
    <d v="2021-01-03T00:00:00"/>
    <d v="2022-01-02T00:00:00"/>
    <x v="0"/>
    <m/>
    <m/>
    <m/>
    <m/>
    <m/>
    <m/>
    <m/>
    <n v="4500015718"/>
    <m/>
    <m/>
    <m/>
    <m/>
    <m/>
    <m/>
    <m/>
    <m/>
    <m/>
    <m/>
    <m/>
    <m/>
    <m/>
  </r>
  <r>
    <n v="280"/>
    <s v="DCI Indonesia"/>
    <s v="Aplikanusa Lintasarta"/>
    <s v="Jl. Jend Sudirman Kav 52-53 Jakarta 12190"/>
    <x v="0"/>
    <m/>
    <m/>
    <s v="Sewa Tahunan"/>
    <s v="Colocation"/>
    <s v="AR/ACT/1810/18452"/>
    <m/>
    <m/>
    <m/>
    <m/>
    <s v="-"/>
    <n v="60000000"/>
    <m/>
    <s v="-"/>
    <n v="18000000"/>
    <m/>
    <d v="2021-06-16T00:00:00"/>
    <d v="2022-06-15T00:00:00"/>
    <x v="0"/>
    <m/>
    <m/>
    <m/>
    <m/>
    <m/>
    <m/>
    <m/>
    <n v="4500016261"/>
    <m/>
    <m/>
    <m/>
    <m/>
    <m/>
    <m/>
    <m/>
    <m/>
    <m/>
    <m/>
    <m/>
    <m/>
    <m/>
  </r>
  <r>
    <n v="281"/>
    <s v="DCI Indonesia"/>
    <s v="NTT Indonesia"/>
    <s v="Jl. Jend Sudirman Kav 52-53 Jakarta 12190"/>
    <x v="0"/>
    <m/>
    <m/>
    <s v="Sewa Tahunan"/>
    <s v="Colocation"/>
    <s v="ICON-00/SBC/1611/0056"/>
    <m/>
    <m/>
    <m/>
    <m/>
    <s v="-"/>
    <n v="168000000"/>
    <m/>
    <s v="-"/>
    <n v="36000000"/>
    <m/>
    <d v="2021-06-24T00:00:00"/>
    <d v="2022-06-23T00:00:00"/>
    <x v="0"/>
    <m/>
    <m/>
    <m/>
    <m/>
    <m/>
    <m/>
    <m/>
    <n v="4500016259"/>
    <m/>
    <m/>
    <m/>
    <m/>
    <m/>
    <m/>
    <m/>
    <m/>
    <m/>
    <m/>
    <m/>
    <m/>
    <m/>
  </r>
  <r>
    <n v="282"/>
    <s v="Agung Sedayu Propertindo / Badan Pengelola Harco Mangga Dua"/>
    <s v="Bank Woori Saudara"/>
    <s v="Jl. Mangga Dua Raya Jakarta Ousat 10730"/>
    <x v="0"/>
    <m/>
    <m/>
    <s v="Sewa Tahunan"/>
    <s v="Colocation"/>
    <s v="PA/UPG/1909/0275"/>
    <m/>
    <m/>
    <m/>
    <m/>
    <s v="-"/>
    <n v="48600000"/>
    <m/>
    <s v="-"/>
    <n v="20000000"/>
    <m/>
    <d v="2021-06-11T00:00:00"/>
    <d v="2022-06-10T00:00:00"/>
    <x v="0"/>
    <m/>
    <m/>
    <m/>
    <m/>
    <m/>
    <m/>
    <m/>
    <n v="4500016262"/>
    <m/>
    <m/>
    <m/>
    <m/>
    <m/>
    <m/>
    <m/>
    <m/>
    <m/>
    <m/>
    <m/>
    <m/>
    <m/>
  </r>
  <r>
    <n v="283"/>
    <s v="Karyagraha Nusantara"/>
    <s v="APJII"/>
    <s v="Jl. Kuningan Barat 8 Jakarta 12710"/>
    <x v="0"/>
    <m/>
    <m/>
    <s v="Sewa Tahunan"/>
    <s v="Colocation"/>
    <s v="ICON-00/ACT/1409/0507"/>
    <m/>
    <m/>
    <m/>
    <m/>
    <s v="-"/>
    <n v="252480000"/>
    <m/>
    <s v="-"/>
    <n v="35000000"/>
    <m/>
    <d v="2021-05-28T00:00:00"/>
    <d v="2022-05-27T00:00:00"/>
    <x v="0"/>
    <m/>
    <m/>
    <m/>
    <m/>
    <m/>
    <m/>
    <m/>
    <n v="4500016058"/>
    <m/>
    <m/>
    <m/>
    <m/>
    <m/>
    <m/>
    <m/>
    <m/>
    <m/>
    <m/>
    <m/>
    <m/>
    <m/>
  </r>
  <r>
    <n v="284"/>
    <s v="Indointernet"/>
    <s v="PT Bimasakti Multi Sinegi"/>
    <s v="Jl. Rempoa Raya 11 Ciputat 00000"/>
    <x v="0"/>
    <m/>
    <m/>
    <s v="Sewa Tahunan"/>
    <s v="Cross Connect"/>
    <s v="PA/ACT/2105/2400/TER"/>
    <m/>
    <m/>
    <m/>
    <m/>
    <n v="2500000"/>
    <n v="39600000"/>
    <m/>
    <s v="-"/>
    <n v="12000000"/>
    <m/>
    <d v="2021-06-14T00:00:00"/>
    <d v="2022-06-13T00:00:00"/>
    <x v="0"/>
    <m/>
    <m/>
    <m/>
    <m/>
    <m/>
    <m/>
    <s v="16009/SPP/008/PUSAT/ICON+/2021"/>
    <n v="4500016292"/>
    <m/>
    <m/>
    <m/>
    <m/>
    <m/>
    <m/>
    <m/>
    <m/>
    <m/>
    <m/>
    <m/>
    <m/>
    <m/>
  </r>
  <r>
    <n v="285"/>
    <s v="Sigma Cipta Caraka"/>
    <s v="PT Bank Neo Commerce Tbk"/>
    <s v="Jl. Kapt. Subijanto DJ Tangerang 15321"/>
    <x v="0"/>
    <m/>
    <m/>
    <s v="Sewa Tahunan"/>
    <s v="Cross Connect"/>
    <s v="PA/ACT/2105/0645"/>
    <m/>
    <m/>
    <m/>
    <m/>
    <n v="5500000"/>
    <n v="216000000"/>
    <m/>
    <n v="6000000"/>
    <n v="12000000"/>
    <m/>
    <d v="2021-06-07T00:00:00"/>
    <d v="2022-06-06T00:00:00"/>
    <x v="0"/>
    <m/>
    <m/>
    <m/>
    <m/>
    <m/>
    <m/>
    <s v="15979/SPP/008/PUSAT/ICON+/2021"/>
    <n v="4500016294"/>
    <m/>
    <m/>
    <m/>
    <m/>
    <m/>
    <m/>
    <m/>
    <m/>
    <m/>
    <m/>
    <m/>
    <m/>
    <m/>
  </r>
  <r>
    <n v="286"/>
    <s v="SAMADISTA KARYA, PT"/>
    <s v="PT Astra Graphia Informasi Technology"/>
    <s v="Jl. TB Simatupang RT.004 RW.0001 Kav. 15 Jakarta Selatan 00000"/>
    <x v="0"/>
    <m/>
    <m/>
    <s v="Sewa Tahunan"/>
    <s v="Colocation"/>
    <s v="PA/ACT/1806/0079"/>
    <m/>
    <m/>
    <m/>
    <m/>
    <s v="-"/>
    <n v="286200000"/>
    <m/>
    <s v="-"/>
    <n v="50000000"/>
    <m/>
    <d v="2021-01-01T00:00:00"/>
    <d v="2021-12-31T00:00:00"/>
    <x v="0"/>
    <m/>
    <m/>
    <m/>
    <m/>
    <m/>
    <m/>
    <m/>
    <n v="4500015692"/>
    <m/>
    <m/>
    <m/>
    <m/>
    <m/>
    <m/>
    <m/>
    <m/>
    <m/>
    <m/>
    <m/>
    <m/>
    <m/>
  </r>
  <r>
    <n v="287"/>
    <s v="Link Net"/>
    <s v="Komisi Aparatur Sipil Negara"/>
    <s v="Citra Graha Lantai 4, Suite 403 Jakarta 12950"/>
    <x v="0"/>
    <m/>
    <m/>
    <s v="Sewa Tahunan"/>
    <s v="Interkoneksi"/>
    <s v="PA/ACT/2001/1498"/>
    <m/>
    <m/>
    <m/>
    <m/>
    <s v="-"/>
    <s v="-"/>
    <m/>
    <n v="5000000"/>
    <n v="96000000"/>
    <m/>
    <d v="2021-05-20T00:00:00"/>
    <d v="2022-05-19T00:00:00"/>
    <x v="0"/>
    <m/>
    <m/>
    <m/>
    <m/>
    <m/>
    <m/>
    <m/>
    <n v="4500016133"/>
    <m/>
    <m/>
    <m/>
    <m/>
    <m/>
    <m/>
    <m/>
    <m/>
    <m/>
    <m/>
    <m/>
    <m/>
    <m/>
  </r>
  <r>
    <n v="288"/>
    <s v="Sigma Cipta Caraka"/>
    <s v="PT Neo Commerce Tbk"/>
    <s v="Jl. Kapt. Subijanto DJ Tangerang 15321"/>
    <x v="0"/>
    <m/>
    <m/>
    <s v="Sewa Tahunan"/>
    <s v="Cross Connect"/>
    <s v="PA/ACT/2104/2393"/>
    <m/>
    <m/>
    <m/>
    <m/>
    <n v="10500000"/>
    <n v="20500000"/>
    <m/>
    <n v="12000000"/>
    <n v="24000000"/>
    <m/>
    <d v="2021-06-02T00:00:00"/>
    <d v="2022-06-01T00:00:00"/>
    <x v="0"/>
    <m/>
    <m/>
    <m/>
    <m/>
    <m/>
    <m/>
    <s v="15980/SPP/008/PUSAT/ICON+/2021"/>
    <n v="4500016293"/>
    <m/>
    <m/>
    <m/>
    <m/>
    <m/>
    <m/>
    <m/>
    <m/>
    <m/>
    <m/>
    <m/>
    <m/>
    <m/>
  </r>
  <r>
    <n v="289"/>
    <s v="IDC (Internetindo Data Centra Indonesia) "/>
    <s v="All Pelanggan"/>
    <m/>
    <x v="0"/>
    <m/>
    <m/>
    <s v="Sewa Tahunan"/>
    <s v="Cross Connect"/>
    <m/>
    <m/>
    <m/>
    <m/>
    <m/>
    <s v="-"/>
    <s v="-"/>
    <m/>
    <s v="-"/>
    <n v="1164000000"/>
    <m/>
    <d v="2021-04-01T00:00:00"/>
    <d v="2022-03-31T00:00:00"/>
    <x v="0"/>
    <m/>
    <m/>
    <m/>
    <m/>
    <m/>
    <m/>
    <s v="15660/SPP/008/PUSAT/ICON+/2021"/>
    <n v="4500016114"/>
    <m/>
    <m/>
    <m/>
    <m/>
    <m/>
    <m/>
    <m/>
    <m/>
    <m/>
    <m/>
    <m/>
    <m/>
    <m/>
  </r>
  <r>
    <n v="290"/>
    <s v="DCI Indonesia"/>
    <s v="PT Prodia Widyahusada"/>
    <s v="Jl. Jend Sudirman Kav 52-53 Jakarta 12190"/>
    <x v="0"/>
    <m/>
    <m/>
    <s v="Sewa Tahunan"/>
    <s v="Cross Connect"/>
    <s v="PA/ACT/1803/0081"/>
    <m/>
    <m/>
    <m/>
    <m/>
    <s v="-"/>
    <n v="72000000"/>
    <m/>
    <s v="-"/>
    <n v="18000000"/>
    <m/>
    <d v="2021-03-09T00:00:00"/>
    <d v="2022-03-08T00:00:00"/>
    <x v="0"/>
    <m/>
    <m/>
    <m/>
    <m/>
    <m/>
    <m/>
    <s v="15457/SPP/008/PUSAT/ICON+/2021"/>
    <n v="4500015871"/>
    <m/>
    <m/>
    <m/>
    <m/>
    <m/>
    <m/>
    <m/>
    <m/>
    <m/>
    <m/>
    <m/>
    <m/>
    <m/>
  </r>
  <r>
    <n v="291"/>
    <s v="DCI Indonesia"/>
    <s v="PT Pasifik Satelit Nusantara"/>
    <s v="Jl. Jend Sudirman Kav 52-53 Jakarta 12190"/>
    <x v="0"/>
    <m/>
    <m/>
    <s v="Sewa Tahunan"/>
    <s v="Cross Connect"/>
    <s v="AL/2005/13887"/>
    <m/>
    <m/>
    <m/>
    <m/>
    <s v="-"/>
    <n v="70800000"/>
    <m/>
    <s v="-"/>
    <n v="18000000"/>
    <m/>
    <d v="2021-03-23T00:00:00"/>
    <d v="2022-03-22T00:00:00"/>
    <x v="0"/>
    <m/>
    <m/>
    <m/>
    <m/>
    <m/>
    <m/>
    <s v="15468/SPP/008/PUSAT/ICON+/2021"/>
    <n v="4500015880"/>
    <m/>
    <m/>
    <m/>
    <m/>
    <m/>
    <m/>
    <m/>
    <m/>
    <m/>
    <m/>
    <m/>
    <m/>
    <m/>
  </r>
  <r>
    <n v="292"/>
    <s v="Perhimpun Penghuni Menara Karya"/>
    <s v="PT Bukit Asam Dan Bank Mega"/>
    <s v="Jl. H. R Rasuna Said Blok X5 13 Jakarta 0000"/>
    <x v="0"/>
    <m/>
    <m/>
    <s v="Sewa Tahunan"/>
    <s v="Colocation"/>
    <s v="AL/1904/5372"/>
    <m/>
    <m/>
    <m/>
    <m/>
    <s v="-"/>
    <n v="103154352"/>
    <m/>
    <s v="-"/>
    <n v="25520000"/>
    <m/>
    <d v="2021-04-05T00:00:00"/>
    <d v="2022-04-04T00:00:00"/>
    <x v="0"/>
    <m/>
    <m/>
    <m/>
    <m/>
    <m/>
    <m/>
    <s v="15591/SPP/008/PUSAT/ICON+/2021"/>
    <n v="4500016070"/>
    <m/>
    <m/>
    <m/>
    <m/>
    <m/>
    <m/>
    <m/>
    <m/>
    <m/>
    <m/>
    <m/>
    <m/>
    <m/>
  </r>
  <r>
    <n v="293"/>
    <s v="Prestasi Piranti Informasi"/>
    <s v="PT Lotte Chemical Titan Nusantara"/>
    <s v="Gd. Menara Kadin Lt. 11 Unit E-G DKI Jakarta 00000"/>
    <x v="0"/>
    <m/>
    <m/>
    <s v="Sewa Tahunan"/>
    <s v="Interkoneksi"/>
    <s v="PA/ACT/2001/0593"/>
    <m/>
    <m/>
    <m/>
    <m/>
    <n v="6500000"/>
    <n v="7700000"/>
    <m/>
    <s v="-"/>
    <n v="48000000"/>
    <m/>
    <d v="2021-01-23T00:00:00"/>
    <d v="2022-01-22T00:00:00"/>
    <x v="0"/>
    <m/>
    <m/>
    <m/>
    <m/>
    <m/>
    <m/>
    <m/>
    <n v="4500015815"/>
    <m/>
    <m/>
    <m/>
    <m/>
    <m/>
    <m/>
    <m/>
    <m/>
    <m/>
    <m/>
    <m/>
    <m/>
    <m/>
  </r>
  <r>
    <n v="294"/>
    <s v="DCI Indonesia"/>
    <s v="PT Bank Neo Commerce Tbk"/>
    <s v="Jl. Jend Sudirman Kav 52-53 Jakarta 12190"/>
    <x v="0"/>
    <m/>
    <m/>
    <s v="Sewa Tahunan"/>
    <s v="Cross Connect"/>
    <s v="PA/ACT/2104/2395"/>
    <m/>
    <m/>
    <m/>
    <m/>
    <n v="10500000"/>
    <n v="246000000"/>
    <m/>
    <n v="1500000"/>
    <n v="18000000"/>
    <m/>
    <d v="2021-05-20T00:00:00"/>
    <d v="2022-05-19T00:00:00"/>
    <x v="0"/>
    <m/>
    <m/>
    <m/>
    <m/>
    <m/>
    <m/>
    <s v="15872/SPP/008/PUSAT/ICON+/2021"/>
    <n v="4500016201"/>
    <m/>
    <m/>
    <m/>
    <m/>
    <m/>
    <m/>
    <m/>
    <m/>
    <m/>
    <m/>
    <m/>
    <m/>
    <m/>
  </r>
  <r>
    <n v="295"/>
    <s v="Grya Catur Abadi"/>
    <s v="PT Tera Logistic Indonesia"/>
    <s v="Jl. Abdul Muis No. 46 Jakarta 10160"/>
    <x v="0"/>
    <m/>
    <m/>
    <s v="Sewa Tahunan"/>
    <s v="Colocation"/>
    <s v="PA/ACT/2012/0457/TER"/>
    <m/>
    <m/>
    <m/>
    <m/>
    <n v="3000000"/>
    <n v="80400000"/>
    <m/>
    <s v="-"/>
    <n v="8500000"/>
    <m/>
    <d v="2021-02-01T00:00:00"/>
    <d v="2022-02-28T00:00:00"/>
    <x v="0"/>
    <m/>
    <m/>
    <m/>
    <m/>
    <m/>
    <m/>
    <s v="15824/SPP/008/PUSAT/ICON+/2021"/>
    <n v="4500016197"/>
    <m/>
    <m/>
    <m/>
    <m/>
    <m/>
    <m/>
    <m/>
    <m/>
    <m/>
    <m/>
    <m/>
    <m/>
    <m/>
  </r>
  <r>
    <n v="296"/>
    <s v="Media Nusantara Data Global "/>
    <s v="CDC Cyber"/>
    <s v="Jl. Kuningan Barat No.8 Cyber Building 1st &amp; 2nd Jakarta Selatan 12710"/>
    <x v="0"/>
    <m/>
    <m/>
    <s v="Sewa Tahunan"/>
    <s v="Cross Connect"/>
    <m/>
    <m/>
    <m/>
    <m/>
    <m/>
    <s v="-"/>
    <s v="-"/>
    <m/>
    <s v="-"/>
    <n v="39000000"/>
    <m/>
    <d v="2021-05-13T00:00:00"/>
    <d v="2022-05-12T00:00:00"/>
    <x v="0"/>
    <m/>
    <m/>
    <m/>
    <m/>
    <m/>
    <m/>
    <s v="15809/SPP/008/PUSAT/ICON+/2021"/>
    <n v="4500016167"/>
    <m/>
    <m/>
    <m/>
    <m/>
    <m/>
    <m/>
    <m/>
    <m/>
    <m/>
    <m/>
    <m/>
    <m/>
    <m/>
  </r>
  <r>
    <n v="297"/>
    <s v="Indointernet"/>
    <s v="Bank Index Selindo"/>
    <s v="Jl. Rempoa Raya 11 Ciputat 00000"/>
    <x v="0"/>
    <m/>
    <m/>
    <s v="Sewa Tahunan"/>
    <s v="Cross Connect"/>
    <s v="PA/ACT/1802/1088"/>
    <m/>
    <m/>
    <m/>
    <m/>
    <s v="-"/>
    <s v="-"/>
    <m/>
    <s v="-"/>
    <n v="2500000"/>
    <m/>
    <d v="2021-04-03T00:00:00"/>
    <d v="2022-04-02T00:00:00"/>
    <x v="0"/>
    <m/>
    <m/>
    <m/>
    <m/>
    <m/>
    <m/>
    <s v="15685/SPP/008/PUSAT/ICON+/2021"/>
    <n v="4500016185"/>
    <m/>
    <m/>
    <m/>
    <m/>
    <m/>
    <m/>
    <m/>
    <m/>
    <m/>
    <m/>
    <m/>
    <m/>
    <m/>
  </r>
  <r>
    <n v="298"/>
    <s v="Aplikanusa Lintasarta"/>
    <s v="PT Shenhua Guohua Pembangkitan Jawa Bali "/>
    <s v="Jl. M. H Thamrin Kav 3 Jakarta Pusat 10250"/>
    <x v="0"/>
    <m/>
    <m/>
    <s v="Sewa Tahunan"/>
    <s v="Interkoneksi"/>
    <s v="PA/UPG/2010/0056"/>
    <m/>
    <m/>
    <m/>
    <m/>
    <s v="-"/>
    <n v="372000000"/>
    <m/>
    <s v="-"/>
    <n v="196560000"/>
    <m/>
    <d v="2021-11-20T00:00:00"/>
    <d v="2022-11-19T00:00:00"/>
    <x v="0"/>
    <m/>
    <m/>
    <m/>
    <m/>
    <m/>
    <m/>
    <s v="17875/SPP/008/PUSAT/ICON+/2022"/>
    <n v="4500017665"/>
    <m/>
    <m/>
    <m/>
    <m/>
    <m/>
    <m/>
    <m/>
    <m/>
    <m/>
    <m/>
    <m/>
    <m/>
    <m/>
  </r>
  <r>
    <n v="299"/>
    <s v="Iforte Solusi Infotek"/>
    <s v="Prodia Widyahusada"/>
    <s v="Jl. MH. Thamrin 1 Jakarta Pusat 10310"/>
    <x v="0"/>
    <m/>
    <m/>
    <s v="Sewa Tahunan"/>
    <s v="Interkoneksi"/>
    <s v="PA/ACT/1802/1952"/>
    <m/>
    <m/>
    <m/>
    <m/>
    <s v="-"/>
    <n v="15600000"/>
    <m/>
    <s v="-"/>
    <n v="42000000"/>
    <m/>
    <d v="2021-11-01T00:00:00"/>
    <d v="2022-10-31T00:00:00"/>
    <x v="0"/>
    <m/>
    <m/>
    <m/>
    <m/>
    <m/>
    <m/>
    <m/>
    <n v="4500017612"/>
    <m/>
    <m/>
    <m/>
    <m/>
    <m/>
    <m/>
    <m/>
    <m/>
    <m/>
    <m/>
    <m/>
    <m/>
    <m/>
  </r>
  <r>
    <n v="300"/>
    <s v="Mandiri Andal Sejahtera"/>
    <s v="PT PLN (Persero) Kantor Pusat"/>
    <s v="Sudirman Kav 52-53 Jakarta Selatan 00000"/>
    <x v="0"/>
    <m/>
    <m/>
    <s v="Sewa Tahunan"/>
    <s v="Colocation"/>
    <s v="ICON-00/ACT/1606/0060"/>
    <m/>
    <m/>
    <m/>
    <m/>
    <s v="-"/>
    <n v="113479200"/>
    <m/>
    <s v="-"/>
    <n v="23224051"/>
    <m/>
    <d v="2021-08-01T00:00:00"/>
    <d v="2022-07-31T00:00:00"/>
    <x v="0"/>
    <m/>
    <m/>
    <m/>
    <m/>
    <m/>
    <m/>
    <m/>
    <n v="4500016715"/>
    <m/>
    <m/>
    <m/>
    <m/>
    <m/>
    <m/>
    <m/>
    <m/>
    <m/>
    <m/>
    <m/>
    <m/>
    <m/>
  </r>
  <r>
    <n v="301"/>
    <s v="PC 24 Telekomunikasi Indonesia"/>
    <s v="PT Bank Raya Indonesia"/>
    <s v="Ruko Kebayoran Centre Blok A No. 5 Jakarta Selatan 12240"/>
    <x v="0"/>
    <m/>
    <m/>
    <s v="Sewa Tahunan"/>
    <s v="Interkoneksi"/>
    <s v="AR/ACT/2201/2563/PA/ACT/2201/3045/'01000187928"/>
    <m/>
    <m/>
    <m/>
    <m/>
    <s v="-"/>
    <n v="85200000"/>
    <m/>
    <s v="-"/>
    <n v="18000000"/>
    <m/>
    <d v="2021-09-15T00:00:00"/>
    <d v="2022-09-14T00:00:00"/>
    <x v="0"/>
    <m/>
    <m/>
    <m/>
    <m/>
    <m/>
    <m/>
    <m/>
    <n v="4500017606"/>
    <m/>
    <m/>
    <m/>
    <m/>
    <m/>
    <m/>
    <m/>
    <m/>
    <m/>
    <m/>
    <m/>
    <m/>
    <m/>
  </r>
  <r>
    <n v="302"/>
    <s v="Karyagraha Nusantara"/>
    <s v="Cyber"/>
    <s v="Jl. Kuningan Barat 8 Jakarta 12710"/>
    <x v="0"/>
    <m/>
    <m/>
    <s v="Sewa Tahunan"/>
    <s v="Colocation"/>
    <s v="ICON-00/SBC/1609/0095"/>
    <m/>
    <m/>
    <m/>
    <m/>
    <s v="-"/>
    <n v="2166000000"/>
    <m/>
    <s v="-"/>
    <n v="35000000"/>
    <m/>
    <d v="2021-12-29T00:00:00"/>
    <d v="2022-12-28T00:00:00"/>
    <x v="0"/>
    <m/>
    <m/>
    <m/>
    <m/>
    <m/>
    <m/>
    <m/>
    <n v="4500017568"/>
    <m/>
    <m/>
    <m/>
    <m/>
    <m/>
    <m/>
    <m/>
    <m/>
    <m/>
    <m/>
    <m/>
    <m/>
    <m/>
  </r>
  <r>
    <n v="303"/>
    <s v="Karyagraha Nusantara"/>
    <s v="Bank Central Asia "/>
    <s v="Jl. Kuningan Barat 8 Jakarta 12710"/>
    <x v="0"/>
    <m/>
    <m/>
    <s v="Sewa Tahunan"/>
    <s v="Colocation"/>
    <s v="PA/RLK/2009/0090"/>
    <m/>
    <m/>
    <m/>
    <m/>
    <s v="-"/>
    <n v="28800000"/>
    <m/>
    <s v="-"/>
    <n v="7500000"/>
    <m/>
    <d v="2021-10-24T00:00:00"/>
    <d v="2022-10-23T00:00:00"/>
    <x v="0"/>
    <m/>
    <m/>
    <m/>
    <m/>
    <m/>
    <m/>
    <m/>
    <n v="4500017513"/>
    <m/>
    <m/>
    <m/>
    <m/>
    <m/>
    <m/>
    <m/>
    <m/>
    <m/>
    <m/>
    <m/>
    <m/>
    <m/>
  </r>
  <r>
    <n v="304"/>
    <s v="Serpong Mas Telematika "/>
    <s v="PT Lintasarta QQ Unilever "/>
    <s v="My Republic Plaza lt 2 WING A Jakarta 15345"/>
    <x v="0"/>
    <m/>
    <m/>
    <s v="Sewa Tahunan"/>
    <s v="Interkoneksi"/>
    <n v="1000120403"/>
    <m/>
    <m/>
    <m/>
    <m/>
    <s v="-"/>
    <n v="1443846000"/>
    <m/>
    <s v="-"/>
    <n v="393120000"/>
    <m/>
    <d v="2021-11-01T00:00:00"/>
    <d v="2022-10-31T00:00:00"/>
    <x v="0"/>
    <m/>
    <m/>
    <m/>
    <m/>
    <m/>
    <m/>
    <s v="17351/SPP/008/PUSAT/ICON+/2021"/>
    <n v="4500017491"/>
    <m/>
    <s v="Masrukhan"/>
    <s v="+62 812-9844-8648"/>
    <m/>
    <m/>
    <m/>
    <m/>
    <m/>
    <m/>
    <m/>
    <m/>
    <m/>
    <m/>
  </r>
  <r>
    <n v="305"/>
    <s v="Prestasi Piranti Informasi"/>
    <s v="Bank Woori "/>
    <s v="Gd. Menara Kadin Lt. 11 Unit E-G DKI Jakarta 00000"/>
    <x v="0"/>
    <m/>
    <m/>
    <s v="Sewa Tahunan"/>
    <s v="Interkoneksi"/>
    <s v="PA/UPG/1909/0260, PA/UPG/1909/0264"/>
    <m/>
    <m/>
    <m/>
    <m/>
    <s v="-"/>
    <n v="101250000"/>
    <m/>
    <s v="-"/>
    <n v="82000000"/>
    <m/>
    <d v="2021-12-01T00:00:00"/>
    <d v="2021-12-31T00:00:00"/>
    <x v="0"/>
    <m/>
    <m/>
    <m/>
    <m/>
    <m/>
    <m/>
    <s v="16939/SPP/008/PUSAT/ICON+/2021"/>
    <n v="4500017463"/>
    <m/>
    <m/>
    <m/>
    <m/>
    <m/>
    <m/>
    <m/>
    <m/>
    <m/>
    <m/>
    <m/>
    <m/>
    <m/>
  </r>
  <r>
    <n v="306"/>
    <s v="Power Telecom"/>
    <s v="PT Athaasia Finance "/>
    <s v="Jl. Tomang Raya No 43 Jakarta Barat 11440"/>
    <x v="0"/>
    <m/>
    <m/>
    <s v="Sewa Tahunan"/>
    <s v="Interkoneksi"/>
    <s v="PA/ACT/1807/0999"/>
    <m/>
    <m/>
    <m/>
    <m/>
    <s v="-"/>
    <n v="186000000"/>
    <m/>
    <s v="-"/>
    <n v="54000000"/>
    <m/>
    <d v="2021-11-01T00:00:00"/>
    <d v="2022-10-31T00:00:00"/>
    <x v="0"/>
    <m/>
    <m/>
    <m/>
    <m/>
    <m/>
    <m/>
    <s v="16667/SPP/008/PUSAt/ICON+/2021"/>
    <n v="4500017316"/>
    <m/>
    <m/>
    <m/>
    <m/>
    <m/>
    <m/>
    <m/>
    <m/>
    <m/>
    <m/>
    <m/>
    <m/>
    <m/>
  </r>
  <r>
    <n v="307"/>
    <s v="Tektovanus Solusi Sejahtera"/>
    <s v="PT NTT Indonesia"/>
    <s v="Jl. Pahlawan Seribu Lot. 12A Tangerang 15322"/>
    <x v="0"/>
    <m/>
    <m/>
    <s v="Sewa Tahunan"/>
    <s v="Colocation"/>
    <s v="PA/ACT/2010/1221"/>
    <m/>
    <m/>
    <m/>
    <m/>
    <s v="-"/>
    <n v="162000000"/>
    <m/>
    <s v="-"/>
    <n v="21900000"/>
    <m/>
    <d v="2021-11-23T00:00:00"/>
    <d v="2022-11-22T00:00:00"/>
    <x v="0"/>
    <m/>
    <m/>
    <m/>
    <m/>
    <m/>
    <m/>
    <s v="17226/SPP/008/PUSAT/ICON+/2021"/>
    <n v="4500017416"/>
    <m/>
    <m/>
    <m/>
    <m/>
    <m/>
    <m/>
    <m/>
    <m/>
    <m/>
    <m/>
    <m/>
    <m/>
    <m/>
  </r>
  <r>
    <n v="308"/>
    <s v="Dwi Tunggal Putra"/>
    <s v="PT Cipta Piranti "/>
    <s v="Jl. Embong Tanjung No. 40 Surabaya 60271"/>
    <x v="0"/>
    <m/>
    <m/>
    <s v="Sewa Tahunan"/>
    <s v="Colocation"/>
    <s v="AL/2002/54551#PA/RLK/1909/"/>
    <m/>
    <m/>
    <m/>
    <m/>
    <s v="-"/>
    <n v="30000000"/>
    <m/>
    <s v="-"/>
    <n v="8000000"/>
    <m/>
    <d v="2021-11-01T00:00:00"/>
    <d v="2022-12-31T00:00:00"/>
    <x v="0"/>
    <m/>
    <m/>
    <m/>
    <m/>
    <m/>
    <m/>
    <m/>
    <n v="4500017616"/>
    <m/>
    <m/>
    <m/>
    <m/>
    <m/>
    <m/>
    <m/>
    <m/>
    <m/>
    <m/>
    <m/>
    <m/>
    <m/>
  </r>
  <r>
    <n v="309"/>
    <s v="Smartfren Telecom Tbk"/>
    <s v="Bank Woori Saudara"/>
    <s v="Jl. H. Agus Salim 45 Jakarta 10340"/>
    <x v="0"/>
    <m/>
    <m/>
    <s v="Sewa Tahunan"/>
    <s v="Interkoneksi"/>
    <s v="PA/ACT/1907/3735"/>
    <m/>
    <m/>
    <m/>
    <m/>
    <s v="-"/>
    <n v="6442419"/>
    <m/>
    <s v="-"/>
    <n v="18270975"/>
    <m/>
    <d v="2021-12-16T00:00:00"/>
    <d v="2022-04-10T00:00:00"/>
    <x v="0"/>
    <m/>
    <m/>
    <m/>
    <m/>
    <m/>
    <m/>
    <s v="17691/SPP/008/PUSAT/ICON+/2021"/>
    <n v="4500017860"/>
    <m/>
    <m/>
    <m/>
    <m/>
    <m/>
    <m/>
    <m/>
    <m/>
    <m/>
    <m/>
    <m/>
    <m/>
    <m/>
  </r>
  <r>
    <n v="310"/>
    <s v="Sigma Cipta Caraka"/>
    <s v="PT Semen Baturaja"/>
    <s v="Jl. Kapt. Subijanto DJ Tangerang 15321"/>
    <x v="0"/>
    <m/>
    <m/>
    <s v="Sewa Tahunan"/>
    <s v="Cross Connect"/>
    <s v="PA/ACT/2108/1056, PA/ACT/2108/1057"/>
    <m/>
    <m/>
    <m/>
    <m/>
    <s v="-"/>
    <n v="218400000"/>
    <m/>
    <n v="9000000"/>
    <n v="18000000"/>
    <m/>
    <d v="2021-09-16T00:00:00"/>
    <d v="2022-09-15T00:00:00"/>
    <x v="0"/>
    <m/>
    <m/>
    <m/>
    <m/>
    <m/>
    <m/>
    <s v="16705/SPP/008/PUSAT/ICON+/2021"/>
    <n v="4500016820"/>
    <m/>
    <m/>
    <m/>
    <m/>
    <m/>
    <m/>
    <m/>
    <m/>
    <m/>
    <m/>
    <m/>
    <m/>
    <m/>
  </r>
  <r>
    <n v="311"/>
    <s v="Senayan Trikarya Sempana"/>
    <s v="PT Seamless Pipe Indonesia, PT Berlian Sistem Informasi, Dan PT Maybank"/>
    <s v="Jl. Asia Afrika No 8 Jakarta 10270"/>
    <x v="0"/>
    <m/>
    <m/>
    <s v="Sewa Tahunan"/>
    <s v="Cross Connect"/>
    <s v="PA/ACT/2108/0103, PA/UPG/2004/0026, PA/ACT/1905/2963"/>
    <m/>
    <m/>
    <m/>
    <m/>
    <n v="1021200000"/>
    <n v="5000000"/>
    <m/>
    <s v="-"/>
    <n v="145000000"/>
    <m/>
    <d v="2021-10-05T00:00:00"/>
    <d v="2022-10-04T00:00:00"/>
    <x v="0"/>
    <m/>
    <m/>
    <m/>
    <m/>
    <m/>
    <m/>
    <s v="16691/SPP/008/PUSAT/ICON+/2021"/>
    <n v="4500016890"/>
    <m/>
    <m/>
    <m/>
    <m/>
    <m/>
    <m/>
    <m/>
    <m/>
    <m/>
    <m/>
    <m/>
    <m/>
    <m/>
  </r>
  <r>
    <n v="312"/>
    <s v="Indointernet"/>
    <s v="PT Toyota Astra Motor TTC "/>
    <s v="Jl. Rempoa Raya 11 Ciputat 00000"/>
    <x v="0"/>
    <m/>
    <m/>
    <s v="Sewa Tahunan"/>
    <s v="Interkoneksi"/>
    <s v="PA/UOD/2206/0010/TER"/>
    <m/>
    <m/>
    <m/>
    <m/>
    <s v="-"/>
    <n v="48000000"/>
    <m/>
    <s v="-"/>
    <n v="5000010"/>
    <m/>
    <d v="2022-06-24T00:00:00"/>
    <d v="2022-06-23T00:00:00"/>
    <x v="0"/>
    <m/>
    <m/>
    <m/>
    <m/>
    <m/>
    <m/>
    <s v="19082/SPP/008/PUSAT/ICON+/2022"/>
    <n v="4500018380"/>
    <m/>
    <m/>
    <m/>
    <m/>
    <m/>
    <m/>
    <m/>
    <m/>
    <m/>
    <m/>
    <m/>
    <m/>
    <m/>
  </r>
  <r>
    <n v="313"/>
    <s v="Persatuan Penghuni Perkantoran Plaz "/>
    <s v="PT Orbit Terminal Merak "/>
    <s v="Gedung Plaza Asia Jl. Jend Sudirman Kav 59 Jakarta 12190"/>
    <x v="0"/>
    <m/>
    <m/>
    <s v="Sewa Tahunan"/>
    <s v="Colocation"/>
    <s v="ICON-00/SBC/1810/0080"/>
    <m/>
    <m/>
    <m/>
    <m/>
    <s v="-"/>
    <n v="63818184"/>
    <m/>
    <s v="-"/>
    <n v="16666668"/>
    <m/>
    <d v="2021-12-04T00:00:00"/>
    <d v="2022-12-03T00:00:00"/>
    <x v="0"/>
    <m/>
    <m/>
    <m/>
    <m/>
    <m/>
    <m/>
    <s v="17306/SPP/008/PUSAT/ICON+/2021"/>
    <n v="4500017849"/>
    <m/>
    <m/>
    <m/>
    <m/>
    <m/>
    <m/>
    <m/>
    <m/>
    <m/>
    <m/>
    <m/>
    <m/>
    <m/>
  </r>
  <r>
    <n v="314"/>
    <s v="Media Nusantara Data Global "/>
    <s v="Project Nap 100 G"/>
    <s v="Jl. Kuningan Barat 8 Cyber Building 7 Jakarta Selatan 12170"/>
    <x v="0"/>
    <m/>
    <m/>
    <s v="Sewa Tahunan"/>
    <s v="Cross Connect"/>
    <m/>
    <m/>
    <m/>
    <m/>
    <m/>
    <s v="-"/>
    <s v="-"/>
    <m/>
    <s v="-"/>
    <n v="2500001"/>
    <m/>
    <d v="2021-08-14T00:00:00"/>
    <d v="2022-08-13T00:00:00"/>
    <x v="0"/>
    <m/>
    <m/>
    <m/>
    <m/>
    <m/>
    <m/>
    <s v="16629/SPP/008/PUSAT/ICON+/2022"/>
    <n v="4500016886"/>
    <m/>
    <m/>
    <m/>
    <m/>
    <m/>
    <m/>
    <m/>
    <m/>
    <m/>
    <m/>
    <m/>
    <m/>
    <m/>
  </r>
  <r>
    <n v="315"/>
    <s v="Indointernet"/>
    <s v="Primacom qq Bank Ina Perdana"/>
    <s v="JL. Rempoa Raya 11"/>
    <x v="0"/>
    <m/>
    <m/>
    <s v="Sewa Tahunan"/>
    <s v="Colocation"/>
    <s v="PA/ACT/1812/0776"/>
    <m/>
    <m/>
    <m/>
    <m/>
    <s v="-"/>
    <n v="30000000"/>
    <m/>
    <s v="-"/>
    <n v="2200000"/>
    <m/>
    <d v="2021-02-20T00:00:00"/>
    <d v="2022-02-19T00:00:00"/>
    <x v="0"/>
    <m/>
    <m/>
    <m/>
    <m/>
    <m/>
    <m/>
    <s v="15269/SPP/008/PUSAT/ICON+/2021"/>
    <n v="4500015778"/>
    <m/>
    <m/>
    <m/>
    <m/>
    <m/>
    <m/>
    <m/>
    <m/>
    <m/>
    <m/>
    <m/>
    <m/>
    <m/>
  </r>
  <r>
    <n v="316"/>
    <s v="Karyagraha Nusantara "/>
    <s v="PT IPWAN GLOBAL TELECOM"/>
    <s v="Jl.Kuningan Barat 8 Jakarta 12710"/>
    <x v="0"/>
    <m/>
    <m/>
    <s v="Sewa Tahunan"/>
    <s v="Colocation"/>
    <s v="AL/2020/50623"/>
    <m/>
    <m/>
    <m/>
    <m/>
    <s v="-"/>
    <n v="54000000"/>
    <m/>
    <s v="-"/>
    <n v="7000000"/>
    <m/>
    <d v="2021-01-21T00:00:00"/>
    <d v="2022-01-20T00:00:00"/>
    <x v="0"/>
    <m/>
    <m/>
    <m/>
    <m/>
    <m/>
    <m/>
    <m/>
    <n v="4500015724"/>
    <m/>
    <m/>
    <m/>
    <m/>
    <m/>
    <m/>
    <m/>
    <m/>
    <m/>
    <m/>
    <m/>
    <m/>
    <m/>
  </r>
  <r>
    <n v="317"/>
    <s v="DCI INDONESIA"/>
    <s v="PT. Bank Mayapada Internasional"/>
    <s v="Jl. Jend Sudirman Kav 52-53 Jakarta 12190"/>
    <x v="0"/>
    <m/>
    <m/>
    <s v="Sewa Tahunan"/>
    <s v="Cross Connect"/>
    <s v="PA/RLK/1803/0020"/>
    <m/>
    <m/>
    <m/>
    <m/>
    <s v="-"/>
    <n v="39000000"/>
    <m/>
    <s v="-"/>
    <n v="18000000"/>
    <m/>
    <d v="2021-03-19T00:00:00"/>
    <d v="2022-03-18T00:00:00"/>
    <x v="0"/>
    <m/>
    <m/>
    <m/>
    <m/>
    <m/>
    <m/>
    <s v="15461/SPP/008/PUSAT/ICON+/2021"/>
    <n v="4500015870"/>
    <m/>
    <m/>
    <m/>
    <m/>
    <m/>
    <m/>
    <m/>
    <m/>
    <m/>
    <m/>
    <m/>
    <m/>
    <m/>
  </r>
  <r>
    <n v="318"/>
    <s v="Dinamika Raya Prima "/>
    <s v="PT BERLIAN SISTEM INFORMASI qq DIPO STAR FINANCE"/>
    <s v="Jl. Jend Sudirman Kav 10-11"/>
    <x v="0"/>
    <m/>
    <m/>
    <s v="Sewa Tahunan"/>
    <s v="Cross Connect"/>
    <s v="AL/1904/7057"/>
    <m/>
    <m/>
    <m/>
    <m/>
    <s v="-"/>
    <n v="138000000"/>
    <m/>
    <s v="-"/>
    <n v="6000000"/>
    <m/>
    <d v="2021-03-13T00:00:00"/>
    <d v="2022-03-12T00:00:00"/>
    <x v="0"/>
    <m/>
    <m/>
    <m/>
    <m/>
    <m/>
    <m/>
    <m/>
    <n v="4500015823"/>
    <m/>
    <m/>
    <m/>
    <m/>
    <m/>
    <m/>
    <m/>
    <m/>
    <m/>
    <m/>
    <m/>
    <m/>
    <m/>
  </r>
  <r>
    <n v="319"/>
    <s v="Indointernet"/>
    <s v="PT NUTRIFOOD INDONESIA"/>
    <s v="JL. Rempoa Raya 11"/>
    <x v="0"/>
    <m/>
    <m/>
    <s v="Sewa Tahunan"/>
    <s v="Interkoneksi"/>
    <s v="PA/UPG/1810/0084"/>
    <m/>
    <m/>
    <m/>
    <m/>
    <s v="-"/>
    <n v="78000000"/>
    <m/>
    <s v="-"/>
    <n v="42000000"/>
    <m/>
    <d v="2021-02-21T00:00:00"/>
    <d v="2022-02-20T00:00:00"/>
    <x v="0"/>
    <m/>
    <m/>
    <m/>
    <m/>
    <m/>
    <m/>
    <m/>
    <n v="4500015824"/>
    <m/>
    <m/>
    <m/>
    <m/>
    <m/>
    <m/>
    <m/>
    <m/>
    <m/>
    <m/>
    <m/>
    <m/>
    <m/>
  </r>
  <r>
    <n v="320"/>
    <s v="Pelabuhan Indonesia II  (Persero)/PELINDO II"/>
    <s v="PT TARUNA BINA SARANA"/>
    <s v="Jl. Raya Pelabuhan No. 1"/>
    <x v="0"/>
    <m/>
    <m/>
    <s v="Sewa Tahunan"/>
    <s v="Colocation"/>
    <s v="ICON-00/SBC/1802/0359"/>
    <m/>
    <m/>
    <m/>
    <m/>
    <s v="-"/>
    <n v="49200000"/>
    <m/>
    <s v="-"/>
    <n v="8642700"/>
    <m/>
    <d v="2021-01-01T00:00:00"/>
    <d v="2021-12-31T00:00:00"/>
    <x v="0"/>
    <m/>
    <m/>
    <m/>
    <m/>
    <m/>
    <m/>
    <m/>
    <n v="4500016051"/>
    <m/>
    <m/>
    <m/>
    <m/>
    <m/>
    <m/>
    <m/>
    <m/>
    <m/>
    <m/>
    <m/>
    <m/>
    <m/>
  </r>
  <r>
    <n v="321"/>
    <s v="Omega Propertindo"/>
    <s v="PT. Japfa Comfeed Indonesia"/>
    <s v="JL. MT Haryono Ka 16"/>
    <x v="0"/>
    <m/>
    <m/>
    <s v="Sewa Tahunan"/>
    <s v="Colocation"/>
    <s v="PA/ACT/1912/3172"/>
    <m/>
    <m/>
    <m/>
    <m/>
    <s v="-"/>
    <n v="72000000"/>
    <m/>
    <s v="-"/>
    <n v="31000000"/>
    <m/>
    <d v="2021-02-03T00:00:00"/>
    <d v="2022-02-02T00:00:00"/>
    <x v="0"/>
    <m/>
    <m/>
    <m/>
    <m/>
    <m/>
    <m/>
    <m/>
    <n v="4500015839"/>
    <m/>
    <m/>
    <m/>
    <m/>
    <m/>
    <m/>
    <m/>
    <m/>
    <m/>
    <m/>
    <m/>
    <m/>
    <m/>
  </r>
  <r>
    <n v="322"/>
    <s v="Karyagraha Nusantara "/>
    <m/>
    <s v="Jl.Kuningan Barat 8 Jakarta 12710"/>
    <x v="0"/>
    <m/>
    <m/>
    <s v="Sewa Tahunan"/>
    <s v="Colocation"/>
    <m/>
    <m/>
    <m/>
    <m/>
    <m/>
    <s v="-"/>
    <s v="-"/>
    <m/>
    <s v="-"/>
    <n v="17000000"/>
    <m/>
    <d v="2021-05-28T00:00:00"/>
    <d v="2022-05-27T00:00:00"/>
    <x v="0"/>
    <m/>
    <m/>
    <m/>
    <m/>
    <m/>
    <m/>
    <s v="15887/SPP/008/PUSAT/ICON+/2021"/>
    <n v="4500016198"/>
    <m/>
    <m/>
    <m/>
    <m/>
    <m/>
    <m/>
    <m/>
    <m/>
    <m/>
    <m/>
    <m/>
    <m/>
    <m/>
  </r>
  <r>
    <n v="323"/>
    <s v="DCI Indonesia "/>
    <s v="PT AGINCOURT RESOURCES"/>
    <s v="Jl. Jend Sudirman Kav 52-53 Jakarta 12190"/>
    <x v="0"/>
    <m/>
    <m/>
    <s v="Sewa Tahunan"/>
    <s v="Cross Connect"/>
    <s v="PA/ACT/2105/0711"/>
    <m/>
    <m/>
    <m/>
    <m/>
    <s v="-"/>
    <n v="84000000"/>
    <m/>
    <n v="1500000"/>
    <n v="18000000"/>
    <m/>
    <d v="2021-05-28T00:00:00"/>
    <d v="2022-05-27T00:00:00"/>
    <x v="0"/>
    <m/>
    <m/>
    <m/>
    <m/>
    <m/>
    <m/>
    <s v="15873/SPP/008/PUSAT/ICON+/2021"/>
    <n v="4500016200"/>
    <m/>
    <m/>
    <m/>
    <m/>
    <m/>
    <m/>
    <m/>
    <m/>
    <m/>
    <m/>
    <m/>
    <m/>
    <m/>
  </r>
  <r>
    <n v="324"/>
    <s v="Indointernet"/>
    <s v="PT. Prodia Widyahusada"/>
    <s v="JL. Rempoa Raya 11"/>
    <x v="0"/>
    <m/>
    <m/>
    <s v="Sewa Tahunan"/>
    <s v="Cross Connect"/>
    <s v="PA/ACT/1803/0184"/>
    <m/>
    <m/>
    <m/>
    <m/>
    <s v="-"/>
    <n v="72000000"/>
    <m/>
    <s v="-"/>
    <n v="2500000"/>
    <m/>
    <d v="2021-04-03T00:00:00"/>
    <d v="2022-04-02T00:00:00"/>
    <x v="0"/>
    <m/>
    <m/>
    <m/>
    <m/>
    <m/>
    <m/>
    <s v="15899/SPP/008/PUSAT/ICON+/2021"/>
    <n v="4500016185"/>
    <m/>
    <m/>
    <m/>
    <m/>
    <m/>
    <m/>
    <m/>
    <m/>
    <m/>
    <m/>
    <m/>
    <m/>
    <m/>
  </r>
  <r>
    <n v="325"/>
    <s v="Indointernet"/>
    <s v="PT TOYOTA ASTRA MOTOR"/>
    <s v="JL. Rempoa Raya 11"/>
    <x v="0"/>
    <m/>
    <m/>
    <s v="Sewa Tahunan"/>
    <s v="Interkoneksi"/>
    <s v="ICON-00/SBC/1309/0467"/>
    <m/>
    <m/>
    <m/>
    <m/>
    <s v="-"/>
    <n v="378000000"/>
    <m/>
    <s v="-"/>
    <n v="120000000"/>
    <m/>
    <d v="2021-01-01T00:00:00"/>
    <d v="2021-12-31T00:00:00"/>
    <x v="0"/>
    <m/>
    <m/>
    <m/>
    <m/>
    <m/>
    <m/>
    <m/>
    <n v="4500015647"/>
    <m/>
    <m/>
    <m/>
    <m/>
    <m/>
    <m/>
    <m/>
    <m/>
    <m/>
    <m/>
    <m/>
    <m/>
    <m/>
  </r>
  <r>
    <n v="326"/>
    <s v="Grahalestari Ciptakencana"/>
    <s v="GEDUNG TALAVERA"/>
    <s v="Jl. Letjen T.B. Simatupang Kav.22-26 Jakarta 12430"/>
    <x v="0"/>
    <m/>
    <m/>
    <s v="Sewa Tahunan"/>
    <s v="Colocation"/>
    <s v="AL/1902/3892, AL/1910/52208"/>
    <m/>
    <m/>
    <m/>
    <m/>
    <s v="-"/>
    <n v="111600000"/>
    <m/>
    <s v="-"/>
    <n v="90000000"/>
    <m/>
    <d v="2021-03-30T00:00:00"/>
    <d v="2022-03-29T00:00:00"/>
    <x v="0"/>
    <m/>
    <m/>
    <m/>
    <m/>
    <m/>
    <m/>
    <m/>
    <n v="4500015726"/>
    <m/>
    <m/>
    <m/>
    <m/>
    <m/>
    <m/>
    <m/>
    <m/>
    <m/>
    <m/>
    <m/>
    <m/>
    <m/>
  </r>
  <r>
    <n v="327"/>
    <s v="Dinamika Raya Prima "/>
    <s v="BANK SINARMAS"/>
    <s v="Jl. Jend Sudirman Kav 10-11"/>
    <x v="0"/>
    <m/>
    <m/>
    <s v="Sewa Tahunan"/>
    <s v="Cross Connect"/>
    <s v="PA/ACT/1905/2978"/>
    <m/>
    <m/>
    <m/>
    <m/>
    <s v="-"/>
    <n v="223200000"/>
    <m/>
    <s v="-"/>
    <n v="2000000"/>
    <m/>
    <d v="2021-01-01T00:00:00"/>
    <d v="2021-12-31T00:00:00"/>
    <x v="0"/>
    <m/>
    <m/>
    <m/>
    <m/>
    <m/>
    <m/>
    <m/>
    <n v="4500015646"/>
    <m/>
    <m/>
    <m/>
    <m/>
    <m/>
    <m/>
    <m/>
    <m/>
    <m/>
    <m/>
    <m/>
    <m/>
    <m/>
  </r>
  <r>
    <n v="328"/>
    <s v="Indosat Tbk "/>
    <s v="PT. Trans Retail di Bintaro dan Kupang"/>
    <s v="Jl. Medan Merdeka Selatan No.17"/>
    <x v="0"/>
    <m/>
    <m/>
    <s v="Sewa Tahunan"/>
    <s v="Interkoneksi"/>
    <s v="ICON-00/ACT/1711/1474, ICON-00/ACT/1705/1419"/>
    <m/>
    <m/>
    <m/>
    <m/>
    <s v="-"/>
    <n v="108000000"/>
    <m/>
    <s v="-"/>
    <n v="81840000"/>
    <m/>
    <d v="2021-01-01T00:00:00"/>
    <d v="2021-12-31T00:00:00"/>
    <x v="0"/>
    <m/>
    <m/>
    <m/>
    <m/>
    <m/>
    <m/>
    <m/>
    <n v="4500015650"/>
    <m/>
    <m/>
    <m/>
    <m/>
    <m/>
    <m/>
    <m/>
    <m/>
    <m/>
    <m/>
    <m/>
    <m/>
    <m/>
  </r>
  <r>
    <n v="329"/>
    <s v="PT Rekajasa Akses"/>
    <s v="PT. Trans Retail "/>
    <s v="Jl. Permata Senayan Blok F 08-09 7fl #703"/>
    <x v="0"/>
    <m/>
    <m/>
    <s v="Sewa Tahunan"/>
    <s v="Colocation"/>
    <s v="PA/RLK/2006/0020"/>
    <m/>
    <m/>
    <m/>
    <m/>
    <s v="-"/>
    <n v="66000000"/>
    <m/>
    <s v="-"/>
    <n v="55200000"/>
    <m/>
    <d v="2021-01-01T00:00:00"/>
    <d v="2021-12-31T00:00:00"/>
    <x v="0"/>
    <m/>
    <m/>
    <m/>
    <m/>
    <m/>
    <m/>
    <m/>
    <n v="4500015654"/>
    <m/>
    <m/>
    <m/>
    <m/>
    <m/>
    <m/>
    <m/>
    <m/>
    <m/>
    <m/>
    <m/>
    <m/>
    <m/>
  </r>
  <r>
    <n v="330"/>
    <s v="DCI Indonesia "/>
    <s v="PT TOKOPEDIA"/>
    <s v="Jl. Jend Sudirman Kav 52-53 Jakarta 12190"/>
    <x v="0"/>
    <m/>
    <m/>
    <s v="Sewa Tahunan"/>
    <s v="Cross Connect"/>
    <s v="PA/ACT/1912/0555"/>
    <m/>
    <m/>
    <m/>
    <m/>
    <s v="-"/>
    <n v="60000000"/>
    <m/>
    <s v="-"/>
    <n v="18000000"/>
    <m/>
    <d v="2021-03-09T00:00:00"/>
    <d v="2022-03-08T00:00:00"/>
    <x v="0"/>
    <m/>
    <m/>
    <m/>
    <m/>
    <m/>
    <m/>
    <m/>
    <n v="4500015715"/>
    <m/>
    <m/>
    <m/>
    <m/>
    <m/>
    <m/>
    <m/>
    <m/>
    <m/>
    <m/>
    <m/>
    <m/>
    <m/>
  </r>
  <r>
    <n v="331"/>
    <s v="Aston Inti Makmur"/>
    <s v="PT NUGRAHA INDAH CITARASA INDONESIA"/>
    <s v="Jl. HR Rasuna Said BLK X-2"/>
    <x v="0"/>
    <m/>
    <m/>
    <s v="Sewa Tahunan"/>
    <s v="Colocation"/>
    <s v="PA/RLK/1902/0056"/>
    <m/>
    <m/>
    <m/>
    <m/>
    <s v="-"/>
    <n v="60000000"/>
    <m/>
    <s v="-"/>
    <n v="25000000"/>
    <m/>
    <d v="2021-03-01T00:00:00"/>
    <d v="2022-02-28T00:00:00"/>
    <x v="0"/>
    <m/>
    <m/>
    <m/>
    <m/>
    <m/>
    <m/>
    <m/>
    <n v="4500015907"/>
    <m/>
    <m/>
    <m/>
    <m/>
    <m/>
    <m/>
    <m/>
    <m/>
    <m/>
    <m/>
    <m/>
    <m/>
    <m/>
  </r>
  <r>
    <n v="332"/>
    <s v="Detik Ini Juga "/>
    <s v="PT TRANS REKREASINDO"/>
    <s v="Jl. Kapt. Tandean Kav 12-14A"/>
    <x v="0"/>
    <m/>
    <m/>
    <s v="Sewa Tahunan"/>
    <s v="Interkoneksi"/>
    <s v="PA/ACT/1903/1573, PA/ACT/1903/2236"/>
    <m/>
    <m/>
    <m/>
    <m/>
    <s v="-"/>
    <n v="109200000"/>
    <m/>
    <s v="-"/>
    <n v="30000000"/>
    <m/>
    <d v="2021-01-01T00:00:00"/>
    <d v="2021-12-31T00:00:00"/>
    <x v="0"/>
    <m/>
    <m/>
    <m/>
    <m/>
    <m/>
    <m/>
    <m/>
    <n v="4500015905"/>
    <m/>
    <m/>
    <m/>
    <m/>
    <m/>
    <m/>
    <m/>
    <m/>
    <m/>
    <m/>
    <m/>
    <m/>
    <m/>
  </r>
  <r>
    <n v="333"/>
    <s v="Link Net"/>
    <s v="BANK WOORI SAUDARA"/>
    <s v="Citra Graha Lantai 4, Suite 403 Jakarta 12950"/>
    <x v="0"/>
    <m/>
    <m/>
    <s v="Sewa Tahunan"/>
    <s v="Interkoneksi"/>
    <s v="PA/UPG/1909/0258"/>
    <m/>
    <m/>
    <m/>
    <m/>
    <s v="-"/>
    <n v="48600000"/>
    <m/>
    <s v="-"/>
    <n v="54888000"/>
    <m/>
    <d v="2021-04-14T00:00:00"/>
    <d v="2022-04-13T00:00:00"/>
    <x v="0"/>
    <m/>
    <m/>
    <m/>
    <m/>
    <m/>
    <m/>
    <m/>
    <n v="4500015653"/>
    <m/>
    <m/>
    <m/>
    <m/>
    <m/>
    <m/>
    <m/>
    <m/>
    <m/>
    <m/>
    <m/>
    <m/>
    <m/>
  </r>
  <r>
    <n v="334"/>
    <s v="Hipernet Indodata "/>
    <s v="MORINAGA KINO INDONESIA"/>
    <s v="Jl. Makaliwe Raya 24-24a Grogol, Petamburan, Jakarta Barat 11450"/>
    <x v="0"/>
    <m/>
    <m/>
    <s v="Sewa Bulanan"/>
    <s v="Interkoneksi"/>
    <s v="1000024892"/>
    <m/>
    <m/>
    <m/>
    <m/>
    <s v="-"/>
    <n v="3600000"/>
    <m/>
    <n v="1370982"/>
    <s v="-"/>
    <m/>
    <d v="2021-01-01T00:00:00"/>
    <d v="2021-01-17T00:00:00"/>
    <x v="0"/>
    <m/>
    <m/>
    <m/>
    <m/>
    <m/>
    <m/>
    <m/>
    <n v="4500015922"/>
    <m/>
    <m/>
    <m/>
    <m/>
    <m/>
    <m/>
    <m/>
    <m/>
    <m/>
    <m/>
    <m/>
    <m/>
    <m/>
  </r>
  <r>
    <n v="335"/>
    <s v="Infrastruktur Cakrawala Telekomunikasi"/>
    <s v="PT. JAYA WIRA JERINDO"/>
    <s v="Jl. Jababeka IV Blok B No. 12 jbbk Industria Esta Cikarang"/>
    <x v="0"/>
    <m/>
    <m/>
    <s v="Sewa Tahunan"/>
    <s v="Cross Connect"/>
    <s v="60001748"/>
    <m/>
    <m/>
    <m/>
    <m/>
    <s v="-"/>
    <n v="36000000"/>
    <m/>
    <n v="6600000"/>
    <n v="11359668"/>
    <m/>
    <d v="2021-02-12T00:00:00"/>
    <d v="2022-02-11T00:00:00"/>
    <x v="0"/>
    <m/>
    <m/>
    <m/>
    <m/>
    <m/>
    <m/>
    <s v="15180/SPP/008/PUSAT/ICON+/2021"/>
    <n v="4500015777"/>
    <m/>
    <m/>
    <m/>
    <m/>
    <m/>
    <m/>
    <m/>
    <m/>
    <m/>
    <m/>
    <m/>
    <m/>
    <m/>
  </r>
  <r>
    <n v="336"/>
    <s v="Detik Ini Juga "/>
    <s v="PT TRANS RETAIL CIBUBUR"/>
    <s v="Jl. Kapt. Tandean Kav 12-14A"/>
    <x v="0"/>
    <m/>
    <m/>
    <s v="Sewa Tahunan"/>
    <s v="Interkoneksi"/>
    <s v="PA/UPG/1910/0010"/>
    <m/>
    <m/>
    <m/>
    <m/>
    <s v="-"/>
    <n v="153600000"/>
    <m/>
    <s v="-"/>
    <n v="72600000"/>
    <m/>
    <d v="2021-03-01T00:00:00"/>
    <d v="2022-02-28T00:00:00"/>
    <x v="0"/>
    <m/>
    <m/>
    <m/>
    <m/>
    <m/>
    <m/>
    <m/>
    <n v="4500015906"/>
    <m/>
    <m/>
    <m/>
    <m/>
    <m/>
    <m/>
    <m/>
    <m/>
    <m/>
    <m/>
    <m/>
    <m/>
    <m/>
  </r>
  <r>
    <n v="337"/>
    <s v="CBN Nusantara"/>
    <s v="PT BANGUN ANDALAN PERKASA"/>
    <s v="Jl.H.R.Rasuna Said Blok X5 13"/>
    <x v="0"/>
    <m/>
    <m/>
    <s v="Sewa Tahunan"/>
    <s v="Cross Connect"/>
    <s v="AL/2005/15326"/>
    <m/>
    <m/>
    <m/>
    <m/>
    <s v="-"/>
    <n v="90000000"/>
    <m/>
    <s v="-"/>
    <n v="8000000"/>
    <m/>
    <d v="2021-02-13T00:00:00"/>
    <d v="2022-02-12T00:00:00"/>
    <x v="0"/>
    <m/>
    <m/>
    <m/>
    <m/>
    <m/>
    <m/>
    <m/>
    <n v="4500015716"/>
    <m/>
    <m/>
    <m/>
    <m/>
    <m/>
    <m/>
    <m/>
    <m/>
    <m/>
    <m/>
    <m/>
    <m/>
    <m/>
  </r>
  <r>
    <n v="338"/>
    <s v="Media Nusantara Data Global "/>
    <s v="PT Indonesia Comnet Plus (ICON+)"/>
    <s v="Jl. Kuningan Barat No. 8 Cyber Building 1st &amp; 2nd Jakarta Selatan 12710"/>
    <x v="0"/>
    <m/>
    <m/>
    <s v="Sewa Tahunan"/>
    <s v="Cross Connect"/>
    <s v="4500016135, 4500016245, 4500016346"/>
    <m/>
    <m/>
    <m/>
    <m/>
    <s v="-"/>
    <s v="-"/>
    <m/>
    <n v="9000000"/>
    <n v="63000000"/>
    <m/>
    <d v="2021-07-23T00:00:00"/>
    <d v="2022-07-22T00:00:00"/>
    <x v="0"/>
    <m/>
    <m/>
    <m/>
    <m/>
    <m/>
    <m/>
    <s v="16316/SPP/008/PUSAT/ICON+/2021"/>
    <n v="4500016484"/>
    <m/>
    <m/>
    <m/>
    <m/>
    <m/>
    <m/>
    <m/>
    <m/>
    <m/>
    <m/>
    <m/>
    <m/>
    <m/>
  </r>
  <r>
    <n v="339"/>
    <s v="Graha Pratama Joint Operation"/>
    <s v="PT CIRCLECOM NUSANTARA INDONESIA "/>
    <s v="Jl.M.T.Haryono Kav. 15 Jakarta 12810"/>
    <x v="0"/>
    <m/>
    <m/>
    <s v="Sewa Tahunan"/>
    <s v="Colocation"/>
    <s v="ICON-00/SBC/1611/0594"/>
    <m/>
    <m/>
    <m/>
    <m/>
    <s v="-"/>
    <n v="60000000"/>
    <m/>
    <s v="-"/>
    <n v="6957500"/>
    <m/>
    <d v="2021-09-27T00:00:00"/>
    <d v="2021-09-26T00:00:00"/>
    <x v="0"/>
    <m/>
    <m/>
    <m/>
    <m/>
    <m/>
    <m/>
    <m/>
    <n v="4500016589"/>
    <m/>
    <m/>
    <m/>
    <m/>
    <m/>
    <m/>
    <m/>
    <m/>
    <m/>
    <m/>
    <m/>
    <m/>
    <m/>
  </r>
  <r>
    <n v="340"/>
    <s v="NTT Indonesia "/>
    <s v="PT ASURANSI UMUM BCA"/>
    <s v="Jl. Kuningan Barat No. 8 Jakarta Selatan 12710"/>
    <x v="0"/>
    <m/>
    <m/>
    <s v="Sewa Tahunan"/>
    <s v="Cross Connect"/>
    <s v="PA/ACT/2108/0015"/>
    <m/>
    <m/>
    <m/>
    <m/>
    <n v="2500000"/>
    <n v="60000000"/>
    <m/>
    <s v="-"/>
    <n v="12000000"/>
    <m/>
    <d v="2021-09-14T00:00:00"/>
    <d v="2022-09-13T00:00:00"/>
    <x v="0"/>
    <m/>
    <m/>
    <m/>
    <m/>
    <m/>
    <m/>
    <s v="16593/SPP/008/PUSAT/ICON+/2021"/>
    <n v="4500016733"/>
    <m/>
    <m/>
    <m/>
    <m/>
    <m/>
    <m/>
    <m/>
    <m/>
    <m/>
    <m/>
    <m/>
    <m/>
    <m/>
  </r>
  <r>
    <n v="341"/>
    <s v="Cyberindo Aditama"/>
    <s v="PT. MULIA INTI PELANGI"/>
    <s v="Jl. Gatot Subroto Jakarta 10270"/>
    <x v="0"/>
    <m/>
    <m/>
    <s v="Sewa Tahunan"/>
    <s v="Interkoneksi"/>
    <s v="-"/>
    <m/>
    <m/>
    <m/>
    <m/>
    <s v="-"/>
    <n v="36000000"/>
    <m/>
    <s v="-"/>
    <n v="15840000"/>
    <m/>
    <d v="2021-07-01T00:00:00"/>
    <d v="2022-06-30T00:00:00"/>
    <x v="0"/>
    <m/>
    <m/>
    <m/>
    <m/>
    <m/>
    <m/>
    <s v="16121/SPP/008/PUSAT/ICON+/2021"/>
    <n v="4500016467"/>
    <m/>
    <m/>
    <m/>
    <m/>
    <m/>
    <m/>
    <m/>
    <m/>
    <m/>
    <m/>
    <m/>
    <m/>
    <m/>
  </r>
  <r>
    <n v="342"/>
    <s v="Sigma Cipta Caraka, PT "/>
    <s v="PT BANK NEO COMMERCE TBK"/>
    <s v="Jl.Kapt.Subijanto DJ Tanggerang 15321"/>
    <x v="0"/>
    <m/>
    <m/>
    <s v="Sewa Tahunan"/>
    <s v="Cross Connect"/>
    <s v="PA/RLK/2108/0043, PA/RLK/2108/0042, PA/RLK/2108/0041"/>
    <m/>
    <m/>
    <m/>
    <m/>
    <n v="15000000"/>
    <n v="60500000"/>
    <m/>
    <n v="9000000"/>
    <n v="18000000"/>
    <m/>
    <d v="2021-09-13T00:00:00"/>
    <d v="2022-09-12T00:00:00"/>
    <x v="0"/>
    <m/>
    <m/>
    <m/>
    <m/>
    <m/>
    <m/>
    <s v="16554/SPP/008/PUSAT/ICON+/2021"/>
    <n v="4500016638"/>
    <m/>
    <m/>
    <m/>
    <m/>
    <m/>
    <m/>
    <m/>
    <m/>
    <m/>
    <m/>
    <m/>
    <m/>
    <m/>
  </r>
  <r>
    <n v="343"/>
    <s v="Sigma Cipta Caraka, PT "/>
    <s v="PT BANK NTB SYARIAH"/>
    <s v="Jl.Kapt.Subijanto DJ Tanggerang 15321"/>
    <x v="0"/>
    <m/>
    <m/>
    <s v="Sewa Tahunan"/>
    <s v="Cross Connect"/>
    <s v="PA/ACT/2106/3300"/>
    <m/>
    <m/>
    <m/>
    <m/>
    <n v="5000000"/>
    <n v="60000000"/>
    <m/>
    <n v="4000000"/>
    <n v="24000000"/>
    <m/>
    <d v="2021-09-13T00:00:00"/>
    <d v="2022-09-12T00:00:00"/>
    <x v="0"/>
    <m/>
    <m/>
    <m/>
    <m/>
    <m/>
    <m/>
    <s v="16500/SPP/008/PUSAT/ICON+/2021"/>
    <n v="4500016616"/>
    <m/>
    <m/>
    <m/>
    <m/>
    <m/>
    <m/>
    <m/>
    <m/>
    <m/>
    <m/>
    <m/>
    <m/>
    <m/>
  </r>
  <r>
    <n v="344"/>
    <s v="Zota Indonesia, PT"/>
    <s v="PT LANDMARK CONCCURRENT SOLUSI INDONESIA"/>
    <s v="Tebet Raya RT 009 RW 005 45d"/>
    <x v="0"/>
    <m/>
    <m/>
    <s v="Sewa Tahunan"/>
    <s v="Colocation"/>
    <s v="PA/RLK/2107/0057"/>
    <m/>
    <m/>
    <m/>
    <m/>
    <s v="-"/>
    <n v="240000000"/>
    <m/>
    <s v="-"/>
    <n v="96000000"/>
    <m/>
    <d v="2021-09-10T00:00:00"/>
    <d v="2022-09-09T00:00:00"/>
    <x v="0"/>
    <m/>
    <m/>
    <m/>
    <m/>
    <m/>
    <m/>
    <s v="16627/SPP/008/PUSAT/ICON+/2021"/>
    <n v="4500016710"/>
    <m/>
    <m/>
    <m/>
    <m/>
    <m/>
    <m/>
    <m/>
    <m/>
    <m/>
    <m/>
    <m/>
    <m/>
    <m/>
  </r>
  <r>
    <n v="345"/>
    <s v="Fauzi Panca Manunggal, PT"/>
    <s v="PT  Bank Commonwealth"/>
    <s v="Buncit Raya Lt. Penthouse No.22 Jakarta Selatan 12510"/>
    <x v="0"/>
    <m/>
    <m/>
    <s v="Sewa Tahunan"/>
    <s v="Colocation"/>
    <s v="PA/UPG/2010/0017, PA/ACT/1807/0333"/>
    <m/>
    <m/>
    <m/>
    <m/>
    <s v="-"/>
    <n v="384000000"/>
    <m/>
    <s v="-"/>
    <n v="77000000"/>
    <m/>
    <d v="2021-09-25T00:00:00"/>
    <d v="2022-09-24T00:00:00"/>
    <x v="0"/>
    <m/>
    <m/>
    <m/>
    <m/>
    <m/>
    <m/>
    <s v="16417/SPP/008/PUSAT/ICON+/2021"/>
    <n v="4500016628"/>
    <m/>
    <m/>
    <m/>
    <m/>
    <m/>
    <m/>
    <m/>
    <m/>
    <m/>
    <m/>
    <m/>
    <m/>
    <m/>
  </r>
  <r>
    <n v="346"/>
    <s v="Sigma Cipta Caraka, PT "/>
    <s v="Komisi Pemberantas Korupsi"/>
    <s v="Jl.Kapt.Subijanto DJ Tanggerang 15321"/>
    <x v="0"/>
    <m/>
    <m/>
    <s v="Sewa Tahunan"/>
    <s v="Cross Connect"/>
    <m/>
    <m/>
    <m/>
    <m/>
    <m/>
    <s v="-"/>
    <s v="-"/>
    <m/>
    <s v="-"/>
    <n v="36000000"/>
    <m/>
    <d v="2021-09-06T00:00:00"/>
    <d v="2022-09-05T00:00:00"/>
    <x v="0"/>
    <m/>
    <m/>
    <m/>
    <m/>
    <m/>
    <m/>
    <s v="16547/SPP/008/PUSAT/ICON+/2021"/>
    <n v="4500016633"/>
    <m/>
    <m/>
    <m/>
    <m/>
    <m/>
    <m/>
    <m/>
    <m/>
    <m/>
    <m/>
    <m/>
    <m/>
    <m/>
  </r>
  <r>
    <n v="347"/>
    <s v="Sigma Cipta Caraka, PT "/>
    <s v="Komisi Pemberantas Korupsi"/>
    <s v="Jl.Kapt.Subijanto DJ Tanggerang 15321"/>
    <x v="0"/>
    <m/>
    <m/>
    <s v="Sewa Tahunan"/>
    <s v="Cross Connect"/>
    <m/>
    <m/>
    <m/>
    <m/>
    <m/>
    <s v="-"/>
    <s v="-"/>
    <m/>
    <s v="-"/>
    <n v="18000000"/>
    <m/>
    <d v="2021-09-09T00:00:00"/>
    <d v="2022-09-08T00:00:00"/>
    <x v="0"/>
    <m/>
    <m/>
    <m/>
    <m/>
    <m/>
    <m/>
    <s v="16545/SPP/008/PUSAT/ICON+/2021"/>
    <n v="4500016631"/>
    <m/>
    <m/>
    <m/>
    <m/>
    <m/>
    <m/>
    <m/>
    <m/>
    <m/>
    <m/>
    <m/>
    <m/>
    <m/>
  </r>
  <r>
    <n v="348"/>
    <s v="Sigma Cipta Caraka, PT "/>
    <s v="Komisi Pemberantas Korupsi"/>
    <s v="Jl.Kapt.Subijanto DJ Tanggerang 15321"/>
    <x v="0"/>
    <m/>
    <m/>
    <s v="Sewa Tahunan"/>
    <s v="Cross Connect"/>
    <m/>
    <m/>
    <m/>
    <m/>
    <m/>
    <s v="-"/>
    <s v="-"/>
    <m/>
    <s v="-"/>
    <n v="6000000"/>
    <m/>
    <d v="2021-09-09T00:00:00"/>
    <d v="2022-09-08T00:00:00"/>
    <x v="0"/>
    <m/>
    <m/>
    <m/>
    <m/>
    <m/>
    <m/>
    <s v="16548/SPP/008/PUSAT/ICON+/2021"/>
    <n v="4500016632"/>
    <m/>
    <m/>
    <m/>
    <m/>
    <m/>
    <m/>
    <m/>
    <m/>
    <m/>
    <m/>
    <m/>
    <m/>
    <m/>
  </r>
  <r>
    <n v="349"/>
    <s v="Grahaniaga Tatautama "/>
    <s v="BUT. SARULLA OPERATIONS LTD, BANK WOORI SAUDARA"/>
    <s v="Jl. Jend Sudirman kav 58 Gedung Graha Niaga 1 Jakarta 12190"/>
    <x v="0"/>
    <m/>
    <m/>
    <s v="Sewa Tahunan"/>
    <s v="Colocation"/>
    <s v="ICON-00/ACT/1709/1154, ICON-00/ACT/1302/0085"/>
    <m/>
    <m/>
    <m/>
    <m/>
    <s v="-"/>
    <n v="360000000"/>
    <m/>
    <s v="-"/>
    <n v="21525000"/>
    <m/>
    <d v="2021-07-21T00:00:00"/>
    <d v="2022-07-20T00:00:00"/>
    <x v="0"/>
    <m/>
    <m/>
    <m/>
    <m/>
    <m/>
    <m/>
    <s v="16156/SPP/008/PUSAT/ICON+/2021"/>
    <n v="4500016619"/>
    <m/>
    <m/>
    <m/>
    <m/>
    <m/>
    <m/>
    <m/>
    <m/>
    <m/>
    <m/>
    <m/>
    <m/>
    <m/>
  </r>
  <r>
    <n v="350"/>
    <s v="Karyagraha Nusantara "/>
    <s v="PT Primacom Interbuana "/>
    <s v="Jl.Kuningan Barat 8 Jakarta 12710"/>
    <x v="0"/>
    <m/>
    <m/>
    <s v="Sewa Tahunan"/>
    <s v="Colocation"/>
    <s v="PA/ACT/1801/0637"/>
    <m/>
    <m/>
    <m/>
    <m/>
    <s v="-"/>
    <n v="30000000"/>
    <m/>
    <s v="-"/>
    <n v="7500000"/>
    <m/>
    <d v="2021-05-04T00:00:00"/>
    <d v="2022-05-03T00:00:00"/>
    <x v="0"/>
    <m/>
    <m/>
    <m/>
    <m/>
    <m/>
    <m/>
    <s v="15765/SPP/008/PUSAT/ICON+/2021"/>
    <n v="4500016299"/>
    <m/>
    <m/>
    <m/>
    <m/>
    <m/>
    <m/>
    <m/>
    <m/>
    <m/>
    <m/>
    <m/>
    <m/>
    <m/>
  </r>
  <r>
    <n v="351"/>
    <s v="Sigma Cipta Caraka, PT "/>
    <s v="PT Astra Sedaya Finance"/>
    <s v="Jl.Kapt.Subijanto DJ Tanggerang 15321"/>
    <x v="0"/>
    <m/>
    <m/>
    <s v="Sewa Tahunan"/>
    <s v="Cross Connect"/>
    <s v="PA/ACT/2003/0178"/>
    <m/>
    <m/>
    <m/>
    <m/>
    <s v="-"/>
    <n v="24000000"/>
    <m/>
    <s v="-"/>
    <n v="6000000"/>
    <m/>
    <d v="2021-03-16T00:00:00"/>
    <d v="2022-03-15T00:00:00"/>
    <x v="0"/>
    <m/>
    <m/>
    <m/>
    <m/>
    <m/>
    <m/>
    <s v="15518/SPP/008/PUSAT/ICON+/2021"/>
    <n v="4500015890"/>
    <m/>
    <m/>
    <m/>
    <m/>
    <m/>
    <m/>
    <m/>
    <m/>
    <m/>
    <m/>
    <m/>
    <m/>
    <m/>
  </r>
  <r>
    <n v="352"/>
    <s v="IFORTE SOLUSI INFOTEK, PT"/>
    <s v="PT Commonwealth Bank"/>
    <s v="JL. MH. THAMRIN 1 JAKARTA PUSAT 10310"/>
    <x v="0"/>
    <m/>
    <m/>
    <s v="Sewa Tahunan"/>
    <s v="Interkoneksi"/>
    <s v="AL/2010/56641"/>
    <m/>
    <m/>
    <m/>
    <m/>
    <s v="-"/>
    <n v="192000000"/>
    <m/>
    <s v="-"/>
    <n v="96000000"/>
    <m/>
    <d v="2021-06-18T00:00:00"/>
    <d v="2022-06-17T00:00:00"/>
    <x v="0"/>
    <m/>
    <m/>
    <m/>
    <m/>
    <m/>
    <m/>
    <m/>
    <n v="4500016512"/>
    <m/>
    <m/>
    <m/>
    <m/>
    <m/>
    <m/>
    <m/>
    <m/>
    <m/>
    <m/>
    <m/>
    <m/>
    <m/>
  </r>
  <r>
    <n v="353"/>
    <s v="CBN Nusantara"/>
    <s v="PT UNIVERSAL SATELIT INDONESIA"/>
    <s v="Jl.H.R.Rasuna Said Blok X5 13"/>
    <x v="0"/>
    <m/>
    <m/>
    <s v="Sewa Tahunan"/>
    <s v="Cross Connect"/>
    <s v="PA/RLK/2109/0003/ORI"/>
    <m/>
    <m/>
    <m/>
    <m/>
    <n v="3000000"/>
    <n v="48000000"/>
    <m/>
    <s v="-"/>
    <n v="12000000"/>
    <m/>
    <d v="2021-10-01T00:00:00"/>
    <d v="2022-09-30T00:00:00"/>
    <x v="0"/>
    <m/>
    <m/>
    <m/>
    <m/>
    <m/>
    <m/>
    <s v="16811/SPP/008/PUSAT/ICON+/2021"/>
    <n v="4500016821"/>
    <m/>
    <m/>
    <m/>
    <m/>
    <m/>
    <m/>
    <m/>
    <m/>
    <m/>
    <m/>
    <m/>
    <m/>
    <m/>
  </r>
  <r>
    <n v="354"/>
    <s v="Media Nusantara Data Global "/>
    <s v="PT BITNIAGA CIPTA GEMILANG "/>
    <s v="Jl. Kuningan Barat No. 8 Cyber Building 1st &amp; 2nd Jakarta Selatan 12710"/>
    <x v="0"/>
    <m/>
    <m/>
    <s v="Sewa Tahunan"/>
    <s v="Cross Connect"/>
    <s v="PA/ACT/2109/0159/ORI"/>
    <m/>
    <m/>
    <m/>
    <m/>
    <n v="3000000"/>
    <n v="300000000"/>
    <m/>
    <s v="-"/>
    <n v="18000000"/>
    <m/>
    <d v="2021-09-22T00:00:00"/>
    <d v="2022-09-21T00:00:00"/>
    <x v="0"/>
    <m/>
    <m/>
    <m/>
    <m/>
    <m/>
    <m/>
    <m/>
    <n v="4500016780"/>
    <m/>
    <m/>
    <m/>
    <m/>
    <m/>
    <m/>
    <m/>
    <m/>
    <m/>
    <m/>
    <m/>
    <m/>
    <m/>
  </r>
  <r>
    <n v="355"/>
    <s v="Indointernet"/>
    <s v="PT JATELINDO PERKASA ABADI"/>
    <s v="JL. Rempoa Raya 11"/>
    <x v="0"/>
    <m/>
    <m/>
    <s v="Sewa Tahunan"/>
    <s v="Colocation"/>
    <s v="PA/RLK/1907/0039"/>
    <m/>
    <m/>
    <m/>
    <m/>
    <s v="-"/>
    <n v="72000000"/>
    <m/>
    <s v="-"/>
    <n v="2500000"/>
    <m/>
    <d v="2021-02-01T00:00:00"/>
    <d v="2022-01-31T00:00:00"/>
    <x v="0"/>
    <m/>
    <m/>
    <m/>
    <m/>
    <m/>
    <m/>
    <m/>
    <n v="4500018688"/>
    <m/>
    <m/>
    <m/>
    <m/>
    <m/>
    <m/>
    <m/>
    <m/>
    <m/>
    <m/>
    <m/>
    <m/>
    <m/>
  </r>
  <r>
    <n v="356"/>
    <s v="Jala Lintas Media  "/>
    <s v="Inoac Polytechno"/>
    <s v="Jl. Mayor Oking No. 89 KM 2, Cibinong Bogor 16819_x000a_"/>
    <x v="0"/>
    <m/>
    <m/>
    <s v="Sewa Tahunan"/>
    <s v="Interkoneksi"/>
    <s v="PA/ACT/2103/0900/TER"/>
    <m/>
    <m/>
    <m/>
    <m/>
    <n v="3000000"/>
    <n v="72000"/>
    <m/>
    <n v="5000000"/>
    <n v="36000000"/>
    <m/>
    <d v="2021-05-20T00:00:00"/>
    <d v="2022-05-19T00:00:00"/>
    <x v="0"/>
    <m/>
    <m/>
    <m/>
    <m/>
    <m/>
    <m/>
    <m/>
    <n v="4500016023"/>
    <m/>
    <m/>
    <m/>
    <m/>
    <m/>
    <m/>
    <m/>
    <m/>
    <m/>
    <m/>
    <m/>
    <m/>
    <m/>
  </r>
  <r>
    <n v="357"/>
    <s v="Infrastruktur Cakrawala Telekomunikasi"/>
    <s v="PT KAO INDONESIA "/>
    <s v="Jl.Jababeka IV Blok B No.12 Jbbk industrial Esta Cikarang"/>
    <x v="0"/>
    <m/>
    <m/>
    <s v="Sewa Tahunan"/>
    <s v="Cross Connect"/>
    <s v="PA/ACT/2104/2210"/>
    <m/>
    <m/>
    <m/>
    <m/>
    <n v="2500000"/>
    <n v="30000000"/>
    <m/>
    <s v="-"/>
    <n v="23848008"/>
    <m/>
    <d v="2021-05-03T00:00:00"/>
    <d v="2022-05-02T00:00:00"/>
    <x v="0"/>
    <m/>
    <m/>
    <m/>
    <m/>
    <m/>
    <m/>
    <s v="15764/SPP/008/PUSAT/ICON+/2021"/>
    <n v="4500016417"/>
    <m/>
    <m/>
    <m/>
    <m/>
    <m/>
    <m/>
    <m/>
    <m/>
    <m/>
    <m/>
    <m/>
    <m/>
    <m/>
  </r>
  <r>
    <n v="358"/>
    <s v="Infrastruktur Cakrawala Telekomunikasi"/>
    <s v="PT HIPERNET INDONESIA QQ PT KOMATSU INDONESIA"/>
    <s v="Jl.Jababeka IV Blok B No.12 Jbbk industrial Esta Cikarang"/>
    <x v="0"/>
    <m/>
    <m/>
    <s v="Sewa Tahunan"/>
    <s v="Cross Connect"/>
    <s v="PA/UPG/2103/0224"/>
    <m/>
    <m/>
    <m/>
    <m/>
    <s v="-"/>
    <n v="231600000"/>
    <m/>
    <s v="-"/>
    <n v="115672752"/>
    <m/>
    <d v="2021-03-18T00:00:00"/>
    <d v="2022-03-17T00:00:00"/>
    <x v="0"/>
    <m/>
    <m/>
    <m/>
    <m/>
    <m/>
    <m/>
    <s v="15596/SPP/008/PUSAT/ICON+/2021"/>
    <n v="4500015961"/>
    <m/>
    <m/>
    <m/>
    <m/>
    <m/>
    <m/>
    <m/>
    <m/>
    <m/>
    <m/>
    <m/>
    <m/>
    <m/>
  </r>
  <r>
    <n v="359"/>
    <s v="Media Nusantara Data Global "/>
    <s v="PT INTI DATA TELEMATIKA"/>
    <s v="Jl.Kuningan Barat No.8 Cyber Building 1st &amp; 2nd"/>
    <x v="0"/>
    <m/>
    <m/>
    <s v="Sewa Tahunan"/>
    <s v="Cross Connect"/>
    <s v="PA/ACT/2104/2689"/>
    <m/>
    <m/>
    <m/>
    <m/>
    <n v="2500000"/>
    <n v="300000000"/>
    <m/>
    <n v="4500000"/>
    <n v="54000000"/>
    <m/>
    <d v="2021-04-29T00:00:00"/>
    <d v="2022-04-28T00:00:00"/>
    <x v="0"/>
    <m/>
    <m/>
    <m/>
    <m/>
    <m/>
    <m/>
    <s v="15782/SPP/008/PUSAT/ICON+/2021"/>
    <n v="4500016120"/>
    <m/>
    <m/>
    <m/>
    <m/>
    <m/>
    <m/>
    <m/>
    <m/>
    <m/>
    <m/>
    <m/>
    <m/>
    <m/>
  </r>
  <r>
    <n v="360"/>
    <s v="Sigma Cipta Caraka,PT"/>
    <s v="LEMBAGA ILMU PENGATAHUAN INDONESIA(LIPI)"/>
    <s v="Jl.Subijanto DJ"/>
    <x v="0"/>
    <m/>
    <m/>
    <s v="Sewa Tahunan"/>
    <s v="Cross Connect"/>
    <s v="PA/ACT/2104/2657"/>
    <m/>
    <m/>
    <m/>
    <m/>
    <n v="0"/>
    <n v="5156210352"/>
    <m/>
    <n v="3000000"/>
    <n v="6000000"/>
    <m/>
    <d v="2021-04-26T00:00:00"/>
    <d v="2022-04-25T00:00:00"/>
    <x v="0"/>
    <m/>
    <m/>
    <m/>
    <m/>
    <m/>
    <m/>
    <s v="15783/SPP/008/PUSAT/ICON+/2021"/>
    <n v="4500016102"/>
    <m/>
    <m/>
    <m/>
    <m/>
    <m/>
    <m/>
    <m/>
    <m/>
    <m/>
    <m/>
    <m/>
    <m/>
    <m/>
  </r>
  <r>
    <n v="361"/>
    <s v="Zainal Johamsa "/>
    <s v="PT Sumber Mentari Elekrindo periode 2021-2022"/>
    <s v="JLN DWIKORA II 1238"/>
    <x v="0"/>
    <m/>
    <m/>
    <s v="Sewa Tahunan"/>
    <s v="Colocation"/>
    <s v="SPA/ACT/1911/000485"/>
    <m/>
    <m/>
    <m/>
    <m/>
    <n v="0"/>
    <n v="51534546"/>
    <m/>
    <n v="0"/>
    <n v="3000000"/>
    <m/>
    <d v="2021-03-16T00:00:00"/>
    <d v="2022-03-15T00:00:00"/>
    <x v="0"/>
    <m/>
    <m/>
    <m/>
    <m/>
    <m/>
    <m/>
    <s v="15536/SPP/008/PUSAT/ICON+/2021"/>
    <n v="4500015913"/>
    <m/>
    <m/>
    <m/>
    <m/>
    <m/>
    <m/>
    <m/>
    <m/>
    <m/>
    <m/>
    <m/>
    <m/>
    <m/>
  </r>
  <r>
    <n v="362"/>
    <s v="Maspion "/>
    <s v="PT LAWANGMAS PRIMAPACK DIMASPION PLAZA PERIODE 2021-2022"/>
    <s v="Jl.Gunung sahari Raya No.18 Maspion Plaza 16"/>
    <x v="0"/>
    <m/>
    <m/>
    <s v="Sewa Tahunan"/>
    <s v="Colocation"/>
    <s v="ICON-00/SBC/1703/0276"/>
    <m/>
    <m/>
    <m/>
    <m/>
    <n v="0"/>
    <n v="33000000"/>
    <m/>
    <n v="0"/>
    <n v="4850000"/>
    <m/>
    <d v="2021-02-01T00:00:00"/>
    <d v="2022-02-28T00:00:00"/>
    <x v="0"/>
    <m/>
    <m/>
    <m/>
    <m/>
    <m/>
    <m/>
    <m/>
    <n v="4500015684"/>
    <m/>
    <m/>
    <m/>
    <m/>
    <m/>
    <m/>
    <m/>
    <m/>
    <m/>
    <m/>
    <m/>
    <m/>
    <m/>
  </r>
  <r>
    <n v="363"/>
    <s v="Sampoerna Land,PT"/>
    <s v="PT,AEK TARUM,PT BINASAWIT MAKMUR "/>
    <s v="Jl.Jend Sudirman kav. 45-46 Level Mezzanine"/>
    <x v="0"/>
    <m/>
    <m/>
    <s v="Sewa Tahunan"/>
    <s v="Colocation"/>
    <s v="AL/1907/26735,AL/1907/26741"/>
    <m/>
    <m/>
    <m/>
    <m/>
    <n v="0"/>
    <n v="180000000"/>
    <m/>
    <n v="0"/>
    <n v="66550000"/>
    <m/>
    <d v="2021-05-01T00:00:00"/>
    <d v="2022-04-30T00:00:00"/>
    <x v="0"/>
    <m/>
    <m/>
    <m/>
    <m/>
    <m/>
    <m/>
    <s v="15415/SPP/008/PUSAT/ICON+/2021"/>
    <n v="4500015992"/>
    <m/>
    <m/>
    <m/>
    <m/>
    <m/>
    <m/>
    <m/>
    <m/>
    <m/>
    <m/>
    <m/>
    <m/>
    <m/>
  </r>
  <r>
    <n v="364"/>
    <s v="CBN Nusantara"/>
    <s v="INDOMARCO PRISMATAMA PERIODE 2021-2022"/>
    <s v="Jl.H.R.Rasuna said blok x5 13"/>
    <x v="0"/>
    <m/>
    <m/>
    <s v="Sewa Tahunan"/>
    <s v="Colocation"/>
    <s v="AL/2002/6689"/>
    <m/>
    <m/>
    <m/>
    <m/>
    <n v="0"/>
    <n v="42000000"/>
    <m/>
    <n v="0"/>
    <n v="2000000"/>
    <m/>
    <d v="2021-04-28T00:00:00"/>
    <d v="2022-04-27T00:00:00"/>
    <x v="0"/>
    <m/>
    <m/>
    <m/>
    <m/>
    <m/>
    <m/>
    <m/>
    <n v="4500016837"/>
    <m/>
    <m/>
    <m/>
    <m/>
    <m/>
    <m/>
    <m/>
    <m/>
    <m/>
    <m/>
    <m/>
    <m/>
    <m/>
  </r>
  <r>
    <n v="365"/>
    <s v="Indointernet"/>
    <s v="PT UNGARAN SARI GARMEN PERIODE 2021-2022"/>
    <s v="Jl.Rempoa Raya 11"/>
    <x v="0"/>
    <m/>
    <m/>
    <s v="Sewa Tahunan"/>
    <s v="Interkoneksi"/>
    <s v="PA/UPG/2008/0002"/>
    <m/>
    <m/>
    <m/>
    <m/>
    <n v="0"/>
    <n v="120000000"/>
    <m/>
    <n v="0"/>
    <n v="144000000"/>
    <m/>
    <d v="2021-12-06T00:00:00"/>
    <d v="2022-12-05T00:00:00"/>
    <x v="0"/>
    <m/>
    <m/>
    <m/>
    <m/>
    <m/>
    <m/>
    <m/>
    <n v="4500016853"/>
    <m/>
    <m/>
    <m/>
    <m/>
    <m/>
    <m/>
    <m/>
    <m/>
    <m/>
    <m/>
    <m/>
    <m/>
    <m/>
  </r>
  <r>
    <n v="366"/>
    <s v="Indointernet"/>
    <s v="PT FUMIRA PERIODE 2021-2022"/>
    <s v="Jl.Rempoa Raya 11"/>
    <x v="0"/>
    <m/>
    <m/>
    <s v="Sewa Tahunan"/>
    <s v="Interkoneksi"/>
    <s v="PA/ACT/1908/4529"/>
    <m/>
    <m/>
    <m/>
    <m/>
    <n v="0"/>
    <n v="162000000"/>
    <m/>
    <n v="0"/>
    <n v="102000000"/>
    <m/>
    <d v="2021-10-16T00:00:00"/>
    <d v="2022-10-15T00:00:00"/>
    <x v="0"/>
    <m/>
    <m/>
    <m/>
    <m/>
    <m/>
    <m/>
    <m/>
    <n v="4500016863"/>
    <m/>
    <m/>
    <m/>
    <m/>
    <m/>
    <m/>
    <m/>
    <m/>
    <m/>
    <m/>
    <m/>
    <m/>
    <m/>
  </r>
  <r>
    <n v="367"/>
    <s v="PC 24 Telekomunikasi Indonesia"/>
    <s v="PT. BANK SYARIAH BRI "/>
    <s v="RUKO KEBAYORAN CENTER BLOK A NO.5"/>
    <x v="0"/>
    <m/>
    <m/>
    <s v="Sewa Tahunan"/>
    <s v="Interkoneksi"/>
    <s v="PA/ACT/2009/0322/TER, PA/ACT/2008/2026"/>
    <m/>
    <m/>
    <m/>
    <m/>
    <n v="1636364"/>
    <n v="15272724"/>
    <m/>
    <n v="0"/>
    <n v="12000000"/>
    <m/>
    <d v="2021-09-17T00:00:00"/>
    <d v="2022-09-16T00:00:00"/>
    <x v="0"/>
    <m/>
    <m/>
    <m/>
    <m/>
    <m/>
    <m/>
    <m/>
    <n v="4500016840"/>
    <m/>
    <m/>
    <m/>
    <m/>
    <m/>
    <m/>
    <m/>
    <m/>
    <m/>
    <m/>
    <m/>
    <m/>
    <m/>
  </r>
  <r>
    <n v="368"/>
    <s v="Fastel Sarana Indonesia"/>
    <s v="PT. DJARUM "/>
    <s v="Gd. TCC Batavia Tower One Lt. 16"/>
    <x v="0"/>
    <m/>
    <m/>
    <s v="Sewa Tahunan"/>
    <s v="Interkoneksi"/>
    <s v="PA/ACT/1903/2565/TER"/>
    <m/>
    <m/>
    <m/>
    <m/>
    <n v="0"/>
    <n v="264000000"/>
    <m/>
    <n v="0"/>
    <n v="198000000"/>
    <m/>
    <d v="2021-09-03T00:00:00"/>
    <d v="2022-09-02T00:00:00"/>
    <x v="0"/>
    <m/>
    <m/>
    <m/>
    <m/>
    <m/>
    <m/>
    <m/>
    <n v="4500016825"/>
    <m/>
    <m/>
    <m/>
    <m/>
    <m/>
    <m/>
    <m/>
    <m/>
    <m/>
    <m/>
    <m/>
    <m/>
    <m/>
  </r>
  <r>
    <n v="369"/>
    <s v="Restyle Development,PT "/>
    <s v="Divmum PLN Pusat//Gedung Recapital (Lt.1)"/>
    <s v="Jl.Adityawarman kav.55"/>
    <x v="0"/>
    <m/>
    <m/>
    <s v="Sewa Tahunan"/>
    <s v="Colocation"/>
    <m/>
    <m/>
    <m/>
    <m/>
    <m/>
    <n v="0"/>
    <n v="0"/>
    <m/>
    <n v="0"/>
    <n v="10000000"/>
    <m/>
    <d v="2021-08-07T00:00:00"/>
    <d v="2022-08-06T00:00:00"/>
    <x v="0"/>
    <m/>
    <m/>
    <m/>
    <m/>
    <m/>
    <m/>
    <m/>
    <n v="4500016856"/>
    <m/>
    <m/>
    <m/>
    <m/>
    <m/>
    <m/>
    <m/>
    <m/>
    <m/>
    <m/>
    <m/>
    <m/>
    <m/>
  </r>
  <r>
    <n v="370"/>
    <s v="Indointernet"/>
    <s v="PT TOYOTA ASTRA MOTOR SPLD PERIODE 2021-2022"/>
    <s v="Jl.Rempoa Raya 11"/>
    <x v="0"/>
    <m/>
    <m/>
    <s v="Sewa Tahunan"/>
    <s v="Interkoneksi"/>
    <m/>
    <m/>
    <m/>
    <m/>
    <m/>
    <n v="0"/>
    <n v="378000000"/>
    <m/>
    <n v="0"/>
    <n v="120000000"/>
    <m/>
    <d v="2021-09-23T00:00:00"/>
    <d v="2022-09-22T00:00:00"/>
    <x v="0"/>
    <m/>
    <m/>
    <m/>
    <m/>
    <m/>
    <m/>
    <m/>
    <n v="4500016862"/>
    <m/>
    <m/>
    <m/>
    <m/>
    <m/>
    <m/>
    <m/>
    <m/>
    <m/>
    <m/>
    <m/>
    <m/>
    <m/>
  </r>
  <r>
    <n v="371"/>
    <s v="DCI Indonesia "/>
    <s v="PT. Adira Dinamika Periode 2021-2022"/>
    <s v="Jl.Jend Sudirman kav.52-53"/>
    <x v="0"/>
    <m/>
    <m/>
    <s v="Sewa Tahunan"/>
    <s v="Cross Connect"/>
    <s v="AL/2103/12970,AL/2003/12911,AL/2010/58868"/>
    <m/>
    <m/>
    <m/>
    <m/>
    <n v="0"/>
    <n v="420000000"/>
    <m/>
    <n v="0"/>
    <n v="36000000"/>
    <m/>
    <d v="2021-09-01T00:00:00"/>
    <d v="2022-08-31T00:00:00"/>
    <x v="0"/>
    <m/>
    <m/>
    <m/>
    <m/>
    <m/>
    <m/>
    <s v="16582/SPP/008/PUSAT/ICON+/2021"/>
    <n v="4500016754"/>
    <m/>
    <m/>
    <m/>
    <m/>
    <m/>
    <m/>
    <m/>
    <m/>
    <m/>
    <m/>
    <m/>
    <m/>
    <m/>
  </r>
  <r>
    <n v="372"/>
    <s v="Circlecom Nusantara Indonesia"/>
    <s v="Rukan kelapa gading square (MOI)-BCA Mall of indonesia"/>
    <s v="Jl.Jend Sudirman kav.52-53"/>
    <x v="0"/>
    <m/>
    <m/>
    <s v="Sewa Tahunan"/>
    <s v="Colocation"/>
    <m/>
    <m/>
    <m/>
    <m/>
    <m/>
    <n v="0"/>
    <n v="0"/>
    <m/>
    <n v="0"/>
    <n v="14400000"/>
    <m/>
    <d v="2021-10-11T00:00:00"/>
    <d v="2022-10-10T00:00:00"/>
    <x v="0"/>
    <m/>
    <m/>
    <m/>
    <m/>
    <m/>
    <m/>
    <s v="16797/SPP/008/PUSAT/ICON+/2021"/>
    <n v="4500016880"/>
    <m/>
    <m/>
    <m/>
    <m/>
    <m/>
    <m/>
    <m/>
    <m/>
    <m/>
    <m/>
    <m/>
    <m/>
    <m/>
  </r>
  <r>
    <n v="373"/>
    <s v="Dinamika Raya Prima "/>
    <s v="PT TANGARA MITRAKOM PERIODE 2021-2022"/>
    <s v="Jl.Jend Sudirman kav.10-11"/>
    <x v="0"/>
    <m/>
    <m/>
    <s v="Sewa Tahunan"/>
    <s v="Colocation"/>
    <s v="ICON-00/MIG/1611/0043,ICON-00/ACT/1610/0522,ICON-00/ACT/1609/0746"/>
    <m/>
    <m/>
    <m/>
    <m/>
    <n v="0"/>
    <n v="156000000"/>
    <m/>
    <n v="0"/>
    <n v="6000000"/>
    <m/>
    <d v="2021-11-11T00:00:00"/>
    <d v="2022-11-10T00:00:00"/>
    <x v="0"/>
    <m/>
    <m/>
    <m/>
    <m/>
    <m/>
    <m/>
    <m/>
    <n v="4500016958"/>
    <m/>
    <m/>
    <m/>
    <m/>
    <m/>
    <m/>
    <m/>
    <m/>
    <m/>
    <m/>
    <m/>
    <m/>
    <m/>
  </r>
  <r>
    <n v="374"/>
    <s v="DCI Indonesia "/>
    <s v="PT. DCI Indonesia periode 2021-2022"/>
    <s v="Jl.Jend Sudirman kav.52-53"/>
    <x v="0"/>
    <m/>
    <m/>
    <s v="Sewa Tahunan"/>
    <s v="Colocation"/>
    <m/>
    <m/>
    <m/>
    <m/>
    <m/>
    <n v="0"/>
    <n v="0"/>
    <m/>
    <n v="0"/>
    <n v="171600000"/>
    <m/>
    <d v="2021-09-07T00:00:00"/>
    <d v="2022-09-06T00:00:00"/>
    <x v="0"/>
    <m/>
    <m/>
    <m/>
    <m/>
    <m/>
    <m/>
    <s v="16578/SPP/008/PUSAT/ICON+/2021"/>
    <n v="4500016755"/>
    <m/>
    <m/>
    <m/>
    <m/>
    <m/>
    <m/>
    <m/>
    <m/>
    <m/>
    <m/>
    <m/>
    <m/>
    <m/>
  </r>
  <r>
    <n v="375"/>
    <s v="Indointernet"/>
    <s v="PT UNGARAN SARI GARMEN PERIODE 2021-2022"/>
    <s v="Jl.rempoa Raya 11"/>
    <x v="0"/>
    <m/>
    <m/>
    <s v="Sewa Tahunan"/>
    <s v="Interkoneksi"/>
    <s v="PA/UPG/2008/0002"/>
    <m/>
    <m/>
    <m/>
    <m/>
    <n v="0"/>
    <n v="120000000"/>
    <m/>
    <n v="0"/>
    <n v="144000000"/>
    <m/>
    <d v="2021-12-06T00:00:00"/>
    <d v="2022-12-05T00:00:00"/>
    <x v="0"/>
    <m/>
    <m/>
    <m/>
    <m/>
    <m/>
    <m/>
    <m/>
    <n v="4500015745"/>
    <m/>
    <m/>
    <m/>
    <m/>
    <m/>
    <m/>
    <m/>
    <m/>
    <m/>
    <m/>
    <m/>
    <m/>
    <m/>
  </r>
  <r>
    <n v="376"/>
    <s v="Media Nusantara Data Global "/>
    <s v="PT CYBERINDO ADITAMA "/>
    <s v="Jl.Kuningan Barat No.8 Cyber Building 1st &amp; 2nd"/>
    <x v="0"/>
    <m/>
    <m/>
    <s v="Sewa Tahunan"/>
    <s v="Cross Connect"/>
    <s v="PA/ACT/2107/0206"/>
    <m/>
    <m/>
    <m/>
    <m/>
    <n v="7000000"/>
    <n v="2160000000"/>
    <m/>
    <n v="3000000"/>
    <n v="39000000"/>
    <m/>
    <d v="2021-08-01T00:00:00"/>
    <d v="2022-07-31T00:00:00"/>
    <x v="0"/>
    <m/>
    <m/>
    <m/>
    <m/>
    <m/>
    <m/>
    <s v="16331/SPP/008/PUSAT/ICON+/2021"/>
    <n v="4500016504"/>
    <m/>
    <m/>
    <m/>
    <m/>
    <m/>
    <m/>
    <m/>
    <m/>
    <m/>
    <m/>
    <m/>
    <m/>
    <m/>
  </r>
  <r>
    <n v="377"/>
    <s v="CBN Nusantara"/>
    <s v="PT. INTI DUNIA SUKSES PERIODE 2021/2022"/>
    <s v="Jl.H.R.Rasuna said blok x5 13"/>
    <x v="0"/>
    <m/>
    <m/>
    <s v="Sewa Tahunan"/>
    <s v="Cross Connect"/>
    <s v="PA/ACT/1908/0561"/>
    <m/>
    <m/>
    <m/>
    <m/>
    <n v="0"/>
    <n v="108000000"/>
    <m/>
    <n v="0"/>
    <n v="8000000"/>
    <m/>
    <d v="2021-09-01T00:00:00"/>
    <d v="2022-09-30T00:00:00"/>
    <x v="0"/>
    <m/>
    <m/>
    <m/>
    <m/>
    <m/>
    <m/>
    <m/>
    <n v="4500016490"/>
    <m/>
    <m/>
    <m/>
    <m/>
    <m/>
    <m/>
    <m/>
    <m/>
    <m/>
    <m/>
    <m/>
    <m/>
    <m/>
  </r>
  <r>
    <n v="378"/>
    <s v="CBN Nusantara"/>
    <s v="PT.SAMPOERNA TELEKOMUNIKASI INDONESIA PERIODE 2021-2022"/>
    <s v="Jl.H.R.Rasuna said blok x5 13"/>
    <x v="0"/>
    <m/>
    <m/>
    <s v="Sewa Tahunan"/>
    <s v="Colocation"/>
    <s v="PA/DOW/1812/0052"/>
    <m/>
    <m/>
    <m/>
    <m/>
    <n v="0"/>
    <n v="4550000000"/>
    <m/>
    <n v="0"/>
    <n v="8000000"/>
    <m/>
    <d v="2021-10-01T00:00:00"/>
    <d v="2022-10-30T00:00:00"/>
    <x v="0"/>
    <m/>
    <m/>
    <m/>
    <m/>
    <m/>
    <m/>
    <m/>
    <n v="4500016489"/>
    <m/>
    <m/>
    <m/>
    <m/>
    <m/>
    <m/>
    <m/>
    <m/>
    <m/>
    <m/>
    <m/>
    <m/>
    <m/>
  </r>
  <r>
    <n v="379"/>
    <s v="Sigma Cipta Caraka,PT"/>
    <s v="Badan pengelola pendapatan Daerah jawa tangah periode 2021/2022"/>
    <s v="Jl.Subijanto DJ"/>
    <x v="0"/>
    <m/>
    <m/>
    <s v="Sewa Tahunan"/>
    <s v="Cross Connect"/>
    <s v="PA/ACT/2001/3142,PA/ACT/2001/3142"/>
    <m/>
    <m/>
    <m/>
    <m/>
    <n v="0"/>
    <n v="185880000"/>
    <m/>
    <n v="0"/>
    <n v="6000000"/>
    <m/>
    <d v="2021-02-07T00:00:00"/>
    <d v="2022-02-06T00:00:00"/>
    <x v="0"/>
    <m/>
    <m/>
    <m/>
    <m/>
    <m/>
    <m/>
    <s v="152321/SPP/008/PUSAT/ICON+/2021"/>
    <n v="4500015878"/>
    <m/>
    <m/>
    <m/>
    <m/>
    <m/>
    <m/>
    <m/>
    <m/>
    <m/>
    <m/>
    <m/>
    <m/>
    <m/>
  </r>
  <r>
    <n v="380"/>
    <s v="Sigma Cipta Caraka,PT"/>
    <s v="Federal internasional finance "/>
    <s v="Jl.Subijanto DJ"/>
    <x v="0"/>
    <m/>
    <m/>
    <s v="Sewa Tahunan"/>
    <s v="Cross Connect"/>
    <s v="PA/ACT/1812/0388"/>
    <m/>
    <m/>
    <m/>
    <m/>
    <n v="0"/>
    <n v="528000000"/>
    <m/>
    <n v="0"/>
    <n v="6000000"/>
    <m/>
    <d v="2021-04-16T00:00:00"/>
    <d v="2022-04-15T00:00:00"/>
    <x v="0"/>
    <m/>
    <m/>
    <m/>
    <m/>
    <m/>
    <m/>
    <s v="15605/SPP/008/PUSAT/ICON+/2021"/>
    <n v="4500016097"/>
    <m/>
    <m/>
    <m/>
    <m/>
    <m/>
    <m/>
    <m/>
    <m/>
    <m/>
    <m/>
    <m/>
    <m/>
    <m/>
  </r>
  <r>
    <n v="381"/>
    <s v="Duta Pertiwi "/>
    <s v="PT TRANS RETAIL INDONESIA "/>
    <s v="Gd. JITC Lt. 7&amp;8 Jl.Mangga dua jakarta"/>
    <x v="0"/>
    <m/>
    <m/>
    <s v="Sewa Tahunan"/>
    <s v="Colocation"/>
    <s v="ICON-00/SOP/1403/0019"/>
    <m/>
    <m/>
    <m/>
    <m/>
    <n v="0"/>
    <n v="54000000"/>
    <m/>
    <n v="0"/>
    <n v="35000000"/>
    <m/>
    <d v="2021-08-27T00:00:00"/>
    <d v="2022-08-26T00:00:00"/>
    <x v="0"/>
    <m/>
    <m/>
    <m/>
    <m/>
    <m/>
    <m/>
    <m/>
    <n v="4500016493"/>
    <m/>
    <m/>
    <m/>
    <m/>
    <m/>
    <m/>
    <m/>
    <m/>
    <m/>
    <m/>
    <m/>
    <m/>
    <m/>
  </r>
  <r>
    <n v="382"/>
    <s v="Duta Pertiwi "/>
    <s v="PT. IPWAN GLOBAL TELECOM "/>
    <s v="Gd. JITC Lt. 7&amp;8 Jl.Mangga dua jakarta"/>
    <x v="0"/>
    <m/>
    <m/>
    <s v="Sewa Tahunan"/>
    <s v="Colocation"/>
    <s v="AL/1910/51950"/>
    <m/>
    <m/>
    <m/>
    <m/>
    <n v="0"/>
    <n v="1150000"/>
    <m/>
    <n v="0"/>
    <n v="11250000"/>
    <m/>
    <d v="2021-08-19T00:00:00"/>
    <d v="2022-08-18T00:00:00"/>
    <x v="0"/>
    <m/>
    <m/>
    <m/>
    <m/>
    <m/>
    <m/>
    <m/>
    <n v="4500016494"/>
    <m/>
    <m/>
    <m/>
    <m/>
    <m/>
    <m/>
    <m/>
    <m/>
    <m/>
    <m/>
    <m/>
    <m/>
    <m/>
  </r>
  <r>
    <n v="383"/>
    <s v="Phisindo Zamrud Nusantara,PT "/>
    <s v="TRANS RETAIL PERIODE 2021-2022"/>
    <s v="Jl.Margonda Raya 56"/>
    <x v="0"/>
    <m/>
    <m/>
    <s v="Sewa Tahunan"/>
    <s v="Colocation"/>
    <s v="ICON-00/SOP/1404/0010"/>
    <m/>
    <m/>
    <m/>
    <m/>
    <n v="0"/>
    <n v="54000000"/>
    <m/>
    <n v="0"/>
    <n v="14400000"/>
    <m/>
    <d v="2021-09-12T00:00:00"/>
    <d v="2022-09-11T00:00:00"/>
    <x v="0"/>
    <m/>
    <m/>
    <m/>
    <m/>
    <m/>
    <m/>
    <m/>
    <n v="4500016497"/>
    <m/>
    <m/>
    <m/>
    <m/>
    <m/>
    <m/>
    <m/>
    <m/>
    <m/>
    <m/>
    <m/>
    <m/>
    <m/>
  </r>
  <r>
    <n v="384"/>
    <s v="Jakarta Sinar Intertrade "/>
    <s v="PT BANK SINARMAS 2021-2022"/>
    <s v="Jl.Arteri Mnagga Dua Raya Gedung Mall magga dua D 5"/>
    <x v="0"/>
    <m/>
    <m/>
    <s v="Sewa Tahunan"/>
    <s v="Colocation"/>
    <s v="AL/2005/15084"/>
    <m/>
    <m/>
    <m/>
    <m/>
    <n v="0"/>
    <n v="34560000"/>
    <m/>
    <n v="0"/>
    <n v="18850000"/>
    <m/>
    <d v="2021-08-01T00:00:00"/>
    <d v="2022-07-31T00:00:00"/>
    <x v="0"/>
    <m/>
    <m/>
    <m/>
    <m/>
    <m/>
    <m/>
    <m/>
    <n v="4500016270"/>
    <m/>
    <m/>
    <m/>
    <m/>
    <m/>
    <m/>
    <m/>
    <m/>
    <m/>
    <m/>
    <m/>
    <m/>
    <m/>
  </r>
  <r>
    <n v="385"/>
    <s v="MEGA TELEKOMUNIKASI INDONESIA,PT"/>
    <s v="BANK BTPN PERIODE 2021-2022"/>
    <s v="Jl.Kanadianti nomor : 15 B pela mampang"/>
    <x v="0"/>
    <m/>
    <m/>
    <s v="Sewa Tahunan"/>
    <s v="Interkoneksi"/>
    <s v="AL/2104/22820"/>
    <m/>
    <m/>
    <m/>
    <m/>
    <n v="0"/>
    <n v="41400000"/>
    <m/>
    <n v="0"/>
    <n v="33000000"/>
    <m/>
    <d v="2021-07-01T00:00:00"/>
    <d v="2022-06-30T00:00:00"/>
    <x v="0"/>
    <m/>
    <m/>
    <m/>
    <m/>
    <m/>
    <m/>
    <m/>
    <n v="4500016434"/>
    <m/>
    <m/>
    <m/>
    <m/>
    <m/>
    <m/>
    <m/>
    <m/>
    <m/>
    <m/>
    <m/>
    <m/>
    <m/>
  </r>
  <r>
    <n v="386"/>
    <s v="Link Net"/>
    <s v="PT.SUPREME ENERGY MUARA LABOH "/>
    <s v="Citra Graha Lantai 4, Suite 403"/>
    <x v="0"/>
    <m/>
    <m/>
    <s v="Sewa Tahunan"/>
    <s v="Interkoneksi"/>
    <s v="PA/ACT/1911/43662"/>
    <m/>
    <m/>
    <m/>
    <m/>
    <n v="0"/>
    <n v="192000000"/>
    <m/>
    <n v="0"/>
    <n v="126000000"/>
    <m/>
    <d v="2021-02-01T00:00:00"/>
    <d v="2022-01-31T00:00:00"/>
    <x v="0"/>
    <m/>
    <m/>
    <m/>
    <m/>
    <m/>
    <m/>
    <s v="15455/SPP/008/PUSAT/ICON+/2021"/>
    <n v="4500015902"/>
    <m/>
    <m/>
    <m/>
    <m/>
    <m/>
    <m/>
    <m/>
    <m/>
    <m/>
    <m/>
    <m/>
    <m/>
    <m/>
  </r>
  <r>
    <n v="387"/>
    <s v="Prima wira utama, PT "/>
    <s v="PT. TRANS RETAIL INDONESIA"/>
    <s v="Gedung berita satu plaza Lt 2"/>
    <x v="0"/>
    <m/>
    <m/>
    <s v="Sewa Tahunan"/>
    <s v="Colocation"/>
    <s v="ICON-00/SOP/1404/0004"/>
    <m/>
    <m/>
    <m/>
    <m/>
    <n v="0"/>
    <n v="54000000"/>
    <m/>
    <n v="0"/>
    <n v="40625000"/>
    <m/>
    <d v="2021-09-24T00:00:00"/>
    <d v="2022-09-23T00:00:00"/>
    <x v="0"/>
    <m/>
    <m/>
    <m/>
    <m/>
    <m/>
    <m/>
    <m/>
    <n v="4500016473"/>
    <m/>
    <m/>
    <m/>
    <m/>
    <m/>
    <m/>
    <m/>
    <m/>
    <m/>
    <m/>
    <m/>
    <m/>
    <m/>
  </r>
  <r>
    <n v="388"/>
    <s v="Graha Anugerah sejahtera,PT"/>
    <s v="PT.TRANS RETAIL INDONESIA PERIODE 2021-2022"/>
    <s v="Jl.kelapa cengkir timur II Blok EH 2,kelapa gading No.2"/>
    <x v="0"/>
    <m/>
    <m/>
    <s v="Sewa Tahunan"/>
    <s v="Interkoneksi"/>
    <s v="AR/CHT/2103/1186"/>
    <m/>
    <m/>
    <m/>
    <m/>
    <n v="0"/>
    <n v="37713600"/>
    <m/>
    <n v="0"/>
    <n v="34800000"/>
    <m/>
    <d v="2021-07-01T00:00:00"/>
    <d v="2022-06-30T00:00:00"/>
    <x v="0"/>
    <m/>
    <m/>
    <m/>
    <m/>
    <m/>
    <m/>
    <m/>
    <n v="4500016457"/>
    <m/>
    <m/>
    <m/>
    <m/>
    <m/>
    <m/>
    <m/>
    <m/>
    <m/>
    <m/>
    <m/>
    <m/>
    <m/>
  </r>
  <r>
    <n v="389"/>
    <s v="Sukses kelole persada,PT"/>
    <s v="PT.SUMBER MENTARI ELEKTRINDO DAN PT MITRA ERA GLOBAL "/>
    <s v="Jl.gunung sahari Raya No.1"/>
    <x v="0"/>
    <m/>
    <m/>
    <s v="Sewa Tahunan"/>
    <s v="Colocation"/>
    <s v="PA/ACT/2106/2946/TER, PA/ACT/2106/2945/TER"/>
    <m/>
    <m/>
    <m/>
    <m/>
    <n v="2000000"/>
    <n v="86400000"/>
    <m/>
    <n v="0"/>
    <n v="45300000"/>
    <m/>
    <d v="2021-07-23T00:00:00"/>
    <d v="2022-07-22T00:00:00"/>
    <x v="0"/>
    <m/>
    <m/>
    <m/>
    <m/>
    <m/>
    <m/>
    <s v="16250/SPP/008/PUSAT/ICON+/2021"/>
    <n v="4500016483"/>
    <m/>
    <m/>
    <m/>
    <m/>
    <m/>
    <m/>
    <m/>
    <m/>
    <m/>
    <m/>
    <m/>
    <m/>
    <m/>
  </r>
  <r>
    <n v="390"/>
    <s v="Samudera Data Indonesia"/>
    <s v="PELANGGAN ICON"/>
    <s v="gedung cyber 1 No.8"/>
    <x v="0"/>
    <m/>
    <m/>
    <s v="Sewa Tahunan"/>
    <s v="Colocation"/>
    <m/>
    <m/>
    <m/>
    <m/>
    <m/>
    <n v="0"/>
    <n v="0"/>
    <m/>
    <n v="0"/>
    <n v="25200000"/>
    <m/>
    <d v="2021-09-01T00:00:00"/>
    <d v="2022-08-31T00:00:00"/>
    <x v="0"/>
    <m/>
    <m/>
    <m/>
    <m/>
    <m/>
    <m/>
    <m/>
    <n v="4500016253"/>
    <m/>
    <m/>
    <m/>
    <m/>
    <m/>
    <m/>
    <m/>
    <m/>
    <m/>
    <m/>
    <m/>
    <m/>
    <m/>
  </r>
  <r>
    <n v="391"/>
    <s v="Media Nusantara Data Global "/>
    <s v="PT. Bitniaga Cipta Gemiling"/>
    <s v="Jl.Kuningan Barat No.8 Cyber Building 1st &amp; 2nd"/>
    <x v="0"/>
    <m/>
    <m/>
    <s v="Sewa Tahunan"/>
    <s v="Cross Connect"/>
    <s v="PA/ACT/2005/0949"/>
    <m/>
    <m/>
    <m/>
    <m/>
    <n v="0"/>
    <n v="0"/>
    <m/>
    <n v="0"/>
    <n v="2750004"/>
    <m/>
    <d v="2021-06-03T00:00:00"/>
    <d v="2022-06-02T00:00:00"/>
    <x v="0"/>
    <m/>
    <m/>
    <m/>
    <m/>
    <m/>
    <m/>
    <s v="16027/SPP/008/PUSAT/ICON+/2021"/>
    <n v="45000163116"/>
    <m/>
    <m/>
    <m/>
    <m/>
    <m/>
    <m/>
    <m/>
    <m/>
    <m/>
    <m/>
    <m/>
    <m/>
    <m/>
  </r>
  <r>
    <n v="392"/>
    <s v="Biznet Data center,PT  "/>
    <s v="BANK CENTRAL ASIA PERIODE 2021-2022"/>
    <s v="Jl.Jend Sudirman kav.10-11"/>
    <x v="0"/>
    <m/>
    <m/>
    <s v="Sewa Tahunan"/>
    <s v="Cross Connect"/>
    <s v="AL/2009/45930"/>
    <m/>
    <m/>
    <m/>
    <m/>
    <n v="0"/>
    <n v="28800000"/>
    <m/>
    <n v="0"/>
    <n v="13200000"/>
    <m/>
    <d v="2021-01-31T00:00:00"/>
    <d v="2022-01-30T00:00:00"/>
    <x v="0"/>
    <m/>
    <m/>
    <m/>
    <m/>
    <m/>
    <m/>
    <s v="15103/SPP/008/PUSAT/ICON+/2021"/>
    <n v="4500015797"/>
    <m/>
    <m/>
    <m/>
    <m/>
    <m/>
    <m/>
    <m/>
    <m/>
    <m/>
    <m/>
    <m/>
    <m/>
    <m/>
  </r>
  <r>
    <n v="393"/>
    <s v="Media Nusantara Data Global "/>
    <s v="PT.GIGA PATRA MULTIMEDIA"/>
    <s v="Jl.Kuningan Barat No.8 Cyber Building 1st &amp; 2nd"/>
    <x v="0"/>
    <m/>
    <m/>
    <s v="Sewa Tahunan"/>
    <s v="Colocation"/>
    <s v="1000106826, 1000094688"/>
    <m/>
    <m/>
    <m/>
    <m/>
    <n v="0"/>
    <n v="285600000"/>
    <m/>
    <n v="0"/>
    <n v="49500000"/>
    <m/>
    <d v="2021-07-11T00:00:00"/>
    <d v="2022-07-10T00:00:00"/>
    <x v="0"/>
    <m/>
    <m/>
    <m/>
    <m/>
    <m/>
    <m/>
    <s v="16028/SPP/008/PUSAT/ICON+/2021"/>
    <n v="4500016301"/>
    <m/>
    <m/>
    <m/>
    <m/>
    <m/>
    <m/>
    <m/>
    <m/>
    <m/>
    <m/>
    <m/>
    <m/>
    <m/>
  </r>
  <r>
    <n v="394"/>
    <s v="Media Nusantara Data Global "/>
    <s v="PT Djarum periode 2021-2022"/>
    <s v="Jl.Kuningan Barat No.8 Cyber Building 1st &amp; 2nd"/>
    <x v="0"/>
    <m/>
    <m/>
    <s v="Sewa Tahunan"/>
    <s v="Cross Connect"/>
    <s v="PA/ACT/2004/0585"/>
    <m/>
    <m/>
    <m/>
    <m/>
    <n v="0"/>
    <n v="0"/>
    <m/>
    <n v="0"/>
    <n v="2750000"/>
    <m/>
    <d v="2021-06-03T00:00:00"/>
    <d v="2022-06-02T00:00:00"/>
    <x v="0"/>
    <m/>
    <m/>
    <m/>
    <m/>
    <m/>
    <m/>
    <s v="15995/SPP/008/PUSAT/ICON+/2021"/>
    <n v="4500016317"/>
    <m/>
    <m/>
    <m/>
    <m/>
    <m/>
    <m/>
    <m/>
    <m/>
    <m/>
    <m/>
    <m/>
    <m/>
    <m/>
  </r>
  <r>
    <n v="395"/>
    <s v="Centrin Online Prima"/>
    <s v="GH EMM PERIODE 2021-2022"/>
    <s v="Plaza sentral Lt 21. Jl jend sudirman kav 47"/>
    <x v="0"/>
    <m/>
    <m/>
    <s v="Sewa Tahunan"/>
    <s v="Interkoneksi"/>
    <s v="PA/UPG/2001/0203"/>
    <m/>
    <m/>
    <m/>
    <m/>
    <n v="0"/>
    <n v="420000000"/>
    <m/>
    <n v="0"/>
    <n v="9000000"/>
    <m/>
    <d v="2021-07-07T00:00:00"/>
    <d v="2022-07-06T00:00:00"/>
    <x v="0"/>
    <m/>
    <m/>
    <m/>
    <m/>
    <m/>
    <m/>
    <s v="16373/SPP/008/PUSAT/ICON+/2021"/>
    <n v="4500016636"/>
    <m/>
    <m/>
    <m/>
    <m/>
    <m/>
    <m/>
    <m/>
    <m/>
    <m/>
    <m/>
    <m/>
    <m/>
    <m/>
  </r>
  <r>
    <n v="396"/>
    <s v="P3SRSBH Multivision Tower "/>
    <s v="COMMONWHEALTH BANK PERIODE 2021"/>
    <s v="Gd.Multivision Tower Lt. Basement 1"/>
    <x v="0"/>
    <m/>
    <m/>
    <s v="Sewa Tahunan"/>
    <s v="Colocation"/>
    <s v="AR/ACT/1810/18466"/>
    <m/>
    <m/>
    <m/>
    <m/>
    <n v="0"/>
    <n v="156400000"/>
    <m/>
    <n v="0"/>
    <n v="40000000"/>
    <m/>
    <d v="2021-01-01T00:00:00"/>
    <d v="2022-01-31T00:00:00"/>
    <x v="0"/>
    <m/>
    <m/>
    <m/>
    <m/>
    <m/>
    <m/>
    <m/>
    <n v="4500015687"/>
    <m/>
    <m/>
    <m/>
    <m/>
    <m/>
    <m/>
    <m/>
    <m/>
    <m/>
    <m/>
    <m/>
    <m/>
    <m/>
  </r>
  <r>
    <n v="397"/>
    <s v="Telekomunikasi Indonesia Tbk,PT"/>
    <s v="PT. TRANS RETAIL INDONESIA PERIODE 2021-2022"/>
    <s v="Jl.kebon sirih No.12"/>
    <x v="0"/>
    <m/>
    <m/>
    <s v="Sewa Tahunan"/>
    <s v="Interkoneksi"/>
    <s v="AR/CHT/2103/1196"/>
    <m/>
    <m/>
    <m/>
    <m/>
    <n v="0"/>
    <n v="43740000"/>
    <m/>
    <n v="0"/>
    <n v="48000000"/>
    <m/>
    <d v="2021-07-01T00:00:00"/>
    <d v="2022-06-30T00:00:00"/>
    <x v="0"/>
    <m/>
    <m/>
    <m/>
    <m/>
    <m/>
    <m/>
    <s v="16420/SPP/008/PUSAT/ICON+/2021"/>
    <n v="4500016762"/>
    <m/>
    <m/>
    <m/>
    <m/>
    <m/>
    <m/>
    <m/>
    <m/>
    <m/>
    <m/>
    <m/>
    <m/>
    <m/>
  </r>
  <r>
    <n v="398"/>
    <s v="Infrastruktur Cakrawala Telekomunikasi"/>
    <s v="PT KAO INDONESIA "/>
    <s v="Jl.Jababeka IV Blok B No.12 Jbbk industrial Esta Cikarang"/>
    <x v="0"/>
    <m/>
    <m/>
    <s v="Sewa Tahunan"/>
    <s v="Cross Connect"/>
    <s v="PA/ACT/2108/1899"/>
    <m/>
    <m/>
    <m/>
    <m/>
    <n v="2500000"/>
    <n v="55200000"/>
    <m/>
    <n v="0"/>
    <n v="39458424"/>
    <m/>
    <d v="2021-09-09T00:00:00"/>
    <d v="2022-09-08T00:00:00"/>
    <x v="0"/>
    <m/>
    <m/>
    <m/>
    <m/>
    <m/>
    <m/>
    <s v="16555/SPP/008/PUSAT/ICON+/2021"/>
    <n v="4500016697"/>
    <m/>
    <m/>
    <m/>
    <m/>
    <m/>
    <m/>
    <m/>
    <m/>
    <m/>
    <m/>
    <m/>
    <m/>
    <m/>
  </r>
  <r>
    <n v="399"/>
    <s v="Inti Bangun Sejahtera"/>
    <s v="PT NTT QQ PT DIAMON COLD STROGE PERIODE 2021-2022"/>
    <s v="Jl.Riau 23"/>
    <x v="0"/>
    <m/>
    <m/>
    <s v="Sewa Tahunan"/>
    <s v="Interkoneksi"/>
    <m/>
    <m/>
    <m/>
    <m/>
    <m/>
    <n v="0"/>
    <n v="1226520000"/>
    <m/>
    <n v="0"/>
    <n v="51600000"/>
    <m/>
    <d v="2021-06-10T00:00:00"/>
    <d v="2022-06-09T00:00:00"/>
    <x v="0"/>
    <m/>
    <m/>
    <m/>
    <m/>
    <m/>
    <m/>
    <s v="15922/SPP/008/PUSAT/ICON+/2021"/>
    <s v="  "/>
    <m/>
    <m/>
    <m/>
    <m/>
    <m/>
    <m/>
    <m/>
    <m/>
    <m/>
    <m/>
    <m/>
    <m/>
    <m/>
  </r>
  <r>
    <n v="400"/>
    <s v="Plaza adika lestari "/>
    <s v="Bank mega periode 2021-2022"/>
    <s v="Senen,kompl.pertokoan segitiga senen blok"/>
    <x v="0"/>
    <m/>
    <m/>
    <s v="Sewa Tahunan"/>
    <s v="Colocation"/>
    <s v="PA/ACT/1808/0360"/>
    <m/>
    <m/>
    <m/>
    <m/>
    <n v="0"/>
    <n v="34800000"/>
    <m/>
    <n v="0"/>
    <n v="21450000"/>
    <m/>
    <d v="2021-11-25T00:00:00"/>
    <d v="2022-11-24T00:00:00"/>
    <x v="0"/>
    <m/>
    <m/>
    <m/>
    <m/>
    <m/>
    <m/>
    <s v="16791/SPP/008/PUSAT/ICON+/2021"/>
    <n v="4500017280"/>
    <m/>
    <m/>
    <m/>
    <m/>
    <m/>
    <m/>
    <m/>
    <m/>
    <m/>
    <m/>
    <m/>
    <m/>
    <m/>
  </r>
  <r>
    <n v="401"/>
    <s v="Indointernet"/>
    <s v="PT Primacom Interbuana qq Bank Jasa Jakarta"/>
    <s v="Jl Rempoa Raya 11"/>
    <x v="0"/>
    <m/>
    <m/>
    <s v="Sewa Tahunan"/>
    <s v="Colocation"/>
    <s v="ICON-00/SBC/1309/0461"/>
    <m/>
    <m/>
    <m/>
    <m/>
    <s v="-"/>
    <n v="27000000"/>
    <m/>
    <s v="-"/>
    <n v="2750000"/>
    <m/>
    <d v="2021-02-15T00:00:00"/>
    <d v="2022-02-14T00:00:00"/>
    <x v="0"/>
    <m/>
    <m/>
    <m/>
    <m/>
    <m/>
    <m/>
    <s v="15268/SPP/008/PUSAT/ICON+/2021"/>
    <n v="4500015812"/>
    <m/>
    <m/>
    <m/>
    <m/>
    <m/>
    <m/>
    <m/>
    <m/>
    <m/>
    <m/>
    <m/>
    <m/>
    <m/>
  </r>
  <r>
    <n v="402"/>
    <s v="Sigma Cipta Caraka, PT"/>
    <s v="PT BANK PEMBANGUNAN DAERAH KALIMANTAN"/>
    <s v="Jl Kapt Subijanto DJ"/>
    <x v="0"/>
    <m/>
    <m/>
    <s v="Sewa Tahunan"/>
    <s v="Cross Connect"/>
    <s v="PA/TRL/2101/0017/TER"/>
    <m/>
    <m/>
    <m/>
    <m/>
    <n v="20000000"/>
    <n v="84000000"/>
    <m/>
    <n v="4000000"/>
    <n v="24000000"/>
    <m/>
    <d v="2021-03-16T00:00:00"/>
    <d v="2022-03-15T00:00:00"/>
    <x v="0"/>
    <m/>
    <m/>
    <m/>
    <m/>
    <m/>
    <m/>
    <s v="15484/SPP/008/PUSAT/ICON+/2021"/>
    <n v="4500015925"/>
    <m/>
    <m/>
    <m/>
    <m/>
    <m/>
    <m/>
    <m/>
    <m/>
    <m/>
    <m/>
    <m/>
    <m/>
    <m/>
  </r>
  <r>
    <n v="403"/>
    <s v="Infrastruktur Cakrawala Telekomunikasi"/>
    <s v="PT SUMBER CIPTA MULTINIAGA"/>
    <s v="WTP Building Jl Jababeka IV Blok B No 12 Jbbk"/>
    <x v="0"/>
    <m/>
    <m/>
    <s v="Sewa Tahunan"/>
    <s v="Cross Connect"/>
    <s v="PA/RLK/2104/0051"/>
    <m/>
    <m/>
    <m/>
    <m/>
    <n v="3500000"/>
    <n v="54000000"/>
    <m/>
    <s v="-"/>
    <n v="11818764"/>
    <m/>
    <d v="2021-08-26T00:00:00"/>
    <d v="2022-08-25T00:00:00"/>
    <x v="0"/>
    <m/>
    <m/>
    <m/>
    <m/>
    <m/>
    <m/>
    <s v="15777/SPP/008/PUSAT/ICON+/2021"/>
    <n v="4500016103"/>
    <m/>
    <m/>
    <m/>
    <m/>
    <m/>
    <m/>
    <m/>
    <m/>
    <m/>
    <m/>
    <m/>
    <m/>
    <m/>
  </r>
  <r>
    <n v="404"/>
    <s v="Link Net"/>
    <s v="Bank Riau Kepri"/>
    <s v="Citra Graha Lantai 4, Suite 403"/>
    <x v="0"/>
    <m/>
    <m/>
    <s v="Sewa Tahunan"/>
    <s v="Interkoneksi"/>
    <s v="AL/2004/10293"/>
    <m/>
    <m/>
    <m/>
    <m/>
    <s v="-"/>
    <n v="168000000"/>
    <m/>
    <s v="-"/>
    <n v="54000000"/>
    <m/>
    <d v="2021-03-13T00:00:00"/>
    <d v="2022-03-12T00:00:00"/>
    <x v="0"/>
    <m/>
    <m/>
    <m/>
    <m/>
    <m/>
    <m/>
    <s v="15220/SPP/008/PUSAT/ICON+/2021"/>
    <n v="4500015842"/>
    <m/>
    <m/>
    <m/>
    <m/>
    <m/>
    <m/>
    <m/>
    <m/>
    <m/>
    <m/>
    <m/>
    <m/>
    <m/>
  </r>
  <r>
    <n v="405"/>
    <s v="Hipernet Indodata "/>
    <s v="PT Prodia Widyahusada"/>
    <s v="Jl Makaliwe Raya 24-24a"/>
    <x v="0"/>
    <m/>
    <m/>
    <s v="Sewa Tahunan"/>
    <s v="Interkoneksi"/>
    <s v="PA/ACT/1911/0379/TER"/>
    <m/>
    <m/>
    <m/>
    <m/>
    <s v="-"/>
    <n v="72000000"/>
    <m/>
    <s v="-"/>
    <n v="59400000"/>
    <m/>
    <d v="2021-03-10T00:00:00"/>
    <d v="2022-03-09T00:00:00"/>
    <x v="0"/>
    <m/>
    <m/>
    <m/>
    <m/>
    <m/>
    <m/>
    <s v="15128/SPP/008/PUSAT/ICON+/2021"/>
    <n v="4500015813"/>
    <m/>
    <m/>
    <m/>
    <m/>
    <m/>
    <m/>
    <m/>
    <m/>
    <m/>
    <m/>
    <m/>
    <m/>
    <m/>
  </r>
  <r>
    <n v="406"/>
    <s v="Aplikanusa Lintasarta"/>
    <s v="PT ARTHATECH SELARAS, BANK RIAU KEPRI"/>
    <s v="Jl M H Thamrin Kav 3"/>
    <x v="0"/>
    <m/>
    <m/>
    <s v="Sewa Tahunan"/>
    <s v="Cross Connect"/>
    <s v="PA/ACT/2103/1475/ORI, PA/ACT/2103/1352"/>
    <m/>
    <m/>
    <m/>
    <m/>
    <n v="7500000"/>
    <n v="234000000"/>
    <m/>
    <n v="2000000"/>
    <n v="30000000"/>
    <m/>
    <d v="2021-04-22T00:00:00"/>
    <d v="2022-04-21T00:00:00"/>
    <x v="0"/>
    <m/>
    <m/>
    <m/>
    <m/>
    <m/>
    <m/>
    <m/>
    <s v="15617/SPP/008/PUSAT/ICON+/2021"/>
    <m/>
    <m/>
    <m/>
    <m/>
    <m/>
    <m/>
    <m/>
    <m/>
    <m/>
    <m/>
    <m/>
    <m/>
    <m/>
  </r>
  <r>
    <n v="407"/>
    <s v="Infrastruktur Cakrawala Telekomunikasi"/>
    <s v="PT GOBEL DHARMA SARANA KARYA"/>
    <s v="WTP Building Jl Jababeka IV Blok B No 12 Jbbk"/>
    <x v="0"/>
    <m/>
    <m/>
    <s v="Sewa Tahunan"/>
    <s v="Cross Connect"/>
    <s v="PA/ACT/2103/1696"/>
    <m/>
    <m/>
    <m/>
    <m/>
    <n v="3500000"/>
    <n v="60000000"/>
    <m/>
    <s v="-"/>
    <n v="39458424"/>
    <m/>
    <d v="2021-04-05T00:00:00"/>
    <d v="2022-04-04T00:00:00"/>
    <x v="0"/>
    <m/>
    <m/>
    <m/>
    <m/>
    <m/>
    <m/>
    <s v="15624/SPP/008/PUSAT/ICON+/2021"/>
    <n v="4500016007"/>
    <m/>
    <m/>
    <m/>
    <m/>
    <m/>
    <m/>
    <m/>
    <m/>
    <m/>
    <m/>
    <m/>
    <m/>
    <m/>
  </r>
  <r>
    <n v="408"/>
    <s v="Circlecom Nusantara Indonesia"/>
    <s v="PT BANK YUDHA BHAKTI"/>
    <s v="Jl Jend Sudirman Kav 52-53"/>
    <x v="0"/>
    <m/>
    <m/>
    <s v="Sewa Tahunan"/>
    <s v="Interkoneksi"/>
    <s v="PA/ACT/2103/1250/TER"/>
    <m/>
    <m/>
    <m/>
    <m/>
    <n v="10500000"/>
    <n v="1008000000"/>
    <m/>
    <n v="5000000"/>
    <n v="540000000"/>
    <m/>
    <d v="2021-01-04T00:00:00"/>
    <d v="2024-03-31T00:00:00"/>
    <x v="0"/>
    <m/>
    <m/>
    <m/>
    <m/>
    <m/>
    <m/>
    <s v="15600/SPP/008/PUSAT/ICON+/2021"/>
    <n v="4500015965"/>
    <m/>
    <m/>
    <m/>
    <m/>
    <m/>
    <m/>
    <m/>
    <m/>
    <m/>
    <m/>
    <m/>
    <m/>
    <m/>
  </r>
  <r>
    <n v="409"/>
    <s v="Duta Pertiwi "/>
    <s v="PT BANK SINARMAS"/>
    <s v="Gd JITC Lt 7&amp;8 Jl Mangga Dua Jakarta"/>
    <x v="0"/>
    <m/>
    <m/>
    <s v="Sewa Tahunan"/>
    <s v="Colocation"/>
    <s v="AL/2008/38045"/>
    <m/>
    <m/>
    <m/>
    <m/>
    <s v="-"/>
    <n v="44400000"/>
    <m/>
    <s v="-"/>
    <n v="13244000"/>
    <m/>
    <d v="2021-01-27T00:00:00"/>
    <d v="2022-01-26T00:00:00"/>
    <x v="0"/>
    <m/>
    <m/>
    <m/>
    <m/>
    <m/>
    <m/>
    <s v="15101/SPP/008/PUSAT/ICON+/2021"/>
    <n v="4500015779"/>
    <m/>
    <m/>
    <m/>
    <m/>
    <m/>
    <m/>
    <m/>
    <m/>
    <m/>
    <m/>
    <m/>
    <m/>
    <m/>
  </r>
  <r>
    <n v="410"/>
    <s v="Indointernet"/>
    <s v="PT TOYOTA ASTRA MOTOR "/>
    <s v="Jl Rempoa Raya 11"/>
    <x v="0"/>
    <m/>
    <m/>
    <s v="Sewa Tahunan"/>
    <s v="Interkoneksi"/>
    <s v="AL/1809/9544, AL/2001/1116"/>
    <m/>
    <m/>
    <m/>
    <m/>
    <s v="-"/>
    <n v="379656000"/>
    <m/>
    <s v="-"/>
    <n v="120000000"/>
    <m/>
    <d v="2021-05-17T00:00:00"/>
    <d v="2022-05-16T00:00:00"/>
    <x v="0"/>
    <m/>
    <m/>
    <m/>
    <m/>
    <m/>
    <m/>
    <m/>
    <n v="4500016258"/>
    <m/>
    <m/>
    <m/>
    <m/>
    <m/>
    <m/>
    <m/>
    <m/>
    <m/>
    <m/>
    <m/>
    <m/>
    <m/>
  </r>
  <r>
    <n v="411"/>
    <s v="PT REKAJASA AKSES"/>
    <s v="PT FOODS BEVERAGES INDONESIA "/>
    <s v="Rukan Permata SEnayan Blok F 08-09 7fl #703"/>
    <x v="0"/>
    <m/>
    <m/>
    <s v="Sewa Tahunan"/>
    <s v="Interkoneksi"/>
    <s v="PA/ACT/1901/0856"/>
    <m/>
    <m/>
    <m/>
    <m/>
    <s v="-"/>
    <n v="38400000"/>
    <m/>
    <s v="-"/>
    <n v="21120000"/>
    <m/>
    <d v="2021-01-01T00:00:00"/>
    <d v="2021-12-31T00:00:00"/>
    <x v="0"/>
    <m/>
    <m/>
    <m/>
    <m/>
    <m/>
    <m/>
    <m/>
    <n v="4500015605"/>
    <m/>
    <m/>
    <m/>
    <m/>
    <m/>
    <m/>
    <m/>
    <m/>
    <m/>
    <m/>
    <m/>
    <m/>
    <m/>
  </r>
  <r>
    <n v="412"/>
    <s v="DCI Indonesia "/>
    <s v="PT SOKONINDO"/>
    <s v="Jl Jend Sudirman Kav 52-53"/>
    <x v="0"/>
    <m/>
    <m/>
    <s v="Sewa Tahunan"/>
    <s v="Cross Connect"/>
    <s v="PA/ACT/1905/0269"/>
    <m/>
    <m/>
    <m/>
    <m/>
    <s v="-"/>
    <n v="155730480"/>
    <m/>
    <s v="-"/>
    <n v="18000000"/>
    <m/>
    <d v="2021-01-10T00:00:00"/>
    <d v="2022-01-09T00:00:00"/>
    <x v="0"/>
    <m/>
    <m/>
    <m/>
    <m/>
    <m/>
    <m/>
    <m/>
    <n v="4500015702"/>
    <m/>
    <m/>
    <m/>
    <m/>
    <m/>
    <m/>
    <m/>
    <m/>
    <m/>
    <m/>
    <m/>
    <m/>
    <m/>
  </r>
  <r>
    <n v="413"/>
    <s v="Agung Sedayu Propertindo / Badan Pengelola Harco Mangga Dua"/>
    <s v="PT BERDIKARI PRIMA MANDIRI"/>
    <s v="Jl Mangga Dua Raya"/>
    <x v="0"/>
    <m/>
    <m/>
    <s v="Sewa Tahunan"/>
    <s v="Colocation"/>
    <s v="PA/ACT/1811/1966"/>
    <m/>
    <m/>
    <m/>
    <m/>
    <s v="-"/>
    <n v="42000000"/>
    <m/>
    <s v="-"/>
    <n v="20000000"/>
    <m/>
    <d v="2021-01-01T00:00:00"/>
    <d v="2021-12-31T00:00:00"/>
    <x v="0"/>
    <m/>
    <m/>
    <m/>
    <m/>
    <m/>
    <m/>
    <m/>
    <n v="4500015423"/>
    <m/>
    <m/>
    <m/>
    <m/>
    <m/>
    <m/>
    <m/>
    <m/>
    <m/>
    <m/>
    <m/>
    <m/>
    <m/>
  </r>
  <r>
    <n v="414"/>
    <s v="BPJS KETENAGAKERJAAN (JAMSOSTEK)"/>
    <s v="PT TANJUNG ENIM LESTARI PULP AND PAPER"/>
    <s v="Jl Gatot Subroto 79"/>
    <x v="0"/>
    <m/>
    <m/>
    <s v="Sewa Tahunan"/>
    <s v="Colocation"/>
    <s v="ICON-00/SOP/1707/0112"/>
    <m/>
    <m/>
    <m/>
    <m/>
    <s v="-"/>
    <n v="94800000"/>
    <m/>
    <s v="-"/>
    <n v="5000000"/>
    <m/>
    <d v="2021-07-22T00:00:00"/>
    <d v="2022-07-21T00:00:00"/>
    <x v="0"/>
    <m/>
    <m/>
    <m/>
    <m/>
    <m/>
    <m/>
    <m/>
    <n v="4500016266"/>
    <m/>
    <m/>
    <m/>
    <m/>
    <m/>
    <m/>
    <m/>
    <m/>
    <m/>
    <m/>
    <m/>
    <m/>
    <m/>
  </r>
  <r>
    <n v="415"/>
    <s v="MULTIKONTROL NUSANTARA, PT"/>
    <m/>
    <s v="Jl HR Rasuna Said Kav B-1"/>
    <x v="0"/>
    <m/>
    <m/>
    <s v="Sewa Tahunan"/>
    <s v="Interkoneksi"/>
    <m/>
    <m/>
    <m/>
    <m/>
    <m/>
    <s v="-"/>
    <s v="-"/>
    <m/>
    <s v="-"/>
    <n v="120000000"/>
    <m/>
    <d v="2021-01-01T00:00:00"/>
    <d v="2021-12-31T00:00:00"/>
    <x v="0"/>
    <m/>
    <m/>
    <m/>
    <m/>
    <m/>
    <m/>
    <s v="14853/SPP/008/PUSAT/ICON+/2020"/>
    <n v="4500015486"/>
    <m/>
    <m/>
    <m/>
    <m/>
    <m/>
    <m/>
    <m/>
    <m/>
    <m/>
    <m/>
    <m/>
    <m/>
    <m/>
  </r>
  <r>
    <n v="416"/>
    <s v="Plaza Andika Lestari"/>
    <s v="PT BANK CENTRAL ASIA, Tbk"/>
    <s v="Plaza Atrium Komplek Blok Adan C Lt Basement 1"/>
    <x v="0"/>
    <m/>
    <m/>
    <s v="Sewa Tahunan"/>
    <s v="Colocation"/>
    <s v="ICON-00/SBC/1801/0213"/>
    <m/>
    <m/>
    <m/>
    <m/>
    <s v="-"/>
    <n v="60000000"/>
    <m/>
    <s v="-"/>
    <n v="26060265"/>
    <m/>
    <d v="2021-03-25T00:00:00"/>
    <d v="2022-03-24T00:00:00"/>
    <x v="0"/>
    <m/>
    <m/>
    <m/>
    <m/>
    <m/>
    <m/>
    <m/>
    <n v="4500015760"/>
    <m/>
    <m/>
    <m/>
    <m/>
    <m/>
    <m/>
    <m/>
    <m/>
    <m/>
    <m/>
    <m/>
    <m/>
    <m/>
  </r>
  <r>
    <n v="417"/>
    <s v="INTERSHOP PRIMA CENTER, PT"/>
    <s v="Asuransi Umum BCA"/>
    <s v="Jl Mangga Dua Raya No 8 Jakarta Utara"/>
    <x v="0"/>
    <m/>
    <m/>
    <s v="Sewa Tahunan"/>
    <s v="Colocation"/>
    <s v="ICON-00/SBC/1709/1243"/>
    <m/>
    <m/>
    <m/>
    <m/>
    <s v="-"/>
    <n v="82200000"/>
    <m/>
    <s v="-"/>
    <n v="20000000"/>
    <m/>
    <d v="2021-01-01T00:00:00"/>
    <d v="2021-12-31T00:00:00"/>
    <x v="0"/>
    <m/>
    <m/>
    <m/>
    <m/>
    <m/>
    <m/>
    <m/>
    <n v="4500015614"/>
    <m/>
    <m/>
    <m/>
    <m/>
    <m/>
    <m/>
    <m/>
    <m/>
    <m/>
    <m/>
    <m/>
    <m/>
    <m/>
  </r>
  <r>
    <n v="418"/>
    <s v="BPJS KETENAGAKERJAAN (JAMSOSTEK)"/>
    <s v="PT INDONESIA COMNETS PLUS"/>
    <s v="Jl Gatot Subroto 79"/>
    <x v="0"/>
    <m/>
    <m/>
    <s v="Sewa Tahunan"/>
    <s v="Colocation"/>
    <m/>
    <m/>
    <m/>
    <m/>
    <m/>
    <s v="-"/>
    <s v="-"/>
    <m/>
    <s v="-"/>
    <n v="7500002"/>
    <m/>
    <d v="2021-07-16T00:00:00"/>
    <d v="2022-07-15T00:00:00"/>
    <x v="0"/>
    <m/>
    <m/>
    <m/>
    <m/>
    <m/>
    <m/>
    <m/>
    <n v="4500016268"/>
    <m/>
    <m/>
    <m/>
    <m/>
    <m/>
    <m/>
    <m/>
    <m/>
    <m/>
    <m/>
    <m/>
    <m/>
    <m/>
  </r>
  <r>
    <n v="419"/>
    <s v="Cyberindo Aditama"/>
    <s v="PT KALIMANTAN SANGGAR PUSAKA"/>
    <s v="Jl Gatot Subroto"/>
    <x v="0"/>
    <m/>
    <m/>
    <s v="Sewa Tahunan"/>
    <s v="Interkoneksi"/>
    <s v="PA/ACT/1812/1439"/>
    <m/>
    <m/>
    <m/>
    <m/>
    <s v="-"/>
    <n v="84000000"/>
    <m/>
    <s v="-"/>
    <n v="21600000"/>
    <m/>
    <d v="2021-01-01T00:00:00"/>
    <d v="2021-12-31T00:00:00"/>
    <x v="0"/>
    <m/>
    <m/>
    <m/>
    <m/>
    <m/>
    <m/>
    <m/>
    <n v="4500015617"/>
    <m/>
    <m/>
    <m/>
    <m/>
    <m/>
    <m/>
    <m/>
    <m/>
    <m/>
    <m/>
    <m/>
    <m/>
    <m/>
  </r>
  <r>
    <n v="420"/>
    <s v="Sigma Cipta Caraka, PT"/>
    <s v="PT BANK HSBC INDONESIA "/>
    <s v="Jl Kapt Subijanto DJ"/>
    <x v="0"/>
    <m/>
    <m/>
    <s v="Sewa Tahunan"/>
    <s v="Cross Connect"/>
    <s v="ICON-00/SBC/1802/0068"/>
    <m/>
    <m/>
    <m/>
    <m/>
    <s v="-"/>
    <n v="216000000"/>
    <m/>
    <s v="-"/>
    <n v="6600000"/>
    <m/>
    <d v="2021-03-09T00:00:00"/>
    <d v="2022-03-08T00:00:00"/>
    <x v="0"/>
    <m/>
    <m/>
    <m/>
    <m/>
    <m/>
    <m/>
    <s v="15550/SPP/008/PUSAT/ICON+/2021"/>
    <n v="4500016256"/>
    <m/>
    <m/>
    <m/>
    <m/>
    <m/>
    <m/>
    <m/>
    <m/>
    <m/>
    <m/>
    <m/>
    <m/>
    <m/>
  </r>
  <r>
    <n v="421"/>
    <s v="Perwita Margasakti "/>
    <s v="BANK SINARMAS"/>
    <s v="ITC Kuningan 10th floor, Jl Prof Satrio"/>
    <x v="0"/>
    <m/>
    <m/>
    <s v="Sewa Tahunan"/>
    <s v="Colocation"/>
    <s v="AL/2005/15433"/>
    <m/>
    <m/>
    <m/>
    <m/>
    <s v="-"/>
    <n v="44400000"/>
    <m/>
    <s v="-"/>
    <n v="28000000"/>
    <m/>
    <d v="2021-02-13T00:00:00"/>
    <d v="2022-02-12T00:00:00"/>
    <x v="0"/>
    <m/>
    <m/>
    <m/>
    <m/>
    <m/>
    <m/>
    <m/>
    <n v="4500015748"/>
    <m/>
    <m/>
    <m/>
    <m/>
    <m/>
    <m/>
    <m/>
    <m/>
    <m/>
    <m/>
    <m/>
    <m/>
    <m/>
  </r>
  <r>
    <n v="422"/>
    <s v="BPJS KETENAGAKERJAAN (JAMSOSTEK)"/>
    <s v="PT INDONESIA COMNETS PLUS"/>
    <s v="Jl Gatot Subroto 79"/>
    <x v="0"/>
    <m/>
    <m/>
    <s v="Sewa Tahunan"/>
    <s v="Colocation"/>
    <m/>
    <m/>
    <m/>
    <m/>
    <m/>
    <s v="-"/>
    <s v="-"/>
    <m/>
    <s v="-"/>
    <n v="10000000"/>
    <m/>
    <d v="2021-07-22T00:00:00"/>
    <d v="2022-07-21T00:00:00"/>
    <x v="0"/>
    <m/>
    <m/>
    <m/>
    <m/>
    <m/>
    <m/>
    <m/>
    <n v="4500016267"/>
    <m/>
    <m/>
    <m/>
    <m/>
    <m/>
    <m/>
    <m/>
    <m/>
    <m/>
    <m/>
    <m/>
    <m/>
    <m/>
  </r>
  <r>
    <n v="423"/>
    <s v="Nettocyber Indonesia, PT"/>
    <s v="PT BENTOEL PRIMA"/>
    <s v="Jl TB Simatupang Kav 1S"/>
    <x v="0"/>
    <m/>
    <m/>
    <s v="Sewa Tahunan"/>
    <s v="Interkoneksi"/>
    <m/>
    <s v=" "/>
    <m/>
    <m/>
    <m/>
    <s v="-"/>
    <n v="538800000"/>
    <m/>
    <s v="-"/>
    <n v="252000000"/>
    <m/>
    <d v="2021-07-01T00:00:00"/>
    <d v="2022-06-30T00:00:00"/>
    <x v="0"/>
    <m/>
    <m/>
    <m/>
    <m/>
    <m/>
    <m/>
    <m/>
    <n v="4500016496"/>
    <m/>
    <m/>
    <m/>
    <m/>
    <m/>
    <m/>
    <m/>
    <m/>
    <m/>
    <m/>
    <m/>
    <m/>
    <m/>
  </r>
  <r>
    <n v="424"/>
    <s v="Karyagraha Nusantara "/>
    <s v="PT PARSAORAN GLOBAL DATATRANS"/>
    <s v="Jl Kuningan Barat 8"/>
    <x v="0"/>
    <m/>
    <m/>
    <s v="Sewa Tahunan"/>
    <s v="Colocation"/>
    <s v="AL/2102/9846"/>
    <m/>
    <m/>
    <m/>
    <m/>
    <s v="-"/>
    <n v="72000000"/>
    <m/>
    <s v="-"/>
    <n v="7500000"/>
    <m/>
    <d v="2021-07-29T00:00:00"/>
    <d v="2022-07-28T00:00:00"/>
    <x v="0"/>
    <m/>
    <m/>
    <m/>
    <m/>
    <m/>
    <m/>
    <m/>
    <n v="4500016271"/>
    <m/>
    <m/>
    <m/>
    <m/>
    <m/>
    <m/>
    <m/>
    <m/>
    <m/>
    <m/>
    <m/>
    <m/>
    <m/>
  </r>
  <r>
    <n v="425"/>
    <s v="CATURMAS KELOLA SUKSES, PT"/>
    <s v="PT KRISBOW INDONESIA"/>
    <s v="Gedung Kenari Mas Lt 6 No 101"/>
    <x v="0"/>
    <m/>
    <m/>
    <s v="Sewa Tahunan"/>
    <s v="Interkoneksi"/>
    <s v="PA/ACT/1811/3227"/>
    <m/>
    <m/>
    <m/>
    <m/>
    <s v="-"/>
    <n v="36000000"/>
    <m/>
    <s v="-"/>
    <n v="19250000"/>
    <m/>
    <d v="2021-04-01T00:00:00"/>
    <d v="2022-03-31T00:00:00"/>
    <x v="0"/>
    <m/>
    <m/>
    <m/>
    <m/>
    <m/>
    <m/>
    <m/>
    <n v="4500015749"/>
    <m/>
    <m/>
    <m/>
    <m/>
    <m/>
    <m/>
    <m/>
    <m/>
    <m/>
    <m/>
    <m/>
    <m/>
    <m/>
  </r>
  <r>
    <n v="426"/>
    <s v="Media Nusantara Data Global "/>
    <s v="PT YESI MEDIA UTAMA WONOGIRI "/>
    <s v="Jl Kuningan Barat 8"/>
    <x v="0"/>
    <m/>
    <m/>
    <s v="Sewa Tahunan"/>
    <s v="Cross Connect"/>
    <m/>
    <m/>
    <m/>
    <m/>
    <m/>
    <s v="-"/>
    <n v="318000000"/>
    <m/>
    <s v="-"/>
    <n v="2500008"/>
    <m/>
    <d v="2021-07-16T00:00:00"/>
    <d v="2022-07-15T00:00:00"/>
    <x v="0"/>
    <m/>
    <m/>
    <m/>
    <m/>
    <m/>
    <m/>
    <s v="16238/SPP/008/PUSAT/ICON+/2021"/>
    <n v="4500016507"/>
    <m/>
    <m/>
    <m/>
    <m/>
    <m/>
    <m/>
    <m/>
    <m/>
    <m/>
    <m/>
    <m/>
    <m/>
    <m/>
  </r>
  <r>
    <n v="427"/>
    <s v="Graha Pena Jawa Pos"/>
    <s v="PT JAWA POS KORAN"/>
    <s v="Jl Kebayoran Lama 12"/>
    <x v="0"/>
    <m/>
    <m/>
    <s v="Sewa Tahunan"/>
    <s v="Colocation"/>
    <s v="PA/ACT/1902/1116"/>
    <m/>
    <m/>
    <m/>
    <m/>
    <s v="-"/>
    <n v="54000000"/>
    <m/>
    <s v="-"/>
    <n v="54283803"/>
    <m/>
    <d v="2021-01-02T00:00:00"/>
    <d v="2022-01-01T00:00:00"/>
    <x v="0"/>
    <m/>
    <m/>
    <m/>
    <m/>
    <m/>
    <m/>
    <m/>
    <n v="4500015632"/>
    <m/>
    <m/>
    <m/>
    <m/>
    <m/>
    <m/>
    <m/>
    <m/>
    <m/>
    <m/>
    <m/>
    <m/>
    <m/>
  </r>
  <r>
    <n v="428"/>
    <s v="DCI Indonesia "/>
    <s v="PTAIRPAY INTERNATIONAL INDONESIA "/>
    <s v="Jl JEend Sudirman Kav 52-53"/>
    <x v="0"/>
    <m/>
    <m/>
    <s v="Sewa Tahunan"/>
    <s v="Cross Connect"/>
    <s v="PA/ACT/1908/0899"/>
    <m/>
    <m/>
    <m/>
    <m/>
    <s v="-"/>
    <n v="66000000"/>
    <m/>
    <s v="-"/>
    <n v="36000000"/>
    <m/>
    <d v="2021-08-16T00:00:00"/>
    <d v="2022-08-15T00:00:00"/>
    <x v="0"/>
    <m/>
    <m/>
    <m/>
    <m/>
    <m/>
    <m/>
    <m/>
    <n v="4500016561"/>
    <m/>
    <m/>
    <m/>
    <m/>
    <m/>
    <m/>
    <m/>
    <m/>
    <m/>
    <m/>
    <m/>
    <m/>
    <m/>
  </r>
  <r>
    <n v="429"/>
    <s v="Link Net"/>
    <s v="PLN RAYON CIKARANG"/>
    <s v="Citra Graha Lantai 4, Suite 403"/>
    <x v="0"/>
    <m/>
    <m/>
    <s v="Sewa Tahunan"/>
    <s v="Interkoneksi"/>
    <s v="ICON-00/MIG/1703/0048"/>
    <m/>
    <m/>
    <m/>
    <m/>
    <s v="-"/>
    <n v="73368000"/>
    <m/>
    <s v="-"/>
    <n v="32400000"/>
    <m/>
    <d v="2021-07-01T00:00:00"/>
    <d v="2022-06-20T00:00:00"/>
    <x v="0"/>
    <m/>
    <m/>
    <m/>
    <m/>
    <m/>
    <m/>
    <m/>
    <n v="4500016541"/>
    <m/>
    <m/>
    <m/>
    <m/>
    <m/>
    <m/>
    <m/>
    <m/>
    <m/>
    <m/>
    <m/>
    <m/>
    <m/>
  </r>
  <r>
    <n v="430"/>
    <s v="Dinamika Raya Prima "/>
    <s v="PT SUMBER ALFARIA TRIJAYA"/>
    <s v="Jl Jend Sudirman Kav 10-11"/>
    <x v="0"/>
    <m/>
    <m/>
    <s v="Sewa Tahunan"/>
    <s v="Cross Connect"/>
    <s v="ICON-00/SBC/1512/0452"/>
    <m/>
    <m/>
    <m/>
    <m/>
    <s v="-"/>
    <n v="222000000"/>
    <m/>
    <s v="-"/>
    <n v="2000000"/>
    <m/>
    <d v="2021-01-01T00:00:00"/>
    <d v="2021-12-31T00:00:00"/>
    <x v="0"/>
    <m/>
    <m/>
    <m/>
    <m/>
    <m/>
    <m/>
    <m/>
    <n v="4500015357"/>
    <m/>
    <m/>
    <m/>
    <m/>
    <m/>
    <m/>
    <m/>
    <m/>
    <m/>
    <m/>
    <m/>
    <m/>
    <m/>
  </r>
  <r>
    <n v="431"/>
    <s v="MEGA AKSES PERSADA, PT "/>
    <s v="PT INDOMARCO PRISMATAMA"/>
    <s v="Jl HR Rasuna said x-5 Kav 2-3"/>
    <x v="0"/>
    <m/>
    <m/>
    <s v="Sewa Tahunan"/>
    <s v="Interkoneksi"/>
    <s v="PA/UPG/2107/0003"/>
    <m/>
    <m/>
    <m/>
    <m/>
    <s v="-"/>
    <n v="492000000"/>
    <m/>
    <s v="-"/>
    <n v="120000000"/>
    <m/>
    <d v="2021-07-09T00:00:00"/>
    <d v="2022-07-08T00:00:00"/>
    <x v="0"/>
    <m/>
    <m/>
    <m/>
    <m/>
    <m/>
    <m/>
    <s v="16322/SPP/008/PUSAT/ICON+/2021"/>
    <n v="4500016531"/>
    <m/>
    <m/>
    <m/>
    <m/>
    <m/>
    <m/>
    <m/>
    <m/>
    <m/>
    <m/>
    <m/>
    <m/>
    <m/>
  </r>
  <r>
    <n v="432"/>
    <s v="Media Nusantara Data Global "/>
    <s v="PT PINUS MERAH ABADI"/>
    <s v="Jl Kuningan Barat 8"/>
    <x v="0"/>
    <m/>
    <m/>
    <s v="Sewa Tahunan"/>
    <s v="Cross Connect"/>
    <s v="PA/ACT/2006/0717"/>
    <m/>
    <m/>
    <m/>
    <m/>
    <s v="-"/>
    <n v="300000000"/>
    <m/>
    <s v="-"/>
    <n v="2500008"/>
    <m/>
    <d v="2021-07-06T00:00:00"/>
    <d v="2022-07-05T00:00:00"/>
    <x v="0"/>
    <m/>
    <m/>
    <m/>
    <m/>
    <m/>
    <m/>
    <s v="16237/SPP/008/PUSAT/ICON+/2021"/>
    <n v="4500016506"/>
    <m/>
    <m/>
    <m/>
    <m/>
    <m/>
    <m/>
    <m/>
    <m/>
    <m/>
    <m/>
    <m/>
    <m/>
    <m/>
  </r>
  <r>
    <n v="433"/>
    <s v="Infrastruktur Cakrawala Telekomunikasi"/>
    <s v="PT BANK SYARIAH INDONESIA"/>
    <s v="Jl Jababeka IV Blok B No 12 Jbbk"/>
    <x v="0"/>
    <m/>
    <m/>
    <s v="Sewa Tahunan"/>
    <s v="Cross Connect"/>
    <s v="PA/ACT/2106/0130/TER"/>
    <m/>
    <m/>
    <m/>
    <m/>
    <n v="1500000"/>
    <n v="36000000"/>
    <m/>
    <s v="-"/>
    <n v="8352180"/>
    <m/>
    <d v="2021-10-08T00:00:00"/>
    <d v="2022-09-30T00:00:00"/>
    <x v="0"/>
    <m/>
    <m/>
    <m/>
    <m/>
    <m/>
    <m/>
    <s v="16310/SPP/008/PUSAT/ICON+/2021"/>
    <n v="4500016592"/>
    <m/>
    <m/>
    <m/>
    <m/>
    <m/>
    <m/>
    <m/>
    <m/>
    <m/>
    <m/>
    <m/>
    <m/>
    <m/>
  </r>
  <r>
    <n v="434"/>
    <s v="Karyagraha Nusantara "/>
    <s v="PT DESIGN JAYA INDONESIA"/>
    <s v="Jl Kuningan Barat 8"/>
    <x v="0"/>
    <m/>
    <m/>
    <s v="Sewa Tahunan"/>
    <s v="Colocation"/>
    <s v="PA/DOW/2008/0029"/>
    <m/>
    <m/>
    <m/>
    <m/>
    <s v="-"/>
    <n v="32400000"/>
    <m/>
    <s v="-"/>
    <n v="3500000"/>
    <m/>
    <d v="2021-03-02T00:00:00"/>
    <d v="2022-03-01T00:00:00"/>
    <x v="0"/>
    <m/>
    <m/>
    <m/>
    <m/>
    <m/>
    <m/>
    <m/>
    <n v="4500016449"/>
    <m/>
    <m/>
    <m/>
    <m/>
    <m/>
    <m/>
    <m/>
    <m/>
    <m/>
    <m/>
    <m/>
    <m/>
    <m/>
  </r>
  <r>
    <n v="435"/>
    <s v="Media Nusantara Data Global "/>
    <s v="PT INDONESIA COMNETS PLUS"/>
    <s v="Jl Kuningan Barat 8"/>
    <x v="0"/>
    <m/>
    <m/>
    <s v="Sewa Tahunan"/>
    <s v="Cross Connect"/>
    <m/>
    <m/>
    <m/>
    <m/>
    <m/>
    <s v="-"/>
    <s v="-"/>
    <m/>
    <s v="-"/>
    <n v="36000000"/>
    <m/>
    <d v="2021-10-06T00:00:00"/>
    <d v="2022-10-05T00:00:00"/>
    <x v="0"/>
    <m/>
    <m/>
    <m/>
    <m/>
    <m/>
    <m/>
    <s v="16801/SPP/008/PUSAT/ICON+/2021"/>
    <n v="4500016817"/>
    <m/>
    <m/>
    <m/>
    <m/>
    <m/>
    <m/>
    <m/>
    <m/>
    <m/>
    <m/>
    <m/>
    <m/>
    <m/>
  </r>
  <r>
    <n v="436"/>
    <s v="Sigma Cipta Caraka, PT"/>
    <s v="Bank BTPN Syariah "/>
    <s v="Jl Kapt Subijanto DJ"/>
    <x v="0"/>
    <m/>
    <m/>
    <s v="Sewa Tahunan"/>
    <s v="Cross Connect"/>
    <s v="ICON-00/ACT/1511/0021"/>
    <m/>
    <m/>
    <m/>
    <m/>
    <s v="-"/>
    <n v="186000000"/>
    <m/>
    <s v="-"/>
    <n v="48000000"/>
    <m/>
    <d v="2021-04-15T00:00:00"/>
    <d v="2022-04-14T00:00:00"/>
    <x v="0"/>
    <m/>
    <m/>
    <m/>
    <m/>
    <m/>
    <m/>
    <s v="15795/SPP/008/PUSAT/ICON+/2021"/>
    <n v="4500016175"/>
    <m/>
    <m/>
    <m/>
    <m/>
    <m/>
    <m/>
    <m/>
    <m/>
    <m/>
    <m/>
    <m/>
    <m/>
    <m/>
  </r>
  <r>
    <n v="437"/>
    <s v="Link Net"/>
    <s v="PT INDONESIA COMNETS PLUS"/>
    <s v="Citra Graha Lantai 4, Suite 403"/>
    <x v="0"/>
    <m/>
    <m/>
    <s v="Sewa Tahunan"/>
    <s v="Interkoneksi"/>
    <m/>
    <m/>
    <m/>
    <m/>
    <m/>
    <s v="-"/>
    <s v="-"/>
    <m/>
    <s v="-"/>
    <n v="225000000"/>
    <m/>
    <d v="2021-07-01T00:00:00"/>
    <d v="2022-03-31T00:00:00"/>
    <x v="0"/>
    <m/>
    <m/>
    <m/>
    <m/>
    <m/>
    <m/>
    <s v="16173/SPP/008/PUSAT/ICON+/2021"/>
    <n v="4500016471"/>
    <m/>
    <m/>
    <m/>
    <m/>
    <m/>
    <m/>
    <m/>
    <m/>
    <m/>
    <m/>
    <m/>
    <m/>
    <m/>
  </r>
  <r>
    <n v="438"/>
    <s v="Karyagraha Nusantara "/>
    <s v="PT DESIGN JAYA INDONESIA"/>
    <s v="Jl Kuningan Barat 8"/>
    <x v="0"/>
    <m/>
    <m/>
    <s v="Sewa Tahunan"/>
    <s v="Colocation"/>
    <s v="ICON-00/SBC/1811/0010"/>
    <m/>
    <m/>
    <m/>
    <m/>
    <s v="-"/>
    <n v="44400000"/>
    <m/>
    <s v="-"/>
    <n v="3500000"/>
    <m/>
    <d v="2021-03-02T00:00:00"/>
    <d v="2022-03-01T00:00:00"/>
    <x v="0"/>
    <m/>
    <m/>
    <m/>
    <m/>
    <m/>
    <m/>
    <m/>
    <n v="4500016456"/>
    <m/>
    <m/>
    <m/>
    <m/>
    <m/>
    <m/>
    <m/>
    <m/>
    <m/>
    <m/>
    <m/>
    <m/>
    <m/>
  </r>
  <r>
    <n v="439"/>
    <s v="Media Nusantara Data Global "/>
    <s v="PT Jala Lintas Media"/>
    <s v="Jl Kuningan Barat 8"/>
    <x v="0"/>
    <m/>
    <m/>
    <s v="Sewa Tahunan"/>
    <s v="Cross Connect"/>
    <s v="PA/ACT/2012/0255"/>
    <m/>
    <m/>
    <m/>
    <m/>
    <s v="-"/>
    <n v="37800000"/>
    <m/>
    <s v="-"/>
    <n v="2500008"/>
    <m/>
    <d v="2021-07-22T00:00:00"/>
    <d v="2022-07-21T00:00:00"/>
    <x v="0"/>
    <m/>
    <m/>
    <m/>
    <m/>
    <m/>
    <m/>
    <s v="16236/SPP/008/PUSAT/ICON+/2021"/>
    <n v="4500016505"/>
    <m/>
    <m/>
    <m/>
    <m/>
    <m/>
    <m/>
    <m/>
    <m/>
    <m/>
    <m/>
    <m/>
    <m/>
    <m/>
  </r>
  <r>
    <n v="440"/>
    <s v="MAKMUR JAYA SERASI, PT"/>
    <s v="PT PLN (PERSERO) KANTOR PUSAT"/>
    <s v="Jl Boulevard Barat Raya,Kelapa Gading"/>
    <x v="0"/>
    <m/>
    <m/>
    <s v="Sewa Tahunan"/>
    <s v="Colocation"/>
    <s v="ICON-00/ACT/1606/0060"/>
    <m/>
    <m/>
    <m/>
    <m/>
    <s v="-"/>
    <n v="113479200"/>
    <m/>
    <s v="-"/>
    <n v="23244051"/>
    <m/>
    <d v="2021-08-01T00:00:00"/>
    <d v="2022-07-30T00:00:00"/>
    <x v="0"/>
    <m/>
    <m/>
    <m/>
    <m/>
    <m/>
    <m/>
    <m/>
    <n v="4500016272"/>
    <m/>
    <m/>
    <m/>
    <m/>
    <m/>
    <m/>
    <m/>
    <m/>
    <m/>
    <m/>
    <m/>
    <m/>
    <m/>
  </r>
  <r>
    <n v="441"/>
    <s v="CENTRALINDO PANCA SAKTI, PT"/>
    <s v="BANK WOORI"/>
    <s v="Jl Gajah Mada 3 Blok C No 49-50"/>
    <x v="0"/>
    <m/>
    <m/>
    <s v="Sewa Tahunan"/>
    <s v="Interkoneksi"/>
    <s v="990000320427676"/>
    <m/>
    <m/>
    <m/>
    <m/>
    <s v="-"/>
    <n v="72000000"/>
    <m/>
    <s v="-"/>
    <n v="54000000"/>
    <m/>
    <d v="2021-07-01T00:00:00"/>
    <d v="2022-06-30T00:00:00"/>
    <x v="0"/>
    <m/>
    <m/>
    <m/>
    <m/>
    <m/>
    <m/>
    <m/>
    <n v="4500016574"/>
    <m/>
    <m/>
    <m/>
    <m/>
    <m/>
    <m/>
    <m/>
    <m/>
    <m/>
    <m/>
    <m/>
    <m/>
    <m/>
  </r>
  <r>
    <n v="442"/>
    <s v="Indointernet"/>
    <s v="PT Primacom Interbuana qq Bank Harda"/>
    <s v="Jl Rempoa Raya 11"/>
    <x v="0"/>
    <m/>
    <m/>
    <s v="Sewa Tahunan"/>
    <s v="Colocation"/>
    <s v="PA/ACT/1804/1335"/>
    <m/>
    <m/>
    <m/>
    <m/>
    <s v="-"/>
    <n v="36000000"/>
    <m/>
    <s v="-"/>
    <n v="2750000"/>
    <m/>
    <d v="2021-06-08T00:00:00"/>
    <d v="2022-06-07T00:00:00"/>
    <x v="0"/>
    <m/>
    <m/>
    <m/>
    <m/>
    <m/>
    <m/>
    <s v="15993/SPP/008/PUSAT/ICON+/2021"/>
    <n v="4500016455"/>
    <m/>
    <m/>
    <m/>
    <m/>
    <m/>
    <m/>
    <m/>
    <m/>
    <m/>
    <m/>
    <m/>
    <m/>
    <m/>
  </r>
  <r>
    <n v="443"/>
    <s v="Karyagraha Nusantara "/>
    <s v="PT LINTAS JARINGAN NUSANTARA"/>
    <s v="Jl Kuningan Barat 8"/>
    <x v="0"/>
    <m/>
    <m/>
    <s v="Sewa Tahunan"/>
    <s v="Colocation"/>
    <s v="PA/ACT/2002/2405, PA/ACT/2002/2406"/>
    <m/>
    <m/>
    <m/>
    <m/>
    <s v="-"/>
    <n v="480000000"/>
    <m/>
    <s v="-"/>
    <n v="7500000"/>
    <m/>
    <d v="2021-04-29T00:00:00"/>
    <d v="2022-04-28T00:00:00"/>
    <x v="0"/>
    <m/>
    <m/>
    <m/>
    <m/>
    <m/>
    <m/>
    <s v="15788/SPP/008/PUSAT/ICON+/2021"/>
    <n v="4500016453"/>
    <m/>
    <m/>
    <m/>
    <m/>
    <m/>
    <m/>
    <m/>
    <m/>
    <m/>
    <m/>
    <m/>
    <m/>
    <m/>
  </r>
  <r>
    <n v="444"/>
    <s v="Turun Temurun Makmur Sejahtera "/>
    <s v="BANK MEGA"/>
    <s v="Jl Kemang Raya No 4"/>
    <x v="0"/>
    <m/>
    <m/>
    <s v="Sewa Tahunan"/>
    <s v="Colocation"/>
    <s v="PA/ACT/1808/0376"/>
    <m/>
    <m/>
    <m/>
    <m/>
    <s v="-"/>
    <n v="34800000"/>
    <m/>
    <s v="-"/>
    <n v="12000000"/>
    <m/>
    <d v="2021-06-18T00:00:00"/>
    <d v="2022-06-17T00:00:00"/>
    <x v="0"/>
    <m/>
    <m/>
    <m/>
    <m/>
    <m/>
    <m/>
    <s v="15947/SPP/008/PUSAT/ICON+/2021"/>
    <n v="4500016468"/>
    <m/>
    <m/>
    <m/>
    <m/>
    <m/>
    <m/>
    <m/>
    <m/>
    <m/>
    <m/>
    <m/>
    <m/>
    <m/>
  </r>
  <r>
    <n v="445"/>
    <s v="Karunia Megah Perkasa, PT "/>
    <s v=" BANK SYARIAH MANDIRI "/>
    <s v="Jl Kamal Raya Outer Ring Road No 11"/>
    <x v="0"/>
    <m/>
    <m/>
    <s v="Sewa Tahunan"/>
    <s v="Colocation"/>
    <s v="357849/1285644652/103"/>
    <m/>
    <m/>
    <m/>
    <m/>
    <s v="-"/>
    <n v="99818184"/>
    <m/>
    <s v="-"/>
    <n v="36000000"/>
    <m/>
    <d v="2021-07-20T00:00:00"/>
    <d v="2022-07-19T00:00:00"/>
    <x v="0"/>
    <m/>
    <m/>
    <m/>
    <m/>
    <m/>
    <m/>
    <m/>
    <n v="4500016265"/>
    <m/>
    <m/>
    <m/>
    <m/>
    <m/>
    <m/>
    <m/>
    <m/>
    <m/>
    <m/>
    <m/>
    <m/>
    <m/>
  </r>
  <r>
    <n v="446"/>
    <s v="Sigma Cipta Caraka, PT"/>
    <s v="PT XL AXIATA TBK"/>
    <s v="Jl Kapt Subijanto DJ"/>
    <x v="0"/>
    <m/>
    <m/>
    <s v="Sewa Tahunan"/>
    <s v="Cross Connect"/>
    <s v="PA/ACT/2005/0446"/>
    <m/>
    <m/>
    <m/>
    <m/>
    <s v="-"/>
    <n v="54000000"/>
    <m/>
    <s v="-"/>
    <n v="26400000"/>
    <m/>
    <d v="2021-06-26T00:00:00"/>
    <d v="2022-06-25T00:00:00"/>
    <x v="0"/>
    <m/>
    <m/>
    <m/>
    <m/>
    <m/>
    <m/>
    <s v="16024/SPP/008/PUSAT/ICON+/2021"/>
    <n v="4500016337"/>
    <m/>
    <m/>
    <m/>
    <m/>
    <m/>
    <m/>
    <m/>
    <m/>
    <m/>
    <m/>
    <m/>
    <m/>
    <m/>
  </r>
  <r>
    <n v="447"/>
    <s v="Sigma Cipta Caraka, PT"/>
    <s v="PT BANK MANDIRI TASPEN-JAKARTA"/>
    <s v="Jl Kapt Subijanto DJ"/>
    <x v="0"/>
    <m/>
    <m/>
    <s v="Sewa Tahunan"/>
    <s v="Cross Connect"/>
    <s v="PA/ACT/2003/1096"/>
    <m/>
    <m/>
    <m/>
    <m/>
    <s v=";-"/>
    <n v="412800000"/>
    <m/>
    <s v="-"/>
    <n v="26400000"/>
    <m/>
    <d v="2021-06-05T00:00:00"/>
    <d v="2022-06-04T00:00:00"/>
    <x v="0"/>
    <m/>
    <m/>
    <m/>
    <m/>
    <m/>
    <m/>
    <s v="16023/SPP/008/PUSAT/ICON+/2021"/>
    <n v="4500016336"/>
    <m/>
    <m/>
    <m/>
    <m/>
    <m/>
    <m/>
    <m/>
    <m/>
    <m/>
    <m/>
    <m/>
    <m/>
    <m/>
  </r>
  <r>
    <n v="448"/>
    <s v="DCI Indonesia "/>
    <s v="PT Primacom Interbuana "/>
    <s v="Jl Jend Sudirman Kav 52-53"/>
    <x v="0"/>
    <m/>
    <m/>
    <s v="Sewa Tahunan"/>
    <s v="Cross Connect"/>
    <s v="ICON-00/SBC/1611/0224"/>
    <m/>
    <m/>
    <m/>
    <m/>
    <s v="-"/>
    <n v="66000000"/>
    <m/>
    <s v="-"/>
    <n v="18000000"/>
    <m/>
    <d v="2021-09-29T00:00:00"/>
    <d v="2022-09-28T00:00:00"/>
    <x v="0"/>
    <m/>
    <m/>
    <m/>
    <m/>
    <m/>
    <m/>
    <m/>
    <n v="4500016491"/>
    <m/>
    <m/>
    <m/>
    <m/>
    <m/>
    <m/>
    <m/>
    <m/>
    <m/>
    <m/>
    <m/>
    <m/>
    <m/>
  </r>
  <r>
    <n v="449"/>
    <s v="DCI Indonesia "/>
    <s v="PT TOKOPEDIA"/>
    <s v="Jl Jend Sudirman Kav 52-53"/>
    <x v="0"/>
    <m/>
    <m/>
    <s v="Sewa Tahunan"/>
    <s v="Cross Connect"/>
    <s v="PA/ACT/1907/3933, PA/ACT/1907/3934, PA/ACT/1907/3935"/>
    <m/>
    <m/>
    <m/>
    <m/>
    <n v="19500000"/>
    <n v="180000000"/>
    <m/>
    <s v="-"/>
    <n v="54000000"/>
    <m/>
    <d v="2021-08-05T00:00:00"/>
    <d v="2022-08-04T00:00:00"/>
    <x v="0"/>
    <m/>
    <m/>
    <m/>
    <m/>
    <m/>
    <m/>
    <m/>
    <n v="4500016492"/>
    <m/>
    <m/>
    <m/>
    <m/>
    <m/>
    <m/>
    <m/>
    <m/>
    <m/>
    <m/>
    <m/>
    <m/>
    <m/>
  </r>
  <r>
    <n v="450"/>
    <s v="XL Axiata"/>
    <s v="KOMISI PEMBERANTASAN KORUPSI"/>
    <s v="Jl Mega Kuningan Lot E 4-7 1"/>
    <x v="0"/>
    <m/>
    <m/>
    <s v="Sewa Tahunan"/>
    <s v="Interkoneksi"/>
    <s v="PA/ACT/2012/0459"/>
    <m/>
    <m/>
    <m/>
    <m/>
    <s v="-"/>
    <n v="105168000"/>
    <m/>
    <s v="-"/>
    <n v="48400008"/>
    <m/>
    <d v="2021-07-17T00:00:00"/>
    <d v="2022-07-16T00:00:00"/>
    <x v="0"/>
    <m/>
    <m/>
    <m/>
    <m/>
    <m/>
    <m/>
    <s v="16105/SPP/008/PUSAT/ICON+/2021"/>
    <n v="4500016465"/>
    <m/>
    <m/>
    <m/>
    <m/>
    <m/>
    <m/>
    <m/>
    <m/>
    <m/>
    <m/>
    <m/>
    <m/>
    <m/>
  </r>
  <r>
    <n v="451"/>
    <s v="TELEKOMUNIKASI INDONESIA Tbk, PT"/>
    <s v="PT PLN (PERSERO) KANTOR PUSAT"/>
    <s v="GRAHA MERAH PUTIH JL GATOT SUBROTO KAV 52"/>
    <x v="0"/>
    <m/>
    <m/>
    <s v="Sewa Tahunan"/>
    <s v="Interkoneksi"/>
    <s v="PA/ACT/2108/2024"/>
    <m/>
    <m/>
    <m/>
    <m/>
    <n v="5000000"/>
    <n v="108333504"/>
    <m/>
    <n v="2500000"/>
    <n v="65280000"/>
    <m/>
    <d v="2021-09-30T00:00:00"/>
    <d v="2022-09-29T00:00:00"/>
    <x v="0"/>
    <m/>
    <m/>
    <m/>
    <m/>
    <m/>
    <m/>
    <m/>
    <n v="4500016721"/>
    <m/>
    <m/>
    <m/>
    <m/>
    <m/>
    <m/>
    <m/>
    <m/>
    <m/>
    <m/>
    <m/>
    <m/>
    <m/>
  </r>
  <r>
    <n v="452"/>
    <s v="Indointernet"/>
    <s v="Primacom Interbuana"/>
    <s v="Jl Rempoa Raya 11"/>
    <x v="0"/>
    <m/>
    <m/>
    <s v="Sewa Tahunan"/>
    <s v="Colocation"/>
    <s v="ICON-00/SBC/1504/0028"/>
    <m/>
    <m/>
    <m/>
    <m/>
    <s v="-"/>
    <n v="27000000"/>
    <m/>
    <s v="-"/>
    <n v="2500000"/>
    <m/>
    <d v="2021-03-03T00:00:00"/>
    <d v="2022-03-02T00:00:00"/>
    <x v="0"/>
    <m/>
    <m/>
    <m/>
    <m/>
    <m/>
    <m/>
    <s v="19500/SPP/008/PUSAT/ICON+/2022"/>
    <n v="4500018687"/>
    <m/>
    <m/>
    <m/>
    <m/>
    <m/>
    <m/>
    <m/>
    <m/>
    <m/>
    <m/>
    <m/>
    <m/>
    <m/>
  </r>
  <r>
    <n v="453"/>
    <s v="MORA TELEMATIKA INDONESIA"/>
    <s v="PT GPAY DIGITAL ASIA"/>
    <s v="Graha9 Lt 6 Jl Penataran 9"/>
    <x v="0"/>
    <m/>
    <m/>
    <s v="Sewa Tahunan"/>
    <s v="Cross Connect"/>
    <s v="AL/2012/74719"/>
    <m/>
    <m/>
    <m/>
    <m/>
    <s v="-"/>
    <n v="33000000"/>
    <m/>
    <s v="-"/>
    <n v="9000000"/>
    <m/>
    <d v="2021-10-22T00:00:00"/>
    <d v="2022-10-21T00:00:00"/>
    <x v="0"/>
    <m/>
    <m/>
    <m/>
    <m/>
    <m/>
    <m/>
    <s v="18505/SPP/008/PUSAT/ICON+/2022"/>
    <n v="4500018133"/>
    <m/>
    <m/>
    <m/>
    <m/>
    <m/>
    <m/>
    <m/>
    <m/>
    <m/>
    <m/>
    <m/>
    <m/>
    <m/>
  </r>
  <r>
    <n v="454"/>
    <s v="Indointernet"/>
    <s v="LOTTE DATA COMMUNICATION"/>
    <s v="Jl Rempoa Raya 11"/>
    <x v="0"/>
    <m/>
    <m/>
    <s v="Sewa Tahunan"/>
    <s v="Interkoneksi"/>
    <s v="PA/UPG/1906/0052"/>
    <m/>
    <m/>
    <m/>
    <m/>
    <s v="-"/>
    <n v="66000000"/>
    <m/>
    <s v="-"/>
    <n v="30000000"/>
    <m/>
    <d v="2021-01-01T00:00:00"/>
    <d v="2021-04-30T00:00:00"/>
    <x v="0"/>
    <m/>
    <m/>
    <m/>
    <m/>
    <m/>
    <m/>
    <s v="19588/SPP/008/PUSAT/ICON+/2022"/>
    <n v="4500018686"/>
    <m/>
    <m/>
    <m/>
    <m/>
    <m/>
    <m/>
    <m/>
    <m/>
    <m/>
    <m/>
    <m/>
    <m/>
    <m/>
  </r>
  <r>
    <n v="455"/>
    <s v="Dinamika Raya Prima "/>
    <s v="PT TANGARA MITRAKOM"/>
    <s v="Jl Jend Sudirman Kav 10-11"/>
    <x v="0"/>
    <m/>
    <m/>
    <s v="Sewa Tahunan"/>
    <s v="Colocation"/>
    <s v="ICON-00/MIG/1611/0043, ICON-00/ACT/1610/0522, ICON-00/ACT/1609/0746"/>
    <m/>
    <m/>
    <m/>
    <m/>
    <s v="-"/>
    <n v="156000000"/>
    <m/>
    <s v="-"/>
    <n v="6000000"/>
    <m/>
    <d v="2022-10-21T00:00:00"/>
    <d v="2023-10-20T00:00:00"/>
    <x v="0"/>
    <m/>
    <m/>
    <m/>
    <m/>
    <m/>
    <m/>
    <s v="19416/SPP/008/PUSAT/ICON+/2022"/>
    <n v="4500018642"/>
    <m/>
    <m/>
    <m/>
    <m/>
    <m/>
    <m/>
    <m/>
    <m/>
    <m/>
    <m/>
    <m/>
    <m/>
    <m/>
  </r>
  <r>
    <n v="456"/>
    <s v="Fastel Sarana Indonesia"/>
    <s v="PT PERTAMINA (PERSERO)"/>
    <s v="Gd TCC Batavia Tower One Lt 16"/>
    <x v="0"/>
    <m/>
    <m/>
    <s v="Sewa Tahunan"/>
    <s v="Interkoneksi"/>
    <s v="AL/2009/41591 "/>
    <m/>
    <m/>
    <m/>
    <m/>
    <s v="-"/>
    <n v="172200000"/>
    <m/>
    <s v="-"/>
    <n v="132600000"/>
    <m/>
    <d v="2022-10-30T00:00:00"/>
    <d v="2023-10-29T00:00:00"/>
    <x v="0"/>
    <m/>
    <m/>
    <m/>
    <m/>
    <m/>
    <m/>
    <s v="19601/SPP/008/PUSAT/ICON+/2022"/>
    <n v="4500018695"/>
    <m/>
    <m/>
    <m/>
    <m/>
    <m/>
    <m/>
    <m/>
    <m/>
    <m/>
    <m/>
    <m/>
    <m/>
    <m/>
  </r>
  <r>
    <n v="457"/>
    <s v="SIGMA CIPTA CARAKA, PT "/>
    <s v="PT BANK NAGARI"/>
    <s v="Jl Kapt Subijanto DJ"/>
    <x v="0"/>
    <m/>
    <m/>
    <s v="Sewa Tahunan"/>
    <s v="Cross Connect"/>
    <s v="PA/TRL/2208/0040"/>
    <m/>
    <m/>
    <m/>
    <m/>
    <s v="-"/>
    <s v="-"/>
    <m/>
    <n v="3000000"/>
    <n v="6000000"/>
    <m/>
    <d v="2022-09-20T00:00:00"/>
    <d v="2023-09-19T00:00:00"/>
    <x v="0"/>
    <m/>
    <m/>
    <m/>
    <m/>
    <m/>
    <m/>
    <s v="19702/SPP/008/PUSAT/ICON+/2022"/>
    <n v="4500018745"/>
    <m/>
    <m/>
    <m/>
    <m/>
    <m/>
    <m/>
    <m/>
    <m/>
    <m/>
    <m/>
    <m/>
    <m/>
    <m/>
  </r>
  <r>
    <n v="458"/>
    <s v=" Akses Prima Indonesia"/>
    <s v="PT BANK MANDIRI (PERSERO) Tbk"/>
    <s v="Gd Menara MTH LT 12"/>
    <x v="0"/>
    <m/>
    <m/>
    <s v="Sewa Tahunan"/>
    <s v="Interkoneksi"/>
    <s v="PA/ACT/2206/16523/TER"/>
    <m/>
    <m/>
    <m/>
    <m/>
    <n v="7318182"/>
    <n v="135818184"/>
    <m/>
    <n v="5000000"/>
    <n v="90000000"/>
    <m/>
    <d v="2022-08-18T00:00:00"/>
    <d v="2023-08-17T00:00:00"/>
    <x v="0"/>
    <m/>
    <m/>
    <m/>
    <m/>
    <m/>
    <m/>
    <s v="19230/SPP/008/PUSAT/ICON+/2022"/>
    <n v="4500018499"/>
    <m/>
    <m/>
    <m/>
    <m/>
    <m/>
    <m/>
    <m/>
    <m/>
    <m/>
    <m/>
    <m/>
    <m/>
    <m/>
  </r>
  <r>
    <n v="459"/>
    <s v="Plaza Adika Lestari"/>
    <s v="BCA"/>
    <s v="RUKO Atrium Blok E No 12-13"/>
    <x v="0"/>
    <m/>
    <m/>
    <s v="Sewa Tahunan"/>
    <s v="Colocation"/>
    <s v="AL/2110/98772"/>
    <m/>
    <m/>
    <m/>
    <m/>
    <s v="-"/>
    <n v="50400000"/>
    <m/>
    <s v="-"/>
    <n v="23691150"/>
    <m/>
    <d v="2022-03-25T00:00:00"/>
    <d v="2023-03-24T00:00:00"/>
    <x v="0"/>
    <m/>
    <m/>
    <m/>
    <m/>
    <m/>
    <m/>
    <s v="18234/SPP/008/PUSAT/ICON+/2022"/>
    <n v="4500017899"/>
    <m/>
    <m/>
    <m/>
    <m/>
    <m/>
    <m/>
    <m/>
    <m/>
    <m/>
    <m/>
    <m/>
    <m/>
    <m/>
  </r>
  <r>
    <n v="460"/>
    <s v="SIGMA CIPTA CARAKA, PT "/>
    <s v="PT BANK HSBC INDONESIA "/>
    <s v="Jl Kapt Subijanto DJ"/>
    <x v="0"/>
    <m/>
    <m/>
    <s v="Sewa Tahunan"/>
    <s v="Cross Connect"/>
    <s v="AL/2201/6674"/>
    <m/>
    <m/>
    <m/>
    <m/>
    <s v="-"/>
    <n v="194400000"/>
    <m/>
    <s v="-"/>
    <n v="6600000"/>
    <m/>
    <d v="2022-03-09T00:00:00"/>
    <d v="2023-03-08T00:00:00"/>
    <x v="0"/>
    <m/>
    <m/>
    <m/>
    <m/>
    <m/>
    <m/>
    <s v="18357/SPP/008/PUSAT/ICON+/2022"/>
    <n v="4500018102"/>
    <m/>
    <m/>
    <m/>
    <m/>
    <m/>
    <m/>
    <m/>
    <m/>
    <m/>
    <m/>
    <m/>
    <m/>
    <m/>
  </r>
  <r>
    <n v="461"/>
    <s v="Aplikanusa Lintasarta"/>
    <s v="PT ARTHATECH SELARAS, BANK RIAU KEPRI"/>
    <s v="Jl M H Thamrin Kav 3"/>
    <x v="0"/>
    <m/>
    <m/>
    <s v="Sewa Tahunan"/>
    <s v="Cross Connect"/>
    <s v="PA/ACT/2103/1352"/>
    <m/>
    <m/>
    <m/>
    <m/>
    <m/>
    <n v="168000000"/>
    <m/>
    <m/>
    <n v="21000000"/>
    <m/>
    <d v="2022-04-22T00:00:00"/>
    <d v="2025-04-21T00:00:00"/>
    <x v="0"/>
    <m/>
    <d v="2025-12-24T00:00:00"/>
    <m/>
    <n v="4"/>
    <n v="2025"/>
    <m/>
    <s v="15617/SPP/008/PUSAT/ICON+/2021"/>
    <s v="4118/SPP/SBU/PLNICONPLUS/2024"/>
    <s v="Livia Indraswati"/>
    <s v="Syarifah"/>
    <m/>
    <m/>
    <m/>
    <m/>
    <m/>
    <m/>
    <m/>
    <m/>
    <s v="H362"/>
    <m/>
    <m/>
  </r>
  <r>
    <n v="462"/>
    <s v="Aplikanusa Lintasarta"/>
    <s v="BANK SINARMAS DAN PT INDOSAT"/>
    <s v="Jl M H Thamrin Kav 3"/>
    <x v="0"/>
    <m/>
    <m/>
    <s v="Sewa Tahunan"/>
    <s v="Interkoneksi"/>
    <s v="AL/2005/15476, ICON-00/SBC/1707/0137"/>
    <m/>
    <m/>
    <m/>
    <m/>
    <s v="-"/>
    <n v="238800000"/>
    <m/>
    <s v="-"/>
    <n v="78000000"/>
    <m/>
    <d v="2022-07-01T00:00:00"/>
    <d v="2023-06-30T00:00:00"/>
    <x v="0"/>
    <m/>
    <m/>
    <m/>
    <m/>
    <m/>
    <m/>
    <s v="18842/SPP/008/PUSAT/ICON+/2022"/>
    <n v="4500018180"/>
    <m/>
    <m/>
    <m/>
    <m/>
    <m/>
    <m/>
    <m/>
    <m/>
    <m/>
    <m/>
    <m/>
    <m/>
    <m/>
  </r>
  <r>
    <n v="463"/>
    <s v="Cyberindo Aditama"/>
    <s v="BANK MANDIRI DAN ASURANSI UMUM"/>
    <s v="Jl Gatot Subroto"/>
    <x v="0"/>
    <m/>
    <m/>
    <s v="Sewa Tahunan"/>
    <s v="Interkoneksi"/>
    <s v="PA/UPG/1906/0029, ICON-00/SBC/1711/0683"/>
    <m/>
    <m/>
    <m/>
    <m/>
    <s v="-"/>
    <n v="112745460"/>
    <m/>
    <s v="-"/>
    <n v="104400000"/>
    <m/>
    <d v="2022-07-01T00:00:00"/>
    <d v="2023-06-30T00:00:00"/>
    <x v="0"/>
    <m/>
    <m/>
    <m/>
    <m/>
    <m/>
    <m/>
    <s v="18754/SPP/008/PUSAT/ICON+/2022"/>
    <n v="4500018114"/>
    <m/>
    <m/>
    <m/>
    <m/>
    <m/>
    <m/>
    <m/>
    <m/>
    <m/>
    <m/>
    <m/>
    <m/>
    <m/>
  </r>
  <r>
    <n v="464"/>
    <s v="Centrin Online Prima"/>
    <s v="PT GH-EMM INDONESIA"/>
    <s v="Plaza Sentral Lt 21 Jl Jend Sudirman Kav 47"/>
    <x v="0"/>
    <m/>
    <m/>
    <s v="Sewa Tahunan"/>
    <s v="Interkoneksi"/>
    <s v="AL/2009/43209"/>
    <m/>
    <m/>
    <m/>
    <m/>
    <s v="-"/>
    <n v="420000000"/>
    <m/>
    <s v="-"/>
    <n v="150000000"/>
    <m/>
    <d v="2022-06-16T00:00:00"/>
    <d v="2023-06-15T00:00:00"/>
    <x v="0"/>
    <m/>
    <m/>
    <m/>
    <m/>
    <m/>
    <m/>
    <s v="18700/SPP/008/PUSAT/ICON+/2022"/>
    <n v="4500018129"/>
    <m/>
    <m/>
    <m/>
    <m/>
    <m/>
    <m/>
    <m/>
    <m/>
    <m/>
    <m/>
    <m/>
    <m/>
    <m/>
  </r>
  <r>
    <n v="465"/>
    <s v="Infrastruktur Cakrawala Telekomunikasi"/>
    <s v="PT QUANTUM TERA NETWORK"/>
    <s v="Jl Jababeka IV Blok B No 12 Jbbk"/>
    <x v="0"/>
    <m/>
    <m/>
    <s v="Sewa Tahunan"/>
    <s v="Cross Connect"/>
    <s v="PA/ACT/2205/2008"/>
    <m/>
    <m/>
    <m/>
    <m/>
    <n v="2500000"/>
    <n v="33000000"/>
    <m/>
    <n v="1500000"/>
    <n v="184799232"/>
    <m/>
    <d v="2022-08-19T00:00:00"/>
    <d v="2023-08-18T00:00:00"/>
    <x v="0"/>
    <m/>
    <m/>
    <m/>
    <m/>
    <m/>
    <m/>
    <s v="18863/SPP/008/PUSAT/ICON+/2022"/>
    <n v="4500018167"/>
    <m/>
    <m/>
    <m/>
    <m/>
    <m/>
    <m/>
    <m/>
    <m/>
    <m/>
    <m/>
    <m/>
    <m/>
    <m/>
  </r>
  <r>
    <n v="466"/>
    <s v="IFORTE SOLUSI INFOTEK"/>
    <s v="BANK COMMONWEALTH"/>
    <s v="Jl MH Thamrin 1"/>
    <x v="0"/>
    <m/>
    <m/>
    <s v="Sewa Tahunan"/>
    <s v="Interkoneksi"/>
    <s v="AL/2111/120283"/>
    <m/>
    <m/>
    <m/>
    <m/>
    <s v="-"/>
    <n v="180000000"/>
    <m/>
    <s v="-"/>
    <n v="96000000"/>
    <m/>
    <d v="2022-06-22T00:00:00"/>
    <d v="2023-06-21T00:00:00"/>
    <x v="0"/>
    <m/>
    <m/>
    <m/>
    <m/>
    <m/>
    <m/>
    <s v="18763/SPP/008/PUSAT/ICON+/2022"/>
    <n v="4500018131"/>
    <m/>
    <m/>
    <m/>
    <m/>
    <m/>
    <m/>
    <m/>
    <m/>
    <m/>
    <m/>
    <m/>
    <m/>
    <m/>
  </r>
  <r>
    <n v="467"/>
    <s v="PERSEKUTUAN DAN PERKUMPULAN"/>
    <s v="PT ENERGY MANAGEMENT INDONESIA"/>
    <s v="Jl M T Haryono Kav 15"/>
    <x v="0"/>
    <m/>
    <m/>
    <s v="Sewa Tahunan"/>
    <s v="Colocation"/>
    <s v="PA/ACT/2201/4071"/>
    <m/>
    <m/>
    <m/>
    <m/>
    <n v="3500000"/>
    <n v="85500000"/>
    <m/>
    <s v="-"/>
    <n v="7000000"/>
    <m/>
    <d v="2022-06-01T00:00:00"/>
    <d v="2023-05-31T00:00:00"/>
    <x v="0"/>
    <m/>
    <m/>
    <m/>
    <m/>
    <m/>
    <m/>
    <s v="18870/SPP/008/PUSAT/ICON+/2022"/>
    <n v="4500018193"/>
    <m/>
    <m/>
    <m/>
    <m/>
    <m/>
    <m/>
    <m/>
    <m/>
    <m/>
    <m/>
    <m/>
    <m/>
    <m/>
  </r>
  <r>
    <n v="468"/>
    <s v="MORA TELEMATIKA INDONESIA"/>
    <s v="BANK BUKOPIN "/>
    <s v="Graha9 lt 6 Jl Penataran 9"/>
    <x v="0"/>
    <m/>
    <m/>
    <s v="Sewa Tahunan"/>
    <s v="Interkoneksi"/>
    <s v="PA/UPG/1810/0006"/>
    <m/>
    <m/>
    <m/>
    <m/>
    <s v="-"/>
    <n v="72000000"/>
    <m/>
    <s v="-"/>
    <n v="36000000"/>
    <m/>
    <d v="2022-07-01T00:00:00"/>
    <d v="2023-06-30T00:00:00"/>
    <x v="0"/>
    <m/>
    <m/>
    <m/>
    <m/>
    <m/>
    <m/>
    <s v="18776/SPP/008/PUSAT/ICON+/2022"/>
    <n v="4500018213"/>
    <m/>
    <m/>
    <m/>
    <m/>
    <m/>
    <m/>
    <m/>
    <m/>
    <m/>
    <m/>
    <m/>
    <m/>
    <m/>
  </r>
  <r>
    <n v="469"/>
    <s v="TELEKOMUNIKASI INDONESIA Tbk, PT"/>
    <s v="PRODIA WIDYAHUSADA"/>
    <s v="GRAHA MERAH PUTIH Jl Gatot Subroto Kav 52"/>
    <x v="0"/>
    <m/>
    <m/>
    <s v="Sewa Tahunan"/>
    <s v="Interkoneksi"/>
    <s v="PA/ACT/2201/3546"/>
    <m/>
    <m/>
    <m/>
    <m/>
    <n v="2000000"/>
    <n v="25200000"/>
    <m/>
    <n v="4000000"/>
    <n v="43920000"/>
    <m/>
    <d v="2022-06-08T00:00:00"/>
    <d v="2023-06-07T00:00:00"/>
    <x v="0"/>
    <m/>
    <m/>
    <m/>
    <m/>
    <m/>
    <m/>
    <s v="18466/SPP/008/PUSAT/ICON+/2022"/>
    <n v="4500018165"/>
    <m/>
    <m/>
    <m/>
    <m/>
    <m/>
    <m/>
    <m/>
    <m/>
    <m/>
    <m/>
    <m/>
    <m/>
    <m/>
  </r>
  <r>
    <n v="470"/>
    <s v="Jakarta Industrial Estate Pulogadung (Persero) (JIEP) "/>
    <s v="PT DAYA MUDA AGUNG"/>
    <s v="Jl Pulobuaran V No 25"/>
    <x v="0"/>
    <m/>
    <m/>
    <s v="Sewa Tahunan"/>
    <s v="Colocation"/>
    <s v="PA/UPG/2201/0411/TER"/>
    <m/>
    <m/>
    <m/>
    <m/>
    <s v="-"/>
    <n v="152727276"/>
    <m/>
    <s v="-"/>
    <n v="15769620"/>
    <m/>
    <d v="2022-09-05T00:00:00"/>
    <d v="2023-09-04T00:00:00"/>
    <x v="0"/>
    <m/>
    <m/>
    <m/>
    <m/>
    <m/>
    <m/>
    <s v="20118/SPP/008/PUSAT/ICON+/2022"/>
    <n v="4500019264"/>
    <m/>
    <m/>
    <m/>
    <m/>
    <m/>
    <m/>
    <m/>
    <m/>
    <m/>
    <m/>
    <m/>
    <m/>
    <m/>
  </r>
  <r>
    <n v="471"/>
    <s v="Jakarta Industrial Estate Pulogadung (Persero) (JIEP) "/>
    <s v="PT ROYAL SUTAN AGUNG "/>
    <s v="Jl Pulobuaran V No 25"/>
    <x v="0"/>
    <m/>
    <m/>
    <s v="Sewa Tahunan"/>
    <s v="Colocation"/>
    <s v="PA/UPG/2209/0055"/>
    <m/>
    <m/>
    <m/>
    <m/>
    <s v="-"/>
    <n v="66000000"/>
    <m/>
    <s v="-"/>
    <n v="543780"/>
    <m/>
    <d v="2022-02-19T00:00:00"/>
    <d v="2023-02-18T00:00:00"/>
    <x v="0"/>
    <m/>
    <m/>
    <m/>
    <m/>
    <m/>
    <m/>
    <s v="20114/SPP/008/PUSAT/ICON+/2022"/>
    <n v="4500019262"/>
    <m/>
    <m/>
    <m/>
    <m/>
    <m/>
    <m/>
    <m/>
    <m/>
    <m/>
    <m/>
    <m/>
    <m/>
    <m/>
  </r>
  <r>
    <n v="472"/>
    <s v="Jakarta Industrial Estate Pulogadung (Persero) (JIEP) "/>
    <s v="PT ASTRA AGRO LESTARI"/>
    <s v="Jl Pulobuaran V No 25"/>
    <x v="0"/>
    <m/>
    <m/>
    <s v="Sewa Tahunan"/>
    <s v="Colocation"/>
    <s v="PAP/ACT/1809/1510"/>
    <m/>
    <m/>
    <m/>
    <m/>
    <n v="5000000"/>
    <n v="42750000"/>
    <m/>
    <s v="-"/>
    <n v="23926320"/>
    <m/>
    <d v="2022-09-26T00:00:00"/>
    <d v="2023-09-25T00:00:00"/>
    <x v="0"/>
    <m/>
    <m/>
    <m/>
    <m/>
    <m/>
    <m/>
    <s v="20117/SPP/008/PUSAT/ICON+/2022"/>
    <n v="4500019260"/>
    <m/>
    <m/>
    <m/>
    <m/>
    <m/>
    <m/>
    <m/>
    <m/>
    <m/>
    <m/>
    <m/>
    <m/>
    <m/>
  </r>
  <r>
    <n v="473"/>
    <s v="DCI INDONESIA"/>
    <s v="PT JATELINDO PERKASA ABADI"/>
    <s v="Jl Jend Sudirman Kav 52-53"/>
    <x v="0"/>
    <m/>
    <m/>
    <s v="Sewa Tahunan"/>
    <s v="Colocation"/>
    <s v="ICON-00/SBC/1503/0192"/>
    <m/>
    <m/>
    <m/>
    <m/>
    <s v="-"/>
    <n v="98400000"/>
    <m/>
    <s v="-"/>
    <n v="18000000"/>
    <m/>
    <d v="2022-11-12T00:00:00"/>
    <d v="2023-11-11T00:00:00"/>
    <x v="0"/>
    <m/>
    <m/>
    <m/>
    <m/>
    <m/>
    <m/>
    <s v="19673/SPP/008/PUSAT/ICON+/2022"/>
    <n v="4500019163"/>
    <m/>
    <m/>
    <m/>
    <m/>
    <m/>
    <m/>
    <m/>
    <m/>
    <m/>
    <m/>
    <m/>
    <m/>
    <m/>
  </r>
  <r>
    <n v="474"/>
    <s v="DCI INDONESIA"/>
    <s v="PT TOKOPEDIA"/>
    <s v="Jl Jend Sudirman Kav 52-53"/>
    <x v="0"/>
    <m/>
    <m/>
    <s v="Sewa Tahunan"/>
    <s v="Cross Connect"/>
    <s v="PA/ACT/2210/2385"/>
    <m/>
    <m/>
    <m/>
    <m/>
    <n v="5000000"/>
    <n v="66000000"/>
    <m/>
    <s v="-"/>
    <n v="19500000"/>
    <m/>
    <d v="2022-11-30T00:00:00"/>
    <d v="2023-11-29T00:00:00"/>
    <x v="0"/>
    <m/>
    <m/>
    <m/>
    <m/>
    <m/>
    <m/>
    <s v="20314/SPP/008/PUSAT/ICON+/2022"/>
    <n v="4500019501"/>
    <m/>
    <m/>
    <m/>
    <m/>
    <m/>
    <m/>
    <m/>
    <m/>
    <m/>
    <m/>
    <m/>
    <m/>
    <m/>
  </r>
  <r>
    <n v="475"/>
    <s v="DCI INDONESIA"/>
    <s v="PT DIAMOND COLD STORAGE"/>
    <s v="Jl Jend Sudirman Kav 52-53"/>
    <x v="0"/>
    <m/>
    <m/>
    <s v="Sewa Tahunan"/>
    <s v="Cross Connect"/>
    <s v="PA/ACT/2211/0133"/>
    <m/>
    <m/>
    <m/>
    <m/>
    <n v="7000000"/>
    <n v="22200000"/>
    <m/>
    <n v="8000000"/>
    <n v="72000000"/>
    <m/>
    <d v="2022-12-01T00:00:00"/>
    <d v="2023-11-30T00:00:00"/>
    <x v="0"/>
    <m/>
    <m/>
    <m/>
    <m/>
    <m/>
    <m/>
    <s v="20660/SPP/008/PUSAT/ICON+/2022"/>
    <n v="4500019532"/>
    <m/>
    <m/>
    <m/>
    <m/>
    <m/>
    <m/>
    <m/>
    <m/>
    <m/>
    <m/>
    <m/>
    <m/>
    <m/>
  </r>
  <r>
    <n v="476"/>
    <s v="Indointernet"/>
    <s v="PT UNGARAN SARI GARMENT"/>
    <s v="Jl Rempoa Raya 11"/>
    <x v="0"/>
    <m/>
    <m/>
    <s v="Sewa Bulanan"/>
    <s v="Interkoneksi"/>
    <s v="PA/UPG/2008/0002"/>
    <m/>
    <m/>
    <m/>
    <m/>
    <s v="-"/>
    <n v="120000000"/>
    <m/>
    <s v="-"/>
    <n v="144000000"/>
    <m/>
    <d v="2022-12-06T00:00:00"/>
    <d v="2023-12-05T00:00:00"/>
    <x v="0"/>
    <m/>
    <m/>
    <m/>
    <m/>
    <m/>
    <m/>
    <s v="20488/SPP/008/PUSAT/ICON+/2022"/>
    <n v="4500019388"/>
    <m/>
    <m/>
    <m/>
    <m/>
    <m/>
    <m/>
    <m/>
    <m/>
    <m/>
    <m/>
    <m/>
    <m/>
    <m/>
  </r>
  <r>
    <n v="477"/>
    <s v="Inti Bangun Sejahtera"/>
    <s v="PT DIAMOND COLD STORAGE"/>
    <s v="Jl Riau 23"/>
    <x v="0"/>
    <m/>
    <m/>
    <s v="Sewa Tahunan"/>
    <s v="Interkoneksi"/>
    <s v="PA/ACT2110/2072"/>
    <m/>
    <m/>
    <m/>
    <m/>
    <s v="-"/>
    <n v="84000000"/>
    <m/>
    <s v="-"/>
    <n v="54000000"/>
    <m/>
    <d v="2022-12-01T00:00:00"/>
    <d v="2023-11-30T00:00:00"/>
    <x v="0"/>
    <m/>
    <m/>
    <m/>
    <m/>
    <m/>
    <m/>
    <s v="20261/SPP/008/PUSAT/ICON+/2022"/>
    <n v="4500019209"/>
    <m/>
    <m/>
    <m/>
    <m/>
    <m/>
    <m/>
    <m/>
    <m/>
    <m/>
    <m/>
    <m/>
    <m/>
    <m/>
  </r>
  <r>
    <n v="478"/>
    <s v="Karyagraha Nusantara "/>
    <s v="PT PARSAORAN GLOBAL DATATRANS"/>
    <s v="Jl Kuningan Barat 8"/>
    <x v="0"/>
    <m/>
    <m/>
    <s v="Sewa Tahunan"/>
    <s v="Colocation"/>
    <s v="AL/2102/9846"/>
    <m/>
    <m/>
    <m/>
    <m/>
    <s v="-"/>
    <n v="72000000"/>
    <m/>
    <s v="-"/>
    <n v="7500000"/>
    <m/>
    <d v="2022-07-29T00:00:00"/>
    <d v="2023-07-28T00:00:00"/>
    <x v="0"/>
    <m/>
    <m/>
    <m/>
    <m/>
    <m/>
    <m/>
    <s v="19407/SPP/008/PUSAT/ICON+/2022"/>
    <n v="4500018856"/>
    <m/>
    <m/>
    <m/>
    <m/>
    <m/>
    <m/>
    <m/>
    <m/>
    <m/>
    <m/>
    <m/>
    <m/>
    <m/>
  </r>
  <r>
    <n v="479"/>
    <s v="Perwita Margasakti "/>
    <s v="PT TRANS RETAIL"/>
    <s v="ITC Kuningan 10th floor Jl Prof Satrio"/>
    <x v="0"/>
    <m/>
    <m/>
    <s v="Sewa Tahunan"/>
    <s v="Colocation"/>
    <s v="AR/CHT/2103/1264"/>
    <m/>
    <m/>
    <m/>
    <m/>
    <s v="-"/>
    <n v="37713600"/>
    <m/>
    <s v="-"/>
    <n v="43800000"/>
    <m/>
    <d v="2022-10-21T00:00:00"/>
    <d v="2023-10-20T00:00:00"/>
    <x v="0"/>
    <m/>
    <m/>
    <m/>
    <m/>
    <m/>
    <m/>
    <s v="19779/SPP/008/PUSAT/ICON+/2022"/>
    <n v="4500019069"/>
    <m/>
    <m/>
    <m/>
    <m/>
    <m/>
    <m/>
    <m/>
    <m/>
    <m/>
    <m/>
    <m/>
    <m/>
    <m/>
  </r>
  <r>
    <n v="480"/>
    <s v="PC 24 Telekomunikasi Indonesia"/>
    <s v="PT BANK SINARMAS "/>
    <s v="RUKO KEBAYORAN CENTRE BLOK A NO 5"/>
    <x v="0"/>
    <m/>
    <m/>
    <s v="Sewa Tahunan"/>
    <s v="Interkoneksi"/>
    <s v="PA/ACT/2112/0041"/>
    <m/>
    <m/>
    <m/>
    <m/>
    <s v="-"/>
    <n v="34560000"/>
    <m/>
    <s v="-"/>
    <n v="12000000"/>
    <m/>
    <d v="2022-12-09T00:00:00"/>
    <d v="2023-12-08T00:00:00"/>
    <x v="0"/>
    <m/>
    <m/>
    <m/>
    <m/>
    <m/>
    <m/>
    <s v="20176/SPP/008/PUSAT/ICON+/2022"/>
    <n v="4500019147"/>
    <m/>
    <m/>
    <m/>
    <m/>
    <m/>
    <m/>
    <m/>
    <m/>
    <m/>
    <m/>
    <m/>
    <m/>
    <m/>
  </r>
  <r>
    <n v="481"/>
    <s v="LOKA MAMPANG INDAH REALTY, PT"/>
    <s v="PT ECO MULTI SINERGI"/>
    <s v="Jl Let Jend T B Simatupang Kav 88"/>
    <x v="0"/>
    <m/>
    <m/>
    <s v="Sewa Tahunan"/>
    <s v="Colocation"/>
    <s v="PA/ACT/2209/4589/TER"/>
    <m/>
    <m/>
    <m/>
    <m/>
    <n v="5000000"/>
    <n v="240000000"/>
    <m/>
    <n v="1000000"/>
    <n v="30000000"/>
    <m/>
    <d v="2022-10-24T00:00:00"/>
    <d v="2023-10-23T00:00:00"/>
    <x v="0"/>
    <m/>
    <m/>
    <m/>
    <m/>
    <m/>
    <m/>
    <s v="20242/SPP/008/PUSAT/ICON+/2022"/>
    <n v="4500019192"/>
    <m/>
    <m/>
    <m/>
    <m/>
    <m/>
    <m/>
    <m/>
    <m/>
    <m/>
    <m/>
    <m/>
    <m/>
    <m/>
  </r>
  <r>
    <n v="482"/>
    <s v="Indointernet"/>
    <s v="XL AXIATA"/>
    <s v="Jl Rempoa Raya 11"/>
    <x v="0"/>
    <m/>
    <m/>
    <s v="Sewa Tahunan"/>
    <s v="Cross Connect"/>
    <s v="PA/ACT/1804/1002"/>
    <m/>
    <m/>
    <m/>
    <m/>
    <s v="-"/>
    <n v="48000000"/>
    <m/>
    <s v="-"/>
    <n v="2500000"/>
    <m/>
    <d v="2022-04-23T00:00:00"/>
    <d v="2023-04-22T00:00:00"/>
    <x v="0"/>
    <m/>
    <m/>
    <m/>
    <m/>
    <m/>
    <m/>
    <s v="19582/SPP/008/PUSAT/ICON+/2022"/>
    <n v="4500018929"/>
    <m/>
    <m/>
    <m/>
    <m/>
    <m/>
    <m/>
    <m/>
    <m/>
    <m/>
    <m/>
    <m/>
    <m/>
    <m/>
  </r>
  <r>
    <n v="483"/>
    <s v="MORA TELEMATIKA INDONESIA"/>
    <s v="ANUGRAH INTI KARYA"/>
    <s v="GRHA9 lt 6 Jl Penataran 9"/>
    <x v="0"/>
    <m/>
    <m/>
    <s v="Sewa Tahunan"/>
    <s v="Colocation"/>
    <s v="PA/ACT/1810/0048"/>
    <m/>
    <m/>
    <m/>
    <m/>
    <s v="-"/>
    <n v="96000000"/>
    <m/>
    <s v="-"/>
    <n v="36000000"/>
    <m/>
    <d v="2022-10-01T00:00:00"/>
    <d v="2023-09-30T00:00:00"/>
    <x v="0"/>
    <m/>
    <m/>
    <m/>
    <m/>
    <m/>
    <m/>
    <s v="19952/SPP/008/PUSAT/ICON+/2022"/>
    <n v="4500019772"/>
    <m/>
    <m/>
    <m/>
    <m/>
    <m/>
    <m/>
    <m/>
    <m/>
    <m/>
    <m/>
    <m/>
    <m/>
    <m/>
  </r>
  <r>
    <n v="484"/>
    <s v="INDONET"/>
    <s v="PT PRIMACOM INTERBUANA"/>
    <s v="Jl Rempoa Raya 11"/>
    <x v="0"/>
    <m/>
    <m/>
    <s v="Sewa Tahunan"/>
    <s v="Colocation"/>
    <s v="PA/ACT/1804/1335"/>
    <m/>
    <m/>
    <m/>
    <m/>
    <s v="-"/>
    <n v="36000000"/>
    <m/>
    <s v="-"/>
    <n v="2750000"/>
    <m/>
    <d v="2022-07-08T00:00:00"/>
    <d v="2023-06-07T00:00:00"/>
    <x v="0"/>
    <m/>
    <m/>
    <m/>
    <m/>
    <m/>
    <m/>
    <s v="19223/SPP/008/PUSAT/ICON+/2022"/>
    <n v="4500018645"/>
    <m/>
    <m/>
    <m/>
    <m/>
    <m/>
    <m/>
    <m/>
    <m/>
    <m/>
    <m/>
    <m/>
    <m/>
    <m/>
  </r>
  <r>
    <n v="485"/>
    <s v="MARMITRIA LAND, PT"/>
    <s v="PT KIDECO JAYA AGUNG"/>
    <s v="Jl Jend Gatot Subroto Kav 21"/>
    <x v="0"/>
    <m/>
    <m/>
    <s v="Sewa Tahunan"/>
    <s v="Colocation"/>
    <s v="PA/ACT/2012/2393/TER"/>
    <m/>
    <m/>
    <m/>
    <m/>
    <s v="-"/>
    <n v="180000000"/>
    <m/>
    <s v="-"/>
    <n v="6600000"/>
    <m/>
    <d v="2022-03-10T00:00:00"/>
    <d v="2023-03-09T00:00:00"/>
    <x v="0"/>
    <m/>
    <m/>
    <m/>
    <m/>
    <m/>
    <m/>
    <s v="18380/SPP/008/PUSAT/ICON+/2022"/>
    <n v="4500019627"/>
    <m/>
    <m/>
    <m/>
    <m/>
    <m/>
    <m/>
    <m/>
    <m/>
    <m/>
    <m/>
    <m/>
    <m/>
    <m/>
  </r>
  <r>
    <n v="486"/>
    <s v="Media Nusantara Data Global "/>
    <s v="PT INDONESIA COMNETS PLUS"/>
    <s v="Jl Kuningan Barat 8"/>
    <x v="0"/>
    <m/>
    <m/>
    <s v="Sewa Tahunan"/>
    <s v="Cross Connect"/>
    <s v="SP2K 4500016079"/>
    <m/>
    <m/>
    <m/>
    <m/>
    <s v="-"/>
    <s v="-"/>
    <m/>
    <s v="-"/>
    <n v="36000000"/>
    <m/>
    <d v="2022-05-13T00:00:00"/>
    <d v="2023-05-12T00:00:00"/>
    <x v="0"/>
    <m/>
    <m/>
    <m/>
    <m/>
    <m/>
    <m/>
    <s v="18720/SPP/008/PUSAT/ICON+/2022"/>
    <n v="4500018011"/>
    <m/>
    <m/>
    <m/>
    <m/>
    <m/>
    <m/>
    <m/>
    <m/>
    <m/>
    <m/>
    <m/>
    <m/>
    <m/>
  </r>
  <r>
    <n v="487"/>
    <s v="Jakarta Infrastruktur Propertindo "/>
    <s v=" "/>
    <s v="GEDUNG THAMRIN CITY Lt 1"/>
    <x v="0"/>
    <m/>
    <m/>
    <s v="Sewa Tahunan"/>
    <s v="Colocation"/>
    <m/>
    <m/>
    <m/>
    <m/>
    <m/>
    <s v="-"/>
    <s v="-"/>
    <m/>
    <s v="-"/>
    <n v="160923081"/>
    <m/>
    <d v="2022-04-12T00:00:00"/>
    <d v="2023-04-11T00:00:00"/>
    <x v="0"/>
    <m/>
    <m/>
    <m/>
    <m/>
    <m/>
    <m/>
    <s v="20061/SPP/008/PUSAT/ICON+/2022"/>
    <n v="4500019039"/>
    <m/>
    <m/>
    <m/>
    <m/>
    <m/>
    <m/>
    <m/>
    <m/>
    <m/>
    <m/>
    <m/>
    <m/>
    <m/>
  </r>
  <r>
    <n v="488"/>
    <s v="BPJS KETENAGAKERJAAN (JAMSOSTEK) "/>
    <s v="TANJUNGENIM TAHUN 2022/2023"/>
    <s v="Jl.Gatot subroto 79"/>
    <x v="0"/>
    <m/>
    <m/>
    <s v="Sewa Tahunan"/>
    <s v="Colocation"/>
    <s v="ICON00/S0P/1707/0112/AL/1909/367232"/>
    <m/>
    <m/>
    <m/>
    <m/>
    <s v="-"/>
    <n v="94800000"/>
    <m/>
    <s v="-"/>
    <n v="5000000"/>
    <m/>
    <d v="2022-06-22T00:00:00"/>
    <d v="2023-06-21T00:00:00"/>
    <x v="0"/>
    <m/>
    <m/>
    <m/>
    <m/>
    <m/>
    <m/>
    <s v="18778/SPP/008/PUSAT/ICON+/2022"/>
    <n v="4500018465"/>
    <m/>
    <m/>
    <m/>
    <m/>
    <m/>
    <m/>
    <m/>
    <m/>
    <m/>
    <m/>
    <m/>
    <m/>
    <m/>
  </r>
  <r>
    <n v="489"/>
    <s v="Jakael invesco,PT"/>
    <s v="PT.INDONESIA COMNETS PLUS PERIODE 2022-2023"/>
    <s v="Gatoto subroto kav 38 38"/>
    <x v="0"/>
    <m/>
    <m/>
    <s v="Sewa Tahunan"/>
    <s v="Colocation"/>
    <m/>
    <m/>
    <m/>
    <m/>
    <m/>
    <s v="-"/>
    <s v="-"/>
    <m/>
    <s v="-"/>
    <n v="7500002"/>
    <m/>
    <d v="2022-07-16T00:00:00"/>
    <d v="2023-07-15T00:00:00"/>
    <x v="0"/>
    <m/>
    <m/>
    <m/>
    <m/>
    <m/>
    <m/>
    <s v="19268/SPP/008/PUSAT/ICON+/2022"/>
    <n v="4500018605"/>
    <m/>
    <m/>
    <m/>
    <m/>
    <m/>
    <m/>
    <m/>
    <m/>
    <m/>
    <m/>
    <m/>
    <m/>
    <m/>
  </r>
  <r>
    <n v="490"/>
    <s v="Circlecom Nusantara Indonesia"/>
    <s v="PT.SUMBER SEGERA PRIMADAYA PERIODE 2023"/>
    <s v="Jl.Jend Sudirman kav.52-53"/>
    <x v="0"/>
    <m/>
    <m/>
    <s v="Sewa Tahunan"/>
    <s v="Interkoneksi"/>
    <s v="PA/UPG/2111/0035"/>
    <m/>
    <m/>
    <m/>
    <m/>
    <s v="-"/>
    <n v="237000000"/>
    <m/>
    <s v="-"/>
    <n v="180000000"/>
    <m/>
    <d v="2022-01-01T00:00:00"/>
    <d v="2023-12-31T00:00:00"/>
    <x v="0"/>
    <m/>
    <m/>
    <m/>
    <m/>
    <m/>
    <m/>
    <s v="20220/SPP/008/PUSAT/ICON+/2022"/>
    <n v="4500019148"/>
    <m/>
    <m/>
    <m/>
    <m/>
    <m/>
    <m/>
    <m/>
    <m/>
    <m/>
    <m/>
    <m/>
    <m/>
    <m/>
  </r>
  <r>
    <n v="491"/>
    <s v="Pelabuhan Indonesia II  (Persero)/PELINDO II"/>
    <s v="PT.Toyota Motor Manufacturing indonesia"/>
    <s v="Jl.Raya pelabuhan No.9 Tanjung priok"/>
    <x v="0"/>
    <m/>
    <m/>
    <s v="Sewa Tahunan"/>
    <s v="Colocation"/>
    <s v="ICON-00/SBC/1601/0379, ICON-00/ACT/1407/0018"/>
    <m/>
    <m/>
    <m/>
    <m/>
    <n v="0"/>
    <n v="144000000"/>
    <m/>
    <n v="0"/>
    <n v="115448256"/>
    <m/>
    <d v="2022-09-01T00:00:00"/>
    <d v="2023-08-31T00:00:00"/>
    <x v="0"/>
    <m/>
    <m/>
    <m/>
    <m/>
    <m/>
    <m/>
    <s v="19116/SPP/008/PUSAT/ICON+/2022"/>
    <n v="4500018446"/>
    <m/>
    <m/>
    <m/>
    <m/>
    <m/>
    <m/>
    <m/>
    <m/>
    <m/>
    <m/>
    <m/>
    <m/>
    <m/>
  </r>
  <r>
    <n v="492"/>
    <s v="Jakael invesco,PT"/>
    <s v="PT.INDONESIA COMNETS PLUS PERIODE 2022-2023"/>
    <s v="Gatoto subroto kav 38 38"/>
    <x v="0"/>
    <m/>
    <m/>
    <s v="Sewa Tahunan"/>
    <s v="Colocation"/>
    <m/>
    <m/>
    <m/>
    <m/>
    <m/>
    <n v="0"/>
    <n v="0"/>
    <m/>
    <n v="0"/>
    <n v="10000003"/>
    <m/>
    <d v="2022-07-01T00:00:00"/>
    <d v="2023-07-21T00:00:00"/>
    <x v="0"/>
    <m/>
    <m/>
    <m/>
    <m/>
    <m/>
    <m/>
    <s v="19025/SPP/008/PUSAT/ICON+/2022"/>
    <n v="4500018604"/>
    <m/>
    <m/>
    <m/>
    <m/>
    <m/>
    <m/>
    <m/>
    <m/>
    <m/>
    <m/>
    <m/>
    <m/>
    <m/>
  </r>
  <r>
    <n v="493"/>
    <s v="DCI Indonesia "/>
    <s v="PT.AIRPAY INTERNATIONAL INDONESIA PERIODE 2022-2023"/>
    <s v="Jl.Jend Sudirman kav.52-53"/>
    <x v="0"/>
    <m/>
    <m/>
    <s v="Sewa Tahunan"/>
    <s v="Cross Connect"/>
    <s v="PA/ACT/1908/0899"/>
    <m/>
    <m/>
    <m/>
    <m/>
    <s v="-"/>
    <n v="66000000"/>
    <m/>
    <n v="0"/>
    <n v="36000000"/>
    <m/>
    <d v="2022-08-16T00:00:00"/>
    <d v="2023-08-15T00:00:00"/>
    <x v="0"/>
    <m/>
    <m/>
    <m/>
    <m/>
    <m/>
    <m/>
    <s v="19212/SPP/008/PUSAT/ICON+/2022"/>
    <n v="4500018447"/>
    <m/>
    <m/>
    <m/>
    <m/>
    <m/>
    <m/>
    <m/>
    <m/>
    <m/>
    <m/>
    <m/>
    <m/>
    <m/>
  </r>
  <r>
    <n v="494"/>
    <s v="Duta Pertiwi "/>
    <s v="PT.IPWAN GLOBAL TELECOMM"/>
    <s v="Gd. JITC Lt. 7&amp;8 Jl.Mangga dua jakarta"/>
    <x v="0"/>
    <m/>
    <m/>
    <s v="Sewa Tahunan"/>
    <s v="Colocation"/>
    <s v="AL/1910/51950"/>
    <m/>
    <m/>
    <m/>
    <m/>
    <n v="0"/>
    <n v="1150000"/>
    <m/>
    <n v="0"/>
    <n v="12000000"/>
    <m/>
    <d v="2022-08-19T00:00:00"/>
    <d v="2023-08-18T00:00:00"/>
    <x v="0"/>
    <m/>
    <m/>
    <m/>
    <m/>
    <m/>
    <m/>
    <s v="19141/SPP/008/PUSAT/ICON+/2022"/>
    <n v="4500018462"/>
    <m/>
    <m/>
    <m/>
    <m/>
    <m/>
    <m/>
    <m/>
    <m/>
    <m/>
    <m/>
    <m/>
    <m/>
    <m/>
  </r>
  <r>
    <n v="495"/>
    <s v="Media Nusantara Data Global "/>
    <s v="PT.JARINGANKU SARANA NUSANTARA"/>
    <s v="Jl.Kuningan Barat No.8 Cyber Building 1st &amp; 2nd"/>
    <x v="0"/>
    <m/>
    <m/>
    <s v="Sewa Tahunan"/>
    <s v="Cross Connect"/>
    <s v="PA/ACT/2207/0766"/>
    <m/>
    <m/>
    <m/>
    <m/>
    <n v="3000000"/>
    <n v="1032000"/>
    <m/>
    <n v="1500000"/>
    <n v="18000000"/>
    <m/>
    <d v="2022-08-02T00:00:00"/>
    <d v="2023-08-01T00:00:00"/>
    <x v="0"/>
    <m/>
    <m/>
    <m/>
    <m/>
    <m/>
    <m/>
    <s v="194114/SPP/008/PUSAT/ICON+/2022"/>
    <n v="4500018501"/>
    <m/>
    <m/>
    <m/>
    <m/>
    <m/>
    <m/>
    <m/>
    <m/>
    <m/>
    <m/>
    <m/>
    <m/>
    <m/>
  </r>
  <r>
    <n v="496"/>
    <s v="MORA TELEMATIKA INDONESIA "/>
    <s v="PT.ANUGRAH INTI KARYA,GPAY DIGITAL,PT.LINTAS TEKNOLOGI DIGITAL"/>
    <s v="Grha9 Lt.6 Jl.penataran 9"/>
    <x v="0"/>
    <m/>
    <m/>
    <s v="Sewa Tahunan"/>
    <s v="Colocation"/>
    <s v="PA/ACT/1810/0048,PA/ACT/2009/0738,PA/ACT/2204/0857"/>
    <m/>
    <m/>
    <m/>
    <m/>
    <n v="0"/>
    <n v="159000000"/>
    <m/>
    <n v="0"/>
    <n v="9000000"/>
    <m/>
    <d v="2022-04-18T00:00:00"/>
    <d v="2023-04-17T00:00:00"/>
    <x v="0"/>
    <m/>
    <m/>
    <m/>
    <m/>
    <m/>
    <m/>
    <s v="19057/SPP/008/PUSAT/ICON+/2022"/>
    <n v="4500018395"/>
    <m/>
    <m/>
    <m/>
    <m/>
    <m/>
    <m/>
    <m/>
    <m/>
    <m/>
    <m/>
    <m/>
    <m/>
    <m/>
  </r>
  <r>
    <n v="497"/>
    <s v="Telekomunikasi indonesia Tbk PT"/>
    <s v="PT Pertamina RETAIL SPBU CIKUPA"/>
    <s v="Jl. Kebon sirih No. 12"/>
    <x v="0"/>
    <m/>
    <m/>
    <s v="Sewa Tahunan"/>
    <s v="Cross Connect"/>
    <s v="PA/ACT/2205/2040"/>
    <m/>
    <m/>
    <m/>
    <m/>
    <n v="3000000"/>
    <n v="24000000"/>
    <m/>
    <n v="2000000"/>
    <n v="15360000"/>
    <m/>
    <d v="2022-08-15T00:00:00"/>
    <d v="2023-08-14T00:00:00"/>
    <x v="0"/>
    <m/>
    <m/>
    <m/>
    <m/>
    <m/>
    <m/>
    <s v="19359/SPP/008/PUSAT/ICON+/2022"/>
    <n v="4500018513"/>
    <m/>
    <m/>
    <m/>
    <m/>
    <m/>
    <m/>
    <m/>
    <m/>
    <m/>
    <m/>
    <m/>
    <m/>
    <m/>
  </r>
  <r>
    <n v="498"/>
    <s v="Infrastruktur Cakrawala Telekomunikasi"/>
    <s v="PT.SOLUSINDO BINTANG PRATAMA QQ PT ASTRAZENECA PHARMACEUTIAL"/>
    <s v="Jl.Jababeka IV Blok B No.12 Jbbk industrial Esta Cikarang"/>
    <x v="0"/>
    <m/>
    <m/>
    <s v="Sewa Tahunan"/>
    <s v="Cross Connect"/>
    <s v="PA/ACT/2207/2392/TER"/>
    <m/>
    <m/>
    <m/>
    <m/>
    <n v="3500000"/>
    <n v="228000000"/>
    <m/>
    <n v="0"/>
    <n v="79861032"/>
    <m/>
    <d v="2022-08-09T00:00:00"/>
    <d v="2023-08-08T00:00:00"/>
    <x v="0"/>
    <m/>
    <m/>
    <m/>
    <m/>
    <m/>
    <m/>
    <s v="19358/SPP/008/PUSAT/ICON+/2022"/>
    <n v="4500018571"/>
    <m/>
    <m/>
    <m/>
    <m/>
    <m/>
    <m/>
    <m/>
    <m/>
    <m/>
    <m/>
    <m/>
    <m/>
    <m/>
  </r>
  <r>
    <n v="499"/>
    <s v="Kawasan berikat Nusantara"/>
    <s v="PT . Asianagro Agung jaya 2 (jl.fak-faj)"/>
    <s v="Jl.raya Cakung cilincing"/>
    <x v="0"/>
    <m/>
    <m/>
    <s v="Sewa Tahunan"/>
    <s v="Colocation"/>
    <s v="PA/ACT/2206/19102/TER"/>
    <m/>
    <m/>
    <m/>
    <m/>
    <n v="5000000"/>
    <n v="165000000"/>
    <m/>
    <n v="0"/>
    <n v="41343750"/>
    <m/>
    <d v="2022-08-05T00:00:00"/>
    <d v="2023-08-04T00:00:00"/>
    <x v="0"/>
    <m/>
    <m/>
    <m/>
    <m/>
    <m/>
    <m/>
    <s v="19426/SPP/008/PUSAT/ICON+/2022"/>
    <n v="4500018591"/>
    <m/>
    <m/>
    <m/>
    <m/>
    <m/>
    <m/>
    <m/>
    <m/>
    <m/>
    <m/>
    <m/>
    <m/>
    <m/>
  </r>
  <r>
    <n v="500"/>
    <s v="Media Nusantara Data Global "/>
    <s v="PT. WOM FINANCE"/>
    <s v="Jl.Kuningan Barat No.8 Cyber Building 1st &amp; 2nd"/>
    <x v="0"/>
    <m/>
    <m/>
    <s v="Sewa Tahunan"/>
    <s v="Cross Connect"/>
    <s v=" PA/TRL/2207/0053/TER"/>
    <m/>
    <m/>
    <m/>
    <m/>
    <n v="0"/>
    <n v="0"/>
    <m/>
    <n v="1500000"/>
    <n v="1500000"/>
    <m/>
    <d v="2022-09-11T00:00:00"/>
    <d v="2023-10-10T00:00:00"/>
    <x v="0"/>
    <m/>
    <m/>
    <m/>
    <m/>
    <m/>
    <m/>
    <s v="20010/SPP/008/PUSAT/ICON+/2022"/>
    <n v="4500019071"/>
    <m/>
    <m/>
    <m/>
    <m/>
    <m/>
    <m/>
    <m/>
    <m/>
    <m/>
    <m/>
    <m/>
    <m/>
    <m/>
  </r>
  <r>
    <n v="501"/>
    <s v="Teknovatus solusi sejahtera,PT"/>
    <s v="SMART TELECOM LOKASI UNIT RACK 8"/>
    <s v="Jl.Pahlawan seribu lot 12A"/>
    <x v="0"/>
    <m/>
    <m/>
    <s v="Sewa Tahunan"/>
    <s v="Cross Connect"/>
    <s v="PA/ACT/2206/16564"/>
    <m/>
    <m/>
    <m/>
    <m/>
    <n v="0"/>
    <s v="-"/>
    <m/>
    <n v="0"/>
    <n v="6300000"/>
    <m/>
    <d v="2021-07-07T00:00:00"/>
    <d v="2023-07-06T00:00:00"/>
    <x v="0"/>
    <m/>
    <m/>
    <m/>
    <m/>
    <m/>
    <m/>
    <s v="19382/SPP/008/PUSAT/ICON+/2022"/>
    <n v="4500018509"/>
    <m/>
    <m/>
    <m/>
    <m/>
    <m/>
    <m/>
    <m/>
    <m/>
    <m/>
    <m/>
    <m/>
    <m/>
    <m/>
  </r>
  <r>
    <n v="502"/>
    <s v="Teknovatus solusi sejahtera,PT"/>
    <s v="SMART TELECOM LOKASI UNIT RACK 47 "/>
    <s v="Jl.Pahlawan seribu lot 12A"/>
    <x v="0"/>
    <m/>
    <m/>
    <s v="Sewa Tahunan"/>
    <s v="Cross Connect"/>
    <s v="PA/ACT/2206/16564"/>
    <m/>
    <m/>
    <m/>
    <m/>
    <n v="0"/>
    <s v="-"/>
    <m/>
    <s v="-"/>
    <n v="6300000"/>
    <m/>
    <d v="2021-07-07T00:00:00"/>
    <d v="2023-07-06T00:00:00"/>
    <x v="0"/>
    <m/>
    <m/>
    <m/>
    <m/>
    <m/>
    <m/>
    <s v="19384/SPP/008/PUSAT/ICON+/2022"/>
    <n v="4500018510"/>
    <m/>
    <m/>
    <m/>
    <m/>
    <m/>
    <m/>
    <m/>
    <m/>
    <m/>
    <m/>
    <m/>
    <m/>
    <m/>
  </r>
  <r>
    <n v="503"/>
    <s v="PLN (Persero) Dist.Jaya AP Bulungan"/>
    <s v="PELANGGAN PT PLN ICON+"/>
    <s v="Jl.Sisingamangaraja No.1"/>
    <x v="0"/>
    <m/>
    <m/>
    <s v="Sewa Tahunan"/>
    <s v="Colocation"/>
    <s v="Pelanggan PT ICON"/>
    <m/>
    <m/>
    <m/>
    <m/>
    <n v="0"/>
    <n v="0"/>
    <m/>
    <n v="0"/>
    <n v="93555000"/>
    <m/>
    <d v="2022-03-01T00:00:00"/>
    <d v="2027-02-28T00:00:00"/>
    <x v="0"/>
    <m/>
    <m/>
    <m/>
    <m/>
    <m/>
    <m/>
    <s v="18674/SPP/008/PUSAT/ICON+/2022"/>
    <n v="4500018121"/>
    <m/>
    <m/>
    <m/>
    <m/>
    <m/>
    <m/>
    <m/>
    <m/>
    <m/>
    <m/>
    <m/>
    <m/>
    <m/>
  </r>
  <r>
    <n v="504"/>
    <s v="Jakarta Industrial Estate Pulogadung (Persero) (JIEP) "/>
    <s v="PT IFORTE SOLUSI INFOTEK qq PT WAHANA CITRA NABATI"/>
    <s v="Jl.pulobuaran V No.25"/>
    <x v="0"/>
    <m/>
    <m/>
    <s v="Sewa Tahunan"/>
    <s v="Colocation"/>
    <s v="PA/UPG/2008/0151/TER"/>
    <m/>
    <m/>
    <m/>
    <m/>
    <n v="0"/>
    <n v="109200000"/>
    <m/>
    <n v="0"/>
    <n v="24107580"/>
    <m/>
    <d v="2022-10-16T00:00:00"/>
    <d v="2023-10-15T00:00:00"/>
    <x v="0"/>
    <m/>
    <m/>
    <m/>
    <m/>
    <m/>
    <m/>
    <s v="20136/SPP/008/PUSAT/ICON+/2022"/>
    <n v="4500019265"/>
    <m/>
    <m/>
    <m/>
    <m/>
    <m/>
    <m/>
    <m/>
    <m/>
    <m/>
    <m/>
    <m/>
    <m/>
    <m/>
  </r>
  <r>
    <n v="505"/>
    <s v="Jakarta Industrial Estate Pulogadung (Persero) (JIEP) "/>
    <s v="PT.YAPINDO TRANSPORTAMA"/>
    <s v="Jl.pulobuaran V No.25"/>
    <x v="0"/>
    <m/>
    <m/>
    <s v="Sewa Tahunan"/>
    <s v="Colocation"/>
    <s v="PA/ACT/1802/1067"/>
    <m/>
    <m/>
    <m/>
    <m/>
    <n v="0"/>
    <n v="72000000"/>
    <m/>
    <n v="0"/>
    <n v="67791240"/>
    <m/>
    <d v="2022-03-02T00:00:00"/>
    <d v="2023-03-01T00:00:00"/>
    <x v="0"/>
    <m/>
    <m/>
    <m/>
    <m/>
    <m/>
    <m/>
    <s v="20116/SPP/008/PUSAT/ICON+/2022"/>
    <n v="4500019261"/>
    <m/>
    <m/>
    <m/>
    <m/>
    <m/>
    <m/>
    <m/>
    <m/>
    <m/>
    <m/>
    <m/>
    <m/>
    <m/>
  </r>
  <r>
    <n v="506"/>
    <s v="Dinamika Raya Prima "/>
    <s v="PT.TOKOPEDIA"/>
    <s v="Jl.Jend Sudirman kav.10-11"/>
    <x v="0"/>
    <m/>
    <m/>
    <s v="Sewa Tahunan"/>
    <s v="Cross Connect"/>
    <s v="PA/ACT/2210/2386"/>
    <m/>
    <m/>
    <m/>
    <m/>
    <n v="5000000"/>
    <n v="66000000"/>
    <m/>
    <n v="0"/>
    <n v="29000000"/>
    <m/>
    <d v="2022-11-01T00:00:00"/>
    <d v="2023-10-31T00:00:00"/>
    <x v="0"/>
    <m/>
    <m/>
    <m/>
    <m/>
    <m/>
    <m/>
    <s v="20335/SPP/008/PUSAT/ICON+/2022"/>
    <n v="4500019287"/>
    <m/>
    <m/>
    <m/>
    <m/>
    <m/>
    <m/>
    <m/>
    <m/>
    <m/>
    <m/>
    <m/>
    <m/>
    <m/>
  </r>
  <r>
    <n v="507"/>
    <s v="DWI TUNGGAL PUTRA,PT"/>
    <s v="PT BANK MANDIRI (Persero) Tbk. Di Gedung Tifa"/>
    <s v="Jl.Embong Tanjung No.40 Surabaya"/>
    <x v="0"/>
    <m/>
    <m/>
    <s v="Sewa Tahunan"/>
    <s v="Cross Connect"/>
    <s v="PA/ACT/2210/2015"/>
    <m/>
    <m/>
    <m/>
    <m/>
    <n v="2318182"/>
    <n v="30545460"/>
    <m/>
    <n v="500000"/>
    <n v="5040000"/>
    <m/>
    <d v="2022-10-31T00:00:00"/>
    <d v="2023-10-30T00:00:00"/>
    <x v="0"/>
    <m/>
    <m/>
    <m/>
    <m/>
    <m/>
    <m/>
    <s v="20275/SPP/008/PUSAT/ICON+/2022"/>
    <n v="4500019217"/>
    <m/>
    <m/>
    <m/>
    <m/>
    <m/>
    <m/>
    <m/>
    <m/>
    <m/>
    <m/>
    <m/>
    <m/>
    <m/>
  </r>
  <r>
    <n v="508"/>
    <s v="Aplikanusa Lintasarta"/>
    <s v="KEMENTERIAN ESDM PERIODE 2022-2023"/>
    <s v="Jl.M.H Thamrin kav 3"/>
    <x v="0"/>
    <m/>
    <m/>
    <s v="Sewa Tahunan"/>
    <s v="Cross Connect"/>
    <s v="PA/ACT/2204/0271"/>
    <m/>
    <m/>
    <m/>
    <m/>
    <n v="0"/>
    <n v="50412000"/>
    <m/>
    <n v="0"/>
    <n v="66000000"/>
    <m/>
    <d v="2022-12-13T00:00:00"/>
    <d v="2023-12-12T00:00:00"/>
    <x v="0"/>
    <m/>
    <m/>
    <m/>
    <m/>
    <m/>
    <m/>
    <s v="20258/SPP/008/PUSAT/ICON+/2022"/>
    <n v="4500019240"/>
    <m/>
    <m/>
    <m/>
    <m/>
    <m/>
    <m/>
    <m/>
    <m/>
    <m/>
    <m/>
    <m/>
    <m/>
    <m/>
  </r>
  <r>
    <n v="509"/>
    <s v="Media Nusantara Data Global "/>
    <s v="project NAP 100 G PERIODE 2022-2023"/>
    <s v="Jl.Kuningan Barat No.8 Cyber Building 1st &amp; 2nd"/>
    <x v="0"/>
    <m/>
    <m/>
    <s v="Sewa Tahunan"/>
    <s v="Cross Connect"/>
    <m/>
    <m/>
    <m/>
    <m/>
    <m/>
    <n v="0"/>
    <n v="0"/>
    <m/>
    <n v="0"/>
    <n v="2500000"/>
    <m/>
    <d v="2022-08-14T00:00:00"/>
    <d v="2023-08-13T00:00:00"/>
    <x v="0"/>
    <m/>
    <m/>
    <m/>
    <m/>
    <m/>
    <m/>
    <s v="19810/SPP/008/PUSAT/ICON+/2022"/>
    <n v="4500019055"/>
    <m/>
    <m/>
    <m/>
    <m/>
    <m/>
    <m/>
    <m/>
    <m/>
    <m/>
    <m/>
    <m/>
    <m/>
    <m/>
  </r>
  <r>
    <n v="510"/>
    <s v="ENVISION"/>
    <s v="PT.BANK MANDIRI (PERSERO) TBK 2022-2023"/>
    <s v="Gd.Perkantoran prudential centre kotakasablanka"/>
    <x v="0"/>
    <m/>
    <m/>
    <s v="Sewa Tahunan"/>
    <s v="Interkoneksi"/>
    <s v="PA/ACT/2206/16524"/>
    <m/>
    <m/>
    <m/>
    <m/>
    <n v="4818182"/>
    <n v="86618184"/>
    <m/>
    <n v="0"/>
    <n v="43300000"/>
    <m/>
    <d v="2022-09-09T00:00:00"/>
    <d v="2023-09-08T00:00:00"/>
    <x v="0"/>
    <m/>
    <m/>
    <m/>
    <m/>
    <m/>
    <m/>
    <s v="19251/SPP/008/PUSAT/ICON+/2022"/>
    <n v="4500018454"/>
    <m/>
    <m/>
    <m/>
    <m/>
    <m/>
    <m/>
    <m/>
    <m/>
    <m/>
    <m/>
    <m/>
    <m/>
    <m/>
  </r>
  <r>
    <n v="511"/>
    <s v="Infrastruktur Cakrawala Telekomunikasi"/>
    <s v="PT.HPERNET INDODATA qq PT LESTARI TEKNIK PLASTIKATAMA"/>
    <s v="Jl.jababeka IV Blok B No.12 Jbbk"/>
    <x v="0"/>
    <m/>
    <m/>
    <s v="Sewa Tahunan"/>
    <s v="Cross Connect"/>
    <s v="PA/ACT2210/0062/TER"/>
    <m/>
    <m/>
    <m/>
    <m/>
    <n v="3000000"/>
    <n v="46800000"/>
    <m/>
    <n v="0"/>
    <n v="26143452"/>
    <m/>
    <d v="2022-11-04T00:00:00"/>
    <d v="2023-11-03T00:00:00"/>
    <x v="0"/>
    <m/>
    <m/>
    <m/>
    <m/>
    <m/>
    <m/>
    <s v="20148/SPP/008/PUSAT/ICON+/2022"/>
    <n v="4500019286"/>
    <m/>
    <m/>
    <m/>
    <m/>
    <m/>
    <m/>
    <m/>
    <m/>
    <m/>
    <m/>
    <m/>
    <m/>
    <m/>
  </r>
  <r>
    <n v="512"/>
    <s v="DWI TUNGGAL PUTRA,PT"/>
    <s v="PT. Layanan internet sakti di gedung tifa"/>
    <s v="Jl.Embong Tanjung No.40 Surabaya"/>
    <x v="0"/>
    <m/>
    <m/>
    <s v="Sewa Tahunan"/>
    <s v="Cross Connect"/>
    <s v="PA/ACT/2209/2049"/>
    <m/>
    <m/>
    <m/>
    <m/>
    <n v="2000000"/>
    <n v="48000000"/>
    <m/>
    <n v="0"/>
    <n v="5540000"/>
    <m/>
    <d v="2022-10-20T00:00:00"/>
    <d v="2023-10-19T00:00:00"/>
    <x v="0"/>
    <m/>
    <m/>
    <m/>
    <m/>
    <m/>
    <m/>
    <s v="20270/SPP/008/PUSAT/ICON+/2027"/>
    <n v="4500019216"/>
    <m/>
    <m/>
    <m/>
    <m/>
    <m/>
    <m/>
    <m/>
    <m/>
    <m/>
    <m/>
    <m/>
    <m/>
    <m/>
  </r>
  <r>
    <n v="513"/>
    <s v="IDC (Internetindo Data Centra Indonesia) "/>
    <m/>
    <s v="Jl.Kuningan Barat No.8 Cyber Building 1st &amp; 2nd"/>
    <x v="0"/>
    <m/>
    <m/>
    <s v="Sewa Tahunan"/>
    <s v="Colocation"/>
    <m/>
    <m/>
    <m/>
    <m/>
    <m/>
    <n v="0"/>
    <n v="2493859524"/>
    <m/>
    <n v="0"/>
    <n v="119700000"/>
    <m/>
    <d v="2022-11-01T00:00:00"/>
    <d v="2023-10-31T00:00:00"/>
    <x v="0"/>
    <m/>
    <m/>
    <m/>
    <m/>
    <m/>
    <m/>
    <s v="19809/SPP/008/PUSAT/ICON+/2022"/>
    <n v="4500018920"/>
    <m/>
    <m/>
    <m/>
    <m/>
    <m/>
    <m/>
    <m/>
    <m/>
    <m/>
    <m/>
    <m/>
    <m/>
    <m/>
  </r>
  <r>
    <n v="514"/>
    <s v="Senayan Trikarya sempana,PT "/>
    <s v="PT.SEAMPLESS PIPE INDONESIA JAYA 2022-2023"/>
    <s v="Jl.Asia Afrika No.8"/>
    <x v="0"/>
    <m/>
    <m/>
    <s v="Sewa Tahunan"/>
    <s v="Cross Connect"/>
    <s v="PA/ACT/2108/0103"/>
    <m/>
    <m/>
    <m/>
    <m/>
    <n v="0"/>
    <n v="102000000"/>
    <m/>
    <n v="0"/>
    <n v="100000000"/>
    <m/>
    <d v="2022-10-05T00:00:00"/>
    <d v="2023-10-04T00:00:00"/>
    <x v="0"/>
    <m/>
    <m/>
    <m/>
    <m/>
    <m/>
    <m/>
    <s v="19951/SPP/008/PUSAT/ICON+/2022"/>
    <n v="4500019201"/>
    <m/>
    <m/>
    <m/>
    <m/>
    <m/>
    <m/>
    <m/>
    <m/>
    <m/>
    <m/>
    <m/>
    <m/>
    <m/>
  </r>
  <r>
    <n v="515"/>
    <s v="Pusat Pengelolaan Komplek Kemayoran"/>
    <s v="PT CARAKA WASKITA TEKNOLOGI PERIODE 2022-2023"/>
    <s v="Jl.Angkasa kemayoran"/>
    <x v="0"/>
    <m/>
    <m/>
    <s v="Sewa Tahunan"/>
    <s v="Colocation"/>
    <s v="PA/ACT/2204/0193"/>
    <m/>
    <m/>
    <m/>
    <m/>
    <n v="0"/>
    <n v="131788800"/>
    <m/>
    <n v="0"/>
    <n v="45612000"/>
    <m/>
    <d v="2022-12-27T00:00:00"/>
    <d v="2023-12-26T00:00:00"/>
    <x v="0"/>
    <m/>
    <m/>
    <m/>
    <m/>
    <m/>
    <m/>
    <s v="20466/SPP/008/PUSAT/ICON+/2022"/>
    <n v="4500019635"/>
    <m/>
    <m/>
    <m/>
    <m/>
    <m/>
    <m/>
    <m/>
    <m/>
    <m/>
    <m/>
    <m/>
    <m/>
    <m/>
  </r>
  <r>
    <n v="516"/>
    <s v="Media Nusantara Data Global "/>
    <s v="CYBER"/>
    <s v="Jl.Kuningan Barat No.8 Cyber Building 1st &amp; 2nd"/>
    <x v="0"/>
    <m/>
    <m/>
    <s v="Sewa Tahunan"/>
    <s v="Colocation"/>
    <m/>
    <m/>
    <m/>
    <m/>
    <m/>
    <n v="0"/>
    <n v="397379613"/>
    <m/>
    <n v="0"/>
    <n v="397379613"/>
    <m/>
    <d v="2022-12-19T00:00:00"/>
    <d v="2023-01-31T00:00:00"/>
    <x v="0"/>
    <m/>
    <m/>
    <m/>
    <m/>
    <m/>
    <m/>
    <s v="21014/SPP/008/PUSAT/ICON+/2022"/>
    <n v="4500019949"/>
    <m/>
    <m/>
    <m/>
    <m/>
    <m/>
    <m/>
    <m/>
    <m/>
    <m/>
    <m/>
    <m/>
    <m/>
    <m/>
  </r>
  <r>
    <n v="517"/>
    <s v="Indointernet"/>
    <s v="Primacom qq Bank ina perdana periode 2022-2023"/>
    <s v="Jl.Rempoa raya 11"/>
    <x v="0"/>
    <m/>
    <m/>
    <s v="Sewa Tahunan"/>
    <s v="Colocation"/>
    <s v="PA/ACT/1812/0776"/>
    <m/>
    <m/>
    <m/>
    <m/>
    <n v="0"/>
    <n v="30000000"/>
    <m/>
    <n v="0"/>
    <n v="2000000"/>
    <m/>
    <d v="2022-02-20T00:00:00"/>
    <d v="2023-02-19T00:00:00"/>
    <x v="0"/>
    <m/>
    <m/>
    <m/>
    <m/>
    <m/>
    <m/>
    <s v="19578/SPP/008/PUSAT/ICON+/2022"/>
    <n v="4500018934"/>
    <m/>
    <m/>
    <m/>
    <m/>
    <m/>
    <m/>
    <m/>
    <m/>
    <m/>
    <m/>
    <m/>
    <m/>
    <m/>
  </r>
  <r>
    <n v="518"/>
    <s v="SAMADISTA KARYA, PT"/>
    <s v="PT.ASTRA INTERNATIONAL,PT.ASTRA FINANCE SERVICES"/>
    <s v="Jl.TB SIMATUPANG RT.004 RW.001 KAV 15"/>
    <x v="0"/>
    <m/>
    <m/>
    <s v="Sewa Tahunan"/>
    <s v="Colocation"/>
    <s v="AL/1805/2823,ICON-00/SCB/1211/0462"/>
    <m/>
    <m/>
    <m/>
    <m/>
    <n v="0"/>
    <n v="81600000"/>
    <m/>
    <n v="0"/>
    <n v="52000000"/>
    <m/>
    <d v="2022-01-01T00:00:00"/>
    <d v="2023-12-31T00:00:00"/>
    <x v="0"/>
    <m/>
    <m/>
    <m/>
    <m/>
    <m/>
    <m/>
    <s v="20629/SPP/008/PUSAT/ICON+/2022"/>
    <n v="4500019626"/>
    <m/>
    <m/>
    <m/>
    <m/>
    <m/>
    <m/>
    <m/>
    <m/>
    <m/>
    <m/>
    <m/>
    <m/>
    <m/>
  </r>
  <r>
    <n v="519"/>
    <s v="Kawasan berikat Nusantara"/>
    <s v="PT.KINEZ CREATIVE SOLUTIONS,PT KAWASAN BERIKAT NUSANTARA"/>
    <s v="Jl.raya Cakung cilincing"/>
    <x v="0"/>
    <m/>
    <m/>
    <s v="Sewa Tahunan"/>
    <s v="Colocation"/>
    <m/>
    <m/>
    <m/>
    <m/>
    <m/>
    <n v="0"/>
    <s v="-"/>
    <m/>
    <s v="-"/>
    <n v="357782304"/>
    <m/>
    <d v="2018-03-02T00:00:00"/>
    <d v="2024-03-01T00:00:00"/>
    <x v="0"/>
    <m/>
    <m/>
    <m/>
    <m/>
    <m/>
    <m/>
    <s v="19468/SPP/008/PUSAT/ICON+/2022"/>
    <n v="4500018679"/>
    <m/>
    <m/>
    <m/>
    <m/>
    <m/>
    <m/>
    <m/>
    <m/>
    <m/>
    <m/>
    <m/>
    <m/>
    <m/>
  </r>
  <r>
    <n v="520"/>
    <s v="Bit Teknologi Nusantara "/>
    <s v="PT ASTRA INTERNATIONAL TBK"/>
    <s v="Jl. Tentara pelajar"/>
    <x v="0"/>
    <m/>
    <m/>
    <s v="Sewa Tahunan"/>
    <s v="Interkoneksi"/>
    <s v="PA/ACT/1902/1519"/>
    <m/>
    <m/>
    <m/>
    <m/>
    <s v="-"/>
    <n v="25200000"/>
    <m/>
    <s v="-"/>
    <n v="4620000"/>
    <m/>
    <d v="2022-10-10T00:00:00"/>
    <d v="2023-10-09T00:00:00"/>
    <x v="0"/>
    <m/>
    <m/>
    <m/>
    <m/>
    <m/>
    <m/>
    <s v="19724/SPP/008/PUSAT/ICON+/2022"/>
    <n v="4500018778"/>
    <m/>
    <m/>
    <m/>
    <m/>
    <m/>
    <m/>
    <m/>
    <m/>
    <m/>
    <m/>
    <m/>
    <m/>
    <m/>
  </r>
  <r>
    <n v="521"/>
    <s v="Indointernet"/>
    <s v="PT CITRA SARI MAKMUR"/>
    <s v="JL. Rempoa Raya 11"/>
    <x v="0"/>
    <m/>
    <m/>
    <s v="Sewa Tahunan"/>
    <s v="Colocation"/>
    <s v="ICON-00/ACT/1502/0273"/>
    <m/>
    <m/>
    <m/>
    <m/>
    <s v="-"/>
    <n v="28000000"/>
    <m/>
    <s v="-"/>
    <n v="5000000"/>
    <m/>
    <d v="2020-04-28T00:00:00"/>
    <d v="2022-04-27T00:00:00"/>
    <x v="0"/>
    <m/>
    <m/>
    <m/>
    <m/>
    <m/>
    <m/>
    <s v="19584/SPP/008/PUSAT/ICON+/2022"/>
    <n v="4500018685"/>
    <m/>
    <m/>
    <m/>
    <m/>
    <m/>
    <m/>
    <m/>
    <m/>
    <m/>
    <m/>
    <m/>
    <m/>
    <m/>
  </r>
  <r>
    <n v="522"/>
    <s v="Gentamulia Infra"/>
    <s v="BANK DANAMON INDONESIA"/>
    <s v="Jl. Lingkar Mega Kuningan Kav. E32 1 Jakarta 12950"/>
    <x v="0"/>
    <m/>
    <m/>
    <s v="Sewa Tahunan"/>
    <s v="Colocation"/>
    <s v="ICON-00/ACT/1506/0233"/>
    <m/>
    <m/>
    <m/>
    <m/>
    <s v="-"/>
    <n v="29400000"/>
    <m/>
    <s v="-"/>
    <n v="88330000"/>
    <m/>
    <d v="2022-08-01T00:00:00"/>
    <d v="2023-07-31T00:00:00"/>
    <x v="0"/>
    <m/>
    <m/>
    <m/>
    <m/>
    <m/>
    <m/>
    <s v="18539/SPP/008/PUSAT/ICON+/2022"/>
    <n v="4500018124"/>
    <m/>
    <m/>
    <m/>
    <m/>
    <m/>
    <m/>
    <m/>
    <m/>
    <m/>
    <m/>
    <m/>
    <m/>
    <m/>
  </r>
  <r>
    <n v="523"/>
    <s v="Fastel Sarana Indonesia"/>
    <s v="PT DJARUM "/>
    <s v="Gd. TCC Batavia Tower One Lt. 16"/>
    <x v="0"/>
    <m/>
    <m/>
    <s v="Sewa Tahunan"/>
    <s v="Interkoneksi"/>
    <s v="AL/2002/5192"/>
    <m/>
    <m/>
    <m/>
    <m/>
    <s v="-"/>
    <n v="264000000"/>
    <m/>
    <s v="-"/>
    <n v="198000000"/>
    <m/>
    <d v="2022-09-03T00:00:00"/>
    <d v="2023-09-02T00:00:00"/>
    <x v="0"/>
    <m/>
    <m/>
    <m/>
    <m/>
    <m/>
    <m/>
    <s v="19281/SPP/008/PUSAT/ICON+/2022"/>
    <n v="4500018498"/>
    <m/>
    <m/>
    <m/>
    <m/>
    <m/>
    <m/>
    <m/>
    <m/>
    <m/>
    <m/>
    <m/>
    <m/>
    <m/>
  </r>
  <r>
    <n v="524"/>
    <s v="Artha Telekomindo  "/>
    <s v="PT Fermentech Indonesia "/>
    <s v="Jl.Jend.Sudirman 52-53 Jakarta 12190"/>
    <x v="0"/>
    <m/>
    <m/>
    <s v="Sewa Tahunan"/>
    <s v="Interkoneksi"/>
    <s v="AL/1910/47255, AL/1910/47256"/>
    <m/>
    <m/>
    <m/>
    <m/>
    <s v="-"/>
    <n v="96000000"/>
    <m/>
    <s v="-"/>
    <n v="111000000"/>
    <m/>
    <d v="2022-07-01T00:00:00"/>
    <d v="2023-06-30T00:00:00"/>
    <x v="0"/>
    <m/>
    <m/>
    <m/>
    <m/>
    <m/>
    <m/>
    <s v="18843/SPP/008/PUSAT/ICON+/2022"/>
    <n v="4500018211"/>
    <m/>
    <m/>
    <m/>
    <m/>
    <m/>
    <m/>
    <m/>
    <m/>
    <m/>
    <m/>
    <m/>
    <m/>
    <m/>
  </r>
  <r>
    <n v="525"/>
    <s v="Hipernet Indodata "/>
    <s v="COMMONWEALTH BANK"/>
    <s v="Jl. Makaliwe Raya 24-24a Grogol, Petamburan, Jakarta Barat 11450"/>
    <x v="0"/>
    <m/>
    <m/>
    <s v="Sewa Tahunan"/>
    <s v="Interkoneksi"/>
    <s v="AL/2112/136926"/>
    <m/>
    <m/>
    <m/>
    <m/>
    <s v="-"/>
    <n v="48000000"/>
    <m/>
    <s v="-"/>
    <n v="26400000"/>
    <m/>
    <d v="2022-07-01T00:00:00"/>
    <d v="2023-06-30T00:00:00"/>
    <x v="0"/>
    <m/>
    <m/>
    <m/>
    <m/>
    <m/>
    <m/>
    <s v="18844/SPP/008/PUSAT/ICON+/2022"/>
    <n v="4500018212"/>
    <m/>
    <m/>
    <m/>
    <m/>
    <m/>
    <m/>
    <m/>
    <m/>
    <m/>
    <m/>
    <m/>
    <m/>
    <m/>
  </r>
  <r>
    <n v="526"/>
    <s v="Supra Pritama Nusantara"/>
    <s v="PT POLYTAMA PROPINDO"/>
    <s v="Jl.Jend.Sudirman Kav. 10-11 Jakarta 10220"/>
    <x v="0"/>
    <m/>
    <m/>
    <s v="Sewa Tahunan"/>
    <s v="Interkoneksi"/>
    <s v="PA/ACT/2201/2967/ORI"/>
    <m/>
    <m/>
    <m/>
    <m/>
    <n v="2500000"/>
    <n v="144000000"/>
    <m/>
    <n v="5000000"/>
    <n v="113400000"/>
    <m/>
    <d v="2022-06-10T00:00:00"/>
    <d v="2023-06-09T00:00:00"/>
    <x v="0"/>
    <m/>
    <m/>
    <m/>
    <m/>
    <m/>
    <m/>
    <s v="18524/SPP/008/PUSAT/ICON+/2022"/>
    <n v="4500017931"/>
    <m/>
    <m/>
    <m/>
    <m/>
    <m/>
    <m/>
    <m/>
    <m/>
    <m/>
    <m/>
    <m/>
    <m/>
    <m/>
  </r>
  <r>
    <n v="527"/>
    <s v="Cyberindo Aditama"/>
    <s v="PT MULIA INTI PELANGI"/>
    <s v="Jl. Gatot Subroto Jakarta 10270"/>
    <x v="0"/>
    <m/>
    <m/>
    <s v="Sewa Tahunan"/>
    <s v="Interkoneksi"/>
    <s v="PA/ACT/2001/3225, AL/2008/37098"/>
    <m/>
    <m/>
    <m/>
    <m/>
    <s v="-"/>
    <n v="36000000"/>
    <m/>
    <s v="-"/>
    <n v="14400000"/>
    <m/>
    <d v="2022-07-01T00:00:00"/>
    <d v="2023-06-30T00:00:00"/>
    <x v="0"/>
    <m/>
    <m/>
    <m/>
    <m/>
    <m/>
    <m/>
    <s v="18764/SPP/008/PUSAT/ICON+/2022"/>
    <n v="4500018132"/>
    <m/>
    <m/>
    <m/>
    <m/>
    <m/>
    <m/>
    <m/>
    <m/>
    <m/>
    <m/>
    <m/>
    <m/>
    <m/>
  </r>
  <r>
    <n v="528"/>
    <s v="Media Nusantara Data Global "/>
    <s v="PT YETOYA SOLUSI INDONESIA"/>
    <s v="Jl. Kuningan Barat No. 8 Cyber Building 1st&amp;2nd Jakarta Selatan 12710"/>
    <x v="0"/>
    <m/>
    <m/>
    <s v="Sewa Tahunan"/>
    <s v="Cross Connect"/>
    <s v="PA/ACT/2205/0982/ORI"/>
    <m/>
    <m/>
    <m/>
    <m/>
    <n v="3000000"/>
    <n v="1080000000"/>
    <m/>
    <n v="1500000"/>
    <n v="18000000"/>
    <m/>
    <d v="2022-06-13T00:00:00"/>
    <d v="2023-06-12T00:00:00"/>
    <x v="0"/>
    <m/>
    <m/>
    <m/>
    <m/>
    <m/>
    <m/>
    <s v="18859/SPP/008/PUSAT/ICON+/2022"/>
    <n v="4500018164"/>
    <m/>
    <m/>
    <m/>
    <m/>
    <m/>
    <m/>
    <m/>
    <m/>
    <m/>
    <m/>
    <m/>
    <m/>
    <m/>
  </r>
  <r>
    <n v="529"/>
    <s v="Graha Anugerah Sejahtera, PT "/>
    <s v="PT TRANS RETAIL INDONESIA"/>
    <s v="Jl. Kelapa Cengkir Timur II Blok EH 2, Kelapa Gading No.2 Jakarta 14250"/>
    <x v="0"/>
    <m/>
    <m/>
    <s v="Sewa Tahunan"/>
    <s v="Interkoneksi"/>
    <s v="PA/RLK/2111/0090"/>
    <m/>
    <m/>
    <m/>
    <m/>
    <s v="-"/>
    <n v="37713600"/>
    <m/>
    <s v="-"/>
    <n v="34800000"/>
    <m/>
    <d v="2022-07-01T00:00:00"/>
    <d v="2023-06-30T00:00:00"/>
    <x v="0"/>
    <m/>
    <m/>
    <m/>
    <m/>
    <m/>
    <m/>
    <s v="18897/SPP/008/PUSAT/ICON+/2022"/>
    <n v="4500018174"/>
    <m/>
    <m/>
    <m/>
    <m/>
    <m/>
    <m/>
    <m/>
    <m/>
    <m/>
    <m/>
    <m/>
    <m/>
    <m/>
  </r>
  <r>
    <n v="530"/>
    <s v="Menara Thamrin, PT "/>
    <s v="IFAD OFFICE"/>
    <s v="Jl. MH Thamrin Kav 3 Jakarta 10250"/>
    <x v="0"/>
    <m/>
    <m/>
    <s v="Sewa Tahunan"/>
    <s v="Colocation"/>
    <s v="PA/ACT/2204/0198"/>
    <m/>
    <m/>
    <m/>
    <m/>
    <n v="5000000"/>
    <n v="25200000"/>
    <m/>
    <s v="-"/>
    <n v="10500000"/>
    <m/>
    <d v="2022-04-11T00:00:00"/>
    <d v="2023-04-10T00:00:00"/>
    <x v="0"/>
    <m/>
    <m/>
    <m/>
    <m/>
    <m/>
    <m/>
    <s v="18437/SPP/008/PUSAT/ICON+/2022"/>
    <n v="4500018172"/>
    <m/>
    <m/>
    <m/>
    <m/>
    <m/>
    <m/>
    <m/>
    <m/>
    <m/>
    <m/>
    <m/>
    <m/>
    <m/>
  </r>
  <r>
    <n v="531"/>
    <s v="Sigma Cipta Caraka, PT"/>
    <s v="PT. BANK PEMBANGUNAN DAERAH KALIMANTAN TENGAH, PT BANK MANDIRI TASPEN - JAKARTA, PT BANK NB SYARIAH, PT XL AXIATATBK"/>
    <s v="Jl.Kapt.Subijanto DJ Tanggerang 15321"/>
    <x v="0"/>
    <m/>
    <m/>
    <s v="Sewa Tahunan"/>
    <s v="Colocation"/>
    <s v="PA/ACT/2103/1983/ORI, PA/ACT/2003/1096/TER, PA/ACT/2106/3300, PA/ACT/2005/0446"/>
    <m/>
    <m/>
    <m/>
    <m/>
    <n v="34300000"/>
    <n v="349200000"/>
    <m/>
    <n v="25000000"/>
    <n v="166800000"/>
    <m/>
    <d v="2022-06-17T00:00:00"/>
    <d v="2023-06-16T00:00:00"/>
    <x v="0"/>
    <m/>
    <m/>
    <m/>
    <m/>
    <m/>
    <m/>
    <s v="18928/SPP/008/PUSAT/ICON+/2022"/>
    <n v="4500018188"/>
    <m/>
    <m/>
    <m/>
    <m/>
    <m/>
    <m/>
    <m/>
    <m/>
    <m/>
    <m/>
    <m/>
    <m/>
    <m/>
  </r>
  <r>
    <n v="532"/>
    <s v="Indointernet"/>
    <s v="PT PASIFIK SATELIT NUSANTARA "/>
    <s v="JL. Rempoa Raya 11"/>
    <x v="0"/>
    <m/>
    <m/>
    <s v="Sewa Tahunan"/>
    <s v="Colocation"/>
    <s v="AL/2006/19405"/>
    <m/>
    <m/>
    <m/>
    <m/>
    <s v="-"/>
    <n v="64800000"/>
    <m/>
    <s v="-"/>
    <n v="12000000"/>
    <m/>
    <d v="2022-05-08T00:00:00"/>
    <d v="2023-05-07T00:00:00"/>
    <x v="0"/>
    <m/>
    <m/>
    <m/>
    <m/>
    <m/>
    <m/>
    <s v="18850/SPP/008/PUSAT/ICON+/2022"/>
    <n v="4500018610"/>
    <m/>
    <m/>
    <m/>
    <m/>
    <m/>
    <m/>
    <m/>
    <m/>
    <m/>
    <m/>
    <m/>
    <m/>
    <m/>
  </r>
  <r>
    <n v="533"/>
    <s v="Indointernet"/>
    <s v="PT PRODIA WIDYAHUSADA"/>
    <s v="JL. Rempoa Raya 11"/>
    <x v="0"/>
    <m/>
    <m/>
    <s v="Sewa Tahunan"/>
    <s v="Colocation"/>
    <s v="PA/ACT/1803/0184"/>
    <m/>
    <m/>
    <m/>
    <m/>
    <s v="-"/>
    <n v="72000000"/>
    <m/>
    <s v="-"/>
    <n v="2500000"/>
    <m/>
    <d v="2022-04-14T00:00:00"/>
    <d v="2023-04-13T00:00:00"/>
    <x v="0"/>
    <m/>
    <m/>
    <m/>
    <m/>
    <m/>
    <m/>
    <s v="18718/SPP/008/PUSAT/ICON+/2022"/>
    <n v="4500018609"/>
    <m/>
    <m/>
    <m/>
    <m/>
    <m/>
    <m/>
    <m/>
    <m/>
    <m/>
    <m/>
    <m/>
    <m/>
    <m/>
  </r>
  <r>
    <n v="534"/>
    <s v="Plaza Adika Lestari"/>
    <s v="BANK MEGA"/>
    <s v="Jl. Senen Raya No. 135"/>
    <x v="0"/>
    <m/>
    <m/>
    <s v="Sewa Tahunan"/>
    <s v="Colocation"/>
    <s v="PA/ACT/1808/0360"/>
    <m/>
    <m/>
    <m/>
    <m/>
    <s v="-"/>
    <n v="34800000"/>
    <m/>
    <s v="-"/>
    <n v="22951000"/>
    <m/>
    <d v="2022-11-25T00:00:00"/>
    <d v="2023-11-24T00:00:00"/>
    <x v="0"/>
    <m/>
    <m/>
    <m/>
    <m/>
    <m/>
    <m/>
    <m/>
    <n v="4500018970"/>
    <m/>
    <m/>
    <m/>
    <m/>
    <m/>
    <m/>
    <m/>
    <m/>
    <m/>
    <m/>
    <m/>
    <m/>
    <m/>
  </r>
  <r>
    <n v="535"/>
    <s v="Sigma Cipta Caraka, PT"/>
    <s v="BADAN PENGELOLA PENDAPATAN DAERAH JAWA TENGAH"/>
    <s v="Jl.Kapt.Subijanto DJ Tanggerang 15321"/>
    <x v="0"/>
    <m/>
    <m/>
    <s v="Sewa Tahunan"/>
    <s v="Cross Connect"/>
    <s v="PA/ACT/2001/3141"/>
    <m/>
    <m/>
    <m/>
    <m/>
    <s v="-"/>
    <n v="127603391"/>
    <m/>
    <s v="-"/>
    <n v="6000000"/>
    <m/>
    <d v="2022-01-10T00:00:00"/>
    <d v="2023-01-09T00:00:00"/>
    <x v="0"/>
    <m/>
    <m/>
    <m/>
    <m/>
    <m/>
    <m/>
    <m/>
    <n v="4500018966"/>
    <m/>
    <m/>
    <m/>
    <m/>
    <m/>
    <m/>
    <m/>
    <m/>
    <m/>
    <m/>
    <m/>
    <m/>
    <m/>
  </r>
  <r>
    <n v="536"/>
    <s v="Perhimpunan Penghuni Crown Court Executive Condominium"/>
    <s v="HANASTA DAKARA"/>
    <s v="Jl. Pajajaran Lippo"/>
    <x v="0"/>
    <m/>
    <m/>
    <s v="Sewa Tahunan"/>
    <s v="Colocation"/>
    <s v="1000029813"/>
    <m/>
    <m/>
    <m/>
    <m/>
    <s v="-"/>
    <n v="84000000"/>
    <m/>
    <s v="-"/>
    <n v="20900000"/>
    <m/>
    <d v="2022-10-01T00:00:00"/>
    <d v="2023-09-30T00:00:00"/>
    <x v="0"/>
    <m/>
    <m/>
    <m/>
    <m/>
    <m/>
    <m/>
    <m/>
    <n v="4500018953"/>
    <m/>
    <m/>
    <m/>
    <m/>
    <m/>
    <m/>
    <m/>
    <m/>
    <m/>
    <m/>
    <m/>
    <m/>
    <m/>
  </r>
  <r>
    <n v="537"/>
    <s v="Indointernet"/>
    <s v="PT PRATAMA LINK"/>
    <s v="JL. Rempoa Raya 11"/>
    <x v="0"/>
    <m/>
    <m/>
    <s v="Sewa Tahunan"/>
    <s v="Colocation"/>
    <s v="ICON-00/SBC/1610/0269"/>
    <m/>
    <m/>
    <m/>
    <m/>
    <s v="-"/>
    <n v="42000000"/>
    <m/>
    <s v="-"/>
    <n v="3500000"/>
    <m/>
    <d v="2022-09-23T00:00:00"/>
    <d v="2023-09-22T00:00:00"/>
    <x v="0"/>
    <m/>
    <m/>
    <m/>
    <m/>
    <m/>
    <m/>
    <m/>
    <n v="4500018971"/>
    <m/>
    <m/>
    <m/>
    <m/>
    <m/>
    <m/>
    <m/>
    <m/>
    <m/>
    <m/>
    <m/>
    <m/>
    <m/>
  </r>
  <r>
    <n v="538"/>
    <s v="Aplikanusa Lintasarta"/>
    <s v="PT SHENHUA GUOHUA PEMBANGKIT JAWA BALI"/>
    <s v="Jl.M.H. Thamrin Kav 3"/>
    <x v="0"/>
    <m/>
    <m/>
    <s v="Sewa Tahunan"/>
    <s v="Interkoneksi"/>
    <s v="PA/UPG/2010/0056"/>
    <m/>
    <m/>
    <m/>
    <m/>
    <s v="-"/>
    <n v="372000000"/>
    <m/>
    <s v="-"/>
    <n v="196560000"/>
    <m/>
    <d v="2022-11-20T00:00:00"/>
    <d v="2023-11-19T00:00:00"/>
    <x v="0"/>
    <m/>
    <m/>
    <m/>
    <m/>
    <m/>
    <m/>
    <s v="20284/SPP/008/PUSAT/ICON+/2022"/>
    <n v="4500019208"/>
    <m/>
    <m/>
    <m/>
    <m/>
    <m/>
    <m/>
    <m/>
    <m/>
    <m/>
    <m/>
    <m/>
    <m/>
    <m/>
  </r>
  <r>
    <n v="539"/>
    <s v="Media Nusantara Data Global "/>
    <s v="PT DJARUM, PT SUMBER CIPTA MULTINIAGA"/>
    <s v="Jl. Kuningan Barat No. 8 Cyber Building 1st&amp;2nd Jakarta Selatan 12710"/>
    <x v="0"/>
    <m/>
    <m/>
    <s v="Sewa Tahunan"/>
    <s v="Cross Connect"/>
    <s v="PA/ACT/2003/0168, PA/ACT/2004/0585"/>
    <m/>
    <m/>
    <m/>
    <m/>
    <s v="-"/>
    <n v="2010000000"/>
    <m/>
    <s v="-"/>
    <n v="2750000"/>
    <m/>
    <d v="2022-06-03T00:00:00"/>
    <d v="2023-06-02T00:00:00"/>
    <x v="0"/>
    <m/>
    <m/>
    <m/>
    <m/>
    <m/>
    <m/>
    <s v="19418/SPP/008/PUSAT/ICON+/2022"/>
    <n v="4500019058"/>
    <m/>
    <m/>
    <m/>
    <m/>
    <m/>
    <m/>
    <m/>
    <m/>
    <m/>
    <m/>
    <m/>
    <m/>
    <m/>
  </r>
  <r>
    <n v="540"/>
    <s v="Samudera Data Indonesia"/>
    <s v="PT. TLELKOMUNIKASI INDONESIA INTERNATIONAL"/>
    <s v="Gedung Cyber 1 No. 8 Jakarta Selatan 12710"/>
    <x v="0"/>
    <m/>
    <m/>
    <s v="Sewa Tahunan"/>
    <s v="Cross Connect"/>
    <s v="PA/ACT/2210/1177"/>
    <m/>
    <m/>
    <m/>
    <m/>
    <n v="5000000"/>
    <n v="348000000"/>
    <m/>
    <s v="-"/>
    <n v="18000000"/>
    <m/>
    <d v="2022-11-01T00:00:00"/>
    <d v="2023-10-31T00:00:00"/>
    <x v="0"/>
    <m/>
    <m/>
    <m/>
    <m/>
    <m/>
    <m/>
    <s v="20313/SPP/008/PUSAT/ICON+/2022"/>
    <n v="4500019279"/>
    <m/>
    <m/>
    <m/>
    <m/>
    <m/>
    <m/>
    <m/>
    <m/>
    <m/>
    <m/>
    <m/>
    <m/>
    <m/>
  </r>
  <r>
    <n v="541"/>
    <s v="DCI Indonesia"/>
    <s v="PT BANK NEO COMMERCE TBK"/>
    <s v="Jl. Jend Sudirman Kav 52-53 Jakarta 12190"/>
    <x v="0"/>
    <m/>
    <m/>
    <s v="Sewa Tahunan"/>
    <s v="Cross Connect"/>
    <s v="PA/ACT/2104/2393"/>
    <m/>
    <m/>
    <m/>
    <m/>
    <s v="-"/>
    <n v="246000000"/>
    <m/>
    <s v="-"/>
    <n v="18000000"/>
    <m/>
    <d v="2022-06-09T00:00:00"/>
    <d v="2023-06-08T00:00:00"/>
    <x v="0"/>
    <m/>
    <m/>
    <m/>
    <m/>
    <m/>
    <m/>
    <s v="18914/SPP/008/PUSAT/ICON+/2022"/>
    <n v="4500018325"/>
    <m/>
    <m/>
    <m/>
    <m/>
    <m/>
    <m/>
    <m/>
    <m/>
    <m/>
    <m/>
    <m/>
    <m/>
    <m/>
  </r>
  <r>
    <n v="542"/>
    <s v="Phinisindo Zamrud Nusantara"/>
    <s v="PT TRANS RETAIL INDONESIA"/>
    <s v="Jl. Margonda Raya 56 Depok 16431"/>
    <x v="0"/>
    <m/>
    <m/>
    <s v="Sewa Tahunan"/>
    <s v="Colocation"/>
    <s v="ICON-00/SOP/1404/0010"/>
    <m/>
    <m/>
    <m/>
    <m/>
    <s v="-"/>
    <n v="54000000"/>
    <m/>
    <s v="-"/>
    <n v="15300000"/>
    <m/>
    <d v="2022-09-12T00:00:00"/>
    <d v="2023-09-11T00:00:00"/>
    <x v="0"/>
    <m/>
    <m/>
    <m/>
    <m/>
    <m/>
    <m/>
    <m/>
    <n v="4500019049"/>
    <m/>
    <m/>
    <m/>
    <m/>
    <m/>
    <m/>
    <m/>
    <m/>
    <m/>
    <m/>
    <m/>
    <m/>
    <m/>
  </r>
  <r>
    <n v="543"/>
    <s v="Alfa Goldland Realty"/>
    <s v="PT BANK SYARIAH MANDIRI"/>
    <s v="Jl. Griya Hijau Kav. F"/>
    <x v="0"/>
    <m/>
    <m/>
    <s v="Sewa Tahunan"/>
    <s v="Colocation"/>
    <s v="PA/UPG/2112/0158"/>
    <m/>
    <m/>
    <m/>
    <m/>
    <s v="-"/>
    <n v="490909092"/>
    <m/>
    <s v="-"/>
    <n v="56000000"/>
    <m/>
    <d v="2022-07-23T00:00:00"/>
    <d v="2023-07-22T00:00:00"/>
    <x v="0"/>
    <m/>
    <m/>
    <m/>
    <m/>
    <m/>
    <m/>
    <m/>
    <n v="4500018527"/>
    <m/>
    <m/>
    <m/>
    <m/>
    <m/>
    <m/>
    <m/>
    <m/>
    <m/>
    <m/>
    <m/>
    <m/>
    <m/>
  </r>
  <r>
    <n v="544"/>
    <s v="Fauzi Panca Manunggal, PT "/>
    <s v="PT BANK COMMONWEALTH"/>
    <s v="Jl. Buncit Raya Lt. Penthouse No.22 Jakarta Selatan 12510"/>
    <x v="0"/>
    <m/>
    <m/>
    <s v="Sewa Tahunan"/>
    <s v="Colocation"/>
    <s v="PA/ACT/1807/0333"/>
    <m/>
    <m/>
    <m/>
    <m/>
    <s v="-"/>
    <n v="108000000"/>
    <m/>
    <s v="-"/>
    <n v="77000000"/>
    <m/>
    <d v="2022-09-25T00:00:00"/>
    <d v="2023-09-24T00:00:00"/>
    <x v="0"/>
    <m/>
    <m/>
    <m/>
    <m/>
    <m/>
    <m/>
    <s v="19803/SPP/008/PUSAT/ICON+/2022"/>
    <n v="4500018869"/>
    <m/>
    <m/>
    <m/>
    <m/>
    <m/>
    <m/>
    <m/>
    <m/>
    <m/>
    <m/>
    <m/>
    <m/>
    <m/>
  </r>
  <r>
    <n v="545"/>
    <s v="Pusat Pengelolaan Komplek Kemayoran"/>
    <s v="YAYASAN GHANDI SEMESTA"/>
    <s v="Jl. Angkasa Kemayoran Jakarta 10610"/>
    <x v="0"/>
    <m/>
    <m/>
    <s v="Sewa Tahunan"/>
    <s v="Colocation"/>
    <s v="PA/ACT/2111/4500"/>
    <m/>
    <m/>
    <m/>
    <m/>
    <s v="-"/>
    <n v="174000000"/>
    <m/>
    <s v="-"/>
    <n v="14280000"/>
    <m/>
    <d v="2022-12-17T00:00:00"/>
    <d v="2023-12-16T00:00:00"/>
    <x v="0"/>
    <m/>
    <m/>
    <m/>
    <m/>
    <m/>
    <m/>
    <s v="20468/SPP/008/PUSAT/ICON+/2022"/>
    <n v="4500019619"/>
    <m/>
    <m/>
    <m/>
    <m/>
    <m/>
    <m/>
    <m/>
    <m/>
    <m/>
    <m/>
    <m/>
    <m/>
    <m/>
  </r>
  <r>
    <n v="546"/>
    <s v="Jaya Land "/>
    <s v="BANK MEGA"/>
    <s v="Ged. Jaya Jl.MH Thamrin"/>
    <x v="0"/>
    <m/>
    <m/>
    <s v="Sewa Tahunan"/>
    <s v="Colocation"/>
    <s v="PA/ACT/1808/0394"/>
    <m/>
    <m/>
    <m/>
    <m/>
    <s v="-"/>
    <n v="26400000"/>
    <m/>
    <s v="-"/>
    <n v="14300000"/>
    <m/>
    <d v="2023-02-01T00:00:00"/>
    <d v="2024-01-31T00:00:00"/>
    <x v="0"/>
    <m/>
    <m/>
    <m/>
    <m/>
    <m/>
    <m/>
    <s v="20675/SPP/008/PUSAT/ICON+/2022"/>
    <n v="4500019683"/>
    <m/>
    <m/>
    <m/>
    <m/>
    <m/>
    <m/>
    <m/>
    <m/>
    <m/>
    <m/>
    <m/>
    <m/>
    <m/>
  </r>
  <r>
    <n v="547"/>
    <s v="Dwi Tunggal Putra, PT"/>
    <s v="CIPTA PIRANTI SEJAHTERA Gd. TIFA JL. KUNINGAN BAR MAMPANG PRAPATAN ORIGI, PT SARANA PRIMA TELEMATIKA TIFA ARUM REALTY - KANTOR PUSAT DIREKTORAT JENDERAL PAJAK, PT INDOMARCO DATA CENTER GED.CYBER JL.KUNINGAN BARAT RAYA, PT. LAYANAN INTERNET SAKIT POLLUX MALL CHADSTONE"/>
    <s v="JL. Embong Tanjung No. 40 Surabaya 60271"/>
    <x v="0"/>
    <m/>
    <m/>
    <s v="Sewa Tahunan"/>
    <s v="Colocation"/>
    <s v="PA/RLK/2111/0021, PA/RLK/2111/0034, PA/ACT/2002/2154, PA/ACT/2203/2624"/>
    <m/>
    <m/>
    <m/>
    <m/>
    <s v="-"/>
    <n v="158400000"/>
    <m/>
    <s v="-"/>
    <n v="8000000"/>
    <m/>
    <d v="2022-11-01T00:00:00"/>
    <d v="2023-10-31T00:00:00"/>
    <x v="0"/>
    <m/>
    <m/>
    <m/>
    <m/>
    <m/>
    <m/>
    <s v="20180/SPP/008/PUSAT/ICON+/2022"/>
    <n v="4500019570"/>
    <m/>
    <m/>
    <m/>
    <m/>
    <m/>
    <m/>
    <m/>
    <m/>
    <m/>
    <m/>
    <m/>
    <m/>
    <m/>
  </r>
  <r>
    <n v="548"/>
    <s v="Grya Catur Abadi"/>
    <s v="PT Tera Logistic Indonesia"/>
    <s v="Jl. Abdul Muis No. 46 Jakarta 10160"/>
    <x v="0"/>
    <m/>
    <m/>
    <s v="Sewa Tahunan"/>
    <s v="Colocation"/>
    <s v="PA/ACT/0457/TER"/>
    <m/>
    <m/>
    <m/>
    <m/>
    <s v="-"/>
    <n v="80400000"/>
    <m/>
    <s v="-"/>
    <n v="8500000"/>
    <m/>
    <d v="2022-02-01T00:00:00"/>
    <d v="2023-01-31T00:00:00"/>
    <x v="0"/>
    <m/>
    <m/>
    <m/>
    <m/>
    <m/>
    <m/>
    <m/>
    <n v="4500017689"/>
    <m/>
    <m/>
    <m/>
    <m/>
    <m/>
    <m/>
    <m/>
    <m/>
    <m/>
    <m/>
    <m/>
    <m/>
    <m/>
  </r>
  <r>
    <n v="549"/>
    <s v="Hipernet Indodata "/>
    <s v="PT Prodia Widyahusada"/>
    <s v="Jl.Makaliwe Raya 24-24a"/>
    <x v="0"/>
    <m/>
    <m/>
    <s v="Sewa Tahunan"/>
    <s v="Interkoneksi"/>
    <s v="PA/ACT/1911/0379/TER"/>
    <m/>
    <m/>
    <m/>
    <m/>
    <s v="-"/>
    <n v="72000000"/>
    <m/>
    <s v="-"/>
    <n v="54000000"/>
    <m/>
    <d v="2022-03-10T00:00:00"/>
    <d v="2023-03-09T00:00:00"/>
    <x v="0"/>
    <m/>
    <m/>
    <m/>
    <m/>
    <m/>
    <m/>
    <m/>
    <n v="4500017677"/>
    <m/>
    <m/>
    <m/>
    <m/>
    <m/>
    <m/>
    <m/>
    <m/>
    <m/>
    <m/>
    <m/>
    <m/>
    <m/>
  </r>
  <r>
    <n v="550"/>
    <s v="Detik Ini Juga"/>
    <s v="PT Trans Retail Cibubur"/>
    <s v="Jl. Kapt. Tendean Kav 12-14A Jakarta Selatan 12790"/>
    <x v="0"/>
    <m/>
    <m/>
    <s v="Sewa Tahunan"/>
    <s v="Interkoneksi"/>
    <s v="PA/UPG/1910/0010"/>
    <m/>
    <m/>
    <m/>
    <m/>
    <s v="-"/>
    <n v="153600000"/>
    <m/>
    <s v="-"/>
    <n v="66000000"/>
    <m/>
    <d v="2022-03-01T00:00:00"/>
    <d v="2023-02-28T00:00:00"/>
    <x v="0"/>
    <m/>
    <m/>
    <m/>
    <m/>
    <m/>
    <m/>
    <m/>
    <n v="4500017681"/>
    <m/>
    <m/>
    <m/>
    <m/>
    <m/>
    <m/>
    <m/>
    <m/>
    <m/>
    <m/>
    <m/>
    <m/>
    <m/>
  </r>
  <r>
    <n v="551"/>
    <s v="Bit Teknologi Nusantara "/>
    <s v="Data Sinergitama Jaya QQ Prima Sarana Jaya"/>
    <s v="Jl. Tentara Pelajar Jakarta 12210"/>
    <x v="0"/>
    <m/>
    <m/>
    <s v="Sewa Tahunan"/>
    <s v="Interkoneksi"/>
    <s v="PA/ACT/2002/0814"/>
    <m/>
    <m/>
    <m/>
    <m/>
    <s v="-"/>
    <n v="123600000"/>
    <m/>
    <s v="-"/>
    <n v="18000000"/>
    <m/>
    <d v="2022-03-09T00:00:00"/>
    <d v="2023-03-08T00:00:00"/>
    <x v="0"/>
    <m/>
    <m/>
    <m/>
    <m/>
    <m/>
    <m/>
    <m/>
    <n v="4500017680"/>
    <m/>
    <m/>
    <m/>
    <m/>
    <m/>
    <m/>
    <m/>
    <m/>
    <m/>
    <m/>
    <m/>
    <m/>
    <m/>
  </r>
  <r>
    <n v="552"/>
    <s v="Indointernet"/>
    <s v="PT Nutrifood Indonesia"/>
    <s v="Jl. Rempoa Raya 11 Ciputat 00000"/>
    <x v="0"/>
    <m/>
    <m/>
    <s v="Sewa Tahunan"/>
    <s v="Interkoneksi"/>
    <s v="PA/UPG/1810/0084"/>
    <m/>
    <m/>
    <m/>
    <m/>
    <s v="-"/>
    <n v="78000000"/>
    <m/>
    <s v="-"/>
    <n v="42000000"/>
    <m/>
    <d v="2022-02-21T00:00:00"/>
    <d v="2023-02-20T00:00:00"/>
    <x v="0"/>
    <m/>
    <m/>
    <m/>
    <m/>
    <m/>
    <m/>
    <m/>
    <n v="4500017679"/>
    <m/>
    <m/>
    <m/>
    <m/>
    <m/>
    <m/>
    <m/>
    <m/>
    <m/>
    <m/>
    <m/>
    <m/>
    <m/>
  </r>
  <r>
    <n v="553"/>
    <s v="Asosiasi penyelenggara Jasa Internet Indonesia (APJII)"/>
    <s v="APJII"/>
    <s v="Jl. Kuningan Barat 8 Jakarta 12710"/>
    <x v="0"/>
    <m/>
    <m/>
    <s v="Sewa Tahunan"/>
    <s v="Colocation"/>
    <m/>
    <m/>
    <m/>
    <m/>
    <m/>
    <s v="-"/>
    <s v="-"/>
    <m/>
    <s v="-"/>
    <n v="12000000"/>
    <m/>
    <d v="2022-05-15T00:00:00"/>
    <d v="2023-05-14T00:00:00"/>
    <x v="0"/>
    <m/>
    <m/>
    <m/>
    <m/>
    <m/>
    <m/>
    <m/>
    <n v="4500017676"/>
    <m/>
    <m/>
    <m/>
    <m/>
    <m/>
    <m/>
    <m/>
    <m/>
    <m/>
    <m/>
    <m/>
    <m/>
    <m/>
  </r>
  <r>
    <n v="554"/>
    <s v="Indointernet"/>
    <s v="BCA Kota Baru Parahyangan"/>
    <s v="Jl. Rempoa Raya 11 Ciputat 00000"/>
    <x v="0"/>
    <m/>
    <m/>
    <s v="Sewa Tahunan"/>
    <s v="Interkoneksi"/>
    <s v="ICON-00/SBC/1806/0021"/>
    <m/>
    <m/>
    <m/>
    <m/>
    <s v="-"/>
    <n v="60000000"/>
    <m/>
    <s v="-"/>
    <n v="30000000"/>
    <m/>
    <d v="2022-02-22T00:00:00"/>
    <d v="2023-02-21T00:00:00"/>
    <x v="0"/>
    <m/>
    <m/>
    <m/>
    <m/>
    <m/>
    <m/>
    <m/>
    <n v="4500017678"/>
    <m/>
    <m/>
    <m/>
    <m/>
    <m/>
    <m/>
    <m/>
    <m/>
    <m/>
    <m/>
    <m/>
    <m/>
    <m/>
  </r>
  <r>
    <n v="555"/>
    <s v="Agung Sedayu Propertindo / Badan Pengelola Harco Mangga Dua"/>
    <s v="PT Platinum Ceramics "/>
    <s v="Jl. Mangga Dua Raya Jakarta Pusat 10730"/>
    <x v="0"/>
    <m/>
    <m/>
    <s v="Sewa Tahunan"/>
    <s v="Colocation"/>
    <s v="AL/2001/2467"/>
    <m/>
    <m/>
    <m/>
    <m/>
    <s v="-"/>
    <n v="42000000"/>
    <m/>
    <s v="-"/>
    <n v="20000000"/>
    <m/>
    <d v="2022-05-30T00:00:00"/>
    <d v="2023-05-29T00:00:00"/>
    <x v="0"/>
    <m/>
    <m/>
    <m/>
    <m/>
    <m/>
    <m/>
    <m/>
    <n v="4500017647"/>
    <m/>
    <m/>
    <m/>
    <m/>
    <m/>
    <m/>
    <m/>
    <m/>
    <m/>
    <m/>
    <m/>
    <m/>
    <m/>
  </r>
  <r>
    <n v="556"/>
    <s v="IDC (Internetindo Data Centra Indonesia) "/>
    <s v="IDC"/>
    <s v="Jl. Kuningan Barat No.8 Cyber Building 7, Jakarta Selatan 12710"/>
    <x v="0"/>
    <m/>
    <m/>
    <s v="Sewa Tahunan"/>
    <s v="Colocation"/>
    <s v="PA/ACT/1804/0236/ORI"/>
    <m/>
    <m/>
    <m/>
    <m/>
    <s v="-"/>
    <n v="494400000"/>
    <m/>
    <s v="-"/>
    <n v="168000000"/>
    <m/>
    <d v="2022-01-04T00:00:00"/>
    <d v="2023-01-03T00:00:00"/>
    <x v="0"/>
    <m/>
    <m/>
    <m/>
    <m/>
    <m/>
    <m/>
    <m/>
    <n v="4500017631"/>
    <m/>
    <m/>
    <m/>
    <m/>
    <m/>
    <m/>
    <m/>
    <m/>
    <m/>
    <m/>
    <m/>
    <m/>
    <m/>
  </r>
  <r>
    <n v="557"/>
    <s v="Aplikanusa Lintasarta"/>
    <s v="PT Prima Vista Solusi"/>
    <s v="Jl.M. H. Thamrin Kav 3 Jakarta Pusat 10250"/>
    <x v="0"/>
    <m/>
    <m/>
    <s v="Sewa Tahunan"/>
    <s v="Cross Connect"/>
    <s v="AL/1906/14578, PA/ACT/1904/2085"/>
    <m/>
    <m/>
    <m/>
    <m/>
    <s v="-"/>
    <n v="36000000"/>
    <m/>
    <s v="-"/>
    <n v="15000000"/>
    <m/>
    <d v="2022-05-10T00:00:00"/>
    <d v="2023-05-09T00:00:00"/>
    <x v="0"/>
    <m/>
    <m/>
    <m/>
    <m/>
    <m/>
    <m/>
    <m/>
    <n v="4500017675"/>
    <m/>
    <m/>
    <m/>
    <m/>
    <m/>
    <m/>
    <m/>
    <m/>
    <m/>
    <m/>
    <m/>
    <m/>
    <m/>
  </r>
  <r>
    <n v="558"/>
    <s v="Infrastruktur Bisnis Sejahtera"/>
    <s v="PT Jaya Wira Jerindo"/>
    <s v="Jl. Riau 23 Jakarta Pusat 10350"/>
    <x v="0"/>
    <m/>
    <m/>
    <s v="Sewa Tahunan"/>
    <s v="Interkoneksi"/>
    <s v="PA/ACT/2002/0731/TER"/>
    <m/>
    <m/>
    <m/>
    <m/>
    <s v="-"/>
    <n v="36000000"/>
    <m/>
    <s v="-"/>
    <n v="6600000"/>
    <m/>
    <d v="2022-02-12T00:00:00"/>
    <d v="2023-02-11T00:00:00"/>
    <x v="0"/>
    <m/>
    <m/>
    <m/>
    <m/>
    <m/>
    <m/>
    <s v="18080/SPP/008/PUSAT/ICON+/2022"/>
    <n v="4500017728"/>
    <m/>
    <m/>
    <m/>
    <m/>
    <m/>
    <m/>
    <m/>
    <m/>
    <m/>
    <m/>
    <m/>
    <m/>
    <m/>
  </r>
  <r>
    <n v="559"/>
    <s v="XL Axiata"/>
    <s v="Komisi Pemberantasan Korupsi"/>
    <s v="Jl. Mega Kuningan Lot. E4-7 1 Kuningan Timur, Setiabudi 00000"/>
    <x v="0"/>
    <m/>
    <m/>
    <s v="Sewa Tahunan"/>
    <s v="Interkoneksi"/>
    <s v="PA/ACT/2012/0459"/>
    <m/>
    <m/>
    <m/>
    <m/>
    <s v="-"/>
    <n v="105168000"/>
    <m/>
    <s v="-"/>
    <n v="70200000"/>
    <m/>
    <d v="2022-01-28T00:00:00"/>
    <d v="2023-01-27T00:00:00"/>
    <x v="0"/>
    <m/>
    <m/>
    <m/>
    <m/>
    <m/>
    <m/>
    <m/>
    <n v="4500017657"/>
    <m/>
    <m/>
    <m/>
    <m/>
    <m/>
    <m/>
    <m/>
    <m/>
    <m/>
    <m/>
    <m/>
    <m/>
    <m/>
  </r>
  <r>
    <n v="560"/>
    <s v="Caturmas Kelola Sukses "/>
    <s v="PT Krisbow Indonesia"/>
    <s v="Gedung Kenari Mas Lt 6 No.101 Jakarta Pusat 10440"/>
    <x v="0"/>
    <m/>
    <m/>
    <s v="Sewa Tahunan"/>
    <s v="Interkoneksi"/>
    <s v="PA/ACT/1811/3227"/>
    <m/>
    <m/>
    <m/>
    <m/>
    <s v="-"/>
    <n v="36000000"/>
    <m/>
    <s v="-"/>
    <n v="19250000"/>
    <m/>
    <d v="2022-04-01T00:00:00"/>
    <d v="2023-03-31T00:00:00"/>
    <x v="0"/>
    <m/>
    <m/>
    <m/>
    <m/>
    <m/>
    <m/>
    <s v="18177/SPP/008/SPP/ICON+2022"/>
    <n v="4500017780"/>
    <m/>
    <m/>
    <m/>
    <m/>
    <m/>
    <m/>
    <m/>
    <m/>
    <m/>
    <m/>
    <m/>
    <m/>
    <m/>
  </r>
  <r>
    <n v="561"/>
    <s v="Infrastruktur Cakrawala Telekomunikasi"/>
    <s v="PT Hipernet Indodata"/>
    <s v="WTP Building Jl Jababeka IV Blok B No. 12 Jbbk Industria Esta Cikarang"/>
    <x v="0"/>
    <m/>
    <m/>
    <s v="Sewa Tahunan"/>
    <s v="Cross Connect"/>
    <s v="PA/ACT/2203/2604/TER"/>
    <m/>
    <m/>
    <m/>
    <m/>
    <n v="3000000"/>
    <n v="29880000"/>
    <m/>
    <s v="-"/>
    <n v="15399936"/>
    <m/>
    <d v="2022-03-30T00:00:00"/>
    <d v="2023-03-29T00:00:00"/>
    <x v="0"/>
    <m/>
    <m/>
    <m/>
    <m/>
    <m/>
    <m/>
    <s v="18316/SPP/008/PUSAT/ICON+/2022"/>
    <n v="4500017836"/>
    <m/>
    <m/>
    <m/>
    <m/>
    <m/>
    <m/>
    <m/>
    <m/>
    <m/>
    <m/>
    <m/>
    <m/>
    <m/>
  </r>
  <r>
    <n v="562"/>
    <s v="Infrastruktur Cakrawala Telekomunikasi"/>
    <s v="PT Hipernet Indodata (Kel. Jayamukti)"/>
    <s v="WTP Building Jl Jababeka IV Blok B No. 12 Jbbk Industria Esta Cikarang"/>
    <x v="0"/>
    <m/>
    <m/>
    <s v="Sewa Tahunan"/>
    <s v="Cross Connect"/>
    <s v="PA/ACT/2203/2605/TER"/>
    <m/>
    <m/>
    <m/>
    <m/>
    <n v="3000000"/>
    <n v="29880000"/>
    <m/>
    <s v="-"/>
    <n v="15399936"/>
    <m/>
    <d v="2022-03-30T00:00:00"/>
    <d v="2023-03-29T00:00:00"/>
    <x v="0"/>
    <m/>
    <m/>
    <m/>
    <m/>
    <m/>
    <m/>
    <s v="18318/SPP/008/PUSAT/ICON+/2022"/>
    <n v="4500017834"/>
    <m/>
    <m/>
    <m/>
    <m/>
    <m/>
    <m/>
    <m/>
    <m/>
    <m/>
    <m/>
    <m/>
    <m/>
    <m/>
  </r>
  <r>
    <n v="563"/>
    <s v="Dinamika Raya Prima"/>
    <s v="Adi Inti Mandiri Solusi"/>
    <s v="Jl. Jend Sudirman Kav 10-11 Jakarta Pusat 00000"/>
    <x v="0"/>
    <m/>
    <m/>
    <s v="Sewa Tahunan"/>
    <s v="Cross Connect"/>
    <s v="PA/ACT/2203/1103/TER"/>
    <m/>
    <m/>
    <m/>
    <m/>
    <n v="5000000"/>
    <n v="276000000"/>
    <m/>
    <n v="6000000"/>
    <n v="24000000"/>
    <m/>
    <d v="2022-03-23T00:00:00"/>
    <d v="2023-03-22T00:00:00"/>
    <x v="0"/>
    <m/>
    <m/>
    <m/>
    <m/>
    <m/>
    <m/>
    <s v="18301/SPP/008/PUSAT/ICON+/2022"/>
    <n v="4500017808"/>
    <m/>
    <m/>
    <m/>
    <m/>
    <m/>
    <m/>
    <m/>
    <m/>
    <m/>
    <m/>
    <m/>
    <m/>
    <m/>
  </r>
  <r>
    <n v="564"/>
    <s v="Bit Teknologi Nusantara "/>
    <s v="PT Astra International "/>
    <s v="Jl. Tentara Pelajar Jakarta 12210"/>
    <x v="0"/>
    <m/>
    <m/>
    <s v="Sewa Tahunan"/>
    <s v="Interkoneksi"/>
    <s v="PA/ACT/2202/0907/TER"/>
    <m/>
    <m/>
    <m/>
    <m/>
    <n v="6000000"/>
    <n v="61500000"/>
    <m/>
    <n v="3000000"/>
    <n v="47000000"/>
    <m/>
    <d v="2022-03-08T00:00:00"/>
    <d v="2023-03-07T00:00:00"/>
    <x v="0"/>
    <m/>
    <m/>
    <m/>
    <m/>
    <m/>
    <m/>
    <s v="18019/SPP/008/PUSAT/ICON+/2022"/>
    <n v="4500017663"/>
    <m/>
    <m/>
    <m/>
    <m/>
    <m/>
    <m/>
    <m/>
    <m/>
    <m/>
    <m/>
    <m/>
    <m/>
    <m/>
  </r>
  <r>
    <n v="565"/>
    <s v="CBN Nusantara"/>
    <s v="PT Adaro Logistics "/>
    <s v="Jl. H. R. Rasuna Said Blok X5 13 Jakarta 00000"/>
    <x v="0"/>
    <m/>
    <m/>
    <s v="Sewa Tahunan"/>
    <s v="Cross Connect"/>
    <s v="PA/ACT/2201/3835"/>
    <m/>
    <m/>
    <m/>
    <m/>
    <n v="5000000"/>
    <n v="42000000"/>
    <m/>
    <s v="-"/>
    <n v="12000000"/>
    <m/>
    <d v="2022-02-16T00:00:00"/>
    <d v="2023-02-15T00:00:00"/>
    <x v="0"/>
    <m/>
    <m/>
    <m/>
    <m/>
    <m/>
    <m/>
    <s v="18158/SPP/008/PUSAT/ICON+/2022"/>
    <n v="4500017588"/>
    <m/>
    <m/>
    <m/>
    <m/>
    <m/>
    <m/>
    <m/>
    <m/>
    <m/>
    <m/>
    <m/>
    <m/>
    <m/>
  </r>
  <r>
    <n v="566"/>
    <s v="Infrastruktur Cakrawala Telekomunikasi"/>
    <s v="PT Mega Auto Finance"/>
    <s v="WTP Building Jl Jababeka IV Blok B No. 12 Jbbk Industria Esta Cikarang"/>
    <x v="0"/>
    <m/>
    <m/>
    <s v="Sewa Tahunan"/>
    <s v="Cross Connect"/>
    <s v="PA/ACT/2203/0309/TER"/>
    <m/>
    <m/>
    <m/>
    <m/>
    <s v="-"/>
    <n v="38400000"/>
    <m/>
    <s v="-"/>
    <n v="11359668"/>
    <m/>
    <d v="2022-04-01T00:00:00"/>
    <d v="2023-03-31T00:00:00"/>
    <x v="0"/>
    <m/>
    <m/>
    <m/>
    <m/>
    <m/>
    <m/>
    <s v="18273/SPP/008/PUSAT/ICON+/2022"/>
    <n v="4500017820"/>
    <m/>
    <m/>
    <m/>
    <m/>
    <m/>
    <m/>
    <m/>
    <m/>
    <m/>
    <m/>
    <m/>
    <m/>
    <m/>
  </r>
  <r>
    <n v="567"/>
    <s v="Media Nusantara Data Global "/>
    <s v="PT Aliansi Teknologi Indonesia"/>
    <s v="Jl. Kuningan Barat 8 Jakarta 12710"/>
    <x v="0"/>
    <m/>
    <m/>
    <s v="Sewa Tahunan"/>
    <s v="Cross Connect"/>
    <s v="PA/ACT/2209/5345"/>
    <m/>
    <m/>
    <m/>
    <m/>
    <n v="2300000"/>
    <n v="294000000"/>
    <m/>
    <n v="1500000"/>
    <n v="18000000"/>
    <m/>
    <d v="2022-11-29T00:00:00"/>
    <d v="2023-11-28T00:00:00"/>
    <x v="0"/>
    <m/>
    <m/>
    <m/>
    <m/>
    <m/>
    <m/>
    <s v="20638/SPP/008/PUSAT/ICON+/2022"/>
    <n v="4500019491"/>
    <m/>
    <m/>
    <m/>
    <m/>
    <m/>
    <m/>
    <m/>
    <m/>
    <m/>
    <m/>
    <m/>
    <m/>
    <m/>
  </r>
  <r>
    <n v="568"/>
    <s v="Sigma Cipta Caraka"/>
    <s v="Badan Pengelola Pendapatan Daerah Provinsi Jawa Tengah"/>
    <s v="Jl. Kapt. Subijanto DJ Tangerang 15321"/>
    <x v="0"/>
    <m/>
    <m/>
    <s v="Sewa Tahunan"/>
    <s v="Cross Connect"/>
    <s v="PA/ACT/2112/2385"/>
    <m/>
    <m/>
    <m/>
    <m/>
    <n v="5000000"/>
    <n v="14832000"/>
    <m/>
    <s v="-"/>
    <n v="15000000"/>
    <m/>
    <d v="2022-01-10T00:00:00"/>
    <d v="2023-01-09T00:00:00"/>
    <x v="0"/>
    <m/>
    <m/>
    <m/>
    <m/>
    <m/>
    <m/>
    <s v="18264/SPP/008/PUSAT/ICON+/2022"/>
    <n v="4500018966"/>
    <m/>
    <m/>
    <m/>
    <m/>
    <m/>
    <m/>
    <m/>
    <m/>
    <m/>
    <m/>
    <m/>
    <m/>
    <m/>
  </r>
  <r>
    <n v="569"/>
    <s v="Sigma Cipta Caraka"/>
    <s v="PT Tokopedia "/>
    <s v="Jl. Kapt. Subijanto DJ Tangerang 15321"/>
    <x v="0"/>
    <m/>
    <m/>
    <s v="Sewa Tahunan"/>
    <s v="Cross Connect"/>
    <s v="PA/ACT/2203/0817"/>
    <m/>
    <m/>
    <m/>
    <m/>
    <n v="3000000"/>
    <n v="72000000"/>
    <m/>
    <n v="3000000"/>
    <n v="6000000"/>
    <m/>
    <d v="2022-04-05T00:00:00"/>
    <d v="2023-04-04T00:00:00"/>
    <x v="0"/>
    <m/>
    <m/>
    <m/>
    <m/>
    <m/>
    <m/>
    <s v="18218/SPP/008/PUSAT/ICON+/2022"/>
    <n v="4500017772"/>
    <m/>
    <m/>
    <m/>
    <m/>
    <m/>
    <m/>
    <m/>
    <m/>
    <m/>
    <m/>
    <m/>
    <m/>
    <m/>
  </r>
  <r>
    <n v="570"/>
    <s v="Aston Inti Makmur"/>
    <s v="PT Nugraha Indah Citarasa Indonesia "/>
    <s v="Jl. HR Rasuna Said BLK X-2 Jakarta Selatan 00000"/>
    <x v="0"/>
    <m/>
    <m/>
    <s v="Sewa Tahunan"/>
    <s v="Colocation"/>
    <s v="PA/RLK/1902/0057"/>
    <m/>
    <m/>
    <m/>
    <m/>
    <s v="-"/>
    <n v="60000000"/>
    <m/>
    <s v="-"/>
    <n v="25000000"/>
    <m/>
    <d v="2022-03-01T00:00:00"/>
    <d v="2023-02-28T00:00:00"/>
    <x v="0"/>
    <m/>
    <m/>
    <m/>
    <m/>
    <m/>
    <m/>
    <m/>
    <n v="4500017617"/>
    <m/>
    <m/>
    <m/>
    <m/>
    <m/>
    <m/>
    <m/>
    <m/>
    <m/>
    <m/>
    <m/>
    <m/>
    <m/>
  </r>
  <r>
    <n v="571"/>
    <s v="DCI Indonesia"/>
    <s v="PT Lintas Arta qq Arta Jasa "/>
    <s v="Jl. Jend Sudirman Kav 52-53"/>
    <x v="0"/>
    <m/>
    <m/>
    <s v="Sewa Tahunan"/>
    <s v="Cross Connect"/>
    <s v="AL/2007/35005"/>
    <m/>
    <m/>
    <m/>
    <m/>
    <s v="-"/>
    <n v="54000000"/>
    <m/>
    <s v="-"/>
    <n v="18000000"/>
    <m/>
    <d v="2022-11-01T00:00:00"/>
    <d v="2023-12-31T00:00:00"/>
    <x v="0"/>
    <m/>
    <m/>
    <m/>
    <m/>
    <m/>
    <m/>
    <s v="17439/SPP/008/PUSAT/ICON+/2022"/>
    <n v="4500017314"/>
    <m/>
    <m/>
    <m/>
    <m/>
    <m/>
    <m/>
    <m/>
    <m/>
    <m/>
    <m/>
    <m/>
    <m/>
    <m/>
  </r>
  <r>
    <n v="572"/>
    <s v="Prestasi Piranti Informasi"/>
    <s v="PT Lotte Chemical Titan Nusantara"/>
    <s v="Gd. Menara Kadin Lt. 11"/>
    <x v="0"/>
    <m/>
    <m/>
    <s v="Sewa Tahunan"/>
    <s v="Interkoneksi"/>
    <s v="AL/2107/53240"/>
    <m/>
    <m/>
    <m/>
    <m/>
    <s v="-"/>
    <n v="120000000"/>
    <m/>
    <s v="-"/>
    <n v="66000000"/>
    <m/>
    <d v="2022-04-13T00:00:00"/>
    <d v="2023-04-12T00:00:00"/>
    <x v="0"/>
    <m/>
    <m/>
    <m/>
    <m/>
    <m/>
    <m/>
    <s v="18341/SPP/008/PUSAT/ICON+/2022"/>
    <n v="4500017846"/>
    <m/>
    <m/>
    <m/>
    <m/>
    <m/>
    <m/>
    <m/>
    <m/>
    <m/>
    <m/>
    <m/>
    <m/>
    <m/>
  </r>
  <r>
    <n v="573"/>
    <s v="Infrastruktur Cakrawala Telekomunikasi"/>
    <s v="PT Media Lintasarta"/>
    <s v="WTP Building Jl Jababeka IV Blok B No. 12 Jbbk Industria Esta Cikarang"/>
    <x v="0"/>
    <m/>
    <m/>
    <s v="Sewa Tahunan"/>
    <s v="Cross Connect"/>
    <s v="PA/ACT/2203/3379/TER"/>
    <m/>
    <m/>
    <m/>
    <m/>
    <n v="4000000"/>
    <n v="33000000"/>
    <m/>
    <s v="-"/>
    <n v="10028172"/>
    <m/>
    <d v="2022-06-16T00:00:00"/>
    <d v="2023-06-15T00:00:00"/>
    <x v="0"/>
    <m/>
    <m/>
    <m/>
    <m/>
    <m/>
    <m/>
    <s v="18418/SPP/008/PUSAT/ICON+/2022"/>
    <n v="4500017900"/>
    <m/>
    <m/>
    <m/>
    <m/>
    <m/>
    <m/>
    <m/>
    <m/>
    <m/>
    <m/>
    <m/>
    <m/>
    <m/>
  </r>
  <r>
    <n v="574"/>
    <s v="Bit Teknologi Nusantara "/>
    <s v="Astra International TBK"/>
    <s v="Jl. Tentara Pelajar Jakarta 12210"/>
    <x v="0"/>
    <m/>
    <m/>
    <s v="Sewa Tahunan"/>
    <s v="Interkoneksi"/>
    <s v="PA/ACT/1902/1519"/>
    <m/>
    <m/>
    <m/>
    <m/>
    <s v="-"/>
    <n v="25200000"/>
    <m/>
    <s v="-"/>
    <n v="3780000"/>
    <m/>
    <d v="2022-04-10T00:00:00"/>
    <d v="2023-04-09T00:00:00"/>
    <x v="0"/>
    <m/>
    <m/>
    <m/>
    <m/>
    <m/>
    <m/>
    <s v="18292/SPP/008/PUSAT/ICON+/2022"/>
    <n v="4500017821"/>
    <m/>
    <m/>
    <m/>
    <m/>
    <m/>
    <m/>
    <m/>
    <m/>
    <m/>
    <m/>
    <m/>
    <m/>
    <m/>
  </r>
  <r>
    <n v="575"/>
    <s v="DCI Indonesia"/>
    <s v="PT Tokopedia "/>
    <s v="Jl. Jend Sudirman Kav 52-53 Jakarta 12190"/>
    <x v="0"/>
    <m/>
    <m/>
    <s v="Sewa Tahunan"/>
    <s v="Cross Connect"/>
    <s v="PA/ACT/2203/0817"/>
    <m/>
    <m/>
    <m/>
    <m/>
    <n v="6000000"/>
    <n v="72000000"/>
    <m/>
    <n v="1500000"/>
    <n v="18000000"/>
    <m/>
    <d v="2022-04-07T00:00:00"/>
    <d v="2023-04-06T00:00:00"/>
    <x v="0"/>
    <m/>
    <m/>
    <m/>
    <m/>
    <m/>
    <m/>
    <s v="18398/SPP/008/PUSAT/ICON+/2022"/>
    <n v="4500017862"/>
    <m/>
    <m/>
    <m/>
    <m/>
    <m/>
    <m/>
    <m/>
    <m/>
    <m/>
    <m/>
    <m/>
    <m/>
    <m/>
  </r>
  <r>
    <n v="576"/>
    <s v="Infrastruktur Cakrawala Telekomunikasi"/>
    <s v="PT Hipernet Indodata"/>
    <s v="WTP Building Jl Jababeka IV Blok B No. 12 Jbbk Industria Esta Cikarang"/>
    <x v="0"/>
    <m/>
    <m/>
    <s v="Sewa Tahunan"/>
    <s v="Cross Connect"/>
    <s v="PA/ACT/2204/0476"/>
    <m/>
    <m/>
    <m/>
    <m/>
    <n v="3000000"/>
    <n v="24600000"/>
    <m/>
    <s v="-"/>
    <n v="11818764"/>
    <m/>
    <d v="2022-04-21T00:00:00"/>
    <d v="2023-04-20T00:00:00"/>
    <x v="0"/>
    <m/>
    <m/>
    <m/>
    <m/>
    <m/>
    <m/>
    <s v="18538/SPP/008/PUSAT/ICON+/2022"/>
    <n v="4500018022"/>
    <m/>
    <m/>
    <m/>
    <m/>
    <m/>
    <m/>
    <m/>
    <m/>
    <m/>
    <m/>
    <m/>
    <m/>
    <m/>
  </r>
  <r>
    <n v="577"/>
    <s v="Link Net"/>
    <s v="Bank Riau Kepri"/>
    <s v="Citra Graha Lantai 4, Suite 403"/>
    <x v="0"/>
    <m/>
    <m/>
    <s v="Sewa Tahunan"/>
    <s v="Interkoneksi"/>
    <s v="PA/UPG/2112/0336"/>
    <m/>
    <m/>
    <m/>
    <m/>
    <s v="-"/>
    <n v="204000000"/>
    <m/>
    <s v="-"/>
    <n v="72000001"/>
    <m/>
    <d v="2022-01-06T00:00:00"/>
    <d v="2023-01-05T00:00:00"/>
    <x v="0"/>
    <m/>
    <m/>
    <m/>
    <m/>
    <m/>
    <m/>
    <s v="17680/SPP/008/PUSAT/ICON+/2022"/>
    <n v="4500017683"/>
    <m/>
    <m/>
    <m/>
    <m/>
    <m/>
    <m/>
    <m/>
    <m/>
    <m/>
    <m/>
    <m/>
    <m/>
    <m/>
  </r>
  <r>
    <n v="578"/>
    <s v="PC 24 Telekomunikasi Indonesia"/>
    <s v="PT Bank Bukopin"/>
    <s v="Ruko Kebayoran Centre Blok A No. 5 Jakarta Selatan 12240"/>
    <x v="0"/>
    <m/>
    <m/>
    <s v="Sewa Tahunan"/>
    <s v="Interkoneksi"/>
    <s v="PA/RLK/2203/0007"/>
    <m/>
    <m/>
    <m/>
    <m/>
    <n v="2500000"/>
    <n v="84000000"/>
    <m/>
    <n v="4000000"/>
    <n v="14400000"/>
    <m/>
    <d v="2022-03-29T00:00:00"/>
    <d v="2023-03-28T00:00:00"/>
    <x v="0"/>
    <m/>
    <m/>
    <m/>
    <m/>
    <m/>
    <m/>
    <s v="18419/SPP/008/PUSAT/ICON+/2022"/>
    <n v="4500017906"/>
    <m/>
    <m/>
    <m/>
    <m/>
    <m/>
    <m/>
    <m/>
    <m/>
    <m/>
    <m/>
    <m/>
    <m/>
    <m/>
  </r>
  <r>
    <n v="579"/>
    <s v="Nettocyber Indonesia"/>
    <s v="PT Bantoel Prima Capital"/>
    <s v="Jl. TB Simatupang Kav 1S Jakarta 00000"/>
    <x v="0"/>
    <m/>
    <m/>
    <s v="Sewa Tahunan"/>
    <s v="Interkoneksi"/>
    <s v="PA/ACT/2203/1954/TER"/>
    <m/>
    <m/>
    <m/>
    <m/>
    <s v="-"/>
    <n v="114000000"/>
    <m/>
    <n v="3000000"/>
    <n v="66000000"/>
    <m/>
    <d v="2022-04-07T00:00:00"/>
    <d v="2023-04-06T00:00:00"/>
    <x v="0"/>
    <m/>
    <m/>
    <m/>
    <m/>
    <m/>
    <m/>
    <s v="18289/SPP/008/PUSAT/ICON+/2022"/>
    <n v="4500017818"/>
    <m/>
    <m/>
    <m/>
    <m/>
    <m/>
    <m/>
    <m/>
    <m/>
    <m/>
    <m/>
    <m/>
    <m/>
    <m/>
  </r>
  <r>
    <n v="580"/>
    <s v="Bali Towerindo Sentra Tbk"/>
    <s v="PT Caturkarda Depo Bangunan "/>
    <s v="Jl. Sunset Road Lingk abianbase 5 Bali 00000"/>
    <x v="0"/>
    <m/>
    <m/>
    <s v="Sewa Tahunan"/>
    <s v="Cross Connect"/>
    <s v="PA/RLK/2101/0116/TER"/>
    <m/>
    <m/>
    <m/>
    <m/>
    <s v="-"/>
    <n v="120000000"/>
    <m/>
    <s v="-"/>
    <n v="78000000"/>
    <m/>
    <d v="2022-03-05T00:00:00"/>
    <d v="2023-03-04T00:00:00"/>
    <x v="0"/>
    <m/>
    <m/>
    <m/>
    <m/>
    <m/>
    <m/>
    <s v="18161/SPP/008/PUSAT/ICON+/2022"/>
    <n v="4500017802"/>
    <m/>
    <m/>
    <m/>
    <m/>
    <m/>
    <m/>
    <m/>
    <m/>
    <m/>
    <m/>
    <m/>
    <m/>
    <m/>
  </r>
  <r>
    <n v="581"/>
    <s v="Sigma Cipta Caraka"/>
    <s v="Bank BTPN Syariah dan Bukopin "/>
    <s v="Jl. Kapt. Subijanto DJ Tangerang 15321"/>
    <x v="0"/>
    <m/>
    <m/>
    <s v="Sewa Tahunan"/>
    <s v="Cross Connect"/>
    <s v="CON-00/ACT/1511/0021, PA/ACT/1902/0567"/>
    <m/>
    <m/>
    <m/>
    <m/>
    <s v="-"/>
    <n v="439800000"/>
    <m/>
    <s v="-"/>
    <n v="174000000"/>
    <m/>
    <d v="2022-04-15T00:00:00"/>
    <d v="2023-04-14T00:00:00"/>
    <x v="0"/>
    <m/>
    <m/>
    <m/>
    <m/>
    <m/>
    <m/>
    <s v="18320/SPP/008/PUSAT/ICON+/2022"/>
    <n v="4500017853"/>
    <m/>
    <m/>
    <m/>
    <m/>
    <m/>
    <m/>
    <m/>
    <m/>
    <m/>
    <m/>
    <m/>
    <m/>
    <m/>
  </r>
  <r>
    <n v="582"/>
    <s v="PT Dwi Tunggal Putra"/>
    <s v="Badan Riset dan Inovasi Nasional (BRIN)"/>
    <m/>
    <x v="0"/>
    <m/>
    <m/>
    <s v="Sewa Tahunan"/>
    <s v="Interkoneksi"/>
    <s v="PA/ACT/2112/1723, PA/ACT/2112/2341"/>
    <m/>
    <m/>
    <m/>
    <m/>
    <s v="-"/>
    <n v="95727272"/>
    <m/>
    <s v="-"/>
    <n v="130340000"/>
    <m/>
    <d v="2022-01-01T00:00:00"/>
    <d v="2022-01-31T00:00:00"/>
    <x v="0"/>
    <m/>
    <m/>
    <m/>
    <m/>
    <m/>
    <m/>
    <s v="17585/SPP/008/PUSAT/ICON+/2022"/>
    <n v="4500017423"/>
    <m/>
    <m/>
    <m/>
    <m/>
    <m/>
    <m/>
    <m/>
    <m/>
    <m/>
    <m/>
    <m/>
    <m/>
    <m/>
  </r>
  <r>
    <n v="583"/>
    <s v="Nusa Kirana Real Estate"/>
    <s v="DCI Indonesia"/>
    <s v="Jl. Yos Sudarso 88 Tj. Priok, Jakarta Utara 14350"/>
    <x v="0"/>
    <m/>
    <m/>
    <s v="Sewa Tahunan"/>
    <s v="Colocation"/>
    <s v="PA/ACT/1801/1090"/>
    <m/>
    <m/>
    <m/>
    <m/>
    <s v="-"/>
    <n v="2476356000"/>
    <m/>
    <s v="-"/>
    <n v="156000000"/>
    <m/>
    <d v="2022-09-07T00:00:00"/>
    <d v="2023-09-06T00:00:00"/>
    <x v="0"/>
    <m/>
    <m/>
    <m/>
    <m/>
    <m/>
    <m/>
    <s v="19758/SPP/008/PUSAT/ICON+/2022"/>
    <n v="4500018824"/>
    <m/>
    <m/>
    <m/>
    <m/>
    <m/>
    <m/>
    <m/>
    <m/>
    <m/>
    <m/>
    <m/>
    <m/>
    <m/>
  </r>
  <r>
    <n v="584"/>
    <s v="DCI Indonesia"/>
    <s v="PT Magna Karsa Mulya"/>
    <s v="Jl. Jend Sudirman Kav 52-53 Jakarta 12190"/>
    <x v="0"/>
    <m/>
    <m/>
    <s v="Sewa Tahunan"/>
    <s v="Colocation"/>
    <s v="ICON-00/ACT/1609/0670, ICON-00/ACT/1609/0671"/>
    <m/>
    <m/>
    <m/>
    <m/>
    <s v="-"/>
    <n v="120000000"/>
    <m/>
    <s v="-"/>
    <n v="18000000"/>
    <m/>
    <d v="2022-10-20T00:00:00"/>
    <d v="2023-10-19T00:00:00"/>
    <x v="0"/>
    <m/>
    <m/>
    <m/>
    <m/>
    <m/>
    <m/>
    <s v="19624/SPP/008/PUSAT/ICON+/2022"/>
    <n v="4500018866"/>
    <m/>
    <m/>
    <m/>
    <m/>
    <m/>
    <m/>
    <m/>
    <m/>
    <m/>
    <m/>
    <m/>
    <m/>
    <m/>
  </r>
  <r>
    <n v="585"/>
    <s v="DCI Indonesia"/>
    <s v="PT Tokopedia "/>
    <s v="Jl. Jend Sudirman Kav 52-53 Jakarta 12190"/>
    <x v="0"/>
    <m/>
    <m/>
    <s v="Sewa Tahunan"/>
    <s v="Cross Connect"/>
    <s v="PA/ACT/1910/0328"/>
    <m/>
    <m/>
    <m/>
    <m/>
    <s v="-"/>
    <n v="60000000"/>
    <m/>
    <s v="-"/>
    <n v="18000000"/>
    <m/>
    <d v="2022-10-24T00:00:00"/>
    <d v="2023-10-23T00:00:00"/>
    <x v="0"/>
    <m/>
    <m/>
    <m/>
    <m/>
    <m/>
    <m/>
    <m/>
    <n v="4500018867"/>
    <m/>
    <m/>
    <m/>
    <m/>
    <m/>
    <m/>
    <m/>
    <m/>
    <m/>
    <m/>
    <m/>
    <m/>
    <m/>
  </r>
  <r>
    <n v="586"/>
    <s v="PT Power Telecom"/>
    <s v="PT Artha Asia Finance"/>
    <s v="Jl. Tomang Raya No. 43 Jakarta Barat 11440"/>
    <x v="0"/>
    <m/>
    <m/>
    <s v="Sewa Tahunan"/>
    <s v="Interkoneksi"/>
    <s v="PA/ACT/1807/0999"/>
    <m/>
    <m/>
    <m/>
    <m/>
    <s v="-"/>
    <n v="186000000"/>
    <m/>
    <s v="-"/>
    <n v="66000000"/>
    <m/>
    <d v="2022-11-01T00:00:00"/>
    <d v="2023-10-31T00:00:00"/>
    <x v="0"/>
    <m/>
    <m/>
    <m/>
    <m/>
    <m/>
    <m/>
    <s v="19926/SPP/008/PUSAT/ICON+/2022"/>
    <n v="4500018896"/>
    <m/>
    <m/>
    <m/>
    <m/>
    <m/>
    <m/>
    <m/>
    <m/>
    <m/>
    <m/>
    <m/>
    <m/>
    <m/>
  </r>
  <r>
    <n v="587"/>
    <s v="Link Net"/>
    <s v="PT Inoac Polytechhno Indonesia"/>
    <s v="Citra Graha Lantai 4, Suite 403"/>
    <x v="0"/>
    <m/>
    <m/>
    <s v="Sewa Tahunan"/>
    <s v="Interkoneksi"/>
    <s v="AL/2112/140373"/>
    <m/>
    <m/>
    <m/>
    <m/>
    <s v="-"/>
    <n v="84000000"/>
    <m/>
    <s v="-"/>
    <n v="36000000"/>
    <m/>
    <d v="2022-12-01T00:00:00"/>
    <d v="2023-11-30T00:00:00"/>
    <x v="0"/>
    <m/>
    <m/>
    <m/>
    <m/>
    <m/>
    <m/>
    <s v="19940/SPP/008/PUSAT/ICON+/2022"/>
    <n v="4500018893"/>
    <m/>
    <m/>
    <m/>
    <m/>
    <m/>
    <m/>
    <m/>
    <m/>
    <m/>
    <m/>
    <m/>
    <m/>
    <m/>
  </r>
  <r>
    <n v="588"/>
    <s v="Indointernet"/>
    <s v="PT Fumira"/>
    <s v="Jl. Rempoa Raya 11 Ciputat 00000"/>
    <x v="0"/>
    <m/>
    <m/>
    <s v="Sewa Tahunan"/>
    <s v="Interkoneksi"/>
    <s v="PA/ACT/1908/4529"/>
    <m/>
    <m/>
    <m/>
    <m/>
    <s v="-"/>
    <n v="162000000"/>
    <m/>
    <s v="-"/>
    <n v="102000000"/>
    <m/>
    <d v="2022-10-16T00:00:00"/>
    <d v="2023-10-15T00:00:00"/>
    <x v="0"/>
    <m/>
    <m/>
    <m/>
    <m/>
    <m/>
    <m/>
    <s v="19850/SPP/008/PUSAT/ICON+/2022"/>
    <n v="4500018886"/>
    <m/>
    <m/>
    <m/>
    <m/>
    <m/>
    <m/>
    <m/>
    <m/>
    <m/>
    <m/>
    <m/>
    <m/>
    <m/>
  </r>
  <r>
    <n v="589"/>
    <s v="DCI Indonesia"/>
    <s v="PT Aplikanusa Lintasarta"/>
    <s v="Jl. Jend Sudirman Kav 52-53 Jakarta 12190"/>
    <x v="0"/>
    <m/>
    <m/>
    <s v="Sewa Tahunan"/>
    <s v="Cross Connect"/>
    <s v="PA/ACT/2209/0277/TER"/>
    <m/>
    <m/>
    <m/>
    <m/>
    <n v="5000000"/>
    <n v="659700000"/>
    <m/>
    <n v="1500000"/>
    <n v="18000000"/>
    <m/>
    <d v="2022-09-20T00:00:00"/>
    <d v="2023-09-19T00:00:00"/>
    <x v="0"/>
    <m/>
    <m/>
    <m/>
    <m/>
    <m/>
    <m/>
    <s v="19912/SPP/008/PUSAT/ICON+/2022"/>
    <n v="4500018909"/>
    <m/>
    <m/>
    <m/>
    <m/>
    <m/>
    <m/>
    <m/>
    <m/>
    <m/>
    <m/>
    <m/>
    <m/>
    <m/>
  </r>
  <r>
    <n v="590"/>
    <s v="Kelola Graha Vinilon"/>
    <s v="BCA"/>
    <s v="Jl. Raden Saleh No 13-17 Jakarta Pusat 10430"/>
    <x v="0"/>
    <m/>
    <m/>
    <s v="Sewa Tahunan"/>
    <s v="Colocation"/>
    <s v="ICON-00/SBC/1801/0265"/>
    <m/>
    <m/>
    <m/>
    <m/>
    <s v="-"/>
    <n v="60000000"/>
    <m/>
    <s v="-"/>
    <n v="8250000"/>
    <m/>
    <d v="2022-12-01T00:00:00"/>
    <d v="2023-11-30T00:00:00"/>
    <x v="0"/>
    <m/>
    <m/>
    <m/>
    <m/>
    <m/>
    <m/>
    <s v="20462/SPP/008/PUSAT/ICON+/2022"/>
    <n v="4500019427"/>
    <m/>
    <m/>
    <m/>
    <m/>
    <m/>
    <m/>
    <m/>
    <m/>
    <m/>
    <m/>
    <m/>
    <m/>
    <m/>
  </r>
  <r>
    <n v="591"/>
    <s v="Media Nusantara Data Global "/>
    <s v="PT Cyberindo Aditama"/>
    <s v="Jl. Kuningan Barat No. 8 Cyber Building 1st&amp;2nd Jakarta Selatan 12710"/>
    <x v="0"/>
    <m/>
    <m/>
    <s v="Sewa Tahunan"/>
    <s v="Colocation"/>
    <s v="PA/ACT/2107/0206"/>
    <m/>
    <m/>
    <m/>
    <m/>
    <s v="-"/>
    <n v="2160000000"/>
    <m/>
    <s v="-"/>
    <n v="72000000"/>
    <m/>
    <d v="2022-08-03T00:00:00"/>
    <d v="2023-08-02T00:00:00"/>
    <x v="0"/>
    <m/>
    <m/>
    <m/>
    <m/>
    <m/>
    <m/>
    <s v="19755/SPP/008/PUSAT/ICON+/2022"/>
    <n v="4500018766"/>
    <m/>
    <m/>
    <m/>
    <m/>
    <m/>
    <m/>
    <m/>
    <m/>
    <m/>
    <m/>
    <m/>
    <m/>
    <m/>
  </r>
  <r>
    <n v="592"/>
    <s v="Media Nusantara Data Global "/>
    <s v="PT Cyberindo Aditama"/>
    <s v="Jl. Kuningan Barat No. 8 Cyber Building 1st&amp;2nd Jakarta Selatan 12710"/>
    <x v="0"/>
    <m/>
    <m/>
    <s v="Sewa Tahunan"/>
    <s v="Cross Connect"/>
    <s v="AL/2109/77146"/>
    <m/>
    <m/>
    <m/>
    <m/>
    <s v="-"/>
    <n v="180000000"/>
    <m/>
    <s v="-"/>
    <n v="36000000"/>
    <m/>
    <d v="2022-08-01T00:00:00"/>
    <d v="2023-07-31T00:00:00"/>
    <x v="0"/>
    <m/>
    <m/>
    <m/>
    <m/>
    <m/>
    <m/>
    <s v="19406/SPP/008/PUSAT/ICON+/2022"/>
    <n v="4500018743"/>
    <m/>
    <m/>
    <m/>
    <m/>
    <m/>
    <m/>
    <m/>
    <m/>
    <m/>
    <m/>
    <m/>
    <m/>
    <m/>
  </r>
  <r>
    <n v="593"/>
    <s v="Centrin Online Prima"/>
    <s v="PT GH EMM Indonesia "/>
    <s v="Plaza Sentral Lt. 21 Jend Sudirman Kav 47 Jakarta 12930"/>
    <x v="0"/>
    <m/>
    <m/>
    <s v="Sewa Tahunan"/>
    <s v="Interkoneksi"/>
    <s v="PA/UPG/2001/0203"/>
    <m/>
    <m/>
    <m/>
    <m/>
    <s v="-"/>
    <n v="420000000"/>
    <m/>
    <s v="-"/>
    <n v="9000000"/>
    <m/>
    <d v="2022-07-07T00:00:00"/>
    <d v="2023-07-06T00:00:00"/>
    <x v="0"/>
    <m/>
    <m/>
    <m/>
    <m/>
    <m/>
    <m/>
    <s v="19379/SPP/008/PUSAT/ICON+/2022"/>
    <n v="4500018640"/>
    <m/>
    <m/>
    <m/>
    <m/>
    <m/>
    <m/>
    <m/>
    <m/>
    <m/>
    <m/>
    <m/>
    <m/>
    <m/>
  </r>
  <r>
    <n v="594"/>
    <s v="Mekar Prana Indah"/>
    <s v="PT Pembangkitan Jawa Bali "/>
    <s v="Jl. Jend Gatot Subroto Kav. 71-73 Jakarta 12870"/>
    <x v="0"/>
    <m/>
    <m/>
    <s v="Sewa Tahunan"/>
    <s v="Colocation"/>
    <s v="PA/ACT/2009/0916"/>
    <m/>
    <m/>
    <m/>
    <m/>
    <s v="-"/>
    <n v="190096200"/>
    <m/>
    <s v="-"/>
    <n v="55000000"/>
    <m/>
    <d v="2022-08-27T00:00:00"/>
    <d v="2023-08-26T00:00:00"/>
    <x v="0"/>
    <m/>
    <m/>
    <m/>
    <m/>
    <m/>
    <m/>
    <s v="19354/SPP/008/PUSAT/ICON+/2022"/>
    <n v="4500018794"/>
    <m/>
    <m/>
    <m/>
    <m/>
    <m/>
    <m/>
    <m/>
    <m/>
    <m/>
    <m/>
    <m/>
    <m/>
    <m/>
  </r>
  <r>
    <n v="595"/>
    <s v="Royal Oriental"/>
    <s v="PT Smart Tbk "/>
    <s v="Sinar Mas Land Plaza Tower III, B1 Jl. MH Thamrin No. 51 Jakarta 10350"/>
    <x v="0"/>
    <m/>
    <m/>
    <s v="Sewa Tahunan"/>
    <s v="Colocation"/>
    <s v="PA/ACT/2005/0486"/>
    <m/>
    <m/>
    <m/>
    <m/>
    <s v="-"/>
    <n v="180000000"/>
    <m/>
    <s v="-"/>
    <n v="96000000"/>
    <m/>
    <d v="2022-07-30T00:00:00"/>
    <d v="2024-07-29T00:00:00"/>
    <x v="0"/>
    <m/>
    <m/>
    <m/>
    <m/>
    <m/>
    <m/>
    <s v="19215/SPP/008/PUSAT/ICON+/2022"/>
    <n v="4500018528"/>
    <m/>
    <m/>
    <m/>
    <m/>
    <m/>
    <m/>
    <m/>
    <m/>
    <m/>
    <m/>
    <m/>
    <m/>
    <m/>
  </r>
  <r>
    <n v="596"/>
    <s v="DCI Indonesia"/>
    <s v="PT Klik Indomaret Sukses"/>
    <s v="Jl. Jend Sudirman Kav 52-53 Jakarta 12190"/>
    <x v="0"/>
    <m/>
    <m/>
    <s v="Sewa Tahunan"/>
    <s v="Cross Connect"/>
    <s v="PA/ACT/2105/1239"/>
    <m/>
    <m/>
    <m/>
    <m/>
    <s v="-"/>
    <n v="39000000"/>
    <m/>
    <s v="-"/>
    <n v="18000000"/>
    <m/>
    <d v="2022-06-04T00:00:00"/>
    <d v="2023-06-03T00:00:00"/>
    <x v="0"/>
    <m/>
    <m/>
    <m/>
    <m/>
    <m/>
    <m/>
    <s v="18913/SPP/008/PUSAT/ICON+/2022"/>
    <n v="4500018326"/>
    <m/>
    <m/>
    <m/>
    <m/>
    <m/>
    <m/>
    <m/>
    <m/>
    <m/>
    <m/>
    <m/>
    <m/>
    <m/>
  </r>
  <r>
    <n v="597"/>
    <s v="Karyagraha Nusantara"/>
    <s v="PT Primacom Interbuana"/>
    <s v="Jl. Kuningan Barat 8 Jakarta 12710"/>
    <x v="0"/>
    <m/>
    <m/>
    <s v="Sewa Tahunan"/>
    <s v="Colocation"/>
    <s v="PA/ACT/1801/0637"/>
    <m/>
    <m/>
    <m/>
    <m/>
    <s v="-"/>
    <n v="30000000"/>
    <m/>
    <s v="-"/>
    <n v="7500000"/>
    <m/>
    <d v="2022-05-04T00:00:00"/>
    <d v="2023-05-03T00:00:00"/>
    <x v="0"/>
    <m/>
    <m/>
    <m/>
    <m/>
    <m/>
    <m/>
    <s v="18789/SPP/008/PUSAT/ICON+/2022"/>
    <n v="4500018381"/>
    <m/>
    <m/>
    <m/>
    <m/>
    <m/>
    <m/>
    <m/>
    <m/>
    <m/>
    <m/>
    <m/>
    <m/>
    <m/>
  </r>
  <r>
    <n v="598"/>
    <s v="Karyagraha Nusantara"/>
    <s v="PT Lintas Jaringan Nusantara"/>
    <s v="Jl. Kuningan Barat 8 Jakarta 12710"/>
    <x v="0"/>
    <m/>
    <m/>
    <s v="Sewa Tahunan"/>
    <s v="Colocation"/>
    <s v="PA/ACT/2002/2405, PA/ACT/2002/2406"/>
    <m/>
    <m/>
    <m/>
    <m/>
    <s v="-"/>
    <s v="-"/>
    <m/>
    <s v="-"/>
    <n v="7500000"/>
    <m/>
    <d v="2022-06-02T00:00:00"/>
    <d v="2023-06-01T00:00:00"/>
    <x v="0"/>
    <m/>
    <m/>
    <m/>
    <m/>
    <m/>
    <m/>
    <s v="18997/SPP/008/PUSAT/ICON+/2022"/>
    <n v="4500018368"/>
    <m/>
    <m/>
    <m/>
    <m/>
    <m/>
    <m/>
    <m/>
    <m/>
    <m/>
    <m/>
    <m/>
    <m/>
    <m/>
  </r>
  <r>
    <n v="599"/>
    <s v="Zota Indonesia"/>
    <s v="PT Land mark Conccurrent Solusi Indonesia"/>
    <s v="Tebet Raya 009 RT 009 RW 005 45d Tebet 00000"/>
    <x v="0"/>
    <m/>
    <m/>
    <s v="Sewa Tahunan"/>
    <s v="Colocation"/>
    <s v="PA/RLK/2107/0057, PA/RLK/2107,0056"/>
    <m/>
    <m/>
    <m/>
    <m/>
    <s v="-"/>
    <n v="480000000"/>
    <m/>
    <s v="-"/>
    <n v="105600000"/>
    <m/>
    <d v="2022-09-10T00:00:00"/>
    <d v="2023-09-09T00:00:00"/>
    <x v="0"/>
    <m/>
    <m/>
    <m/>
    <m/>
    <m/>
    <m/>
    <s v="19562/SPP/008/PUSAT/ICON+/2022"/>
    <n v="4500018692"/>
    <m/>
    <m/>
    <m/>
    <m/>
    <m/>
    <m/>
    <m/>
    <m/>
    <m/>
    <m/>
    <m/>
    <m/>
    <m/>
  </r>
  <r>
    <n v="600"/>
    <s v="Iforte Solusi Infotek"/>
    <s v="PT Prodia Widyahusada"/>
    <s v="Jl. MH. Thamrin 1 Jakarta Pusat 10310"/>
    <x v="0"/>
    <m/>
    <m/>
    <s v="Sewa Tahunan"/>
    <s v="Interkoneksi"/>
    <s v="PA/UPG/2201/0520"/>
    <m/>
    <m/>
    <m/>
    <m/>
    <s v="-"/>
    <n v="30000000"/>
    <m/>
    <s v="-"/>
    <n v="78000000"/>
    <m/>
    <d v="2022-11-01T00:00:00"/>
    <d v="2023-10-31T00:00:00"/>
    <x v="0"/>
    <m/>
    <m/>
    <m/>
    <m/>
    <m/>
    <m/>
    <s v="19706/SPP/008/PUSAT/ICON+/2022"/>
    <n v="4500018817"/>
    <m/>
    <m/>
    <m/>
    <m/>
    <m/>
    <m/>
    <m/>
    <m/>
    <m/>
    <m/>
    <m/>
    <m/>
    <m/>
  </r>
  <r>
    <n v="601"/>
    <s v="Cyberindo Aditama"/>
    <s v="PT Olam Indonesia"/>
    <s v="Jl. Gatot Subroto Jakarta 10270"/>
    <x v="0"/>
    <m/>
    <m/>
    <s v="Sewa Tahunan"/>
    <s v="Interkoneksi"/>
    <s v="PA/UPG/2208/0213, PA/UPG/2208/0214"/>
    <m/>
    <m/>
    <m/>
    <m/>
    <s v="-"/>
    <n v="474000000"/>
    <m/>
    <s v="-"/>
    <n v="19150000"/>
    <m/>
    <d v="2022-09-08T00:00:00"/>
    <d v="2023-09-07T00:00:00"/>
    <x v="0"/>
    <m/>
    <m/>
    <m/>
    <m/>
    <m/>
    <m/>
    <s v="19770/SPP/008/PUSAT/ICON+/2022"/>
    <n v="4500018772"/>
    <m/>
    <m/>
    <m/>
    <m/>
    <m/>
    <m/>
    <m/>
    <m/>
    <m/>
    <m/>
    <m/>
    <m/>
    <m/>
  </r>
  <r>
    <n v="602"/>
    <s v="Fastel Sarana Indonesia"/>
    <s v="PT Bank Central Asia Tbk"/>
    <s v="Gd. TCC Batavia Tower One Lt. 16 Jakarta Pusat 00000"/>
    <x v="0"/>
    <m/>
    <m/>
    <s v="Sewa Tahunan"/>
    <s v="Interkoneksi"/>
    <s v="AL/2206/83115"/>
    <m/>
    <m/>
    <m/>
    <m/>
    <s v="-"/>
    <n v="60000000"/>
    <m/>
    <s v="-"/>
    <n v="48000000"/>
    <m/>
    <d v="2022-12-10T00:00:00"/>
    <d v="2023-10-09T00:00:00"/>
    <x v="0"/>
    <m/>
    <m/>
    <m/>
    <m/>
    <m/>
    <m/>
    <s v="19678/SPP/008/PUSAT/ICON+/2022"/>
    <n v="4500018777"/>
    <m/>
    <m/>
    <m/>
    <m/>
    <m/>
    <m/>
    <m/>
    <m/>
    <m/>
    <m/>
    <m/>
    <m/>
    <m/>
  </r>
  <r>
    <n v="603"/>
    <s v="Link Net"/>
    <s v="Bank Woori Saudara"/>
    <s v="Citra Graha Lantai 4, Suite 403 Jakarta 12950"/>
    <x v="0"/>
    <m/>
    <m/>
    <s v="Sewa Tahunan"/>
    <s v="Interkoneksi"/>
    <s v="PA/UPG/1909/0258, PA/UPG/1911/0048"/>
    <m/>
    <m/>
    <m/>
    <m/>
    <s v="-"/>
    <n v="8100000"/>
    <m/>
    <s v="-"/>
    <n v="4574000"/>
    <m/>
    <d v="2022-04-14T00:00:00"/>
    <d v="2023-04-13T00:00:00"/>
    <x v="0"/>
    <m/>
    <m/>
    <m/>
    <m/>
    <m/>
    <m/>
    <s v="19712/SPP/008/PUSAT/ICON+/2022"/>
    <n v="4500018776"/>
    <m/>
    <m/>
    <m/>
    <m/>
    <m/>
    <m/>
    <m/>
    <m/>
    <m/>
    <m/>
    <m/>
    <m/>
    <m/>
  </r>
  <r>
    <n v="604"/>
    <s v="Cyberindo Aditama"/>
    <s v="PT Kaldu Sari Nabati "/>
    <s v="Jl. Gatot Subroto Jakarta 10270"/>
    <x v="0"/>
    <m/>
    <m/>
    <s v="Sewa Tahunan"/>
    <s v="Interkoneksi"/>
    <s v="PA/ACT/1803/0827"/>
    <m/>
    <m/>
    <m/>
    <m/>
    <s v="-"/>
    <n v="115200000"/>
    <m/>
    <s v="-"/>
    <n v="67992000"/>
    <m/>
    <d v="2022-07-09T00:00:00"/>
    <d v="2023-07-08T00:00:00"/>
    <x v="0"/>
    <m/>
    <m/>
    <m/>
    <m/>
    <m/>
    <m/>
    <s v="19107/SPP/008/PUSAT/ICON+/2022"/>
    <n v="4500018399"/>
    <m/>
    <m/>
    <m/>
    <m/>
    <m/>
    <m/>
    <m/>
    <m/>
    <m/>
    <m/>
    <m/>
    <m/>
    <m/>
  </r>
  <r>
    <n v="605"/>
    <s v="Link Net"/>
    <s v="PLN Rayon Cikarang"/>
    <s v="Citra Graha Lantai 4, Suite 403 Jakarta 12950"/>
    <x v="0"/>
    <m/>
    <m/>
    <s v="Sewa Tahunan"/>
    <s v="Interkoneksi"/>
    <s v="ICON-00/SBC/1712/0380"/>
    <m/>
    <m/>
    <m/>
    <m/>
    <s v="-"/>
    <n v="37207000"/>
    <m/>
    <s v="-"/>
    <n v="25200000"/>
    <m/>
    <d v="2022-07-01T00:00:00"/>
    <d v="2023-06-30T00:00:00"/>
    <x v="0"/>
    <m/>
    <m/>
    <m/>
    <m/>
    <m/>
    <m/>
    <s v="19010/SPP/008/PUSAT/ICON+/2022"/>
    <n v="4500018397"/>
    <m/>
    <m/>
    <m/>
    <m/>
    <m/>
    <m/>
    <m/>
    <m/>
    <m/>
    <m/>
    <m/>
    <m/>
    <m/>
  </r>
  <r>
    <n v="606"/>
    <s v="Dwi Tunggal Putra "/>
    <s v="PT Layanan Internet Sakti "/>
    <s v="Jl. Embong Tanjung No. 40 Surabaya 60271"/>
    <x v="0"/>
    <m/>
    <m/>
    <s v="Sewa Tahunan"/>
    <s v="Cross Connect"/>
    <s v="PA/ACT/2203/2624/ORI"/>
    <m/>
    <m/>
    <m/>
    <m/>
    <n v="2500000"/>
    <n v="48000000"/>
    <m/>
    <n v="500000"/>
    <n v="5040000"/>
    <m/>
    <d v="2022-07-27T00:00:00"/>
    <d v="2023-07-26T00:00:00"/>
    <x v="0"/>
    <m/>
    <m/>
    <m/>
    <m/>
    <m/>
    <m/>
    <s v="19206/SPP/008/PUSAT/ICON+/2022"/>
    <n v="4500018439"/>
    <m/>
    <m/>
    <m/>
    <m/>
    <m/>
    <m/>
    <m/>
    <m/>
    <m/>
    <m/>
    <m/>
    <m/>
    <m/>
  </r>
  <r>
    <n v="607"/>
    <s v="Plaza Adika Lestari"/>
    <s v="BCA"/>
    <m/>
    <x v="0"/>
    <m/>
    <m/>
    <s v="Sewa Tahunan"/>
    <s v="Colocation"/>
    <s v="AL/2120/98772"/>
    <m/>
    <m/>
    <m/>
    <m/>
    <s v="-"/>
    <n v="50400000"/>
    <m/>
    <s v="-"/>
    <n v="28429000"/>
    <m/>
    <d v="2022-03-25T00:00:00"/>
    <d v="2023-03-24T00:00:00"/>
    <x v="0"/>
    <m/>
    <m/>
    <m/>
    <m/>
    <m/>
    <m/>
    <s v="18234/SPP/008/PUSAT/ICON+/2022"/>
    <n v="4500017899"/>
    <m/>
    <m/>
    <m/>
    <m/>
    <m/>
    <m/>
    <m/>
    <m/>
    <m/>
    <m/>
    <m/>
    <m/>
    <m/>
  </r>
  <r>
    <n v="608"/>
    <s v="DCI Indonesia"/>
    <s v="Bank Mizuho"/>
    <s v="Jl. Jend Sudirman Kav 52-53 Jakarta 12190"/>
    <x v="0"/>
    <m/>
    <m/>
    <s v="Sewa Tahunan"/>
    <s v="Colocation"/>
    <s v="AR/ACT/1810/18452"/>
    <m/>
    <m/>
    <m/>
    <m/>
    <s v="-"/>
    <n v="60000000"/>
    <m/>
    <s v="-"/>
    <n v="18000000"/>
    <m/>
    <d v="2022-06-24T00:00:00"/>
    <d v="2023-06-23T00:00:00"/>
    <x v="0"/>
    <m/>
    <m/>
    <m/>
    <m/>
    <m/>
    <m/>
    <m/>
    <n v="4500018254"/>
    <m/>
    <m/>
    <m/>
    <m/>
    <m/>
    <m/>
    <m/>
    <m/>
    <m/>
    <m/>
    <m/>
    <m/>
    <m/>
  </r>
  <r>
    <n v="609"/>
    <s v="DCI Indonesia"/>
    <s v="Bank Mizuho"/>
    <s v="Jl. Jend Sudirman Kav 52-53 Jakarta 12190"/>
    <x v="0"/>
    <m/>
    <m/>
    <s v="Sewa Tahunan"/>
    <s v="Colocation"/>
    <s v="ICON-00/SBC/1611/0056"/>
    <m/>
    <m/>
    <m/>
    <m/>
    <s v="-"/>
    <n v="168000000"/>
    <m/>
    <s v="-"/>
    <n v="18000000"/>
    <m/>
    <d v="2022-06-24T00:00:00"/>
    <d v="2023-06-23T00:00:00"/>
    <x v="0"/>
    <m/>
    <m/>
    <m/>
    <m/>
    <m/>
    <m/>
    <s v="18902/SPP/008/PUSAT/ICON+/2022"/>
    <n v="4500018225"/>
    <m/>
    <m/>
    <m/>
    <m/>
    <m/>
    <m/>
    <m/>
    <m/>
    <m/>
    <m/>
    <m/>
    <m/>
    <m/>
  </r>
  <r>
    <n v="610"/>
    <s v="DCI Indonesia"/>
    <s v="PT Tokopedia "/>
    <s v="Jl. Jend Sudirman Kav 52-53 Jakarta 12190"/>
    <x v="0"/>
    <m/>
    <m/>
    <s v="Sewa Tahunan"/>
    <s v="Cross Connect"/>
    <s v="PA/ACT/1907/3933, PA/ACT/1907/3934, PA/ACT/1907/3935"/>
    <m/>
    <m/>
    <m/>
    <m/>
    <n v="19500000"/>
    <n v="180000000"/>
    <m/>
    <s v="-"/>
    <n v="54000000"/>
    <m/>
    <d v="2022-08-05T00:00:00"/>
    <d v="2023-05-04T00:00:00"/>
    <x v="0"/>
    <m/>
    <m/>
    <m/>
    <m/>
    <m/>
    <m/>
    <s v="18845/SPP/008/PUSAT/ICON+/2022"/>
    <n v="4500018256"/>
    <m/>
    <m/>
    <m/>
    <m/>
    <m/>
    <m/>
    <m/>
    <m/>
    <m/>
    <m/>
    <m/>
    <m/>
    <m/>
  </r>
  <r>
    <n v="611"/>
    <s v="IDC (Internetindo Data Centra Indonesia) "/>
    <s v="All Pelanggan "/>
    <s v="Jl. Kuningan Barat No.8 Cyber Building 7, Jakarta Selatan 12710"/>
    <x v="0"/>
    <m/>
    <m/>
    <s v="Sewa Tahunan"/>
    <s v="Cross Connect"/>
    <m/>
    <m/>
    <m/>
    <m/>
    <m/>
    <n v="208400000"/>
    <n v="2500800000"/>
    <m/>
    <s v="-"/>
    <n v="1164000000"/>
    <m/>
    <d v="2022-04-01T00:00:00"/>
    <d v="2023-03-31T00:00:00"/>
    <x v="0"/>
    <m/>
    <m/>
    <m/>
    <m/>
    <m/>
    <m/>
    <s v="18423/SPP/008/PUSAT/ICON+/2022"/>
    <n v="4500018004"/>
    <m/>
    <m/>
    <m/>
    <m/>
    <m/>
    <m/>
    <m/>
    <m/>
    <m/>
    <m/>
    <m/>
    <m/>
    <m/>
  </r>
  <r>
    <n v="612"/>
    <s v="Karyagraha Nusantara"/>
    <s v="Cyberindo Aditama "/>
    <s v="Jl. Kuningan Barat 8 Jakarta 12710"/>
    <x v="0"/>
    <m/>
    <m/>
    <s v="Sewa Tahunan"/>
    <s v="Colocation"/>
    <s v="MIG/1705/0004/ICON-00/SBC/1710/0706"/>
    <m/>
    <m/>
    <m/>
    <m/>
    <s v="-"/>
    <n v="780000000"/>
    <m/>
    <s v="-"/>
    <n v="42500000"/>
    <m/>
    <d v="2022-05-10T00:00:00"/>
    <d v="2023-05-09T00:00:00"/>
    <x v="0"/>
    <m/>
    <m/>
    <m/>
    <m/>
    <m/>
    <m/>
    <s v="18804/SPP/008/PUSAT/ICON+/2022"/>
    <n v="4500018222"/>
    <m/>
    <m/>
    <m/>
    <m/>
    <m/>
    <m/>
    <m/>
    <m/>
    <m/>
    <m/>
    <m/>
    <m/>
    <m/>
  </r>
  <r>
    <n v="613"/>
    <s v="Duta Pertiwi "/>
    <s v="Bank Mega"/>
    <s v="Gd JITC Lt 7&amp;8 Jl. Mangga Dua Jakarta Utara 14430"/>
    <x v="0"/>
    <m/>
    <m/>
    <s v="Sewa Tahunan"/>
    <s v="Colocation"/>
    <s v="PA/ACT/1808/0396"/>
    <m/>
    <m/>
    <m/>
    <m/>
    <s v="-"/>
    <n v="34800000"/>
    <m/>
    <s v="-"/>
    <n v="10625000"/>
    <m/>
    <d v="2022-04-12T00:00:00"/>
    <d v="2023-04-11T00:00:00"/>
    <x v="0"/>
    <m/>
    <m/>
    <m/>
    <m/>
    <m/>
    <m/>
    <s v="18242/SPP/008/PUSAT/ICON+/2022"/>
    <n v="4500017925"/>
    <m/>
    <m/>
    <m/>
    <m/>
    <m/>
    <m/>
    <m/>
    <m/>
    <m/>
    <m/>
    <m/>
    <m/>
    <m/>
  </r>
  <r>
    <n v="614"/>
    <s v="Agung Sedayu Propertindo / Badan Pengelola Harco Mangga Dua"/>
    <s v="Lintasarta QQ Bank Woori Saudara"/>
    <s v="Jl. Mangga Dua Raya Jakarta Pusat 10730"/>
    <x v="0"/>
    <m/>
    <m/>
    <s v="Sewa Tahunan"/>
    <s v="Colocation"/>
    <s v="PA/ACT/2112/0932/TER, AR/ACT/2112/37414/0100017880"/>
    <m/>
    <m/>
    <m/>
    <m/>
    <s v="-"/>
    <n v="74832000"/>
    <m/>
    <s v="-"/>
    <n v="20000000"/>
    <m/>
    <d v="2022-06-11T00:00:00"/>
    <d v="2023-06-10T00:00:00"/>
    <x v="0"/>
    <m/>
    <m/>
    <m/>
    <m/>
    <m/>
    <m/>
    <s v="19009/SPP/008/PUSAT/ICON+/2022"/>
    <n v="4500018283"/>
    <m/>
    <m/>
    <m/>
    <m/>
    <m/>
    <m/>
    <m/>
    <m/>
    <m/>
    <m/>
    <m/>
    <m/>
    <m/>
  </r>
  <r>
    <n v="615"/>
    <s v="Dinamika Raya Prima"/>
    <s v="PT Cyberindo Aditama qq PT Biznet Gio Nusantara CID 5200"/>
    <s v="MidPlaza 2 Lt. 8 Jl Jend. Sudirman 10-11 Jakarta 10220"/>
    <x v="0"/>
    <s v="Backhaul CBN Cyber 2"/>
    <s v="CBN - Biznet Technovillage, Jl. Riverside Golf Club No.1, Bojong Nangka, Gn. Putri, Kabupaten Bogor, Jawa Barat, Indonesia, 16965"/>
    <s v="Sewa Tahunan"/>
    <s v="Cross Connect"/>
    <s v="AL/1908/31866"/>
    <m/>
    <m/>
    <m/>
    <m/>
    <s v="-"/>
    <n v="143400000"/>
    <m/>
    <s v="-"/>
    <n v="12000000"/>
    <m/>
    <d v="2022-05-15T00:00:00"/>
    <d v="2023-05-14T00:00:00"/>
    <x v="0"/>
    <m/>
    <d v="2025-12-24T00:00:00"/>
    <m/>
    <m/>
    <m/>
    <m/>
    <m/>
    <s v="18807/SPP/008/PUSAT/ICON+/2022"/>
    <s v="Livia Indraswati"/>
    <s v="Farrah C. Cardifana"/>
    <s v="0819-0507-9785"/>
    <m/>
    <m/>
    <m/>
    <m/>
    <m/>
    <m/>
    <m/>
    <m/>
    <m/>
    <m/>
  </r>
  <r>
    <n v="616"/>
    <s v="DCI Indonesia"/>
    <s v="Aplikanusa Lintasarta"/>
    <s v="Jl. Jend Sudirman Kav 52-53 Jakarta 12190"/>
    <x v="0"/>
    <m/>
    <m/>
    <s v="Sewa Tahunan"/>
    <s v="Colocation"/>
    <s v="AR/ACT/1810/18452"/>
    <m/>
    <m/>
    <m/>
    <m/>
    <s v="-"/>
    <n v="60000000"/>
    <m/>
    <s v="-"/>
    <n v="18000000"/>
    <m/>
    <d v="2022-06-16T00:00:00"/>
    <d v="2023-06-15T00:00:00"/>
    <x v="0"/>
    <m/>
    <m/>
    <m/>
    <m/>
    <m/>
    <m/>
    <s v="18904/SPP/008/PUSAT/ICON+/2022"/>
    <n v="4500018219"/>
    <m/>
    <m/>
    <m/>
    <m/>
    <m/>
    <m/>
    <m/>
    <m/>
    <m/>
    <m/>
    <m/>
    <m/>
    <m/>
  </r>
  <r>
    <n v="617"/>
    <s v="Pusat Pengelolaan Komplek Kemayoran"/>
    <s v="PT Angkasa Pura 1 (Persero)"/>
    <s v="Jl. Angkasa Kemayoran Jakarta 10610"/>
    <x v="0"/>
    <m/>
    <m/>
    <s v="Sewa Tahunan"/>
    <s v="Colocation"/>
    <s v="PA/ACT/1901/0235, PA/ACT/1901/0236"/>
    <m/>
    <m/>
    <m/>
    <m/>
    <s v="-"/>
    <n v="456000000"/>
    <m/>
    <s v="-"/>
    <n v="20604000"/>
    <m/>
    <d v="2022-05-16T00:00:00"/>
    <d v="2023-05-15T00:00:00"/>
    <x v="0"/>
    <m/>
    <m/>
    <m/>
    <m/>
    <m/>
    <m/>
    <s v="17858/SPP/008/PUSAT/ICON+/2022"/>
    <n v="4500018014"/>
    <m/>
    <m/>
    <m/>
    <m/>
    <m/>
    <m/>
    <m/>
    <m/>
    <m/>
    <m/>
    <m/>
    <m/>
    <m/>
  </r>
  <r>
    <n v="618"/>
    <s v="Grahaniaga Tatautama "/>
    <s v="BUT. Sarulla Operations LTD, Bank Woori Saudara"/>
    <s v="Jl. Jend Sudirman Kav 58 Gedung Graha Niaga 1 Jakarta 12190"/>
    <x v="0"/>
    <m/>
    <m/>
    <s v="Sewa Tahunan"/>
    <s v="Colocation"/>
    <s v="ICON-00/ACT/1709/1154, ICON-00/ACT/1302/0085"/>
    <m/>
    <m/>
    <m/>
    <m/>
    <s v="-"/>
    <n v="360000000"/>
    <m/>
    <s v="-"/>
    <n v="23247000"/>
    <m/>
    <d v="2022-07-21T00:00:00"/>
    <d v="2023-07-20T00:00:00"/>
    <x v="0"/>
    <m/>
    <m/>
    <m/>
    <m/>
    <m/>
    <m/>
    <s v="18846/SPP/008/PUSAT/ICON+/2022"/>
    <n v="4500018224"/>
    <m/>
    <m/>
    <m/>
    <m/>
    <m/>
    <m/>
    <m/>
    <m/>
    <m/>
    <m/>
    <m/>
    <m/>
    <m/>
  </r>
  <r>
    <n v="619"/>
    <s v="Botika Teknologi Indonesia"/>
    <s v="Direktorat Jendral Imigrasi Ditjen Imigrai Kementerian Hukum dan HAM"/>
    <s v="Jl. Balirejo RT. 24 RW. 08 No. 12 Yogyakarta 55165"/>
    <x v="0"/>
    <m/>
    <m/>
    <s v="Sewa Tahunan"/>
    <s v="Colocation"/>
    <s v="PA/ACT/2103/0587, AL/2107/56681"/>
    <m/>
    <m/>
    <m/>
    <m/>
    <s v="-"/>
    <n v="154080000"/>
    <m/>
    <s v="-"/>
    <n v="96000000"/>
    <m/>
    <d v="2022-05-08T00:00:00"/>
    <d v="2023-05-07T00:00:00"/>
    <x v="0"/>
    <m/>
    <m/>
    <m/>
    <m/>
    <m/>
    <m/>
    <s v="18416/SPP/008/PUSAT/ICON+/2022"/>
    <n v="4500018073"/>
    <m/>
    <m/>
    <m/>
    <m/>
    <m/>
    <m/>
    <m/>
    <m/>
    <m/>
    <m/>
    <m/>
    <m/>
    <m/>
  </r>
  <r>
    <n v="620"/>
    <s v="Integra Kreasitama Solusindo"/>
    <s v="PT Bank Mandiri (Persero)"/>
    <s v="Pangeran Antasari 18 A Jakarta 12410"/>
    <x v="0"/>
    <m/>
    <m/>
    <s v="Sewa Tahunan"/>
    <s v="Interkoneksi"/>
    <s v="PA/UPG/2204/0451"/>
    <m/>
    <m/>
    <m/>
    <m/>
    <s v="-"/>
    <n v="45818184"/>
    <m/>
    <s v="-"/>
    <n v="60000000"/>
    <m/>
    <d v="2022-09-21T00:00:00"/>
    <d v="2023-09-20T00:00:00"/>
    <x v="0"/>
    <m/>
    <m/>
    <m/>
    <m/>
    <m/>
    <m/>
    <s v="19743/SPP/008/PUSAT/ICON+/2022"/>
    <n v="4500018820"/>
    <m/>
    <m/>
    <m/>
    <m/>
    <m/>
    <m/>
    <m/>
    <m/>
    <m/>
    <m/>
    <m/>
    <m/>
    <m/>
  </r>
  <r>
    <n v="621"/>
    <s v="DCI Indonesia"/>
    <s v="PT Lintas Arta qq Arta Jasa "/>
    <s v="Jl. Jend Sudirman Kav 52-53 Jakarta 12190"/>
    <x v="0"/>
    <m/>
    <m/>
    <s v="Sewa Tahunan"/>
    <s v="Cross Connect"/>
    <s v="AL/2007/35005"/>
    <m/>
    <m/>
    <m/>
    <m/>
    <s v="-"/>
    <n v="54000000"/>
    <m/>
    <s v="-"/>
    <n v="18000000"/>
    <m/>
    <d v="2022-11-01T00:00:00"/>
    <d v="2023-10-31T00:00:00"/>
    <x v="0"/>
    <m/>
    <m/>
    <m/>
    <m/>
    <m/>
    <m/>
    <s v="20182/SPP/008/PUSAT/ICON+/2022"/>
    <n v="4500019324"/>
    <m/>
    <m/>
    <m/>
    <m/>
    <m/>
    <m/>
    <m/>
    <m/>
    <m/>
    <m/>
    <m/>
    <m/>
    <m/>
  </r>
  <r>
    <n v="622"/>
    <s v="DCI Indonesia"/>
    <s v="PT Sukanda Djaya"/>
    <s v="Jl. Jend Sudirman Kav 52-53 Jakarta 12190"/>
    <x v="0"/>
    <m/>
    <m/>
    <s v="Sewa Tahunan"/>
    <s v="Cross Connect"/>
    <s v="PA/ACT/2110/1649/TER"/>
    <m/>
    <m/>
    <m/>
    <m/>
    <s v="-"/>
    <n v="324000000"/>
    <m/>
    <s v="-"/>
    <n v="36000000"/>
    <m/>
    <d v="2022-10-26T00:00:00"/>
    <d v="2023-10-25T00:00:00"/>
    <x v="0"/>
    <m/>
    <m/>
    <m/>
    <m/>
    <m/>
    <m/>
    <s v="20239/SPP/008/PUSAT/ICON+/2022"/>
    <n v="4500019325"/>
    <m/>
    <m/>
    <m/>
    <m/>
    <m/>
    <m/>
    <m/>
    <m/>
    <m/>
    <m/>
    <m/>
    <m/>
    <m/>
  </r>
  <r>
    <n v="623"/>
    <s v="Asosiasi penyelenggara Jasa Internet Indonesia (APJII)"/>
    <s v="APJII"/>
    <s v="Jl. Kuningan Barat 8 Jakarta 12710"/>
    <x v="0"/>
    <m/>
    <m/>
    <s v="Sewa Tahunan"/>
    <s v="Colocation"/>
    <m/>
    <m/>
    <m/>
    <m/>
    <m/>
    <s v="-"/>
    <s v="-"/>
    <m/>
    <s v="-"/>
    <n v="12000000"/>
    <m/>
    <d v="2022-10-29T00:00:00"/>
    <d v="2023-10-28T00:00:00"/>
    <x v="0"/>
    <m/>
    <m/>
    <m/>
    <m/>
    <m/>
    <m/>
    <m/>
    <n v="4500019399"/>
    <m/>
    <m/>
    <m/>
    <m/>
    <m/>
    <m/>
    <m/>
    <m/>
    <m/>
    <m/>
    <m/>
    <m/>
    <m/>
  </r>
  <r>
    <n v="624"/>
    <s v="Indointernet"/>
    <s v="Bank BCA Syariah"/>
    <s v="Jl. Rempoa Raya 11 Ciputat 00000"/>
    <x v="0"/>
    <m/>
    <m/>
    <s v="Sewa Tahunan"/>
    <s v="Colocation"/>
    <s v="AL/1903/4924/0990000320376164"/>
    <m/>
    <m/>
    <m/>
    <m/>
    <s v="-"/>
    <n v="154800000"/>
    <m/>
    <s v="-"/>
    <n v="2500008"/>
    <m/>
    <d v="2022-11-19T00:00:00"/>
    <d v="2023-11-18T00:00:00"/>
    <x v="0"/>
    <m/>
    <m/>
    <m/>
    <m/>
    <m/>
    <m/>
    <m/>
    <n v="4500019400"/>
    <m/>
    <m/>
    <m/>
    <m/>
    <m/>
    <m/>
    <m/>
    <m/>
    <m/>
    <m/>
    <m/>
    <m/>
    <m/>
  </r>
  <r>
    <n v="625"/>
    <s v="Jekael Invesco"/>
    <s v="PT Bank Mandiri (Persero), Tbk"/>
    <s v="Jl. Gatot Subroto Kav 38 38 Jakarta Selatan 00000"/>
    <x v="0"/>
    <m/>
    <m/>
    <s v="Sewa Tahunan"/>
    <s v="Colocation"/>
    <s v="PA/UPG/1906/0005"/>
    <m/>
    <m/>
    <m/>
    <m/>
    <s v="-"/>
    <n v="30545460"/>
    <m/>
    <s v="-"/>
    <n v="7500000"/>
    <m/>
    <d v="2022-12-01T00:00:00"/>
    <d v="2023-11-30T00:00:00"/>
    <x v="0"/>
    <m/>
    <m/>
    <m/>
    <m/>
    <m/>
    <m/>
    <s v="19356/SPP/008/PUSAT/ICON+/2022"/>
    <n v="4500019237"/>
    <m/>
    <m/>
    <m/>
    <m/>
    <m/>
    <m/>
    <m/>
    <m/>
    <m/>
    <m/>
    <m/>
    <m/>
    <m/>
  </r>
  <r>
    <n v="626"/>
    <s v="IDC (Internetindo Data Centra Indonesia) "/>
    <m/>
    <s v="Jl. Kuningan Barat No.8 Cyber Building 7, Jakarta Selatan 12710"/>
    <x v="0"/>
    <m/>
    <m/>
    <s v="Sewa Tahunan"/>
    <s v="Colocation"/>
    <m/>
    <m/>
    <m/>
    <m/>
    <m/>
    <s v="-"/>
    <s v="-"/>
    <m/>
    <s v="-"/>
    <n v="145825000"/>
    <m/>
    <d v="2022-10-14T00:00:00"/>
    <d v="2023-10-13T00:00:00"/>
    <x v="0"/>
    <m/>
    <m/>
    <m/>
    <m/>
    <m/>
    <m/>
    <s v="20204/SPP/008/PUSAT/ICON+/2022"/>
    <n v="4500019285"/>
    <m/>
    <m/>
    <m/>
    <m/>
    <m/>
    <m/>
    <m/>
    <m/>
    <m/>
    <m/>
    <m/>
    <m/>
    <m/>
  </r>
  <r>
    <n v="627"/>
    <s v="PT Menara Antam Sejahtera"/>
    <s v="PT Bank Syariah"/>
    <s v="Jl. TB Simatupang No. 1 Jakarta Selatan 12530"/>
    <x v="0"/>
    <m/>
    <m/>
    <s v="Sewa Tahunan"/>
    <s v="Colocation"/>
    <s v="PA/ACT/2208/3992"/>
    <m/>
    <m/>
    <m/>
    <m/>
    <n v="1500000"/>
    <n v="26400000"/>
    <m/>
    <s v="-"/>
    <n v="35000006"/>
    <m/>
    <d v="2022-11-03T00:00:00"/>
    <d v="2023-11-02T00:00:00"/>
    <x v="0"/>
    <m/>
    <m/>
    <m/>
    <m/>
    <m/>
    <m/>
    <s v="20511/SPP/008/PUSAT/ICON+/2022"/>
    <n v="4500019394"/>
    <m/>
    <m/>
    <m/>
    <m/>
    <m/>
    <m/>
    <m/>
    <m/>
    <m/>
    <m/>
    <m/>
    <m/>
    <m/>
  </r>
  <r>
    <n v="628"/>
    <s v="Media Nusantara Data Global "/>
    <m/>
    <s v="Jl.Kuningan Barat No. 8 Cyber Building 1st&amp;2nd Jakarta Selatan 12710"/>
    <x v="0"/>
    <m/>
    <m/>
    <s v="Sewa Tahunan"/>
    <s v="Cross Connect"/>
    <m/>
    <m/>
    <m/>
    <m/>
    <m/>
    <s v="-"/>
    <s v="-"/>
    <m/>
    <s v="-"/>
    <n v="36000000"/>
    <m/>
    <d v="2022-10-06T00:00:00"/>
    <d v="2023-10-05T00:00:00"/>
    <x v="0"/>
    <m/>
    <m/>
    <m/>
    <m/>
    <m/>
    <m/>
    <s v="20312/SPP/008/PUSAT/ICON+/2022"/>
    <n v="4500019391"/>
    <m/>
    <m/>
    <m/>
    <m/>
    <m/>
    <m/>
    <m/>
    <m/>
    <m/>
    <m/>
    <m/>
    <m/>
    <m/>
  </r>
  <r>
    <n v="629"/>
    <s v="Media Nusantara Data Global "/>
    <s v="PT Jaya Media Express"/>
    <s v="Jl. Kuningan Barat No. 8 Cyber Building 1st&amp;2nd Jakarta Selatan 12710"/>
    <x v="0"/>
    <m/>
    <m/>
    <s v="Sewa Tahunan"/>
    <s v="Cross Connect"/>
    <s v="PA/RLK/2109/0110"/>
    <m/>
    <m/>
    <m/>
    <m/>
    <s v="-"/>
    <n v="240000000"/>
    <m/>
    <s v="-"/>
    <n v="36000000"/>
    <m/>
    <d v="2022-10-14T00:00:00"/>
    <d v="2023-10-13T00:00:00"/>
    <x v="0"/>
    <m/>
    <m/>
    <m/>
    <m/>
    <m/>
    <m/>
    <s v="20306/SPP/008/PUSAT/ICON+/2022"/>
    <n v="4500019390"/>
    <m/>
    <m/>
    <m/>
    <m/>
    <m/>
    <m/>
    <m/>
    <m/>
    <m/>
    <m/>
    <m/>
    <m/>
    <m/>
  </r>
  <r>
    <n v="630"/>
    <s v="Media Nusantara Data Global "/>
    <s v="PT Akses Data Internusa"/>
    <m/>
    <x v="0"/>
    <m/>
    <m/>
    <s v="Sewa Tahunan"/>
    <s v="Cross Connect"/>
    <s v="PA/ACT/2210/0687/ORI"/>
    <m/>
    <m/>
    <m/>
    <m/>
    <n v="13000000"/>
    <n v="4776000000"/>
    <m/>
    <s v="-"/>
    <n v="18000000"/>
    <m/>
    <d v="2022-11-16T00:00:00"/>
    <d v="2023-11-15T00:00:00"/>
    <x v="0"/>
    <m/>
    <m/>
    <m/>
    <m/>
    <m/>
    <m/>
    <s v="20541/SPP/008/PUSAT/ICON+/2022"/>
    <n v="4500019440"/>
    <m/>
    <m/>
    <m/>
    <m/>
    <m/>
    <m/>
    <m/>
    <m/>
    <m/>
    <m/>
    <m/>
    <m/>
    <m/>
  </r>
  <r>
    <n v="631"/>
    <s v="Media Nusantara Data Global "/>
    <m/>
    <s v="Jl. Kuningan Barat No. 8 Cyber Building 1st&amp;2nd Jakarta Selatan 12710"/>
    <x v="0"/>
    <m/>
    <m/>
    <s v="Sewa Tahunan"/>
    <s v="Cross Connect"/>
    <m/>
    <m/>
    <m/>
    <m/>
    <m/>
    <s v="-"/>
    <s v="-"/>
    <m/>
    <s v="-"/>
    <n v="18000000"/>
    <m/>
    <d v="2022-11-11T00:00:00"/>
    <d v="2023-11-10T00:00:00"/>
    <x v="0"/>
    <m/>
    <m/>
    <m/>
    <m/>
    <m/>
    <m/>
    <s v="20518/SPP/008/PUSAT/ICON+/2022"/>
    <n v="4500019383"/>
    <m/>
    <m/>
    <m/>
    <m/>
    <m/>
    <m/>
    <m/>
    <m/>
    <m/>
    <m/>
    <m/>
    <m/>
    <m/>
  </r>
  <r>
    <n v="632"/>
    <s v="Indointernet"/>
    <s v="PT Data Sinergitama"/>
    <s v="Jl Rempoa Raya 11 Ciputat 00000"/>
    <x v="0"/>
    <m/>
    <m/>
    <s v="Sewa Tahunan"/>
    <s v="Interkoneksi"/>
    <s v="ICON-00/SBC/1801/0589"/>
    <m/>
    <m/>
    <m/>
    <m/>
    <s v="-"/>
    <n v="348000000"/>
    <m/>
    <s v="-"/>
    <n v="180000000"/>
    <m/>
    <d v="2022-12-10T00:00:00"/>
    <d v="2023-12-09T00:00:00"/>
    <x v="0"/>
    <m/>
    <m/>
    <m/>
    <m/>
    <m/>
    <m/>
    <s v="20498/SPP/008/PUSAT/ICON+/2022"/>
    <n v="4500019393"/>
    <m/>
    <m/>
    <m/>
    <m/>
    <m/>
    <m/>
    <m/>
    <m/>
    <m/>
    <m/>
    <m/>
    <m/>
    <m/>
  </r>
  <r>
    <n v="633"/>
    <s v="Bahanasemesta Citranusantara"/>
    <s v="BTPN "/>
    <s v="Gd. Menara BTPN Lt. 9 Jakarta Selatan 12950"/>
    <x v="0"/>
    <m/>
    <m/>
    <s v="Sewa Tahunan"/>
    <s v="Colocation"/>
    <s v="ICON-00/SBC/1701/0192, ICON-00/SBC/1602/0097"/>
    <m/>
    <m/>
    <m/>
    <m/>
    <s v="-"/>
    <n v="29400000"/>
    <m/>
    <s v="-"/>
    <n v="27000000"/>
    <m/>
    <d v="2023-01-01T00:00:00"/>
    <d v="2023-12-31T00:00:00"/>
    <x v="0"/>
    <m/>
    <m/>
    <m/>
    <m/>
    <m/>
    <m/>
    <s v="20281/SPP/008/PUSAT/ICON+/2022"/>
    <n v="4500019527"/>
    <m/>
    <m/>
    <m/>
    <m/>
    <m/>
    <m/>
    <m/>
    <m/>
    <m/>
    <m/>
    <m/>
    <m/>
    <m/>
  </r>
  <r>
    <n v="634"/>
    <s v="Circlecom Nusantara Indonesia"/>
    <s v="BCA"/>
    <s v="Jl. Jend Sudirman Kav. 52-53 Kebayoran Baru, Jakarta Selatan 12190"/>
    <x v="0"/>
    <m/>
    <m/>
    <s v="Sewa Tahunan"/>
    <s v="Colocation"/>
    <s v="ICON-00/SBC/1801/0268"/>
    <m/>
    <m/>
    <m/>
    <m/>
    <s v="-"/>
    <n v="60000000"/>
    <m/>
    <s v="-"/>
    <n v="14400000"/>
    <m/>
    <d v="2022-10-11T00:00:00"/>
    <d v="2023-10-10T00:00:00"/>
    <x v="0"/>
    <m/>
    <m/>
    <m/>
    <m/>
    <m/>
    <m/>
    <m/>
    <n v="4500019289"/>
    <m/>
    <m/>
    <m/>
    <m/>
    <m/>
    <m/>
    <m/>
    <m/>
    <m/>
    <m/>
    <m/>
    <m/>
    <m/>
  </r>
  <r>
    <n v="635"/>
    <s v="Indointernet"/>
    <s v="PT Astra Daihatsu Motor "/>
    <s v="Jl. Rempoa Raya 11 Ciputat 00000"/>
    <x v="0"/>
    <m/>
    <m/>
    <s v="Sewa Tahunan"/>
    <s v="Interkoneksi"/>
    <s v="PA/UPG/2111/0138"/>
    <m/>
    <m/>
    <m/>
    <m/>
    <s v="-"/>
    <n v="516000000"/>
    <m/>
    <s v="-"/>
    <n v="240000000"/>
    <m/>
    <d v="2022-12-06T00:00:00"/>
    <d v="2023-12-05T00:00:00"/>
    <x v="0"/>
    <m/>
    <m/>
    <m/>
    <m/>
    <m/>
    <m/>
    <s v="20461/SPP/008/PUSAT/ICON+/2022"/>
    <n v="4500019380"/>
    <m/>
    <m/>
    <m/>
    <m/>
    <m/>
    <m/>
    <m/>
    <m/>
    <m/>
    <m/>
    <m/>
    <m/>
    <m/>
  </r>
  <r>
    <n v="636"/>
    <s v="Indointernet"/>
    <s v="PT Toyota Astra Motor SPLD"/>
    <s v="Jl. Rempoa Raya 11 Ciputat 00000"/>
    <x v="0"/>
    <m/>
    <m/>
    <s v="Sewa Tahunan"/>
    <s v="Interkoneksi"/>
    <s v="ICON-00/SBC/1309/0467"/>
    <m/>
    <m/>
    <m/>
    <m/>
    <s v="-"/>
    <n v="378000000"/>
    <m/>
    <s v="-"/>
    <n v="120000000"/>
    <m/>
    <d v="2022-01-01T00:00:00"/>
    <d v="2023-12-31T00:00:00"/>
    <x v="0"/>
    <m/>
    <m/>
    <m/>
    <m/>
    <m/>
    <m/>
    <s v="20485/SPP/008/PUSAT/ICON+/2022"/>
    <n v="4500019389"/>
    <m/>
    <m/>
    <m/>
    <m/>
    <m/>
    <m/>
    <m/>
    <m/>
    <m/>
    <m/>
    <m/>
    <m/>
    <m/>
  </r>
  <r>
    <n v="637"/>
    <s v="Global Pahala Jasatama "/>
    <s v="PT Berlian Sistem Informasi"/>
    <s v="Jln Gatot Subroto Kav. 51-52 Jakarta 10260"/>
    <x v="0"/>
    <m/>
    <m/>
    <s v="Sewa Tahunan"/>
    <s v="Colocation"/>
    <n v="4000069514"/>
    <m/>
    <m/>
    <m/>
    <m/>
    <s v="-"/>
    <n v="42000000"/>
    <m/>
    <s v="-"/>
    <n v="16500000"/>
    <m/>
    <d v="2022-11-02T00:00:00"/>
    <d v="2023-11-01T00:00:00"/>
    <x v="0"/>
    <m/>
    <m/>
    <m/>
    <m/>
    <m/>
    <m/>
    <s v="20287/SPP/008/PUSAT/ICON+/2022"/>
    <n v="4500019423"/>
    <m/>
    <m/>
    <m/>
    <m/>
    <m/>
    <m/>
    <m/>
    <m/>
    <m/>
    <m/>
    <m/>
    <m/>
    <m/>
  </r>
  <r>
    <n v="638"/>
    <s v="Infranstruktur Cakrawala Telekomunikasi "/>
    <s v="PT Eonchemicals "/>
    <s v="WTP Building Jl Jababeka IV Blok B No. 12 Jbbk Industria Esta Cikarang Bekasi 17530"/>
    <x v="0"/>
    <m/>
    <m/>
    <s v="Sewa Tahunan"/>
    <s v="Cross Connect"/>
    <s v="PA/ACT/2210/2259"/>
    <m/>
    <m/>
    <m/>
    <m/>
    <n v="3500000"/>
    <n v="90000000"/>
    <m/>
    <s v="-"/>
    <n v="17399349"/>
    <m/>
    <d v="2022-11-22T00:00:00"/>
    <d v="2023-09-30T00:00:00"/>
    <x v="0"/>
    <m/>
    <m/>
    <m/>
    <m/>
    <m/>
    <m/>
    <s v="20455/SPP/008/PUSAT/ICON+/2022"/>
    <n v="4500019453"/>
    <m/>
    <m/>
    <m/>
    <m/>
    <m/>
    <m/>
    <m/>
    <m/>
    <m/>
    <m/>
    <m/>
    <m/>
    <m/>
  </r>
  <r>
    <n v="639"/>
    <s v="Media Nusantara Data Global "/>
    <s v="PT Indonesia Comnets Plus"/>
    <s v="Jl. Kuningan Barat No. 8 Cyber Building 1st&amp;2nd Jakarta Selatan 12710"/>
    <x v="0"/>
    <m/>
    <m/>
    <s v="Sewa Tahunan"/>
    <s v="Colocation"/>
    <m/>
    <m/>
    <m/>
    <m/>
    <m/>
    <s v="-"/>
    <s v="-"/>
    <m/>
    <s v="-"/>
    <n v="49500000"/>
    <m/>
    <d v="2022-07-11T00:00:00"/>
    <d v="2023-07-10T00:00:00"/>
    <x v="0"/>
    <m/>
    <m/>
    <m/>
    <m/>
    <m/>
    <m/>
    <s v="19240/SPP/008/PUSAT/ICON+/2022"/>
    <n v="4500018490"/>
    <m/>
    <m/>
    <m/>
    <m/>
    <m/>
    <m/>
    <m/>
    <m/>
    <m/>
    <m/>
    <m/>
    <m/>
    <m/>
  </r>
  <r>
    <n v="640"/>
    <s v="Karyagraha Nusantara"/>
    <m/>
    <s v="Jl. Kuningan Barat 8 Jakarta 12710"/>
    <x v="0"/>
    <m/>
    <m/>
    <s v="Sewa Tahunan"/>
    <s v="Colocation"/>
    <m/>
    <m/>
    <m/>
    <m/>
    <m/>
    <s v="-"/>
    <s v="-"/>
    <m/>
    <s v="-"/>
    <n v="17000004"/>
    <m/>
    <d v="2022-06-30T00:00:00"/>
    <d v="2023-06-29T00:00:00"/>
    <x v="0"/>
    <m/>
    <m/>
    <m/>
    <m/>
    <m/>
    <m/>
    <s v="18959/SPP/008/PUSAT/ICON+/2022"/>
    <n v="4500018369"/>
    <m/>
    <m/>
    <m/>
    <m/>
    <m/>
    <m/>
    <m/>
    <m/>
    <m/>
    <m/>
    <m/>
    <m/>
    <m/>
  </r>
  <r>
    <n v="641"/>
    <s v="Detik Ini Juga "/>
    <s v="PT Trans Rekreasindo"/>
    <s v="Jl.Kapt Tendean Kav 12-14A Jakarta Selatan 12790"/>
    <x v="0"/>
    <m/>
    <m/>
    <s v="Sewa Tahunan"/>
    <s v="Interkoneksi"/>
    <s v="PA/ACT/1903/1573 , PA/ACT/1903/2236"/>
    <m/>
    <m/>
    <m/>
    <m/>
    <m/>
    <n v="109200000"/>
    <m/>
    <m/>
    <n v="30000000"/>
    <m/>
    <d v="2022-01-01T00:00:00"/>
    <d v="2022-12-31T00:00:00"/>
    <x v="0"/>
    <m/>
    <m/>
    <m/>
    <m/>
    <m/>
    <m/>
    <s v="18745/SPP/008/PUSAT/ICON+/2022"/>
    <n v="4500018115"/>
    <m/>
    <m/>
    <m/>
    <m/>
    <m/>
    <m/>
    <m/>
    <m/>
    <m/>
    <m/>
    <m/>
    <m/>
    <m/>
  </r>
  <r>
    <n v="642"/>
    <s v="Supra Primatama Nusantara"/>
    <s v="PT Jakarta Lingko Indonesia"/>
    <s v="Jl.Jend Sudirman Kav 10-11 Jakarta 10220"/>
    <x v="0"/>
    <m/>
    <m/>
    <s v="Sewa Tahunan"/>
    <s v="Interkoneksi"/>
    <s v="PA/ACT/2201/1163"/>
    <m/>
    <m/>
    <m/>
    <m/>
    <n v="2000000"/>
    <n v="57600000"/>
    <m/>
    <n v="5000000"/>
    <n v="162000000"/>
    <m/>
    <d v="2022-04-18T00:00:00"/>
    <d v="2023-04-17T00:00:00"/>
    <x v="0"/>
    <m/>
    <m/>
    <m/>
    <m/>
    <m/>
    <m/>
    <m/>
    <n v="4500017961"/>
    <m/>
    <m/>
    <m/>
    <m/>
    <m/>
    <m/>
    <m/>
    <m/>
    <m/>
    <m/>
    <m/>
    <m/>
    <m/>
  </r>
  <r>
    <n v="643"/>
    <s v="DCI Indonesia"/>
    <s v="PT Bank Pembangunan Daerah Kalimantan Selatan"/>
    <s v="Jl.Jend Sudirman Kav 52-53 Jakarta 12190"/>
    <x v="0"/>
    <m/>
    <m/>
    <s v="Sewa Tahunan"/>
    <s v="Cross Connect"/>
    <s v="PA/ACT/2204/3848"/>
    <m/>
    <m/>
    <m/>
    <m/>
    <n v="5000000"/>
    <n v="72000000"/>
    <m/>
    <n v="4000000"/>
    <n v="36000000"/>
    <m/>
    <d v="2022-05-30T00:00:00"/>
    <d v="2023-05-29T00:00:00"/>
    <x v="0"/>
    <m/>
    <m/>
    <m/>
    <m/>
    <m/>
    <m/>
    <s v="18650/SPP/008/PUSAT/ICON+/2022"/>
    <n v="4500018058"/>
    <m/>
    <m/>
    <m/>
    <m/>
    <m/>
    <m/>
    <m/>
    <m/>
    <m/>
    <m/>
    <m/>
    <m/>
    <m/>
  </r>
  <r>
    <n v="644"/>
    <s v="Jakarta Industrial Estate Pulogadung (Persero) (JIEP) "/>
    <s v="PT Pama Persada Nusantara"/>
    <s v="Jakarta 00000"/>
    <x v="0"/>
    <m/>
    <m/>
    <s v="Sewa Tahunan"/>
    <s v="Colocation"/>
    <s v="PA/ACT/2202/2487"/>
    <m/>
    <m/>
    <m/>
    <m/>
    <n v="5000000"/>
    <n v="564000000"/>
    <m/>
    <m/>
    <n v="24470100"/>
    <m/>
    <d v="2022-05-23T00:00:00"/>
    <d v="2023-05-22T00:00:00"/>
    <x v="0"/>
    <m/>
    <m/>
    <m/>
    <m/>
    <m/>
    <m/>
    <s v="18632/SPP/008/PUSAT/ICON+/2022"/>
    <n v="4500018065"/>
    <m/>
    <m/>
    <m/>
    <m/>
    <m/>
    <m/>
    <m/>
    <m/>
    <m/>
    <m/>
    <m/>
    <m/>
    <m/>
  </r>
  <r>
    <n v="645"/>
    <s v="Circlecom Nusantara Indonesia"/>
    <s v="PT Prodia Widyahusada"/>
    <s v="Jakarta Selatan 12190"/>
    <x v="0"/>
    <m/>
    <m/>
    <s v="Sewa Tahunan"/>
    <s v="Interkoneksi"/>
    <s v="PA/ACT/2201/3558"/>
    <m/>
    <m/>
    <m/>
    <m/>
    <n v="2000000"/>
    <n v="25200000"/>
    <m/>
    <n v="5000000"/>
    <n v="48000000"/>
    <m/>
    <d v="2022-04-21T00:00:00"/>
    <d v="2023-04-20T00:00:00"/>
    <x v="0"/>
    <m/>
    <m/>
    <m/>
    <m/>
    <m/>
    <m/>
    <s v="18325/SPP/008/PUSAT/ICON+/2022"/>
    <n v="4500017837"/>
    <m/>
    <m/>
    <m/>
    <m/>
    <m/>
    <m/>
    <m/>
    <m/>
    <m/>
    <m/>
    <m/>
    <m/>
    <m/>
  </r>
  <r>
    <n v="646"/>
    <s v="DCI Indonesia"/>
    <s v="PT Nosairis Teknologi Solutions"/>
    <s v="Jl.Jend Sudirman Kav 52-53 Jakarta 12190"/>
    <x v="0"/>
    <m/>
    <m/>
    <s v="Sewa Tahunan"/>
    <s v="Cross Connect"/>
    <s v="PA/ACT/2204/0219/TER"/>
    <m/>
    <m/>
    <m/>
    <m/>
    <m/>
    <n v="44568000"/>
    <m/>
    <n v="1500000"/>
    <n v="18000000"/>
    <m/>
    <d v="2022-05-13T00:00:00"/>
    <d v="2023-05-12T00:00:00"/>
    <x v="0"/>
    <m/>
    <m/>
    <m/>
    <m/>
    <m/>
    <m/>
    <s v="18596/SPP/008/PUSAT/ICON+/2022"/>
    <n v="4500018020"/>
    <m/>
    <m/>
    <m/>
    <m/>
    <m/>
    <m/>
    <m/>
    <m/>
    <m/>
    <m/>
    <m/>
    <m/>
    <m/>
  </r>
  <r>
    <n v="647"/>
    <s v="Omega Propertindo"/>
    <s v="PT Japfa Comfeed Indonesia"/>
    <s v="Jakarta 00000"/>
    <x v="0"/>
    <m/>
    <m/>
    <s v="Sewa Tahunan"/>
    <s v="Colocation"/>
    <s v="PA/ACT/1912/3172"/>
    <m/>
    <m/>
    <m/>
    <m/>
    <m/>
    <n v="72000000"/>
    <m/>
    <m/>
    <n v="35500000"/>
    <m/>
    <d v="2022-02-03T00:00:00"/>
    <d v="2023-02-02T00:00:00"/>
    <x v="0"/>
    <m/>
    <m/>
    <m/>
    <m/>
    <m/>
    <m/>
    <s v="17654/SPP/008/PUSAT/ICON+/2022"/>
    <n v="4500017749"/>
    <m/>
    <m/>
    <m/>
    <m/>
    <m/>
    <m/>
    <m/>
    <m/>
    <m/>
    <m/>
    <m/>
    <m/>
    <m/>
  </r>
  <r>
    <n v="648"/>
    <s v="Karyagraha Nusantara "/>
    <s v="Indointernet"/>
    <s v="l Kuningan Barat 8 Jakarta 12710"/>
    <x v="0"/>
    <m/>
    <m/>
    <s v="Sewa Tahunan"/>
    <s v="Colocation"/>
    <s v="PA/ACT/1811/1730/0100007538 , PA/ACT/1908/5781/01000075385"/>
    <m/>
    <m/>
    <m/>
    <m/>
    <m/>
    <n v="118800000"/>
    <m/>
    <m/>
    <n v="17000000"/>
    <m/>
    <d v="2022-09-06T00:00:00"/>
    <d v="2023-09-06T00:00:00"/>
    <x v="0"/>
    <m/>
    <m/>
    <m/>
    <m/>
    <m/>
    <m/>
    <s v="18428/SPP/008/PUSAT/ICON+/2022"/>
    <n v="4500017892"/>
    <m/>
    <m/>
    <m/>
    <m/>
    <m/>
    <m/>
    <m/>
    <m/>
    <m/>
    <m/>
    <m/>
    <m/>
    <m/>
  </r>
  <r>
    <n v="649"/>
    <s v="Dinamika Raya Prima"/>
    <s v="PT Cyberindo Aditama qq PT Biznet Gio Nusantara CID 5200"/>
    <s v="MidPlaza 2 Lt. 8 Jl Jend. Sudirman 10-11 Jakarta 10220"/>
    <x v="0"/>
    <s v="Backhaul CBN Cyber 2"/>
    <s v="CBN - Biznet Technovillage, Jl. Riverside Golf Club No.1, Bojong Nangka, Gn. Putri, Kabupaten Bogor, Jawa Barat, Indonesia, 16965"/>
    <s v="Sewa Tahunan"/>
    <s v="Cross Connect"/>
    <s v="AL/1908/31866"/>
    <m/>
    <m/>
    <m/>
    <m/>
    <m/>
    <n v="143400000"/>
    <m/>
    <m/>
    <n v="12000000"/>
    <m/>
    <d v="2023-05-15T00:00:00"/>
    <d v="2024-05-14T00:00:00"/>
    <x v="0"/>
    <m/>
    <d v="2025-12-24T00:00:00"/>
    <m/>
    <m/>
    <m/>
    <m/>
    <s v="18807/SPP/008/PUSAT/ICON+/2022"/>
    <s v="398/SPP/SBU/ICON+/2023"/>
    <s v="Livia Indraswati"/>
    <s v="Farrah C. Cardifana"/>
    <s v="0819-0507-9785"/>
    <m/>
    <m/>
    <m/>
    <m/>
    <m/>
    <m/>
    <s v="H363"/>
    <m/>
    <m/>
    <m/>
  </r>
  <r>
    <n v="650"/>
    <s v="Dinamika Raya Prima"/>
    <s v="PT Cyberindo Aditama qq PT Biznet Gio Nusantara CID 5200"/>
    <s v="MidPlaza 2 Lt. 8 Jl Jend. Sudirman 10-11 Jakarta 10220"/>
    <x v="0"/>
    <s v="Backhaul CBN Cyber 2"/>
    <s v="CBN - Biznet Technovillage, Jl. Riverside Golf Club No.1, Bojong Nangka, Gn. Putri, Kabupaten Bogor, Jawa Barat, Indonesia, 16965"/>
    <s v="Sewa Tahunan"/>
    <s v="Cross Connect"/>
    <s v="AL/1908/31866"/>
    <m/>
    <m/>
    <m/>
    <m/>
    <m/>
    <n v="143400000"/>
    <m/>
    <m/>
    <n v="12000000"/>
    <m/>
    <d v="2024-05-15T00:00:00"/>
    <d v="2025-05-14T00:00:00"/>
    <x v="1"/>
    <m/>
    <d v="2025-12-24T00:00:00"/>
    <n v="-224"/>
    <n v="5"/>
    <n v="2025"/>
    <m/>
    <s v="398/SPP/SBU/ICON+/2023"/>
    <s v="4051/SPP/SBU/PLNICONPLUS/2024"/>
    <s v="Livia Indraswati"/>
    <s v="Farrah C. Cardifana"/>
    <s v="0819-0507-9785"/>
    <m/>
    <m/>
    <m/>
    <m/>
    <m/>
    <m/>
    <m/>
    <s v="H364"/>
    <m/>
    <m/>
  </r>
  <r>
    <n v="651"/>
    <s v="Dinamika Raya Prima"/>
    <s v="PT Tokopedia"/>
    <s v="Jl.Jend Sudirman Kav 10-11 Jakarta Pusat 00000"/>
    <x v="0"/>
    <m/>
    <m/>
    <s v="Sewa Tahunan"/>
    <s v="Cross Connect"/>
    <s v="PA/ACT/2201/1232/TER"/>
    <m/>
    <m/>
    <m/>
    <m/>
    <n v="6000000"/>
    <n v="198000000"/>
    <m/>
    <n v="5000000"/>
    <n v="24000000"/>
    <m/>
    <d v="2022-01-21T00:00:00"/>
    <d v="2023-01-20T00:00:00"/>
    <x v="0"/>
    <m/>
    <m/>
    <m/>
    <m/>
    <m/>
    <m/>
    <m/>
    <n v="4500017503"/>
    <m/>
    <m/>
    <m/>
    <m/>
    <m/>
    <m/>
    <m/>
    <m/>
    <m/>
    <m/>
    <m/>
    <m/>
    <m/>
  </r>
  <r>
    <n v="652"/>
    <s v="CBN Nusantara"/>
    <s v="PT Cyberindo Aditama , PT Suzuki Finance"/>
    <s v="Jakarta 00000"/>
    <x v="0"/>
    <m/>
    <m/>
    <s v="Sewa Tahunan"/>
    <s v="Colocation"/>
    <s v="AL/2008/41053 , PA/UPG/1907/0156"/>
    <m/>
    <m/>
    <m/>
    <m/>
    <m/>
    <n v="1123140000"/>
    <m/>
    <m/>
    <n v="108000000"/>
    <m/>
    <d v="2022-01-01T00:00:00"/>
    <d v="2023-12-31T00:00:00"/>
    <x v="0"/>
    <m/>
    <m/>
    <m/>
    <m/>
    <m/>
    <m/>
    <m/>
    <n v="4500017131"/>
    <m/>
    <m/>
    <m/>
    <m/>
    <m/>
    <m/>
    <m/>
    <m/>
    <m/>
    <m/>
    <m/>
    <m/>
    <m/>
  </r>
  <r>
    <n v="653"/>
    <s v="Jaya Land "/>
    <s v="Bank Mega"/>
    <s v="Jakarta Pusat 10340"/>
    <x v="0"/>
    <m/>
    <m/>
    <s v="Sewa Tahunan"/>
    <s v="Colocation"/>
    <s v="PA/ACT/1808/0394"/>
    <m/>
    <m/>
    <m/>
    <m/>
    <m/>
    <n v="34800000"/>
    <m/>
    <m/>
    <n v="13000000"/>
    <m/>
    <d v="2022-02-01T00:00:00"/>
    <d v="2023-01-31T00:00:00"/>
    <x v="0"/>
    <m/>
    <m/>
    <m/>
    <m/>
    <m/>
    <m/>
    <m/>
    <n v="4500017469"/>
    <m/>
    <m/>
    <m/>
    <m/>
    <m/>
    <m/>
    <m/>
    <m/>
    <m/>
    <m/>
    <m/>
    <m/>
    <m/>
  </r>
  <r>
    <n v="654"/>
    <s v="PT Intershop Prima Center"/>
    <s v="Asuransi Umum BCA"/>
    <s v="Jakarta Utara 14430"/>
    <x v="0"/>
    <m/>
    <m/>
    <s v="Sewa Tahunan"/>
    <s v="Colocation"/>
    <s v="ICON-00/SBC/1709/1243"/>
    <m/>
    <m/>
    <m/>
    <m/>
    <m/>
    <n v="82800000"/>
    <m/>
    <m/>
    <n v="10000000"/>
    <m/>
    <d v="2022-01-01T00:00:00"/>
    <d v="2022-12-31T00:00:00"/>
    <x v="0"/>
    <m/>
    <m/>
    <m/>
    <m/>
    <m/>
    <m/>
    <m/>
    <n v="4500017465"/>
    <m/>
    <m/>
    <m/>
    <m/>
    <m/>
    <m/>
    <m/>
    <m/>
    <m/>
    <m/>
    <m/>
    <m/>
    <m/>
  </r>
  <r>
    <n v="655"/>
    <s v="PT Bumi Serpong Damai Tbk"/>
    <s v="PT Bank Fama International"/>
    <s v="Jakarta 00000"/>
    <x v="0"/>
    <m/>
    <m/>
    <s v="Sewa Tahunan"/>
    <s v="Colocation"/>
    <s v="PA/ACT/1809/0799"/>
    <m/>
    <m/>
    <m/>
    <m/>
    <m/>
    <n v="123000000"/>
    <m/>
    <m/>
    <n v="48015000"/>
    <m/>
    <d v="2022-01-01T00:00:00"/>
    <d v="2022-12-31T00:00:00"/>
    <x v="0"/>
    <m/>
    <m/>
    <m/>
    <m/>
    <m/>
    <m/>
    <m/>
    <n v="4500017441"/>
    <m/>
    <m/>
    <m/>
    <m/>
    <m/>
    <m/>
    <m/>
    <m/>
    <m/>
    <m/>
    <m/>
    <m/>
    <m/>
  </r>
  <r>
    <n v="656"/>
    <s v="PT Megah Pratama Sejahtera"/>
    <s v="PT Pembangkitan Jawa Bali"/>
    <s v="Jakarta Selatan 00000"/>
    <x v="0"/>
    <m/>
    <m/>
    <s v="Sewa Tahunan"/>
    <s v="Colocation"/>
    <s v="PA/ACT/2112/0723"/>
    <m/>
    <m/>
    <m/>
    <m/>
    <n v="10000000"/>
    <n v="163225440"/>
    <m/>
    <m/>
    <n v="12000000"/>
    <m/>
    <d v="2022-01-20T00:00:00"/>
    <d v="2023-01-19T00:00:00"/>
    <x v="0"/>
    <m/>
    <m/>
    <m/>
    <m/>
    <m/>
    <m/>
    <s v="17648/SPP/008/PUSAT/ICON+/2022"/>
    <n v="4500017472"/>
    <m/>
    <m/>
    <m/>
    <m/>
    <m/>
    <m/>
    <m/>
    <m/>
    <m/>
    <m/>
    <m/>
    <m/>
    <m/>
  </r>
  <r>
    <n v="657"/>
    <s v="PT Swadaya Panduartha"/>
    <s v="PT Home Center Indonesia"/>
    <s v="Jakarta 14240"/>
    <x v="0"/>
    <m/>
    <m/>
    <s v="Sewa Tahunan"/>
    <s v="Colocation"/>
    <s v="PA/UPG/1802/0189"/>
    <m/>
    <m/>
    <m/>
    <m/>
    <m/>
    <n v="72000000"/>
    <m/>
    <m/>
    <n v="60000000"/>
    <m/>
    <d v="2022-03-06T00:00:00"/>
    <d v="2023-03-05T00:00:00"/>
    <x v="0"/>
    <m/>
    <m/>
    <m/>
    <m/>
    <m/>
    <m/>
    <s v="18365/SPP/008/PUSAT/ICON+/2022"/>
    <n v="4500017915"/>
    <m/>
    <m/>
    <m/>
    <m/>
    <m/>
    <m/>
    <m/>
    <m/>
    <m/>
    <m/>
    <m/>
    <m/>
    <m/>
  </r>
  <r>
    <n v="658"/>
    <s v="Aplikanusa Lintasarta"/>
    <s v="Jatelindo"/>
    <s v="Jakarta Pusat 10250"/>
    <x v="0"/>
    <m/>
    <m/>
    <s v="Sewa Tahunan"/>
    <s v="Colocation"/>
    <s v="ICON-00/SBC/1208/0067 , ICON-00/SBC/1208/0068"/>
    <m/>
    <m/>
    <m/>
    <m/>
    <m/>
    <n v="210000000"/>
    <m/>
    <m/>
    <n v="19500000"/>
    <m/>
    <d v="2022-05-31T00:00:00"/>
    <d v="2023-05-30T00:00:00"/>
    <x v="0"/>
    <m/>
    <m/>
    <m/>
    <m/>
    <m/>
    <m/>
    <s v="18315/SPP/008/PUSAT/ICON+/2022"/>
    <n v="4500017916"/>
    <m/>
    <m/>
    <m/>
    <m/>
    <m/>
    <m/>
    <m/>
    <m/>
    <m/>
    <m/>
    <m/>
    <m/>
    <m/>
  </r>
  <r>
    <n v="659"/>
    <s v="Perhimpunan Penghuni Menara Kadin"/>
    <s v="PT Bukit Asam , Bank Mega"/>
    <s v="Jakarta 00000"/>
    <x v="0"/>
    <m/>
    <m/>
    <s v="Sewa Tahunan"/>
    <s v="Colocation"/>
    <s v="AL/1904/5372 , PA/ACT/1802/2046"/>
    <m/>
    <m/>
    <m/>
    <m/>
    <m/>
    <n v="103154352"/>
    <m/>
    <m/>
    <n v="23200000"/>
    <m/>
    <d v="2022-04-05T00:00:00"/>
    <d v="2023-04-04T00:00:00"/>
    <x v="0"/>
    <m/>
    <m/>
    <m/>
    <m/>
    <m/>
    <m/>
    <s v="18180/SPP/008/PUSAT/ICON+/2022"/>
    <n v="4500017867"/>
    <m/>
    <m/>
    <m/>
    <m/>
    <m/>
    <m/>
    <m/>
    <m/>
    <m/>
    <m/>
    <m/>
    <m/>
    <m/>
  </r>
  <r>
    <n v="660"/>
    <s v="Zainal Johamsa"/>
    <s v="Tri Tunggal Jaya , Mitra Era Global"/>
    <s v="Palembang 00000"/>
    <x v="0"/>
    <m/>
    <m/>
    <s v="Sewa Tahunan"/>
    <s v="Colocation"/>
    <s v="PA/RLK/2111/0055 , SPA/ACT/1911/000485"/>
    <m/>
    <m/>
    <m/>
    <m/>
    <m/>
    <n v="48000000"/>
    <m/>
    <m/>
    <n v="3000000"/>
    <m/>
    <d v="2022-03-16T00:00:00"/>
    <d v="2023-03-15T00:00:00"/>
    <x v="0"/>
    <m/>
    <m/>
    <m/>
    <m/>
    <m/>
    <m/>
    <s v="18281/SPP/008/PUSAT/ICON+/2022"/>
    <n v="4500017850"/>
    <m/>
    <m/>
    <m/>
    <m/>
    <m/>
    <m/>
    <m/>
    <m/>
    <m/>
    <m/>
    <m/>
    <m/>
    <m/>
  </r>
  <r>
    <n v="661"/>
    <s v="DCI Indonesia"/>
    <s v="PT Airpray International"/>
    <s v="Jl.Jend Sudirman Kav 52-53 Jakarta 12190"/>
    <x v="0"/>
    <m/>
    <m/>
    <s v="Sewa Tahunan"/>
    <s v="Cross Connect"/>
    <s v="PA/ACT/1912/2626 , PA/ACT/1912/2625"/>
    <m/>
    <m/>
    <m/>
    <m/>
    <m/>
    <n v="84000000"/>
    <m/>
    <m/>
    <n v="36000000"/>
    <m/>
    <d v="2022-01-27T00:00:00"/>
    <d v="2023-01-26T00:00:00"/>
    <x v="0"/>
    <m/>
    <m/>
    <m/>
    <m/>
    <m/>
    <m/>
    <s v="17624/SPP/008/PUSAT/ICON+/2022"/>
    <n v="4500017500"/>
    <m/>
    <m/>
    <m/>
    <m/>
    <m/>
    <m/>
    <m/>
    <m/>
    <m/>
    <m/>
    <m/>
    <m/>
    <m/>
  </r>
  <r>
    <n v="662"/>
    <s v="DCI Indonesia"/>
    <s v="PT Sokonindo"/>
    <s v="Jl.Jend Sudirman Kav 52-53 Jakarta 12190"/>
    <x v="0"/>
    <m/>
    <m/>
    <s v="Sewa Tahunan"/>
    <s v="Cross Connect"/>
    <s v="PA/ACT/1905/0269"/>
    <m/>
    <m/>
    <m/>
    <m/>
    <m/>
    <n v="155730480"/>
    <m/>
    <m/>
    <n v="18000000"/>
    <m/>
    <d v="2022-01-10T00:00:00"/>
    <d v="2023-01-09T00:00:00"/>
    <x v="0"/>
    <m/>
    <m/>
    <m/>
    <m/>
    <m/>
    <m/>
    <m/>
    <n v="4500017501"/>
    <m/>
    <m/>
    <m/>
    <m/>
    <m/>
    <m/>
    <m/>
    <m/>
    <m/>
    <m/>
    <m/>
    <m/>
    <m/>
  </r>
  <r>
    <n v="663"/>
    <s v="P3SRSBH Multivision Tower"/>
    <s v="Commonwealth Bank"/>
    <s v="Jakarta Selatan 00000"/>
    <x v="0"/>
    <m/>
    <m/>
    <s v="Sewa Tahunan"/>
    <s v="Colocation"/>
    <s v="PA/ACT/2107/0340"/>
    <m/>
    <m/>
    <m/>
    <m/>
    <m/>
    <n v="32400000"/>
    <m/>
    <m/>
    <n v="44000000"/>
    <m/>
    <d v="2022-01-01T00:00:00"/>
    <d v="2022-12-31T00:00:00"/>
    <x v="0"/>
    <m/>
    <m/>
    <m/>
    <m/>
    <m/>
    <m/>
    <s v="17478/SPP/008/PUSAT/ICON+/2022"/>
    <n v="4500017871"/>
    <m/>
    <m/>
    <m/>
    <m/>
    <m/>
    <m/>
    <m/>
    <m/>
    <m/>
    <m/>
    <m/>
    <m/>
    <m/>
  </r>
  <r>
    <n v="664"/>
    <s v="Indointernet"/>
    <s v="PT Sunvone Solusindo"/>
    <s v="Ciputat 00000"/>
    <x v="0"/>
    <m/>
    <m/>
    <s v="Sewa Tahunan"/>
    <s v="Colocation"/>
    <s v="AL/2006/23523"/>
    <m/>
    <m/>
    <m/>
    <m/>
    <m/>
    <n v="59400000"/>
    <m/>
    <m/>
    <n v="3500000"/>
    <m/>
    <d v="2022-01-01T00:00:00"/>
    <d v="2022-12-31T00:00:00"/>
    <x v="0"/>
    <m/>
    <m/>
    <m/>
    <m/>
    <m/>
    <m/>
    <m/>
    <n v="4500017132"/>
    <m/>
    <m/>
    <m/>
    <m/>
    <m/>
    <m/>
    <m/>
    <m/>
    <m/>
    <m/>
    <m/>
    <m/>
    <m/>
  </r>
  <r>
    <n v="665"/>
    <s v="Link Net"/>
    <s v="PT Supreme Energy Muara Laboh"/>
    <s v="Jakarta 12950"/>
    <x v="0"/>
    <m/>
    <m/>
    <s v="Sewa Tahunan"/>
    <s v="Interkoneksi"/>
    <s v="PA/ACT/1911/43662"/>
    <m/>
    <m/>
    <m/>
    <m/>
    <m/>
    <n v="192000000"/>
    <m/>
    <m/>
    <n v="126000000"/>
    <m/>
    <d v="2022-02-01T00:00:00"/>
    <d v="2023-01-31T00:00:00"/>
    <x v="0"/>
    <m/>
    <m/>
    <m/>
    <m/>
    <m/>
    <m/>
    <s v="18079/SPP/008/PUSAT/ICON+/2022"/>
    <n v="4500017790"/>
    <m/>
    <m/>
    <m/>
    <m/>
    <m/>
    <m/>
    <m/>
    <m/>
    <m/>
    <m/>
    <m/>
    <m/>
    <m/>
  </r>
  <r>
    <n v="666"/>
    <s v="Pelabuhan Indonesia II  (Persero)/PELINDO II"/>
    <s v="PT Taruna Bina Sarana"/>
    <s v="Jakarta Utara 14310"/>
    <x v="0"/>
    <m/>
    <m/>
    <s v="Sewa Tahunan"/>
    <s v="Colocation"/>
    <s v="ICON-00/SBC/1802/0359"/>
    <m/>
    <m/>
    <m/>
    <m/>
    <m/>
    <n v="49200000"/>
    <m/>
    <m/>
    <n v="8642700"/>
    <m/>
    <d v="2022-01-01T00:00:00"/>
    <d v="2022-12-31T00:00:00"/>
    <x v="0"/>
    <m/>
    <m/>
    <m/>
    <m/>
    <m/>
    <m/>
    <s v="17565/SPP/008/PUSAT/ICON+/2022"/>
    <n v="4500019109"/>
    <m/>
    <m/>
    <m/>
    <m/>
    <m/>
    <m/>
    <m/>
    <m/>
    <m/>
    <m/>
    <m/>
    <m/>
    <m/>
  </r>
  <r>
    <n v="667"/>
    <s v="PT Solusi Jasa Teknologi"/>
    <s v="PT Sarana Yukti Bandhana"/>
    <s v="Bogor 00000"/>
    <x v="0"/>
    <m/>
    <m/>
    <s v="Sewa Tahunan"/>
    <s v="Cross Connect"/>
    <s v="PA/ACT/2202/2483"/>
    <m/>
    <m/>
    <m/>
    <m/>
    <n v="5000000"/>
    <n v="132000000"/>
    <m/>
    <n v="2500000"/>
    <n v="12000000"/>
    <m/>
    <d v="2022-03-21T00:00:00"/>
    <d v="2023-03-20T00:00:00"/>
    <x v="0"/>
    <m/>
    <m/>
    <m/>
    <m/>
    <m/>
    <m/>
    <s v="18233/SPP/008/PUSAT/ICON+/2022"/>
    <n v="4500017773"/>
    <m/>
    <m/>
    <m/>
    <m/>
    <m/>
    <m/>
    <m/>
    <m/>
    <m/>
    <m/>
    <m/>
    <m/>
    <m/>
  </r>
  <r>
    <n v="668"/>
    <s v="Samudera Data Indonesia"/>
    <s v="PT Nosairis Teknologi Solutions"/>
    <s v="Jakarta Selata 12710"/>
    <x v="0"/>
    <m/>
    <m/>
    <s v="Sewa Tahunan"/>
    <s v="Cross Connect"/>
    <s v="PA/ACT/2201/1485"/>
    <m/>
    <m/>
    <m/>
    <m/>
    <n v="5000000"/>
    <n v="38568000"/>
    <m/>
    <m/>
    <n v="12000000"/>
    <m/>
    <d v="2022-02-01T00:00:00"/>
    <d v="2023-01-31T00:00:00"/>
    <x v="0"/>
    <m/>
    <m/>
    <m/>
    <m/>
    <m/>
    <m/>
    <s v="17759/SPP/008/PUSAT/ICON+/2022"/>
    <n v="4500017597"/>
    <m/>
    <m/>
    <m/>
    <m/>
    <m/>
    <m/>
    <m/>
    <m/>
    <m/>
    <m/>
    <m/>
    <m/>
    <m/>
  </r>
  <r>
    <n v="669"/>
    <s v="Jakarta Industrial Estate Pulogadung (Persero) (JIEP) "/>
    <s v="PT Kabelindo Murni Tbk"/>
    <s v="Jakarta 00000"/>
    <x v="0"/>
    <m/>
    <m/>
    <s v="Sewa Tahunan"/>
    <s v="Colocation"/>
    <s v="PA/ACT/2201/0883"/>
    <m/>
    <m/>
    <m/>
    <m/>
    <n v="4000000"/>
    <n v="414000000"/>
    <m/>
    <m/>
    <n v="13594500"/>
    <m/>
    <d v="2022-02-23T00:00:00"/>
    <d v="2023-02-22T00:00:00"/>
    <x v="0"/>
    <m/>
    <m/>
    <m/>
    <m/>
    <m/>
    <m/>
    <s v="18026/SPP/008/PUSAT/ICON+/2022"/>
    <n v="4500017659"/>
    <m/>
    <m/>
    <m/>
    <m/>
    <m/>
    <m/>
    <m/>
    <m/>
    <m/>
    <m/>
    <m/>
    <m/>
    <m/>
  </r>
  <r>
    <n v="670"/>
    <s v="PT Bright Honey Lady "/>
    <s v="PT Twoba Box Ind0nesia"/>
    <s v="Jakarta Utara 14440"/>
    <x v="0"/>
    <m/>
    <m/>
    <s v="Sewa Tahunan"/>
    <s v="Cross Connect"/>
    <s v="PA/ACT/2202/1364"/>
    <m/>
    <m/>
    <m/>
    <m/>
    <m/>
    <n v="600000000"/>
    <m/>
    <m/>
    <n v="35000000"/>
    <m/>
    <d v="2022-03-01T00:00:00"/>
    <d v="2023-02-28T00:00:00"/>
    <x v="0"/>
    <m/>
    <m/>
    <m/>
    <m/>
    <m/>
    <m/>
    <s v="18116/SPP/008/PUSAT/ICON+/2022"/>
    <n v="4500017682"/>
    <m/>
    <m/>
    <m/>
    <m/>
    <m/>
    <m/>
    <m/>
    <m/>
    <m/>
    <m/>
    <m/>
    <m/>
    <m/>
  </r>
  <r>
    <n v="671"/>
    <s v="PT Oleos Kirana Pratama"/>
    <s v="PT Arnotts Indonesia"/>
    <s v="Jakarta Selatan 00000"/>
    <x v="0"/>
    <m/>
    <m/>
    <s v="Sewa Tahunan"/>
    <s v="Colocation"/>
    <s v="PA/ACT/2112/1376"/>
    <m/>
    <m/>
    <m/>
    <m/>
    <n v="5000000"/>
    <n v="34024992"/>
    <m/>
    <m/>
    <n v="5000000"/>
    <m/>
    <d v="2022-03-01T00:00:00"/>
    <d v="2023-02-28T00:00:00"/>
    <x v="0"/>
    <m/>
    <m/>
    <m/>
    <m/>
    <m/>
    <m/>
    <s v="18070/SPP/008/PUSAT/ICON+/2022"/>
    <n v="4500018001"/>
    <m/>
    <m/>
    <m/>
    <m/>
    <m/>
    <m/>
    <m/>
    <m/>
    <m/>
    <m/>
    <m/>
    <m/>
    <m/>
  </r>
  <r>
    <n v="672"/>
    <s v="Infrastruktur Cakrawala Telekomunikasi"/>
    <s v="PT Mitra Visioner Pratama"/>
    <s v="Bekasi 17530"/>
    <x v="0"/>
    <m/>
    <m/>
    <s v="Sewa Tahunan"/>
    <s v="Cross Connect"/>
    <s v="PA/ACT/2202/2688/TER"/>
    <m/>
    <m/>
    <m/>
    <m/>
    <m/>
    <n v="21600000"/>
    <m/>
    <m/>
    <n v="12714168"/>
    <m/>
    <d v="2022-03-01T00:00:00"/>
    <d v="2023-02-28T00:00:00"/>
    <x v="0"/>
    <m/>
    <m/>
    <m/>
    <m/>
    <m/>
    <m/>
    <s v="18064/SPP/008/PUSAT/ICON+/2022"/>
    <n v="4500017658"/>
    <m/>
    <m/>
    <m/>
    <m/>
    <m/>
    <m/>
    <m/>
    <m/>
    <m/>
    <m/>
    <m/>
    <m/>
    <m/>
  </r>
  <r>
    <n v="673"/>
    <s v="Detik Ini Juga "/>
    <s v="PT Alfa Retailindo"/>
    <s v="Jakarta Selatan 12790"/>
    <x v="0"/>
    <m/>
    <m/>
    <s v="Sewa Tahunan"/>
    <s v="Interkoneksi"/>
    <s v="PA/ACT/2112/0100/TER"/>
    <m/>
    <m/>
    <m/>
    <m/>
    <n v="3000000"/>
    <n v="48600000"/>
    <m/>
    <n v="2500000"/>
    <n v="33600000"/>
    <m/>
    <d v="2022-02-04T00:00:00"/>
    <d v="2023-02-03T00:00:00"/>
    <x v="0"/>
    <m/>
    <m/>
    <m/>
    <m/>
    <m/>
    <m/>
    <s v="17695/SPP/008/PUSAT/ICON+/2022"/>
    <n v="4500017527"/>
    <m/>
    <m/>
    <m/>
    <m/>
    <m/>
    <m/>
    <m/>
    <m/>
    <m/>
    <m/>
    <m/>
    <m/>
    <m/>
  </r>
  <r>
    <n v="674"/>
    <s v="Hipernet Indodata "/>
    <s v="Badan Riset dan Inovasi Nasional"/>
    <s v="Grogol Pertamburan Jakarta Barat 11450"/>
    <x v="0"/>
    <m/>
    <m/>
    <s v="Sewa Tahunan"/>
    <s v="Interkoneksi"/>
    <s v="PA/ACT/2112/2341 , PA/ACT/2112/2236 , PA/ACT/2112/2143 , PA/ACT/2112/1723 , PA/ACT/2112/2191"/>
    <m/>
    <m/>
    <m/>
    <m/>
    <m/>
    <n v="154344727"/>
    <m/>
    <m/>
    <n v="56210000"/>
    <m/>
    <d v="2022-01-01T00:00:00"/>
    <d v="2022-12-31T00:00:00"/>
    <x v="0"/>
    <m/>
    <m/>
    <m/>
    <m/>
    <m/>
    <m/>
    <s v="17562/SPP/008/PUSAT/ICON+/2022"/>
    <n v="4500017364"/>
    <m/>
    <m/>
    <m/>
    <m/>
    <m/>
    <m/>
    <m/>
    <m/>
    <m/>
    <m/>
    <m/>
    <m/>
    <m/>
  </r>
  <r>
    <n v="675"/>
    <s v="Hipernet Indodata "/>
    <s v="Badan Riset dan Inovasi Nasional"/>
    <s v="Grogol Pertamburan Jakarta Barat 11450"/>
    <x v="0"/>
    <m/>
    <m/>
    <s v="Sewa Bulanan"/>
    <s v="Interkoneksi"/>
    <s v="PA/ACT/2112/3236"/>
    <m/>
    <m/>
    <m/>
    <m/>
    <m/>
    <n v="818181"/>
    <m/>
    <m/>
    <n v="13727273"/>
    <m/>
    <d v="2022-02-01T00:00:00"/>
    <d v="2023-02-28T00:00:00"/>
    <x v="0"/>
    <m/>
    <m/>
    <m/>
    <m/>
    <m/>
    <m/>
    <s v="17840/SPP/008/PUSAT/ICON+/2022"/>
    <n v="4500017628"/>
    <m/>
    <m/>
    <m/>
    <m/>
    <m/>
    <m/>
    <m/>
    <m/>
    <m/>
    <m/>
    <m/>
    <m/>
    <m/>
  </r>
  <r>
    <n v="676"/>
    <s v="PT Sigma Cipta Caraka"/>
    <s v="PT Bank Victoria International"/>
    <s v="Tanggerang 15321"/>
    <x v="0"/>
    <m/>
    <m/>
    <s v="Sewa Tahunan"/>
    <s v="Cross Connect"/>
    <s v="PA/ACT/2109/3044/TER"/>
    <m/>
    <m/>
    <m/>
    <m/>
    <n v="2500000"/>
    <n v="36000000"/>
    <m/>
    <n v="3000000"/>
    <n v="6000000"/>
    <m/>
    <d v="2022-02-14T00:00:00"/>
    <d v="2023-02-13T00:00:00"/>
    <x v="0"/>
    <m/>
    <m/>
    <m/>
    <m/>
    <m/>
    <m/>
    <s v="17688/SPP/008/PUSAT/ICON+/2022"/>
    <n v="4500017502"/>
    <m/>
    <m/>
    <m/>
    <m/>
    <m/>
    <m/>
    <m/>
    <m/>
    <m/>
    <m/>
    <m/>
    <m/>
    <m/>
  </r>
  <r>
    <n v="677"/>
    <s v="Dinamika Raya Prima"/>
    <s v="PT Prawathiya Karsa Pradiptha"/>
    <s v="Jl.Jend Sudirman Kav 10-11 Jakarta Pusat 00000"/>
    <x v="0"/>
    <m/>
    <m/>
    <s v="Sewa Tahunan"/>
    <s v="Cross Connect"/>
    <s v="PA/ACT/2201/2302"/>
    <m/>
    <m/>
    <m/>
    <m/>
    <n v="12000000"/>
    <n v="72000000"/>
    <m/>
    <n v="3000000"/>
    <n v="12000000"/>
    <m/>
    <d v="2022-02-10T00:00:00"/>
    <d v="2023-02-09T00:00:00"/>
    <x v="0"/>
    <m/>
    <m/>
    <m/>
    <m/>
    <m/>
    <m/>
    <s v="17921/SPP/008/PUSAT/ICON+/2022"/>
    <n v="4500017633"/>
    <m/>
    <m/>
    <m/>
    <m/>
    <m/>
    <m/>
    <m/>
    <m/>
    <m/>
    <m/>
    <m/>
    <m/>
    <m/>
  </r>
  <r>
    <n v="678"/>
    <s v="DCI Indonesia"/>
    <s v="PT Nosairis Teknologi Solutions"/>
    <s v="Jl.Jend Sudirman Kav 52-53 Jakarta 12190"/>
    <x v="0"/>
    <m/>
    <m/>
    <s v="Sewa Tahunan"/>
    <s v="Cross Connect"/>
    <s v="PA/ACT/2201/1485/TER , PA/ACT/2201/1486/TER"/>
    <m/>
    <m/>
    <m/>
    <m/>
    <n v="5000000"/>
    <n v="71928000"/>
    <m/>
    <n v="1500000"/>
    <n v="18000000"/>
    <m/>
    <d v="2022-02-08T00:00:00"/>
    <d v="2023-02-07T00:00:00"/>
    <x v="0"/>
    <m/>
    <m/>
    <m/>
    <m/>
    <m/>
    <m/>
    <m/>
    <n v="4500017576"/>
    <m/>
    <m/>
    <m/>
    <m/>
    <m/>
    <m/>
    <m/>
    <m/>
    <m/>
    <m/>
    <m/>
    <m/>
    <m/>
  </r>
  <r>
    <n v="679"/>
    <s v="PT Parsaoran Global Datarans"/>
    <s v="Badan Riset dan Inovasi Nasional"/>
    <s v="Jakarta Selatan 12760"/>
    <x v="0"/>
    <m/>
    <m/>
    <s v="Sewa Tahunan"/>
    <s v="Interkoneksi"/>
    <s v="PA/ACT/2112/2143"/>
    <m/>
    <m/>
    <m/>
    <m/>
    <m/>
    <n v="21818181"/>
    <m/>
    <m/>
    <n v="15000000"/>
    <m/>
    <d v="2022-01-01T00:00:00"/>
    <d v="2022-12-31T00:00:00"/>
    <x v="0"/>
    <m/>
    <m/>
    <m/>
    <m/>
    <m/>
    <m/>
    <s v="17603/SPP/008/PUSAT/ICON+/2021"/>
    <n v="4500017424"/>
    <m/>
    <m/>
    <m/>
    <m/>
    <m/>
    <m/>
    <m/>
    <m/>
    <m/>
    <m/>
    <m/>
    <m/>
    <m/>
  </r>
  <r>
    <n v="680"/>
    <s v="DCI Indonesia"/>
    <s v="PT Trans Mikro"/>
    <s v="Jakarta 12190"/>
    <x v="0"/>
    <m/>
    <m/>
    <s v="Sewa Tahunan"/>
    <s v="Cross Connect"/>
    <s v="PA/ACT/2112/3940/ORI"/>
    <m/>
    <m/>
    <m/>
    <m/>
    <n v="3500000"/>
    <n v="54000000"/>
    <m/>
    <n v="1500000"/>
    <n v="18000000"/>
    <m/>
    <d v="2022-01-26T00:00:00"/>
    <d v="2023-01-25T00:00:00"/>
    <x v="0"/>
    <m/>
    <m/>
    <m/>
    <m/>
    <m/>
    <m/>
    <s v="17615/SPP/008/PUSAT/ICON+/2022"/>
    <n v="4500017451"/>
    <m/>
    <m/>
    <m/>
    <m/>
    <m/>
    <m/>
    <m/>
    <m/>
    <m/>
    <m/>
    <m/>
    <m/>
    <m/>
  </r>
  <r>
    <n v="681"/>
    <s v="Media Nusantara Data Global "/>
    <s v="PT Dwi Tunggal Putra"/>
    <s v="Jakarta Selatan 12710"/>
    <x v="0"/>
    <m/>
    <m/>
    <s v="Sewa Tahunan"/>
    <s v="Cross Connect"/>
    <s v="PA/ACT/2112/2028"/>
    <m/>
    <m/>
    <m/>
    <m/>
    <n v="5000000"/>
    <n v="1080000000"/>
    <m/>
    <n v="1500000"/>
    <n v="18000000"/>
    <m/>
    <d v="2022-01-17T00:00:00"/>
    <d v="2023-01-16T00:00:00"/>
    <x v="0"/>
    <m/>
    <m/>
    <m/>
    <m/>
    <m/>
    <m/>
    <s v="17672/SPP/008/PUSAT/ICON+/2022"/>
    <n v="4500017499"/>
    <m/>
    <m/>
    <m/>
    <m/>
    <m/>
    <m/>
    <m/>
    <m/>
    <m/>
    <m/>
    <m/>
    <m/>
    <m/>
  </r>
  <r>
    <n v="682"/>
    <s v="Aplikanusa Lintasarta"/>
    <s v="Badan Riset dan Inovasi Nasional"/>
    <s v="Jakarta Pusat 10250"/>
    <x v="0"/>
    <m/>
    <m/>
    <s v="Sewa Bulanan"/>
    <s v="Interkoneksi"/>
    <s v="PA/ACT/2112/1723"/>
    <m/>
    <m/>
    <m/>
    <m/>
    <m/>
    <n v="73909091"/>
    <m/>
    <m/>
    <n v="19000000"/>
    <m/>
    <d v="2022-01-01T00:00:00"/>
    <d v="2022-01-31T00:00:00"/>
    <x v="0"/>
    <m/>
    <m/>
    <m/>
    <m/>
    <m/>
    <m/>
    <s v="17604/SPP/008/PUSAT/ICON+/2022"/>
    <n v="4500017422"/>
    <m/>
    <m/>
    <m/>
    <m/>
    <m/>
    <m/>
    <m/>
    <m/>
    <m/>
    <m/>
    <m/>
    <m/>
    <m/>
  </r>
  <r>
    <n v="683"/>
    <s v="Phinisindo Zamrud Nusantara"/>
    <s v="Bank Mega"/>
    <s v="Depok 16431"/>
    <x v="0"/>
    <m/>
    <m/>
    <s v="Sewa Tahunan"/>
    <s v="Colocation"/>
    <s v="ICON-00/ACT/1706/0466"/>
    <m/>
    <m/>
    <m/>
    <m/>
    <m/>
    <n v="34800000"/>
    <m/>
    <m/>
    <n v="1700000"/>
    <m/>
    <d v="2022-01-08T00:00:00"/>
    <d v="2023-01-07T00:00:00"/>
    <x v="0"/>
    <m/>
    <m/>
    <m/>
    <m/>
    <m/>
    <m/>
    <m/>
    <n v="4500017487"/>
    <m/>
    <m/>
    <m/>
    <m/>
    <m/>
    <m/>
    <m/>
    <m/>
    <m/>
    <m/>
    <m/>
    <m/>
    <m/>
  </r>
  <r>
    <n v="684"/>
    <s v="Media Nusantara Data Global "/>
    <s v="Improvement Link"/>
    <s v="Jakarta Selatan 12710"/>
    <x v="0"/>
    <m/>
    <m/>
    <s v="Sewa Tahunan"/>
    <s v="Cross Connect"/>
    <m/>
    <m/>
    <m/>
    <m/>
    <m/>
    <m/>
    <m/>
    <m/>
    <m/>
    <n v="18000000"/>
    <m/>
    <d v="2022-02-02T00:00:00"/>
    <d v="2023-02-01T00:00:00"/>
    <x v="0"/>
    <m/>
    <m/>
    <m/>
    <m/>
    <m/>
    <m/>
    <s v="17719/SPP/008/PUSAT/ICON+/2022"/>
    <n v="4500017575"/>
    <m/>
    <m/>
    <m/>
    <m/>
    <m/>
    <m/>
    <m/>
    <m/>
    <m/>
    <m/>
    <m/>
    <m/>
    <m/>
  </r>
  <r>
    <n v="685"/>
    <s v="Bit Teknologi Nusantara "/>
    <s v="PT NTT Indonesia "/>
    <s v="Jakarta 12210"/>
    <x v="0"/>
    <m/>
    <m/>
    <s v="Sewa Bulanan"/>
    <s v="Interkoneksi"/>
    <s v="PA/ACT/2201/0094"/>
    <m/>
    <m/>
    <m/>
    <m/>
    <m/>
    <n v="232000000"/>
    <m/>
    <m/>
    <n v="4784000"/>
    <m/>
    <d v="2022-02-26T00:00:00"/>
    <d v="2023-07-21T00:00:00"/>
    <x v="0"/>
    <m/>
    <m/>
    <m/>
    <m/>
    <m/>
    <m/>
    <s v="18228/SPP/008/PUSAT/ICON+/2022"/>
    <n v="4500017771"/>
    <m/>
    <m/>
    <m/>
    <m/>
    <m/>
    <m/>
    <m/>
    <m/>
    <m/>
    <m/>
    <m/>
    <m/>
    <m/>
  </r>
  <r>
    <n v="686"/>
    <s v="Serpong Mas Telematika"/>
    <s v="PT PLN "/>
    <s v="Jakarta 15345"/>
    <x v="0"/>
    <m/>
    <m/>
    <s v="Sewa Tahunan"/>
    <s v="Interkoneksi"/>
    <s v="PA/RLK/1903/0003"/>
    <m/>
    <m/>
    <m/>
    <m/>
    <m/>
    <n v="89296800"/>
    <m/>
    <m/>
    <n v="11160000"/>
    <m/>
    <d v="2021-12-01T00:00:00"/>
    <d v="2022-11-30T00:00:00"/>
    <x v="0"/>
    <m/>
    <m/>
    <m/>
    <m/>
    <m/>
    <m/>
    <s v="16831/SPP/008/PUSAT/ICON+/2022"/>
    <n v="4500017490"/>
    <m/>
    <s v="Masrukhan"/>
    <s v="+62 812-9844-8648"/>
    <m/>
    <m/>
    <m/>
    <m/>
    <m/>
    <m/>
    <m/>
    <m/>
    <m/>
    <m/>
  </r>
  <r>
    <n v="687"/>
    <s v="PT Menara Thamrin"/>
    <s v="PT Aplikanusa Lintasarta"/>
    <s v="Jakarta 10250"/>
    <x v="0"/>
    <m/>
    <m/>
    <s v="Sewa Tahunan"/>
    <s v="Colocation"/>
    <s v="PA/ACT/1804/020"/>
    <m/>
    <m/>
    <m/>
    <m/>
    <m/>
    <n v="324000000"/>
    <m/>
    <m/>
    <n v="21000000"/>
    <m/>
    <d v="2020-02-14T00:00:00"/>
    <d v="2022-05-13T00:00:00"/>
    <x v="0"/>
    <m/>
    <m/>
    <m/>
    <m/>
    <m/>
    <m/>
    <s v="15439/SPP/008/PUSAT/ICON+/2021"/>
    <n v="4500016004"/>
    <m/>
    <m/>
    <m/>
    <m/>
    <m/>
    <m/>
    <m/>
    <m/>
    <m/>
    <m/>
    <m/>
    <m/>
    <m/>
  </r>
  <r>
    <n v="688"/>
    <s v="PT MNC Kabel Mediacom"/>
    <s v="PT Santos Jaya Abadi"/>
    <s v="Jakarta 10340"/>
    <x v="0"/>
    <m/>
    <m/>
    <s v="Sewa Bulanan"/>
    <s v="Interkoneksi"/>
    <s v="AL/2105/30861"/>
    <m/>
    <m/>
    <m/>
    <m/>
    <m/>
    <n v="42000000"/>
    <m/>
    <m/>
    <n v="21630000"/>
    <m/>
    <d v="2022-04-25T00:00:00"/>
    <d v="2022-08-31T00:00:00"/>
    <x v="0"/>
    <m/>
    <m/>
    <m/>
    <m/>
    <m/>
    <m/>
    <s v="18353/SPP/008/PUSAT/ICON+/2022"/>
    <n v="4500017897"/>
    <m/>
    <m/>
    <m/>
    <m/>
    <m/>
    <m/>
    <m/>
    <m/>
    <m/>
    <m/>
    <m/>
    <m/>
    <m/>
  </r>
  <r>
    <n v="689"/>
    <s v="Grahalestari Ciptakencana"/>
    <s v="PT Vopak Terminal Merak , PC Ketapang II LTD"/>
    <s v="Jakarta 12710"/>
    <x v="0"/>
    <m/>
    <m/>
    <s v="Sewa Tahunan"/>
    <s v="Colocation"/>
    <s v="ICON-00/ACT/1711/0378 , AL/2006/18858 , AL/2005/16302"/>
    <m/>
    <m/>
    <m/>
    <m/>
    <m/>
    <n v="222000000"/>
    <m/>
    <m/>
    <n v="90000000"/>
    <m/>
    <d v="2022-03-30T00:00:00"/>
    <d v="2023-03-29T00:00:00"/>
    <x v="0"/>
    <m/>
    <m/>
    <m/>
    <m/>
    <m/>
    <m/>
    <s v="18271/SPP/008/PUSAT/ICON+/2022"/>
    <n v="4500017801"/>
    <m/>
    <m/>
    <m/>
    <m/>
    <m/>
    <m/>
    <m/>
    <m/>
    <m/>
    <m/>
    <m/>
    <m/>
    <m/>
  </r>
  <r>
    <n v="690"/>
    <s v="PT Sigma Cipta Caraka"/>
    <s v="PT Federal International Finance"/>
    <s v="Tanggerang 15321"/>
    <x v="0"/>
    <m/>
    <m/>
    <s v="Sewa Tahunan"/>
    <s v="Cross Connect"/>
    <s v="PA/ACT/1812/0388"/>
    <m/>
    <m/>
    <m/>
    <m/>
    <m/>
    <n v="528000000"/>
    <m/>
    <m/>
    <n v="6000000"/>
    <m/>
    <d v="2022-04-16T00:00:00"/>
    <d v="2023-04-15T00:00:00"/>
    <x v="0"/>
    <m/>
    <m/>
    <m/>
    <m/>
    <m/>
    <m/>
    <s v="18324/SPP/008/PUSAT/ICON+/2022"/>
    <n v="4500017852"/>
    <m/>
    <m/>
    <m/>
    <m/>
    <m/>
    <m/>
    <m/>
    <m/>
    <m/>
    <m/>
    <m/>
    <m/>
    <m/>
  </r>
  <r>
    <n v="691"/>
    <s v="PT KAI Commuter Jabodetabek"/>
    <s v="PT Indonesia Comnet Plus"/>
    <s v="Jakarta Pusat 00000"/>
    <x v="0"/>
    <m/>
    <m/>
    <s v="Sewa Tahunan"/>
    <s v="Colocation"/>
    <m/>
    <m/>
    <m/>
    <m/>
    <m/>
    <m/>
    <m/>
    <m/>
    <m/>
    <n v="105010000"/>
    <m/>
    <d v="2021-07-29T00:00:00"/>
    <d v="2024-07-28T00:00:00"/>
    <x v="0"/>
    <m/>
    <m/>
    <m/>
    <m/>
    <m/>
    <m/>
    <s v="18036/SPP/008/PUSAT/ICON+/2022"/>
    <n v="4500017709"/>
    <m/>
    <m/>
    <m/>
    <m/>
    <m/>
    <m/>
    <m/>
    <m/>
    <m/>
    <m/>
    <m/>
    <m/>
    <m/>
  </r>
  <r>
    <n v="692"/>
    <s v="PT KAI Commuter Jabodetabek"/>
    <s v="PT Indonesia Comnet Plus"/>
    <s v="Jakarta Pusat 00000"/>
    <x v="0"/>
    <m/>
    <m/>
    <s v="Sewa Tahunan"/>
    <s v="Colocation"/>
    <m/>
    <m/>
    <m/>
    <m/>
    <m/>
    <m/>
    <m/>
    <m/>
    <m/>
    <n v="105010000"/>
    <m/>
    <d v="2021-10-21T00:00:00"/>
    <d v="2024-10-20T00:00:00"/>
    <x v="0"/>
    <m/>
    <m/>
    <m/>
    <m/>
    <m/>
    <m/>
    <s v="18034/SPP/008/PUSAT/ICON+/2022"/>
    <n v="4500017708"/>
    <m/>
    <m/>
    <m/>
    <m/>
    <m/>
    <m/>
    <m/>
    <m/>
    <m/>
    <m/>
    <m/>
    <m/>
    <m/>
  </r>
  <r>
    <n v="693"/>
    <s v="Duta Pertiwi "/>
    <s v="PT Bank Sinarmas "/>
    <s v="Jakarta Utara 14430"/>
    <x v="0"/>
    <m/>
    <m/>
    <s v="Sewa Tahunan"/>
    <s v="Colocation"/>
    <s v="AL/2008/38045"/>
    <m/>
    <m/>
    <m/>
    <m/>
    <m/>
    <n v="44000000"/>
    <m/>
    <m/>
    <n v="15136000"/>
    <m/>
    <d v="2022-01-27T00:00:00"/>
    <d v="2023-01-26T00:00:00"/>
    <x v="0"/>
    <m/>
    <m/>
    <m/>
    <m/>
    <m/>
    <m/>
    <s v="17742/SPP/008/PUSAT/ICON+/2022"/>
    <n v="4500017587"/>
    <m/>
    <m/>
    <m/>
    <m/>
    <m/>
    <m/>
    <m/>
    <m/>
    <m/>
    <m/>
    <m/>
    <m/>
    <m/>
  </r>
  <r>
    <n v="694"/>
    <s v="CBN Nusantara"/>
    <s v="PT Cyberindo Aditama "/>
    <s v="Jakarta 00000"/>
    <x v="0"/>
    <m/>
    <m/>
    <s v="Sewa Tahunan"/>
    <s v="Colocation"/>
    <s v="ICON-00/ACT/1710/0264"/>
    <m/>
    <m/>
    <m/>
    <m/>
    <m/>
    <n v="276000000"/>
    <m/>
    <m/>
    <n v="8000000"/>
    <m/>
    <d v="2021-11-10T00:00:00"/>
    <d v="2022-11-09T00:00:00"/>
    <x v="0"/>
    <m/>
    <m/>
    <m/>
    <m/>
    <m/>
    <m/>
    <m/>
    <n v="4500018400"/>
    <m/>
    <m/>
    <m/>
    <m/>
    <m/>
    <m/>
    <m/>
    <m/>
    <m/>
    <m/>
    <m/>
    <m/>
    <m/>
  </r>
  <r>
    <n v="695"/>
    <s v="Duta Pertiwi "/>
    <s v="PT Trans Retail Indonesia"/>
    <s v="Jakarta Utara 14430"/>
    <x v="0"/>
    <m/>
    <m/>
    <s v="Sewa Tahunan"/>
    <s v="Colocation"/>
    <s v="ICON-00/SOP/1403/0019"/>
    <m/>
    <m/>
    <m/>
    <m/>
    <m/>
    <n v="54000000"/>
    <m/>
    <m/>
    <n v="38500000"/>
    <m/>
    <d v="2022-08-27T00:00:00"/>
    <d v="2023-08-26T00:00:00"/>
    <x v="0"/>
    <m/>
    <m/>
    <m/>
    <m/>
    <m/>
    <m/>
    <m/>
    <n v="4500018257"/>
    <m/>
    <m/>
    <m/>
    <m/>
    <m/>
    <m/>
    <m/>
    <m/>
    <m/>
    <m/>
    <m/>
    <m/>
    <m/>
  </r>
  <r>
    <n v="696"/>
    <s v="Bit Teknologi Nusantara "/>
    <s v="PT NTT Indonesia "/>
    <s v="Jakarta 12210"/>
    <x v="0"/>
    <m/>
    <m/>
    <s v="Sewa Tahunan"/>
    <s v="Interkoneksi"/>
    <s v="PA/RLK/2201/0094"/>
    <m/>
    <m/>
    <m/>
    <m/>
    <m/>
    <n v="556800000"/>
    <m/>
    <m/>
    <n v="120000000"/>
    <m/>
    <d v="2021-07-22T00:00:00"/>
    <d v="2023-07-21T00:00:00"/>
    <x v="0"/>
    <m/>
    <m/>
    <m/>
    <m/>
    <m/>
    <m/>
    <s v="19175/SPP/008/PUSAT/ICON+/2022"/>
    <n v="4500018443"/>
    <m/>
    <m/>
    <m/>
    <m/>
    <m/>
    <m/>
    <m/>
    <m/>
    <m/>
    <m/>
    <m/>
    <m/>
    <m/>
  </r>
  <r>
    <n v="697"/>
    <s v="Infrastruktur Cakrawala Telekomunikasi"/>
    <s v="PT Milenial Inti Telekomunikasi , RS Hrapan Keluarga"/>
    <s v="Bekasi 17530"/>
    <x v="0"/>
    <m/>
    <m/>
    <s v="Sewa Tahunan"/>
    <s v="Cross Connect"/>
    <s v="PA/ACT/2207/2494/TER"/>
    <m/>
    <m/>
    <m/>
    <m/>
    <n v="3500000"/>
    <n v="48000000"/>
    <m/>
    <m/>
    <n v="26143452"/>
    <m/>
    <d v="2022-07-26T00:00:00"/>
    <d v="2023-07-25T00:00:00"/>
    <x v="0"/>
    <m/>
    <m/>
    <m/>
    <m/>
    <m/>
    <m/>
    <s v="19312/SPP/008/PUSAT/ICON+/2022"/>
    <n v="4500018458"/>
    <m/>
    <m/>
    <m/>
    <m/>
    <m/>
    <m/>
    <m/>
    <m/>
    <m/>
    <m/>
    <m/>
    <m/>
    <m/>
  </r>
  <r>
    <n v="698"/>
    <s v="Serpong Mas Telematika"/>
    <s v="PT Aeon Indonesia"/>
    <s v="Jakarta 15345"/>
    <x v="0"/>
    <m/>
    <m/>
    <s v="Sewa Tahunan"/>
    <s v="Interkoneksi"/>
    <s v="PA/ACT/2207/2501/TER"/>
    <m/>
    <m/>
    <m/>
    <m/>
    <n v="5000000"/>
    <n v="114000000"/>
    <m/>
    <n v="3000000"/>
    <n v="73710000"/>
    <m/>
    <d v="2022-09-21T00:00:00"/>
    <d v="2023-09-20T00:00:00"/>
    <x v="0"/>
    <m/>
    <m/>
    <m/>
    <m/>
    <m/>
    <m/>
    <s v="19448/SPP/008/PUSAT/ICON+/2022"/>
    <n v="4500018568"/>
    <m/>
    <s v="Masrukhan"/>
    <s v="+62 812-9844-8648"/>
    <m/>
    <m/>
    <m/>
    <m/>
    <m/>
    <m/>
    <m/>
    <m/>
    <m/>
    <m/>
  </r>
  <r>
    <n v="699"/>
    <s v="PT MNC Kabel Mediacom"/>
    <s v="PT Santos Jaya Abadi"/>
    <s v="Jakarta 10340"/>
    <x v="0"/>
    <m/>
    <m/>
    <s v="Sewa Tahunan"/>
    <s v="Interkoneksi"/>
    <s v="AL/2105/30861"/>
    <m/>
    <m/>
    <m/>
    <m/>
    <m/>
    <n v="120000000"/>
    <m/>
    <m/>
    <n v="61800000"/>
    <m/>
    <d v="2022-09-01T00:00:00"/>
    <d v="2023-08-31T00:00:00"/>
    <x v="0"/>
    <m/>
    <m/>
    <m/>
    <m/>
    <m/>
    <m/>
    <s v="19245/SPP/008/PUSAT/ICON+/2022"/>
    <n v="4500018424"/>
    <m/>
    <m/>
    <m/>
    <m/>
    <m/>
    <m/>
    <m/>
    <m/>
    <m/>
    <m/>
    <m/>
    <m/>
    <m/>
  </r>
  <r>
    <n v="700"/>
    <s v="Indointernet"/>
    <s v="PT Hitachi Construction Machinery Indonesia"/>
    <s v="Ciputat 00000"/>
    <x v="0"/>
    <m/>
    <m/>
    <s v="Sewa Tahunan"/>
    <s v="Interkoneksi"/>
    <s v="ICON-00/SBC/1710/2154"/>
    <m/>
    <m/>
    <m/>
    <m/>
    <m/>
    <n v="120000000"/>
    <m/>
    <m/>
    <n v="90000000"/>
    <m/>
    <d v="2022-08-01T00:00:00"/>
    <d v="2023-07-31T00:00:00"/>
    <x v="0"/>
    <m/>
    <m/>
    <m/>
    <m/>
    <m/>
    <m/>
    <s v="19191/SPP/008/PUSAT/ICON+/2022"/>
    <n v="4500018422"/>
    <m/>
    <m/>
    <m/>
    <m/>
    <m/>
    <m/>
    <m/>
    <m/>
    <m/>
    <m/>
    <m/>
    <m/>
    <m/>
  </r>
  <r>
    <n v="701"/>
    <s v="Bit Teknologi Nusantara "/>
    <s v="PT Serasi Auto Raya"/>
    <s v="Jakarta 12210"/>
    <x v="0"/>
    <m/>
    <m/>
    <s v="Sewa Tahunan"/>
    <s v="Interkoneksi"/>
    <s v="PA/ACT/1907/1761"/>
    <m/>
    <m/>
    <m/>
    <m/>
    <m/>
    <n v="99120000"/>
    <m/>
    <m/>
    <n v="24000000"/>
    <m/>
    <d v="2022-07-29T00:00:00"/>
    <d v="2023-07-28T00:00:00"/>
    <x v="0"/>
    <m/>
    <m/>
    <m/>
    <m/>
    <m/>
    <m/>
    <s v="19189/SPP/008/PUSAT/ICON+/2022"/>
    <n v="4500018421"/>
    <m/>
    <m/>
    <m/>
    <m/>
    <m/>
    <m/>
    <m/>
    <m/>
    <m/>
    <m/>
    <m/>
    <m/>
    <m/>
  </r>
  <r>
    <n v="702"/>
    <s v="Media Nusantara Data Global "/>
    <s v="PT Inti Data Telematika"/>
    <s v="Jakarta Selatan 12710"/>
    <x v="0"/>
    <m/>
    <m/>
    <s v="Sewa Tahunan"/>
    <s v="Cross Connect"/>
    <s v="PA/ACT/2104/2689"/>
    <m/>
    <m/>
    <m/>
    <m/>
    <m/>
    <n v="300000000"/>
    <m/>
    <m/>
    <n v="36000000"/>
    <m/>
    <d v="2022-04-29T00:00:00"/>
    <d v="2023-04-28T00:00:00"/>
    <x v="0"/>
    <m/>
    <m/>
    <m/>
    <m/>
    <m/>
    <m/>
    <s v="18706/SPP/008/PUSAT/ICON+/2022"/>
    <n v="4500018118"/>
    <m/>
    <m/>
    <m/>
    <m/>
    <m/>
    <m/>
    <m/>
    <m/>
    <m/>
    <m/>
    <m/>
    <m/>
    <m/>
  </r>
  <r>
    <n v="703"/>
    <s v="Serpong Mas Telematika"/>
    <s v="PT Cyberindo Aditama"/>
    <s v="Jakarta 15345"/>
    <x v="0"/>
    <m/>
    <m/>
    <s v="Sewa Tahunan"/>
    <s v="Interkoneksi"/>
    <s v="PA/ACT/2203/4071"/>
    <m/>
    <m/>
    <m/>
    <m/>
    <n v="5000000"/>
    <n v="129000000"/>
    <m/>
    <n v="3000000"/>
    <n v="95760000"/>
    <m/>
    <d v="2022-07-20T00:00:00"/>
    <d v="2023-07-19T00:00:00"/>
    <x v="0"/>
    <m/>
    <m/>
    <m/>
    <m/>
    <m/>
    <m/>
    <s v="19023/SPP/008/PUSAT/ICON+/2022"/>
    <n v="4500018282"/>
    <m/>
    <s v="Masrukhan"/>
    <s v="+62 812-9844-8648"/>
    <m/>
    <m/>
    <m/>
    <m/>
    <m/>
    <m/>
    <m/>
    <m/>
    <m/>
    <m/>
  </r>
  <r>
    <n v="704"/>
    <s v="Detik Ini Juga "/>
    <s v="PT Trans Rekreasindo"/>
    <s v="Jakarta Selatan 12790"/>
    <x v="0"/>
    <m/>
    <m/>
    <s v="Sewa Tahunan"/>
    <s v="Interkoneksi"/>
    <s v="PA/ACT/2203/2153"/>
    <m/>
    <m/>
    <m/>
    <m/>
    <m/>
    <n v="31200000"/>
    <m/>
    <m/>
    <n v="12000000"/>
    <m/>
    <d v="2022-09-02T00:00:00"/>
    <d v="2023-09-01T00:00:00"/>
    <x v="0"/>
    <m/>
    <m/>
    <m/>
    <m/>
    <m/>
    <m/>
    <s v="19534/SPP/008/PUSAT/ICON+/2022"/>
    <n v="4500018651"/>
    <m/>
    <m/>
    <m/>
    <m/>
    <m/>
    <m/>
    <m/>
    <m/>
    <m/>
    <m/>
    <m/>
    <m/>
    <m/>
  </r>
  <r>
    <n v="705"/>
    <s v="Sampoerna Land"/>
    <s v="PT Aek Tarum , PT Binasawit Makmur"/>
    <s v="Jakarta Selatan 12930"/>
    <x v="0"/>
    <m/>
    <m/>
    <s v="Sewa Tahunan"/>
    <s v="Colocation"/>
    <s v="AL/1907/26735 , AL/1907/26741"/>
    <m/>
    <m/>
    <m/>
    <m/>
    <m/>
    <n v="180000000"/>
    <m/>
    <m/>
    <n v="60500000"/>
    <m/>
    <d v="2022-05-01T00:00:00"/>
    <d v="2023-04-30T00:00:00"/>
    <x v="0"/>
    <m/>
    <m/>
    <m/>
    <m/>
    <m/>
    <m/>
    <s v="17858/SPP/008/PUSAT/ICON+/2022"/>
    <n v="4500017828"/>
    <m/>
    <m/>
    <m/>
    <m/>
    <m/>
    <m/>
    <m/>
    <m/>
    <m/>
    <m/>
    <m/>
    <m/>
    <m/>
  </r>
  <r>
    <n v="706"/>
    <s v="Kawasan Berikat Nusantara"/>
    <s v="PT Bina Karya Prima "/>
    <s v="Jakarta Utara 14140"/>
    <x v="0"/>
    <m/>
    <m/>
    <s v="Sewa Tahunan"/>
    <s v="Colocation"/>
    <s v="PA/ACT/2206/15980/TER"/>
    <m/>
    <m/>
    <m/>
    <m/>
    <n v="5000000"/>
    <n v="72000000"/>
    <m/>
    <m/>
    <n v="41343750"/>
    <m/>
    <d v="2022-08-15T00:00:00"/>
    <d v="2023-08-14T00:00:00"/>
    <x v="0"/>
    <m/>
    <m/>
    <m/>
    <m/>
    <m/>
    <m/>
    <s v="19547/SPP/008/PUSAT/ICON+/2022"/>
    <n v="4500018666"/>
    <m/>
    <m/>
    <m/>
    <m/>
    <m/>
    <m/>
    <m/>
    <m/>
    <m/>
    <m/>
    <m/>
    <m/>
    <m/>
  </r>
  <r>
    <n v="707"/>
    <s v="Serpong Mas Telematika"/>
    <s v="PT PLN Kantor Pusat (Rumah Dirut PLN)"/>
    <s v="Jakarta 15345"/>
    <x v="0"/>
    <m/>
    <m/>
    <s v="Sewa Tahunan"/>
    <s v="Interkoneksi"/>
    <s v="PA/UPG/2009/0134"/>
    <m/>
    <m/>
    <m/>
    <m/>
    <m/>
    <n v="150586800"/>
    <m/>
    <m/>
    <n v="147000000"/>
    <m/>
    <d v="2022-09-29T00:00:00"/>
    <d v="2023-09-28T00:00:00"/>
    <x v="0"/>
    <m/>
    <m/>
    <m/>
    <m/>
    <m/>
    <m/>
    <s v="19480/SPP/008/PUSAT/ICON+/2022"/>
    <n v="4500018573"/>
    <m/>
    <s v="Masrukhan"/>
    <s v="+62 812-9844-8648"/>
    <m/>
    <m/>
    <m/>
    <m/>
    <m/>
    <m/>
    <m/>
    <m/>
    <m/>
    <m/>
  </r>
  <r>
    <n v="708"/>
    <s v="Solusi Data Cepat "/>
    <s v="PT Fahasa Tri Data "/>
    <s v="Jakarta Selatan 00000"/>
    <x v="0"/>
    <m/>
    <m/>
    <s v="Sewa Tahunan"/>
    <s v="Interkoneksi"/>
    <s v="PA/ACT/2206/18200/ORI"/>
    <m/>
    <m/>
    <m/>
    <m/>
    <n v="3500000"/>
    <n v="204000000"/>
    <m/>
    <n v="1000000"/>
    <n v="12000000"/>
    <m/>
    <d v="2022-07-23T00:00:00"/>
    <d v="2023-07-22T00:00:00"/>
    <x v="0"/>
    <m/>
    <m/>
    <m/>
    <m/>
    <m/>
    <m/>
    <s v="19385/SPP/008/PUSAT/ICON+/2022"/>
    <n v="4500018546"/>
    <m/>
    <m/>
    <m/>
    <m/>
    <m/>
    <m/>
    <m/>
    <m/>
    <m/>
    <m/>
    <m/>
    <m/>
    <m/>
  </r>
  <r>
    <n v="709"/>
    <s v="PT Gobel Dharma Nusantara"/>
    <s v="PT Internetwork Komunikasi Indonesia"/>
    <s v="Cawang 2 13630"/>
    <x v="0"/>
    <m/>
    <m/>
    <s v="Sewa Tahunan"/>
    <s v="Colocation"/>
    <s v="PA/ACT/2204/2799/TER"/>
    <m/>
    <m/>
    <m/>
    <m/>
    <n v="390000000"/>
    <n v="1092000000"/>
    <m/>
    <m/>
    <n v="24000000"/>
    <m/>
    <d v="2022-08-05T00:00:00"/>
    <d v="2023-08-04T00:00:00"/>
    <x v="0"/>
    <m/>
    <m/>
    <m/>
    <m/>
    <m/>
    <m/>
    <s v="19515/SPP/008/PUSAT/ICON+/2022"/>
    <n v="4500018572"/>
    <m/>
    <m/>
    <m/>
    <m/>
    <m/>
    <m/>
    <m/>
    <m/>
    <m/>
    <m/>
    <m/>
    <m/>
    <m/>
  </r>
  <r>
    <n v="710"/>
    <s v="Duta Pertiwi "/>
    <s v="PT Bank Mandiri"/>
    <s v="Jakarta Utara 14430"/>
    <x v="0"/>
    <m/>
    <m/>
    <s v="Sewa Tahunan"/>
    <s v="Colocation"/>
    <s v="PA/ACT/2206/16525"/>
    <m/>
    <m/>
    <m/>
    <m/>
    <n v="2318184"/>
    <n v="45818184"/>
    <m/>
    <m/>
    <n v="4816950"/>
    <m/>
    <d v="2022-08-30T00:00:00"/>
    <d v="2023-08-29T00:00:00"/>
    <x v="0"/>
    <m/>
    <m/>
    <m/>
    <m/>
    <m/>
    <m/>
    <s v="19429/SPP/008/PUSAT/ICON+/2022"/>
    <n v="4500018593"/>
    <m/>
    <m/>
    <m/>
    <m/>
    <m/>
    <m/>
    <m/>
    <m/>
    <m/>
    <m/>
    <m/>
    <m/>
    <m/>
  </r>
  <r>
    <n v="711"/>
    <s v="Karyagraha Nusantara "/>
    <s v="PT Hanasta Dakara"/>
    <s v="Jakarta 12710"/>
    <x v="0"/>
    <m/>
    <m/>
    <s v="Sewa Tahunan"/>
    <s v="Colocation"/>
    <s v="1000037511 , 1000029813"/>
    <m/>
    <m/>
    <m/>
    <m/>
    <m/>
    <n v="168000000"/>
    <m/>
    <m/>
    <n v="52000000"/>
    <m/>
    <d v="2022-09-06T00:00:00"/>
    <d v="2023-09-05T00:00:00"/>
    <x v="0"/>
    <m/>
    <m/>
    <m/>
    <m/>
    <m/>
    <m/>
    <s v="19241/SPP/008/PUSAT/ICON+/2022"/>
    <n v="4500018456"/>
    <m/>
    <m/>
    <m/>
    <m/>
    <m/>
    <m/>
    <m/>
    <m/>
    <m/>
    <m/>
    <m/>
    <m/>
    <m/>
  </r>
  <r>
    <n v="712"/>
    <s v="Cablenet Fiber Data"/>
    <s v="PT Pertamina EP "/>
    <s v="Jakarta Barat 00000"/>
    <x v="0"/>
    <m/>
    <m/>
    <s v="Sewa Tahunan"/>
    <s v="Interkoneksi"/>
    <s v="PA/ACT/2207/0177/TER"/>
    <m/>
    <m/>
    <m/>
    <m/>
    <n v="5000"/>
    <n v="384057600"/>
    <m/>
    <n v="4000000"/>
    <n v="210000000"/>
    <m/>
    <d v="2022-08-22T00:00:00"/>
    <d v="2023-08-21T00:00:00"/>
    <x v="0"/>
    <m/>
    <m/>
    <m/>
    <m/>
    <m/>
    <m/>
    <s v="19560/SPP/008/PUSAT/ICON+/2022"/>
    <n v="4500018763"/>
    <m/>
    <m/>
    <m/>
    <m/>
    <m/>
    <m/>
    <m/>
    <m/>
    <m/>
    <m/>
    <m/>
    <m/>
    <m/>
  </r>
  <r>
    <n v="713"/>
    <s v="PT Detik Ini Juga"/>
    <s v="PT Trans Rekreasindo"/>
    <s v="Jakarta Selatan 12790"/>
    <x v="0"/>
    <m/>
    <m/>
    <s v="Sewa Tahunan"/>
    <s v="Interkoneksi"/>
    <s v="PA/ACT/2207/3855"/>
    <m/>
    <m/>
    <m/>
    <m/>
    <n v="4000000"/>
    <n v="56400000"/>
    <m/>
    <n v="2500000"/>
    <n v="39000000"/>
    <m/>
    <d v="2022-09-02T00:00:00"/>
    <d v="2023-09-01T00:00:00"/>
    <x v="0"/>
    <m/>
    <m/>
    <m/>
    <m/>
    <m/>
    <m/>
    <s v="19447/SPP/008/PUSAT/ICON+/2022"/>
    <n v="4500018575"/>
    <m/>
    <m/>
    <m/>
    <m/>
    <m/>
    <m/>
    <m/>
    <m/>
    <m/>
    <m/>
    <m/>
    <m/>
    <m/>
  </r>
  <r>
    <n v="714"/>
    <s v="PT Jakarta Sinar Intertrade"/>
    <s v="PT Bank Central Asia "/>
    <s v="Jakarta 10730"/>
    <x v="0"/>
    <m/>
    <m/>
    <s v="Sewa Tahunan"/>
    <s v="Colocation"/>
    <m/>
    <m/>
    <m/>
    <m/>
    <m/>
    <m/>
    <m/>
    <m/>
    <m/>
    <n v="20200000"/>
    <m/>
    <d v="2021-12-01T00:00:00"/>
    <d v="2022-11-30T00:00:00"/>
    <x v="0"/>
    <m/>
    <m/>
    <m/>
    <m/>
    <m/>
    <m/>
    <s v="17133/SPP/008/PUSAT/ICON+/2022"/>
    <n v="4500018727"/>
    <m/>
    <m/>
    <m/>
    <m/>
    <m/>
    <m/>
    <m/>
    <m/>
    <m/>
    <m/>
    <m/>
    <m/>
    <m/>
  </r>
  <r>
    <n v="715"/>
    <s v="Karyagraha Nusantara "/>
    <s v="PT XL Axiata , PT Artha Telekomindo , PT Varnion"/>
    <s v="Jakarta 12710"/>
    <x v="0"/>
    <m/>
    <m/>
    <s v="Sewa Tahunan"/>
    <s v="Colocation"/>
    <s v="ICON-00/ACT/1409/0507 , ICON-00/ACT/1310/0038 , ICON-00/ACT/1606/0359 , ICON-00/ACT/1606/0360 , ICON-00/ACT/1301/0159 , ICON-00/SOP/1307/0004"/>
    <m/>
    <m/>
    <m/>
    <m/>
    <m/>
    <n v="352480000"/>
    <m/>
    <m/>
    <n v="35000000"/>
    <m/>
    <d v="2022-05-28T00:00:00"/>
    <d v="2023-05-27T00:00:00"/>
    <x v="0"/>
    <m/>
    <m/>
    <m/>
    <m/>
    <m/>
    <m/>
    <s v="18803/SPP/008/PUSAT/ICON+/2022"/>
    <n v="4500018233"/>
    <m/>
    <m/>
    <m/>
    <m/>
    <m/>
    <m/>
    <m/>
    <m/>
    <m/>
    <m/>
    <m/>
    <m/>
    <m/>
  </r>
  <r>
    <n v="716"/>
    <s v="PT Sigma Cipta Caraka"/>
    <s v="PT Semen Indonesia"/>
    <s v="Tanggerang 15321"/>
    <x v="0"/>
    <m/>
    <m/>
    <s v="Sewa Tahunan"/>
    <s v="Cross Connect"/>
    <s v="PA/ACT/2106/1405"/>
    <m/>
    <m/>
    <m/>
    <m/>
    <m/>
    <n v="132000000"/>
    <m/>
    <m/>
    <n v="6000000"/>
    <m/>
    <d v="2022-06-30T00:00:00"/>
    <d v="2023-06-29T00:00:00"/>
    <x v="0"/>
    <m/>
    <m/>
    <m/>
    <m/>
    <m/>
    <m/>
    <s v="18847/SPP/008/PUSAT/ICON+/2022"/>
    <n v="4500018223"/>
    <m/>
    <m/>
    <m/>
    <m/>
    <m/>
    <m/>
    <m/>
    <m/>
    <m/>
    <m/>
    <m/>
    <m/>
    <m/>
  </r>
  <r>
    <n v="717"/>
    <s v="CBN Nusantara"/>
    <s v="PT Net One Asia"/>
    <s v="Jakarta 00000"/>
    <x v="0"/>
    <m/>
    <m/>
    <s v="Sewa Tahunan"/>
    <s v="Cross Connect"/>
    <s v="PA/ACT/2207/0291"/>
    <m/>
    <m/>
    <m/>
    <m/>
    <n v="6600000"/>
    <n v="244800000"/>
    <m/>
    <n v="4000000"/>
    <n v="16000000"/>
    <m/>
    <d v="2022-07-15T00:00:00"/>
    <d v="2023-07-14T00:00:00"/>
    <x v="0"/>
    <m/>
    <m/>
    <m/>
    <m/>
    <m/>
    <m/>
    <s v="19156/SPP/008/PUSAT/ICON+/2022"/>
    <n v="4500018379"/>
    <m/>
    <m/>
    <m/>
    <m/>
    <m/>
    <m/>
    <m/>
    <m/>
    <m/>
    <m/>
    <m/>
    <m/>
    <m/>
  </r>
  <r>
    <n v="718"/>
    <s v="PT Sokka Tama Fiber"/>
    <s v="PT Indosat , PT Lord Indonesia"/>
    <s v="Bekasi 00000"/>
    <x v="0"/>
    <m/>
    <m/>
    <s v="Sewa Tahunan"/>
    <s v="Cross Connect"/>
    <s v="PA/ACT/2112/2390"/>
    <m/>
    <m/>
    <m/>
    <m/>
    <n v="5000000"/>
    <n v="25800000"/>
    <m/>
    <n v="1500000"/>
    <n v="3600000"/>
    <m/>
    <d v="2022-06-08T00:00:00"/>
    <d v="2023-06-07T00:00:00"/>
    <x v="0"/>
    <m/>
    <m/>
    <m/>
    <m/>
    <m/>
    <m/>
    <s v="18719/SPP/008/PUSAT/ICON+/2022"/>
    <n v="4500018075"/>
    <m/>
    <m/>
    <m/>
    <m/>
    <m/>
    <m/>
    <m/>
    <m/>
    <m/>
    <m/>
    <m/>
    <m/>
    <m/>
  </r>
  <r>
    <n v="719"/>
    <s v="PT Nettocyber Indonesia "/>
    <s v="PT Bentoel Prima"/>
    <s v="Jakarta 00000"/>
    <x v="0"/>
    <m/>
    <m/>
    <s v="Sewa Tahunan"/>
    <s v="Interkoneksi"/>
    <s v="AL/2204/74715"/>
    <m/>
    <m/>
    <m/>
    <m/>
    <m/>
    <n v="108750000"/>
    <m/>
    <m/>
    <n v="54000000"/>
    <m/>
    <d v="2022-07-01T00:00:00"/>
    <d v="2023-06-30T00:00:00"/>
    <x v="0"/>
    <m/>
    <m/>
    <m/>
    <m/>
    <m/>
    <m/>
    <s v="19052/SPP/008/PUSAT/ICON+/2022"/>
    <n v="4500018322"/>
    <m/>
    <m/>
    <m/>
    <m/>
    <m/>
    <m/>
    <m/>
    <m/>
    <m/>
    <m/>
    <m/>
    <m/>
    <m/>
  </r>
  <r>
    <n v="720"/>
    <s v="PT Telekomunikasi Indonesia"/>
    <s v="Dinas Komunikasi , Persandian Aceh"/>
    <s v="Jakarta Selatan 12017"/>
    <x v="0"/>
    <m/>
    <m/>
    <s v="Sewa Tahunan"/>
    <s v="Cross Connect"/>
    <s v="PA/RLK/2205/0047/TER"/>
    <m/>
    <m/>
    <m/>
    <m/>
    <m/>
    <n v="66600024"/>
    <m/>
    <m/>
    <n v="62900000"/>
    <m/>
    <d v="2022-07-29T00:00:00"/>
    <d v="2023-07-28T00:00:00"/>
    <x v="0"/>
    <m/>
    <m/>
    <m/>
    <m/>
    <m/>
    <m/>
    <s v="19115/SPP/008/PUSAT/ICON+/2022"/>
    <n v="4500018401"/>
    <m/>
    <m/>
    <m/>
    <m/>
    <m/>
    <m/>
    <m/>
    <m/>
    <m/>
    <m/>
    <m/>
    <m/>
    <m/>
  </r>
  <r>
    <n v="721"/>
    <s v="Circlecom Nusantara Indonesia"/>
    <s v="Bank Woori Saudara"/>
    <s v="Jakarta Selatan 12190"/>
    <x v="0"/>
    <m/>
    <m/>
    <s v="Sewa Tahunan"/>
    <s v="Interkoneksi"/>
    <s v="PA/ACT/1809/1782"/>
    <m/>
    <m/>
    <m/>
    <m/>
    <m/>
    <n v="156000000"/>
    <m/>
    <m/>
    <n v="168000000"/>
    <m/>
    <d v="2022-07-01T00:00:00"/>
    <d v="2023-06-30T00:00:00"/>
    <x v="0"/>
    <m/>
    <m/>
    <m/>
    <m/>
    <m/>
    <m/>
    <s v="19011/SPP/008/PUSAT/ICON+/2022"/>
    <n v="4500018287"/>
    <m/>
    <m/>
    <m/>
    <m/>
    <m/>
    <m/>
    <m/>
    <m/>
    <m/>
    <m/>
    <m/>
    <m/>
    <m/>
  </r>
  <r>
    <n v="722"/>
    <s v="PT KAI Commuter Jabodetabek"/>
    <s v="PT Indonesia Comnet Plus"/>
    <s v="Jakarta Pusat 00000"/>
    <x v="0"/>
    <m/>
    <m/>
    <s v="Sewa Tahunan"/>
    <s v="Colocation"/>
    <m/>
    <m/>
    <m/>
    <m/>
    <m/>
    <m/>
    <m/>
    <m/>
    <m/>
    <n v="90000000"/>
    <m/>
    <d v="2022-01-01T00:00:00"/>
    <d v="2022-12-31T00:00:00"/>
    <x v="0"/>
    <m/>
    <m/>
    <m/>
    <m/>
    <m/>
    <m/>
    <s v="19055/SPP/008/PUSAT/ICON+/2022"/>
    <n v="4500018320"/>
    <m/>
    <m/>
    <m/>
    <m/>
    <m/>
    <m/>
    <m/>
    <m/>
    <m/>
    <m/>
    <m/>
    <m/>
    <m/>
  </r>
  <r>
    <n v="723"/>
    <s v="PT Telekomunikasi Indonesia"/>
    <s v="PT Trans Retail Indonesia"/>
    <s v="Jakarta Pusat 10110"/>
    <x v="0"/>
    <m/>
    <m/>
    <s v="Sewa Tahunan"/>
    <s v="Interkoneksi"/>
    <s v="AL/2104/23598"/>
    <m/>
    <m/>
    <m/>
    <m/>
    <m/>
    <n v="43740000"/>
    <m/>
    <m/>
    <n v="48000000"/>
    <m/>
    <d v="2022-07-01T00:00:00"/>
    <d v="2023-06-30T00:00:00"/>
    <x v="0"/>
    <m/>
    <m/>
    <m/>
    <m/>
    <m/>
    <m/>
    <s v="18896/SPP/008/PUSAT/ICON+/2022"/>
    <n v="4500018239"/>
    <m/>
    <m/>
    <m/>
    <m/>
    <m/>
    <m/>
    <m/>
    <m/>
    <m/>
    <m/>
    <m/>
    <m/>
    <m/>
  </r>
  <r>
    <n v="724"/>
    <s v="CBN Nusantara"/>
    <s v="PT Adaro Indonesia"/>
    <s v="Jakarta 00000"/>
    <x v="0"/>
    <m/>
    <m/>
    <s v="Sewa Bulanan"/>
    <s v="Cross Connect"/>
    <s v="PA/ACT/1904/2037/TER"/>
    <m/>
    <m/>
    <m/>
    <m/>
    <m/>
    <n v="7666667"/>
    <m/>
    <m/>
    <n v="1010747"/>
    <m/>
    <d v="2022-05-15T00:00:00"/>
    <d v="2022-06-30T00:00:00"/>
    <x v="0"/>
    <m/>
    <m/>
    <m/>
    <m/>
    <m/>
    <m/>
    <m/>
    <n v="4500018963"/>
    <m/>
    <m/>
    <m/>
    <m/>
    <m/>
    <m/>
    <m/>
    <m/>
    <m/>
    <m/>
    <m/>
    <m/>
    <m/>
  </r>
  <r>
    <n v="725"/>
    <s v="PT Sigma Cipta Caraka"/>
    <s v="Komisi Pemberantasan Korupsi"/>
    <s v="Tanggerang 15321"/>
    <x v="0"/>
    <m/>
    <m/>
    <s v="Sewa Tahunan"/>
    <s v="Cross Connect"/>
    <s v="PA/ACT/2012/0399"/>
    <m/>
    <m/>
    <m/>
    <m/>
    <m/>
    <n v="872304000"/>
    <m/>
    <m/>
    <n v="6000000"/>
    <m/>
    <d v="2022-09-09T00:00:00"/>
    <d v="2023-09-08T00:00:00"/>
    <x v="0"/>
    <m/>
    <m/>
    <m/>
    <m/>
    <m/>
    <m/>
    <s v="17740/SPP/008/PUSAT/ICON+/2022"/>
    <n v="4500018959"/>
    <m/>
    <m/>
    <m/>
    <m/>
    <m/>
    <m/>
    <m/>
    <m/>
    <m/>
    <m/>
    <m/>
    <m/>
    <m/>
  </r>
  <r>
    <n v="726"/>
    <s v="Pusat Pengelolaan Komplek Kemayoran"/>
    <s v="Perum Jamkrindo"/>
    <s v="Jakarta 10610"/>
    <x v="0"/>
    <m/>
    <m/>
    <s v="Sewa Tahunan"/>
    <s v="Colocation"/>
    <s v="AL/1810/11520"/>
    <m/>
    <m/>
    <m/>
    <m/>
    <m/>
    <n v="126000000"/>
    <m/>
    <m/>
    <n v="30640000"/>
    <m/>
    <d v="2022-09-03T00:00:00"/>
    <d v="2023-09-02T00:00:00"/>
    <x v="0"/>
    <m/>
    <m/>
    <m/>
    <m/>
    <m/>
    <m/>
    <m/>
    <n v="4500018968"/>
    <m/>
    <m/>
    <m/>
    <m/>
    <m/>
    <m/>
    <m/>
    <m/>
    <m/>
    <m/>
    <m/>
    <m/>
    <m/>
  </r>
  <r>
    <n v="727"/>
    <s v="PT Sigma Cipta Caraka"/>
    <s v="Komisi Pemberantasan Korupsi"/>
    <s v="Tanggerang 15321"/>
    <x v="0"/>
    <m/>
    <m/>
    <s v="Sewa Tahunan"/>
    <s v="Colocation"/>
    <s v="PA/ACT/2012/0399 , PA/ACT/2012/0459"/>
    <m/>
    <m/>
    <m/>
    <m/>
    <m/>
    <n v="872304000"/>
    <m/>
    <m/>
    <n v="276000000"/>
    <m/>
    <d v="2022-09-06T00:00:00"/>
    <d v="2023-09-05T00:00:00"/>
    <x v="0"/>
    <m/>
    <m/>
    <m/>
    <m/>
    <m/>
    <m/>
    <m/>
    <n v="4500018961"/>
    <m/>
    <m/>
    <m/>
    <m/>
    <m/>
    <m/>
    <m/>
    <m/>
    <m/>
    <m/>
    <m/>
    <m/>
    <m/>
  </r>
  <r>
    <n v="728"/>
    <s v="PT Sigma Cipta Caraka"/>
    <s v="Komisi Pemberantasan Korupsi"/>
    <s v="Tanggerang 15321"/>
    <x v="0"/>
    <m/>
    <m/>
    <s v="Sewa Tahunan"/>
    <s v="Cross Connect"/>
    <m/>
    <m/>
    <m/>
    <m/>
    <m/>
    <m/>
    <m/>
    <m/>
    <m/>
    <n v="18000000"/>
    <m/>
    <d v="2022-09-09T00:00:00"/>
    <d v="2023-09-08T00:00:00"/>
    <x v="0"/>
    <m/>
    <m/>
    <m/>
    <m/>
    <m/>
    <m/>
    <m/>
    <n v="4500018960"/>
    <m/>
    <m/>
    <m/>
    <m/>
    <m/>
    <m/>
    <m/>
    <m/>
    <m/>
    <m/>
    <m/>
    <m/>
    <m/>
  </r>
  <r>
    <n v="729"/>
    <s v="PT Graha Telekomunikasi Indonesia"/>
    <s v="PT Toyota Motor Manufacturing"/>
    <s v="Jakarta Selatan 00000"/>
    <x v="0"/>
    <m/>
    <m/>
    <s v="Sewa Tahunan"/>
    <s v="Interkoneksi"/>
    <s v="PA/ACT/2202/1469/TER"/>
    <m/>
    <m/>
    <m/>
    <m/>
    <n v="5000000"/>
    <n v="222000000"/>
    <m/>
    <n v="2000000"/>
    <n v="126000000"/>
    <m/>
    <d v="2022-09-09T00:00:00"/>
    <d v="2023-09-08T00:00:00"/>
    <x v="0"/>
    <m/>
    <m/>
    <m/>
    <m/>
    <m/>
    <m/>
    <s v="18099/SPP/008/PUSAT/ICON+/2022"/>
    <n v="4500017711"/>
    <m/>
    <m/>
    <m/>
    <m/>
    <m/>
    <m/>
    <m/>
    <m/>
    <m/>
    <m/>
    <m/>
    <m/>
    <m/>
  </r>
  <r>
    <n v="730"/>
    <s v="Serpong Mas Telematika"/>
    <s v="PT Prodia Widyahusada"/>
    <s v="Jakarta 15345"/>
    <x v="0"/>
    <m/>
    <m/>
    <s v="Sewa Tahunan"/>
    <s v="Interkoneksi"/>
    <s v="PA/ACT/2202/1626"/>
    <m/>
    <m/>
    <m/>
    <m/>
    <n v="2000000"/>
    <n v="30000000"/>
    <m/>
    <n v="5000000"/>
    <n v="86400000"/>
    <m/>
    <d v="2022-09-01T00:00:00"/>
    <d v="2023-08-31T00:00:00"/>
    <x v="0"/>
    <m/>
    <m/>
    <m/>
    <m/>
    <m/>
    <m/>
    <m/>
    <s v="18593/SPP/008/PUSAT/ICON+/2022"/>
    <m/>
    <s v="Masrukhan"/>
    <s v="+62 812-9844-8648"/>
    <m/>
    <m/>
    <m/>
    <m/>
    <m/>
    <m/>
    <m/>
    <m/>
    <m/>
    <m/>
  </r>
  <r>
    <n v="731"/>
    <s v="Artha Telekomindo  "/>
    <s v="PT Bank Fama International"/>
    <s v="Jakarta 12190"/>
    <x v="0"/>
    <m/>
    <m/>
    <s v="Sewa Tahunan"/>
    <s v="Interkoneksi"/>
    <s v="PA/ACT/2209/4092/TER"/>
    <m/>
    <m/>
    <m/>
    <m/>
    <n v="10000000"/>
    <n v="366000000"/>
    <m/>
    <n v="10000000"/>
    <n v="258000000"/>
    <m/>
    <d v="2022-10-04T00:00:00"/>
    <d v="2023-10-03T00:00:00"/>
    <x v="0"/>
    <m/>
    <m/>
    <m/>
    <m/>
    <m/>
    <m/>
    <s v="20022/SPP/008/PUSAT/ICON+/2022"/>
    <n v="4500019012"/>
    <m/>
    <m/>
    <m/>
    <m/>
    <m/>
    <m/>
    <m/>
    <m/>
    <m/>
    <m/>
    <m/>
    <m/>
    <m/>
  </r>
  <r>
    <n v="732"/>
    <s v="Circlecom Nusantara Indonesia"/>
    <s v="Bank Central Asia"/>
    <s v="Jakarta Selatan 12190"/>
    <x v="0"/>
    <m/>
    <m/>
    <s v="Sewa Tahunan"/>
    <s v="Interkoneksi"/>
    <s v="AL/2206/83181"/>
    <m/>
    <m/>
    <m/>
    <m/>
    <m/>
    <n v="54000000"/>
    <m/>
    <m/>
    <n v="72000000"/>
    <m/>
    <d v="2022-10-16T00:00:00"/>
    <d v="2023-10-15T00:00:00"/>
    <x v="0"/>
    <m/>
    <m/>
    <m/>
    <m/>
    <m/>
    <m/>
    <s v="19788/SPP/008/PUSAT/ICON+/2022"/>
    <n v="4500019004"/>
    <m/>
    <m/>
    <m/>
    <m/>
    <m/>
    <m/>
    <m/>
    <m/>
    <m/>
    <m/>
    <m/>
    <m/>
    <m/>
  </r>
  <r>
    <n v="733"/>
    <s v="Media Nusantara Data Global "/>
    <s v="PT Eco Multi Sinergi"/>
    <s v="Jakarta Selatan 12710"/>
    <x v="0"/>
    <m/>
    <m/>
    <s v="Sewa Tahunan"/>
    <s v="Cross Connect"/>
    <s v="PA/ACT/2209/2139/ORI"/>
    <m/>
    <m/>
    <m/>
    <m/>
    <n v="5000000"/>
    <n v="240000000"/>
    <m/>
    <n v="1500000"/>
    <n v="18000000"/>
    <m/>
    <d v="2022-09-28T00:00:00"/>
    <d v="2023-09-27T00:00:00"/>
    <x v="0"/>
    <m/>
    <m/>
    <m/>
    <m/>
    <m/>
    <m/>
    <s v="20006/SPP/008/PUSAT/ICON+/2022"/>
    <n v="4500018983"/>
    <m/>
    <m/>
    <m/>
    <m/>
    <m/>
    <m/>
    <m/>
    <m/>
    <m/>
    <m/>
    <m/>
    <m/>
    <m/>
  </r>
  <r>
    <n v="734"/>
    <s v="DCI Indonesia"/>
    <s v="PT Adira Dinamika"/>
    <s v="Jakarta Selatan 12710"/>
    <x v="0"/>
    <m/>
    <m/>
    <s v="Sewa Tahunan"/>
    <s v="Cross Connect"/>
    <s v="AL/2103/12970"/>
    <m/>
    <m/>
    <m/>
    <m/>
    <m/>
    <n v="420000000"/>
    <m/>
    <m/>
    <n v="36000000"/>
    <m/>
    <d v="2022-09-01T00:00:00"/>
    <d v="2023-08-31T00:00:00"/>
    <x v="0"/>
    <m/>
    <m/>
    <m/>
    <m/>
    <m/>
    <m/>
    <s v="19863/SPP/008/PUSAT/ICON+/2022"/>
    <n v="4500018868"/>
    <m/>
    <m/>
    <m/>
    <m/>
    <m/>
    <m/>
    <m/>
    <m/>
    <m/>
    <m/>
    <m/>
    <m/>
    <m/>
  </r>
  <r>
    <n v="735"/>
    <s v="Aplikanusa Lintasarta"/>
    <s v="PT Gemilang Sarana Mandiri"/>
    <s v="Jakarta Pusat 10250"/>
    <x v="0"/>
    <m/>
    <m/>
    <s v="Sewa Tahunan"/>
    <s v="Cross Connect"/>
    <s v="PA/ACT/2210/3359/TER"/>
    <m/>
    <m/>
    <m/>
    <m/>
    <n v="3500000"/>
    <n v="37200000"/>
    <m/>
    <n v="2500000"/>
    <n v="30000000"/>
    <m/>
    <d v="2022-12-21T00:00:00"/>
    <d v="2023-12-20T00:00:00"/>
    <x v="0"/>
    <m/>
    <m/>
    <m/>
    <m/>
    <m/>
    <m/>
    <s v="20500/SPP/008/PUSAT/ICON+/2022"/>
    <n v="4500019384"/>
    <m/>
    <m/>
    <m/>
    <m/>
    <m/>
    <m/>
    <m/>
    <m/>
    <m/>
    <m/>
    <m/>
    <m/>
    <m/>
  </r>
  <r>
    <n v="736"/>
    <s v="Asosiasi penyelenggara Jasa Internet Indonesia (APJII)"/>
    <m/>
    <s v="Jakarta 12710"/>
    <x v="0"/>
    <m/>
    <m/>
    <s v="Sewa Tahunan"/>
    <s v="Colocation"/>
    <m/>
    <m/>
    <m/>
    <m/>
    <m/>
    <m/>
    <m/>
    <m/>
    <m/>
    <n v="120000000"/>
    <m/>
    <d v="2022-11-11T00:00:00"/>
    <d v="2023-11-10T00:00:00"/>
    <x v="0"/>
    <m/>
    <m/>
    <m/>
    <m/>
    <m/>
    <m/>
    <s v="20252/SPP/008/PUSAT/ICON+/2022"/>
    <n v="4500019251"/>
    <m/>
    <m/>
    <m/>
    <m/>
    <m/>
    <m/>
    <m/>
    <m/>
    <m/>
    <m/>
    <m/>
    <m/>
    <m/>
  </r>
  <r>
    <n v="737"/>
    <s v="Jakarta Industrial Estate Pulogadung (Persero) (JIEP) "/>
    <s v="PT Astra International"/>
    <s v="Jakarta 00000"/>
    <x v="0"/>
    <m/>
    <m/>
    <s v="Sewa Tahunan"/>
    <s v="Colocation"/>
    <s v="ICON-00/ACT/1202/0051"/>
    <m/>
    <m/>
    <m/>
    <m/>
    <m/>
    <n v="15600000"/>
    <m/>
    <m/>
    <n v="17582220"/>
    <m/>
    <d v="2022-10-19T00:00:00"/>
    <d v="2023-10-18T00:00:00"/>
    <x v="0"/>
    <m/>
    <m/>
    <m/>
    <m/>
    <m/>
    <m/>
    <s v="20209/SPP/008/PUSAT/ICON+/2022"/>
    <n v="4500019280"/>
    <m/>
    <m/>
    <m/>
    <m/>
    <m/>
    <m/>
    <m/>
    <m/>
    <m/>
    <m/>
    <m/>
    <m/>
    <m/>
  </r>
  <r>
    <n v="738"/>
    <s v="Jakarta Industrial Estate Pulogadung (Persero) (JIEP) "/>
    <s v="PT PLN Kantor Pusat "/>
    <s v="Jakarta 00000"/>
    <x v="0"/>
    <m/>
    <m/>
    <s v="Sewa Tahunan"/>
    <s v="Colocation"/>
    <s v="PA/ACT/2005/1817/TER"/>
    <m/>
    <m/>
    <m/>
    <m/>
    <n v="5000000"/>
    <n v="38196000"/>
    <m/>
    <m/>
    <n v="26735850"/>
    <m/>
    <d v="2022-10-16T00:00:00"/>
    <d v="2023-10-15T00:00:00"/>
    <x v="0"/>
    <m/>
    <m/>
    <m/>
    <m/>
    <m/>
    <m/>
    <s v="20167/SPP/008/PUSAT/ICON+/2022"/>
    <n v="4500019283"/>
    <m/>
    <m/>
    <m/>
    <m/>
    <m/>
    <m/>
    <m/>
    <m/>
    <m/>
    <m/>
    <m/>
    <m/>
    <m/>
  </r>
  <r>
    <n v="739"/>
    <s v="Jakarta Industrial Estate Pulogadung (Persero) (JIEP) "/>
    <s v="PT Sarana Steel"/>
    <s v="Jakarta 00000"/>
    <x v="0"/>
    <m/>
    <m/>
    <s v="Sewa Tahunan"/>
    <s v="Colocation"/>
    <s v="PA/ACT/1801/1072"/>
    <m/>
    <m/>
    <m/>
    <m/>
    <m/>
    <n v="20300400"/>
    <m/>
    <m/>
    <n v="543780"/>
    <m/>
    <d v="2022-06-05T00:00:00"/>
    <d v="2023-06-04T00:00:00"/>
    <x v="0"/>
    <m/>
    <m/>
    <m/>
    <m/>
    <m/>
    <m/>
    <s v="20178/SPP/008/PUSAT/ICON+/2022"/>
    <n v="4500019274"/>
    <m/>
    <m/>
    <m/>
    <m/>
    <m/>
    <m/>
    <m/>
    <m/>
    <m/>
    <m/>
    <m/>
    <m/>
    <m/>
  </r>
  <r>
    <n v="740"/>
    <s v="Jakarta Industrial Estate Pulogadung (Persero) (JIEP) "/>
    <s v="PT Aplikanusa Lintasarta"/>
    <s v="Jakarta 00000"/>
    <x v="0"/>
    <m/>
    <m/>
    <s v="Sewa Tahunan"/>
    <s v="Colocation"/>
    <s v="PA/UPG/2004/0101/TER"/>
    <m/>
    <m/>
    <m/>
    <m/>
    <m/>
    <n v="42000000"/>
    <m/>
    <m/>
    <n v="38699010"/>
    <m/>
    <d v="2022-08-30T00:00:00"/>
    <d v="2023-08-29T00:00:00"/>
    <x v="0"/>
    <m/>
    <m/>
    <m/>
    <m/>
    <m/>
    <m/>
    <s v="20159/SPP/008/PUSAT/ICON+/2022"/>
    <n v="4500019273"/>
    <m/>
    <m/>
    <m/>
    <m/>
    <m/>
    <m/>
    <m/>
    <m/>
    <m/>
    <m/>
    <m/>
    <m/>
    <m/>
  </r>
  <r>
    <n v="741"/>
    <s v="Jakarta Industrial Estate Pulogadung (Persero) (JIEP) "/>
    <s v="PT Indosat Tbk"/>
    <s v="Jakarta 00000"/>
    <x v="0"/>
    <m/>
    <m/>
    <s v="Sewa Tahunan"/>
    <s v="Colocation"/>
    <s v="PA/UPG/2007/0067"/>
    <m/>
    <m/>
    <m/>
    <m/>
    <m/>
    <n v="97200000"/>
    <m/>
    <m/>
    <n v="41127600"/>
    <m/>
    <d v="2022-09-27T00:00:00"/>
    <d v="2023-09-26T00:00:00"/>
    <x v="0"/>
    <m/>
    <m/>
    <m/>
    <m/>
    <m/>
    <m/>
    <s v="20161/SPP/008/PUSAT/ICON+/2022"/>
    <n v="4500019271"/>
    <m/>
    <m/>
    <m/>
    <m/>
    <m/>
    <m/>
    <m/>
    <m/>
    <m/>
    <m/>
    <m/>
    <m/>
    <m/>
  </r>
  <r>
    <n v="742"/>
    <s v="Jakarta Industrial Estate Pulogadung (Persero) (JIEP) "/>
    <s v="PT Nettocyber Indonesia"/>
    <s v="Jakarta 00000"/>
    <x v="0"/>
    <m/>
    <m/>
    <s v="Sewa Tahunan"/>
    <s v="Colocation"/>
    <s v="PA/UPG/2104/0186"/>
    <m/>
    <m/>
    <m/>
    <m/>
    <m/>
    <n v="330000000"/>
    <m/>
    <m/>
    <n v="68516280"/>
    <m/>
    <d v="2022-04-13T00:00:00"/>
    <d v="2023-04-12T00:00:00"/>
    <x v="0"/>
    <m/>
    <m/>
    <m/>
    <m/>
    <m/>
    <m/>
    <s v="20149/SPP/008/PUSAT/ICON+/2022"/>
    <n v="4500019269"/>
    <m/>
    <m/>
    <m/>
    <m/>
    <m/>
    <m/>
    <m/>
    <m/>
    <m/>
    <m/>
    <m/>
    <m/>
    <m/>
  </r>
  <r>
    <n v="743"/>
    <s v="Jakarta Industrial Estate Pulogadung (Persero) (JIEP) "/>
    <s v="PT Pasifiktel"/>
    <s v="Jakarta 00000"/>
    <x v="0"/>
    <m/>
    <m/>
    <s v="Sewa Tahunan"/>
    <s v="Colocation"/>
    <s v="PA/ACT/2004/1141/TER"/>
    <m/>
    <m/>
    <m/>
    <m/>
    <n v="5000000"/>
    <n v="72000000"/>
    <m/>
    <m/>
    <n v="27823410"/>
    <m/>
    <d v="2022-08-25T00:00:00"/>
    <d v="2023-08-24T00:00:00"/>
    <x v="0"/>
    <m/>
    <m/>
    <m/>
    <m/>
    <m/>
    <m/>
    <s v="20151/SPP/008/PUSAT/ICON+/2022"/>
    <n v="4500019267"/>
    <m/>
    <m/>
    <m/>
    <m/>
    <m/>
    <m/>
    <m/>
    <m/>
    <m/>
    <m/>
    <m/>
    <m/>
    <m/>
  </r>
  <r>
    <n v="744"/>
    <s v="Jakarta Industrial Estate Pulogadung (Persero) (JIEP) "/>
    <s v="PT Kimia Farma"/>
    <s v="Jakarta 00000"/>
    <x v="0"/>
    <m/>
    <m/>
    <s v="Sewa Tahunan"/>
    <s v="Colocation"/>
    <s v="PA/ACT/1803/0231/TER"/>
    <m/>
    <m/>
    <m/>
    <m/>
    <n v="2300000"/>
    <n v="90000000"/>
    <m/>
    <m/>
    <n v="31176720"/>
    <m/>
    <d v="2022-06-19T00:00:00"/>
    <d v="2023-06-18T00:00:00"/>
    <x v="0"/>
    <m/>
    <m/>
    <m/>
    <m/>
    <m/>
    <m/>
    <s v="20137/SPP/008/PUSAT/ICON+/2022"/>
    <n v="4500019266"/>
    <m/>
    <m/>
    <m/>
    <m/>
    <m/>
    <m/>
    <m/>
    <m/>
    <m/>
    <m/>
    <m/>
    <m/>
    <m/>
  </r>
  <r>
    <n v="745"/>
    <s v="PT Global Teknologi Teraindo"/>
    <s v="PT Infomedia Nusantara"/>
    <s v="Jakarta Selatan 12560"/>
    <x v="0"/>
    <m/>
    <m/>
    <s v="Sewa Tahunan"/>
    <s v="Interkoneksi"/>
    <s v="PA/ACT/2211/1972/ORI"/>
    <m/>
    <m/>
    <m/>
    <m/>
    <n v="5000000"/>
    <n v="30000000"/>
    <m/>
    <n v="1500000"/>
    <n v="24000000"/>
    <m/>
    <d v="2022-12-20T00:00:00"/>
    <d v="2023-12-19T00:00:00"/>
    <x v="0"/>
    <m/>
    <m/>
    <m/>
    <m/>
    <m/>
    <m/>
    <s v="20565/SPP/008/PUSAT/ICON+/2022"/>
    <n v="4500019474"/>
    <m/>
    <m/>
    <m/>
    <m/>
    <m/>
    <m/>
    <m/>
    <m/>
    <m/>
    <m/>
    <m/>
    <m/>
    <m/>
  </r>
  <r>
    <n v="746"/>
    <s v="Cablenet Fiber Data"/>
    <s v="PT NTT Indonesia "/>
    <s v="Jakarta Barat 00000"/>
    <x v="0"/>
    <m/>
    <m/>
    <s v="Sewa Tahunan"/>
    <s v="Colocation"/>
    <s v="PA/ACT/2109/0828"/>
    <m/>
    <m/>
    <m/>
    <m/>
    <n v="10000000"/>
    <n v="1740000000"/>
    <m/>
    <m/>
    <n v="23233560"/>
    <m/>
    <d v="2022-07-11T00:00:00"/>
    <d v="2023-07-19T00:00:00"/>
    <x v="0"/>
    <m/>
    <m/>
    <m/>
    <m/>
    <m/>
    <m/>
    <s v="19081/SPP/008/PUSAT/ICON+/2022"/>
    <n v="4500019499"/>
    <m/>
    <m/>
    <m/>
    <m/>
    <m/>
    <m/>
    <m/>
    <m/>
    <m/>
    <m/>
    <m/>
    <m/>
    <m/>
  </r>
  <r>
    <n v="747"/>
    <s v="Mora Telematika Indonesia"/>
    <s v="PT Gemilang Sarana Mandiri"/>
    <s v="Jakarta Pusat 10320"/>
    <x v="0"/>
    <m/>
    <m/>
    <s v="Sewa Tahunan"/>
    <s v="Interkoneksi"/>
    <s v="PA/ACT/2210/3361/TER"/>
    <m/>
    <m/>
    <m/>
    <m/>
    <n v="3500000"/>
    <n v="37200000"/>
    <m/>
    <n v="2500000"/>
    <n v="12000000"/>
    <m/>
    <d v="2022-11-17T00:00:00"/>
    <d v="2023-11-16T00:00:00"/>
    <x v="0"/>
    <m/>
    <m/>
    <m/>
    <m/>
    <m/>
    <m/>
    <s v="20513/SPP/008/PUSAT/ICON+/2022"/>
    <n v="4500019444"/>
    <m/>
    <m/>
    <m/>
    <m/>
    <m/>
    <m/>
    <m/>
    <m/>
    <m/>
    <m/>
    <m/>
    <m/>
    <m/>
  </r>
  <r>
    <n v="748"/>
    <s v="Infrastruktur Cakrawala Telekomunikasi"/>
    <m/>
    <s v="Bekasi 17530"/>
    <x v="0"/>
    <m/>
    <m/>
    <s v="Sewa Tahunan"/>
    <s v="Cross Connect"/>
    <m/>
    <m/>
    <m/>
    <m/>
    <m/>
    <m/>
    <m/>
    <m/>
    <m/>
    <n v="2208578544"/>
    <m/>
    <d v="2022-10-01T00:00:00"/>
    <d v="2023-09-30T00:00:00"/>
    <x v="0"/>
    <m/>
    <m/>
    <m/>
    <m/>
    <m/>
    <s v="20373/SPP/008/PUSAT/ICON+/2022"/>
    <n v="4500019523"/>
    <m/>
    <m/>
    <m/>
    <m/>
    <m/>
    <m/>
    <m/>
    <m/>
    <m/>
    <m/>
    <m/>
    <m/>
    <m/>
    <m/>
  </r>
  <r>
    <n v="749"/>
    <s v="PT Jakael Invesco"/>
    <s v="Bank Mandiri"/>
    <s v="Jakarta Selatan 00000"/>
    <x v="0"/>
    <m/>
    <m/>
    <s v="Sewa Tahunan"/>
    <s v="Colocation"/>
    <s v="PA/UPG/1906/0005"/>
    <m/>
    <m/>
    <m/>
    <m/>
    <m/>
    <n v="30545460"/>
    <m/>
    <m/>
    <n v="5000000"/>
    <m/>
    <d v="2022-12-01T00:00:00"/>
    <d v="2023-11-30T00:00:00"/>
    <x v="0"/>
    <m/>
    <m/>
    <m/>
    <m/>
    <m/>
    <s v="19355/SPP/008/PUSAT/ICON+/2022"/>
    <n v="4500018689"/>
    <m/>
    <m/>
    <m/>
    <m/>
    <m/>
    <m/>
    <m/>
    <m/>
    <m/>
    <m/>
    <m/>
    <m/>
    <m/>
    <m/>
  </r>
  <r>
    <n v="750"/>
    <s v="Infrastruktur Bisnis Sejahtera"/>
    <s v="PT Sari Coffee Indonesia"/>
    <s v="Jakarta Pusat 10350"/>
    <x v="0"/>
    <m/>
    <m/>
    <s v="Sewa Tahunan"/>
    <s v="Cross Connect"/>
    <s v="A/ACT/1910/0429/AR/ACT/1910/38348"/>
    <m/>
    <m/>
    <m/>
    <m/>
    <m/>
    <n v="54000000"/>
    <m/>
    <m/>
    <n v="18150000"/>
    <m/>
    <d v="2022-10-28T00:00:00"/>
    <d v="2023-10-27T00:00:00"/>
    <x v="0"/>
    <m/>
    <m/>
    <m/>
    <m/>
    <m/>
    <s v="20631/SPP/008/PUSAT/ICON+/2022"/>
    <n v="4500019559"/>
    <m/>
    <m/>
    <m/>
    <m/>
    <m/>
    <m/>
    <m/>
    <m/>
    <m/>
    <m/>
    <m/>
    <m/>
    <m/>
    <m/>
  </r>
  <r>
    <n v="751"/>
    <s v="Infrastruktur Bisnis Sejahtera"/>
    <s v="Supra Boga Lestari"/>
    <s v="Jakarta Pusat 10350"/>
    <x v="0"/>
    <m/>
    <m/>
    <s v="Sewa Tahunan"/>
    <s v="Cross Connect"/>
    <s v="PA/ACT/1910/0323"/>
    <m/>
    <m/>
    <m/>
    <m/>
    <m/>
    <n v="36000000"/>
    <m/>
    <m/>
    <n v="7260000"/>
    <m/>
    <d v="2022-10-23T00:00:00"/>
    <d v="2023-10-22T00:00:00"/>
    <x v="0"/>
    <m/>
    <m/>
    <m/>
    <m/>
    <m/>
    <m/>
    <n v="4500019561"/>
    <m/>
    <m/>
    <m/>
    <m/>
    <m/>
    <m/>
    <m/>
    <m/>
    <m/>
    <m/>
    <m/>
    <m/>
    <m/>
    <m/>
  </r>
  <r>
    <n v="752"/>
    <s v="Infrastruktur Cakrawala Telekomunikasi"/>
    <s v="PT Media Telekomunikasi Mandiri"/>
    <s v="Bekasi 17530"/>
    <x v="0"/>
    <m/>
    <m/>
    <s v="Sewa Bulanan"/>
    <s v="Cross Connect"/>
    <s v="PA/ACT/2211/1776/TER"/>
    <m/>
    <m/>
    <m/>
    <m/>
    <n v="7000000"/>
    <n v="49500000"/>
    <m/>
    <m/>
    <n v="11922531"/>
    <m/>
    <d v="2022-12-22T00:00:00"/>
    <d v="2023-09-30T00:00:00"/>
    <x v="0"/>
    <m/>
    <m/>
    <m/>
    <m/>
    <m/>
    <m/>
    <n v="4500019509"/>
    <m/>
    <m/>
    <m/>
    <m/>
    <m/>
    <m/>
    <m/>
    <m/>
    <m/>
    <m/>
    <m/>
    <m/>
    <m/>
    <m/>
  </r>
  <r>
    <n v="753"/>
    <s v="Media Nusantara Data Global "/>
    <s v="Akamai , Facebook"/>
    <s v="Jakarta Selatan 12710"/>
    <x v="0"/>
    <m/>
    <m/>
    <s v="Sewa Tahunan"/>
    <s v="Cross Connect"/>
    <m/>
    <m/>
    <m/>
    <m/>
    <m/>
    <m/>
    <m/>
    <m/>
    <m/>
    <n v="18000000"/>
    <m/>
    <d v="2022-12-15T00:00:00"/>
    <d v="2023-12-15T00:00:00"/>
    <x v="0"/>
    <m/>
    <m/>
    <m/>
    <m/>
    <m/>
    <s v="20857/SPP/008/PUSAT/ICON+/2022"/>
    <n v="4500019747"/>
    <m/>
    <m/>
    <m/>
    <m/>
    <m/>
    <m/>
    <m/>
    <m/>
    <m/>
    <m/>
    <m/>
    <m/>
    <m/>
    <m/>
  </r>
  <r>
    <n v="754"/>
    <s v="Karyagraha Nusantara "/>
    <s v="Bank Central Asia"/>
    <s v="Jakarta 12710"/>
    <x v="0"/>
    <m/>
    <m/>
    <s v="Sewa Tahunan"/>
    <s v="Colocation"/>
    <s v="PA/RLK/2009/0090"/>
    <m/>
    <m/>
    <m/>
    <m/>
    <m/>
    <n v="28800000"/>
    <m/>
    <m/>
    <n v="7500000"/>
    <m/>
    <d v="2022-10-24T00:00:00"/>
    <d v="2023-10-23T00:00:00"/>
    <x v="0"/>
    <m/>
    <m/>
    <m/>
    <m/>
    <m/>
    <s v="20389/SPP/008/PUSAT/ICON+/2022"/>
    <n v="4500019535"/>
    <m/>
    <m/>
    <m/>
    <m/>
    <m/>
    <m/>
    <m/>
    <m/>
    <m/>
    <m/>
    <m/>
    <m/>
    <m/>
    <m/>
  </r>
  <r>
    <n v="755"/>
    <s v="Jakarta Land"/>
    <s v="PT Worley Sea Indonesia"/>
    <s v="Jakarta 12190"/>
    <x v="0"/>
    <m/>
    <m/>
    <s v="Sewa Tahunan"/>
    <s v="Colocation"/>
    <s v="PA/ACT/2210/2013"/>
    <m/>
    <m/>
    <m/>
    <m/>
    <m/>
    <n v="240000000"/>
    <m/>
    <m/>
    <n v="35000000"/>
    <m/>
    <d v="2023-01-01T00:00:00"/>
    <d v="2023-12-31T00:00:00"/>
    <x v="0"/>
    <m/>
    <m/>
    <m/>
    <m/>
    <m/>
    <s v="20800/SPP/008/PUSAT/ICON+/2022"/>
    <n v="4500019756"/>
    <m/>
    <m/>
    <m/>
    <m/>
    <m/>
    <m/>
    <m/>
    <m/>
    <m/>
    <m/>
    <m/>
    <m/>
    <m/>
    <m/>
  </r>
  <r>
    <n v="756"/>
    <s v="Indosat Tbk "/>
    <s v="Trans Retail"/>
    <s v="Jakarta 10110"/>
    <x v="0"/>
    <m/>
    <m/>
    <s v="Sewa Tahunan"/>
    <s v="Interkoneksi"/>
    <s v="ICON-00/ACT/1711/1474 , ICON-00/ACT/1705/1419"/>
    <m/>
    <m/>
    <m/>
    <m/>
    <m/>
    <n v="87480000"/>
    <m/>
    <m/>
    <n v="74400000"/>
    <m/>
    <d v="2022-01-01T00:00:00"/>
    <d v="2022-12-31T00:00:00"/>
    <x v="0"/>
    <m/>
    <m/>
    <m/>
    <m/>
    <m/>
    <s v="17339/SPP/008/PUSAT/ICON+/2021"/>
    <n v="4500019430"/>
    <m/>
    <m/>
    <m/>
    <m/>
    <m/>
    <m/>
    <m/>
    <m/>
    <m/>
    <m/>
    <m/>
    <m/>
    <m/>
    <m/>
  </r>
  <r>
    <n v="757"/>
    <s v="Kawasan Berikat Nusantara"/>
    <s v="PT Roma Stone Indonesia"/>
    <s v="Jakarta Utara 14140"/>
    <x v="0"/>
    <m/>
    <m/>
    <s v="Sewa Tahunan"/>
    <s v="Colocation"/>
    <s v="PA/ACT/2211/5398/TER PA/ACT/2211/5399/TER , PA/ACT/2211/5413/TER"/>
    <m/>
    <m/>
    <m/>
    <m/>
    <n v="3000000"/>
    <n v="120000000"/>
    <m/>
    <m/>
    <n v="82500000"/>
    <m/>
    <d v="2022-12-09T00:00:00"/>
    <d v="2024-12-08T00:00:00"/>
    <x v="0"/>
    <m/>
    <m/>
    <m/>
    <m/>
    <m/>
    <s v="20720/SPP/008/PUSAT/ICON+/2022"/>
    <n v="4500019557"/>
    <m/>
    <m/>
    <m/>
    <m/>
    <m/>
    <m/>
    <m/>
    <m/>
    <m/>
    <m/>
    <m/>
    <m/>
    <m/>
    <m/>
  </r>
  <r>
    <n v="758"/>
    <s v="Media Nusantara Data Global "/>
    <s v="PT Yetoya Solusi Indonesia"/>
    <s v="Jakarta Selatan 12710"/>
    <x v="0"/>
    <m/>
    <m/>
    <s v="Sewa Tahunan"/>
    <s v="Cross Connect"/>
    <s v="PA/ACT/2210/0176/ORI"/>
    <m/>
    <m/>
    <m/>
    <m/>
    <m/>
    <n v="1800000000"/>
    <m/>
    <n v="1500000"/>
    <n v="18000000"/>
    <m/>
    <d v="2022-11-30T00:00:00"/>
    <d v="2023-11-29T00:00:00"/>
    <x v="0"/>
    <m/>
    <m/>
    <m/>
    <m/>
    <m/>
    <s v="20696/SPP/008/PUSAT/ICON+/2022"/>
    <n v="4500019548"/>
    <m/>
    <m/>
    <m/>
    <m/>
    <m/>
    <m/>
    <m/>
    <m/>
    <m/>
    <m/>
    <m/>
    <m/>
    <m/>
    <m/>
  </r>
  <r>
    <n v="759"/>
    <s v="CBN Nusantara"/>
    <s v="PT Cyberindo Aditama"/>
    <s v="Jakarta 00000"/>
    <x v="0"/>
    <m/>
    <m/>
    <s v="Sewa Tahunan"/>
    <s v="Cross Connect"/>
    <s v="PA/ACT/2211/3272/TER"/>
    <m/>
    <m/>
    <m/>
    <m/>
    <n v="5000000"/>
    <n v="210000000"/>
    <m/>
    <n v="4000000"/>
    <n v="8000000"/>
    <m/>
    <d v="2022-12-07T00:00:00"/>
    <d v="2023-12-06T00:00:00"/>
    <x v="0"/>
    <m/>
    <m/>
    <m/>
    <m/>
    <m/>
    <s v="20656/SPP/008/PUSAT/ICON+/2022"/>
    <n v="4500019496"/>
    <m/>
    <m/>
    <m/>
    <m/>
    <m/>
    <m/>
    <m/>
    <m/>
    <m/>
    <m/>
    <m/>
    <m/>
    <m/>
    <m/>
  </r>
  <r>
    <n v="760"/>
    <s v="Pusat Pengelolaan Komplek Kemayoran"/>
    <s v="PT PLN "/>
    <s v="Jakarta 10610"/>
    <x v="0"/>
    <m/>
    <m/>
    <s v="Sewa Tahunan"/>
    <s v="Colocation"/>
    <s v="PA/ACT/1805/0063"/>
    <m/>
    <m/>
    <m/>
    <m/>
    <m/>
    <n v="87387600"/>
    <m/>
    <m/>
    <n v="2856000"/>
    <m/>
    <d v="2022-09-24T00:00:00"/>
    <d v="2023-09-23T00:00:00"/>
    <x v="0"/>
    <m/>
    <m/>
    <m/>
    <m/>
    <m/>
    <s v="19708/SPP/008/PUSAT/ICON+/2022"/>
    <n v="4500018841"/>
    <m/>
    <m/>
    <m/>
    <m/>
    <m/>
    <m/>
    <m/>
    <m/>
    <m/>
    <m/>
    <m/>
    <m/>
    <m/>
    <m/>
  </r>
  <r>
    <n v="761"/>
    <s v="Asosiasi penyelenggara Jasa Internet Indonesia (APJII)"/>
    <m/>
    <s v="Jakarta 12710"/>
    <x v="0"/>
    <m/>
    <m/>
    <s v="Sewa Tahunan"/>
    <s v="Colocation"/>
    <m/>
    <m/>
    <m/>
    <m/>
    <m/>
    <m/>
    <m/>
    <m/>
    <m/>
    <n v="12000000"/>
    <m/>
    <d v="2022-10-29T00:00:00"/>
    <d v="2023-10-28T00:00:00"/>
    <x v="0"/>
    <m/>
    <m/>
    <m/>
    <m/>
    <m/>
    <s v="20402/SPP/008/PUSAT/ICON+/2022"/>
    <n v="4500019399"/>
    <m/>
    <m/>
    <m/>
    <m/>
    <m/>
    <m/>
    <m/>
    <m/>
    <m/>
    <m/>
    <m/>
    <m/>
    <m/>
    <m/>
  </r>
  <r>
    <n v="762"/>
    <s v="Indointernet"/>
    <s v="PT Toyota Astra Motor"/>
    <s v="Ciputat 00000"/>
    <x v="0"/>
    <m/>
    <m/>
    <s v="Sewa Tahunan"/>
    <s v="Interkoneksi"/>
    <s v="ICON-00/SBC/1809/0003"/>
    <m/>
    <m/>
    <m/>
    <m/>
    <m/>
    <n v="168000000"/>
    <m/>
    <m/>
    <n v="90000000"/>
    <m/>
    <d v="2023-01-01T00:00:00"/>
    <d v="2023-12-31T00:00:00"/>
    <x v="0"/>
    <m/>
    <m/>
    <m/>
    <m/>
    <m/>
    <s v="20572/SPP/008/PUSAT/ICON+/2022"/>
    <n v="4500019445"/>
    <m/>
    <m/>
    <m/>
    <m/>
    <m/>
    <m/>
    <m/>
    <m/>
    <m/>
    <m/>
    <m/>
    <m/>
    <m/>
    <m/>
  </r>
  <r>
    <n v="763"/>
    <s v="Adhi Persada +B2:C1290Properti "/>
    <s v="PT PLN (Persero) Kantor Pusat"/>
    <s v="Jl.Margonda Raya Kav 525A Depok 16424"/>
    <x v="0"/>
    <s v="[UID JAYA - UP2D] DCC GAMBIR"/>
    <s v="APARTEMEN TAMAN MELATI , JLN. MARGONDA RAYA NO. 525A, Pondok Cina, Kota Administrasi Jakarta Selatan, Banten, Indonesia,"/>
    <s v="Sewa Tahunan"/>
    <s v="Colocation"/>
    <s v="PA/ACT/1804/0055"/>
    <m/>
    <m/>
    <m/>
    <m/>
    <m/>
    <n v="94009200"/>
    <m/>
    <m/>
    <n v="40000000"/>
    <m/>
    <d v="2023-08-01T00:00:00"/>
    <d v="2024-07-31T00:00:00"/>
    <x v="2"/>
    <m/>
    <d v="2025-12-24T00:00:00"/>
    <n v="-511"/>
    <n v="7"/>
    <n v="2024"/>
    <s v="08942/SPP/008/PUSAT/ICON+/2018 | 4500011693 | 11019/SPP/008/PUSAT/ICON+/2019 | 4500013340 | 13776/SPP/008/PUSAT/ICON+/2020 | 4500014713"/>
    <s v="1560/SPP/SBU/ICON+/2023_x0009_"/>
    <n v="4500021624"/>
    <s v="Fajar Paramita"/>
    <m/>
    <m/>
    <m/>
    <m/>
    <s v="C246"/>
    <s v="D353"/>
    <m/>
    <m/>
    <s v="G317"/>
    <m/>
    <m/>
    <s v="Terkonfirmasi dengan pihak sales terkait tidak di perpanjang"/>
  </r>
  <r>
    <n v="764"/>
    <s v="Agung Sedayu Propertindo / Badan Pengelola Harco Mangga Dua"/>
    <s v="PT. AUTOCIPTA KARYA"/>
    <s v="Gedung Pusat Komputer dan Elektronik Lt. Basement Jl. Mangga Dua Raya Jakarta 10730"/>
    <x v="0"/>
    <s v="Jalan Diponegoro No 28 Bandung"/>
    <s v="Komp. Agung Sedayu Harco Elektronik Jl. Mangga Dua Raya Blok E No.1, Sawah Besar, Jakarta Pusat, DKI Jakarta, Indonesia, 10730"/>
    <s v="Sewa Tahunan"/>
    <s v="Colocation"/>
    <s v="PA/ACT/2110/2049/TER"/>
    <m/>
    <m/>
    <m/>
    <m/>
    <m/>
    <n v="24000000"/>
    <m/>
    <m/>
    <n v="20000000"/>
    <m/>
    <d v="2021-11-30T00:00:00"/>
    <d v="2022-11-29T00:00:00"/>
    <x v="2"/>
    <m/>
    <d v="2025-12-24T00:00:00"/>
    <n v="-1121"/>
    <n v="11"/>
    <n v="2022"/>
    <s v="baru"/>
    <s v="17246/SPP/008/PUSAT/ICON+/2021"/>
    <n v="4500017255"/>
    <s v="Fajar Paramita"/>
    <s v="Fika Ririn"/>
    <s v="021-6129329-30-31"/>
    <m/>
    <m/>
    <m/>
    <m/>
    <s v="E336"/>
    <m/>
    <m/>
    <m/>
    <m/>
    <m/>
  </r>
  <r>
    <n v="765"/>
    <s v="Agung Sedayu Propertindo / Badan Pengelola Harco Mangga Dua"/>
    <s v="Aplikasi Lintasarta qq Bank Woori Saudara"/>
    <s v="Gedung Pusat Komputer dan Elektronik Lt. Basement Jl. Mangga Dua Raya Jakarta 10730"/>
    <x v="0"/>
    <s v="Jl. Panglima Sudirman 23-25 Surabaya"/>
    <s v="Komplek Ruko Agung Sedayu (Harco Mangga Dua) Blok L No. 05 (Bank Woori Saudara So No. ICON-00/ACT/1605/0538)"/>
    <s v="Sewa Tahunan"/>
    <s v="Colocation"/>
    <s v="PA/ACT/2112/0932/TER/ AR/ACT/2112/37414 / 01000171880"/>
    <m/>
    <m/>
    <m/>
    <m/>
    <m/>
    <n v="51600000"/>
    <m/>
    <m/>
    <n v="20000000"/>
    <m/>
    <d v="2024-06-11T00:00:00"/>
    <d v="2025-06-10T00:00:00"/>
    <x v="0"/>
    <m/>
    <d v="2025-12-24T00:00:00"/>
    <n v="-197"/>
    <n v="6"/>
    <n v="2025"/>
    <s v="4500009583 |062413/SPR/008/PUSAT/ICON+/2016 | 06895/SPP/008/PUSAT/ICON+/2017 | 4500010558 | 08839/SPP/008/PUSAT/ICON+/2018 | 4500011650 | 450001290410756/SPP/008/PUSAT/ICON+/2019 | 13596/SPP/008/PUSAT/ICON+/2020 | 4500014585| 15951/SPP/008/PUSAT/ICON+/2021| 4500016262 | 19009/SPP/008/PUSAT/ICON+/2022 | 4500018283 | 21648 | 4500020637"/>
    <n v="2939"/>
    <n v="4500022458"/>
    <s v="Fajar Paramita"/>
    <s v="Fika Ririn"/>
    <s v="021-6129329-30-31"/>
    <n v="44"/>
    <s v="B80"/>
    <s v="C121"/>
    <s v="D142"/>
    <s v="E138"/>
    <s v="F205"/>
    <s v="G129"/>
    <m/>
    <m/>
    <s v="1.Jaminan Sewa Rp3.000.000_x000a_2.Jaminan Pekerjaan Rp2.000.000_x000a_3. Biaya Kebersihan 20% dari jaminan Pekerjaan Rp400.000,- (OTC)"/>
  </r>
  <r>
    <n v="766"/>
    <s v="Agung Sedayu Propertindo / Badan Pengelola Harco Mangga Dua"/>
    <s v="Dwimitra Nuansa Satria"/>
    <s v="Gedung Pusat Komputer dan Elektronik Lt. Basement Jl. Mangga Dua Raya Jakarta 10730"/>
    <x v="0"/>
    <s v="-"/>
    <s v="Komplek Ruko Agung Sedayu (Harco Mangga Dua) Jl. Mangga Dua Raya Blok E No. 4-5 Jakarta 10730 (PT Platinum Ceramic)"/>
    <s v="Sewa Tahunan"/>
    <s v="Colocation"/>
    <s v="ICON-00/SBC/1710/1432 / 0990000320431030"/>
    <m/>
    <m/>
    <m/>
    <m/>
    <m/>
    <n v="54000000"/>
    <m/>
    <m/>
    <n v="20000000"/>
    <m/>
    <d v="2023-05-30T00:00:00"/>
    <d v="2024-05-29T00:00:00"/>
    <x v="2"/>
    <m/>
    <d v="2025-12-24T00:00:00"/>
    <n v="-574"/>
    <n v="5"/>
    <n v="2024"/>
    <s v="4500009477 | 06885/SPP/008/PUSAT/ICON+/2017 | 45000010480 | 08560/SPP/008/PUSAT/ICON+/2018 | 4500011462 | 10619/SPP/008/PUSAT/ICON+/2019 | 4500012743|15733/SPP/008/PUSAT/ICON+/2021|4500016170 | 17912/SPP/008/PUSAT/ICON+/2022 | 4500017674"/>
    <s v="21605/SPP/008/PUSAT/ICON+/2023"/>
    <n v="4500020636"/>
    <s v="Fajar Paramita"/>
    <s v="Fika Ririn"/>
    <s v="021-6129329-30-31"/>
    <n v="29"/>
    <s v="B124"/>
    <s v="C81"/>
    <m/>
    <m/>
    <s v="F73"/>
    <s v="G137"/>
    <m/>
    <m/>
    <s v="1.Jaminan Sewa Rp3.000.000_x000a_2.Jaminan Pekerjaan Rp2.000.000_x000a_3. Biaya Kebersihan 20% dari jaminan Pekerjaan Rp400.000,- (OTC)"/>
  </r>
  <r>
    <n v="767"/>
    <s v="Agung Sedayu Propertindo / Badan Pengelola Harco Mangga Dua"/>
    <s v="PT Berdikari Prima Mandiri"/>
    <s v="Gedung Pusat Komputer dan Elektronik Lt. Basement Jl. Mangga Dua Raya Jakarta 10730"/>
    <x v="0"/>
    <s v="-"/>
    <s v="PT Berdikari Prima Mandiri, Harco Mangga Dua Blok P No. 28-29 Mangga Dua Selatan Sawah Besar Jakarta Pusat"/>
    <s v="Sewa Tahunan"/>
    <s v="Colocation"/>
    <s v="PA/ACT/1811/1966"/>
    <m/>
    <m/>
    <m/>
    <m/>
    <m/>
    <n v="42000000"/>
    <m/>
    <m/>
    <n v="20000000"/>
    <m/>
    <d v="2022-01-01T00:00:00"/>
    <d v="2022-12-31T00:00:00"/>
    <x v="2"/>
    <m/>
    <d v="2025-12-24T00:00:00"/>
    <n v="-1089"/>
    <n v="12"/>
    <n v="2022"/>
    <s v="09984/SPP/008/PUSAT/ICON+/2018 | 4500012350 | 11981/SPP/008/PUSAT/ICON+/2019 | 4500013549 | 14779/SPP/008/PUSAT/ICON+/2020 | 4500015423"/>
    <s v="17123/SPP/008/PUSAT/ICON+/2021"/>
    <n v="4500017086"/>
    <s v="Fajar Paramita"/>
    <s v="Fika Ririn"/>
    <s v="021-6129329-30-31"/>
    <m/>
    <m/>
    <s v="C291"/>
    <s v="E217"/>
    <s v="E339"/>
    <m/>
    <m/>
    <m/>
    <m/>
    <m/>
  </r>
  <r>
    <n v="768"/>
    <s v="Agung Sedayu Propertindo / Badan Pengelola Harco Mangga Dua"/>
    <s v="PT BANK BCA SYARIAH"/>
    <s v="Gedung Pusat Komputer dan Elektronik Lt. Basement Jl. Mangga Dua Raya Jakarta 10730"/>
    <x v="0"/>
    <s v="KANTOR PUSAT JATINEGARA ( BACKHAUL ) :JL. JATINEGARA TIMUR NO. 72 – JAKARTA TIMUR 13310,- ,- ,- ,Indonesia ,-"/>
    <s v="Ruko Agung Sedayu (Harco Mangga Dua) dari Gerbang Utama HMD ke Ruko Blok E No. 26 Jl. Mangga Dua Raya Jakarta 10730 (BCA Syariah)"/>
    <s v="Sewa Tahunan"/>
    <s v="Colocation"/>
    <s v="ICON-00/ACT/1409/0073"/>
    <m/>
    <m/>
    <m/>
    <m/>
    <m/>
    <n v="33600000"/>
    <m/>
    <m/>
    <n v="20000000"/>
    <m/>
    <d v="2024-12-22T00:00:00"/>
    <d v="2025-12-21T00:00:00"/>
    <x v="1"/>
    <m/>
    <d v="2025-12-24T00:00:00"/>
    <n v="-3"/>
    <n v="12"/>
    <n v="2025"/>
    <s v="5351116/SPR/ICON+/2016 |07551/SPP/008/PUSAT/ICON+/2017 | 4500010882 | 09604/SPP/008/PUSAT/ICON+/2018 | 4500012116 | 11912/SPP/008/PUSAT/ICON+/2019 |4500013561 | 14778/SPP/008/PUSAT/ICON+/2020 | 17189/SPP/008/PUSAT/ICON+/2021 | 4500017117 | 20560/SPP/008/PUSAT/ICON+/2022 | 4500019549 | 21320/SPP/008/PUSAT/ICON+/2023 | 4500021959"/>
    <s v="5450/SPP/SBU/PLNICONPLUS/2024"/>
    <n v="4500024451"/>
    <s v="Fajar Paramita"/>
    <s v="Fika Ririn"/>
    <s v="021-6129329-30-31"/>
    <m/>
    <m/>
    <s v="C292"/>
    <s v="E216"/>
    <s v="F434"/>
    <m/>
    <s v="G392"/>
    <m/>
    <m/>
    <s v="1.Jaminan Sewa Rp3.000.000_x000a_2.Jaminan Pekerjaan Rp2.000.000_x000a_3.Biaya Kebersihan 20% dari jaminan Rp400.000,- (OTC)"/>
  </r>
  <r>
    <n v="769"/>
    <s v="Alfa Goldland Realty"/>
    <s v="PT. BANK SYARIAH MANDIRI"/>
    <s v="The Tower, (Lt. 11) Jl. Gatot Subroto No.27, RT.2/RW.4, Karet Semanggi, Kec. Setiabudi, Jakarta Selatan, DKI Jakarta, Indonesia, 12930"/>
    <x v="0"/>
    <s v="-"/>
    <s v="The Tower, (Lt. 11) Jl. Gatot Subroto No.27, RT.2/RW.4, Karet Semanggi, Kec. Setiabudi, Jakarta Selatan, DKI Jakarta, Indonesia, 12930"/>
    <s v="Sewa Tahunan"/>
    <s v="Colocation"/>
    <s v="PA/ACT/2107/0553"/>
    <m/>
    <m/>
    <m/>
    <m/>
    <m/>
    <n v="436363632"/>
    <m/>
    <m/>
    <n v="64000000"/>
    <m/>
    <d v="2024-07-23T00:00:00"/>
    <d v="2025-07-22T00:00:00"/>
    <x v="0"/>
    <m/>
    <d v="2025-12-24T00:00:00"/>
    <n v="-155"/>
    <n v="7"/>
    <n v="2025"/>
    <s v="16260/SPP/008/PUSAT/ICON+/2021| 4500016461 | 19271/SPP/008/PUSAT/ICON+/2022 | 4500018527 | 797/SPP/SBU/ICON+/2023 | 4500020981"/>
    <s v="3750/SPP/SBU/PLNICONPLUS/2024"/>
    <n v="4500023029"/>
    <s v="Fajar Paramita"/>
    <m/>
    <m/>
    <m/>
    <m/>
    <m/>
    <m/>
    <s v="E160"/>
    <s v="D347"/>
    <s v="G268"/>
    <m/>
    <m/>
    <m/>
  </r>
  <r>
    <n v="770"/>
    <s v="Alpena Bakti Karya "/>
    <s v="Angkasa Pura Logistik"/>
    <s v="Jalan Selaparang Blok B-15 Kav.9 Jakarta 10610"/>
    <x v="0"/>
    <s v="-"/>
    <s v="Gedung Datascrip Kemayoran"/>
    <s v="Sewa Tahunan"/>
    <s v="Colocation"/>
    <s v="PA/RLK/1809/0059_x000a_ PA/RLK/1808/0051"/>
    <m/>
    <m/>
    <m/>
    <m/>
    <m/>
    <n v="114545448"/>
    <m/>
    <m/>
    <n v="7636366"/>
    <m/>
    <d v="2020-11-01T00:00:00"/>
    <d v="2021-10-31T00:00:00"/>
    <x v="0"/>
    <m/>
    <d v="2025-12-24T00:00:00"/>
    <n v="-1515"/>
    <n v="10"/>
    <n v="2021"/>
    <s v="4500012039 | 09503/SPP/008/PUSAT/ICON+/2018 | 4500015273"/>
    <s v="14563/SPP/008/PUSAT/ICON+/2020"/>
    <m/>
    <s v="Fajar Paramita"/>
    <m/>
    <m/>
    <m/>
    <m/>
    <m/>
    <m/>
    <m/>
    <m/>
    <m/>
    <m/>
    <m/>
    <s v="Konfirmasi to Sales"/>
  </r>
  <r>
    <n v="771"/>
    <s v="Anpa International "/>
    <s v="PT. BANK SYARIAH MANDIRI"/>
    <s v="Wisma Antara 2nd Floor Jl. Merdeka Selatan 17 Jakarta 10110"/>
    <x v="0"/>
    <s v="Plaza Mandiri Lt. 4 Jl. Jend. Gatot Subroto,- ,- ,- ,Indonesia ,-"/>
    <s v="Gedung Wisma Antara"/>
    <s v="Sewa Tahunan"/>
    <s v="Colocation"/>
    <s v="ICON-00/SBC/1408/0274 / 0990000320354328"/>
    <m/>
    <m/>
    <m/>
    <m/>
    <m/>
    <n v="108000000"/>
    <m/>
    <m/>
    <n v="38500000"/>
    <m/>
    <d v="2021-07-01T00:00:00"/>
    <d v="2022-06-30T00:00:00"/>
    <x v="2"/>
    <m/>
    <d v="2025-12-24T00:00:00"/>
    <n v="-1273"/>
    <n v="6"/>
    <n v="2022"/>
    <s v="062316/MI/004/PUSAT/ICON+/2016 | 06620/SPP/008/PUSAT/ICON+/2017 |4500010297 | 08426/SPP/008/PUSAT/ICON+/2018 | 4500011410 | 10681/SPP/008/PUSAT/ICON+/2019 | 4500012719 | 13599/SPP/008/PUSAT/ICON+/2020 | 4500014595"/>
    <s v="15958/SPP/008/PUSAT/ICON+/2021"/>
    <n v="4500016269"/>
    <s v="Fajar Paramita"/>
    <s v="Kania"/>
    <s v="021–3847824"/>
    <n v="52"/>
    <s v="B67"/>
    <s v="C78"/>
    <s v="D144"/>
    <s v="E126"/>
    <m/>
    <m/>
    <m/>
    <m/>
    <s v="Sewa Shaft Kabel Rp18.500.000,-/tahun_x000a_ Biaya Jaminan senilai 3 bulan dari harga sewa (existing USD 300 dan tambahan 2015 Rp661.700)"/>
  </r>
  <r>
    <n v="772"/>
    <s v="Aplikanusa Lintasarta "/>
    <s v="PT Prima Vista Solusi"/>
    <s v="Gedung Menara Thamrin Lt. 19_x000a_Jl. MH Thamrin kav. 3 Jakarta Pusat"/>
    <x v="0"/>
    <s v="(Backhaul) DC Lintas Artha Taman Tekno. Kav C/09A, Jl. Tekno Widya No.9 A, Setu, Tangerang, Banten"/>
    <s v="-"/>
    <s v="Sewa Tahunan"/>
    <s v="Cross Connect"/>
    <s v="PA/ACT/1904/2085"/>
    <m/>
    <m/>
    <m/>
    <m/>
    <m/>
    <n v="36000000"/>
    <m/>
    <m/>
    <n v="15000000"/>
    <m/>
    <d v="2023-05-10T00:00:00"/>
    <d v="2024-05-09T00:00:00"/>
    <x v="0"/>
    <m/>
    <d v="2025-12-24T00:00:00"/>
    <n v="-594"/>
    <n v="5"/>
    <n v="2024"/>
    <s v="10870/SPP/008/PUSAT/ICON+/2019 | 4500012828|13128/SPP/008/PUSAT/ICON+/2020|4500014207 | 17935 | 4500017675"/>
    <s v="395/SPP/SBU/PLNICONPLUS/2023"/>
    <n v="4500023008"/>
    <s v="Livia Indraswati"/>
    <s v="Syarifah"/>
    <s v="021-2302346"/>
    <m/>
    <m/>
    <s v="C104"/>
    <s v="D126"/>
    <m/>
    <s v="F70"/>
    <s v="H273"/>
    <m/>
    <m/>
    <m/>
  </r>
  <r>
    <n v="773"/>
    <s v="Aplikanusa Lintasarta "/>
    <s v="PT Prima Vista Solusi"/>
    <s v="Gedung Menara Thamrin Lt. 19_x000a_Jl. MH Thamrin kav. 3 Jakarta Pusat"/>
    <x v="0"/>
    <s v="(Backhaul) DC Lintas Artha Taman Tekno. Kav C/09A, Jl. Tekno Widya No.9 A, Setu, Tangerang, Banten"/>
    <m/>
    <s v="Sewa Tahunan"/>
    <s v="Cross Connect"/>
    <s v="PA/ACT/1904/2085"/>
    <m/>
    <m/>
    <m/>
    <m/>
    <m/>
    <n v="36000000"/>
    <m/>
    <m/>
    <n v="15000000"/>
    <m/>
    <d v="2024-05-10T00:00:00"/>
    <d v="2025-05-09T00:00:00"/>
    <x v="0"/>
    <m/>
    <d v="2025-12-24T00:00:00"/>
    <n v="-229"/>
    <n v="5"/>
    <n v="2025"/>
    <m/>
    <s v="3935/SPP/SBU/PLNICONPLUS/2024"/>
    <n v="4500023187"/>
    <s v="Livia Indraswati"/>
    <m/>
    <m/>
    <m/>
    <m/>
    <m/>
    <m/>
    <m/>
    <m/>
    <m/>
    <s v="H272"/>
    <m/>
    <m/>
  </r>
  <r>
    <n v="774"/>
    <s v="Aplikanusa Lintasarta "/>
    <s v="PT. DIGITAL VISION NUSANTARA"/>
    <s v="Gedung Menara Thamrin Lt. 19_x000a_Jl. MH Thamrin kav. 3 Jakarta Pusat"/>
    <x v="0"/>
    <s v="MNC Vision Tower, Jalan Panjang Z / III, RT.14/RW.8, Kedoya Utara, Kb. Jeruk, Jakarta Barat"/>
    <s v="Data Center lt.3, Gedung Lintasarta, Jalan T.B. Simatupang Kav. 10, Kebayoran Lama, RT.16/RW.6, Cilandak Barat, Jakarta Selatan"/>
    <s v="Sewa Tahunan"/>
    <s v="Cross Connect"/>
    <s v="PA/ACT/1909/1780"/>
    <m/>
    <m/>
    <m/>
    <m/>
    <m/>
    <n v="90000000"/>
    <m/>
    <m/>
    <n v="15000000"/>
    <m/>
    <d v="2020-09-24T00:00:00"/>
    <d v="2021-09-23T00:00:00"/>
    <x v="2"/>
    <m/>
    <d v="2025-12-24T00:00:00"/>
    <n v="-1553"/>
    <n v="9"/>
    <n v="2021"/>
    <s v="4500013323 | 11666"/>
    <n v="14277"/>
    <n v="4500016790"/>
    <s v="Fajar Paramita"/>
    <s v="Syarifah"/>
    <s v="021-2302346"/>
    <m/>
    <m/>
    <s v="C209"/>
    <m/>
    <m/>
    <m/>
    <m/>
    <m/>
    <m/>
    <s v="Konfirmasi to Sales"/>
  </r>
  <r>
    <n v="775"/>
    <s v="Aplikanusa Lintasarta "/>
    <s v="PT. TELKOM SATELIT INDONESIA"/>
    <s v="Gedung Menara Thamrin Lt. 19_x000a_Jl. MH Thamrin kav. 3 Jakarta Pusat"/>
    <x v="0"/>
    <s v="PT. Telkom Satelit Indonesia Jl. Sholeh Iskandar RT.01/RW.01, Cibadak, Bogor, Jawa Barat"/>
    <s v="Data Center lt.3, Gedung Lintasarta, Jalan T.B. Simatupang Kav. 10, Kebayoran Lama, RT.16/RW.6, Cilandak Barat, Jakarta Selatan"/>
    <s v="Sewa Tahunan"/>
    <s v="Cross Connect"/>
    <s v="PA/ACT/2007/0689"/>
    <m/>
    <m/>
    <m/>
    <m/>
    <m/>
    <n v="240000000"/>
    <m/>
    <m/>
    <n v="24000000"/>
    <m/>
    <d v="2020-07-30T00:00:00"/>
    <d v="2021-07-29T00:00:00"/>
    <x v="0"/>
    <m/>
    <d v="2025-12-24T00:00:00"/>
    <n v="-1609"/>
    <n v="7"/>
    <n v="2021"/>
    <s v="4500014792 | 13940"/>
    <n v="16400"/>
    <n v="4500018489"/>
    <s v="Fajar Paramita"/>
    <s v="Syarifah"/>
    <s v="021-2302346"/>
    <m/>
    <m/>
    <m/>
    <s v="D164"/>
    <m/>
    <m/>
    <m/>
    <m/>
    <m/>
    <s v="Konfirmasi to Sales"/>
  </r>
  <r>
    <n v="776"/>
    <s v="Aplikanusa Lintasarta "/>
    <s v="DIREKTORAT JENDERAL APLIKASI INFORMATIKA KEMENTRIAN KOMINFO"/>
    <s v="Gedung Menara Thamrin Lt. 19_x000a_Jl. MH Thamrin kav. 3 Jakarta Pusat"/>
    <x v="0"/>
    <m/>
    <s v="Datacenter Lintas Arta, Komplek Pergudangan Taman Tekno Blok D No.8, BSD, Tangerang, Banten"/>
    <s v="Sewa Tahunan"/>
    <s v="Cross Connect"/>
    <s v="PA/ACT/2001/0059/TER"/>
    <m/>
    <m/>
    <m/>
    <m/>
    <m/>
    <n v="240000000"/>
    <m/>
    <m/>
    <n v="15000000"/>
    <m/>
    <d v="2021-03-18T00:00:00"/>
    <d v="2022-03-17T00:00:00"/>
    <x v="0"/>
    <m/>
    <d v="2025-12-24T00:00:00"/>
    <n v="-1378"/>
    <n v="3"/>
    <n v="2022"/>
    <s v="12931/SPP/008/PUSAT/ICON+/2020 | 4500014077"/>
    <s v="17736/SPP/008/PUSAT/ICON+/2022"/>
    <n v="4500019179"/>
    <s v="Fajar Paramita"/>
    <s v="Syarifah"/>
    <s v="021-2302346"/>
    <m/>
    <m/>
    <m/>
    <s v="D80"/>
    <m/>
    <s v="F417"/>
    <m/>
    <m/>
    <m/>
    <s v="Konfirmasi to Sales"/>
  </r>
  <r>
    <n v="777"/>
    <s v="Aplikanusa Lintasarta "/>
    <s v="PT. SUMBER UTAMA FIBER INDONESIA"/>
    <s v="Gedung Menara Thamrin Lt. 19_x000a_Jl. MH Thamrin kav. 3 Jakarta Pusat"/>
    <x v="0"/>
    <s v="-"/>
    <s v="DC LA Taman Tekno lantai 1 ruangan DH1C, Cage W18, rak nomor W13,  -,  Kota Tangerang Selatan,  Banten,  Indonesia, "/>
    <s v="Sewa Tahunan"/>
    <s v="Cross Connect"/>
    <s v="PA/ACT/2301/0645/TER"/>
    <m/>
    <m/>
    <m/>
    <m/>
    <m/>
    <n v="211200000"/>
    <m/>
    <s v="2.500.000"/>
    <n v="24000000"/>
    <m/>
    <d v="2023-02-13T00:00:00"/>
    <d v="2024-02-12T00:00:00"/>
    <x v="0"/>
    <m/>
    <d v="2025-12-24T00:00:00"/>
    <n v="-681"/>
    <n v="2"/>
    <n v="2024"/>
    <s v="baru"/>
    <s v="21026/SPP/008/PUSAT/ICON+/2023"/>
    <n v="4500019898"/>
    <s v="Livia Indraswati"/>
    <s v="Syarifah"/>
    <s v="021-2302346"/>
    <m/>
    <m/>
    <m/>
    <m/>
    <m/>
    <m/>
    <s v="G9"/>
    <m/>
    <m/>
    <s v="OTC Rp.2.500.000"/>
  </r>
  <r>
    <n v="778"/>
    <s v="Aplikanusa Lintasarta "/>
    <s v="PT Indomarco Prismatama"/>
    <s v="Gedung Menara Thamrin Lt. 19_x000a_Jl. MH Thamrin kav. 3 Jakarta Pusat"/>
    <x v="0"/>
    <s v="BACKHAUL MITRA - Jl.Ancol Barat No.9-10, Jakarta Utara,- ,- ,- ,Indonesia ,-"/>
    <s v="Gedung Lintasarta Ruang Meet Me Room Jl. TB Simatupang kav. 10 Jakarta (Indomarco Prismatama PT)"/>
    <s v="Sewa Tahunan"/>
    <s v="Colocation"/>
    <s v="ICON-00/SBC/1409/0173"/>
    <m/>
    <m/>
    <m/>
    <m/>
    <m/>
    <n v="114000000"/>
    <m/>
    <m/>
    <n v="18000000"/>
    <m/>
    <d v="2019-06-01T00:00:00"/>
    <d v="2020-05-31T00:00:00"/>
    <x v="2"/>
    <m/>
    <d v="2025-12-24T00:00:00"/>
    <n v="-2033"/>
    <n v="5"/>
    <n v="2020"/>
    <s v="4500009650 |06882/SPP/008/PUSAT/ICON+/2017 | 4500010543 | 08533/SPP/008/PUSAT/ICON+/2018 | 4500011441"/>
    <s v="10540/SPP/008/PUSAT/ICON+/2019"/>
    <n v="4500013206"/>
    <s v="Fajar Paramita"/>
    <s v="Syarifah"/>
    <s v="021-2302345"/>
    <n v="168"/>
    <s v="B139"/>
    <s v="C174"/>
    <m/>
    <m/>
    <m/>
    <m/>
    <m/>
    <m/>
    <s v="DER/1908/0816"/>
  </r>
  <r>
    <n v="779"/>
    <s v="Aplikanusa Lintasarta "/>
    <s v="PT Jatelindo Perkasa Abadi"/>
    <s v="Gedung Menara Thamrin Lt. 19_x000a_Jl. MH Thamrin kav. 3 Jakarta Pusat"/>
    <x v="0"/>
    <s v="Server Jatelindo, Ged.Lintasarta Lt.2 Jl.TB Simatupang Jaksel,- ,- ,- ,Indonesia ,-"/>
    <s v="Gedung Lintasarta Ruang Meet Me Room Jl. TB Simatupang kav. 10 Jakarta (Jatelindo Perkasa Abadi PT)"/>
    <s v="Sewa Tahunan"/>
    <s v="Colocation"/>
    <s v="ICON-00/SBC/1208/0067_x000a_ ICON-00/SBC/1208/0068"/>
    <m/>
    <m/>
    <m/>
    <m/>
    <m/>
    <n v="84000000"/>
    <m/>
    <m/>
    <n v="19500000"/>
    <m/>
    <d v="2022-05-31T00:00:00"/>
    <d v="2023-05-30T00:00:00"/>
    <x v="0"/>
    <m/>
    <d v="2025-12-24T00:00:00"/>
    <n v="-939"/>
    <n v="5"/>
    <n v="2023"/>
    <s v="4500009649 | 07930/SPP/008/PUSAT/ICON+/2018 | 4500011155 | 08501/SPP/008/PUSAT/ICON+/2018 |4500011422 | 10539/SPP/008/PUSAT/ICON+/2019 | 4500012781 | 13406/SPP/008/PUSAT/ICON+/2020 | 4500014397| 15418/SPP/008/PUSAT/ICON+/2021| 4500016052"/>
    <s v="18240/SPP/008/PUSAT/ICON+/2022"/>
    <n v="4500017916"/>
    <s v="Fajar Paramita"/>
    <s v="Syarifah"/>
    <s v="021-2302345"/>
    <s v="B14"/>
    <s v="B146"/>
    <s v="C101"/>
    <s v="D124"/>
    <s v="E81"/>
    <s v="F137"/>
    <m/>
    <m/>
    <m/>
    <s v="OTC Rp 2.000.000,-"/>
  </r>
  <r>
    <n v="780"/>
    <s v="Aplikanusa Lintasarta "/>
    <s v="PT ARTHATECH SELARAS_x000a_ BANK RIAU KEPRI"/>
    <s v="Gedung Menara Thamrin Lt. 19_x000a_Jl. MH Thamrin kav. 3 Jakarta Pusat"/>
    <x v="0"/>
    <s v="Jalan T.B. Simatupang Kav. 10, Kebayoran Lama, RT.16/RW.6, Cilandak Barat,  Kec. Cilandak,  Jakarta Selatan,  DKI Jakarta,  Indonesia,  12430"/>
    <s v="Jalan TB Simatupang, RT.3/RW.2, Tanjung Barat, Kec. Jagakarsa, Jakarta Selatan, DKI Jakarta, Indonesia, 12530"/>
    <s v="Sewa Tahunan"/>
    <s v="Cross Connect"/>
    <s v="PA/ACT/2103/1475/ORI_x000a_ PA/ACT/2103/1352"/>
    <m/>
    <m/>
    <m/>
    <m/>
    <m/>
    <n v="234000000"/>
    <m/>
    <m/>
    <n v="21000000"/>
    <m/>
    <d v="2021-04-22T00:00:00"/>
    <d v="2022-04-21T00:00:00"/>
    <x v="0"/>
    <m/>
    <d v="2025-12-24T00:00:00"/>
    <n v="-1343"/>
    <n v="4"/>
    <n v="2022"/>
    <s v="baru"/>
    <s v="15617/SPP/008/PUSAT/ICON+/2021"/>
    <n v="4500016006"/>
    <s v="Fajar Paramita"/>
    <s v="Syarifah"/>
    <s v="021-2302346"/>
    <m/>
    <m/>
    <m/>
    <m/>
    <s v="E28"/>
    <m/>
    <m/>
    <m/>
    <m/>
    <s v="Konfirmasi to Sales"/>
  </r>
  <r>
    <n v="781"/>
    <s v="Aplikanusa Lintasarta "/>
    <s v="PT. PRIMACOM INTERBUANA"/>
    <s v="Gedung Menara Thamrin Lt. 19_x000a_Jl. MH Thamrin kav. 3 Jakarta Pusat"/>
    <x v="0"/>
    <s v="PT Rintis Sejahtera, Komplek Pergudangan Taman Tekno Blok D No.8, BSD Lintasarta Technopark Data Center"/>
    <s v="PT Rintis Sejahtera, Komplek Pergudangan Taman Tekno Blok D No.8, BSD Lintasarta Technopark Data Center"/>
    <s v="Sewa Tahunan"/>
    <s v="Cross Connect"/>
    <s v="PA/ACT/2108/1751/TER"/>
    <m/>
    <m/>
    <m/>
    <m/>
    <m/>
    <n v="48000000"/>
    <m/>
    <m/>
    <n v="25000000"/>
    <m/>
    <d v="2022-09-10T00:00:00"/>
    <d v="2023-09-09T00:00:00"/>
    <x v="0"/>
    <m/>
    <d v="2025-12-24T00:00:00"/>
    <n v="-837"/>
    <n v="9"/>
    <n v="2023"/>
    <s v="4500016617 | 16538"/>
    <n v="20065"/>
    <n v="4500019200"/>
    <s v="Fajar Paramita"/>
    <s v="Syarifah"/>
    <s v="021-2302346"/>
    <m/>
    <m/>
    <m/>
    <m/>
    <s v="E288"/>
    <m/>
    <m/>
    <m/>
    <m/>
    <m/>
  </r>
  <r>
    <n v="782"/>
    <s v="Aplikanusa Lintasarta "/>
    <s v="PT. GEMILANG SARANA MANDIRI "/>
    <s v="Gedung Menara Thamrin Lt. 19_x000a_Jl. MH Thamrin kav. 3 Jakarta Pusat"/>
    <x v="0"/>
    <m/>
    <s v="PT. Gemilang Sarana Mandiri, Komplek Pergudangan Taman Tekno Blok D No. 8, BSD, Setu,"/>
    <s v="Sewa Tahunan"/>
    <s v="Cross Connect"/>
    <s v="PA/ACT/2210/3359/TER"/>
    <m/>
    <m/>
    <m/>
    <m/>
    <m/>
    <n v="37200000"/>
    <m/>
    <m/>
    <n v="32500000"/>
    <m/>
    <d v="2022-12-21T00:00:00"/>
    <d v="2023-12-20T00:00:00"/>
    <x v="2"/>
    <m/>
    <d v="2025-12-24T00:00:00"/>
    <n v="-735"/>
    <n v="12"/>
    <n v="2023"/>
    <s v="baru"/>
    <s v="20500/SPP/008/PUSAT/ICON+/2022"/>
    <n v="4500019384"/>
    <s v="Fajar Paramita"/>
    <s v="Syarifah"/>
    <s v="021-2302346"/>
    <m/>
    <m/>
    <m/>
    <m/>
    <m/>
    <s v="F400"/>
    <m/>
    <m/>
    <m/>
    <m/>
  </r>
  <r>
    <n v="783"/>
    <s v="Aplikanusa Lintasarta "/>
    <s v="PT. JATELINDO PERKASA ABADI"/>
    <s v="Gedung Menara Thamrin Lt. 19_x000a_Jl. MH Thamrin kav. 3 Jakarta Pusat"/>
    <x v="0"/>
    <m/>
    <s v="LINTASARTA TECHNOPARK DATA CENTER, KOMPLEK PERGUDANGAN TAMAN TEKNO BLOK D NO.8"/>
    <s v="Sewa Tahunan"/>
    <s v="Cross Connect"/>
    <s v="R111202000635_x000a_R111202000650"/>
    <m/>
    <m/>
    <m/>
    <m/>
    <m/>
    <n v="210000000"/>
    <m/>
    <m/>
    <n v="24000000"/>
    <m/>
    <d v="2023-09-12T00:00:00"/>
    <d v="2024-09-11T00:00:00"/>
    <x v="0"/>
    <m/>
    <d v="2025-12-24T00:00:00"/>
    <n v="-469"/>
    <n v="9"/>
    <n v="2024"/>
    <s v="baru"/>
    <s v="1019/SPP/SBU/ICON+/2023"/>
    <n v="4500021071"/>
    <s v="Fajar Paramita"/>
    <s v="Syarifah"/>
    <s v="021-2302346"/>
    <m/>
    <m/>
    <m/>
    <m/>
    <m/>
    <m/>
    <s v="G159"/>
    <m/>
    <m/>
    <m/>
  </r>
  <r>
    <n v="784"/>
    <s v="Aristi Jasadata  (Serpong Tatanan Kota Estate Management)"/>
    <s v="PT ARISTI JASADATA_x000a_ PT SRIWIJAYA LINTAS RAYA_x000a_ PT PUMA ENERGY INDONESIA"/>
    <s v="Jl. Raya Telaga Gading Serpong Cihuni Tangerang 15810_x000a__x000a_Graha BIP 3rd Floor Jl. Jend. Gatot Subroto Kav. 23 Jakarta 12930"/>
    <x v="0"/>
    <s v="GRAHA ANABATIC LT.4 JL. SCIENTA BOULEVARD KAV U2 SUMARECON SERPONG BANTEN"/>
    <s v="Gading Serpong (Data Center Graha Anabatic Lt.4 Gading Serpong Building Office Building Nearby Cities Tangerang Selatan Tangerang Jakarta - PT Sriwijaya Lintas Raya dan PT Puma Energy Indonesia)"/>
    <s v="Sewa Tahunan"/>
    <s v="Colocation"/>
    <s v="ICON-00/ACT/1701/1030_x000a_ ICON-00/ACT/1507/0128_x000a_ ICON-00/ACT/1507/0036"/>
    <m/>
    <m/>
    <m/>
    <m/>
    <m/>
    <n v="10442000"/>
    <m/>
    <m/>
    <n v="50000000"/>
    <m/>
    <d v="2020-10-06T00:00:00"/>
    <d v="2021-10-05T00:00:00"/>
    <x v="2"/>
    <m/>
    <d v="2025-12-24T00:00:00"/>
    <n v="-1541"/>
    <n v="10"/>
    <n v="2021"/>
    <s v="4500009959 | 07883/SPP/008/PUSAT/ICON+/2017 | 4500011116 (PO BELUM DIPRINT)"/>
    <s v="09163/SPP/008/PUSAT/ICON+/2018"/>
    <n v="4500011849"/>
    <s v="Fajar Paramita"/>
    <s v="Eka Agus H._x000a_ Anang Maruf_x000a_ Panji Lesmana_x000a_ Raditya Anggara (Data Center Aristi)"/>
    <s v="021-5376050_x000a_ 021-5225295 (Aristi)"/>
    <s v="B6"/>
    <m/>
    <m/>
    <m/>
    <m/>
    <m/>
    <m/>
    <m/>
    <m/>
    <s v="1. Ijin Penarikan kabel FO One Time Charged Rp2.000.000,- s/d Rp10.000.000 _x000a_ 2. Jasa Man Hour One Time Charged Rp3.000.000_x000a_ 3. Biaya Perbaikan Penarikan Kabel FO dengan rincian sebagai berikut :_x000a_ a. Perbaikan akibat galian dan perapian rumput gajah Rp32.875/titik _x000a_ b.Perbaikan akibat galian dan perapian semak perdu Rp105.700/titik_x000a_ c. Perbaikan akibat galian dan perapian paving bloc Rp207.000/titik_x000a_ d. Biaya perapian dan kebersihan Rp500.000/ls_x000a_ 4. Biaya supervisi Rp2.500.000_x000a_ 5. Biaya Jaminan bervariasi dari Rp5.000.000,- s/d Rp20.000.000,-_x000a_ di Data Center Aristi Jasadata_x000a_ 1. Biaya Sewa UTP Rp2.180.000/bulan_x000a_ 2. Sewa Tahunan Rp5.500.000/tarikan kabel/tahun_x000a_ 3. Jasa Penarikan kabel UTP Rp5000.000,-/intalasi"/>
  </r>
  <r>
    <n v="785"/>
    <s v="Asosiasi penyelenggara Jasa Internet Indonesia (APJII)"/>
    <s v="PT. SAKTI GLOBAL SOLUSINDO"/>
    <s v="Gedung Cyber Lt.11 Jl. Kuningan Barat No.8 Kuningan Barat Jakarta"/>
    <x v="0"/>
    <s v="Balai Karantina Pertanian kelas II Cilegon Jl.Transit Cikuasa,Pantai Gerem Cilegon Banten 424389"/>
    <s v="APJII BANTEN Jl. Trip Jamaksari Ruko Inti, Jl. Cinanggung, Sumurpecung, Kec. Serang,"/>
    <s v="Sewa Tahunan"/>
    <s v="Colocation"/>
    <s v="PA/ACT/2203/1329/TER"/>
    <m/>
    <m/>
    <m/>
    <m/>
    <m/>
    <n v="120000000"/>
    <m/>
    <m/>
    <n v="12000000"/>
    <m/>
    <d v="2024-01-01T00:00:00"/>
    <d v="2024-12-31T00:00:00"/>
    <x v="2"/>
    <m/>
    <d v="2025-12-24T00:00:00"/>
    <n v="-358"/>
    <n v="12"/>
    <n v="2024"/>
    <s v="21068 | 4500019926"/>
    <n v="2445"/>
    <n v="4500022104"/>
    <s v="Fajar Paramita"/>
    <s v="Fatmah"/>
    <s v="815 8436 3772"/>
    <m/>
    <m/>
    <m/>
    <m/>
    <m/>
    <m/>
    <s v="G15"/>
    <s v="H27"/>
    <m/>
    <s v="-"/>
  </r>
  <r>
    <n v="786"/>
    <s v="Asosiasi penyelenggara Jasa Internet Indonesia (APJII)"/>
    <s v="PT. ADEAKSA INDO JAYATAMA"/>
    <s v="Gedung Cyber Lt.11 Jl. Kuningan Barat No.8 Kuningan Barat Jakarta"/>
    <x v="0"/>
    <s v="Gedung Cyber Lt.1 (APJII), Jakarta Selatan"/>
    <s v="Dusun Kp. Baru, Jajag, Gambiran, Banyuwangi Regency, East Java 68486, Banyuwangi, Kabupaten Banyuwangi, Jawa Timur, Indonesia"/>
    <s v="Sewa Tahunan"/>
    <s v="Colocation"/>
    <s v="PA/ACT/2008/2588"/>
    <m/>
    <m/>
    <m/>
    <m/>
    <m/>
    <n v="576000000"/>
    <m/>
    <m/>
    <n v="12000000"/>
    <m/>
    <d v="2024-01-12T00:00:00"/>
    <d v="2025-01-11T00:00:00"/>
    <x v="0"/>
    <m/>
    <d v="2025-12-24T00:00:00"/>
    <n v="-347"/>
    <n v="1"/>
    <n v="2025"/>
    <s v="14166/SPP/008/PUSAT/ICON+/2020 | 4500015137 | 16784/SPP/008/PUSAT/ICON+/2021 | 4500017302 | 2445- | 4500019921"/>
    <n v="2372"/>
    <n v="4500022067"/>
    <s v="Fajar Paramita"/>
    <s v="Fatmah"/>
    <s v="814 8436 3772"/>
    <m/>
    <m/>
    <m/>
    <s v="D232"/>
    <s v="E410"/>
    <m/>
    <s v="G35"/>
    <s v="H14"/>
    <m/>
    <s v="-"/>
  </r>
  <r>
    <n v="787"/>
    <s v="Asosiasi penyelenggara Jasa Internet Indonesia (APJII)"/>
    <s v="PT. MATRIXNET GLOBAL INDONESIA_x000a_ PT ARTHA MEDIA LINTAS NUSA_x000a_ PT TRANS HYBRID COMMUNICATION_x000a_ PT NTT INDONESIA_x000a_ PT TELE GLOBE GLOBAL_x000a_ PT. ARTHA TELEKOMINDO_x000a_ PT EKA MAS REPUBLIK_x000a_ PT TUJUH DELAPAN SEMBILAN NET_x000a_ PT GRAHA ANUGERAH SEJAHTERA_x000a_ PT DEWATA TELEMATIKA_x000a_ PT MORA TELEMATIKA INDONESIA_x000a_ PT MORA TELEMATIKA INDONESIA_x000a_ PT MORA TELEMATIKA INDONESIA_x000a_ PT FIBER NETWORKS INDONESIA_x000a_ PT PRESTASI PIRANTI INFORMASI_x000a_ PT ATOZ TOTAL SOLUSI_x000a_ PT PRESTASI PIRANTI INFORMASI_x000a_ PT ATLASAT SOLUSINDO_x000a_ PT WIFIKU INDONESIA_x000a_ PT ATOZ TOTAL SOLUSI_x000a_ PT MORA TELEMATIKA INDONESIA_x000a_ PT REKAJASA AKSES_x000a_ PT WIFIKU INDONESIA_x000a_ UNIVERSAL BROADBAND_x000a_ PT. CIRCLECOM NUSANTARA INDONESIA_x000a_ PT WIFIKU INDONESIA_x000a_ PT TELE GLOBE GLOBAL_x000a_ PT TELE GLOBE GLOBAL_x000a_ PT. ARTHA TELEKOMINDO_x000a_ PT WIFIKU INDONESIA_x000a_ PT WIFIKU INDONESIA_x000a_ PT EKA MAS REPUBLIK_x000a_ PT NTT INDONESIA_x000a_ PT. CIRCLECOM NUSANTARA INDONESIA_x000a_ PT EKA MAS REPUBLIK_x000a_ PT SARANAINSAN MUDASELARAS_x000a_ PT TELINDO NUSANTARA_x000a_ PT WIFIKU INDONESIA_x000a_ PT WIFIKU INDONESIA_x000a_ UNIVERSAL BROADBAND_x000a_ PT XL AXIATA Tbk._x000a_ PT EKA MAS REPUBLIK_x000a_ PT EKA MAS REPUBLIK_x000a_ PT DATAKOM STRATA TIGA_x000a_ PT. ARTHA TELEKOMINDO_x000a_ PT. ARTHA TELEKOMINDO_x000a_ PT. ARTHA TELEKOMINDO_x000a_ PT MORA TELEMATIKA INDONESIA_x000a_ PT MORA TELEMATIKA INDONESIA_x000a_ PT MORA TELEMATIKA INDONESIA_x000a_ PT PRESTASI PIRANTI INFORMASI_x000a_ PT REKAJASA AKSES_x000a_ PT FAASRI UTAMA SAKTI_x000a_ PT XL AXIATA Tbk._x000a_ PT TELE GLOBE GLOBAL_x000a_ PT XL AXIATA Tbk._x000a_ YAY. ABUL YATAMA_x000a_ PT. CYBERINDO ADITAMA_x000a_ PT XL AXIATA Tbk._x000a_ PT MORA TELEMATIKA INDONESIA_x000a_ YAY. ABUL YATAMA_x000a_ PT. TELEMEDIA NETWORK CAKRAWALA_x000a_ PT.SMARTFREN TELECOM TBK_x000a_ PT TELINDO NUSANTARA_x000a_ PT XL AXIATA Tbk._x000a_ PT XL AXIATA Tbk._x000a_ PT. CIRCLECOM NUSANTARA INDONESIA_x000a_ PT MORA TELEMATIKA INDONESIA_x000a_ PT. CIRCLECOM NUSANTARA INDONESIA_x000a_ PT. CIRCLECOM NUSANTARA INDONESIA"/>
    <s v="Gedung Cyber Lt.11 Jl. Kuningan Barat No.8 Kuningan Barat Jakarta"/>
    <x v="0"/>
    <s v="Gedung Cyber Lt.1 (APJII), Jakarta Selatan"/>
    <s v="Gedung Cyber 1"/>
    <s v="Sewa Tahunan"/>
    <s v="Colocation"/>
    <s v="ICON-00/MIG/1705/0005_x000a_ ICON-00/ACT/1704/0371_x000a_ ICON-00/ACT/1707/0003_x000a_ ICON-00/ACT/1704/0247_x000a_ ICON-00/ACT/1703/0162_x000a_ ICON-00/ACT/1703/0952_x000a_ ICON-00/ACT/1703/1249_x000a_ ICON-00/ACT/1703/1614_x000a_ ICON-00/ACT/1704/0837_x000a_ ICON-00/ACT/1706/0182_x000a_ ICON-00/ACT/1702/0906_x000a_ ICON-00/ACT/1703/0647_x000a_ ICON-00/ACT/1705/0013_x000a_ ICON-00/ACT/1704/0442_x000a_ ICON-00/SOP/1611/0072_x000a_ ICON-00/ACT/1703/1365_x000a_ ICON-00/SOP/1701/0081_x000a_ ICON-00/SOP/1603/0065_x000a_ ICON-00/SOP/1612/0070_x000a_ ICON-00/ACT/1703/1366_x000a_ ICON-00/ACT/1702/0108_x000a_ ICON-00/ACT/1610/0703_x000a_ ICON-00/ACT/1611/0919_x000a_ ICON-00/ACT/1609/0163_x000a_ ICON-00/ACT/1608/0101_x000a_ ICON-00/ACT/1610/0796_x000a_ ICON-00/ACT/1610/0369_x000a_ ICON-00/ACT/1610/0840_x000a_ ICON-00/DOW/1610/0006_x000a_ ICON-00/ACT/1610/0793_x000a_ ICON-00/ACT/1610/0795_x000a_ ICON-00/ACT/1609/0710_x000a_ ICON-00/ACT/1610/0019_x000a_ ICON-00/ACT/1608/0100_x000a_ ICON-00/ACT/1609/0136_x000a_ ICON-00/ACT/1608/0485_x000a_ ICON-00/ACT/1608/0007_x000a_ ICON-00/ACT/1607/0239_x000a_ ICON-00/ACT/1609/0017_x000a_ ICON-00/SOP/1608/0056_x000a_ ICON-00/SOP/1602/0020_x000a_ ICON-00/ACT/1609/0137_x000a_ ICON-00/ACT/1609/0138_x000a_ ICON-00/ACT/1608/0243_x000a_ ICON-00/ACT/1606/0359_x000a_ ICON-00/ACT/1606/0360_x000a_ ICON-00/ACT/1606/0324_x000a_ ICON-00/ACT/1606/0145_x000a_ ICON-00/ACT/1605/0528_x000a_ ICON-00/SOP/1606/0054_x000a_ ICON-00/ACT/1604/0026_x000a_ ICON-00/ACT/1604/0089_x000a_ ICON-00/ACT/1601/0335_x000a_ ICON-00/SOP/1601/0046_x000a_ ICON-00/SOP/1511/0059_x000a_ ICON-00/SOP/1601/0012_x000a_ ICON-00/ACT/1504/0127_x000a_ ICON-00/SOP/1511/0008_x000a_ ICON-00/ACT/1503/0608_x000a_ ICON-00/ACT/1508/0052_x000a_ ICON-00/ACT/1504/0186_x000a_ ICON-00/ACT/1506/0292"/>
    <m/>
    <m/>
    <m/>
    <m/>
    <m/>
    <n v="15292944000"/>
    <m/>
    <m/>
    <n v="120000000"/>
    <m/>
    <d v="2023-11-11T00:00:00"/>
    <d v="2024-11-10T00:00:00"/>
    <x v="0"/>
    <m/>
    <d v="2025-12-24T00:00:00"/>
    <n v="-409"/>
    <n v="11"/>
    <n v="2024"/>
    <s v="4500009930 |07468/SPP/008/PUSAT/ICON+/2017 | 4500010848 | 09418/SPP/008/PUSAT/ICON+/2018 | 4500011976 | 11887/SPP/008/PUSAT/ICON+/2019 | 4500013462 | 14410/SPP/008/PUSAT/ICON+/2020 | 4500015215 | 20376/SPP/008/PUSAT/ICON+/2022 | 4500019251"/>
    <s v="1733/SPP/SBU/ICON+/2023"/>
    <n v="4500021498"/>
    <s v="Fajar Paramita"/>
    <s v="Fatmah"/>
    <s v="021-52960634"/>
    <n v="120"/>
    <s v="B222"/>
    <s v="C243"/>
    <s v="D302"/>
    <m/>
    <s v="F395"/>
    <s v="G352"/>
    <m/>
    <m/>
    <s v="-"/>
  </r>
  <r>
    <n v="788"/>
    <s v="Asosiasi penyelenggara Jasa Internet Indonesia (APJII)"/>
    <s v="Joint customer External"/>
    <s v="Gedung Cyber Lt.11 Jl. Kuningan Barat No.8 Kuningan Barat Jakarta"/>
    <x v="0"/>
    <s v="Gedung Cyber Lt.1 (APJII), Jakarta Selatan"/>
    <s v="Gedung Cyber 1"/>
    <s v="Sewa Tahunan"/>
    <s v="Colocation"/>
    <s v="ICON-00/ACT/1608/0676_x000a_ ICON-00/ACT/1310/0146_x000a_ ICON-00/ACT/1608/0243_x000a_ ICON-00/ACT/1610/0840_x000a_ ICON-00/ACT/1412/0547_x000a_ _x000a_ ICON-00/ACT/1608/0007_x000a_ ICON-00/ACT/1606/0324_x000a_ ICON-00/ACT/1510/0054_x000a_ ICON-00/ACT/1404/0863_x000a_ ICON-00/MIG/1604/0045_x000a_ ICON-00/ACT/1606/0359_x000a_ ICON-00/ACT/1606/0360_x000a_ ICON-00/ACT/1604/0026_x000a_ ICON-00/ACT/1601/0014_x000a_ ICON-00/ACT/1605/0528_x000a_ ICON-00/DOW/1610/0006_x000a_ ICON-00/ACT/1503/0608_x000a_ ICON-00/ACT/1609/0197_x000a_ ICON-00/ACT/1607/0238_x000a_ ICON-00/ACT/1601/0019_x000a_ ICON-00/SOP/1606/0054_x000a_ ICON-00/SOP/1505/0097_x000a_ ICON-00/ACT/1609/0163_x000a_ ICON-00/SOP/1511/0008_x000a_ _x000a_ ICON-00/ACT/1608/0101_x000a_ ICON-00/ACT/1608/0100_x000a_ ICON-00/ACT/1202/0263_x000a_ ICON-00/ACT/1606/0145_x000a_ ICON-00/ACT/1310/0140_x000a_ _x000a_ ICON-00/SOP/1408/0013_x000a_ _x000a_ ICON-00/ACT/1506/0292_x000a_ ICON-00/ACT/1607/0239_x000a_ ICON-00/SOP/1608/0056_x000a_ ICON-00/ACT/1602/0516_x000a_ ICON-00/ACT/1504/0127_x000a_ ICON-00/ACT/1504/0186_x000a_ ICON-00/ACT/1610/0369_x000a_ ICON-00/ACT/1604/0089_x000a_ ICON-00/SOP/1511/0059_x000a_ ICON-00/ACT/1601/0335_x000a_ ICON-00/ACT/1509/0235_x000a_ ICON-00/ACT/1608/0485_x000a_ ICON-00/ACT/1509/0051_x000a_ ICON-00/ACT/1509/0234_x000a_ ICON-00/ACT/1508/0052_x000a_ ICON-00/ACT/1511/0046_x000a_ _x000a_ ICON-00/ACT/1309/0104_x000a_ ICON-00/SOP/1601/0046_x000a_ ICON-00/ACT/1211/0105_x000a_ 001022.AV/SO/R1/ICON+/2011_x000a_ ICON-00/ACT/1207/0111_x000a_ ICON-00/ACT/1207/0045_x000a_ _x000a_ ICON-00/ACT/1509/0287_x000a_ ICON-00/ACT/1205/0414_x000a_ ICON-00/SOP/1603/0110_x000a_ ICON-00/ACT/1609/0324_x000a_ ICON-00/ACT/1610/0234_x000a_ ICON-00/SOP/1410/0020_x000a_ ICON-00/ACT/1609/0322_x000a_ ICON-00/ACT/1106/3107_x000a_ ICON-00/ACT/1610/0229_x000a_ ICON-00/MIG/1609/0039_x000a_ ICON-00/ACT/1608/0054_x000a_ ICON-00/SOP/1606/0211_x000a_ ICON-00/ACT/1610/0231_x000a_ ICON-00/ACT/1610/0233_x000a_ ICON-00/ACT/1605/0471_x000a_ ICON-00/MIG/1601/0024_x000a_ ICON-00/ACT/1510/0217_x000a_ ICON-00/ACT/1510/0270_x000a_ ICON-00/ACT/1610/0232_x000a_ ICON-00/ACT/1409/0511_x000a_ _x000a_ 5_x000a_ ICON-00/ACT/1509/0417_x000a_ ICON-00/MIG/1608/0012_x000a_ ICON-00/ACT/1512/0052_x000a_ ICON-00/SOP/1501/0050_x000a_ ICON-00/SOP/1604/0035_x000a_ ICON-00/SOP/1503/0064_x000a_ ICON-00/MIG/1604/0050_x000a_ ICON-00/ACT/1509/0416_x000a_ ICON-00/SOP/1507/0041_x000a_ ICON-00/SOP/1506/0032_x000a_ ICON-00/SOP/1602/0064_x000a_ ICON-00/SOP/1507/0061_x000a_ ICON-00/SOP/1501/0067_x000a_ ICON-00/SOP/1504/0142_x000a_ ICON-00/MIG/1601/0033_x000a_ ICON-00/SOP/1512/0011_x000a_ ICON-00/SOP/1502/0010_x000a_ ICON-00/SOP/1602/0031_x000a_ ICON-00/SOP/1609/0138_x000a_ _x000a_ ICON-00/SOP/1503/0065_x000a_ ICON-00/SOP/1603/0002_x000a_ ICON-00/SOP/1510/0003_x000a_ ICON-00/SOP/1509/0053_x000a_ ICON-00/SOP/1501/0101_x000a_ ICON-00/MIG/1505/0023_x000a_ ICON-00/ACT/1510/0218_x000a_ ICON-00/SOP/1509/0064_x000a_ ICON-00/SOP/1503/0071_x000a_ ICON-00/ACT/1602/0322_x000a_ ICON-00/SOP/1607/0075_x000a_ ICON-00/SOP/1509/0018_x000a_ ICON-00/SOP/1508/0034_x000a_ ICON-00/SOP/1609/0020_x000a_ ICON-00/ACT/1412/0547_x000a_ ICON-00/ACT/1404/0863_x000a_ ICON-00/ACT/1503/0608_x000a_ ICON-00/SOP/1601/0046_x000a_ ICON-00/MIG/1604/0012_x000a_ ICON-00/ACT/1412/0261_x000a_ ICON-00/ACT/1606/0324_x000a_ ICON-00/ACT/1606/0359_x000a_ ICON-00/ACT/1606/0360_x000a_ ICON-00/DOW/1610/0006_x000a_ ICON-00/ACT/1505/0227_x000a_ ICON-00/ACT/1505/0202_x000a_ ICON-00/ACT/1504/0188_x000a_ ICON-00/ACT/1507/0230_x000a_ ICON-00/ACT/1503/0612_x000a_ ICON-00/ACT/1608/0850_x000a_ ICON-00/ACT/1608/0853_x000a_ ICON-00/ACT/1605/0330_x000a_ ICON-00/ACT/1601/0346_x000a_ ICON-00/ACT/1509/0080_x000a_ ICON-00/ACT/1601/0347_x000a_ ICON-00/ACT/1607/0020_x000a_ ICON-00/ACT/1503/0591_x000a_ ICON-00/SOP/1610/0044_x000a_ ICON-00/ACT/1505/0131_x000a_ ICON-00/ACT/1503/0576_x000a_ ICON-00/ACT/1503/0575_x000a_ ICON-00/ACT/1503/0572_x000a_ ICON-00/ACT/1603/0069_x000a_ ICON-00/SOP/1511/0038_x000a_ ICON-00/ACT/1503/0557_x000a_ ICON-00/ACT/1503/0574_x000a_ ICON-00/DOW/1609/0042_x000a_ ICON-00/SOP/1610/0085_x000a_ ICON-00/SOP/1507/0019_x000a_ ICON-00/ACT/1504/0059_x000a_ ICON-00/ACT/1503/0578_x000a_ ICON-00/SOP/1511/0037"/>
    <m/>
    <m/>
    <m/>
    <m/>
    <m/>
    <n v="27142012968"/>
    <m/>
    <m/>
    <n v="12000000"/>
    <m/>
    <d v="2023-10-29T00:00:00"/>
    <d v="2024-10-28T00:00:00"/>
    <x v="0"/>
    <m/>
    <d v="2025-12-24T00:00:00"/>
    <n v="-422"/>
    <n v="10"/>
    <n v="2024"/>
    <s v="0340317/SPR/ICON+/2017 07603/SPP/008/PUSAT/ICON+/2017 4500010952 | 09156/SPP/008/PUSAT/ICON+/2018 | 4500011820 | 11645/SPP/008/PUSAT/ICON+/2019 | 4500013462 | 14316/SPP/008/PUSAT/ICON+/2020 | 4500015112 | 16690/SPP/008/PUSAT/ICON+/2021 | 4500016735 | 20252/SPP/008/PUSAT/ICON+/2022 | 4500019399"/>
    <s v="1503/SPP/SBU/ICON+/2023"/>
    <n v="4500021491"/>
    <s v="Fajar Paramita"/>
    <s v="Fatmah"/>
    <s v="021-52960634"/>
    <n v="147"/>
    <s v="B211"/>
    <s v="C195"/>
    <s v="D34"/>
    <s v="E295"/>
    <s v="F423"/>
    <s v="G322"/>
    <m/>
    <m/>
    <s v="-"/>
  </r>
  <r>
    <n v="789"/>
    <s v="Asosiasi penyelenggara Jasa Internet Indonesia (APJII)"/>
    <s v="PT FIBER NETWORKS INDONESIA _x000a_ PT PRESTASI PIRANTI INFORMASI_x000a_ PT ATOZ TOTAL SOLUSI_x000a_ PT ATLASAT SOLUSINDO_x000a_ PT WIFIKU INDONESIA_x000a_ PT MORA TELEMATIKA INDONESIA_x000a_ PT REKAJASA AKSES_x000a_ UNIVERSAL BROADBAND_x000a_ PT. CIRCLECOM NUSANTARA INDONESIA_x000a_ PT TELE GLOBE GLOBAL_x000a_ PT. ARTHA TELEKOMINDO_x000a_ PT EKA MAS REPUBLIK_x000a_ PT NTT INDONESIA_x000a_ PT. MATRIXNET GLOBAL INDONESIA_x000a_ PT EKA MAS REPUBLIK_x000a_ PT DATAKOM STRATA TIGA"/>
    <s v="Gedung Cyber Lt.11 Jl. Kuningan Barat No.8 Kuningan Barat Jakarta"/>
    <x v="0"/>
    <s v="Gedung Cyber Lt.1 (APJII), Jakarta Selatan"/>
    <s v="Gedung Cyber 1"/>
    <s v="Sewa Tahunan"/>
    <s v="Colocation"/>
    <s v="ACT/1704/0442_x000a_ SOP/1611/0072_x000a_ ACT/1703/1365_x000a_ SOP/1701/0081_x000a_ SOP/1603/0065_x000a_ SOP/1612/0070_x000a_ ACT/1703/1366_x000a_ ACT/1702/0108_x000a_ ACT/1610/0703_x000a_ ACT/1611/0919_x000a_ ACT/1609/0163_x000a_ ACT/1608/0101_x000a_ ACT/1610/0796_x000a_ ACT/1610/0369_x000a_ ACT/1610/0840_x000a_ DOW/1610/0006_x000a_ ACT/1610/0793_x000a_ ACT/1610/0795_x000a_ ACT/1609/0710_x000a_ ACT/1610/0019_x000a_ ACT/1608/0100_x000a_ ACT/1609/0197_x000a_ ACT/1609/0136_x000a_ ACT/1608/0485_x000a_ MIG/1604/0045_x000a_ ACT/1608/0007_x000a_ ACT/1607/0239_x000a_ ACT/1609/0017_x000a_ SOP/1608/0056_x000a_ SOP/1602/0020_x000a_ ACT/1609/0137_x000a_ ACT/1609/0138_x000a_ ACT/1608/0243_x000a_ ACT/1608/0676_x000a_ ACT/1606/0359_x000a_ ACT/1606/0360_x000a_ ACT/1606/0324_x000a_ ACT/1606/0145_x000a_ ACT/1605/0528_x000a_ SOP/1606/0054_x000a_ ACT/1604/0026_x000a_ ACT/1604/0089_x000a_ ACT/1601/0335_x000a_ SOP/1601/0046_x000a_ SOP/1511/0059_x000a_ ACT/1504/0127_x000a_ SOP/1511/0008_x000a_ ACT/1503/0608_x000a_ ACT/1509/0051_x000a_ ACT/1509/0234_x000a_ ACT/1509/0235_x000a_ ACT/1508/0052_x000a_ ACT/1504/0186_x000a_ ACT/1506/0292_x000a_ SOP/1505/0097_x000a_ ACT/1503/0303_x000a_ ACT/1412/0547_x000a_ ACT/1409/0507_x000a_ ACT/1404/0026_x000a_ ACT/1404/0863_x000a_ ACT/1310/0140_x000a_ ACT/1310/0146_x000a_ ACT/1309/0104"/>
    <m/>
    <m/>
    <m/>
    <m/>
    <m/>
    <n v="16270344000"/>
    <m/>
    <m/>
    <n v="24000000"/>
    <m/>
    <d v="2024-01-27T00:00:00"/>
    <d v="2025-01-26T00:00:00"/>
    <x v="0"/>
    <m/>
    <d v="2025-12-24T00:00:00"/>
    <n v="-332"/>
    <n v="1"/>
    <n v="2025"/>
    <s v="1821216/SPR/ICON+/2016 | 07080/SPP/008/PUSAT/ICON+/2017 &amp; 07773/SPP/008/PUSAT/ICON+/2017 | 4500010584 &amp; 4500011048 | 09838/SPP/008/PUSAT/ICON+/2018 | 45000123024500012302 | 4500013746 | 14972/SPP/008/PUSAT/ICON+/2020 | 4500015512 | 21017 | 4500019901"/>
    <n v="2443"/>
    <n v="4500022116"/>
    <s v="Fajar Paramita"/>
    <s v="Fatmah"/>
    <s v="0812 8436 3772"/>
    <s v="-"/>
    <n v="172"/>
    <s v="B277"/>
    <s v="D321"/>
    <m/>
    <m/>
    <s v="G37"/>
    <s v="H27"/>
    <m/>
    <s v="-"/>
  </r>
  <r>
    <n v="790"/>
    <s v="Asosiasi penyelenggara Jasa Internet Indonesia (APJII)"/>
    <s v="SEKRETARIAT JENDERAL KEMENTERIAN HUKUM DAN HAM"/>
    <s v="Gedung Cyber Lt.11 Jl. Kuningan Barat No.8 Kuningan Barat Jakarta"/>
    <x v="0"/>
    <m/>
    <s v="Gedung Cyber 1"/>
    <s v="Sewa Tahunan"/>
    <s v="Colocation"/>
    <s v="PA/ACT/1812/1562/TER _x000a_ PA/ACT/1812/1561/TER"/>
    <m/>
    <m/>
    <m/>
    <m/>
    <m/>
    <n v="0"/>
    <m/>
    <m/>
    <n v="24000000"/>
    <m/>
    <d v="2024-05-15T00:00:00"/>
    <d v="2025-05-14T00:00:00"/>
    <x v="0"/>
    <m/>
    <d v="2025-12-24T00:00:00"/>
    <n v="-224"/>
    <n v="5"/>
    <n v="2025"/>
    <s v="10695/SPP/008/PUSAT/ICON+/2019 | 4500012710| 15667/SPP/008/PUSAT/ICON+/2021 | 4500016104 | 17906/SPP/008/PUSAT/ICON+/2022 | 4500017676  | 17906/SPP/008/PUSAT/ICON+/2023 | 4500020426"/>
    <s v="3288/SPP/SBU/PLNICONPLUS/2024"/>
    <n v="4500022601"/>
    <s v="Fajar Paramita"/>
    <s v="Fatmah"/>
    <s v="813 8436 3772"/>
    <m/>
    <m/>
    <s v="C76"/>
    <m/>
    <s v="E73"/>
    <s v="F75"/>
    <s v="G36"/>
    <m/>
    <m/>
    <s v="-"/>
  </r>
  <r>
    <n v="791"/>
    <s v="Asosiasi penyelenggara Jasa Internet Indonesia (APJII)"/>
    <s v="PT JARINGAN INTERNET BANTEN"/>
    <s v="Gedung Cyber Lt.11 Jl. Kuningan Barat No.8 Kuningan Barat Jakarta"/>
    <x v="0"/>
    <m/>
    <s v="Serang, Unyur, Kec. Serang, Kota Serang, Banten 42111"/>
    <s v="Sewa Tahunan"/>
    <s v="Colocation"/>
    <s v="A111204000011"/>
    <m/>
    <m/>
    <m/>
    <m/>
    <m/>
    <n v="600000000"/>
    <m/>
    <m/>
    <n v="24000000"/>
    <m/>
    <d v="2023-08-21T00:00:00"/>
    <d v="2024-08-20T00:00:00"/>
    <x v="2"/>
    <m/>
    <d v="2025-12-24T00:00:00"/>
    <n v="-491"/>
    <n v="8"/>
    <n v="2024"/>
    <s v="baru"/>
    <s v="1014/SPP/SBU/ICON+/2023"/>
    <n v="4500021055"/>
    <s v="Fajar Paramita"/>
    <s v="Fatmah"/>
    <s v="813 8436 3772"/>
    <m/>
    <m/>
    <m/>
    <m/>
    <m/>
    <m/>
    <s v="G126"/>
    <m/>
    <m/>
    <s v="-"/>
  </r>
  <r>
    <n v="792"/>
    <s v="Aston Inti Makmur "/>
    <s v="PT. NUGRAHA INDAH CITARASA INDONESIA"/>
    <s v="JL.HR Rasuna Said BLK X-2 Jakarta Selatan"/>
    <x v="0"/>
    <s v="Sudirman Plaza, Indofood Tower Lt.27 Jl.Jend Sudirman Kav.76-78 Jakarta 12910, -, Jakarta Selatan, DKI Jakarta, Indonesia, -"/>
    <s v="Gedung Ariobimo Sentral Lt. 5 Jl. HR Rasuna Said Blok X2 Kav 5 Jakarta Selatan, DKI Jakarta 12950"/>
    <s v="Sewa Tahunan"/>
    <s v="Colocation"/>
    <s v="PA/RLK/1902/0057_x000a_ PA/ACT/1812/0745"/>
    <m/>
    <m/>
    <m/>
    <m/>
    <m/>
    <n v="300000000"/>
    <m/>
    <m/>
    <n v="25000000"/>
    <m/>
    <d v="2024-03-01T00:00:00"/>
    <d v="2025-02-28T00:00:00"/>
    <x v="0"/>
    <m/>
    <d v="2025-12-24T00:00:00"/>
    <n v="-299"/>
    <n v="2"/>
    <n v="2025"/>
    <s v="10434/SPP/008/PUSAT/ICON+/2019 | 4500012522 | 12586/SPP/008/PUSAT/ICON+/2020 | 4500013907| 15417/SPP/008/PUSAT/ICON+/2021| 4500015907 | 17632/SPP/008/PUSAT/ICON+/2022 | 4500017617 | 21102 | 4500019955"/>
    <n v="2455"/>
    <n v="4500022264"/>
    <s v="Fajar Paramita"/>
    <s v="Yadi"/>
    <m/>
    <m/>
    <m/>
    <s v="C41"/>
    <s v="D33"/>
    <s v="E171"/>
    <s v="F84"/>
    <s v="G130"/>
    <s v="H79"/>
    <m/>
    <m/>
  </r>
  <r>
    <n v="793"/>
    <s v="Kawasan Lintas Biru Digital"/>
    <s v="PT. CORE MEDIATECH"/>
    <s v="Kalimantan, CA2 1&amp;2 Gandasari Kab Bekasi 17842"/>
    <x v="0"/>
    <s v="Gd Cyber lantai 1 Jl. Kuningan Barat Raya No.8, RW.3, Kuningan Bar., Kec. Mampang Prpt., Kota Jakarta Selatan, Daerah Khusus Ibukota Jakarta 12710"/>
    <m/>
    <m/>
    <m/>
    <m/>
    <m/>
    <m/>
    <m/>
    <m/>
    <m/>
    <m/>
    <m/>
    <m/>
    <m/>
    <m/>
    <d v="2024-02-28T00:00:00"/>
    <d v="2025-02-27T00:00:00"/>
    <x v="0"/>
    <m/>
    <d v="2025-12-24T00:00:00"/>
    <n v="-300"/>
    <n v="2"/>
    <n v="2025"/>
    <s v="baru"/>
    <n v="2184"/>
    <n v="4500022060"/>
    <s v="Syifa Fauziyah"/>
    <m/>
    <m/>
    <m/>
    <m/>
    <m/>
    <m/>
    <m/>
    <m/>
    <m/>
    <s v="H74"/>
    <m/>
    <m/>
  </r>
  <r>
    <n v="794"/>
    <s v="Bahanasemesta Citranusantara "/>
    <s v="PT. BANK BTPN Tbk"/>
    <s v="Menara BTPN 9th Floor. JL DR Ide Anak Agung Gde Agung Kav 5.5-5.6 Kawasan mega kuningan, jakarta selatan 12950"/>
    <x v="0"/>
    <s v="Backup Backhaul BTPN, Data Center IBM (Telkom Sigma) Sentul JL. IR Haji Juanda No. F3, Sentul City, Citeureup-Bogor Indonesia,- ,- ,- ,Indonesia  "/>
    <s v="Gedung Bahana Tower"/>
    <s v="Sewa Tahunan"/>
    <s v="Colocation"/>
    <s v="ICON-00/SBC/1701/0192_x000a_ ICON-00/SBC/1606/0788_x000a_ ICON-00/SBC/1602/0415_x000a_ ICON-00/SBC/1602/0097_x000a_ ICON-00/SBC/1601/0411_x000a_ ICON-00/SBC/1601/0133_x000a_ ICON-00/SBC/1601/0089"/>
    <m/>
    <m/>
    <m/>
    <m/>
    <m/>
    <n v="42000000"/>
    <m/>
    <m/>
    <n v="27000000"/>
    <m/>
    <d v="2024-01-01T00:00:00"/>
    <d v="2024-12-31T00:00:00"/>
    <x v="0"/>
    <m/>
    <d v="2025-12-24T00:00:00"/>
    <n v="-358"/>
    <n v="12"/>
    <n v="2024"/>
    <s v="07951/SPP/008/PUSAT/ICON+/2018 4500011230 | 09707/SPP/008/PUSAT/ICON+/2018 | 4500012171 | 11990/SPP/008/PUSAT/ICON+/2019 | 4500013647 | 14744/SPP/008/PUSAT/ICON+/2020 | 4500015366| 17124/SPP/008/PUSAT/ICON+/2021 | 4500017085 | 20281/SPP/008/PUSAT/ICON+/2022 | 4500019257"/>
    <s v="2038/SPP/SBU/ICON+/2023"/>
    <n v="4500021696"/>
    <s v="Fajar Paramita"/>
    <m/>
    <m/>
    <s v="B35"/>
    <s v="B251"/>
    <s v="C288"/>
    <s v="D366"/>
    <s v="E342"/>
    <m/>
    <s v="G325"/>
    <m/>
    <m/>
    <m/>
  </r>
  <r>
    <n v="795"/>
    <s v="Balai Sidang Jakarta Convention Center /  Graha Sidang Pratama"/>
    <m/>
    <s v="Balai Sidang Jakarta Convention Center Gedung Jakarta Convention Center Jl. Jend. Gatot Soebroto Jakarta 12310"/>
    <x v="0"/>
    <s v="Jakarta Convention Center (JCC) Jl. Jend. Gatot Soebroto "/>
    <s v="Jakarta Convention Center (JCC) Jl. Jend. Gatot Soebroto (PT Indonesia Comnets Plus - Mahkamah Agung)"/>
    <s v="Sewa Tahunan"/>
    <s v="Colocation"/>
    <s v="Tidak ada SO"/>
    <m/>
    <m/>
    <m/>
    <m/>
    <m/>
    <s v="-"/>
    <m/>
    <m/>
    <n v="3300000"/>
    <m/>
    <d v="2019-01-13T00:00:00"/>
    <d v="2025-01-12T00:00:00"/>
    <x v="2"/>
    <m/>
    <d v="2025-12-24T00:00:00"/>
    <n v="-346"/>
    <n v="1"/>
    <n v="2025"/>
    <s v="022411/SPR/008/PUSAT/ICON+/2016 053112/SPR/008/PUSAT/ICON+/2016(Vsat Cancel )_x000a_ 061315/SPR/008/PUSAT/ICON+/2016 (Vsat Cancel) | 08382/SPP/008/PUSAT/ICON+/2018 | 4500011445 | 4500012418 | 10026"/>
    <n v="2746"/>
    <m/>
    <s v="Fajar Paramita"/>
    <s v="Salis/Sita/Prima"/>
    <s v="021-5276000"/>
    <m/>
    <m/>
    <m/>
    <m/>
    <m/>
    <m/>
    <m/>
    <m/>
    <m/>
    <m/>
  </r>
  <r>
    <n v="796"/>
    <s v="Bali Towerindo Sentra Tbk"/>
    <s v="PT. CATURKARDA DEPO BANGUNAN"/>
    <s v="Jl.Sunses Road Lingkabianbase 5"/>
    <x v="0"/>
    <s v="(Backhaul) Gedung DC Bali Tower JI. Batu Ceper No- 53 RT.15/RW.1 Kebon Kelapa, Jakarta Pusat"/>
    <s v="-"/>
    <s v="Sewa Tahunan"/>
    <s v="Cross Connect"/>
    <s v="PA/RLK/2101/0116/TER"/>
    <m/>
    <m/>
    <m/>
    <m/>
    <m/>
    <n v="120000000"/>
    <m/>
    <m/>
    <n v="78000000"/>
    <m/>
    <d v="2024-03-05T00:00:00"/>
    <d v="2025-03-04T00:00:00"/>
    <x v="0"/>
    <m/>
    <d v="2025-12-24T00:00:00"/>
    <n v="-295"/>
    <n v="3"/>
    <n v="2025"/>
    <s v="4500015834 | 18161/SPP/008/PUSAT/ICON+/2022 | 4500017802 | 21276 | 4500020006"/>
    <n v="2456"/>
    <n v="4500022200"/>
    <s v="Fajar Paramita"/>
    <m/>
    <s v="Meri"/>
    <m/>
    <m/>
    <m/>
    <m/>
    <m/>
    <s v="F114"/>
    <s v="G51"/>
    <s v="H36"/>
    <m/>
    <s v="1.Biaya Sewa Metro-E MMR DC Bacep 10 Mbps Rp.24.000.000 | 2.Biaya Sewa Space MMR 2U Rp.48.000.000 | 3.Biaya Sewa Crossconnect UTP Rp.6.000.000"/>
  </r>
  <r>
    <n v="797"/>
    <s v="Bangun Cia Karya Perkasa "/>
    <s v="PT Sumber Graha Sejahtera_x000a_ PT Trans Retail Indonesia"/>
    <s v="Mutiara Taman Palem_x000a_Perumahan Mutiara Taman Palem Blok B 6 No. 1 Jl. Kamal Raya Outering Road Cengkareng Jakarta Barat"/>
    <x v="0"/>
    <s v="ID0010363 - GD. BSM, JL. MH THAMRIN II 9 NO.5 JAKARTA,- ,- ,- "/>
    <s v="Mall Taman Palem"/>
    <s v="Sewa Tahunan"/>
    <s v="Colocation"/>
    <s v="PA/UPG/1903/0144_x000a_ ICON-00/ACT/1306/0093"/>
    <m/>
    <m/>
    <m/>
    <m/>
    <m/>
    <n v="84000000"/>
    <m/>
    <m/>
    <n v="18000000"/>
    <m/>
    <d v="2021-07-21T00:00:00"/>
    <d v="2022-07-20T00:00:00"/>
    <x v="2"/>
    <m/>
    <d v="2025-12-24T00:00:00"/>
    <n v="-1253"/>
    <n v="7"/>
    <n v="2022"/>
    <s v="4500010607 | 09419/SPP/008/PUSAT/ICON+/2018 | 4500012027 | 11134/SPP/008/PUSAT/ICON+/2019 | 4500013529 | 13693/SPP/008/PUSAT/ICON+/2020 | 4500014720"/>
    <s v="16751/SPP/008/PUSAT/ICON+/2021"/>
    <n v="4500016923"/>
    <s v="Fajar Paramita"/>
    <s v="Arfian"/>
    <m/>
    <n v="161"/>
    <s v="B163"/>
    <s v="C298"/>
    <s v="D295"/>
    <s v="E405"/>
    <m/>
    <m/>
    <m/>
    <m/>
    <m/>
  </r>
  <r>
    <n v="798"/>
    <s v="Binajasa Abadikarya  (Bijak)/Jamsostek /BPJS KetenagaKerjaan/ Jekael Invesco"/>
    <s v="PT Indonesia Comnets Plus"/>
    <s v="Gedung menara Selatan Lt.9 Jl. Jend. Gatot Subroto No. 38 Jakarta 12712"/>
    <x v="0"/>
    <m/>
    <s v=" ICON+ Jamsostek"/>
    <s v="Sewa Tahunan"/>
    <s v="Colocation"/>
    <s v="A911205000005"/>
    <m/>
    <m/>
    <m/>
    <m/>
    <m/>
    <n v="49164000000"/>
    <m/>
    <m/>
    <n v="10000000"/>
    <m/>
    <d v="2023-10-30T00:00:00"/>
    <d v="2024-10-29T00:00:00"/>
    <x v="0"/>
    <m/>
    <d v="2025-12-24T00:00:00"/>
    <n v="-421"/>
    <n v="10"/>
    <n v="2024"/>
    <s v="baru"/>
    <s v="1888/SPP/SBU/ICON+/2023_x0009_"/>
    <n v="4500021582"/>
    <s v="Fajar Paramita"/>
    <s v="Tri"/>
    <s v="021-5279317_x000a_ 021-52961504_x000a_ 021-52961511"/>
    <m/>
    <m/>
    <m/>
    <m/>
    <m/>
    <m/>
    <s v="G307"/>
    <m/>
    <m/>
    <s v="1. Shaft sebesar Rp.10.000.000 | 2.Supervisi Rp.440.000 | 3.Biaya Perbaikan Firestop Rp.900.000"/>
  </r>
  <r>
    <n v="799"/>
    <s v="Binapratama Sakatojaya "/>
    <s v="PT. Selago Makmur Plantation"/>
    <s v="The Vida Lt.9 Jakarta Barat"/>
    <x v="0"/>
    <s v="-"/>
    <s v="Jl. Raya Perjuangan No. 8 Kebun Jeruk"/>
    <s v="Sewa Tahunan"/>
    <s v="Colocation"/>
    <s v="PA/UPG/2103/0309"/>
    <m/>
    <m/>
    <m/>
    <m/>
    <m/>
    <n v="54000000"/>
    <m/>
    <m/>
    <n v="8000000"/>
    <m/>
    <d v="2022-06-01T00:00:00"/>
    <d v="2023-05-31T00:00:00"/>
    <x v="2"/>
    <m/>
    <d v="2025-12-24T00:00:00"/>
    <n v="-938"/>
    <n v="5"/>
    <n v="2023"/>
    <s v="baru"/>
    <s v="18613/SPP/008/PUSAT/ICON+/2022"/>
    <n v="4500018062"/>
    <s v="Fajar Paramita"/>
    <m/>
    <m/>
    <m/>
    <m/>
    <m/>
    <m/>
    <m/>
    <s v="F149"/>
    <m/>
    <m/>
    <m/>
    <s v="Skema kerja sama berubah menjadi revenue sharing dengan pengelola The Vida (PT Binapratama Saktojaya)"/>
  </r>
  <r>
    <n v="800"/>
    <s v="Biru Hijau "/>
    <s v="PT. HIPERNET INDODATA  qq PT Samchem Prasandha"/>
    <s v="Jl. Lingkar Luar Barat Kavling 88"/>
    <x v="0"/>
    <s v="-"/>
    <s v="PT Samchem Prasandha - The Blugreen Boutique Office Tower A-Blue Lantai 2 Unit AB-0, 2, Jl. Lkr. Luar Barat, RT.6/RW.1"/>
    <s v="Sewa Tahunan"/>
    <s v="Colocation "/>
    <s v="PA/ACT/2205/1858/TER"/>
    <m/>
    <m/>
    <m/>
    <m/>
    <m/>
    <n v="60000000"/>
    <m/>
    <m/>
    <n v="15000000"/>
    <m/>
    <d v="2022-10-01T00:00:00"/>
    <d v="2024-09-30T00:00:00"/>
    <x v="0"/>
    <m/>
    <d v="2025-12-24T00:00:00"/>
    <n v="-450"/>
    <n v="9"/>
    <n v="2024"/>
    <s v="baru"/>
    <s v="19787/SPP/008/PUSAT/ICON+/2022"/>
    <n v="4500018900"/>
    <s v="Livia Indraswati"/>
    <m/>
    <m/>
    <m/>
    <m/>
    <m/>
    <m/>
    <m/>
    <s v="F297"/>
    <m/>
    <m/>
    <m/>
    <m/>
  </r>
  <r>
    <n v="801"/>
    <s v="Bit Teknologi Nusantara "/>
    <s v="ASTRA INTERNATIONAL TBK"/>
    <s v="Jl Tentara Pelajar Jakarta 12215"/>
    <x v="0"/>
    <s v="-"/>
    <s v="A000 - AIHO, Mini Data Center Astra International Head Office Lantai 59, Menara Astra, Jl. Jend. Sudirman No. Kav 5, RT. 10/RW. 11 Karet Tengsin, Tanah Abang, Jakarta Pusat"/>
    <s v="Sewa Tahunan"/>
    <s v="Colocation"/>
    <s v="PA/ACT/2002/2222/TER"/>
    <m/>
    <m/>
    <m/>
    <m/>
    <m/>
    <n v="216000000"/>
    <m/>
    <m/>
    <n v="18000000"/>
    <m/>
    <d v="2023-09-01T00:00:00"/>
    <d v="2024-08-31T00:00:00"/>
    <x v="1"/>
    <s v="SPP"/>
    <d v="2025-12-24T00:00:00"/>
    <n v="-480"/>
    <n v="8"/>
    <n v="2024"/>
    <s v="13316/SPP/008/PUSAT/ICON+/2020 | 4500014387- | 20057 | 4500019558 | 4500022096"/>
    <s v="1267/SPP/SBU/ICON+/2024"/>
    <n v="4500022096"/>
    <s v="Fajar Paramita"/>
    <m/>
    <m/>
    <m/>
    <m/>
    <m/>
    <s v="D191"/>
    <m/>
    <s v="F442"/>
    <s v="H81"/>
    <m/>
    <m/>
    <m/>
  </r>
  <r>
    <n v="802"/>
    <s v="Bit Teknologi Nusantara "/>
    <s v="PT. SERASI AUTORAYA"/>
    <s v="Jl Tentara Pelajar Jakarta 12215"/>
    <x v="0"/>
    <s v="(backhaul) Jln Mitra Sunter Boulevard Blok C2 Kav 9, Sunter Jaya-JAKARTA 14350"/>
    <s v="Menara Astra Lt.12, Jl. Jend. Sudirman No.Kav 5-6, RT.10/RW.11, Karet Tengsin, Tanahabang, Kota Jakarta Pusat"/>
    <s v="Sewa Tahunan"/>
    <s v="Colocation"/>
    <s v="PA/ACT/1907/1761/TER"/>
    <m/>
    <m/>
    <m/>
    <m/>
    <m/>
    <n v="99120000"/>
    <m/>
    <m/>
    <n v="24000000"/>
    <m/>
    <d v="2020-07-29T00:00:00"/>
    <d v="2021-07-28T00:00:00"/>
    <x v="2"/>
    <m/>
    <d v="2025-12-24T00:00:00"/>
    <n v="-1610"/>
    <n v="7"/>
    <n v="2021"/>
    <s v="11380/SPP/008/PUSAT/ICON+/2019 | 4500013133"/>
    <s v="13772/SPP/008/PUSAT/ICON+/2020"/>
    <n v="4500014675"/>
    <s v="Fajar Paramita"/>
    <s v="Indah"/>
    <s v="0812-1097-4826"/>
    <m/>
    <m/>
    <s v="C163"/>
    <s v="D157"/>
    <m/>
    <m/>
    <m/>
    <m/>
    <m/>
    <m/>
  </r>
  <r>
    <n v="803"/>
    <s v="Botika Teknologi Indonesia "/>
    <s v="DIREKTORAT JENDERAL IMIGRASI DITJEN IMIGRASI KEMENTERIAN HUKUM DAN HAM"/>
    <s v="Jl.Turonggongsari Blok III , Jl Perumnas No.50 NGROPOH Condongcatur Kec.Depok Yogyakarta"/>
    <x v="0"/>
    <m/>
    <s v="Ditjen Imigrasi - JL H.R Rasuna Said Kav. X-6 no 8, Kuningan, Jakarta Selatan, DKI Jakarta, Indonesia,"/>
    <s v="Sewa Tahunan"/>
    <s v="Colocation"/>
    <s v="PA/ACT/2301/7032 "/>
    <m/>
    <m/>
    <s v="Aplikasi"/>
    <m/>
    <m/>
    <s v="-"/>
    <m/>
    <m/>
    <n v="89967776"/>
    <m/>
    <d v="2023-05-08T00:00:00"/>
    <d v="2023-12-31T00:00:00"/>
    <x v="2"/>
    <m/>
    <d v="2025-12-24T00:00:00"/>
    <n v="-724"/>
    <n v="12"/>
    <n v="2023"/>
    <s v="15723/SPP/008/PUSAT/ICON+/2021| 4500016287 | 18416/SPP/008/PUSAT/ICON+/2022 | 4500018073"/>
    <s v="397/SPP/SBU/ICON+/2023"/>
    <n v="4500021004"/>
    <s v="Fajar Paramita"/>
    <m/>
    <m/>
    <m/>
    <m/>
    <m/>
    <m/>
    <s v="E110"/>
    <s v="F210"/>
    <s v="G185"/>
    <m/>
    <m/>
    <s v="1.chatbot setup  Rp.20.000.000 | monthly commitment subscription chatbot Rp.60.000.000 | 3.monthly commitment subscription omnichannel 8.000.000"/>
  </r>
  <r>
    <n v="804"/>
    <s v="Bright Honey Lady "/>
    <s v="PT TWOBA BOX INDONESIA"/>
    <s v="Jl.Pluit Selatan Raya 1 Jakarta Utara 14440"/>
    <x v="0"/>
    <m/>
    <s v="Gedung The Honey Lady Lantai 16, Jl. Pluit Selatan Raya No.1, Penjaringan, Jakarta Utara, DKI Jakarta,"/>
    <s v="Sewa Tahunan"/>
    <s v="Cross Connect"/>
    <s v="PA/ACT/2202/1364"/>
    <m/>
    <m/>
    <m/>
    <m/>
    <m/>
    <n v="600000000"/>
    <m/>
    <m/>
    <n v="35000000"/>
    <m/>
    <d v="2022-03-01T00:00:00"/>
    <d v="2023-02-28T00:00:00"/>
    <x v="2"/>
    <m/>
    <d v="2025-12-24T00:00:00"/>
    <n v="-1030"/>
    <n v="2"/>
    <n v="2023"/>
    <s v="baru"/>
    <s v="18116/SPP/008/PUSAT/ICON+/2022"/>
    <n v="4500017682"/>
    <s v="Fajar Paramita"/>
    <m/>
    <m/>
    <m/>
    <m/>
    <m/>
    <m/>
    <m/>
    <s v="F48"/>
    <m/>
    <m/>
    <m/>
    <s v="1.Biaya Sewa tahunan 35.000.000"/>
  </r>
  <r>
    <n v="805"/>
    <s v="Bumi Serpong Damai "/>
    <s v="PT Bank Fama International"/>
    <s v="Sinar Mas Land Plaza_x000a_Jalan Grand Boulevard BSD Green Office Park BSD City Tangerang 15345"/>
    <x v="0"/>
    <s v="-"/>
    <s v="Bank Fama International, KCP BSD - BSD Junction Ruko Blok A No. 45, Jalan Pahlawan Seribu, Tangerang, 15322"/>
    <s v="Sewa Tahunan"/>
    <s v="Colocation"/>
    <s v="PA/ACT/1809/0799_x000a_ PA/ACT/1810/1817_x000a_ PA/ACT/1809/1030_x000a_ PA/ACT/1809/1029_x000a_ PA/ACT/1809/1028_x000a_ PA/ACT/1809/1027_x000a_ PA/ACT/1809/1026 _x000a_ PA/ACT/1809/1025"/>
    <m/>
    <m/>
    <m/>
    <m/>
    <m/>
    <n v="123000000"/>
    <m/>
    <m/>
    <n v="48015000"/>
    <m/>
    <d v="2022-01-01T00:00:00"/>
    <d v="2022-12-31T00:00:00"/>
    <x v="2"/>
    <m/>
    <d v="2025-12-24T00:00:00"/>
    <n v="-1089"/>
    <n v="12"/>
    <n v="2022"/>
    <s v="09959/SPP/008/PUSAT/ICON+/2018 | 4500012329 | 12160/SPP/008/PUSAT/ICON+/2019 | 4500013748| 14748/SPP/008/PUSAT/ICON+/2020| 4500015365"/>
    <s v="17343/SPP/008/PUSAT/ICON+/2021"/>
    <n v="4500017441"/>
    <s v="Fajar Paramita"/>
    <s v="Hendra/Hans"/>
    <s v="021-50368368"/>
    <m/>
    <m/>
    <s v="B267"/>
    <s v="D16"/>
    <s v="E153"/>
    <s v="F7"/>
    <m/>
    <m/>
    <m/>
    <s v="Biaya sewa tahunan sebesar Rp.48.015.000,-"/>
  </r>
  <r>
    <n v="806"/>
    <s v="Bumi Serpong Damai "/>
    <s v="PT TRANS RETAIL INDONESIA"/>
    <s v="Sinar Mas Land Plaza_x000a_Jalan Grand Boulevard BSD Green Office Park BSD City Tangerang 15345"/>
    <x v="0"/>
    <s v="-"/>
    <s v="Bumi Serpong Damai (BSD) (ITC BSD Taman Perkantoran I BSD, Jl. Pahlawan Seribu , Tangerang-Trans Retail)"/>
    <s v="Sewa Tahunan"/>
    <s v="Colocation"/>
    <s v="ICON-00/SOP/1404/0012_x000a_ ICON-00/ACT/1306/0100"/>
    <m/>
    <m/>
    <m/>
    <m/>
    <m/>
    <n v="64000000"/>
    <m/>
    <m/>
    <n v="11100000"/>
    <m/>
    <d v="2021-09-01T00:00:00"/>
    <d v="2022-08-31T00:00:00"/>
    <x v="2"/>
    <m/>
    <d v="2025-12-24T00:00:00"/>
    <n v="-1211"/>
    <n v="8"/>
    <n v="2022"/>
    <s v="4080916/SPR/ICON+/2016 | 08843/SPP/008/PUSAT/ICON+/2018 | Note : PO belum di TTD (4500011651 &amp; 4500011760 ) | 09021/SPP/008/PUSAT/ICON+/2018"/>
    <s v="09021/SPP/008/PUSAT/ICON+/2018 |16285/SPP/008/PUSAT/ICON+/2021"/>
    <n v="4500016488"/>
    <s v="Fajar Paramita"/>
    <s v="Hendra/Hans"/>
    <s v="021-50368368"/>
    <m/>
    <m/>
    <m/>
    <m/>
    <m/>
    <m/>
    <m/>
    <m/>
    <m/>
    <s v="Indoor ITC BSD:_x000a_ Dikenakan biaya sewa shaft per meter total untuk 185 meter Update tahun 2016 Rp60.000/meter_x000a_ Outdoor Lahan BSD:_x000a_ 1. Biaya Perbaikan dan Perapihan (tergantung panjang galian dan jalur-Bervariasi) mulai dari Rp3.500.000,- s/d Rp3.600.000 One Time Charged_x000a_ 2. Tarif Jaminan :_x000a_ a. Galian Boring : panjang galian 0 s/d 200 m Rp4.800.000_x000a_ b. Galian Boring : panjang galian 201 s/d 1000 m Rp14.400.000_x000a_ c. Galian Boring : panjang galian 1001 s/d 5000 m Rp42.000.000_x000a_ d. Galian Boring : panjang galian 5001 s/d 10000 m Rp54.000.000_x000a_ e. Galian Boring : panjang galian &gt; 10000m Rp90.000.000_x000a_ f. Galian Open : Panjang Galian 0 s/d 200 m Rp6.000.000_x000a_ g. Galian Open : Panjang Galian 201 s/d 1000 m Rp18.000.000_x000a_ h. Galian Open : Panjang Galian 1001 s/d 5000 m Rp54.000.000_x000a_ i. Galian Open : Panjang Galian 5001 s/d 10000 m Rp72.000.000_x000a_ j. Galian Open : Panjang Galian &gt; 10000 m Rp120.000.000"/>
  </r>
  <r>
    <n v="807"/>
    <s v="Cakra Nusa Utama "/>
    <s v="PT Indonesia Power"/>
    <s v="Centenial Tower Lt.6 Jakarta 12930"/>
    <x v="0"/>
    <s v="-"/>
    <s v="Centennial Tower Lt 6 Jl. Gatot Subroto Kav 24 &amp; 25 Jakarta 12930"/>
    <s v="Sewa Tahunan"/>
    <s v="Colocation"/>
    <s v="PA/ACT/1806/0222"/>
    <m/>
    <m/>
    <m/>
    <m/>
    <m/>
    <n v="518700000"/>
    <m/>
    <m/>
    <n v="206640000"/>
    <m/>
    <d v="2019-07-16T00:00:00"/>
    <d v="2021-07-15T00:00:00"/>
    <x v="2"/>
    <m/>
    <d v="2025-12-24T00:00:00"/>
    <n v="-1623"/>
    <n v="7"/>
    <n v="2021"/>
    <s v="08877/SPP/008/PUSAT/ICON+/2018 | 4500011672"/>
    <s v="11130/SPP/008/PUSAT/ICON+/2019"/>
    <n v="4500012998"/>
    <s v="Fajar Paramita"/>
    <s v="Aya"/>
    <m/>
    <m/>
    <s v="B110"/>
    <s v="C142"/>
    <m/>
    <m/>
    <m/>
    <m/>
    <m/>
    <m/>
    <s v="1.Biaya sewa tahunan Rp.96.000.000"/>
  </r>
  <r>
    <n v="808"/>
    <s v="Cakra Nusa Utama "/>
    <s v="PT Cyber Network Indonesia qq PT Indopower"/>
    <s v="Centenial Tower Lt.6 Jakarta 12930"/>
    <x v="0"/>
    <s v="-"/>
    <s v="PT Indopower, Centennial Tower Lt.8, Jl. Gatot Subroto No Kav. 24-25, Karet Semanggi, Kec. Setiabudi, Jakarta Selatan, DKI Jakarta, 12710"/>
    <s v="Sewa Tahunan"/>
    <s v="Colocation"/>
    <s v="PA/ACT/1806/0222"/>
    <m/>
    <m/>
    <m/>
    <m/>
    <m/>
    <m/>
    <m/>
    <m/>
    <n v="96000000"/>
    <m/>
    <d v="2020-03-01T00:00:00"/>
    <d v="2021-02-28T00:00:00"/>
    <x v="2"/>
    <m/>
    <d v="2025-12-24T00:00:00"/>
    <n v="-1760"/>
    <n v="2"/>
    <n v="2021"/>
    <s v="10211/SPP/008/PUSAT/ICON+/2019 | 4500012469"/>
    <s v="11130/SPP/008/PUSAT/ICON+/2019"/>
    <n v="4500013910"/>
    <s v="Fajar Paramita"/>
    <m/>
    <m/>
    <m/>
    <m/>
    <s v="C15"/>
    <s v="D118"/>
    <m/>
    <m/>
    <m/>
    <m/>
    <m/>
    <s v="1.Biaya sewa tahunan Rp.96.000.000"/>
  </r>
  <r>
    <n v="809"/>
    <s v="Caturmas Kelola Sukses "/>
    <s v="PT. KRISBOW INDONESIA"/>
    <s v="Gedung Kenari Mas Lt.6 Np.101 Jakarta Pusat 10440"/>
    <x v="0"/>
    <s v="-"/>
    <s v="Krisbow Indonesia, Plaza Kenari Mas, Jl. Kramat Raya No.101, RT.18/RW.1, Paseban, Senen, Kota Jakarta Pusat, Daerah Khusus Ibukota Jakarta (Gedung kenari mas Lantai Dasar Blok C no 2), Senen, Jakarta Pusat, DKI Jakarta, Indonesia, 10440"/>
    <s v="Sewa Tahunan"/>
    <s v="Cross Connect"/>
    <s v="PA/ACT/1811/3227"/>
    <m/>
    <m/>
    <m/>
    <m/>
    <m/>
    <n v="36000000"/>
    <m/>
    <m/>
    <n v="18000000"/>
    <m/>
    <d v="2024-04-01T00:00:00"/>
    <d v="2025-03-31T00:00:00"/>
    <x v="2"/>
    <m/>
    <d v="2025-12-24T00:00:00"/>
    <n v="-268"/>
    <n v="3"/>
    <n v="2025"/>
    <s v="10701/SPP/008/PUSAT/ICON+/2019| 4500012715 | 12631/SPP/008/PUSAT/ICON+/2020 | 4500013903| 15169/SPP/008/PUSAT/ICON+/2021| 4500015749 | 18177/SPP/008/PUSAT/ICON+/2022 | 4500017780 | 21757 | 4500020389"/>
    <n v="2457"/>
    <n v="4500020389"/>
    <s v="Fajar Paramita"/>
    <s v="Fitry Juni"/>
    <s v="021 3984 2777"/>
    <m/>
    <m/>
    <s v="C50"/>
    <s v="D203"/>
    <s v="E221"/>
    <s v="F99"/>
    <s v="G96"/>
    <s v="H35"/>
    <m/>
    <m/>
  </r>
  <r>
    <n v="810"/>
    <s v="Caturmas Kelola Sukses "/>
    <s v="PT BANK CENTRAL ASIA TBK"/>
    <s v="Gedung Kenari Mas Lt.6 Np.101 Jakarta Pusat 10440"/>
    <x v="1"/>
    <s v="-"/>
    <s v="TBK KCP KAS Plaza Kenari Mas (KPK) Plaza Kenari Mas"/>
    <s v="Sewa Tahunan"/>
    <s v="Cross Connect"/>
    <s v="A821303000172"/>
    <m/>
    <m/>
    <m/>
    <m/>
    <m/>
    <n v="564100000"/>
    <m/>
    <m/>
    <n v="80640000"/>
    <m/>
    <d v="2023-12-11T00:00:00"/>
    <d v="2026-12-10T00:00:00"/>
    <x v="1"/>
    <m/>
    <d v="2025-12-24T00:00:00"/>
    <n v="351"/>
    <n v="12"/>
    <n v="2026"/>
    <s v="baru"/>
    <s v="1849/SPP/SBU/ICON+/2023"/>
    <n v="4500021645"/>
    <s v="Livia Indraswati"/>
    <s v="Hana"/>
    <s v="0812-9035-7435"/>
    <m/>
    <m/>
    <m/>
    <m/>
    <m/>
    <m/>
    <s v="G308"/>
    <m/>
    <m/>
    <m/>
  </r>
  <r>
    <n v="811"/>
    <s v="CBN Nusantara "/>
    <s v="PT Adaro Indonesia (cm_icon-adaro03)"/>
    <s v="Jl. HR. Rasuna Said Blok X5 No. 13_x000a_Kuningan Timur Jakarta"/>
    <x v="0"/>
    <s v="-"/>
    <s v="(PT. Adaro Indonesia site KM 35) Jl. Hauling Road KM 35. Pasar Panas, Benua Lima, Kabupaten Barito Timur, Kalimantan Tengah, Indonesia, 73661"/>
    <s v="Sewa Tahunan"/>
    <s v="Cross Connect"/>
    <s v="PA/ACT/2305/1636/ORI "/>
    <m/>
    <m/>
    <m/>
    <m/>
    <m/>
    <n v="168000000"/>
    <m/>
    <m/>
    <n v="8000000"/>
    <m/>
    <d v="2023-05-25T00:00:00"/>
    <d v="2024-05-24T00:00:00"/>
    <x v="1"/>
    <s v="SPP"/>
    <d v="2025-12-24T00:00:00"/>
    <n v="-579"/>
    <n v="5"/>
    <n v="2024"/>
    <s v="baru"/>
    <s v="278/SPP/SBU/ICON+/2023"/>
    <n v="4500020540"/>
    <s v="Livia Indraswati"/>
    <s v="Erni Monalena / Helvi Susanti"/>
    <s v="0856 9322 1320 (Erni)"/>
    <m/>
    <m/>
    <m/>
    <m/>
    <m/>
    <m/>
    <s v="G108"/>
    <m/>
    <m/>
    <s v="1.Biaya Instalasi Rp.2.000.000 | 2.Material Support Cost Rp.2.000.000"/>
  </r>
  <r>
    <n v="812"/>
    <s v="CBN Nusantara "/>
    <s v="PT Global Digital Niaga"/>
    <s v="Jl. HR. Rasuna Said Blok X5 No. 13_x000a_Kuningan Timur Jakarta"/>
    <x v="0"/>
    <s v="-"/>
    <s v="Bank Mandiri Gedung Mandiri Sentra Rempoa 1, Jl. Ir. H. Juanda Komp. Mandiri Griya Rempoa, Ciputat – Rempoa , Tangerang Selatan 15412"/>
    <s v="Sewa Tahunan"/>
    <s v="Colocation"/>
    <s v="PA/ACT/1910/0423"/>
    <m/>
    <m/>
    <m/>
    <m/>
    <m/>
    <n v="21000000"/>
    <m/>
    <m/>
    <n v="12000000"/>
    <m/>
    <d v="2020-11-01T00:00:00"/>
    <d v="2021-10-31T00:00:00"/>
    <x v="2"/>
    <m/>
    <d v="2025-12-24T00:00:00"/>
    <n v="-1515"/>
    <n v="10"/>
    <n v="2021"/>
    <m/>
    <s v="14680/SPP/008/PUSAT/ICON+/2020"/>
    <n v="4500015336"/>
    <s v="Fajar Paramita"/>
    <s v="Erni Monalena / Helvi Susanti"/>
    <s v="858 9322 1320 (Erni)"/>
    <m/>
    <m/>
    <s v="C235"/>
    <s v="D389"/>
    <m/>
    <m/>
    <m/>
    <m/>
    <m/>
    <m/>
  </r>
  <r>
    <n v="813"/>
    <s v="CBN Nusantara "/>
    <s v="PT CYBERINDO ADITAMA "/>
    <s v="Jl. HR. Rasuna Said Blok X5 No. 13_x000a_Kuningan Timur Jakarta"/>
    <x v="0"/>
    <s v="Cyber2 Tower, Kuningan, East Kuningan, Setiabudi, South Jakarta City, Jakarta,  Kuningan,  Jakarta Selatan,  DKI Jakarta,  Indonesia,  "/>
    <s v="CBN Bali Istana Kuta Galeria  Blok PM 3 No. 7 Jl. Patih Jelantik,  Kuta,  Kabupaten Badung,  Bali,  Indonesia,  80361"/>
    <s v="Sewa Tahunan"/>
    <s v="Colocation"/>
    <s v="PA/ACT/2301/0482 "/>
    <m/>
    <m/>
    <m/>
    <m/>
    <m/>
    <n v="2400000000"/>
    <m/>
    <m/>
    <n v="8000000"/>
    <m/>
    <d v="2024-03-02T00:00:00"/>
    <d v="2025-03-01T00:00:00"/>
    <x v="1"/>
    <m/>
    <d v="2025-12-24T00:00:00"/>
    <n v="-298"/>
    <n v="3"/>
    <n v="2025"/>
    <s v="21127/SPP/008/PUSAT/ICON+/2023 | 4500020016"/>
    <s v="3385/SPP/SBU/PLNICONPLUS/2024"/>
    <n v="4500022887"/>
    <s v="Fajar Paramita"/>
    <s v="Erni Monalena / Helvi Susanti"/>
    <s v="0856 9322 1320 (Erni)"/>
    <m/>
    <m/>
    <m/>
    <m/>
    <m/>
    <m/>
    <s v="G29"/>
    <m/>
    <m/>
    <s v="1.Biaya Instalasi Rp.2.000.000 | 2.Material Support Cost Rp.2.000.000"/>
  </r>
  <r>
    <n v="814"/>
    <s v="CBN Nusantara "/>
    <s v="project pembangunan router 100G Joint Customer External"/>
    <s v="Jl. HR. Rasuna Said Blok X5 No. 13_x000a_Kuningan Timur Jakarta"/>
    <x v="0"/>
    <s v="-"/>
    <s v="CBN Nusantara Next Data Center Cyber2 Tower, 2nd Floor - Jl. H.R Rasuna Said Blok X-5 No. 13 Jakarta"/>
    <s v="Sewa Tahunan"/>
    <s v="Colocation"/>
    <s v="1000332707_x000a_ 111204000122_x000a_ 111202017819"/>
    <m/>
    <m/>
    <m/>
    <m/>
    <m/>
    <n v="3366600000"/>
    <m/>
    <m/>
    <n v="8000000"/>
    <m/>
    <d v="2024-04-10T00:00:00"/>
    <d v="2025-04-09T00:00:00"/>
    <x v="1"/>
    <m/>
    <d v="2025-12-24T00:00:00"/>
    <n v="-259"/>
    <n v="4"/>
    <n v="2025"/>
    <s v="21885/SPP/008/PUSAT/ICON+/2023 | 4500020327"/>
    <s v="3215/SPP/SBU/PLNICONPLUS/2024"/>
    <n v="4500022801"/>
    <s v="Livia Indraswati"/>
    <s v="Erni Monalena / Helvi Susanti"/>
    <s v="857 9322 1320 (Erni)"/>
    <m/>
    <m/>
    <m/>
    <m/>
    <m/>
    <m/>
    <s v="G72"/>
    <s v="H172"/>
    <m/>
    <s v="1.Biaya Instalasi Rp.2.000.000 | 2.Material Support Cost Rp.2.000.001"/>
  </r>
  <r>
    <n v="815"/>
    <s v="CBN Nusantara "/>
    <s v="PT CBN NUSANTARA qq PT. ADARO INDONESIA"/>
    <s v="Jl. HR. Rasuna Said Blok X5 No. 13_x000a_Kuningan Timur Jakarta"/>
    <x v="0"/>
    <s v="-"/>
    <s v="Cyber 2 - JL H. Rasuna Said X5 No 13, Kuningan, Jakarta Selatan"/>
    <s v="Sewa Tahunan"/>
    <s v="Colocation"/>
    <s v="PA/ACT/1904/2037/TER"/>
    <m/>
    <m/>
    <m/>
    <m/>
    <m/>
    <n v="60000000"/>
    <m/>
    <m/>
    <n v="8000000"/>
    <m/>
    <d v="2022-05-15T00:00:00"/>
    <d v="2022-06-30T00:00:00"/>
    <x v="2"/>
    <m/>
    <d v="2025-12-24T00:00:00"/>
    <n v="-1273"/>
    <n v="6"/>
    <n v="2022"/>
    <s v="10821/SPP/008/PUSAT/ICON+/2019 |4500014444 | 4500012790| 15921/SPP/008/PUSAT/ICON+/2021| 4500016427"/>
    <s v="18322/SPP/008/PUSAT/ICON+/2022"/>
    <n v="4500018963"/>
    <s v="Fajar Paramita"/>
    <s v="Erni Monalena / Helvi Susanti"/>
    <s v="857 9322 1320 (Erni)"/>
    <m/>
    <m/>
    <s v="C103"/>
    <m/>
    <s v="E119"/>
    <s v="F340"/>
    <m/>
    <m/>
    <m/>
    <s v="1.Biaya sewa tahunan Rp.12.000.000"/>
  </r>
  <r>
    <n v="816"/>
    <s v="CBN Nusantara "/>
    <s v="PT Sampoerna Telekomunikasi Indonesia"/>
    <s v="Jl. HR. Rasuna Said Blok X5 No. 13_x000a_Kuningan Timur Jakarta"/>
    <x v="0"/>
    <s v="CYBER 2 RAK STI (BACKHAUL),  -,  -,  -,  Indonesia,  -"/>
    <s v="Cyber 2 Tower, 2nd Floor – JL. HR Rasuna Said Blok X-5 No. 13 – Jakarta 12950"/>
    <s v="Sewa Tahunan"/>
    <s v="Colocation"/>
    <s v="PA/DOW/1812/0052"/>
    <m/>
    <m/>
    <m/>
    <m/>
    <m/>
    <n v="111600000"/>
    <m/>
    <m/>
    <n v="8000000"/>
    <m/>
    <d v="2021-01-03T00:00:00"/>
    <d v="2022-01-02T00:00:00"/>
    <x v="2"/>
    <m/>
    <d v="2025-12-24T00:00:00"/>
    <n v="-1452"/>
    <n v="1"/>
    <n v="2022"/>
    <s v="08013/SPP/008/PUSAT/ICON+/2018 | 4500011185 | 09877/SPP/008/PUSAT/ICON+/2018 | 12627/SPP/008/PUSAT/ICON+/2020 | 4500013964"/>
    <s v="15132/SPP/008/PUSAT/ICON+/2021"/>
    <n v="4500015718"/>
    <s v="Fajar Paramita"/>
    <s v="Erni Monalena / Helvi Susanti"/>
    <s v="0856 9322 1320 (Erni)"/>
    <s v="-"/>
    <s v="B9"/>
    <s v="B291"/>
    <s v="D34"/>
    <s v="E141"/>
    <m/>
    <m/>
    <m/>
    <m/>
    <m/>
  </r>
  <r>
    <n v="817"/>
    <s v="CBN Nusantara "/>
    <s v="PT Inti Dunia Sukses"/>
    <s v="Jl. HR. Rasuna Said Blok X5 No. 13_x000a_Kuningan Timur Jakarta"/>
    <x v="0"/>
    <s v="Data Center CBN Nusantara Cyber 2 Tower, 2nd floor | Jl. H.R. Rasuna Said Blok X5 No. 13 Jakarta Selatan - 12950. lokasi rak N2C1-05-02)"/>
    <s v="Cyber 2 Tower, 2nd Floor – JL. HR Rasuna Said Blok X-5 No. 13 – Jakarta 12950"/>
    <s v="Sewa Tahunan"/>
    <s v="Cross Connect"/>
    <s v="ICON-00/ACT/1711/1437"/>
    <m/>
    <m/>
    <m/>
    <m/>
    <m/>
    <n v="72000000"/>
    <m/>
    <m/>
    <n v="6000000"/>
    <m/>
    <d v="2023-12-18T00:00:00"/>
    <d v="2024-12-17T00:00:00"/>
    <x v="1"/>
    <s v="SPP"/>
    <d v="2025-12-24T00:00:00"/>
    <n v="-372"/>
    <n v="12"/>
    <n v="2024"/>
    <s v="08041/SPP/008/PUSAT/ICON+/2018 | 4500011282 | Note : PO belum di Print | 09709/SPP/008/PUSAT/ICON+/2018 | 4500012173 | 12176/SPP/008/PUSAT/ICON+/2019 | 4500013738 | 14753/SPP/008/PUSAT/ICON+/2020 | 4500015367 | 17489/SPP/008/PUSAT/ICON+/2021 | 4500017405 | 18911 | 4500021250"/>
    <n v="18911"/>
    <n v="4500021919"/>
    <s v="Fajar Paramita"/>
    <s v="Erni Monalena / Helvi Susanti"/>
    <s v="0856 9322 1320 (Erni)"/>
    <m/>
    <s v="C150"/>
    <s v="D7"/>
    <s v="D390"/>
    <s v="F15"/>
    <s v="G244"/>
    <m/>
    <m/>
    <m/>
    <m/>
  </r>
  <r>
    <n v="818"/>
    <s v="CBN Nusantara "/>
    <s v="PT Sampoerna Telekomunikasi Indonesia"/>
    <s v="Jl. HR. Rasuna Said Blok X5 No. 13_x000a_Kuningan Timur Jakarta"/>
    <x v="0"/>
    <s v=" CYBER 2 RAK STI (BACKHAUL"/>
    <s v="Cyber 2 Tower, 2nd Floor – JL. HR Rasuna Said Blok X-5 No. 13 – Jakarta 12950"/>
    <s v="Sewa Tahunan"/>
    <s v="Colocation"/>
    <s v="PA/DOW/1812/0052"/>
    <m/>
    <m/>
    <m/>
    <m/>
    <m/>
    <n v="81600000"/>
    <m/>
    <m/>
    <n v="8000000"/>
    <m/>
    <d v="2020-12-01T00:00:00"/>
    <d v="2021-11-30T00:00:00"/>
    <x v="0"/>
    <m/>
    <d v="2025-12-24T00:00:00"/>
    <n v="-1485"/>
    <n v="11"/>
    <n v="2021"/>
    <s v="08223/SPP/008/PUSAT/ICON+/2018 |09535/SPP/008/PUSAT/ICON+/2018 | 4500012060 | 12088/SPP/008/PUSAT/ICON+/2019 | 4500013739"/>
    <s v="12088/SPP/008/PUSAT/ICON+/2019"/>
    <n v="4500015270"/>
    <s v="Fajar Paramita"/>
    <s v="Erni Monalena / Helvi Susanti"/>
    <s v="0856 9322 1320 (Erni)"/>
    <s v="B9"/>
    <s v="C250"/>
    <s v="D6"/>
    <m/>
    <m/>
    <m/>
    <m/>
    <m/>
    <m/>
    <m/>
  </r>
  <r>
    <n v="819"/>
    <s v="CBN Nusantara "/>
    <s v="PT. UNIVERSAL SATELIT INDONESIA"/>
    <s v="Jl. HR. Rasuna Said Blok X5 No. 13_x000a_Kuningan Timur Jakarta"/>
    <x v="0"/>
    <s v="-"/>
    <s v="Cyber 2, Jl. H. R. Rasuna Said No.5 No.13, RT.7/RW.2, Kuningan, Kuningan Tim, Kec. Setiabudi"/>
    <s v="Sewa Tahunan"/>
    <s v="Colocation"/>
    <s v="PA/RLK/2109/0003/ORI"/>
    <m/>
    <m/>
    <m/>
    <m/>
    <m/>
    <n v="48000000"/>
    <m/>
    <m/>
    <n v="8000000"/>
    <m/>
    <d v="2021-10-01T00:00:00"/>
    <d v="2022-09-30T00:00:00"/>
    <x v="0"/>
    <m/>
    <d v="2025-12-24T00:00:00"/>
    <n v="-1181"/>
    <n v="9"/>
    <n v="2022"/>
    <s v="baru"/>
    <s v="16811/SPP/008/PUSAT/ICON+/2021"/>
    <n v="4500016821"/>
    <s v="Fajar Paramita"/>
    <s v="Erni Monalena / Helvi Susanti"/>
    <s v="0856 9322 1320 (Erni)"/>
    <m/>
    <m/>
    <m/>
    <m/>
    <s v="E277"/>
    <m/>
    <m/>
    <m/>
    <m/>
    <m/>
  </r>
  <r>
    <n v="820"/>
    <s v="CBN Nusantara "/>
    <s v="PT. INTI DUNIA SUKSES"/>
    <s v="Jl. HR. Rasuna Said Blok X5 No. 13_x000a_Kuningan Timur Jakarta"/>
    <x v="0"/>
    <s v="Data Center CBN Nusantara Cyber 2 Tower, 2nd floor | Jl. H.R. Rasuna Said Blok X5 No. 13 Jakarta Selatan - 12950. lokasi rak N2C1-05-02)"/>
    <s v="-"/>
    <s v="Sewa Tahunan"/>
    <s v="Cross Connect"/>
    <s v="PA/ACT/1912/0149/TER"/>
    <m/>
    <m/>
    <m/>
    <m/>
    <m/>
    <n v="36000000"/>
    <m/>
    <m/>
    <n v="8000000"/>
    <m/>
    <d v="2023-12-18T00:00:00"/>
    <d v="2024-12-17T00:00:00"/>
    <x v="1"/>
    <s v="SPP"/>
    <d v="2025-12-24T00:00:00"/>
    <n v="-372"/>
    <n v="12"/>
    <n v="2024"/>
    <s v="12254/SPP/008/PUSAT/ICON+/2019 | 4500013660 | 14754/SPP/008/PUSAT/ICON+/2020 | 4500015359 | 17488/SPP/008/PUSAT/ICON+/2021 | 4500017404"/>
    <s v="1977/SPP/SBU/ICON+/2023"/>
    <n v="4500021919"/>
    <s v="Fajar Paramita"/>
    <s v="Erni Monalena / Helvi Susanti"/>
    <s v="858 9322 1320 (Erni)"/>
    <m/>
    <m/>
    <s v="C265"/>
    <s v="D382"/>
    <s v="F14"/>
    <m/>
    <s v="G389"/>
    <m/>
    <m/>
    <m/>
  </r>
  <r>
    <n v="821"/>
    <s v="CBN Nusantara "/>
    <s v="Indomarco Prismatama"/>
    <s v="Jl. HR. Rasuna Said Blok X5 No. 13_x000a_Kuningan Timur Jakarta"/>
    <x v="0"/>
    <s v="-"/>
    <s v="PT KIS, Nex Datacenter Cyber2 Tower 2nd Floor, Jl. HR Rasuna Said X5 No.13, Cage (ND2-N2C1-05-01) rak pertama,  Setiabudi,  Jakarta Selatan,  DKI Jakarta,  Indonesia,  12950"/>
    <s v="Sewa Tahunan"/>
    <s v="Colocation"/>
    <s v="PA/ACT/1811/3222"/>
    <m/>
    <m/>
    <m/>
    <m/>
    <m/>
    <n v="216000000"/>
    <m/>
    <m/>
    <n v="6000000"/>
    <m/>
    <d v="2022-03-01T00:00:00"/>
    <d v="2023-02-28T00:00:00"/>
    <x v="0"/>
    <m/>
    <d v="2025-12-24T00:00:00"/>
    <n v="-1030"/>
    <n v="2"/>
    <n v="2023"/>
    <s v="cm_icon-indomarco03 | baru | 10570/SPP/008/PUSAT/ICON+/2019 | 4500012620 | 15119/SPP/008/PUSAT/ICON+/2021 | 4500015717"/>
    <s v="17656/SPP/008/PUSAT/ICON+/2022"/>
    <n v="4500019966"/>
    <s v="Fajar Paramita"/>
    <s v="Erni Monalena / Helvi Susanti"/>
    <s v="858 9322 1320 (Erni)"/>
    <m/>
    <m/>
    <s v="C61"/>
    <s v="E218"/>
    <s v="E145"/>
    <s v="G49"/>
    <m/>
    <m/>
    <m/>
    <m/>
  </r>
  <r>
    <n v="822"/>
    <s v="CBN Nusantara "/>
    <s v="PT. INTI DUNIA SUKSES"/>
    <s v="Jl. HR. Rasuna Said Blok X5 No. 13_x000a_Kuningan Timur Jakarta"/>
    <x v="0"/>
    <m/>
    <s v="DC CBN, Cyber 2 Tower, lantai 2 Jl HR Rasuna Said Blok X5 no 13 (Rack N2C1-05-02), Kuningan, Jakarta Selatan."/>
    <s v="Sewa Tahunan"/>
    <s v="Colocation"/>
    <s v="PA/ACT/1908/0561"/>
    <m/>
    <m/>
    <m/>
    <m/>
    <m/>
    <n v="144000000"/>
    <m/>
    <m/>
    <n v="8000000"/>
    <m/>
    <d v="2023-09-01T00:00:00"/>
    <d v="2024-08-31T00:00:00"/>
    <x v="0"/>
    <m/>
    <d v="2025-12-24T00:00:00"/>
    <n v="-480"/>
    <n v="8"/>
    <n v="2024"/>
    <s v="11468/SPP/008/PUSAT/ICON+/2019| 4500013155 | 13842/SPP/008/PUSAT/ICON+/2020 | 4500014745| 16300/SPP/008/PUSAT/ICON+/2021| 4500016490 | 18911/SPP/008/PUSAT/ICON+/2022 | 4500018221"/>
    <m/>
    <n v="4500020934"/>
    <s v="Fajar Paramita"/>
    <s v="Erni Monalena / Helvi Susanti"/>
    <s v="858 9322 1320 (Erni)"/>
    <m/>
    <m/>
    <s v="C167"/>
    <s v="D189"/>
    <s v="E188"/>
    <s v="F199"/>
    <s v="G194"/>
    <m/>
    <m/>
    <m/>
  </r>
  <r>
    <n v="823"/>
    <s v="CBN Nusantara "/>
    <s v="PT. INTI DUNIA SUKSES"/>
    <s v="Jl. HR. Rasuna Said Blok X5 No. 13_x000a_Kuningan Timur Jakarta"/>
    <x v="0"/>
    <m/>
    <s v="DC CBN, Cyber 2 Tower, lantai 2 Jl HR Rasuna Said Blok X5 no 13 (Rack N2C1-05-02), Kuningan, Jakarta Selatan."/>
    <s v="Sewa Tahunan"/>
    <s v="Colocation"/>
    <s v="PA/ACT/1908/0561"/>
    <m/>
    <m/>
    <m/>
    <m/>
    <m/>
    <n v="108000000"/>
    <m/>
    <m/>
    <n v="8000000"/>
    <m/>
    <d v="2024-09-01T00:00:00"/>
    <d v="2025-08-31T00:00:00"/>
    <x v="1"/>
    <m/>
    <d v="2025-12-24T00:00:00"/>
    <n v="-115"/>
    <n v="8"/>
    <n v="2025"/>
    <m/>
    <s v="3827/SPP/SBU/PLNICONPLUS/2024"/>
    <n v="4500023035"/>
    <s v="Livia Indraswati"/>
    <s v="Erni Monalena / Helvi Susanti"/>
    <s v="858 9322 1320 (Erni)"/>
    <m/>
    <m/>
    <m/>
    <m/>
    <m/>
    <m/>
    <m/>
    <s v="H207"/>
    <m/>
    <m/>
  </r>
  <r>
    <n v="824"/>
    <s v="CBN Nusantara "/>
    <s v="Suzuki Finance"/>
    <s v="Jl. HR. Rasuna Said Blok X5 No. 13_x000a_Kuningan Timur Jakarta"/>
    <x v="0"/>
    <m/>
    <s v="Ged. Cyber Two/dua Data Center Lt. 2 (Suzuki Finance So No.ICON-00/ACT/1408/0226)"/>
    <s v="Sewa Tahunan"/>
    <s v="Colocation"/>
    <s v="SOP/1704/0067"/>
    <m/>
    <m/>
    <m/>
    <m/>
    <m/>
    <n v="96000000"/>
    <m/>
    <m/>
    <n v="2000000"/>
    <m/>
    <d v="2020-10-17T00:00:00"/>
    <d v="2021-10-16T00:00:00"/>
    <x v="0"/>
    <m/>
    <d v="2025-12-24T00:00:00"/>
    <n v="-1530"/>
    <n v="10"/>
    <n v="2021"/>
    <s v="072904/SPR/008/PUSAT/ICON+/2016 |_x000a_ 060105/SPR/008/PUSAT/ICON+/2016 |_x000a_ 060104/SPR/008/PUSAT/ICON+/2016 | 07441/SPP/008/PUSAT/ICON+/2017 |Note : PO 4500010827 belum di print | 09172/SPP/008/PUSAT/ICON+/2018 | 4500011855"/>
    <s v="14305/SPP/008/PUSAT/ICON+/2020"/>
    <n v="4500015110"/>
    <s v="Fajar Paramita"/>
    <s v="Erni Monalena / Helvi Susanti"/>
    <s v="0856 9322 1320 (Erni)"/>
    <m/>
    <m/>
    <s v="D197"/>
    <s v="D355"/>
    <m/>
    <m/>
    <m/>
    <m/>
    <m/>
    <s v="1. Sewa Berlangganan Data Center di CBN Nusantara (Cyber 2) berupa 1 unit full rack 19 inci-45U Rp9.000.000,-/bulan atau total Rp108.000.000/tahun_x000a_  Fasilitas sewa rack terdiri dari 1 (satu) rak penuh 19 inci – 45 U, milik rekanan dengan fasilitas :_x000a_ a. 3 (tiga) buah koneksi UTP cat 5e atau 1 (satu) buah koneksi FO dan rak ICON+ menuju MMR;_x000a_ b. Toleransi grounding listrik 0,1 -0,5 ohm;_x000a_ c. Ruang ber AC dengan temperatur ruang 23° C - 25° C;_x000a_ d. Sistem pendingin presisi dan redundan;_x000a_ e. Perforated raised floor;_x000a_ f. Uninterruptible Power Supply (UPS) redundant;_x000a_ g. Sistem monitoring 24 jam;_x000a_ h. Sensor panas dan asap yang dilengkapi dengan system pemadam kebakaran pyrogen._x000a_ 2.Biaya Instalasi _x000a_ a.Instalasi Kabel FO Rp2.000.000/intalasi (dari handhole Ged. Cyber 2 menuju Rg MMR di Lt.2) (harga Instalasi Backbone FO) update th 2015 Rp.5.500.000,-_x000a_ b.Instalasi Rp1.300.000/Core FO/aktivasi (Rg MMR di Lt.2 menuju tenant) (harga aktivasi bacbone core FO) update th 2015 Rp2.500.000,-_x000a_ c. Instalasi Rp750.000/link fO/Instalasi (antar tenant) (harga Instalasi MMR-DC) update th 2015 Rp2.000.000,- s/d Rp3.500.000,-_x000a_ d. Instalasi Rp500.000/kabel UTP/Instalasi (Ruang MMR di Lt.2 menuju rak ICON+ di Rg dt Center CBN) (Harga Instalasi MMR-DC) update th 2015 Rp1.500.000,-_x000a_ e. Instalasi Rp1000.000/Link UTP/Instalasi (Instalasi kabel dari ruang MMR di Lt.2 Menuju tenant) (Harga Instalasi MMR-Tenant) update th 2015 Rp1.750.000,-_x000a_ f. Instalasi Rp1000.000/Kabel UTP/Instalasi (Instalasi kabel dari ruang MMR di Lt.2 Menuju pelanggan rack) (Harga Instalasi MMR-Tenant) update tahun 2015 Rp2.000.000/kabel/UTP/Instalasi_x000a_ g. Instalasi UTP antar 2 pelanggan di Gedung Cyber update tahun 2015 Rp2.000.000/kabel/UTP/Instalasi_x000a_ 3. Sewa Infrastruktur :_x000a_ a. Sewa Kabel FO Rp3.000.000/Link FO/Tahun (dari Rg MMR di Lt. 2 menuju rak ICON+ di Rg Data Center CBN) (Sw Interkoneksi FO MMR-DC) update th 2015 Rp4.000.000,-/tahun_x000a_ b. Sewa Kabel UTP Rp1.500.000/Kabel UTP/tahun (dr Rg MMR di Lt.2 menuju rak ICON+ di Gedung Cyber 2) (Sw Interkoneksi UTP MMR-DC) update harga tahun 2015 Rp2.000.000/kabel UTP/tahun_x000a_ c. Sewa Rp5.000.000/link fo/tahun (Kabel dari Rg MMR di Lt.2 menuju pelanggan ICON+ di Gedung Cyber 2) (Sw Interkoneksi FO MMR-Tenant) update th 2015 Rp6.000.000,-/tahun_x000a_ d. Sewa Rp2.500.000/kabel UTP/Tahun (Kabel UTP dari Rg MMR di Lt.2 menuju Pelanggan ICON+ di gedung Cyber 2) (Sw Interkoneksi UTP MMR-Tenant) update th 2015 Rp4.000.000,-/tahun_x000a_ e. Sewa UTP dari MMR to Data Center Room update th 2015 Rp3.000.000,-/Tahun_x000a_ f. Sewa UTP antara 2 tenant di ged. Cyber 2 update th 2015 Rp4.500.000,-/Tahun_x000a_ g. Sewa FO antara 2 tenant di ged. Cyber 2 update th 2015 Rp7.000.000,-/Tahun"/>
  </r>
  <r>
    <n v="825"/>
    <s v="CBN Nusantara "/>
    <s v="PT Indomarco Prismatama"/>
    <s v="Jl. HR. Rasuna Said Blok X5 No. 13_x000a_Kuningan Timur Jakarta"/>
    <x v="0"/>
    <m/>
    <s v="Ged. Cyber Two/dua Data Center Lt. 2 (UTP dari ke ICON+ ke RaCk Indomarco) (PT Indomarco Prismatama So No. ICON-00/ACT/1502/0384)"/>
    <s v="Sewa Tahunan"/>
    <s v="Colocation"/>
    <s v="PA/ACT/1811/3222"/>
    <m/>
    <m/>
    <m/>
    <m/>
    <m/>
    <n v="114000000"/>
    <m/>
    <m/>
    <n v="2000000"/>
    <m/>
    <d v="2022-04-28T00:00:00"/>
    <d v="2023-04-27T00:00:00"/>
    <x v="0"/>
    <m/>
    <d v="2025-12-24T00:00:00"/>
    <n v="-972"/>
    <n v="4"/>
    <n v="2023"/>
    <s v="03303/SPR/008/PUSAT/ICON+/2016| 06600/SPP/008/PUSAT/ICON+/2017| 4500010295 | 08963/SPP/008/PUSAT/ICON+/2018 | 4500011371 | 10289/SPP/008/PUSAT/ICON+/2019 | 4500012495 | 12658/SPP/008/PUSAT/ICON+/2020 | 4500013996"/>
    <s v="15790/SPP/008/PUSAT/ICON+/2021"/>
    <n v="4500016837"/>
    <s v="Fajar Paramita"/>
    <s v="Erni Monalena / Helvi Susanti"/>
    <s v="0856 9322 1320 (Erni)"/>
    <m/>
    <s v="B186"/>
    <s v="C45"/>
    <s v="D64"/>
    <s v="E302"/>
    <m/>
    <m/>
    <m/>
    <m/>
    <s v="1. Sewa Berlangganan Data Center di CBN Nusantara (Cyber 2) berupa 1 unit full rack 19 inci-45U Rp9.000.000,-/bulan atau total Rp108.000.000/tahun_x000a_  Fasilitas sewa rack terdiri dari 1 (satu) rak penuh 19 inci – 45 U, milik rekanan dengan fasilitas :_x000a_ a. 3 (tiga) buah koneksi UTP cat 5e atau 1 (satu) buah koneksi FO dan rak ICON+ menuju MMR;_x000a_ b. Toleransi grounding listrik 0,1 -0,5 ohm;_x000a_ c. Ruang ber AC dengan temperatur ruang 23° C - 25° C;_x000a_ d. Sistem pendingin presisi dan redundan;_x000a_ e. Perforated raised floor;_x000a_ f. Uninterruptible Power Supply (UPS) redundant;_x000a_ g. Sistem monitoring 24 jam;_x000a_ h. Sensor panas dan asap yang dilengkapi dengan system pemadam kebakaran pyrogen._x000a_ 2.Biaya Instalasi _x000a_ a.Instalasi Kabel FO Rp2.000.000/intalasi (dari handhole Ged. Cyber 2 menuju Rg MMR di Lt.2) (harga Instalasi Backbone FO) update th 2015 Rp.5.500.000,-_x000a_ b.Instalasi Rp1.300.000/Core FO/aktivasi (Rg MMR di Lt.2 menuju tenant) (harga aktivasi bacbone core FO) update th 2015 Rp2.500.000,-_x000a_ c. Instalasi Rp750.000/link fO/Instalasi (antar tenant) (harga Instalasi MMR-DC) update th 2015 Rp2.000.000,- s/d Rp3.500.000,-_x000a_ d. Instalasi Rp500.000/kabel UTP/Instalasi (Ruang MMR di Lt.2 menuju rak ICON+ di Rg dt Center CBN) (Harga Instalasi MMR-DC) update th 2015 Rp1.500.000,-_x000a_ e. Instalasi Rp1000.000/Link UTP/Instalasi (Instalasi kabel dari ruang MMR di Lt.2 Menuju tenant) (Harga Instalasi MMR-Tenant) update th 2015 Rp1.750.000,-_x000a_ f. Instalasi Rp1000.000/Kabel UTP/Instalasi (Instalasi kabel dari ruang MMR di Lt.2 Menuju pelanggan rack) (Harga Instalasi MMR-Tenant) update tahun 2015 Rp2.000.000/kabel/UTP/Instalasi_x000a_ g. Instalasi UTP antar 2 pelanggan di Gedung Cyber update tahun 2015 Rp2.000.000/kabel/UTP/Instalasi_x000a_ 3. Sewa Infrastruktur :_x000a_ a. Sewa Kabel FO Rp3.000.000/Link FO/Tahun (dari Rg MMR di Lt. 2 menuju rak ICON+ di Rg Data Center CBN) (Sw Interkoneksi FO MMR-DC) update th 2015 Rp4.000.000,-/tahun_x000a_ b. Sewa Kabel UTP Rp1.500.000/Kabel UTP/tahun (dr Rg MMR di Lt.2 menuju rak ICON+ di Gedung Cyber 2) (Sw Interkoneksi UTP MMR-DC) update harga tahun 2015 Rp2.000.000/kabel UTP/tahun_x000a_ c. Sewa Rp5.000.000/link fo/tahun (Kabel dari Rg MMR di Lt.2 menuju pelanggan ICON+ di Gedung Cyber 2) (Sw Interkoneksi FO MMR-Tenant) update th 2015 Rp6.000.000,-/tahun_x000a_ d. Sewa Rp2.500.000/kabel UTP/Tahun (Kabel UTP dari Rg MMR di Lt.2 menuju Pelanggan ICON+ di gedung Cyber 2) (Sw Interkoneksi UTP MMR-Tenant) update th 2015 Rp4.000.000,-/tahun_x000a_ e. Sewa UTP dari MMR to Data Center Room update th 2015 Rp3.000.000,-/Tahun_x000a_ f. Sewa UTP antara 2 tenant di ged. Cyber 2 update th 2015 Rp4.500.000,-/Tahun_x000a_ g. Sewa FO antara 2 tenant di ged. Cyber 2 update th 2015 Rp7.000.000,-/Tahun"/>
  </r>
  <r>
    <n v="826"/>
    <s v="CBN Nusantara "/>
    <s v="PT Cyberindo Aditama"/>
    <s v="Jl. HR. Rasuna Said Blok X5 No. 13_x000a_Kuningan Timur Jakarta"/>
    <x v="0"/>
    <m/>
    <s v="Ged. Cyber Two/dua Data Center Lt. 2 Ruang Meet Me Room - 2 kabel (fo dari Rack CBN (CRF1-05) ke MMR dan dari rack ICON+ (NF1-01-06) ke MMR (PT Cyberindo Aditama So No. ICON-00/ACT/1610/0722)"/>
    <s v="Sewa Tahunan"/>
    <s v="Colocation"/>
    <s v="ICON-00/ACT/1710/0264"/>
    <m/>
    <m/>
    <m/>
    <m/>
    <m/>
    <n v="600000000"/>
    <m/>
    <m/>
    <n v="8000000"/>
    <m/>
    <d v="2022-11-10T00:00:00"/>
    <d v="2023-11-09T00:00:00"/>
    <x v="0"/>
    <m/>
    <d v="2025-12-24T00:00:00"/>
    <n v="-776"/>
    <n v="11"/>
    <n v="2023"/>
    <s v="username : cm_icon_cbn01 |2711116/SPR/ICON+/2016 |_x000a_ 5551116/SPR/ICON+/2016 |_x000a_ Letter of Acknowledgment No. 0121/CN/DIOICP/CH/BA/XI/2016 | 07966/SPP/008/PUSAT/ICON+/2018 | 4500011166| 09443/SPP/008/PUSAT/ICON+/2018 | 4500012008 | 11799/SPP/008/PUSAT/ICON+/2019 | 4500013406| 11799/SPP/008/PUSAT/ICON+/2019 | 14461/SPP/008/PUSAT/ICON+/2020| 4500015269"/>
    <s v="17043/SPP/008/PUSAT/ICON+/2021"/>
    <n v="4500018400"/>
    <s v="Fajar Paramita"/>
    <s v="Erni Monalena / Helvi Susanti"/>
    <s v="0856 9322 1320 (Erni)"/>
    <s v="B10"/>
    <s v="B294"/>
    <s v="C222"/>
    <s v="D309"/>
    <s v="F240"/>
    <m/>
    <m/>
    <m/>
    <m/>
    <s v="1. Sewa Berlangganan Data Center di CBN Nusantara (Cyber 2) berupa 1 unit full rack 19 inci-45U Rp9.000.000,-/bulan atau total Rp108.000.000/tahun_x000a_  Fasilitas sewa rack terdiri dari 1 (satu) rak penuh 19 inci – 45 U, milik rekanan dengan fasilitas :_x000a_ a. 3 (tiga) buah koneksi UTP cat 5e atau 1 (satu) buah koneksi FO dan rak ICON+ menuju MMR;_x000a_ b. Toleransi grounding listrik 0,1 -0,5 ohm;_x000a_ c. Ruang ber AC dengan temperatur ruang 23° C - 25° C;_x000a_ d. Sistem pendingin presisi dan redundan;_x000a_ e. Perforated raised floor;_x000a_ f. Uninterruptible Power Supply (UPS) redundant;_x000a_ g. Sistem monitoring 24 jam;_x000a_ h. Sensor panas dan asap yang dilengkapi dengan system pemadam kebakaran pyrogen._x000a_ 2.Biaya Instalasi _x000a_ a.Instalasi Kabel FO Rp2.000.000/intalasi (dari handhole Ged. Cyber 2 menuju Rg MMR di Lt.2) (harga Instalasi Backbone FO) update th 2015 Rp.5.500.000,-_x000a_ b.Instalasi Rp1.300.000/Core FO/aktivasi (Rg MMR di Lt.2 menuju tenant) (harga aktivasi bacbone core FO) update th 2015 Rp2.500.000,-_x000a_ c. Instalasi Rp750.000/link fO/Instalasi (antar tenant) (harga Instalasi MMR-DC) update th 2015 Rp2.000.000,- s/d Rp3.500.000,-_x000a_ d. Instalasi Rp500.000/kabel UTP/Instalasi (Ruang MMR di Lt.2 menuju rak ICON+ di Rg dt Center CBN) (Harga Instalasi MMR-DC) update th 2015 Rp1.500.000,-_x000a_ e. Instalasi Rp1000.000/Link UTP/Instalasi (Instalasi kabel dari ruang MMR di Lt.2 Menuju tenant) (Harga Instalasi MMR-Tenant) update th 2015 Rp1.750.000,-_x000a_ f. Instalasi Rp1000.000/Kabel UTP/Instalasi (Instalasi kabel dari ruang MMR di Lt.2 Menuju pelanggan rack) (Harga Instalasi MMR-Tenant) update tahun 2015 Rp2.000.000/kabel/UTP/Instalasi_x000a_ g. Instalasi UTP antar 2 pelanggan di Gedung Cyber update tahun 2015 Rp2.000.000/kabel/UTP/Instalasi_x000a_ 3. Sewa Infrastruktur :_x000a_ a. Sewa Kabel FO Rp3.000.000/Link FO/Tahun (dari Rg MMR di Lt. 2 menuju rak ICON+ di Rg Data Center CBN) (Sw Interkoneksi FO MMR-DC) update th 2015 Rp4.000.000,-/tahun_x000a_ b. Sewa Kabel UTP Rp1.500.000/Kabel UTP/tahun (dr Rg MMR di Lt.2 menuju rak ICON+ di Gedung Cyber 2) (Sw Interkoneksi UTP MMR-DC) update harga tahun 2015 Rp2.000.000/kabel UTP/tahun_x000a_ c. Sewa Rp5.000.000/link fo/tahun (Kabel dari Rg MMR di Lt.2 menuju pelanggan ICON+ di Gedung Cyber 2) (Sw Interkoneksi FO MMR-Tenant) update th 2015 Rp6.000.000,-/tahun_x000a_ d. Sewa Rp2.500.000/kabel UTP/Tahun (Kabel UTP dari Rg MMR di Lt.2 menuju Pelanggan ICON+ di gedung Cyber 2) (Sw Interkoneksi UTP MMR-Tenant) update th 2015 Rp4.000.000,-/tahun_x000a_ e. Sewa UTP dari MMR to Data Center Room update th 2015 Rp3.000.000,-/Tahun_x000a_ f. Sewa UTP antara 2 tenant di ged. Cyber 2 update th 2015 Rp4.500.000,-/Tahun_x000a_ g. Sewa FO antara 2 tenant di ged. Cyber 2 update th 2015 Rp7.000.000,-/Tahun"/>
  </r>
  <r>
    <n v="827"/>
    <s v="CBN Nusantara "/>
    <s v="PT. CYBERINDO ADITAMA_x000a_ PT INDOMARCO PRISMA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CYBERINDO ADITAMA_x000a_ PT HOME CREDIT INDONESIA_x000a_ PT HOME CREDIT INDONESIA_x000a_ PT HOME CREDIT INDONESIA_x000a_ PT HOME CREDIT INDONESIA_x000a_ PT HOME CREDIT INDONESIA_x000a_ PT HOME CREDIT INDONESIA_x000a_ PT HOME CREDIT INDONESIA_x000a_ PT HOME CREDIT INDONESIA_x000a_ PT INDOMARCO PRISMATAMA_x000a_ PT INDOMARCO PRISMATAMA_x000a_ PT INDOMARCO PRISMATAMA_x000a_ PT INDOMARCO PRISMATAMA_x000a_ PT TRANS RETAIL INDONESIA_x000a_ PT INDOSAT Tbk_x000a_ PT INDOMARCO PRISMATAMA_x000a_ PT INDOMARCO PRISMATAMA_x000a_ PT INDOMARCO PRISMATAMA_x000a_ PT INDOMARCO PRISMATAMA"/>
    <s v="Jl. HR. Rasuna Said Blok X5 No. 13_x000a_Kuningan Timur Jakarta"/>
    <x v="0"/>
    <m/>
    <s v="Ged. Cyber Two/dua Lt. 2 -"/>
    <s v="Sewa Tahunan"/>
    <s v="Colocation"/>
    <s v="ICON-00/ACT/1510/0107_x000a_ ICON-00/ACT/1505/0006_x000a_ ICON-00/ACT/1710/0264_x000a_ ICON-00/SOP/1703/0068_x000a_ ICON-00/SOP/1705/0060_x000a_ ICON-00/DOW/1705/0002_x000a_ ICON-00/SOP/1702/0045_x000a_ ICON-00/ACT/1611/0950_x000a_ ICON-00/ACT/1611/0431_x000a_ ICON-00/ACT/1610/0525_x000a_ ICON-00/ACT/1607/0060_x000a_ ICON-00/ACT/1610/0028_x000a_ ICON-00/ACT/1610/0235_x000a_ ICON-00/ACT/1609/0683_x000a_ ICON-00/ACT/1609/0855_x000a_ ICON-00/ACT/1607/0003_x000a_ ICON-00/ACT/1605/0395_x000a_ ICON-00/ACT/1604/0057_x000a_ ICON-00/SOP/1603/0087_x000a_ ICON-00/ACT/1604/0098_x000a_ ICON-00/ACT/1511/0293_x000a_ ICON-00/ACT/1510/0107_x000a_ ICON-00/ACT/1701/0369_x000a_ ICON-00/ACT/1701/0370_x000a_ ICON-00/ACT/1701/0932_x000a_ ICON-00/ACT/1609/0192_x000a_ ICON-00/ACT/1609/0192_x000a_ ICON-00/ACT/1609/0567_x000a_ ICON-00/ACT/1609/0566_x000a_ ICON-00/ACT/1605/0641_x000a_ ICON-00/ACT/1605/0612_x000a_ ICON-00/ACT/1511/0315_x000a_ ICON-00/ACT/1509/0104_x000a_ ICON-00/ACT/1509/0105_x000a_ ICON-00/MIG/1501/0021_x000a_ _x000a_ ICON-00/ACT/1605/0613_x000a_ ICON-00/ACT/1504/0302_x000a_ ICON-00/ACT/1502/0384_x000a_ ICON-00/ACT/1509/0104"/>
    <m/>
    <m/>
    <m/>
    <m/>
    <m/>
    <n v="3589800000"/>
    <m/>
    <m/>
    <n v="108000000"/>
    <m/>
    <d v="2024-01-01T00:00:00"/>
    <d v="2024-12-31T00:00:00"/>
    <x v="1"/>
    <s v="SPP"/>
    <d v="2025-12-24T00:00:00"/>
    <n v="-358"/>
    <n v="12"/>
    <n v="2024"/>
    <s v="4500010017_x000a_ 100538/MI/008/PUSAT/ICON+/2016 | 07935/SPP/008/PUSAT/ICON+/2018 | 4500011141 | 09791/SPP/008/PUSAT/ICON+/2018 | 4500012276 | 12224/SPP/008/PUSAT/ICON+/2019 | 4500013664 | 14749/SPP/008/PUSAT/ICON+/2020| 4500015428 | 17136/SPP/008/PUSAT/ICON+/2021 | 4500017131 | 21020/SPP/008/PUSAT/ICON+/2023 | 4500019902"/>
    <s v="2589/SPP/SBU/ICON+/2024"/>
    <s v="4500022248"/>
    <s v="Fajar Paramita"/>
    <s v="Erni Monalena / Helvi Susanti"/>
    <s v="0856 9322 1320 (Erni)"/>
    <n v="130"/>
    <s v="B5"/>
    <s v="B282"/>
    <s v="C297"/>
    <s v="E143"/>
    <s v="F17"/>
    <s v="G31"/>
    <s v="H72"/>
    <m/>
    <s v="Biaya Sewa Berlangganan sebesat Rp.108.000.000,-"/>
  </r>
  <r>
    <n v="828"/>
    <s v="CBN Nusantara "/>
    <s v="PT INDOSAT Tbk"/>
    <s v="Jl. HR. Rasuna Said Blok X5 No. 13_x000a_Kuningan Timur Jakarta"/>
    <x v="0"/>
    <m/>
    <s v="Ged. Cyber Two/dua Lt. 2 (PT Indosat link PT Danone)"/>
    <s v="Sewa Tahunan"/>
    <s v="Colocation"/>
    <s v="ICON-00/SBC/1108/1670"/>
    <m/>
    <m/>
    <m/>
    <m/>
    <m/>
    <n v="88800000"/>
    <m/>
    <m/>
    <n v="5000000"/>
    <m/>
    <d v="2019-05-26T00:00:00"/>
    <d v="2020-05-25T00:00:00"/>
    <x v="2"/>
    <m/>
    <d v="2025-12-24T00:00:00"/>
    <n v="-2039"/>
    <n v="5"/>
    <n v="2020"/>
    <s v="052308/SPR/008/PUSAT/ICON+/2016 |07072/SPP/008/PUSAT/ICON+/2017 | 4500010563 | 08503/SPP/008/PUSAT/ICON+/2018 | 4500011726"/>
    <s v="10632/SPP/008/PUSAT/ICON+/2019"/>
    <n v="4500012896"/>
    <s v="Fajar Paramita"/>
    <s v="Erni Monalena / Helvi Susanti"/>
    <s v="0856 9322 1320 (Erni)"/>
    <n v="47"/>
    <s v="B171"/>
    <s v="C120"/>
    <m/>
    <m/>
    <m/>
    <m/>
    <m/>
    <m/>
    <s v="1. Sewa Berlangganan Data Center di CBN Nusantara (Cyber 2) berupa 1 unit full rack 19 inci-45U Rp9.000.000,-/bulan atau total Rp108.000.000/tahun_x000a_  Fasilitas sewa rack terdiri dari 1 (satu) rak penuh 19 inci – 45 U, milik rekanan dengan fasilitas :_x000a_ a. 3 (tiga) buah koneksi UTP cat 5e atau 1 (satu) buah koneksi FO dan rak ICON+ menuju MMR;_x000a_ b. Toleransi grounding listrik 0,1 -0,5 ohm;_x000a_ c. Ruang ber AC dengan temperatur ruang 23° C - 25° C;_x000a_ d. Sistem pendingin presisi dan redundan;_x000a_ e. Perforated raised floor;_x000a_ f. Uninterruptible Power Supply (UPS) redundant;_x000a_ g. Sistem monitoring 24 jam;_x000a_ h. Sensor panas dan asap yang dilengkapi dengan system pemadam kebakaran pyrogen._x000a_ 2.Biaya Instalasi _x000a_ a.Instalasi Kabel FO Rp2.000.000/intalasi (dari handhole Ged. Cyber 2 menuju Rg MMR di Lt.2) (harga Instalasi Backbone FO) update th 2015 Rp.5.500.000,-_x000a_ b.Instalasi Rp1.300.000/Core FO/aktivasi (Rg MMR di Lt.2 menuju tenant) (harga aktivasi bacbone core FO) update th 2015 Rp2.500.000,-_x000a_ c. Instalasi Rp750.000/link fO/Instalasi (antar tenant) (harga Instalasi MMR-DC) update th 2015 Rp3.500.000,-_x000a_ d. Instalasi Rp500.000/kabel UTP/Instalasi (Ruang MMR di Lt.2 menuju rak ICON+ di Rg dt Center CBN) (Harga Instalasi MMR-DC) update th 2015 Rp1.500.000,-_x000a_ e. Instalasi Rp1000.000/Link UTP/Instalasi (Instalasi kabel dari ruang MMR di Lt.2 Menuju tenant) (Harga Instalasi MMR-Tenant) update th 2015 Rp1.750.000,-_x000a_ f. Instalasi Rp1000.000/Kabel UTP/Instalasi (Instalasi kabel dari ruang MMR di Lt.2 Menuju pelanggan rack) (Harga Instalasi MMR-Tenant) update tahun 2015 Rp2.000.000/kabel/UTP/Instalasi_x000a_ g. Instalasi UTP antar 2 pelanggan di Gedung Cyber update tahun 2015 Rp2.000.000/kabel/UTP/Instalasi_x000a_ 3. Sewa Infrastruktur :_x000a_ a. Sewa Kabel FO Rp3.000.000/Link FO/Tahun (dari Rg MMR di Lt. 2 menuju rak ICON+ di Rg Data Center CBN) (Sw Interkoneksi FO MMR-DC) update th 2015 Rp4.000.000,-/tahun_x000a_ b. Sewa Kabel UTP Rp1.500.000/Kabel UTP/tahun (dr Rg MMR di Lt.2 menuju rak ICON+ di Gedung Cyber 2) (Sw Interkoneksi UTP MMR-DC) update harga tahun 2014 Rp2.000.000/kabel UTP/tahun_x000a_ c. Sewa Rp5.000.000/link fo/tahun (Kabel dari Rg MMR di Lt.2 menuju pelanggan ICON+ di Gedung Cyber 2) (Sw Interkoneksi FO MMR-Tenant) update th 2015 Rp6.000.000,-/tahun_x000a_ d. Sewa Rp2.500.000/kabel UTP/Tahun (Kabel UTP dari Rg MMR di Lt.2 menuju Pelanggan ICON+ di gedung Cyber 2) (Sw Interkoneksi UTP MMR-Tenant) update th 2015 Rp4.000.000,-/tahun_x000a_ e. Sewa UTP dari MMR to Data Center Room update th 2015 Rp3.000.000,-/Tahun_x000a_ f. Sewa UTP antara 2 tenant di ged. Cyber 2 update th 2015 Rp4.500.000,-/Tahun_x000a_ g. Sewa FO antara 2 tenant di ged. Cyber 2 update th 2015 Rp7.000.000,-/Tahun"/>
  </r>
  <r>
    <n v="829"/>
    <s v="CBN Nusantara "/>
    <s v="Mega Akses Persada"/>
    <s v="Jl. HR. Rasuna Said Blok X5 No. 13_x000a_Kuningan Timur Jakarta"/>
    <x v="0"/>
    <m/>
    <s v="Gedung Cyber 2 2nd floor_x000a_ Jl. HR Rasuna said Blok X5 No. 13_x000a_ Kuningan Timur, Jakarta 12950"/>
    <s v="Sewa Tahunan"/>
    <s v="Colocation"/>
    <s v="PA/UPG/1809/0177"/>
    <m/>
    <m/>
    <m/>
    <m/>
    <m/>
    <n v="3000000000"/>
    <m/>
    <m/>
    <n v="8000000"/>
    <m/>
    <d v="2019-04-27T00:00:00"/>
    <d v="2020-04-26T00:00:00"/>
    <x v="2"/>
    <m/>
    <d v="2025-12-24T00:00:00"/>
    <n v="-2068"/>
    <n v="4"/>
    <n v="2020"/>
    <s v="4500010436 | 08429/SPP/008/PUSAT/ICON+/2018 | 4500011416"/>
    <s v="10310/SPP/008/PUSAT/ICON+/2019"/>
    <n v="4500012505"/>
    <s v="Fajar Paramita"/>
    <s v="Erni Monalena / Helvi Susanti"/>
    <s v="0856 9322 1320 (Erni)"/>
    <n v="138"/>
    <s v="B131"/>
    <s v="C47"/>
    <m/>
    <m/>
    <m/>
    <m/>
    <m/>
    <m/>
    <s v="1.Biaya Sewa tahunan Rp.8.000.000"/>
  </r>
  <r>
    <n v="830"/>
    <s v="CBN Nusantara "/>
    <s v="PT. Kaldu Sari Nabati"/>
    <s v="Jl. HR. Rasuna Said Blok X5 No. 13_x000a_Kuningan Timur Jakarta"/>
    <x v="0"/>
    <m/>
    <s v="Gedung Cyber 2 CBN"/>
    <s v="Sewa Tahunan"/>
    <s v="Colocation"/>
    <s v="1000010978_x000a_ 1000010971_x000a_ 1000010991_x000a_ 1000010989"/>
    <m/>
    <m/>
    <m/>
    <m/>
    <m/>
    <n v="136800000"/>
    <m/>
    <m/>
    <n v="6000000"/>
    <m/>
    <d v="2022-04-01T00:00:00"/>
    <d v="2023-03-31T00:00:00"/>
    <x v="0"/>
    <m/>
    <d v="2025-12-24T00:00:00"/>
    <n v="-999"/>
    <n v="3"/>
    <n v="2023"/>
    <s v="08412/SPP/008/PUSAT/ICON+/2018 | 4500011354 | 10206/SPP/008/PUSAT/ICON+/2019 | 4500012451 | 15419/SPP/008/PUSAT/ICON+/2021 | 4500015888| 4500020008"/>
    <s v="18350/SPP/008/PUSAT/ICON+/2022"/>
    <m/>
    <s v="Fajar Paramita"/>
    <s v="Erni Monalena / Helvi Susanti"/>
    <s v="0856 9322 1320 (Erni)"/>
    <m/>
    <s v="B55"/>
    <s v="C29"/>
    <m/>
    <s v="E154"/>
    <s v="G180"/>
    <m/>
    <m/>
    <m/>
    <s v="1.Biaya Sewa Tahunan(2 link) sebesar 8.000.000/tahun 2.Biaya Instalasi Kabel Gedung sebesar 3.000.000"/>
  </r>
  <r>
    <n v="831"/>
    <s v="CBN Nusantara "/>
    <s v="PT INDOMARCO PRISMATAMA"/>
    <s v="Jl. HR. Rasuna Said Blok X5 No. 13_x000a_Kuningan Timur Jakarta"/>
    <x v="0"/>
    <m/>
    <s v="Gedung Cyber 2 CBN"/>
    <s v="Sewa Tahunan"/>
    <s v="Colocation"/>
    <s v="PA/ACT/1910/4033/TER"/>
    <m/>
    <m/>
    <m/>
    <m/>
    <m/>
    <n v="42000000"/>
    <m/>
    <m/>
    <n v="6000000"/>
    <m/>
    <d v="2021-11-05T00:00:00"/>
    <d v="2022-11-04T00:00:00"/>
    <x v="0"/>
    <m/>
    <d v="2025-12-24T00:00:00"/>
    <n v="-1146"/>
    <n v="11"/>
    <n v="2022"/>
    <s v="11918/SPP/008/PUSAT/ICON+/2019 | 4500013477 | 14699 | 4500015358"/>
    <n v="17170"/>
    <m/>
    <s v="Fajar Paramita"/>
    <s v="Erni Monalena / Helvi Susanti"/>
    <m/>
    <m/>
    <m/>
    <s v="C232"/>
    <s v="D394"/>
    <m/>
    <m/>
    <m/>
    <m/>
    <m/>
    <s v="1.Biaya Sewa Tahunan(2 link) sebesar 8.000.000/tahun 2.Biaya Instalasi Kabel Gedung sebesar 9.000.000"/>
  </r>
  <r>
    <n v="832"/>
    <s v="CBN Nusantara "/>
    <s v="PT. ADARO LOGISTICS"/>
    <s v="Jl. HR. Rasuna Said Blok X5 No. 13_x000a_Kuningan Timur Jakarta"/>
    <x v="0"/>
    <m/>
    <s v="Gedung Cyber 2 Lantai.23 Jl. Hr Rasuna Said Blok X-5 Kav.1-2 Kuningan Timur, Kec. Setiabudi, Jakarta Selatan, DKI Jakarta, Indonesia, 70244"/>
    <s v="Sewa Tahunan"/>
    <s v="Cross Connect"/>
    <s v="PA/ACT/2201/3835"/>
    <m/>
    <m/>
    <m/>
    <m/>
    <m/>
    <n v="42000000"/>
    <m/>
    <m/>
    <n v="8000000"/>
    <m/>
    <d v="2023-02-16T00:00:00"/>
    <d v="2024-02-15T00:00:00"/>
    <x v="1"/>
    <s v="SPP"/>
    <d v="2025-12-24T00:00:00"/>
    <n v="-678"/>
    <n v="2"/>
    <n v="2024"/>
    <s v="4500017588 | 17855"/>
    <n v="21353"/>
    <m/>
    <s v="Fajar Paramita"/>
    <s v="Erni Monalena / Helvi Susanti"/>
    <s v="0856 9322 1320 (Erni)"/>
    <m/>
    <m/>
    <m/>
    <m/>
    <m/>
    <s v="F89"/>
    <m/>
    <m/>
    <m/>
    <s v="Installation Cost Rp.4.000.000 | Material Support Cost 4.000.000"/>
  </r>
  <r>
    <n v="833"/>
    <s v="CBN Nusantara "/>
    <s v="PT Kaldu Sari Nabati Indonesia"/>
    <s v="Jl. HR. Rasuna Said Blok X5 No. 13_x000a_Kuningan Timur Jakarta"/>
    <x v="0"/>
    <m/>
    <s v="Gedung Cyber 2, Lt. 2 Jl. H. R. Rasuna Said No.13, Kuningan, Jakarta, Kuningan, Jakarta Selatan,"/>
    <s v="Sewa Tahunan"/>
    <s v="Colocation"/>
    <s v="PA/ACT/1806/1081"/>
    <m/>
    <m/>
    <m/>
    <m/>
    <m/>
    <n v="144000000"/>
    <m/>
    <m/>
    <n v="6000000"/>
    <m/>
    <d v="2021-11-11T00:00:00"/>
    <d v="2022-11-10T00:00:00"/>
    <x v="0"/>
    <m/>
    <d v="2025-12-24T00:00:00"/>
    <n v="-1140"/>
    <n v="11"/>
    <n v="2022"/>
    <s v="11957/SPP/008/PUSAT/ICON+/2019 | 4500013513 | 14459 | 4500015335"/>
    <n v="17040"/>
    <n v="4500019565"/>
    <s v="Fajar Paramita"/>
    <s v="Erni Monalena / Helvi Susanti"/>
    <s v="0856 9322 1320 (Erni)"/>
    <m/>
    <s v="C236"/>
    <m/>
    <s v="D392"/>
    <m/>
    <m/>
    <m/>
    <m/>
    <m/>
    <m/>
  </r>
  <r>
    <n v="834"/>
    <s v="CBN Nusantara "/>
    <s v="Kaldu Sari Nabati"/>
    <s v="Jl. HR. Rasuna Said Blok X5 No. 13_x000a_Kuningan Timur Jakarta"/>
    <x v="0"/>
    <m/>
    <s v="Gedung Cyber 2, Lt. 2 Jl. H. R. Rasuna Said No.13, Kuningan, Jakarta, Kuningan, Jakarta Selatan, DKI Jakarta"/>
    <s v="Sewa Tahunan"/>
    <s v="Colocation"/>
    <s v="PA/ACT/1901/2833"/>
    <m/>
    <m/>
    <m/>
    <m/>
    <m/>
    <m/>
    <m/>
    <m/>
    <n v="6000000"/>
    <m/>
    <d v="2022-09-02T00:00:00"/>
    <d v="2023-09-01T00:00:00"/>
    <x v="0"/>
    <m/>
    <d v="2025-12-24T00:00:00"/>
    <n v="-845"/>
    <n v="9"/>
    <n v="2023"/>
    <s v="11548/SPP/008/PUSAT/ICON+/2019| 4500013227 | 4500015119 | 14315/SPP/008/PUSAT/ICON+/2020| 16287/SPP/008/PUSAT/ICON+/2021| 4500016957"/>
    <s v="19750/SPP/008/PUSAT/ICON+/2022"/>
    <n v="4500018972"/>
    <s v="Fajar Paramita"/>
    <s v="Erni Monalena / Helvi Susanti"/>
    <s v="858 9322 1320 (Erni)"/>
    <m/>
    <m/>
    <s v="C181"/>
    <s v="D356"/>
    <s v="E345"/>
    <s v="F337"/>
    <m/>
    <m/>
    <m/>
    <s v="Activation Fee sebesar 2.000.000 3.Material Support Fee sebesar 1.000.000"/>
  </r>
  <r>
    <n v="835"/>
    <s v="CBN Nusantara "/>
    <s v="PT. NET ONE ASIA"/>
    <s v="Jl. HR. Rasuna Said Blok X5 No. 13_x000a_Kuningan Timur Jakarta"/>
    <x v="0"/>
    <m/>
    <s v="Gedung Cyber lantai 2 Jalan Kuningan Barat Raya Nomor 8, RT/RW 001/003, Kuningan Barat, Kecamata  Mampang Prapatan"/>
    <s v="Sewa Tahunan"/>
    <s v="Colocation"/>
    <s v="PA/ACT/2207/0291_x000a_PA/ACT/2206/20542"/>
    <m/>
    <m/>
    <m/>
    <m/>
    <m/>
    <n v="244800000"/>
    <m/>
    <m/>
    <n v="8000000"/>
    <m/>
    <d v="2023-07-15T00:00:00"/>
    <d v="2024-07-14T00:00:00"/>
    <x v="0"/>
    <m/>
    <d v="2025-12-24T00:00:00"/>
    <n v="-528"/>
    <n v="7"/>
    <n v="2024"/>
    <s v="19156 | 4500018379"/>
    <n v="1339"/>
    <m/>
    <s v="Fajar Paramita"/>
    <s v="Erni Monalena / Helvi Susanti"/>
    <s v="0856 9322 1320 (Erni)"/>
    <m/>
    <m/>
    <m/>
    <m/>
    <m/>
    <s v="F193"/>
    <m/>
    <m/>
    <m/>
    <s v="1.Instalasi Cost CAT6 - UTP CAT 6 FROM MMR TO RACK - cm_icon-netone Rp.4.000.000 | 2.Material Support Cost CAT6 - UTP CAT 6 FROM MMR TO RACK - cm_icon-netone Rp.4.000.000"/>
  </r>
  <r>
    <n v="836"/>
    <s v="CBN Nusantara "/>
    <s v="PT. NET ONE ASIA"/>
    <s v="Jl. HR. Rasuna Said Blok X5 No. 13_x000a_Kuningan Timur Jakarta"/>
    <x v="0"/>
    <m/>
    <s v="Gedung Cyber lantai 2 Jalan Kuningan Barat Raya Nomor 8, RT/RW 001/003, Kuningan Barat, Kecamata  Mampang Prapatan"/>
    <s v="Sewa Tahunan"/>
    <s v="Colocation"/>
    <s v="PA/ACT/2207/0291_x000a_PA/ACT/2206/20542"/>
    <m/>
    <m/>
    <m/>
    <m/>
    <m/>
    <n v="243600000"/>
    <m/>
    <m/>
    <n v="20300000"/>
    <m/>
    <d v="2024-05-12T00:00:00"/>
    <d v="2025-05-11T00:00:00"/>
    <x v="1"/>
    <m/>
    <d v="2025-12-24T00:00:00"/>
    <n v="-227"/>
    <n v="5"/>
    <n v="2025"/>
    <s v="baru"/>
    <s v="3367/SPP/SBU/PLNICONPLUS/2024"/>
    <n v="4500022779"/>
    <s v="Fajar Paramita"/>
    <s v="Erni Monalena / Helvi Susanti"/>
    <s v="0856 9322 1320 (Erni)"/>
    <m/>
    <m/>
    <m/>
    <m/>
    <m/>
    <m/>
    <s v="G101"/>
    <s v="H220"/>
    <m/>
    <s v="1.Biaya Instalasi Rp.2.000.000 | 2.Material Support Cost Rp.2.000.000"/>
  </r>
  <r>
    <n v="837"/>
    <s v="CBN Nusantara "/>
    <s v="PT Home Credit Indonesia"/>
    <s v="Jl. HR. Rasuna Said Blok X5 No. 13_x000a_Kuningan Timur Jakarta"/>
    <x v="0"/>
    <m/>
    <s v="Jl HR. Rasuna Said Blok X-5 No.13, Setiabudi, RT.7/RW.2, Kota Jakarta Selatan, DKI Jakarta, Kec.Setiabudi, Jakarta Selatan, DKI Jakarta, 12920"/>
    <s v="Sewa Tahunan"/>
    <s v="Colocation"/>
    <s v="PA/ACT/1902/0299"/>
    <m/>
    <m/>
    <m/>
    <m/>
    <m/>
    <n v="57600000"/>
    <m/>
    <m/>
    <n v="8000000"/>
    <m/>
    <d v="2019-03-01T00:00:00"/>
    <d v="2020-02-29T00:00:00"/>
    <x v="2"/>
    <m/>
    <d v="2025-12-24T00:00:00"/>
    <n v="-2125"/>
    <n v="2"/>
    <n v="2020"/>
    <s v="cm_icon-hcid05 | baru"/>
    <s v="10272/SPP/008/PUSAT/ICON+/2019"/>
    <n v="4500012496"/>
    <s v="Fajar Paramita"/>
    <s v="Erni Monalena / Helvi Susanti"/>
    <s v="857 9322 1320 (Erni)"/>
    <m/>
    <m/>
    <s v="C38"/>
    <m/>
    <m/>
    <m/>
    <m/>
    <m/>
    <m/>
    <m/>
  </r>
  <r>
    <n v="838"/>
    <s v="CBN Nusantara "/>
    <s v="PT. CYBERINDO ADITAMA"/>
    <s v="Jl. HR. Rasuna Said Blok X5 No. 13_x000a_Kuningan Timur Jakarta"/>
    <x v="0"/>
    <m/>
    <s v="Nex Data Center, Cyber 2 Tower 2nd Floor Jl. HR Rasuna Said Blok X-5 No. 13 Jakarta 12950"/>
    <s v="Sewa Tahunan"/>
    <s v="Colocation"/>
    <s v="PA/ACT/2101/1877"/>
    <m/>
    <m/>
    <m/>
    <m/>
    <m/>
    <n v="324000000"/>
    <m/>
    <m/>
    <n v="8000000"/>
    <m/>
    <d v="2022-09-02T00:00:00"/>
    <d v="2023-08-01T00:00:00"/>
    <x v="0"/>
    <m/>
    <d v="2025-12-24T00:00:00"/>
    <n v="-876"/>
    <n v="8"/>
    <n v="2023"/>
    <s v="4500015766 | 15221"/>
    <n v="18321"/>
    <n v="4500018964"/>
    <s v="Fajar Paramita"/>
    <s v="Erni Monalena / Helvi Susanti"/>
    <s v="0856 9322 1320 (Erni)"/>
    <m/>
    <m/>
    <m/>
    <m/>
    <s v="E4"/>
    <m/>
    <m/>
    <m/>
    <m/>
    <m/>
  </r>
  <r>
    <n v="839"/>
    <s v="CBN Nusantara "/>
    <s v="PT Kaldu Sari Nabati Indonesia"/>
    <s v="Jl. HR. Rasuna Said Blok X5 No. 13_x000a_Kuningan Timur Jakarta"/>
    <x v="0"/>
    <m/>
    <s v="Nex Data Center, Cyber 2 Tower, 2nd Floor-Jl HR Rasuna Said Blok X-5 No. 13 Jakarta 12950"/>
    <s v="Sewa Tahunan"/>
    <s v="Colocation"/>
    <s v="PA/ACT/1806/1081"/>
    <m/>
    <m/>
    <m/>
    <m/>
    <m/>
    <n v="144000000"/>
    <m/>
    <m/>
    <n v="6000000"/>
    <m/>
    <d v="2021-07-18T00:00:00"/>
    <d v="2022-07-17T00:00:00"/>
    <x v="0"/>
    <m/>
    <d v="2025-12-24T00:00:00"/>
    <n v="-1256"/>
    <n v="7"/>
    <n v="2022"/>
    <s v="08896/SPP/008/PUSAT/ICON+/2018 | 4500011702 | 10910/SPP/008/PUSAT/ICON+/2019 | 4500012894 | 4500014714 | 13930"/>
    <n v="16166"/>
    <n v="4500018487"/>
    <s v="Fajar Paramita"/>
    <s v="Erni Monalena / Helvi Susanti"/>
    <s v="0856 9322 1320 (Erni)"/>
    <m/>
    <s v="B20"/>
    <s v="C117"/>
    <s v="D208"/>
    <m/>
    <m/>
    <m/>
    <m/>
    <m/>
    <s v="Biaya Aktivasi sebesar 2.000.000 3.Material Support Fee sebesar 1.000.000"/>
  </r>
  <r>
    <n v="840"/>
    <s v="CBN Nusantara "/>
    <s v="PT HOME CREDIT INDONESIA"/>
    <s v="Jl. HR. Rasuna Said Blok X5 No. 13_x000a_Kuningan Timur Jakarta"/>
    <x v="0"/>
    <m/>
    <s v="Next Data Center Gedung Cyber 2 Tower,2nd Floor Jl. HR. Rasuna said Kav X-5 No.13 Jakarta 12950"/>
    <s v="Sewa Tahunan"/>
    <s v="Colocation"/>
    <s v="ICON-00/ACT/1605/0641"/>
    <m/>
    <m/>
    <m/>
    <m/>
    <m/>
    <n v="117000000"/>
    <m/>
    <m/>
    <n v="6000000"/>
    <m/>
    <d v="2019-06-02T00:00:00"/>
    <d v="2020-06-01T00:00:00"/>
    <x v="2"/>
    <m/>
    <d v="2025-12-24T00:00:00"/>
    <n v="-2032"/>
    <n v="6"/>
    <n v="2020"/>
    <s v="06890/SPP/008/PUSAT/ICON+/2017 |4500010591 |08693/SPP/008/PUSAT/ICON+/2018 | 4500011553"/>
    <s v="10658/SPP/008/PUSAT/ICON+/2019"/>
    <n v="4500012762"/>
    <s v="Fajar Paramita"/>
    <s v="Erni Monalena / Helvi Susanti"/>
    <s v="0856 9322 1320 (Erni)"/>
    <n v="137"/>
    <s v="B107"/>
    <s v="C83"/>
    <m/>
    <m/>
    <m/>
    <m/>
    <m/>
    <m/>
    <m/>
  </r>
  <r>
    <n v="841"/>
    <s v="CBN Nusantara "/>
    <s v="PT. CYBERINDO ADITAMA"/>
    <s v="Jl. HR. Rasuna Said Blok X5 No. 13_x000a_Kuningan Timur Jakarta"/>
    <x v="0"/>
    <m/>
    <s v="Nex Data Center, Cyber 2 Tower 2nd Floor Jl. HR Rasuna Said Blok X-5 No. 13 Jakarta 12950"/>
    <s v="Sewa Tahunan"/>
    <s v="Cross Connect"/>
    <s v="PA/ACT/2101/1877"/>
    <m/>
    <m/>
    <m/>
    <m/>
    <m/>
    <n v="324000000"/>
    <m/>
    <m/>
    <n v="8000000"/>
    <m/>
    <d v="2023-09-02T00:00:00"/>
    <d v="2024-09-01T00:00:00"/>
    <x v="1"/>
    <s v="SPP"/>
    <d v="2025-12-24T00:00:00"/>
    <n v="-479"/>
    <n v="9"/>
    <n v="2024"/>
    <n v="4500018964"/>
    <n v="717"/>
    <n v="4500020935"/>
    <s v="Fajar Paramita"/>
    <s v="Erni Monalena / Helvi Susanti"/>
    <s v="0856 9322 1320 (Erni)"/>
    <m/>
    <m/>
    <m/>
    <m/>
    <m/>
    <m/>
    <m/>
    <m/>
    <m/>
    <m/>
  </r>
  <r>
    <n v="842"/>
    <s v="CBN Nusantara "/>
    <s v="PT Infinys System Indonesia"/>
    <s v="Jl. HR. Rasuna Said Blok X5 No. 13_x000a_Kuningan Timur Jakarta"/>
    <x v="0"/>
    <m/>
    <s v="Plaza Mandiri, Jl. Gatot Subroto No.Kav 36-38, RT.7/RW.3, Senayan,Kby Baru ,Jakarta Selatan ,DKI Jakarta"/>
    <s v="Sewa Tahunan"/>
    <s v="Colocation"/>
    <s v="PA/ACT/1910/4083"/>
    <m/>
    <m/>
    <m/>
    <m/>
    <m/>
    <n v="108000000"/>
    <m/>
    <m/>
    <n v="6000000"/>
    <m/>
    <d v="2022-11-01T00:00:00"/>
    <d v="2023-10-31T00:00:00"/>
    <x v="2"/>
    <m/>
    <d v="2025-12-24T00:00:00"/>
    <n v="-785"/>
    <n v="10"/>
    <n v="2023"/>
    <s v="11917/SPP/008/PUSAT/ICON+/2019 | 4500013479 | 14558/SPP/008/PUSAT/ICON+/2020 | 4500015276"/>
    <s v="20687/SPP/008/PUSAT/ICON+/2022"/>
    <n v="4500021427"/>
    <s v="Fajar Paramita"/>
    <s v="Erni Monalena / Helvi Susanti"/>
    <s v="857 9322 1320 (Erni)"/>
    <m/>
    <m/>
    <s v="C234"/>
    <s v="D185"/>
    <m/>
    <s v="G353"/>
    <m/>
    <m/>
    <m/>
    <m/>
  </r>
  <r>
    <n v="843"/>
    <s v="CBN Nusantara "/>
    <s v="PT Sampoerna Telekomunikasi"/>
    <s v="Jl. HR. Rasuna Said Blok X5 No. 13_x000a_Kuningan Timur Jakarta"/>
    <x v="0"/>
    <m/>
    <s v="PT CBN Nusantara, Gedung Cyber 2 Lt 2, Jl HR Rasuna Said Blok C3 No 22-23 dan X5 No 13 Kuningan , rak ND4 (STI)"/>
    <s v="Sewa Tahunan"/>
    <s v="Colocation"/>
    <s v="ICON-00/ACT/1705/0727 _x000a_ ICON-00/ACT/1710/0156_x000a_ ICON-00/ACT/1710/0156"/>
    <m/>
    <m/>
    <m/>
    <m/>
    <m/>
    <n v="591600000"/>
    <m/>
    <m/>
    <n v="8000000"/>
    <m/>
    <d v="2021-10-01T00:00:00"/>
    <d v="2022-09-30T00:00:00"/>
    <x v="2"/>
    <m/>
    <d v="2025-12-24T00:00:00"/>
    <n v="-1181"/>
    <n v="9"/>
    <n v="2022"/>
    <s v="07259/SPP/008/PUSAT/ICON+/2017 |4500010773 | 08933/SPP/008/PUSAT/ICON+/2018 | 4500011700 | 11466/SPP/008/PUSAT/ICON+/2019 | 45000132421 | 13980/SPP/008/PUSAT/ICON+/2020 | 4500014891"/>
    <s v="16286/SPP/008/PUSAT/ICON+/2021"/>
    <n v="4500016489"/>
    <s v="Fajar Paramita"/>
    <s v="Erni Monalena / Helvi Susanti"/>
    <s v="0856 9322 1320 (Erni)"/>
    <n v="136"/>
    <s v="B173"/>
    <s v="C183"/>
    <m/>
    <s v="E187"/>
    <m/>
    <m/>
    <m/>
    <m/>
    <m/>
  </r>
  <r>
    <n v="844"/>
    <s v="CBN Nusantara "/>
    <s v="PT. BANK PERKREDITAN RAKYAT KARYAJATNIKA SADAYA"/>
    <s v="Jl. HR. Rasuna Said Blok X5 No. 13_x000a_Kuningan Timur Jakarta"/>
    <x v="0"/>
    <m/>
    <s v="PT CBN Nusantara, Gedung Cyber 2 Lt 2, Jl HR Rasuna Said Blok X5 No 13 Kuningan"/>
    <s v="Sewa Tahunan"/>
    <s v="Colocation"/>
    <s v="ICON-00/ACT/1707/0184 ICON-00/ACT/1706/0551 ICON-00/ACT/1707/0086"/>
    <m/>
    <m/>
    <m/>
    <m/>
    <m/>
    <n v="84000000"/>
    <m/>
    <m/>
    <n v="6000000"/>
    <m/>
    <d v="2020-09-14T00:00:00"/>
    <d v="2021-09-13T00:00:00"/>
    <x v="2"/>
    <m/>
    <d v="2025-12-24T00:00:00"/>
    <n v="-1563"/>
    <n v="9"/>
    <n v="2021"/>
    <s v="07366/SPP/008/PUSAT/ICON+/2017 | 4500010774 | 09018/SPP/008/PUSAT/ICON+/2018 | 4500011749 | 11416/SPP/008/PUSAT/ICON+/2019| 4500013147"/>
    <s v="13981/SPP/008/PUSAT/ICON+/2020"/>
    <n v="4500014893"/>
    <s v="Fajar Paramita"/>
    <s v="Erni Monalena / Helvi Susanti"/>
    <s v="0856 9322 1320 (Erni)"/>
    <n v="84"/>
    <s v="B187"/>
    <s v="C166"/>
    <s v="D184"/>
    <m/>
    <m/>
    <m/>
    <m/>
    <m/>
    <s v="1.Rack 1U di Ner utk ODF lt Basement Gd Cyber : •OTB 1 U di NER CDCI basement Rp 2.000.000/bulan •Installasi Rp 1.500.000/OTC 2.Biaya Splcing core : Biaya splicing adalah biaya terminasi yaitu sebesar Rp100.000/core/OTC - 6 x 100.000 : 600.000 (OTC) 3.Biaya Interkoneksi dari Ner ke MMR •Fiber Optik (2 core) Rp 1.500.000/tahun 4.Colocation di Data center CDC 1U •Collocation 1 U switch manageable Rp 2.500.000/bulan •Installasi Rp 1.500.000/OTC Total OTC : 3.600.000 Per Bulan : 4.500.000 x 12 Bulan : 54.000.000 Per Tahun : 1.500.000"/>
  </r>
  <r>
    <n v="845"/>
    <s v="CBN Nusantara "/>
    <s v="PT CYBERINDO ADITAMA QQ PT ABIMANYU BANGKIT MANDIRI"/>
    <s v="Jl. HR. Rasuna Said Blok X5 No. 13_x000a_Kuningan Timur Jakarta"/>
    <x v="0"/>
    <m/>
    <s v="PT. Abimanyu Bangkit Mandiri, Area Sawah/Kebun, Ketapangkuning,  Kec. Ngusikan,  Kabupaten Jombang,  Jawa Timur,  Indonesia,  "/>
    <s v="Sewa Tahunan"/>
    <s v="Colocation"/>
    <s v=" PA/ACT/2301/0744"/>
    <m/>
    <m/>
    <m/>
    <m/>
    <m/>
    <n v="240000000"/>
    <m/>
    <m/>
    <n v="12000000"/>
    <m/>
    <d v="2023-01-25T00:00:00"/>
    <d v="2024-01-24T00:00:00"/>
    <x v="2"/>
    <m/>
    <d v="2025-12-24T00:00:00"/>
    <n v="-700"/>
    <n v="1"/>
    <n v="2024"/>
    <s v="Baru"/>
    <s v="21081/SPP/008/PUSAT/ICON+/2023"/>
    <n v="4500019947"/>
    <s v="Livia Indraswati"/>
    <s v="Erni Monalena / Helvi Susanti"/>
    <s v="0856 9322 1320 (Erni)"/>
    <m/>
    <m/>
    <m/>
    <m/>
    <m/>
    <m/>
    <s v="G23"/>
    <m/>
    <m/>
    <s v="1.Biaya Instalasi Rp.2.000.000 | 2.Material Support Cost Rp.2.000.000"/>
  </r>
  <r>
    <n v="846"/>
    <s v="CBN Nusantara "/>
    <s v="PT Jatelindo Perkasa Abadi"/>
    <s v="Jl. HR. Rasuna Said Blok X5 No. 13_x000a_Kuningan Timur Jakarta"/>
    <x v="0"/>
    <m/>
    <s v="PT. Jatelindo Perkasa Abadi, data center indonet, Jl. Rempoa Raya No. 11, Ciputat, Kota Tangerang Selatan, Banten, Indonesia, 15412"/>
    <s v="Sewa Tahunan"/>
    <s v="Colocation"/>
    <s v="PA/ACT/1905/1258"/>
    <m/>
    <m/>
    <m/>
    <m/>
    <m/>
    <n v="120000000"/>
    <m/>
    <m/>
    <n v="6000000"/>
    <m/>
    <d v="2020-06-01T00:00:00"/>
    <d v="2021-05-31T00:00:00"/>
    <x v="2"/>
    <m/>
    <d v="2025-12-24T00:00:00"/>
    <n v="-1668"/>
    <n v="5"/>
    <n v="2021"/>
    <s v="10926/SPP/008/PUSAT/ICON+/2019 | 4500012889"/>
    <s v="13394/SPP/008/PUSAT/ICON+/2020"/>
    <n v="4500014363"/>
    <s v="Fajar Paramita"/>
    <s v="Erni Monalena / Helvi Susanti"/>
    <s v="859 9322 1320 (Erni)"/>
    <m/>
    <m/>
    <s v="C109"/>
    <s v="D168"/>
    <m/>
    <m/>
    <m/>
    <m/>
    <m/>
    <m/>
  </r>
  <r>
    <n v="847"/>
    <s v="CBN Nusantara "/>
    <s v="BCA qq Multi Adiprakarsa Manunggal"/>
    <s v="Jl. HR. Rasuna Said Blok X5 No. 13_x000a_Kuningan Timur Jakarta"/>
    <x v="0"/>
    <m/>
    <s v="PT. Multi Adiprakasa Manunggal, Cyber 2 Tower, Floor 2, Jl. HR. Rasuna Said X-5/13, Kuningan, Setiabudi,"/>
    <s v="Sewa Tahunan"/>
    <s v="Colocation"/>
    <s v="AL/1809/9566"/>
    <m/>
    <m/>
    <m/>
    <m/>
    <m/>
    <n v="28800000"/>
    <m/>
    <m/>
    <n v="6000000"/>
    <m/>
    <d v="2021-07-24T00:00:00"/>
    <d v="2022-07-23T00:00:00"/>
    <x v="0"/>
    <m/>
    <d v="2025-12-24T00:00:00"/>
    <n v="-1250"/>
    <n v="7"/>
    <n v="2022"/>
    <s v="11092/SPP/008/PUSAT/ICON+/2019 | 4500014567 | 13721 | 4500014715"/>
    <n v="16253"/>
    <m/>
    <s v="Fajar Paramita"/>
    <s v="Erni Monalena / Helvi Susanti"/>
    <s v="859 9322 1320 (Erni)"/>
    <m/>
    <m/>
    <s v="D342"/>
    <s v="D201"/>
    <m/>
    <m/>
    <m/>
    <m/>
    <m/>
    <s v="Sewa Shaft Kabel sebesar Rp.6.000.000"/>
  </r>
  <r>
    <n v="848"/>
    <s v="CBN Nusantara "/>
    <s v="PT Cyberindo Aditama QQ Univ Pelita Harapan"/>
    <s v="Jl. HR. Rasuna Said Blok X5 No. 13_x000a_Kuningan Timur Jakarta"/>
    <x v="0"/>
    <m/>
    <s v="Universitas Pelita Bangsa Jl. Inspeksi Kalimalang No.9, Cibatu,  Kec. Cikarang Sel.,,  Kabupaten Bekasi,  Jawa Barat,  Indonesia,  17530"/>
    <s v="Sewa Tahunan"/>
    <s v="Cross Connect"/>
    <s v="PA/ACT/2211/3272/TER"/>
    <m/>
    <m/>
    <m/>
    <m/>
    <m/>
    <n v="210000000"/>
    <m/>
    <m/>
    <n v="8000000"/>
    <m/>
    <d v="2023-12-01T00:00:00"/>
    <d v="2024-12-06T00:00:00"/>
    <x v="0"/>
    <m/>
    <d v="2025-12-24T00:00:00"/>
    <n v="-383"/>
    <n v="12"/>
    <n v="2024"/>
    <s v="baru"/>
    <s v="20656/SPP/008/PUSAT/ICON+/2022"/>
    <n v="4500019496"/>
    <s v="Fajar Paramita"/>
    <s v="Erni Monalena / Helvi Susanti"/>
    <s v="859 9322 1320 (Erni)"/>
    <m/>
    <m/>
    <m/>
    <m/>
    <m/>
    <s v="F425"/>
    <m/>
    <m/>
    <m/>
    <s v="1.Material Support Cost Rp.2.000.000 | 2.Installation Cost  Rp.2.000.000 | 3.Annual Cost Rp.8.000.000"/>
  </r>
  <r>
    <n v="849"/>
    <s v="CBN Nusantara "/>
    <s v="PT. BANGUN ANDALAN PERKASA"/>
    <s v="Jl. HR. Rasuna Said Blok X5 No. 13_x000a_Kuningan Timur Jakarta"/>
    <x v="0"/>
    <s v="Telkomsel TBS, Jalan TB Simatupang, RT.3/RW.2, Tanjung Barat, Jagakarsa, RT.3/RW.2, Tj. Barat, Jagakarsa, Jakarta Selatan"/>
    <s v="Cyber 2 Tower, Jl. H. R. Rasuna Said No.13, RT.7/RW.2, Kuningan, Kuningan Timur, Setiabudi, Jakarta Selatan"/>
    <s v="Sewa Tahunan"/>
    <s v="Colocation"/>
    <s v="PA/ACT/2002/0170"/>
    <m/>
    <m/>
    <m/>
    <m/>
    <m/>
    <n v="90000000"/>
    <m/>
    <m/>
    <n v="8000000"/>
    <m/>
    <d v="2024-02-13T00:00:00"/>
    <d v="2025-02-12T00:00:00"/>
    <x v="0"/>
    <m/>
    <d v="2025-12-24T00:00:00"/>
    <n v="-315"/>
    <n v="2"/>
    <n v="2025"/>
    <s v="12666/SPP/008/PUSAT/ICON+/2020 | 4500013948 | 15120/SPP/008/PUSAT/ICON+/2021 | 4500015716"/>
    <s v="17657/SPP/008/PUSAT/ICON+/2022"/>
    <n v="4500019967"/>
    <s v="Fajar Paramita"/>
    <s v="Erni Monalena / Helvi Susanti"/>
    <s v="859 9322 1320 (Erni)"/>
    <m/>
    <m/>
    <m/>
    <s v="D27"/>
    <s v="E178"/>
    <s v="G50"/>
    <m/>
    <s v="H12"/>
    <m/>
    <s v="1.Biaya Material Support Crossconnect DC Nex Rp.2.000.000,- 2.Biaya Instalasi Crossconnect DC Nex Rp.2.000.000,- 3.Biaya Sewa Crossconnect DC Nex Rp.8.000.000,-"/>
  </r>
  <r>
    <n v="850"/>
    <s v="CBN Nusantara "/>
    <s v="PT CYBERINDO ADITAMA "/>
    <s v="JL.Rasuna Said Blok X5 13 Jakarta"/>
    <x v="0"/>
    <m/>
    <s v="CBN Bali Istana Kuta Galeria  Blok PM 3 No. 7 Jl. Patih Jelantik,  Kuta,  Kabupaten Badung,  Bali,  Indonesia,  80361"/>
    <s v="Sewa Tahunan"/>
    <s v="Colocation"/>
    <s v="PA/ACT/2301/0482 "/>
    <m/>
    <m/>
    <m/>
    <m/>
    <m/>
    <n v="2400000000"/>
    <m/>
    <m/>
    <n v="8000000"/>
    <m/>
    <d v="2023-06-23T00:00:00"/>
    <d v="2024-06-22T00:00:00"/>
    <x v="0"/>
    <m/>
    <d v="2025-12-24T00:00:00"/>
    <n v="-550"/>
    <n v="6"/>
    <n v="2024"/>
    <s v="baru"/>
    <s v="635/SPP/SBU/ICON+/2023"/>
    <n v="4500020820"/>
    <s v="Fajar Paramita"/>
    <s v="Erni Monalena / Helvi Susanti"/>
    <s v="859 9322 1320 (Erni)"/>
    <m/>
    <m/>
    <m/>
    <m/>
    <m/>
    <m/>
    <s v="G122"/>
    <m/>
    <m/>
    <s v="1.Biaya Material Support Crossconnect DC Nex Rp.2.000.000,- 2.Biaya Instalasi Crossconnect DC Nex Rp.2.000.000,- 3.Biaya Sewa Crossconnect DC Nex Rp.8.000.000,-"/>
  </r>
  <r>
    <n v="851"/>
    <s v="CBN Nusantara "/>
    <s v="PT CYBERINDO ADITAMA "/>
    <s v="JL.Rasuna Said Blok X5 13 Jakarta"/>
    <x v="0"/>
    <m/>
    <s v="CBN Bali Istana Kuta Galeria  Blok PM 3 No. 7 Jl. Patih Jelantik,  Kuta,  Kabupaten Badung,  Bali,  Indonesia,  80361"/>
    <s v="Sewa Tahunan"/>
    <s v="Colocation"/>
    <s v="PA/ACT/2301/0482 "/>
    <m/>
    <m/>
    <m/>
    <m/>
    <m/>
    <n v="2400000000"/>
    <m/>
    <m/>
    <n v="8000000"/>
    <m/>
    <d v="2024-06-23T00:00:00"/>
    <d v="2025-06-22T00:00:00"/>
    <x v="1"/>
    <m/>
    <d v="2025-12-24T00:00:00"/>
    <n v="-185"/>
    <n v="6"/>
    <n v="2025"/>
    <s v="baru"/>
    <s v="4294/SPP/SBU/PLNICONPLUS/2024"/>
    <n v="4500023492"/>
    <s v="Livia Indraswati"/>
    <s v="Erni Monalena / Helvi Susanti"/>
    <s v="859 9322 1320 (Erni)"/>
    <m/>
    <m/>
    <m/>
    <m/>
    <m/>
    <m/>
    <m/>
    <s v="H344"/>
    <m/>
    <s v="1.Biaya Material Support Crossconnect DC Nex Rp.2.000.000,- 2.Biaya Instalasi Crossconnect DC Nex Rp.2.000.000,- 3.Biaya Sewa Crossconnect DC Nex Rp.8.000.000,-"/>
  </r>
  <r>
    <n v="852"/>
    <s v="CBN Nusantara "/>
    <s v="PT Cyberindo Aditama"/>
    <s v="JL.Rasuna Said Blok X5 13 Jakarta"/>
    <x v="0"/>
    <m/>
    <s v="PT Amanda Komunika ciherang Rt6 Rw2,kecamata banjarsari Kabupaten Ciamis Jawa Barat Bandung"/>
    <s v="Sewa Tahunan"/>
    <s v="Cross Connect"/>
    <s v="A822305230005"/>
    <m/>
    <m/>
    <m/>
    <m/>
    <m/>
    <n v="216000000"/>
    <m/>
    <m/>
    <n v="8000000"/>
    <m/>
    <d v="2023-06-19T00:00:00"/>
    <d v="2024-06-18T00:00:00"/>
    <x v="1"/>
    <s v="SPP"/>
    <d v="2025-12-24T00:00:00"/>
    <n v="-554"/>
    <n v="6"/>
    <n v="2024"/>
    <s v="baru"/>
    <s v="564/SPP/SBU/ICON+/2023_x0009_"/>
    <n v="4500020661"/>
    <s v="Fajar Paramita"/>
    <s v="Erni Monalena / Helvi Susanti"/>
    <s v="859 9322 1320 (Erni)"/>
    <m/>
    <m/>
    <m/>
    <m/>
    <m/>
    <m/>
    <s v="G121"/>
    <m/>
    <m/>
    <s v="1.Biaya Material Support Crossconnect DC Nex Rp.2.000.000,- 2.Biaya Instalasi Crossconnect DC Nex Rp.2.000.000,- 3.Biaya Sewa Crossconnect DC Nex Rp.8.000.000,-"/>
  </r>
  <r>
    <n v="853"/>
    <s v="Circlecom Nusantara Indonesia "/>
    <s v="PT Aplikanusa Lintasarta"/>
    <s v="Indonesia Stock Exchange Building, Penthouse Tower I, 31 st Floor Jl. Jend. Sudirman Kav. 52-53 Jakarta 12910"/>
    <x v="0"/>
    <m/>
    <s v="Indonesia stock exchange building , penthouse tower II,28th Floor Suite 2804 Jl.Jend Sudirman Kav.52-53 Jakarta 12190"/>
    <s v="Sewa Tahunan"/>
    <s v="Colocation"/>
    <s v="PA/ACT/1801/0234/TER"/>
    <m/>
    <m/>
    <m/>
    <m/>
    <m/>
    <n v="48000000"/>
    <m/>
    <m/>
    <n v="12000000"/>
    <m/>
    <d v="2021-04-01T00:00:00"/>
    <d v="2022-03-31T00:00:00"/>
    <x v="2"/>
    <m/>
    <d v="2025-12-24T00:00:00"/>
    <n v="-1364"/>
    <n v="3"/>
    <n v="2022"/>
    <s v="08493/SPP/008/PUSAT/ICON+/2018 | 4500011420 | 10469/SPP/008/PUSAT/ICON+/2019 | 4500012617 | 12988/SPP/008/PUSAT/ICON+/2020 | 4500014234"/>
    <s v="15472/SPP/008/PUSAT/ICON+/2021"/>
    <n v="4500015912"/>
    <s v="Fajar Paramita"/>
    <s v="Chaula Balqis/Niken/M. Yacub"/>
    <s v="(021) 5155555"/>
    <m/>
    <s v="B47"/>
    <s v="C66"/>
    <s v="D129"/>
    <s v="E85"/>
    <m/>
    <m/>
    <m/>
    <m/>
    <s v="1.Biaya sekali bayar 5.000.000"/>
  </r>
  <r>
    <n v="854"/>
    <s v="Circlecom Nusantara Indonesia "/>
    <s v="PT Trans Retail Indonesia"/>
    <s v="Komplek Ruko Sunter Permai Indah Blok B.7 Jakarta Utara"/>
    <x v="0"/>
    <m/>
    <s v="Mall of Indonesia (MOI) Jl. Raya Boulevard Barat Raya No. 1 kelapa Gading (Carrefour -PT Trans Retail Indonesia) (exclusive pengelola infrastruktur telekomunikasi Namun pemilik Lahan adalah PT Makmur Jaya Serasi)"/>
    <s v="Sewa Tahunan"/>
    <s v="Colocation"/>
    <s v="ICON-00/SOP/1403/0020"/>
    <m/>
    <m/>
    <m/>
    <m/>
    <m/>
    <n v="54000000"/>
    <m/>
    <m/>
    <n v="7200000"/>
    <m/>
    <d v="2020-09-30T00:00:00"/>
    <d v="2021-09-29T00:00:00"/>
    <x v="2"/>
    <m/>
    <d v="2025-12-24T00:00:00"/>
    <n v="-1547"/>
    <n v="9"/>
    <n v="2021"/>
    <s v="5091116/SPR/ICON+/2016 |121930/MI/008/PUSAT/ICON+/2016 |08283/SPP/008/PUSAT/ICON+/2018 | 4500011292 | 08914/SPP/008/PUSAT/ICON+/2018 | 4500011682 | 11258/SPP/008/PUSAT/ICON+/2019 | 4500013042"/>
    <s v="13979/SPP/008/PUSAT/ICON+/2020"/>
    <n v="4500014934"/>
    <s v="Fajar Paramita"/>
    <s v="Lusi"/>
    <s v="021-65832518"/>
    <s v="B50"/>
    <s v="B155"/>
    <s v="C153"/>
    <s v="D186"/>
    <m/>
    <m/>
    <m/>
    <m/>
    <m/>
    <s v="1. Update sewa shaft tahun 2015 di RukanKelapa Gading Square Rp14.400.000,-/Tahun (karena FO dan jaraknya jauh), jika (STP dan jaraknya dekat) Biaya Sewa Rp7.200.000/tahun _x000a_ 2. Biaya Instalasi di unit apartemen max 100m Rp500.000 (incl. kabel RJ 45 dan bhn perbaikan bangunan) update thn 2014 Rp550.000_x000a_ 3. Biaya Instalasi di Mall of Indonesia max 100m Rp750.000 (incl. kabel RJ 45 dan bhn perbaikan bangunan) update thn 2014 Rp825.000_x000a_ 4. Biaya Instalasi di Ruko dan kompleks The Villas max 100m Rp1000.000 (incl. kabel RJ 45 dan bhn perbaikan bangunan) update thn 2014 Rp1.100.000_x000a_ 5. Biaya Supervisi bervariasi untuk 2 hari Rp1000.000,-/One Time Charged s/d Rp2.750.000/One Time Charged _x000a_ 6. Biaya Set Up Aktivasi Rp2.750.000 s/d Rp3.500.000 (One Time Charged)_x000a_ 7. Biaya Admin Rp300.000"/>
  </r>
  <r>
    <n v="855"/>
    <s v="Circlecom Nusantara Indonesia "/>
    <s v="Bank Central Asia"/>
    <s v="Indonesia Stock Exchange Building, Penthouse Tower I, 31 st Floor Jl. Jend. Sudirman Kav. 52-53 Jakarta 12910"/>
    <x v="0"/>
    <m/>
    <s v="Rukan Kelapa Gading Square (MOI) - BCA, Mall of Indonesia"/>
    <s v="Sewa Tahunan"/>
    <s v="Colocation"/>
    <s v="ICON-00/SBC/1801/0268"/>
    <m/>
    <m/>
    <m/>
    <m/>
    <m/>
    <n v="60000000"/>
    <m/>
    <m/>
    <n v="14400000"/>
    <m/>
    <d v="2022-10-11T00:00:00"/>
    <d v="2023-10-10T00:00:00"/>
    <x v="0"/>
    <m/>
    <d v="2025-12-24T00:00:00"/>
    <n v="-806"/>
    <n v="10"/>
    <n v="2023"/>
    <s v="09141/SPP/008/PUSAT/ICON+/2018 | 4500011814 | 11833/SPP/008/PUSAT/ICON+/2019 | 4500013417 | 14310/SPP/008/PUSAT/ICON+/2020 | 4500015176| 4500016880"/>
    <s v="20174/SPP/008/PUSAT/ICON+/2022"/>
    <n v="4500019289"/>
    <s v="Fajar Paramita"/>
    <s v="Chaula Balqis/Niken/M. Yacub"/>
    <s v="(021) 5155555"/>
    <s v="B52"/>
    <s v="B200"/>
    <s v="C226"/>
    <s v="D286"/>
    <s v="E312"/>
    <s v="F406"/>
    <m/>
    <m/>
    <m/>
    <m/>
  </r>
  <r>
    <n v="856"/>
    <s v="Circlecom Nusantara Indonesia "/>
    <s v="Bank Woori Saudara"/>
    <s v="Indonesia Stock Exchange Building, Penthouse Tower I, 31 st Floor Jl. Jend. Sudirman Kav. 52-53 Jakarta 12910"/>
    <x v="0"/>
    <m/>
    <s v="Ruko Mall of Indonesia (MOI) Blok I No.15 Jl. Boulevard Barat Raya, kel. Kelapa Gading Barat (Bank Woori Saudara)"/>
    <s v="Sewa Tahunan"/>
    <s v="Colocation"/>
    <s v="AL/1809/10470"/>
    <m/>
    <m/>
    <m/>
    <m/>
    <m/>
    <n v="79800000"/>
    <m/>
    <m/>
    <n v="12000000"/>
    <m/>
    <d v="2021-03-27T00:00:00"/>
    <d v="2022-03-26T00:00:00"/>
    <x v="2"/>
    <m/>
    <d v="2025-12-24T00:00:00"/>
    <n v="-1369"/>
    <n v="3"/>
    <n v="2022"/>
    <s v="4500009269 | 06776/SPP/008/PUSAT/ICON+/2017 | 4500010381 | 09141/SPP/008/PUSAT/ICON+/2018 | 4500011279 | 10337/SPP/008/PUSAT/ICON+/2019 | 4500012499 | 12668/SPP/008/PUSAT/ICON+/2020 | 4500013963"/>
    <s v="16055/SPP/008/PUSAT/ICON+/2021"/>
    <n v="4500015719"/>
    <s v="Fajar Paramita"/>
    <s v="Chaula Balqis/Niken/M. Yacub"/>
    <s v="(021) 5155555"/>
    <n v="23"/>
    <s v="B51"/>
    <s v="C49"/>
    <s v="D39"/>
    <s v="E149"/>
    <m/>
    <m/>
    <m/>
    <m/>
    <s v="1. Update sewa shaft Rp12.000.000/tahun_x000a_ 2. Instalasi Rp2.500.000,-"/>
  </r>
  <r>
    <n v="857"/>
    <s v="Cricis Center Menara Permai "/>
    <s v="PT. LINK NET qq PT Pama Persada Nusantara"/>
    <s v="Jl.Raya Naronggong KM 23,8 Bogor"/>
    <x v="1"/>
    <m/>
    <m/>
    <s v="Sewa Tahunan"/>
    <s v="Cross Connect"/>
    <s v="PA/ACT/2104/1125"/>
    <m/>
    <m/>
    <m/>
    <m/>
    <m/>
    <m/>
    <m/>
    <m/>
    <n v="30000000"/>
    <m/>
    <d v="2021-06-30T00:00:00"/>
    <d v="2026-06-29T00:00:00"/>
    <x v="1"/>
    <m/>
    <d v="2025-12-24T00:00:00"/>
    <n v="187"/>
    <n v="6"/>
    <n v="2026"/>
    <s v="baru"/>
    <s v="16149/SPP/008/PUSAT/ICON+/2021"/>
    <s v="4500016364"/>
    <s v="Fajar Paramita"/>
    <m/>
    <m/>
    <m/>
    <m/>
    <m/>
    <m/>
    <s v="E102"/>
    <m/>
    <m/>
    <m/>
    <m/>
    <m/>
  </r>
  <r>
    <n v="858"/>
    <s v="Centrin Online Prima"/>
    <s v="PT GH EMM INDONESIA"/>
    <s v="APL Tower 39 Floor T1 Jl. Letjen Suparman"/>
    <x v="0"/>
    <s v="Dusun 2 Gunung Raja Kelurahan Rambang Dangku Muara Enim, Sumatera Selatan"/>
    <s v="APL Tower 39 Floor T1 Jl. Letjen Suparman"/>
    <s v="Sewa Tahunan"/>
    <s v="Colocation"/>
    <s v="PA/UPG/2001/0203"/>
    <m/>
    <m/>
    <m/>
    <m/>
    <m/>
    <n v="420000000"/>
    <m/>
    <m/>
    <n v="9000000"/>
    <m/>
    <d v="2024-07-07T00:00:00"/>
    <d v="2025-07-06T00:00:00"/>
    <x v="0"/>
    <m/>
    <d v="2025-12-24T00:00:00"/>
    <n v="-171"/>
    <n v="7"/>
    <n v="2025"/>
    <m/>
    <s v="3947/SPP/SBU/PLNICONPLUS/2024"/>
    <s v="4500023158"/>
    <s v="Fajar Paramita"/>
    <m/>
    <m/>
    <m/>
    <m/>
    <m/>
    <m/>
    <m/>
    <m/>
    <m/>
    <s v="H323"/>
    <m/>
    <m/>
  </r>
  <r>
    <n v="859"/>
    <s v="Data Sinergitama Jaya /Elitery"/>
    <s v="PT Mega Akses Persada"/>
    <s v="Fatmawati Festival Blok D/11 Jl. RS. Fatmawati Ruko Fatmawati Blok A1 Kav.112"/>
    <x v="0"/>
    <m/>
    <s v="BNI Securitas - DC Elitery Jl. Cilandak 1 No. 14 Cilandak Barat Rt. 01/09 Cilandak Barat, Cilandak, Jakarta Selatan, 12430"/>
    <s v="Sewa Tahunan"/>
    <s v="Cross Connect"/>
    <s v="PA/ACT/1905/0130"/>
    <m/>
    <m/>
    <m/>
    <m/>
    <m/>
    <n v="50500000"/>
    <m/>
    <m/>
    <n v="3900000"/>
    <m/>
    <d v="2019-06-01T00:00:00"/>
    <d v="2020-06-30T00:00:00"/>
    <x v="2"/>
    <m/>
    <d v="2025-12-24T00:00:00"/>
    <n v="-2003"/>
    <n v="6"/>
    <n v="2020"/>
    <s v="baru"/>
    <s v="10925/SPP/008/PUSAT/ICON+/2019"/>
    <n v="4500012891"/>
    <s v="Fajar Paramita"/>
    <s v="Nuriza"/>
    <s v="021-7511005"/>
    <m/>
    <m/>
    <s v="C110"/>
    <m/>
    <m/>
    <m/>
    <m/>
    <m/>
    <m/>
    <m/>
  </r>
  <r>
    <n v="860"/>
    <s v="Data Sinergitama Jaya /Elitery"/>
    <s v="PT. MAYBANK KIM ENG SEKURITAS"/>
    <s v="Fatmawati Festival Blok D/11 Jl. RS. Fatmawati Ruko Fatmawati Blok A1 Kav.113"/>
    <x v="0"/>
    <m/>
    <s v="Elitery Recovery Data Center, Jalan Padjajaran No.17 Sanggar Ksatria 5 Lantai 5, Bogor, Jawa Barat"/>
    <s v="Sewa Tahunan"/>
    <s v="Cross Connect"/>
    <s v="PA/ACT/1905/2962/TER"/>
    <m/>
    <m/>
    <m/>
    <m/>
    <m/>
    <n v="90600000"/>
    <m/>
    <m/>
    <n v="3900000"/>
    <m/>
    <d v="2019-07-01T00:00:00"/>
    <d v="2020-06-30T00:00:00"/>
    <x v="2"/>
    <m/>
    <d v="2025-12-24T00:00:00"/>
    <n v="-2003"/>
    <n v="6"/>
    <n v="2020"/>
    <s v="baru"/>
    <s v="11068/SPP/008/PUSAT/ICON+/2019"/>
    <n v="4500012979"/>
    <s v="Fajar Paramita"/>
    <s v="Nuriza"/>
    <s v="021-7511006"/>
    <m/>
    <m/>
    <s v="C126"/>
    <m/>
    <m/>
    <m/>
    <m/>
    <m/>
    <m/>
    <s v="Perubahan Sekema Kerjasama (Revenue Sharing 15%) Proses Konfirmasi "/>
  </r>
  <r>
    <n v="861"/>
    <s v="Data Sinergitama Jaya /Elitery"/>
    <s v="PT. DATA SINERGITAMA JAYA"/>
    <s v="Fatmawati Festival Blok D/11 Jl. RS. Fatmawati Ruko Fatmawati Blok A1 Kav.114"/>
    <x v="0"/>
    <m/>
    <s v="H2H Bank Mandiri GD. Plaza Mandiri Jl. Jend. Gatot Subroto Kav.36-38., Jakarta, Jakarta Selatan, DKI Jakarta, Indonesia, 12190"/>
    <s v="Sewa Tahunan"/>
    <s v="Cross Connect"/>
    <s v="PA/ACT/1909/1155"/>
    <m/>
    <m/>
    <m/>
    <m/>
    <m/>
    <n v="45000000"/>
    <m/>
    <m/>
    <n v="2400000"/>
    <m/>
    <d v="2019-09-25T00:00:00"/>
    <d v="2020-09-24T00:00:00"/>
    <x v="0"/>
    <m/>
    <d v="2025-12-24T00:00:00"/>
    <n v="-1917"/>
    <n v="9"/>
    <n v="2020"/>
    <s v="baru"/>
    <s v="11714/SPP/008/PUSAT/ICON+/2019"/>
    <n v="4500013317"/>
    <s v="Fajar Paramita"/>
    <s v="Nuriza"/>
    <s v="021-7511006"/>
    <m/>
    <m/>
    <s v="C201"/>
    <m/>
    <m/>
    <m/>
    <m/>
    <m/>
    <m/>
    <m/>
  </r>
  <r>
    <n v="862"/>
    <s v="Data Sinergitama Jaya /Elitery"/>
    <s v="PT. BANK CENTRAL ASIA, TBK"/>
    <s v="Fatmawati Festival Blok D/11 Jl. RS. Fatmawati Ruko Fatmawati Blok A1 Kav.114"/>
    <x v="0"/>
    <m/>
    <s v="H2H BCA Elitery Data Center; Jl. Raya Pajajaran No.61, RT.06/RW.13, Baranangsiang, Bogor, Jawa Barat"/>
    <s v="Sewa Tahunan"/>
    <s v="Cross Connect"/>
    <s v="PA/ACT/2011/1785/TER"/>
    <m/>
    <m/>
    <m/>
    <m/>
    <m/>
    <n v="60000000"/>
    <m/>
    <m/>
    <n v="2400000"/>
    <m/>
    <d v="2020-12-18T00:00:00"/>
    <d v="2021-12-17T00:00:00"/>
    <x v="0"/>
    <m/>
    <d v="2025-12-24T00:00:00"/>
    <n v="-1468"/>
    <n v="12"/>
    <n v="2021"/>
    <s v="baru"/>
    <s v="14861/SPP/008/PUSAT/ICON+/2020"/>
    <n v="4500015466"/>
    <s v="Fajar Paramita"/>
    <s v="Nuriza"/>
    <s v="021-7511006"/>
    <m/>
    <m/>
    <m/>
    <s v="D278"/>
    <m/>
    <m/>
    <m/>
    <m/>
    <m/>
    <s v="Biaya Instalasi Crossconnect MMR to Softorb Rack Elitery Data Center Rp.1.500.000"/>
  </r>
  <r>
    <n v="863"/>
    <s v="Data Sinergitama Jaya /Elitery"/>
    <s v="PT TRIMEGAH SECURITIES"/>
    <s v="Fatmawati Festival Blok D/11 Jl. RS. Fatmawati Ruko Fatmawati Blok A1 Kav.111"/>
    <x v="0"/>
    <m/>
    <s v="Rak No 22A Ruang Server Lantai 5_x000a_ Data Center Elitery _x000a_ Jl Raya Pajajaran No 17, Bogor"/>
    <s v="Sewa Tahunan"/>
    <s v="Colocation"/>
    <s v="AL/1810/10837 / ICON-00/SBC/1504/0179"/>
    <m/>
    <m/>
    <m/>
    <m/>
    <m/>
    <n v="102000000"/>
    <m/>
    <m/>
    <n v="2400000"/>
    <m/>
    <d v="2019-01-30T00:00:00"/>
    <d v="2020-01-29T00:00:00"/>
    <x v="0"/>
    <m/>
    <d v="2025-12-24T00:00:00"/>
    <n v="-2156"/>
    <n v="1"/>
    <n v="2020"/>
    <s v="07516/SPP/008/PUSAT/ICON+/2017 |4500010883|08398/SPP/008/PUSAT/ICON+/2018|4500012221"/>
    <s v="09876/SPP/008/PUSAT/ICON+/2018"/>
    <n v="4500012332"/>
    <s v="Fajar Paramita"/>
    <s v="Nuriza"/>
    <s v="021-7511004"/>
    <n v="146"/>
    <s v="B266"/>
    <s v="B290"/>
    <m/>
    <m/>
    <m/>
    <m/>
    <m/>
    <m/>
    <m/>
  </r>
  <r>
    <n v="864"/>
    <s v="DCI Indonesia "/>
    <s v="BANK BJB"/>
    <s v="Equity Tower 17th floor suiteF SCBD lot_x000a_Jl Jend Sudirman Kav 52-53 Jakarta 12196"/>
    <x v="0"/>
    <s v="-"/>
    <s v="Backhaul WAN DCI Indonesia, Kawasan Industri MM2100, Jl. Jawa Blok GGS No. 1, Gd. JK 3 Lt. 4, Cikarang Barat, Kabupaten Bekasi, Jawa Barat, Indonesia"/>
    <s v="Sewa Tahunan"/>
    <s v="Cross Connect"/>
    <s v="PA/ACT/2110/4570"/>
    <m/>
    <m/>
    <m/>
    <m/>
    <m/>
    <s v="-"/>
    <m/>
    <m/>
    <n v="36000000"/>
    <m/>
    <d v="2023-12-14T00:00:00"/>
    <d v="2024-12-13T00:00:00"/>
    <x v="0"/>
    <m/>
    <d v="2025-12-24T00:00:00"/>
    <n v="-376"/>
    <n v="12"/>
    <n v="2024"/>
    <s v="17248 | 4500017299"/>
    <n v="1927"/>
    <n v="4500022049"/>
    <s v="Fajar Paramita"/>
    <s v="Fenny Intani Dewi"/>
    <s v="021-29037500"/>
    <m/>
    <m/>
    <m/>
    <m/>
    <s v="E371"/>
    <m/>
    <s v="H26"/>
    <m/>
    <m/>
    <s v="Biaya OTC Rp.1.500.000"/>
  </r>
  <r>
    <n v="865"/>
    <s v="DCI Indonesia"/>
    <s v="PT BANK NEO COMMERCE TBK"/>
    <s v="Equity Tower 17th floor suiteF SCBD lot_x000a_Jl Jend Sudirman Kav 52-53 Jakarta 12196"/>
    <x v="0"/>
    <m/>
    <s v="BNC Alicloud JL Irian, GG 5-1, Kawasan Industri MM 2100, Cikarang Barat, Bekasi, Jawa Barat, Indonesia, 17530"/>
    <s v="Sewa Tahunan"/>
    <s v="Cross Connect"/>
    <s v="PA/ACT/2104/2395"/>
    <m/>
    <m/>
    <m/>
    <m/>
    <m/>
    <n v="246000000"/>
    <m/>
    <m/>
    <n v="18000000"/>
    <m/>
    <d v="2021-05-20T00:00:00"/>
    <d v="2022-05-19T00:00:00"/>
    <x v="2"/>
    <m/>
    <d v="2025-12-24T00:00:00"/>
    <n v="-1315"/>
    <n v="5"/>
    <n v="2022"/>
    <s v="baru"/>
    <s v="15872/SPP/008/PUSAT/ICON+/2021"/>
    <n v="4500016201"/>
    <s v="Fajar Paramita"/>
    <s v="Fenny Intani Dewi"/>
    <s v="021-29037500"/>
    <m/>
    <m/>
    <m/>
    <m/>
    <s v="E52"/>
    <m/>
    <m/>
    <m/>
    <m/>
    <s v="Biaya OTC Rp.1.500.000"/>
  </r>
  <r>
    <n v="866"/>
    <s v="DCI Indonesia"/>
    <s v="PT Jatelindo Perkasa Abadi"/>
    <s v="Equity Tower 17th floor suiteF SCBD lot_x000a_Jl Jend Sudirman Kav 52-53 Jakarta 12190"/>
    <x v="0"/>
    <s v="PT DCI Indonesia. Rack Jatelindo. MM2100 Industrial Town. Jl. Irian 1 Blok GG5-1 Cikarang Barat, 17520"/>
    <s v="Data Center Infrastructure Indonesia_x000a_ Rack Jatelindo menuju perangkat ICON+_x000a_ Jalan Irian 1 Blok GG5-1_x000a_ Kawasan MM2100 Industrial Town_x000a_ Cikarang Barat 17520"/>
    <s v="Sewa Tahunan"/>
    <s v="Colocation"/>
    <s v="ICON-00/ACT/1407/0271"/>
    <m/>
    <m/>
    <m/>
    <m/>
    <m/>
    <n v="98400000"/>
    <m/>
    <m/>
    <n v="18000000"/>
    <m/>
    <d v="2023-11-12T00:00:00"/>
    <d v="2024-11-11T00:00:00"/>
    <x v="0"/>
    <m/>
    <d v="2025-12-24T00:00:00"/>
    <n v="-408"/>
    <n v="11"/>
    <n v="2024"/>
    <s v="1811016/SPR/ICON+/2016 | 07683/SPP/008/PUSAT/ICON+/2017 | 4500010982 | 09435/SPP/008/PUSAT/ICON+/2018 | 4500012003 | 11965/SPP/008/PUSAT/ICON+/2019 | 4500013536 | 14462/SPP/008/PUSAT/ICON+/2020 | 4500015221 | 19673 | 4500019163"/>
    <m/>
    <s v="4500021614"/>
    <s v="Fajar Paramita"/>
    <s v="Fenny Intani Dewi"/>
    <s v="021-29037500"/>
    <n v="129"/>
    <s v="B154"/>
    <s v="C252"/>
    <s v="D287"/>
    <m/>
    <s v="F375"/>
    <m/>
    <s v="H28"/>
    <m/>
    <s v="Biaya OTC Rp.1.500.000"/>
  </r>
  <r>
    <n v="867"/>
    <s v="DCI Indonesia"/>
    <s v="PT SPRINT ASIA TECHNOLOGY"/>
    <s v="Equity Tower 17th floor suiteF SCBD lot_x000a_Jl Jend Sudirman Kav 52-53 Jakarta 12190"/>
    <x v="0"/>
    <m/>
    <s v="Data Center Infrastructure Indonesia_x000a_ Rack Sprint Asia menuju perangkat ICON+_x000a_ Jalan Irian 1 Blok GG5-1_x000a_ Kawasan MM2100 Industrial Town_x000a_ Cikarang Barat 17520"/>
    <s v="Sewa Tahunan"/>
    <s v="Colocation"/>
    <s v="ICON-00/ACT/1610/0559_x000a_ ICON-00/ACT/1610/0558"/>
    <m/>
    <m/>
    <m/>
    <m/>
    <m/>
    <n v="48000000"/>
    <m/>
    <m/>
    <n v="36000000"/>
    <m/>
    <d v="2021-11-12T00:00:00"/>
    <d v="2022-11-11T00:00:00"/>
    <x v="2"/>
    <m/>
    <d v="2025-12-24T00:00:00"/>
    <n v="-1139"/>
    <n v="11"/>
    <n v="2022"/>
    <s v="4500009904 07676/SPP/008/PUSAT/ICON+/2017 4500010981 | 09441/SPP/008/PUSAT/ICON+/2018 | 4500012017 | 11810/SPP/008/PUSAT/ICON+/2019 | 4500013405 | 14607/SPP/008/PUSAT/ICON+/2020 | 4500015229"/>
    <s v="16793/SPP/008/PUSAT/ICON+/2021"/>
    <n v="4500017127"/>
    <s v="Fajar Paramita"/>
    <s v="Feeny Intani Dewi"/>
    <s v="021-29037500"/>
    <n v="127"/>
    <s v="B198"/>
    <s v="C224"/>
    <s v="D281"/>
    <s v="E344"/>
    <m/>
    <m/>
    <m/>
    <m/>
    <s v="Biaya OTC Rp.1.500.000"/>
  </r>
  <r>
    <n v="868"/>
    <s v="DCI Indonesia"/>
    <s v="PT Aplikanusa Lintasarta"/>
    <s v="Equity Tower 17th floor suiteF SCBD lot_x000a_Jl Jend Sudirman Kav 52-53 Jakarta 12190"/>
    <x v="0"/>
    <m/>
    <s v="Data Center Infrastructure Indonesia - (Pelanggan PT Aplikanusa Lintasarta SO No. ICON-00/ACT/1606/0069)_x000a_ Jalan Irian 1 Blok GG5-1_x000a_ Kawasan MM2100 Industrial Town_x000a_ Cikarang Barat 17520"/>
    <s v="Sewa Tahunan"/>
    <s v="Colocation"/>
    <s v="ICON-00/ACT/1606/0069"/>
    <m/>
    <m/>
    <m/>
    <m/>
    <m/>
    <n v="360000000"/>
    <m/>
    <m/>
    <n v="18000000"/>
    <m/>
    <d v="2023-06-16T00:00:00"/>
    <d v="2024-06-15T00:00:00"/>
    <x v="0"/>
    <m/>
    <d v="2025-12-24T00:00:00"/>
    <n v="-557"/>
    <n v="6"/>
    <n v="2024"/>
    <s v="4500009601 |043/DCI/SO/VI/2016 | 06897/SPP/008/PUSAT/ICON+/2017 |4500010542 | 08778/SPP/008/PUSAT/ICON+/2018 | 4500011628| 10685/SPP/008/PUSAT/ICON+/2019 | 4500012766 | 4500014433 | 13456/SPP/008/PUSAT/ICON+/2020| 16065/SPP/008/PUSAT/ICON+/2021| 4500016261 | 18904/SPP/008/PUSAT/ICON+/2022 | 4500018219"/>
    <s v="21734/SPP/008/PUSAT/ICON+/2023"/>
    <n v="4500020591"/>
    <s v="Fajar Paramita"/>
    <s v="Fenny Intani Dewi"/>
    <s v="021-29037500"/>
    <n v="45"/>
    <s v="B121"/>
    <s v="C92"/>
    <s v="D130"/>
    <s v="E140"/>
    <s v="F203"/>
    <s v="G135"/>
    <m/>
    <m/>
    <s v="Biaya OTC Rp.1.500.000"/>
  </r>
  <r>
    <n v="869"/>
    <s v="DCI Indonesia"/>
    <s v="PT Aplikanusa Lintasarta"/>
    <s v="Equity Tower 17th floor suiteF SCBD lot_x000a_Jl Jend Sudirman Kav 52-53 Jakarta 12190"/>
    <x v="0"/>
    <s v="POP Lintasarta, Gedung Lintasarta Jl. TB. Simatupang Kav.10, Jakarta, Indonesia"/>
    <s v="Artajasa Pembayaran Elektronis, DCI Kawasan MM2100 Jl. Halmahera Blok F1 NO. 1 Danau Indah, Cikarang Barat, Kabupaten Bekasi, Jawa Barat, Indonesia, 17530"/>
    <s v="Sewa Tahunan"/>
    <s v="Colocation"/>
    <s v="AR/ACT/1810/18452"/>
    <m/>
    <m/>
    <m/>
    <m/>
    <m/>
    <n v="54000000"/>
    <m/>
    <m/>
    <n v="18000000"/>
    <m/>
    <d v="2024-06-16T00:00:00"/>
    <d v="2025-06-15T00:00:00"/>
    <x v="0"/>
    <m/>
    <d v="2025-12-24T00:00:00"/>
    <n v="-192"/>
    <n v="6"/>
    <n v="2025"/>
    <m/>
    <s v="3138/SPP/SBU/PLNICONPLUS/2024"/>
    <n v="4500022660"/>
    <s v="Fajar Paramita"/>
    <s v="Fenny Intani Dewi"/>
    <s v="021-29037500"/>
    <m/>
    <m/>
    <m/>
    <m/>
    <m/>
    <m/>
    <m/>
    <s v="H160"/>
    <m/>
    <m/>
  </r>
  <r>
    <n v="870"/>
    <s v="DCI Indonesia"/>
    <s v="PT Magna Karsa Mulya"/>
    <s v="Equity Tower 17th floor suiteF SCBD lot_x000a_Jl Jend Sudirman Kav 52-53 Jakarta 12190"/>
    <x v="0"/>
    <m/>
    <s v="Data Center Infrastructure Indonesia - (Pelanggan PT Magna Karsa Mulya SO No. ICON-00/ACT/1609/0670)_x000a_ Jalan Irian 1 Blok GG5-1_x000a_ Kawasan MM2100 Industrial Town_x000a_ Cikarang Barat 17520"/>
    <s v="Sewa Tahunan"/>
    <s v="Colocation"/>
    <s v="ICON-00/ACT/1609/0670_x000a_ ICON-00/ACT/1609/0671"/>
    <m/>
    <m/>
    <m/>
    <m/>
    <m/>
    <n v="120000000"/>
    <m/>
    <m/>
    <n v="18000000"/>
    <m/>
    <d v="2023-10-20T00:00:00"/>
    <d v="2024-10-19T00:00:00"/>
    <x v="0"/>
    <m/>
    <d v="2025-12-24T00:00:00"/>
    <n v="-431"/>
    <n v="10"/>
    <n v="2024"/>
    <s v="3321016/SPR/ICON+/2016_x000a_ 104/DCI/SO/X/2016 07588/SPP/008/PUSAT/ICON+/2017 4500010948 | 09118/SPP/008/PUSAT/ICON+/2018 | 4500011803 | 11832/SPP/008/PUSAT/ICON+/2019 | 4500013404 | 14311/SPP/008/PUSAT/ICON+/2020 | 4500015118 | 16796/SPP/008/PUSAT/ICON+/2021| 4500016899 | 19624/SPP/008/PUSAT/ICON+/2022 | 4500018866"/>
    <s v="1978/SPP/SBU/ICON+/2023"/>
    <n v="4500021710"/>
    <s v="Fajar Paramita"/>
    <s v="Fenny Intani Dewi"/>
    <s v="021-29037500"/>
    <m/>
    <s v="B180"/>
    <s v="C225"/>
    <s v="D328"/>
    <s v="E318"/>
    <s v="F319"/>
    <s v="G327"/>
    <m/>
    <m/>
    <s v="Biaya OTC Rp.1.500.000"/>
  </r>
  <r>
    <n v="871"/>
    <s v="DCI Indonesia"/>
    <s v="PT Primacom Interbuana"/>
    <s v="Equity Tower 17th floor suiteF SCBD lot_x000a_Jl Jend Sudirman Kav 52-53 Jakarta 12190"/>
    <x v="0"/>
    <m/>
    <s v="Data Center Infrastructure Indonesia - (Pelanggan PT Primacom Link Bank Sahabat)_x000a_ Jalan Irian 1 Blok GG5-1_x000a_ Kawasan MM2100 Industrial Town_x000a_ Cikarang Barat 17520"/>
    <s v="Sewa Tahunan"/>
    <s v="Cross Connect"/>
    <s v="ICON-00/ACT/1504/0011"/>
    <m/>
    <m/>
    <m/>
    <m/>
    <m/>
    <n v="33000000"/>
    <m/>
    <m/>
    <n v="18000000"/>
    <m/>
    <d v="2021-06-01T00:00:00"/>
    <d v="2022-05-31T00:00:00"/>
    <x v="2"/>
    <m/>
    <d v="2025-12-24T00:00:00"/>
    <n v="-1303"/>
    <n v="5"/>
    <n v="2022"/>
    <s v="071803/SPR/008/PUSAT/ICON+/2016 | 080913/MI/008/PUSAT/ICON+/2016 |07073/SPP/008/PUSAT/ICON+/2017 |4500010581 | 08505/SPP/008/PUSAT/ICON+/2018 | 4500011425 | || 10547/SPP/008/PUSAT/ICON+/2019 | 4500012586 | 13441/SPP/008/PUSAT/ICON+/2020 | 4500014432"/>
    <s v="15564/SPP/008/PUSAT/ICON+/2021"/>
    <n v="4500016057"/>
    <s v="Fajar Paramita"/>
    <s v="Feeny Intani Dewi"/>
    <s v="021-29037500"/>
    <n v="49"/>
    <s v="B101"/>
    <s v="C118"/>
    <s v="D132"/>
    <s v="E76"/>
    <m/>
    <m/>
    <m/>
    <m/>
    <s v="Biaya OTC Rp.1.500.000"/>
  </r>
  <r>
    <n v="872"/>
    <s v="DCI Indonesia"/>
    <s v="PT NTT INDONESIA"/>
    <s v="Equity Tower 17th floor suiteF SCBD lot_x000a_Jl Jend Sudirman Kav 52-53 Jakarta 12190"/>
    <x v="0"/>
    <m/>
    <s v="Data Center Infrastructure Indonesia - Bank Mizuho (Pelanggan PT Mora Telematika Indonesia SO No. ICON-00/ACT/1605/0529)_x000a_ Jalan Irian 1 Blok GG5-1_x000a_ Kawasan MM2100 Industrial Town_x000a_ Cikarang Barat 17520"/>
    <s v="Sewa Tahunan"/>
    <s v="Colocation"/>
    <s v="ICON-00/ACT/1605/0716_x000a_ ICON-00/ACT/1605/0717_x000a_ ICON-00/ACT/1605/0718_x000a_ ICON-00/ACT/1605/0720_x000a_ ICON-00/ACT/1605/0719"/>
    <m/>
    <m/>
    <m/>
    <m/>
    <m/>
    <n v="102000000"/>
    <m/>
    <m/>
    <n v="18000000"/>
    <m/>
    <d v="2023-06-24T00:00:00"/>
    <d v="2024-06-23T00:00:00"/>
    <x v="0"/>
    <m/>
    <d v="2025-12-24T00:00:00"/>
    <n v="-549"/>
    <n v="6"/>
    <n v="2024"/>
    <s v="05661/SPP/008/PUSAT/ICON+/2016 | 4500009541 |042/DCI/SO/VI/2016 |06889/SPP/008/PUSAT/ICON+/2017 | 4500010486 | 08652/SPP/008/PUSAT/ICON+/2018 | 4500011539 | 10660/SPP/008/PUSAT/ICON+/2019 | 4500012768 | 13455/SPP/008/PUSAT/ICON+/2020 | 4500014435| 15927/SPP/008/PUSAT/ICON+/2021| 4500016260 | 18902/SPP/008/PUSAT/ICON+/2022 | 4500018255"/>
    <s v="21737/SPP/008/PUSAT/ICON+/2023"/>
    <n v="4500020593"/>
    <s v="Fajar Paramita"/>
    <s v="Fenny Intani Dewi"/>
    <s v="021-29037500"/>
    <m/>
    <s v="B78"/>
    <s v="C97"/>
    <s v="D128"/>
    <s v="E127"/>
    <s v="F212"/>
    <s v="G134"/>
    <m/>
    <m/>
    <s v="Biaya OTC Rp.1.500.000"/>
  </r>
  <r>
    <n v="873"/>
    <s v="DCI Indonesia"/>
    <s v="PT NTT INDONESIA"/>
    <s v="Equity Tower 17th floor suiteF SCBD lot_x000a_Jl Jend Sudirman Kav 52-53 Jakarta 12190"/>
    <x v="0"/>
    <m/>
    <s v="Data Center Infrastructure Indonesia - Bank Mizuho (Pelanggan PT Mora Telematika Indonesia SO No. ICON-00/ACT/1605/0529)_x000a_ Jalan Irian 1 Blok GG5-1_x000a_ Kawasan MM2100 Industrial Town_x000a_ Cikarang Barat 17520"/>
    <s v="Sewa Tahunan"/>
    <s v="Colocation"/>
    <s v="ICON-00/ACT/1605/0716_x000a_ ICON-00/ACT/1605/0717_x000a_ ICON-00/ACT/1605/0718_x000a_ ICON-00/ACT/1605/0720_x000a_ ICON-00/ACT/1605/0719"/>
    <m/>
    <m/>
    <m/>
    <m/>
    <m/>
    <n v="168000000"/>
    <m/>
    <m/>
    <n v="18000000"/>
    <m/>
    <d v="2024-06-24T00:00:00"/>
    <d v="2025-06-23T00:00:00"/>
    <x v="0"/>
    <m/>
    <d v="2025-12-24T00:00:00"/>
    <n v="-184"/>
    <n v="6"/>
    <n v="2025"/>
    <m/>
    <s v="3829/SPP/SBU/PLNICONPLUS/2024"/>
    <n v="4500023034"/>
    <s v="Livia Indraswati"/>
    <s v="Fenny Intani Dewi"/>
    <s v="021-29037500"/>
    <m/>
    <m/>
    <m/>
    <m/>
    <m/>
    <m/>
    <m/>
    <s v="H208"/>
    <m/>
    <m/>
  </r>
  <r>
    <n v="874"/>
    <s v="DCI Indonesia"/>
    <s v="PT NTT Indonesia"/>
    <s v="Equity Tower 17th floor suiteF SCBD lot_x000a_Jl Jend Sudirman Kav 52-53 Jakarta 12190"/>
    <x v="0"/>
    <m/>
    <s v="Data Center Infrastructure Indonesia - Bank Mizuho (Second Cable)(Pelanggan PT NTT Indonesia SO No. ICON-00/ACT/1605/0719)_x000a_ Jalan Irian 1 Blok GG5-1_x000a_ Kawasan MM2100 Industrial Town_x000a_ Cikarang Barat 17520"/>
    <s v="Sewa Tahunan"/>
    <s v="Colocation"/>
    <s v="ICON-00/SBC/1611/0056"/>
    <m/>
    <m/>
    <m/>
    <m/>
    <m/>
    <n v="396000000"/>
    <m/>
    <m/>
    <n v="14000000"/>
    <m/>
    <d v="2023-06-24T00:00:00"/>
    <d v="2025-06-23T00:00:00"/>
    <x v="0"/>
    <m/>
    <d v="2025-12-24T00:00:00"/>
    <n v="-184"/>
    <n v="6"/>
    <n v="2025"/>
    <s v="4500009599 |044/DCI/SO/VI/2016 |06889/SPP/008/PUSAT/ICON+/2017 |4500010486 |08666/SPP/008/PUSAT/ICON+/2018 | 4500011542 | 10699/SPP/008/PUSAT/ICON+/2019 | 4500012767 | 13452/SPP/008/PUSAT/ICON+/2020 | 4500014434| 18902/SPP/008/PUSAT/ICON+/2022| 4500016259 | 18903/SPP/008/PUSAT/ICON+/2022 | 4500018254"/>
    <s v="3139/SPP/SBU/PUSATICONPLUS/2024        "/>
    <n v="4500020592"/>
    <s v="Fajar Paramita"/>
    <s v="Fenny Intani Dewi"/>
    <s v="021-29037500"/>
    <m/>
    <s v="B106"/>
    <s v="C95"/>
    <s v="D131"/>
    <s v="E139"/>
    <s v="F213"/>
    <s v="G136"/>
    <m/>
    <m/>
    <s v="Biaya OTC Rp.1.500.000"/>
  </r>
  <r>
    <n v="875"/>
    <s v="DCI Indonesia"/>
    <s v="PT Circlecom Nusantara Indonesia"/>
    <s v="Equity Tower 17th floor suiteF SCBD lot_x000a_Jl Jend Sudirman Kav 52-53 Jakarta 12190"/>
    <x v="0"/>
    <m/>
    <s v="DBS (Development Bank Singapore ) MM 2100 Industri town jalan Irian 1 Blok GG5-1 Kawasan Cibitung.DCI Indonesia"/>
    <s v="Sewa Tahunan"/>
    <s v="Colocation"/>
    <s v="ICON-00/ACT/1310/0140"/>
    <m/>
    <m/>
    <m/>
    <m/>
    <m/>
    <n v="120000000"/>
    <m/>
    <m/>
    <n v="18000000"/>
    <m/>
    <d v="2019-07-19T00:00:00"/>
    <d v="2020-07-18T00:00:00"/>
    <x v="2"/>
    <m/>
    <d v="2025-12-24T00:00:00"/>
    <n v="-1985"/>
    <n v="7"/>
    <n v="2020"/>
    <s v="07201/SPP/008/PUSAT/ICON+/2017 |4500010758 | 08703/SPP/008/PUSAT/ICON+/2018 | 4500011554"/>
    <s v="11288/SPP/008/PUSAT/ICON+/2019"/>
    <n v="4500013041"/>
    <s v="Fajar Paramita"/>
    <s v="Feeny Intani Dewi"/>
    <s v="021-29037500"/>
    <n v="63"/>
    <s v="B108"/>
    <s v="C151"/>
    <m/>
    <m/>
    <m/>
    <m/>
    <m/>
    <m/>
    <s v="Biaya OTC Rp.1.500.000"/>
  </r>
  <r>
    <n v="876"/>
    <s v="DCI Indonesia"/>
    <s v="Tokopedia"/>
    <s v="Equity Tower 17th floor suiteF SCBD lot_x000a_Jl Jend Sudirman Kav 52-53 Jakarta 12196"/>
    <x v="0"/>
    <m/>
    <s v="DC Telkomsigma BSD - PT Sarana Yukti Bandhana, Jl.Pahlawan Seribu No.1, Lengkong Wetan,"/>
    <s v="Sewa Tahunan"/>
    <s v="Cross Connect"/>
    <s v="PA/ACT/2203/0817"/>
    <m/>
    <m/>
    <m/>
    <m/>
    <m/>
    <n v="72000000"/>
    <m/>
    <m/>
    <n v="18000000"/>
    <m/>
    <d v="2023-04-07T00:00:00"/>
    <d v="2024-04-06T00:00:00"/>
    <x v="2"/>
    <m/>
    <d v="2025-12-24T00:00:00"/>
    <n v="-627"/>
    <n v="4"/>
    <n v="2024"/>
    <s v="18398/SPP/008/PUSAT/ICON+/2022 | 4500017862"/>
    <m/>
    <n v="4500020737"/>
    <s v="Fajar Paramita"/>
    <s v="Fenny Intani Dewi"/>
    <s v="021-29037501"/>
    <m/>
    <m/>
    <m/>
    <m/>
    <m/>
    <s v="F105"/>
    <s v="G224"/>
    <m/>
    <m/>
    <s v="Biaya OTC Rp.1.500.000"/>
  </r>
  <r>
    <n v="877"/>
    <s v="DCI Indonesia"/>
    <s v="LEMBAGA KEBIJAKAN PENGADAAN BARANG/JASA PEMERINTAH"/>
    <s v="Equity Tower 17th floor suiteF SCBD lot_x000a_Jl Jend Sudirman Kav 52-53 Jakarta 12196"/>
    <x v="0"/>
    <m/>
    <s v="DCI - Jl. Halmahera Blok F1 No.1, Danau Indah, Cikarang Barat, Kab. Bekasi"/>
    <s v="Sewa Tahunan"/>
    <s v="Cross Connect"/>
    <s v="PA/ACT/1905/2771/TER_x000a_ PA/ACT/1905/2773/TER_x000a_ PA/ACT/1905/2774/TER"/>
    <m/>
    <m/>
    <m/>
    <m/>
    <m/>
    <n v="231272724"/>
    <m/>
    <m/>
    <n v="18000000"/>
    <m/>
    <d v="2019-05-27T00:00:00"/>
    <d v="2020-05-26T00:00:00"/>
    <x v="2"/>
    <m/>
    <d v="2025-12-24T00:00:00"/>
    <n v="-2038"/>
    <n v="5"/>
    <n v="2020"/>
    <s v="Baru"/>
    <s v="10952/SPP/008/PUSAT/ICON+/2019"/>
    <s v="4500012890"/>
    <s v="Fajar Paramita"/>
    <m/>
    <m/>
    <m/>
    <m/>
    <s v="C114"/>
    <m/>
    <m/>
    <m/>
    <m/>
    <m/>
    <m/>
    <s v="Biaya OTC Rp.1.500.000"/>
  </r>
  <r>
    <n v="878"/>
    <s v="DCI Indonesia"/>
    <s v="PT. BANK NEO COMMERCE TBK"/>
    <s v="Equity Tower 17th floor suiteF SCBD lot_x000a_Jl Jend Sudirman Kav 52-53 Jakarta 12196"/>
    <x v="0"/>
    <m/>
    <s v="DCI Cibitung Akulaku Alicloud Jl. Irian, GG 5-1, Kawasan Industri MM 2100, Cikarang Barat, Bekasi, Jawa Barat, Indonesia, 17530"/>
    <s v="Sewa Tahunan"/>
    <s v="Cross Connect"/>
    <s v="PA/ACT/2104/2393"/>
    <m/>
    <m/>
    <m/>
    <m/>
    <m/>
    <n v="246000000"/>
    <m/>
    <m/>
    <n v="18000000"/>
    <m/>
    <d v="2022-06-09T00:00:00"/>
    <d v="2023-06-08T00:00:00"/>
    <x v="2"/>
    <m/>
    <d v="2025-12-24T00:00:00"/>
    <n v="-930"/>
    <n v="6"/>
    <n v="2023"/>
    <s v="15970/SPP/008/PUSAT/ICON+/2021| 4500016290"/>
    <s v="18914/SPP/008/PUSAT/ICON+/2022"/>
    <n v="4500018325"/>
    <s v="Fajar Paramita"/>
    <s v="Fenny Intani Dewi"/>
    <s v="021-29037500"/>
    <m/>
    <m/>
    <m/>
    <m/>
    <s v="E64"/>
    <s v="F349"/>
    <m/>
    <m/>
    <m/>
    <s v="Biaya OTC Rp.1.500.000"/>
  </r>
  <r>
    <n v="879"/>
    <s v="DCI Indonesia"/>
    <s v="PT BANK NEO COMMERCE TBK"/>
    <s v="Equity Tower 17th floor suiteF SCBD lot_x000a_Jl Jend Sudirman Kav 52-53 Jakarta 12196"/>
    <x v="0"/>
    <m/>
    <s v="DCI Cibitung Akulaku Alicloud Jl. Irian, GG 5-1, Kawasan Industri MM 2100, Cikarang Barat, Bekasi, Jawa Barat, Indonesia, 17530"/>
    <s v="Sewa Tahunan"/>
    <s v="Cross Connect"/>
    <s v="PA/ACT/2104/2391"/>
    <m/>
    <m/>
    <m/>
    <m/>
    <m/>
    <n v="420000000"/>
    <m/>
    <m/>
    <n v="18000000"/>
    <m/>
    <d v="2024-06-11T00:00:00"/>
    <d v="2025-06-10T00:00:00"/>
    <x v="2"/>
    <m/>
    <d v="2025-12-24T00:00:00"/>
    <n v="-197"/>
    <n v="6"/>
    <n v="2025"/>
    <s v="15998/SPP/008/PUSAT/ICON+/2021 | 4500016291 | 19120/SPP/008/PUSAT/ICON+/2022 | 4500018823 | 651/SPP/SBU/ICON+/2023 | 4500020748"/>
    <s v="3140/SPP/SBU/PLNICONPLUS/2024"/>
    <n v="4500022663"/>
    <s v="Fajar Paramita"/>
    <s v="Livia Indraswati"/>
    <s v="021-29037500"/>
    <m/>
    <m/>
    <m/>
    <m/>
    <s v="E97"/>
    <s v="F321"/>
    <s v="G220"/>
    <s v="H162"/>
    <m/>
    <s v="Biaya OTC Rp.1.500.000"/>
  </r>
  <r>
    <n v="880"/>
    <s v="DCI Indonesia"/>
    <s v="PT. NOSAIRIS TEKNOLOGI SOLUTIONS"/>
    <s v="Equity Tower 17th floor suiteF SCBD lot_x000a_Jl Jend Sudirman Kav 52-53 Jakarta 12196"/>
    <x v="0"/>
    <m/>
    <s v="DCI Cibitung Gd. JK 1 Jl. Halmahera Blok. F1 No. 1, Danau Indah, Cikarang Barat, Bekasi"/>
    <s v="Sewa Tahunan"/>
    <s v="Cross Connect"/>
    <s v="PA/ACT/2201/1485/TER_x000a_ PA/ACT/2201/1486/TER"/>
    <m/>
    <m/>
    <m/>
    <m/>
    <m/>
    <n v="71928000"/>
    <m/>
    <m/>
    <n v="18000000"/>
    <m/>
    <d v="2024-02-08T00:00:00"/>
    <d v="2025-02-07T00:00:00"/>
    <x v="0"/>
    <m/>
    <d v="2025-12-24T00:00:00"/>
    <n v="-320"/>
    <n v="2"/>
    <n v="2025"/>
    <s v="17765/SPP/008/PUSAT/ICON+/2022 | 4500017576 | 21497 | 4500020355"/>
    <n v="2661"/>
    <n v="4500022260"/>
    <s v="Fajar Paramita"/>
    <s v="Fenny Intani Dewi"/>
    <s v="021-29037500"/>
    <m/>
    <m/>
    <m/>
    <m/>
    <m/>
    <s v="F32"/>
    <s v="G212"/>
    <s v="H73"/>
    <m/>
    <s v="Biaya OTC Rp.1.500.000"/>
  </r>
  <r>
    <n v="881"/>
    <s v="DCI Indonesia"/>
    <s v="PT. NOSAIRIS TEKNOLOGI SOLUTIONS"/>
    <s v="Equity Tower 17th floor suiteF SCBD lot_x000a_Jl Jend Sudirman Kav 52-53 Jakarta 12196"/>
    <x v="0"/>
    <m/>
    <s v="DCI Cibitung Gd. JK 1 JL. Halmahera Blok. F1 No.1 Danau Indah, Cikarang Barat, Bekasi"/>
    <s v="Sewa Tahunan"/>
    <s v="Cross Connect"/>
    <s v="110130307988/04000187683"/>
    <m/>
    <m/>
    <m/>
    <m/>
    <m/>
    <n v="93360000"/>
    <m/>
    <m/>
    <n v="7780000"/>
    <m/>
    <d v="2024-05-13T00:00:00"/>
    <d v="2025-05-12T00:00:00"/>
    <x v="0"/>
    <m/>
    <d v="2025-12-24T00:00:00"/>
    <n v="-226"/>
    <n v="5"/>
    <n v="2025"/>
    <s v="18596/SPP/008/PUSAT/ICON+/2022 | 4500018020"/>
    <s v="3542/SPP/SBU/PLNICONPLUS/2024"/>
    <n v="4500022942"/>
    <s v="Fajar Paramita"/>
    <s v="Fenny Intani Dewi"/>
    <s v="021-29037501"/>
    <m/>
    <m/>
    <m/>
    <m/>
    <m/>
    <s v="F146"/>
    <s v="G221"/>
    <s v="H227"/>
    <m/>
    <s v="Biaya OTC Rp.1.500.000"/>
  </r>
  <r>
    <n v="882"/>
    <s v="DCI Indonesia"/>
    <s v="PT. PASIFIK SATELIT NUSANTARA"/>
    <s v="Equity Tower 17th floor suiteF SCBD lot_x000a_Jl Jend Sudirman Kav 52-53 Jakarta 12196"/>
    <x v="0"/>
    <m/>
    <s v="DCI Cibitung gedung JK 1, Jl. Halmahera Blok F1 No.1, Danau Indah, Kec. Cikarang Bar., Bekasi, Jawa Barat"/>
    <s v="Sewa Tahunan"/>
    <s v="Cross Connect"/>
    <s v="PA/ACT/2003/0541"/>
    <m/>
    <m/>
    <m/>
    <m/>
    <m/>
    <n v="64800000"/>
    <m/>
    <m/>
    <n v="5400000"/>
    <m/>
    <d v="2024-03-23T00:00:00"/>
    <d v="2025-03-22T00:00:00"/>
    <x v="0"/>
    <m/>
    <d v="2025-12-24T00:00:00"/>
    <n v="-277"/>
    <n v="3"/>
    <n v="2025"/>
    <s v="12942/SPP/008/PUSAT/ICON+/2020 | 4500014094|15766/SPP/008/PUSAT/ICON+/2021|4500015880- | 18426/SPP/008/PUSAT/ICON+/2022 | 4500017893"/>
    <s v="3246/SPP/SBU/PLNICON/2024"/>
    <n v="4500022624"/>
    <s v="Fajar Paramita"/>
    <s v="Fenny Intani Dewi"/>
    <s v="021-29037500"/>
    <m/>
    <m/>
    <m/>
    <s v="D79"/>
    <s v="E55"/>
    <s v="F200"/>
    <s v="G210"/>
    <s v="H223"/>
    <m/>
    <s v="Biaya OTC Rp.1.500.000"/>
  </r>
  <r>
    <n v="883"/>
    <s v="DCI Indonesia"/>
    <s v="PT ARTINUS KOMUNIKA LIMA"/>
    <s v="Equity Tower 17th floor suiteF SCBD lot_x000a_Jl Jend Sudirman Kav 52-53 Jakarta 12196"/>
    <x v="0"/>
    <s v="-"/>
    <s v="DCI Cikarang Gedung JKT2 lantai 3 Rack 13 - Jl. Halmahera Blok F1 No.1, Danau Indah, Cikarang Barat, Kabupaten Bekasi, Jawa Barat, Indonesia, 17530"/>
    <s v="Sewa Tahunan"/>
    <s v="Cross Connect"/>
    <s v="PA/ACT/2109/0246"/>
    <m/>
    <m/>
    <m/>
    <m/>
    <m/>
    <n v="50873556"/>
    <m/>
    <m/>
    <n v="36000000"/>
    <m/>
    <d v="2023-09-27T00:00:00"/>
    <d v="2024-09-26T00:00:00"/>
    <x v="0"/>
    <m/>
    <d v="2025-12-24T00:00:00"/>
    <n v="-454"/>
    <n v="9"/>
    <n v="2024"/>
    <s v="16780/SPP/008/PUSAT/ICON+/2021 | 4500016819 | 19757 | 4500018825"/>
    <n v="1959"/>
    <n v="4500018825"/>
    <s v="Fajar Paramita"/>
    <s v="Fenny Intani Dewi"/>
    <s v="021-29037500"/>
    <m/>
    <m/>
    <m/>
    <m/>
    <s v="E279"/>
    <s v="F323"/>
    <s v="H15"/>
    <m/>
    <m/>
    <s v="Biaya OTC Rp.1.500.000"/>
  </r>
  <r>
    <n v="884"/>
    <s v="DCI Indonesia"/>
    <s v="Bank Mayapada International"/>
    <s v="Equity Tower 17th floor suiteF SCBD lot_x000a_Jl Jend Sudirman Kav 52-53 Jakarta 12196"/>
    <x v="0"/>
    <m/>
    <s v="DCI Equinix (Cibitung), JL Halmahera blok F1 no 1, Danau indah"/>
    <s v="Sewa Tahunan"/>
    <s v="Cross Connect"/>
    <s v="PA/RLK/1803/0020/TER"/>
    <m/>
    <m/>
    <m/>
    <m/>
    <m/>
    <n v="39000000"/>
    <m/>
    <m/>
    <n v="18000000"/>
    <m/>
    <d v="2024-03-19T00:00:00"/>
    <d v="2025-03-18T00:00:00"/>
    <x v="0"/>
    <m/>
    <d v="2025-12-24T00:00:00"/>
    <n v="-281"/>
    <n v="3"/>
    <n v="2025"/>
    <s v="08454/SPP/008/PUSAT/ICON+/2018 | 4500011385 | 10203/SPP/008/PUSAT/ICON+/2019 | 4500012491 | 12773/SPP/008/PUSAT/ICON+/2020 | 4500014092 | 15461/SPP/008/PUSAT/ICON+/2021 | 4500015870 | 21410 | 4500020023"/>
    <m/>
    <n v="4500022158"/>
    <s v="Fajar Paramita"/>
    <s v="Fenny Intani Dewi"/>
    <s v="021-29037500"/>
    <m/>
    <m/>
    <s v="C53"/>
    <s v="D72"/>
    <s v="E43"/>
    <m/>
    <s v="G75"/>
    <s v="H42"/>
    <m/>
    <s v="Biaya OTC Rp.1.500.000"/>
  </r>
  <r>
    <n v="885"/>
    <s v="DCI Indonesia"/>
    <s v="PT Prodia Widyahusada"/>
    <s v="Equity Tower 17th floor suiteF SCBD lot_x000a_Jl Jend Sudirman Kav 52-53 Jakarta 12196"/>
    <x v="0"/>
    <m/>
    <s v="Equity Tower 17th Floor Suite F Jl. Jend Sudirman Kav. 52-53 Jakarta"/>
    <s v="Sewa Tahunan"/>
    <s v="Colocation"/>
    <s v="AL/1806/4710"/>
    <m/>
    <m/>
    <m/>
    <m/>
    <m/>
    <n v="108000000"/>
    <m/>
    <m/>
    <n v="9000000"/>
    <m/>
    <d v="2024-03-09T00:00:00"/>
    <d v="2025-03-08T00:00:00"/>
    <x v="0"/>
    <m/>
    <d v="2025-12-24T00:00:00"/>
    <n v="-291"/>
    <n v="3"/>
    <n v="2025"/>
    <s v="08492/SPP/008/PUSAT/ICON+/2018 | 4500011419 | 10325/SPP/008/PUSAT/ICON+/2019 | 4500012484 | 12832/SPP/008/PUSAT/ICON+/2020 | 4500014090| 4500015871 | 18354/SPP/008/PUSAT/ICON+/2022 | 4500017870"/>
    <s v="3210/SPP/SBU/PLNICONPLUS/2024_x0009_"/>
    <n v="4500022623"/>
    <s v="Fajar Paramita"/>
    <s v="Fenny Intani Dewi"/>
    <s v="021-29037500"/>
    <m/>
    <s v="B53"/>
    <s v="C51"/>
    <s v="D73"/>
    <s v="E57"/>
    <s v="F197"/>
    <s v="G74"/>
    <s v="H217"/>
    <m/>
    <s v="Biaya OTC Rp.1.500.000"/>
  </r>
  <r>
    <n v="886"/>
    <s v="DCI Indonesia"/>
    <s v="PT PRIMACOM INTERBUANA_x000a_ PT. PRIMACOM INTERBUANA_x000a_ PT XL AXIATA_x000a_  PT. CIRCLECOM NUSANTARA INDONESIA_x000a_ PT NTT INDONESIA_x000a_ PT NTT INDONESIA_x000a_ PT NTT INDONESIA_x000a_ PT SPRINT ASIA TECHNOLOGY_x000a_ PT JATELINDO PERKASA ABADI_x000a_ PT INTEK MEGA SOLUTION_x000a_ PT. APLIKANUSA LINTASARTA_x000a_ PT. PRIMACOM INTERBUANA_x000a_ PT. MAGNA KARSA MULYA_x000a_ PT. NAP INFO LINTASNUSA_x000a_ PT. NAP INFO LINTASNUSA (CITIBANK)_x000a_ PT. CIRCLECOM NUSANTARA INDONESIA_x000a_ PT INDOMARCO PRISMATAMA_x000a_ PT. PRODIA WIDYAHUSADA"/>
    <s v="Equity Tower 17th floor suiteF SCBD lot_x000a_Jl Jend Sudirman Kav 52-53 Jakarta 12196"/>
    <x v="0"/>
    <m/>
    <s v="Equity Tower 17th Floor Suite F Jl. Jend Sudirman Kav. 52-53 Jakarta"/>
    <s v="Sewa Tahunan"/>
    <s v="Colocation"/>
    <s v="ICON-00/ACT/1410/0100_x000a_ ICON-00/ACT/1407/0271_x000a_ ICON-00/ACT/1605/0555_x000a_ ICON-00/ACT/1606/0069_x000a_ ICON-00/ACT/1609/0384_x000a_ ICON-00/ACT/1609/0670_x000a_ ICON-00/ACT/1704/1130_x000a_ ICON-00/ACT/1707/0139_x000a_ ICON-00/ACT/1706/0006_x000a_ ICON-00/ACT/1711/1089_x000a_ AL/1806/4710"/>
    <m/>
    <m/>
    <m/>
    <m/>
    <m/>
    <n v="928356000"/>
    <m/>
    <m/>
    <n v="156000000"/>
    <m/>
    <d v="2024-09-07T00:00:00"/>
    <d v="2025-09-06T00:00:00"/>
    <x v="0"/>
    <m/>
    <d v="2025-12-24T00:00:00"/>
    <n v="-109"/>
    <n v="9"/>
    <n v="2025"/>
    <s v="09058/SPP/008/PUSAT/ICON+/2018 | 4500011816 | 11547/SPP/008/PUSAT/ICON+/2019 | 4500013288 | 4500015126| 16578//SPP/008/PUSAT/ICON+/2021| 4500016755 | 4500018824 | 1441/SPP/SBU/ICON+/2023 | 4500021341"/>
    <s v="4529/SPP/SBU/PLNICONPLUS/2024"/>
    <n v="4500023551"/>
    <s v="Livia Indraswati"/>
    <s v="Fenny Intani Dewi"/>
    <s v="021-29037500"/>
    <m/>
    <s v="B195"/>
    <s v="C242"/>
    <s v="D339"/>
    <s v="E308"/>
    <s v="F320"/>
    <s v="G313"/>
    <s v="H375"/>
    <m/>
    <s v="Biaya OTC Rp.1.500.000"/>
  </r>
  <r>
    <n v="887"/>
    <s v="DCI Indonesia"/>
    <s v="PT INDOMARCO PRISMATAMA qq Jatelindo"/>
    <s v="Equity Tower 17th floor suiteF SCBD lot_x000a_Jl Jend Sudirman Kav 52-53 Jakarta 12191"/>
    <x v="0"/>
    <m/>
    <s v="Gedung Equity Tower 17th Floor Suite F, SCBD Lot. 9 Jl. Jend Sudirman Kav 52 - 53"/>
    <s v="Sewa Tahunan"/>
    <s v="Colocation"/>
    <s v="ICON-00/ACT/1711/1089"/>
    <m/>
    <m/>
    <m/>
    <m/>
    <m/>
    <n v="28500000"/>
    <m/>
    <m/>
    <n v="18000000"/>
    <m/>
    <d v="2020-12-03T00:00:00"/>
    <d v="2021-12-02T00:00:00"/>
    <x v="2"/>
    <m/>
    <d v="2025-12-24T00:00:00"/>
    <n v="-1483"/>
    <n v="12"/>
    <n v="2021"/>
    <s v="07722/SPP/008/PUSAT/ICON+/2017 4500011011 | 09436/SPP/008/PUSAT/ICON+/2018 | 4500012009 | 12161/SPP/008/PUSAT/ICON+/2019 | 4500013642 | 14933/SPP/008/PUSAT/ICON+/2020 | 4500015482"/>
    <s v="14933/SPP/008/PUSAT/ICON+/2020"/>
    <n v="4500015482"/>
    <s v="Fajar Paramita"/>
    <s v="Feeny Intani Dewi"/>
    <s v="021-29037500"/>
    <n v="164"/>
    <s v="B275"/>
    <s v="C289"/>
    <s v="D391"/>
    <s v="E180"/>
    <m/>
    <m/>
    <m/>
    <m/>
    <s v="Biaya OTC Rp.1.500.000"/>
  </r>
  <r>
    <n v="888"/>
    <s v="DCI Indonesia"/>
    <s v="Aplikanusa LINTASARTA"/>
    <s v="Equity Tower 17th floor suiteF SCBD lot_x000a_Jl Jend Sudirman Kav 52-53 Jakarta 12196"/>
    <x v="0"/>
    <m/>
    <s v="Gedung Equity Tower 17th Floor Suite F, SCBD Lot. 9 Jl. Jend Sudirman Kav 52 - 53"/>
    <s v="Sewa Tahunan"/>
    <s v="Colocation"/>
    <s v="PA/ACT/1810/1684"/>
    <m/>
    <m/>
    <m/>
    <m/>
    <m/>
    <n v="60000000"/>
    <m/>
    <m/>
    <n v="18000000"/>
    <m/>
    <d v="2023-11-01T00:00:00"/>
    <d v="2024-10-31T00:00:00"/>
    <x v="0"/>
    <m/>
    <d v="2025-12-24T00:00:00"/>
    <n v="-419"/>
    <n v="10"/>
    <n v="2024"/>
    <s v="09554/SPP/008/PUSAT/ICON+/2018 | 4500012070 | 11673/SPP/008/PUSAT/ICON+/2019| 4500013535| 14022/SPP/008/PUSAT/ICON+/2020| 4500014890 | 17439/SPP/008/PUSAT/ICON+/2021 | 4500017314 | 20182/SPP/008/PUSAT/ICON+/2022 | 4500019324"/>
    <s v="1504/SPP/SBU/ICON+/2023_x0009_"/>
    <n v="4500021367"/>
    <s v="Fajar Paramita"/>
    <s v="Fenny Intani Dewi"/>
    <s v="021-29037500"/>
    <s v="-"/>
    <s v="B243"/>
    <s v="C300"/>
    <s v="D187"/>
    <s v="F83"/>
    <s v="F420"/>
    <s v="G343"/>
    <m/>
    <m/>
    <s v="Biaya OTC Rp.1.500.000"/>
  </r>
  <r>
    <n v="889"/>
    <s v="DCI Indonesia"/>
    <s v="Primacom end user PT. Agin Court Resources"/>
    <s v="Equity Tower 17th floor suiteF SCBD lot_x000a_Jl Jend Sudirman Kav 52-53 Jakarta 12190"/>
    <x v="0"/>
    <m/>
    <s v="Gedung Equity Tower 17th Floor Suite F, SCBD Lot. 9 Jl. Jend Sudirman Kav 52 – 53"/>
    <s v="Sewa Tahunan"/>
    <s v="Colocation"/>
    <s v="ICON-00/ACT/1609/0384"/>
    <m/>
    <m/>
    <m/>
    <m/>
    <m/>
    <n v="20000000"/>
    <m/>
    <m/>
    <n v="18000000"/>
    <m/>
    <d v="2021-09-29T00:00:00"/>
    <d v="2022-09-28T00:00:00"/>
    <x v="2"/>
    <m/>
    <d v="2025-12-24T00:00:00"/>
    <n v="-1183"/>
    <n v="9"/>
    <n v="2022"/>
    <s v="071803/SPR/008/PUSAT/ICON+/2016 | 080913/MI/008/PUSAT/ICON+/2016 | 07628/SPP/008/PUSAT/ICON+/2017 | 4500010941 | 08939/SPP/008/PUSAT/ICON+/2018 | 4500011696 | | 11451/SPP/008/PUSAT/ICON+/2019 |13714/SPP/008/PUSAT/ICON+/2020 | 4500013192 | 4500014632"/>
    <s v="16303/SPP/008/PUSAT/ICON+/2021"/>
    <n v="4500016491"/>
    <s v="Fajar Paramita"/>
    <s v="Feeny Intani Dewi"/>
    <s v="021-29037500"/>
    <m/>
    <s v="B170"/>
    <s v="C176"/>
    <s v="D149"/>
    <s v="E252"/>
    <m/>
    <m/>
    <m/>
    <m/>
    <s v="Biaya OTC Rp.1.500.000"/>
  </r>
  <r>
    <n v="890"/>
    <s v="DCI Indonesia"/>
    <s v="PT Sukanda Djaya"/>
    <s v="Equity Tower 17th floor suiteF SCBD lot_x000a_Jl Jend Sudirman Kav 52-53 Jakarta 12196"/>
    <x v="0"/>
    <m/>
    <s v="Gedung JK 3, Jl. Irian I Blok GG 5-1, Kawasan MM 2100, Cibitung, Kabupaten Bekasi, Jawa Barat, Indonesia,"/>
    <s v="Sewa Tahunan"/>
    <s v="Cross Connect"/>
    <s v="PA/ACT/2110/1649/TER"/>
    <m/>
    <m/>
    <m/>
    <m/>
    <m/>
    <n v="324000000"/>
    <m/>
    <m/>
    <n v="36000000"/>
    <m/>
    <d v="2023-10-26T00:00:00"/>
    <d v="2024-10-25T00:00:00"/>
    <x v="0"/>
    <m/>
    <d v="2025-12-24T00:00:00"/>
    <n v="-425"/>
    <n v="10"/>
    <n v="2024"/>
    <s v="17052/SPP/008/PUSAT/ICON+/2021 | 4500017113 | 20239/SPP/008/PUSAT/ICON+/2022  | 4500019325"/>
    <s v="1677/SPP/SBU/ICON+/2023_x0009_"/>
    <n v="4500021694"/>
    <s v="Fajar Paramita"/>
    <s v="Fenny Intani Dewi"/>
    <s v="021-29037500"/>
    <m/>
    <m/>
    <m/>
    <m/>
    <s v="E330"/>
    <s v="F419"/>
    <s v="G319"/>
    <m/>
    <m/>
    <s v="Biaya OTC Rp.1.500.000"/>
  </r>
  <r>
    <n v="891"/>
    <s v="DCI Indonesia"/>
    <s v="PT. DIAMOND COLD STORAGE - "/>
    <s v="Equity Tower 17th floor suiteF SCBD lot_x000a_Jl Jend Sudirman Kav 52-53 Jakarta 12196"/>
    <x v="0"/>
    <m/>
    <s v="Gedung JK 3, Jl. IRIAN I Blok GG 5-1, Kawasan MM 2100,Cibitung"/>
    <s v="Sewa Tahunan"/>
    <s v="Cross Connect"/>
    <s v="PA/ACT/2211/0133"/>
    <m/>
    <m/>
    <m/>
    <m/>
    <m/>
    <n v="22200000"/>
    <m/>
    <m/>
    <n v="72000000"/>
    <m/>
    <d v="2023-12-01T00:00:00"/>
    <d v="2024-11-30T00:00:00"/>
    <x v="0"/>
    <m/>
    <d v="2025-12-24T00:00:00"/>
    <n v="-389"/>
    <n v="11"/>
    <n v="2024"/>
    <s v="20660/SPP/008/PUSAT/ICON+/2022 | 4500019532"/>
    <s v="1678/SPP/SBU/ICON+/2023"/>
    <n v="4500021708"/>
    <s v="Fajar Paramita"/>
    <s v="Fenny Intani Dewi"/>
    <s v="021-29037501"/>
    <m/>
    <m/>
    <m/>
    <m/>
    <m/>
    <s v="F365"/>
    <s v="G328"/>
    <m/>
    <m/>
    <s v="Biaya OTC Rp.1.500.000"/>
  </r>
  <r>
    <n v="892"/>
    <s v="DCI Indonesia"/>
    <s v="Tokopedia"/>
    <s v="Equity Tower 17th floor suiteF SCBD lot_x000a_Jl Jend Sudirman Kav 52-53 Jakarta 12194"/>
    <x v="0"/>
    <m/>
    <s v="H2H - Data Center KAI Bandung, Jl. Perintis Kemerdekaan No. 1 Babakan Ciamis, Kec. Sumur Bandung, Kota Bandung, Jawa Barat,"/>
    <s v="Sewa Tahunan"/>
    <s v="Cross Connect"/>
    <s v="PA/ACT/1910/0328"/>
    <m/>
    <m/>
    <m/>
    <m/>
    <m/>
    <n v="60000000"/>
    <m/>
    <m/>
    <n v="18000000"/>
    <m/>
    <d v="2023-10-24T00:00:00"/>
    <d v="2024-10-23T00:00:00"/>
    <x v="0"/>
    <m/>
    <d v="2025-12-24T00:00:00"/>
    <n v="-427"/>
    <n v="10"/>
    <n v="2024"/>
    <s v="11881/SPP/008/PUSAT/ICON+/2019 | 4500013473| 14313/SPP/008/PUSAT/ICON+/2020| 4500015107 | 4500015107 | 19674/SPP/008/PUSAT/ICON+/2022 | 4500018867"/>
    <s v="2111/SPP/SBU/ICON+/2023"/>
    <n v="4500021962"/>
    <s v="Fajar Paramita"/>
    <s v="Fenny Intani Dewi"/>
    <s v="021-29037503"/>
    <m/>
    <m/>
    <s v="C233"/>
    <s v="D341"/>
    <m/>
    <s v="F318"/>
    <s v="G391"/>
    <m/>
    <m/>
    <s v="Biaya OTC Rp.1.500.000"/>
  </r>
  <r>
    <n v="893"/>
    <s v="DCI Indonesia"/>
    <s v="Tokopedia"/>
    <s v="Equity Tower 17th floor suiteF SCBD lot_x000a_Jl Jend Sudirman Kav 52-53 Jakarta 12196"/>
    <x v="0"/>
    <m/>
    <s v="H2H Kantor Pusat Direktorat Jenderal Pajak Jl. Gatot Subroto No. Kav 40-42, RT.7/RW.1 Senayan, Kec. Kebayoran Baru, Jakarta Selatan"/>
    <s v="Sewa Tahunan"/>
    <s v="Cross Connect"/>
    <s v="PA/ACT/2002/2086"/>
    <m/>
    <m/>
    <m/>
    <m/>
    <m/>
    <n v="60000000"/>
    <m/>
    <m/>
    <n v="18000000"/>
    <m/>
    <d v="2023-03-09T00:00:00"/>
    <d v="2024-03-08T00:00:00"/>
    <x v="2"/>
    <m/>
    <d v="2025-12-24T00:00:00"/>
    <n v="-656"/>
    <n v="3"/>
    <n v="2024"/>
    <s v="12820/SPP/008/PUSAT/ICON+/2020 | 4500014027| 15123/SPP/008/PUSAT/ICON+/2021| 4500015715 | 18179/SPP/008/PUSAT/ICON+/2022 | 4500017798"/>
    <m/>
    <n v="4500020437"/>
    <s v="Fajar Paramita"/>
    <s v="Fenny Intani Dewi"/>
    <s v="021-29037503"/>
    <m/>
    <m/>
    <m/>
    <s v="D50"/>
    <s v="E169"/>
    <s v="F121"/>
    <s v="G112"/>
    <m/>
    <m/>
    <s v="Biaya OTC Rp.1.500.000"/>
  </r>
  <r>
    <n v="894"/>
    <s v="DCI Indonesia"/>
    <s v="PT. AIRPAY INTERNATIONAL INDONESIA"/>
    <s v="Equity Tower 17th floor suiteF SCBD lot_x000a_Jl Jend Sudirman Kav 52-53 Jakarta 12192"/>
    <x v="0"/>
    <m/>
    <s v="H2H PT DCI Indonesia, Gedung JK2, Jl. Irian I Blok GG 5-1, Kawasan MM 2100, Cibitung, Bekasi, Jawa Barat"/>
    <s v="Sewa Tahunan"/>
    <s v="Cross Connect"/>
    <s v="PA/ACT/1908/0899"/>
    <m/>
    <m/>
    <m/>
    <m/>
    <m/>
    <n v="54000000"/>
    <m/>
    <m/>
    <n v="36000000"/>
    <m/>
    <d v="2023-08-16T00:00:00"/>
    <d v="2024-08-15T00:00:00"/>
    <x v="0"/>
    <m/>
    <d v="2025-12-24T00:00:00"/>
    <n v="-496"/>
    <n v="8"/>
    <n v="2024"/>
    <s v="11462/SPP/008/PUSAT/ICON+/2019 | 4500013141| 16438/SPP/008/PUSAT/ICON+/2021| 4500016561 | 19212/SPP/008/PUSAT/ICON+/2022 | 4500018447"/>
    <s v="487/SPP/SBU/ICON+/2023"/>
    <n v="4500020734"/>
    <s v="Fajar Paramita"/>
    <s v="Fenny Intani Dewi"/>
    <s v="021-29037501"/>
    <m/>
    <m/>
    <s v="C165"/>
    <m/>
    <s v="E228"/>
    <s v="F256"/>
    <s v="G169"/>
    <m/>
    <m/>
    <s v="Biaya OTC Rp.1.500.000"/>
  </r>
  <r>
    <n v="895"/>
    <s v="DCI Indonesia"/>
    <s v="PT. AIRPAY INTERNATIONAL INDONESIA"/>
    <s v="Equity Tower 17th floor suiteF SCBD lot_x000a_Jl Jend Sudirman Kav 52-53 Jakarta 12192"/>
    <x v="0"/>
    <m/>
    <s v="H2H PT DCI Indonesia, Gedung JK2, Jl. Irian I Blok GG 5-1, Kawasan MM 2100, Cibitung, Bekasi, Jawa Barat"/>
    <s v="Sewa Tahunan"/>
    <s v="Cross Connect"/>
    <s v="PA/ACT/1908/0899"/>
    <m/>
    <m/>
    <m/>
    <m/>
    <m/>
    <n v="54000000"/>
    <m/>
    <m/>
    <n v="36000000"/>
    <m/>
    <d v="2024-08-16T00:00:00"/>
    <d v="2025-08-15T00:00:00"/>
    <x v="0"/>
    <m/>
    <d v="2025-12-24T00:00:00"/>
    <n v="-131"/>
    <n v="8"/>
    <n v="2025"/>
    <s v="487/SPP/SBU/ICON+/2023"/>
    <s v="3892/SPP/SBU/PLNICONPLUS/2024"/>
    <n v="4500023416"/>
    <s v="Livia Indraswati"/>
    <s v="Fenny Intani Dewi"/>
    <s v="021-29037501"/>
    <m/>
    <m/>
    <m/>
    <m/>
    <m/>
    <m/>
    <m/>
    <s v="H361"/>
    <m/>
    <m/>
  </r>
  <r>
    <n v="896"/>
    <s v="DCI Indonesia"/>
    <s v="PT. AIRPAY INTERNATIONAL INDONESIA"/>
    <s v="Equity Tower 17th floor suiteF SCBD lot_x000a_Jl Jend Sudirman Kav 52-53 Jakarta 12195"/>
    <x v="0"/>
    <m/>
    <s v="H2H PT DCI Indonesia, Gedung JK2, Jl. Irian I Blok GG 5-1, Kawasan MM 2100, Cibitung, Bekasi, Jawa Barat"/>
    <s v="Sewa Tahunan"/>
    <s v="Cross Connect"/>
    <s v="PA/ACT/1912/2626_x000a_ PA/ACT/1912/2625"/>
    <m/>
    <m/>
    <m/>
    <m/>
    <m/>
    <n v="84000000"/>
    <m/>
    <m/>
    <n v="36000000"/>
    <m/>
    <d v="2024-01-27T00:00:00"/>
    <d v="2025-01-26T00:00:00"/>
    <x v="0"/>
    <m/>
    <d v="2025-12-24T00:00:00"/>
    <n v="-332"/>
    <n v="1"/>
    <n v="2025"/>
    <s v="12521/SPP/008/PUSAT/ICON+/2020 | 4500013824| 15140/SPP/008/PUSAT/ICON+/2021| 4500015714 | 17624/SPP/008/PUSAT/ICON+/2022 | 4500017500 | 21077 | 4500019996"/>
    <n v="2579"/>
    <n v="4500022244"/>
    <s v="Fajar Paramita"/>
    <s v="Fenny Intani Dewi"/>
    <s v="021-29037501"/>
    <m/>
    <m/>
    <m/>
    <s v="D14"/>
    <s v="E152"/>
    <s v="F126"/>
    <s v="G53"/>
    <s v="H70"/>
    <m/>
    <s v="Biaya OTC Rp.1.500.000"/>
  </r>
  <r>
    <n v="897"/>
    <s v="DCI Indonesia"/>
    <s v="Tokopedia"/>
    <s v="Equity Tower 17th floor suiteF SCBD lot_x000a_Jl Jend Sudirman Kav 52-53 Jakarta 12193"/>
    <x v="0"/>
    <m/>
    <s v="H2H, (Backhaul) DCI Data Center Jl. Halmahera Blok F1 No.1, Danau Indah, Kec. Cikarang Barat, Kota Bekasi, Jawa Barat"/>
    <s v="Sewa Tahunan"/>
    <s v="Cross Connect"/>
    <s v="PA/ACT/1907/3933_x000a_ PA/ACT/1907/3934_x000a_ PA/ACT/1907/3935"/>
    <m/>
    <m/>
    <m/>
    <m/>
    <m/>
    <n v="180000000"/>
    <m/>
    <m/>
    <n v="54000000"/>
    <m/>
    <d v="2023-08-05T00:00:00"/>
    <d v="2024-08-04T00:00:00"/>
    <x v="0"/>
    <m/>
    <d v="2025-12-24T00:00:00"/>
    <n v="-507"/>
    <n v="8"/>
    <n v="2024"/>
    <s v="11382/SPP/008/PUSAT/ICON+/2019| 4500013131 | 13890/SPP/008/PUSAT/ICON+/2020 | 4500014837| 16288/SPP/008/PUSAT/ICON+/2021| 4500016492 | 18845/SPP/008/PUSAT/ICON+/2022 | 4500018256"/>
    <s v="941/SPP/SBU/ICON+/2023_x0009_"/>
    <n v="4500021185"/>
    <s v="Fajar Paramita"/>
    <s v="Fenny Intani Dewi"/>
    <s v="021-29037502"/>
    <m/>
    <m/>
    <s v="C161"/>
    <s v="D177"/>
    <s v="E254"/>
    <s v="F211"/>
    <s v="G236"/>
    <m/>
    <m/>
    <s v="Biaya OTC Rp.1.500.000"/>
  </r>
  <r>
    <n v="898"/>
    <s v="DCI Indonesia"/>
    <s v="PT. TRANS MIKRO BERSAMA"/>
    <s v="Equity Tower 17th floor suiteF SCBD lot_x000a_Jl Jend Sudirman Kav 52-53 Jakarta 12196"/>
    <x v="0"/>
    <s v="DCI Cibitung, Jl. Halmahera No.1, danau Indah,  Kecamatan Cikarang Barat,  Bekasi,  Jawa Barat,  Indonesia,  17530"/>
    <s v="Jl. Gatot Subroto No.Kav 36-38, Kecamatan Kebayoran baru, Jakarta Selatan, DKI Jakarta, Indonesia, 12190"/>
    <s v="Sewa Tahunan"/>
    <s v="Cross Connect"/>
    <s v="PA/ACT/2112/3940/ORI"/>
    <m/>
    <m/>
    <m/>
    <m/>
    <m/>
    <n v="54000000"/>
    <m/>
    <m/>
    <n v="18000000"/>
    <m/>
    <d v="2024-01-26T00:00:00"/>
    <d v="2025-01-25T00:00:00"/>
    <x v="0"/>
    <m/>
    <d v="2025-12-24T00:00:00"/>
    <n v="-333"/>
    <n v="1"/>
    <n v="2025"/>
    <n v="17615"/>
    <n v="2452"/>
    <n v="4500022159"/>
    <s v="Fajar Paramita"/>
    <s v="Fenny Intani Dewi"/>
    <s v="021-29037501"/>
    <m/>
    <m/>
    <m/>
    <m/>
    <m/>
    <s v="F27"/>
    <m/>
    <s v="H45"/>
    <m/>
    <s v="Biaya OTC Rp.1.500.000"/>
  </r>
  <r>
    <n v="899"/>
    <s v="DCI Indonesia"/>
    <s v="PT. BANK PEMBANGUNAN DAERAH KALIMANTAN SELATAN"/>
    <s v="Equity Tower 17th floor suiteF SCBD lot_x000a_Jl Jend Sudirman Kav 52-53 Jakarta 12196"/>
    <x v="0"/>
    <m/>
    <s v="Jl. Halmahera Kawasan Industri MM2100"/>
    <s v="Sewa Tahunan"/>
    <s v="Cross Connect"/>
    <s v="PA/ACT/2204/3848"/>
    <m/>
    <m/>
    <m/>
    <m/>
    <m/>
    <n v="72000000"/>
    <m/>
    <m/>
    <n v="36000000"/>
    <m/>
    <d v="2023-05-30T00:00:00"/>
    <d v="2024-05-29T00:00:00"/>
    <x v="0"/>
    <m/>
    <d v="2025-12-24T00:00:00"/>
    <n v="-574"/>
    <n v="5"/>
    <n v="2024"/>
    <s v="18650/SPP/008/PUSAT/ICON+/2022 | 4500018058 | 638/SPP/SBU/ICON+/2023 | 4500020746"/>
    <s v="638/SPP/SBU/ICON+/2023"/>
    <n v="4500020746"/>
    <s v="Fajar Paramita"/>
    <s v="Fenny Intani Dewi"/>
    <s v="021-29037501"/>
    <m/>
    <m/>
    <m/>
    <m/>
    <m/>
    <s v="F153"/>
    <s v="G222"/>
    <m/>
    <m/>
    <s v="Biaya OTC Rp.1.500.000"/>
  </r>
  <r>
    <n v="900"/>
    <s v="DCI Indonesia"/>
    <s v="PT. BANK PEMBANGUNAN DAERAH KALIMANTAN SELATAN"/>
    <s v="Equity Tower 17th floor suiteF SCBD lot_x000a_Jl Jend Sudirman Kav 52-53 Jakarta 12196"/>
    <x v="0"/>
    <m/>
    <s v="Jl. Halmahera Kawasan Industri MM2100"/>
    <s v="Sewa Tahunan"/>
    <s v="Cross Connect"/>
    <s v="PA/ACT/2204/3848"/>
    <m/>
    <m/>
    <m/>
    <m/>
    <m/>
    <n v="72000000"/>
    <m/>
    <m/>
    <n v="36000000"/>
    <m/>
    <d v="2024-05-30T00:00:00"/>
    <d v="2025-05-29T00:00:00"/>
    <x v="0"/>
    <m/>
    <d v="2025-12-24T00:00:00"/>
    <n v="-209"/>
    <n v="5"/>
    <n v="2025"/>
    <m/>
    <s v="3205/SPP/SBU/PLNICONPLUS/2024"/>
    <n v="4500022698"/>
    <s v="Fajar Paramita"/>
    <s v="Fenny Intani Dewi"/>
    <s v="021-29037501"/>
    <m/>
    <m/>
    <m/>
    <m/>
    <m/>
    <m/>
    <m/>
    <s v="H256"/>
    <m/>
    <m/>
  </r>
  <r>
    <n v="901"/>
    <s v="DCI Indonesia"/>
    <s v="PT. APLIKANUSA LINTASARTA"/>
    <s v="Equity Tower 17th floor suiteF SCBD lot_x000a_Jl Jend Sudirman Kav 52-53 Jakarta 12196"/>
    <x v="0"/>
    <m/>
    <s v="Jl. Halmahera No.1, Danau Indah_x000a_DC ALFA CILEUNGSI Ktr. Cab Cileungsi, Dayeuh"/>
    <s v="Sewa Tahunan"/>
    <s v="Cross Connect"/>
    <s v="PA/ACT/2209/0277/TER"/>
    <m/>
    <m/>
    <m/>
    <m/>
    <m/>
    <n v="659700000"/>
    <m/>
    <m/>
    <n v="18000000"/>
    <m/>
    <d v="2023-09-20T00:00:00"/>
    <d v="2024-09-19T00:00:00"/>
    <x v="0"/>
    <m/>
    <d v="2025-12-24T00:00:00"/>
    <n v="-461"/>
    <n v="9"/>
    <n v="2024"/>
    <s v="19912/SPP/008/PUSAT/ICON+/2022 | 4500018909"/>
    <s v="1590/SPP/SBU/ICON+/2023"/>
    <n v="4500021634"/>
    <s v="Fajar Paramita"/>
    <s v="Fenny Intani Dewi"/>
    <s v="021-29037501"/>
    <m/>
    <m/>
    <m/>
    <m/>
    <m/>
    <s v="F313"/>
    <s v="G379"/>
    <m/>
    <m/>
    <s v="Biaya OTC Rp.1.500.000"/>
  </r>
  <r>
    <n v="902"/>
    <s v="DCI Indonesia"/>
    <s v="PT. GCLUB DIGITAL ASIA"/>
    <s v="Equity Tower 17th floor suiteF SCBD lot_x000a_Jl Jend Sudirman Kav 52-53 Jakarta 12196"/>
    <x v="0"/>
    <m/>
    <s v="Jl. Irian Blok GG5/1, Kawasan Industri MM2100, Danau Indah, Bekasi, Jawa Barat"/>
    <s v="Sewa Tahunan"/>
    <s v="Cross Connect"/>
    <s v="PA/ACT/2010/1259"/>
    <m/>
    <m/>
    <m/>
    <m/>
    <m/>
    <n v="38400000"/>
    <m/>
    <m/>
    <n v="18000000"/>
    <m/>
    <d v="2020-11-23T00:00:00"/>
    <d v="2021-11-22T00:00:00"/>
    <x v="2"/>
    <m/>
    <d v="2025-12-24T00:00:00"/>
    <n v="-1493"/>
    <n v="11"/>
    <n v="2021"/>
    <s v="baru"/>
    <s v="14734/SPP/008/PUSAT/ICON+/2020"/>
    <n v="4500015378"/>
    <s v="Fajar Paramita"/>
    <s v="Feeny Intani Dewi"/>
    <s v="021-29037500"/>
    <m/>
    <m/>
    <m/>
    <s v="D272"/>
    <m/>
    <m/>
    <m/>
    <m/>
    <m/>
    <s v="Biaya OTC Rp.1.500.000"/>
  </r>
  <r>
    <n v="903"/>
    <s v="DCI Indonesia"/>
    <s v="Tokopedia"/>
    <s v="Equity Tower 17th floor suiteF SCBD lot_x000a_Jl Jend Sudirman Kav 52-53 Jakarta 12196"/>
    <x v="0"/>
    <m/>
    <s v="Primary Link H2H DC Tokopedia (DCI Cibitung) - Jl. Halmahera Blok F1 No.1, Danau Indah"/>
    <s v="Sewa Tahunan"/>
    <s v="Cross Connect"/>
    <s v="PA/ACT/2210/2385"/>
    <m/>
    <m/>
    <m/>
    <m/>
    <m/>
    <n v="66000000"/>
    <m/>
    <m/>
    <n v="18000000"/>
    <m/>
    <d v="2023-11-30T00:00:00"/>
    <d v="2024-11-29T00:00:00"/>
    <x v="0"/>
    <m/>
    <d v="2025-12-24T00:00:00"/>
    <n v="-390"/>
    <n v="11"/>
    <n v="2024"/>
    <s v="20314/SPP/008/PUSAT/ICON+/2022 | 4500019501"/>
    <s v="2110/SPP/SBU/ICON+/2023"/>
    <n v="4500021960"/>
    <s v="Fajar Paramita"/>
    <s v="Fenny Intani Dewi"/>
    <s v="021-29037501"/>
    <m/>
    <m/>
    <m/>
    <m/>
    <m/>
    <s v="F370"/>
    <s v="G390"/>
    <m/>
    <m/>
    <s v="Biaya OTC Rp.1.500.000"/>
  </r>
  <r>
    <n v="904"/>
    <s v="DCI Indonesia"/>
    <s v="PT Nap Info Lintasnusa"/>
    <s v="Equity Tower 17th floor suiteF SCBD lot_x000a_Jl Jend Sudirman Kav 52-53 Jakarta 12190"/>
    <x v="0"/>
    <m/>
    <s v="PT Cigna Corporate Verizon Business Cigna Corporate DCI Equinix MM2100"/>
    <s v="Sewa Tahunan"/>
    <s v="Colocation"/>
    <s v="ICON-00/SBC/1708/0918"/>
    <m/>
    <m/>
    <m/>
    <m/>
    <m/>
    <n v="90000000"/>
    <m/>
    <m/>
    <n v="18000000"/>
    <m/>
    <d v="2023-05-11T00:00:00"/>
    <d v="2024-05-10T00:00:00"/>
    <x v="2"/>
    <m/>
    <d v="2025-12-24T00:00:00"/>
    <n v="-593"/>
    <n v="5"/>
    <n v="2024"/>
    <s v="4500010732 |07288/SPP/008/PUSAT/ICON+/2017 | 08534/SPP/008/PUSAT/ICON+/2018 | 4500011440 | 10543/SPP/008/PUSAT/ICON+/2019 | 4500012745 | 13126/SPP/008/PUSAT/ICON+/2020 | 4500014317| 15565/SPP/008/PUSAT/ICON+/2021| 4500016044 | 18178/SPP/008/PUSAT/ICON+/2022 | 4500017881"/>
    <s v="21732/SPP/008/PUSAT/ICON+/2023"/>
    <n v="4500020436"/>
    <s v="Fajar Paramita"/>
    <s v="Fenny Intani Dewi"/>
    <s v="021-29037500"/>
    <n v="75"/>
    <s v="B89"/>
    <s v="C85"/>
    <s v="D125"/>
    <s v="E68"/>
    <s v="F196"/>
    <s v="G111"/>
    <m/>
    <m/>
    <s v="Biaya OTC Rp.1.500.000"/>
  </r>
  <r>
    <n v="905"/>
    <s v="DCI Indonesia"/>
    <s v="PT. LAYANAN IMEDIA "/>
    <s v="Equity Tower 17th floor suiteF SCBD lot_x000a_Jl Jend Sudirman Kav 52-53 Jakarta 12196"/>
    <x v="0"/>
    <s v="Data Center Lintasarta - Jl. Ciungwanara No. 6, Lb. Siliwangi"/>
    <s v="PT DCI Indonesia Cibitung - Jl. Halmahera No.1, Danau Indah"/>
    <s v="Sewa Tahunan"/>
    <s v="Cross Connect"/>
    <s v="PA/RLK/2302/0092/TER  "/>
    <m/>
    <m/>
    <m/>
    <m/>
    <m/>
    <n v="34170000"/>
    <m/>
    <m/>
    <n v="2847500"/>
    <m/>
    <d v="2024-03-15T00:00:00"/>
    <d v="2025-03-14T00:00:00"/>
    <x v="0"/>
    <m/>
    <d v="2025-12-24T00:00:00"/>
    <n v="-285"/>
    <n v="3"/>
    <n v="2025"/>
    <s v="baru"/>
    <s v="3208/SPP/SBU/PLNICONPLUS/2024"/>
    <n v="4500022626"/>
    <s v="Fajar Paramita"/>
    <s v="Fenny Intani Dewi"/>
    <s v="021-29037501"/>
    <m/>
    <m/>
    <m/>
    <m/>
    <m/>
    <m/>
    <s v="G55"/>
    <s v="H222"/>
    <m/>
    <s v="Biaya OTC Rp.1.500.000"/>
  </r>
  <r>
    <n v="906"/>
    <s v="DCI Indonesia"/>
    <s v="Adira Dinamika"/>
    <s v="Equity Tower 17th floor suiteF SCBD lot_x000a_Jl Jend Sudirman Kav 52-53 Jakarta 12196"/>
    <x v="0"/>
    <m/>
    <s v="PT DCI INDONESIA Jalan Jawa Blok GG-5-1. Kawasan Industri MM 2100 Lantai 3 JK2, rack 13"/>
    <s v="Sewa Tahunan"/>
    <s v="Colocation"/>
    <s v="PA/ACT/1807/0241_x000a_ PA/ACT/1807/0291_x000a_ PA/ACT/1807/0293_x000a_ PA/ACT/1807/0296_x000a_ PA/ACT/1807/0297"/>
    <m/>
    <m/>
    <m/>
    <m/>
    <m/>
    <n v="128600000"/>
    <m/>
    <m/>
    <n v="18000000"/>
    <m/>
    <d v="2022-06-11T00:00:00"/>
    <d v="2022-12-31T00:00:00"/>
    <x v="0"/>
    <m/>
    <d v="2025-12-24T00:00:00"/>
    <n v="-1089"/>
    <n v="12"/>
    <n v="2022"/>
    <s v="09092/SPP/008/PUSAT/ICON+/2018 | 4500011799 | 11174/SPP/008/PUSAT/ICON+/2019 | 4500013013 | 14099/SPP/008/PUSAT/ICON+/2020 | 4500015127| 16582/SPP/008/PUSAT/ICON+/2021| 4500016754 |"/>
    <s v="19863/SPP/008/PUSAT/ICON+/2022"/>
    <n v="4500018823"/>
    <s v="Fajar Paramita"/>
    <s v="Fenny Intani Dewi"/>
    <s v="021-29037500"/>
    <s v="-"/>
    <s v="B197"/>
    <s v="C147"/>
    <s v="D333"/>
    <s v="E303"/>
    <s v="F322"/>
    <m/>
    <m/>
    <m/>
    <s v="Biaya OTC Rp.1.500.000"/>
  </r>
  <r>
    <n v="907"/>
    <s v="DCI Indonesia"/>
    <s v="PT KLIK INDOMARET SUKSES"/>
    <s v="Equity Tower 17th floor suiteF SCBD lot_x000a_Jl Jend Sudirman Kav 52-53 Jakarta 12196"/>
    <x v="0"/>
    <m/>
    <s v="PT DCI Indonesia, Gedung JK2, Jl. Irian I Blok GG 5-1, Kawasan MM 2100, Cibitung (Jatelindo di DCI Cibitung ID Rack: jk1-rck-1b-009-002), Cikarang, Kabupaten Bekasi, Jawa Barat, Indonesia"/>
    <s v="Sewa Tahunan"/>
    <s v="Cross Connect"/>
    <s v="PA/ACT/2105/1239"/>
    <m/>
    <m/>
    <m/>
    <m/>
    <m/>
    <n v="39000000"/>
    <m/>
    <m/>
    <n v="18000000"/>
    <m/>
    <d v="2024-06-04T00:00:00"/>
    <d v="2025-06-03T00:00:00"/>
    <x v="0"/>
    <m/>
    <d v="2025-12-24T00:00:00"/>
    <n v="-204"/>
    <n v="6"/>
    <n v="2025"/>
    <s v="15956/SPP/008/PUSAT/ICON+/2021| 4500016289 | 18913/SPP/008/PUSAT/ICON+/2022 | 4500018326 | 719/SPP/SBU/ICON+/2023 | 4500018326"/>
    <s v="3206/SPP/SBU/PLNICONPLUS/2024"/>
    <n v="4500022998"/>
    <s v="Fajar Paramita"/>
    <s v="Fenny Intani Dewi"/>
    <s v="021-29037500"/>
    <m/>
    <m/>
    <m/>
    <m/>
    <s v="E58"/>
    <s v="F303"/>
    <s v="G204"/>
    <s v="H176"/>
    <m/>
    <s v="Biaya OTC Rp.1.500.000"/>
  </r>
  <r>
    <n v="908"/>
    <s v="DCI Indonesia"/>
    <s v="PT Nap Info Lintasnusa"/>
    <s v="Equity Tower 17th floor suiteF SCBD lot_x000a_Jl Jend Sudirman Kav 52-53 Jakarta 12190"/>
    <x v="0"/>
    <m/>
    <s v="PT IPC Network DCI Equinix MM2100"/>
    <s v="Sewa Tahunan"/>
    <s v="Colocation"/>
    <s v="ICON-00/SBC/1711/0073"/>
    <m/>
    <m/>
    <m/>
    <m/>
    <m/>
    <n v="54000000"/>
    <m/>
    <m/>
    <n v="18000000"/>
    <m/>
    <d v="2020-07-17T00:00:00"/>
    <d v="2021-07-16T00:00:00"/>
    <x v="2"/>
    <m/>
    <d v="2025-12-24T00:00:00"/>
    <n v="-1622"/>
    <n v="7"/>
    <n v="2021"/>
    <s v="07291/SPP/008/PUSAT/ICON+/2017 |4500010733 | 08682/SPP/008/PUSAT/ICON+/2018 | 4500011545 | 11166/SPP/008/PUSAT/ICON+/2019 | 4500012983"/>
    <s v="13546/SPP/008/PUSAT/ICON+/2020"/>
    <n v="4500014528"/>
    <s v="Fajar Paramita"/>
    <s v="Feeny Intani Dewi"/>
    <s v="021-29037500"/>
    <n v="74"/>
    <s v="B88"/>
    <s v="C141"/>
    <s v="D140"/>
    <m/>
    <m/>
    <m/>
    <m/>
    <m/>
    <s v="Biaya OTC Rp.1.500.000"/>
  </r>
  <r>
    <n v="909"/>
    <s v="DCI Indonesia"/>
    <s v="PT AGINCOURT RESOURCES"/>
    <s v="Equity Tower 17th floor suiteF SCBD lot_x000a_Jl Jend Sudirman Kav 52-53 Jakarta 12196"/>
    <x v="0"/>
    <m/>
    <s v="PT. Data Center Infrastruktur Indonesia (Dci) Kawasan Industri MM2100 Cibitung, Jl Irian, Cikarang, Jawa Barat, Indonesia,"/>
    <s v="Sewa Tahunan"/>
    <s v="Cross Connect"/>
    <s v="230120200210"/>
    <m/>
    <m/>
    <m/>
    <m/>
    <m/>
    <n v="1428000000"/>
    <m/>
    <m/>
    <n v="18000000"/>
    <m/>
    <d v="2024-05-20T00:00:00"/>
    <d v="2025-05-19T00:00:00"/>
    <x v="0"/>
    <m/>
    <d v="2025-12-24T00:00:00"/>
    <n v="-219"/>
    <n v="5"/>
    <n v="2025"/>
    <s v="15873/SPP/008/PUSAT/ICON+/2021 | 4500016200"/>
    <s v="3541/SPP/SBU/PLNICONPLUS/2024"/>
    <n v="4500022926"/>
    <s v="Fajar Paramita"/>
    <s v="Fenny Intani Dewi"/>
    <s v="021-29037500"/>
    <m/>
    <m/>
    <m/>
    <m/>
    <s v="E51"/>
    <m/>
    <s v="G223"/>
    <s v="H228"/>
    <m/>
    <s v="Biaya OTC Rp.1.500.000"/>
  </r>
  <r>
    <n v="910"/>
    <s v="DCI Indonesia"/>
    <s v="Sukonindo"/>
    <s v="Equity Tower 17th floor suiteF SCBD lot_x000a_Jl Jend Sudirman Kav 52-53 Jakarta 12196"/>
    <x v="0"/>
    <s v="DCI Data Center, Jl. Halmahera Blok F1 No.1, Danau Indah,  Cikarang Barat,  Kabupaten Bekasi,  Jawa Barat,  Indonesia,  "/>
    <s v="Sokonindo JL. Raya Industri Modern Cikande Kav. 30-C Desa Barangkok, -, Kabupaten Serang, Banten,"/>
    <s v="Sewa Tahunan"/>
    <s v="Cross Connect"/>
    <s v="PA/ACT/1812/0006"/>
    <m/>
    <m/>
    <m/>
    <m/>
    <m/>
    <n v="155730480"/>
    <m/>
    <m/>
    <n v="18000000"/>
    <m/>
    <d v="2024-01-10T00:00:00"/>
    <d v="2025-01-09T00:00:00"/>
    <x v="0"/>
    <m/>
    <d v="2025-12-24T00:00:00"/>
    <n v="-349"/>
    <n v="1"/>
    <n v="2025"/>
    <s v="10049/SPP/008/PUSAT/ICON+/2019 | 4500012384 | 10049/SPP/008/PUSAT/ICON+/2019 | 4500013953| 15108/SPP/008/PUSAT/ICON+/2021| 4500015702 | 17675 | 4500017501"/>
    <m/>
    <n v="4500022157"/>
    <s v="Fajar Paramita"/>
    <s v="Fenny Intani Dewi"/>
    <s v="021-29037500"/>
    <m/>
    <m/>
    <s v="C2"/>
    <s v="D86"/>
    <s v="E219"/>
    <s v="F124"/>
    <m/>
    <s v="H44"/>
    <m/>
    <s v="Biaya OTC Rp.1.500.000"/>
  </r>
  <r>
    <n v="911"/>
    <s v="DCI Indonesia"/>
    <m/>
    <s v="Equity Tower 17th floor suiteF SCBD lot_x000a_Jl Jend Sudirman Kav 52-53 Jakarta 12196"/>
    <x v="0"/>
    <m/>
    <m/>
    <s v="Sewa Tahunan"/>
    <s v="Cross Connect"/>
    <m/>
    <m/>
    <m/>
    <m/>
    <m/>
    <m/>
    <m/>
    <m/>
    <m/>
    <n v="18000000"/>
    <m/>
    <d v="2022-11-01T00:00:00"/>
    <d v="2023-10-31T00:00:00"/>
    <x v="0"/>
    <m/>
    <d v="2025-12-24T00:00:00"/>
    <n v="-785"/>
    <n v="10"/>
    <n v="2023"/>
    <s v="baru"/>
    <s v="20182/SPP/008/PUSAT/ICON+/2022"/>
    <m/>
    <s v="Fajar Paramita"/>
    <s v="Fenny Intani Dewi"/>
    <s v="021-29037500"/>
    <m/>
    <m/>
    <m/>
    <m/>
    <m/>
    <m/>
    <m/>
    <m/>
    <m/>
    <s v="Biaya OTC Rp.1.500.000"/>
  </r>
  <r>
    <n v="912"/>
    <s v="DCI Indonesia"/>
    <s v="PT Nosairis Teknologi Solutions"/>
    <s v="Equity Tower 17th floor suiteF SCBD lot_x000a_Jl Jend Sudirman Kav 52-53 Jakarta 12196"/>
    <x v="0"/>
    <m/>
    <s v="DATA CENTER INDONESIA (DCI) JK1, CIBITUNG, JL. HALMAHERA NO.1, DANAU INDAH, KEC. CIKARANG BAR., KABUPATEN BEKASI, JAWA BARAT 17530)"/>
    <s v="Sewa Tahunan"/>
    <s v="Cross Connect"/>
    <s v="A822305240010"/>
    <m/>
    <m/>
    <m/>
    <m/>
    <m/>
    <n v="60000000"/>
    <m/>
    <m/>
    <n v="18000000"/>
    <m/>
    <d v="2024-07-20T00:00:00"/>
    <d v="2025-07-19T00:00:00"/>
    <x v="0"/>
    <m/>
    <d v="2025-12-24T00:00:00"/>
    <n v="-158"/>
    <n v="7"/>
    <n v="2025"/>
    <s v="764/SPP/SBU/ICON+/2023 | 4500020890"/>
    <s v="4313/SPP/SBU/PLNICONPLUS/2024"/>
    <n v="4500023491"/>
    <s v="Livia Indraswati"/>
    <s v="Fenny Intani Dewi"/>
    <s v="021-29037500"/>
    <m/>
    <m/>
    <m/>
    <m/>
    <m/>
    <m/>
    <s v="G127"/>
    <s v="H343"/>
    <m/>
    <s v="Biaya OTC Rp.1.500.000"/>
  </r>
  <r>
    <n v="913"/>
    <s v="DCI Indonesia"/>
    <s v="PT JAMINAN KREDIT INDONESIA"/>
    <s v="Equity Tower 17th floor suiteF SCBD lot_x000a_Jl Jend Sudirman Kav 52-53 Jakarta 12196"/>
    <x v="0"/>
    <m/>
    <s v="DATA CENTER INDONESIA (DCI) JK1, CIBITUNG, JL. HALMAHERA NO.1, DANAU INDAH, KEC. CIKARANG BAR., KABUPATEN BEKASI, JAWA BARAT 17530)"/>
    <s v="Sewa Tahunan"/>
    <s v="Cross Connect"/>
    <s v="A821205000161"/>
    <m/>
    <m/>
    <m/>
    <m/>
    <m/>
    <n v="96000000"/>
    <m/>
    <m/>
    <n v="36000000"/>
    <m/>
    <d v="2023-08-24T00:00:00"/>
    <d v="2024-08-23T00:00:00"/>
    <x v="0"/>
    <m/>
    <d v="2025-12-24T00:00:00"/>
    <n v="-488"/>
    <n v="8"/>
    <n v="2024"/>
    <s v="baru"/>
    <s v="1054/SPP/SBU/ICON+/2023"/>
    <n v="4500021056"/>
    <s v="Fajar Paramita"/>
    <s v="Fenny Intani Dewi"/>
    <s v="021-29037500"/>
    <m/>
    <m/>
    <m/>
    <m/>
    <m/>
    <m/>
    <s v="G164"/>
    <m/>
    <m/>
    <s v="Biaya OTC Rp.1.500.000"/>
  </r>
  <r>
    <n v="914"/>
    <s v="DCI Indonesia"/>
    <s v="PT JAMINAN KREDIT INDONESIA"/>
    <s v="Equity Tower 17th floor suiteF SCBD lot_x000a_Jl Jend Sudirman Kav 52-53 Jakarta 12196"/>
    <x v="0"/>
    <m/>
    <s v="DATA CENTER INDONESIA (DCI) JK1, CIBITUNG, JL. HALMAHERA NO.1, DANAU INDAH, KEC. CIKARANG BAR., KABUPATEN BEKASI, JAWA BARAT 17530)"/>
    <s v="Sewa Tahunan"/>
    <s v="Cross Connect"/>
    <s v="A821205000161"/>
    <m/>
    <m/>
    <m/>
    <m/>
    <m/>
    <n v="96000000"/>
    <m/>
    <m/>
    <n v="36000000"/>
    <m/>
    <d v="2024-08-24T00:00:00"/>
    <d v="2025-08-23T00:00:00"/>
    <x v="0"/>
    <m/>
    <d v="2025-12-24T00:00:00"/>
    <n v="-123"/>
    <n v="8"/>
    <n v="2025"/>
    <m/>
    <s v="3828/SPP/SBU/PLNICONPLUS/2024"/>
    <n v="4500023036"/>
    <s v="Livia Indraswati"/>
    <s v="Fenny Intani Dewi"/>
    <s v="021-29037500"/>
    <m/>
    <m/>
    <m/>
    <m/>
    <m/>
    <m/>
    <m/>
    <s v="H209"/>
    <m/>
    <m/>
  </r>
  <r>
    <n v="915"/>
    <s v="DCI Indonesia"/>
    <s v="BANK BJB"/>
    <s v="Equity Tower 17th floor suiteF SCBD lot_x000a_Jl Jend Sudirman Kav 52-53 Jakarta 12196"/>
    <x v="0"/>
    <m/>
    <s v="DATA CENTER INDONESIA (DCI) JK1, CIBITUNG)"/>
    <s v="Sewa Tahunan"/>
    <s v="Cross Connect"/>
    <s v="A121202000211"/>
    <m/>
    <m/>
    <m/>
    <m/>
    <m/>
    <m/>
    <m/>
    <m/>
    <n v="36000000"/>
    <m/>
    <d v="2023-08-01T00:00:00"/>
    <d v="2024-07-31T00:00:00"/>
    <x v="0"/>
    <m/>
    <d v="2025-12-24T00:00:00"/>
    <n v="-511"/>
    <n v="7"/>
    <n v="2024"/>
    <s v="baru"/>
    <s v="826/SPP/SBU/ICON+/2023"/>
    <n v="4500020993"/>
    <s v="Fajar Paramita"/>
    <s v="Fenny Intani Dewi"/>
    <s v="021-29037500"/>
    <m/>
    <m/>
    <m/>
    <m/>
    <m/>
    <m/>
    <s v="G174"/>
    <m/>
    <m/>
    <s v="Biaya OTC Rp.4.000.000"/>
  </r>
  <r>
    <n v="916"/>
    <s v="DCI Indonesia"/>
    <s v="BANK BJB"/>
    <s v="Equity Tower 17th floor suiteF SCBD lot_x000a_Jl Jend Sudirman Kav 52-53 Jakarta 12196"/>
    <x v="0"/>
    <m/>
    <s v="DATA CENTER INDONESIA (DCI) JK1, CIBITUNG)"/>
    <s v="Sewa Tahunan"/>
    <s v="Cross Connect"/>
    <s v="A121202000211"/>
    <m/>
    <m/>
    <m/>
    <m/>
    <m/>
    <m/>
    <m/>
    <m/>
    <n v="36000000"/>
    <m/>
    <d v="2024-08-01T00:00:00"/>
    <d v="2025-07-31T00:00:00"/>
    <x v="0"/>
    <m/>
    <d v="2025-12-24T00:00:00"/>
    <n v="-146"/>
    <n v="7"/>
    <n v="2025"/>
    <m/>
    <s v="4048/SPP/SBU/PLNICONPLUS/2024"/>
    <n v="4500023228"/>
    <s v="Livia Indraswati"/>
    <s v="Fenny Intani Dewi"/>
    <s v="021-29037500"/>
    <m/>
    <m/>
    <m/>
    <m/>
    <m/>
    <m/>
    <m/>
    <s v="H285"/>
    <m/>
    <m/>
  </r>
  <r>
    <n v="917"/>
    <s v="DCI Indonesia"/>
    <s v="PT Bank Neo Commerce Tbk"/>
    <s v="Equity Tower 17th floor suiteF SCBD lot_x000a_Jl Jend Sudirman Kav 52-53 Jakarta 12196"/>
    <x v="0"/>
    <m/>
    <s v="DCI CIBITUNG AKULAKU ALICLOUD JL. IRIAN, GG 5-1, KAWASAN INDUSTRI MM 2100, CIKARANG BARAT, BEKASI, JAWA BARAT, INDONESIA, 17530."/>
    <s v="Sewa Tahunan"/>
    <s v="Cross Connect"/>
    <s v="A821202000416 / 8223082400001"/>
    <m/>
    <m/>
    <m/>
    <m/>
    <m/>
    <n v="420000000"/>
    <m/>
    <m/>
    <n v="18000000"/>
    <m/>
    <d v="2023-07-09T00:00:00"/>
    <d v="2024-07-08T00:00:00"/>
    <x v="0"/>
    <m/>
    <d v="2025-12-24T00:00:00"/>
    <n v="-534"/>
    <n v="7"/>
    <n v="2024"/>
    <s v="baru"/>
    <s v="1227/SPP/SBU/ICON+/2023"/>
    <n v="4500021202"/>
    <s v="Fajar Paramita"/>
    <s v="Fenny Intani Dewi"/>
    <s v="021-29037500"/>
    <m/>
    <m/>
    <m/>
    <m/>
    <m/>
    <m/>
    <s v="G192"/>
    <m/>
    <m/>
    <s v="Biaya OTC Rp.1.500.000"/>
  </r>
  <r>
    <n v="918"/>
    <s v="DCI Indonesia"/>
    <s v="PT Bank Neo Commerce Tbk"/>
    <s v="Equity Tower 17th floor suiteF SCBD lot_x000a_Jl Jend Sudirman Kav 52-53 Jakarta 12196"/>
    <x v="0"/>
    <m/>
    <s v="DCI CIBITUNG AKULAKU ALICLOUD JL. IRIAN, GG 5-1, KAWASAN INDUSTRI MM 2100, CIKARANG BARAT, BEKASI, JAWA BARAT, INDONESIA, 17530."/>
    <s v="Sewa Tahunan"/>
    <s v="Cross Connect"/>
    <s v="A821202000416 / 8223082400001"/>
    <m/>
    <m/>
    <m/>
    <m/>
    <m/>
    <n v="420000000"/>
    <m/>
    <m/>
    <n v="18000000"/>
    <m/>
    <d v="2024-07-09T00:00:00"/>
    <d v="2025-07-08T00:00:00"/>
    <x v="2"/>
    <m/>
    <d v="2025-12-24T00:00:00"/>
    <n v="-169"/>
    <n v="7"/>
    <n v="2025"/>
    <m/>
    <s v="3891/SPP/SBU/PLNICONPLUS/2024"/>
    <n v="4500023106"/>
    <s v="Livia Indraswati"/>
    <s v="Fenny Intani Dewi"/>
    <s v="021-29037500"/>
    <m/>
    <m/>
    <m/>
    <m/>
    <m/>
    <m/>
    <m/>
    <s v="H257"/>
    <m/>
    <m/>
  </r>
  <r>
    <n v="919"/>
    <s v="DCI Indonesia"/>
    <s v="PT. ADIRA DINAMIKA MULTIFINANCE"/>
    <s v="Equity Tower 17th floor suiteF SCBD lot_x000a_Jl Jend Sudirman Kav 52-53 Jakarta 12196"/>
    <x v="0"/>
    <m/>
    <s v="PT DCI INDONESIA  Jalan Jawa Blok GG-5-1. Kawasan Industri MM 2100,  Cikarang,  Kota Bekasi,  Jawa Barat,  Indonesia,  17520"/>
    <s v="Sewa Tahunan"/>
    <s v="Cross Connect"/>
    <s v="AL/2103/12970/ 01000022279"/>
    <m/>
    <m/>
    <m/>
    <m/>
    <m/>
    <n v="240000000"/>
    <m/>
    <m/>
    <n v="36000000"/>
    <m/>
    <d v="2023-09-01T00:00:00"/>
    <d v="2024-08-31T00:00:00"/>
    <x v="0"/>
    <m/>
    <d v="2025-12-24T00:00:00"/>
    <n v="-480"/>
    <n v="8"/>
    <n v="2024"/>
    <s v="-"/>
    <s v="1922/SPP/SBU/ICON+/2023"/>
    <n v="4500021707"/>
    <s v="Fajar Paramita"/>
    <s v="Fenny Intani Dewi"/>
    <s v="021-29037500"/>
    <m/>
    <m/>
    <m/>
    <m/>
    <m/>
    <m/>
    <s v="G326"/>
    <m/>
    <m/>
    <s v="Biaya OTC Rp.1.500.000"/>
  </r>
  <r>
    <n v="920"/>
    <s v="DCI Indonesia"/>
    <s v="PT. ADIRA DINAMIKA MULTIFINANCE"/>
    <s v="Equity Tower 17th floor suiteF SCBD lot_x000a_Jl Jend Sudirman Kav 52-53 Jakarta 12196"/>
    <x v="0"/>
    <m/>
    <s v="PT DCI INDONESIA  Jalan Jawa Blok GG-5-1. Kawasan Industri MM 2100,  Cikarang,  Kota Bekasi,  Jawa Barat,  Indonesia,  17520"/>
    <s v="Sewa Tahunan"/>
    <s v="Cross Connect"/>
    <s v="AL/2103/12970/ 01000022279"/>
    <m/>
    <m/>
    <m/>
    <m/>
    <m/>
    <n v="240000000"/>
    <m/>
    <m/>
    <n v="36000000"/>
    <m/>
    <d v="2024-09-01T00:00:00"/>
    <d v="2025-08-31T00:00:00"/>
    <x v="0"/>
    <m/>
    <d v="2025-12-24T00:00:00"/>
    <n v="-115"/>
    <n v="8"/>
    <n v="2025"/>
    <m/>
    <s v="3861/SPP/SBU/PLNICONPLUS/2024"/>
    <n v="4500023104"/>
    <s v="Livia Indraswati"/>
    <s v="Fenny Intani Dewi"/>
    <s v="021-29037500"/>
    <m/>
    <m/>
    <m/>
    <m/>
    <m/>
    <m/>
    <m/>
    <s v="H261"/>
    <m/>
    <m/>
  </r>
  <r>
    <n v="921"/>
    <s v="DCI Indonesia"/>
    <s v="PT DIGITAL KARYALOKA NUSANTARA"/>
    <s v="Equity Tower 17th floor suiteF SCBD lot_x000a_Jl Jend Sudirman Kav 52-53 Jakarta 12196"/>
    <x v="0"/>
    <s v="DCI Cibitung Jl. Halmahera No.1, Danau Indah, Kec. Cikarang Bar. Kabupaten Bekasi, Jawa Barat 17530"/>
    <s v="BNI DC Slipi Jl. Anggrek Neli Murni VI No.14, RT.13/RW.1, Kemanggisan, Kec. Palmerah, Kota Jakarta Barat, Daerah Khusus Ibukota Jakarta 11480"/>
    <s v="Sewa Tahunan"/>
    <s v="Cross Connect"/>
    <s v="A821205000211"/>
    <m/>
    <m/>
    <m/>
    <m/>
    <m/>
    <n v="69500000"/>
    <m/>
    <m/>
    <n v="36000000"/>
    <m/>
    <d v="2023-10-06T00:00:00"/>
    <d v="2024-10-05T00:00:00"/>
    <x v="0"/>
    <m/>
    <d v="2025-12-24T00:00:00"/>
    <n v="-445"/>
    <n v="10"/>
    <n v="2024"/>
    <s v="baru"/>
    <s v="1651/SPP/SBU/ICON+/2023"/>
    <n v="4500021509"/>
    <s v="Fajar Paramita"/>
    <s v="Fenny Intani Dewi"/>
    <s v="021-29037500"/>
    <m/>
    <m/>
    <m/>
    <m/>
    <m/>
    <m/>
    <s v="G276"/>
    <m/>
    <m/>
    <s v="Biaya OTC Rp.1.500.000"/>
  </r>
  <r>
    <n v="922"/>
    <s v="DCI Indonesia"/>
    <s v="PT BAHANA PEMBINAAN USAHA INDONESIA"/>
    <s v="Equity Tower 17th floor suiteF SCBD lot_x000a_Jl Jend Sudirman Kav 52-53 Jakarta 12196"/>
    <x v="0"/>
    <s v="(DCI) JL. HALMAHERA NO.1, DANAU INDAH, KEC. CIKARANG BAR., KABUPATEN BEKASI, JAWA BARAT 17530"/>
    <s v="ELITERY) JL. RAYA PAJAJARAN NO.17, RT.06/RW.13, BARANANGSIANG, KEC. BOGOR TIM., KOTA BOGOR, JAWA BARAT 16143"/>
    <s v="Sewa Tahunan"/>
    <s v="Cross Connect"/>
    <s v="A821202000636"/>
    <m/>
    <m/>
    <m/>
    <m/>
    <m/>
    <n v="148800000"/>
    <m/>
    <m/>
    <n v="36000000"/>
    <m/>
    <d v="2023-11-08T00:00:00"/>
    <d v="2024-11-07T00:00:00"/>
    <x v="0"/>
    <m/>
    <d v="2025-12-24T00:00:00"/>
    <n v="-412"/>
    <n v="11"/>
    <n v="2024"/>
    <s v="baru"/>
    <s v="1994/SPP/SBU/ICON+/2023"/>
    <n v="4500021659"/>
    <s v="Fajar Paramita"/>
    <s v="Fenny Intani Dewi"/>
    <s v="021-29037500"/>
    <m/>
    <m/>
    <m/>
    <m/>
    <m/>
    <m/>
    <s v="G309"/>
    <m/>
    <m/>
    <s v="Biaya OTC Rp.1.500.000"/>
  </r>
  <r>
    <n v="923"/>
    <s v="DCI Indonesia"/>
    <s v="PT Bank Pembangunan Daerah_x000a_Bali"/>
    <s v="Equity Tower 17th floor suiteF SCBD lot_x000a_Jl Jend Sudirman Kav 52-53 Jakarta 12196"/>
    <x v="0"/>
    <s v="KCP Baturiti, Jl. Gunung Agung No.23, Baturiti, Kec._x000a_Baturiti, Kabupaten Tabanan, Bali 82191 (-_x000a_8.328644978535914, 115.18610477301344)"/>
    <s v="PT DCI INDONESIA CIBITUNG, JL. HALMAHERA NO.1, DANAU_x000a_INDAH, KEC. CIKARANG BAR., KABUPATEN BEKASI, JAWA BARAT_x000a_17530"/>
    <s v="Sewa Tahunan"/>
    <s v="Cross Connect"/>
    <s v="A151202000026 _x000a_"/>
    <m/>
    <m/>
    <m/>
    <m/>
    <m/>
    <n v="66000000"/>
    <m/>
    <m/>
    <n v="18000000"/>
    <m/>
    <d v="2023-11-27T00:00:00"/>
    <d v="2024-11-26T00:00:00"/>
    <x v="0"/>
    <m/>
    <d v="2025-12-24T00:00:00"/>
    <n v="-393"/>
    <n v="11"/>
    <n v="2024"/>
    <s v="baru"/>
    <n v="2159"/>
    <n v="4500021969"/>
    <s v="Fajar Paramita"/>
    <s v="Fenny Intani Dewi"/>
    <s v="021-29037500"/>
    <m/>
    <m/>
    <m/>
    <m/>
    <m/>
    <m/>
    <s v="G356"/>
    <m/>
    <m/>
    <s v="Biaya OTC Rp.1.500.000"/>
  </r>
  <r>
    <n v="924"/>
    <s v="DCI Indonesia"/>
    <s v="PT. Abadi Tambah Mulia Internasional "/>
    <s v="Equity Tower 17th floor suiteF SCBD lot_x000a_Jl Jend Sudirman Kav 52-53 Jakarta 12196"/>
    <x v="0"/>
    <s v="PT. Tangara Mitrakom JL. RP Soeroso No. 37"/>
    <s v="PT Abadi Tambah Mulia Internasional, DCI Cibitung Jl. Halmahera No.1, Danau Indah"/>
    <s v="Sewa Tahunan"/>
    <s v="Cross Connect"/>
    <s v="PA/ACT/2202/0176/TER"/>
    <m/>
    <m/>
    <m/>
    <m/>
    <m/>
    <n v="54000000"/>
    <m/>
    <m/>
    <n v="18000000"/>
    <m/>
    <d v="2024-02-10T00:00:00"/>
    <d v="2025-02-09T00:00:00"/>
    <x v="0"/>
    <m/>
    <d v="2025-12-24T00:00:00"/>
    <n v="-318"/>
    <n v="2"/>
    <n v="2025"/>
    <s v="21509 | 4500020077"/>
    <n v="2736"/>
    <n v="4500022291"/>
    <s v="Fajar Paramita"/>
    <s v="Fenny Intani Dewi"/>
    <s v="021-29037500"/>
    <m/>
    <m/>
    <m/>
    <m/>
    <m/>
    <m/>
    <m/>
    <s v="H78"/>
    <m/>
    <s v="Biaya OTC Rp.1.500.000"/>
  </r>
  <r>
    <n v="925"/>
    <s v="Dinamika Raya Prima "/>
    <s v="PT Adi Inti Mandiri Solusi "/>
    <s v="MidPlaza 2 Lt. 8 Jl Jend. Sudirman 10-11 Jakarta 10223"/>
    <x v="0"/>
    <m/>
    <s v=" Graha Baramulti Komp. Harmoni Blok A-8, Jl. Suryapranoto No.2, RT.2/RW.8,"/>
    <s v="Sewa Tahunan"/>
    <s v="Cross Connect"/>
    <s v="PA/ACT/2203/1103/TER "/>
    <m/>
    <m/>
    <m/>
    <m/>
    <m/>
    <n v="276000000"/>
    <m/>
    <m/>
    <n v="24000000"/>
    <m/>
    <d v="2022-03-23T00:00:00"/>
    <d v="2022-03-22T00:00:00"/>
    <x v="2"/>
    <m/>
    <d v="2025-12-24T00:00:00"/>
    <n v="-1373"/>
    <n v="3"/>
    <n v="2022"/>
    <s v="baru"/>
    <s v="18301/SPP/008/PUSAT/ICON+/2022"/>
    <n v="4500017808"/>
    <s v="Fajar Paramita"/>
    <s v="Marissa"/>
    <s v="021-57998891"/>
    <m/>
    <m/>
    <m/>
    <m/>
    <m/>
    <s v="F95"/>
    <m/>
    <m/>
    <m/>
    <s v="1.Biaya OTC Rp.6.000.000 "/>
  </r>
  <r>
    <n v="926"/>
    <s v="Dinamika Raya Prima"/>
    <s v="PT BANK SYARIAH INDONESIA TBK"/>
    <s v="MidPlaza 2 Lt. 8 Jl Jend. Sudirman 10-11 Jakarta 10220"/>
    <x v="0"/>
    <m/>
    <s v="(Relokasi Rack dan masih satu gedung) H2H BSM-Bukalapak, Data Center Biznet, Biznet Technovillage, PT. Dinamika Raya Prima (Relokasi lantai 3), Jl. Riverside Golf Club No. 1, Bojong Nangka"/>
    <s v="Sewa Tahunan"/>
    <s v="Cross Connect"/>
    <s v="PA/ACT/2302/10715"/>
    <m/>
    <m/>
    <m/>
    <m/>
    <m/>
    <n v="102000000"/>
    <m/>
    <m/>
    <n v="24000000"/>
    <m/>
    <d v="2024-03-28T00:00:00"/>
    <d v="2025-03-27T00:00:00"/>
    <x v="0"/>
    <m/>
    <d v="2025-12-24T00:00:00"/>
    <n v="-272"/>
    <n v="3"/>
    <n v="2025"/>
    <s v="21807/SPP/008/PUSAT/ICON+/2023 | 4500020329"/>
    <s v="3093/SPP/SBU/PLNICONPLUS/2024"/>
    <n v="4500022851"/>
    <s v="Fajar Paramita"/>
    <s v="Marissa"/>
    <s v="021-57998891"/>
    <m/>
    <m/>
    <m/>
    <m/>
    <m/>
    <m/>
    <s v="G82"/>
    <s v="H212"/>
    <m/>
    <s v="Instalasi Biznet Rp.5.000.000"/>
  </r>
  <r>
    <n v="927"/>
    <s v="Dinamika Raya Prima"/>
    <s v="PT. AEON CREDIT SERVICES INDONESIA"/>
    <s v="MidPlaza 2 Lt. 8 Jl Jend. Sudirman 10-11 Jakarta 10222"/>
    <x v="0"/>
    <m/>
    <s v="Biznet Technovillage - Jl. Riverside Golf Club No.1, Bojong Nangka, Kec. Gn. Putri, Kabupaten Bogor"/>
    <s v="Sewa Tahunan"/>
    <s v="Cross Connect"/>
    <s v="PA/ACT/2202/0451/TER"/>
    <m/>
    <m/>
    <m/>
    <m/>
    <m/>
    <n v="66000000"/>
    <m/>
    <s v="Rp.5.000.000"/>
    <n v="24000000"/>
    <m/>
    <d v="2022-02-18T00:00:00"/>
    <d v="2023-02-17T00:00:00"/>
    <x v="0"/>
    <m/>
    <d v="2025-12-24T00:00:00"/>
    <n v="-1041"/>
    <n v="2"/>
    <n v="2023"/>
    <s v="17920/SPP/008/PUSAT/ICON+/2022 | 4500017626"/>
    <s v="21265/SPP/008/PUSAT/ICON+/2023"/>
    <m/>
    <s v="Fajar Paramita"/>
    <s v="Marissa"/>
    <s v="021-57998891"/>
    <m/>
    <m/>
    <m/>
    <m/>
    <m/>
    <s v="F33"/>
    <m/>
    <m/>
    <m/>
    <s v="Konfirm to Sales"/>
  </r>
  <r>
    <n v="928"/>
    <s v="Dinamika Raya Prima"/>
    <s v="PT. AEON CREDIT SERVICES INDONESIA"/>
    <s v="MidPlaza 2 Lt. 8 Jl Jend. Sudirman 10-11 Jakarta 10222"/>
    <x v="0"/>
    <m/>
    <s v="Biznet Technovillage - Jl. Riverside Golf Club No.1, Bojong Nangka, Kec. Gn. Putri, Kabupaten Bogor"/>
    <s v="Sewa Tahunan"/>
    <s v="Cross Connect"/>
    <s v="PA/ACT/2202/0451/TER"/>
    <m/>
    <m/>
    <m/>
    <m/>
    <m/>
    <n v="66000000"/>
    <m/>
    <m/>
    <n v="24000000"/>
    <m/>
    <d v="2023-02-18T00:00:00"/>
    <d v="2025-02-17T00:00:00"/>
    <x v="1"/>
    <m/>
    <d v="2025-12-24T00:00:00"/>
    <n v="-310"/>
    <n v="2"/>
    <n v="2025"/>
    <m/>
    <m/>
    <m/>
    <m/>
    <m/>
    <m/>
    <m/>
    <m/>
    <m/>
    <m/>
    <m/>
    <m/>
    <m/>
    <m/>
    <m/>
    <m/>
  </r>
  <r>
    <n v="929"/>
    <s v="Dinamika Raya Prima"/>
    <s v="BUT. MUFG BANK, LTD sebelumnya Bank Of Tokyo"/>
    <s v="MidPlaza 2 Lt. 8 Jl Jend. Sudirman 10-11 Jakarta 10220"/>
    <x v="0"/>
    <m/>
    <s v="Biznet Technovillage Bukit Riverside Golf Jl. Biznet Technovillage No. Cimanggis ( BUT The Bank of Tokyo SO No. ICON-00/ACT/1501/0184)"/>
    <s v="Sewa Tahunan"/>
    <s v="Colocation"/>
    <s v="ICON-00/SBC/1506/0252"/>
    <m/>
    <m/>
    <m/>
    <m/>
    <m/>
    <n v="84000000"/>
    <m/>
    <s v="Rp1.500.000 "/>
    <n v="2000000"/>
    <m/>
    <d v="2020-04-06T00:00:00"/>
    <d v="2021-04-05T00:00:00"/>
    <x v="0"/>
    <m/>
    <d v="2025-12-24T00:00:00"/>
    <n v="-1724"/>
    <n v="4"/>
    <n v="2021"/>
    <s v="070317/MI/008/PUSAT/ICON+/2015 | 10579/SPP/008/PUSAT/ICON+/2019 | 4500012925"/>
    <s v="12694/SPP/008/PUSAT/ICON+/2020"/>
    <n v="4500014194"/>
    <s v="Fajar Paramita"/>
    <s v="Marissa"/>
    <s v="021-57998891"/>
    <m/>
    <m/>
    <s v="C305"/>
    <s v="D91"/>
    <m/>
    <m/>
    <m/>
    <m/>
    <m/>
    <s v="Konfirm to Sales"/>
  </r>
  <r>
    <n v="930"/>
    <s v="Dinamika Raya Prima"/>
    <s v="PT Rekso Nasional Food"/>
    <s v="MidPlaza 2 Lt. 8 Jl Jend. Sudirman 10-11 Jakarta 10220"/>
    <x v="0"/>
    <m/>
    <s v="Biznet Technovillage Bukit Riverside Golf Jl. Biznet Technovillage No. Cimanggis ( PT Rekso Nasional Food No. ICON-00/ACT/1604/0047)"/>
    <s v="Sewa Tahunan"/>
    <s v="Colocation"/>
    <s v="ICON-00/ACT/1604/0047"/>
    <m/>
    <m/>
    <m/>
    <m/>
    <m/>
    <n v="84000000"/>
    <m/>
    <m/>
    <n v="2000000"/>
    <m/>
    <d v="2021-04-20T00:00:00"/>
    <d v="2022-04-19T00:00:00"/>
    <x v="2"/>
    <m/>
    <d v="2025-12-24T00:00:00"/>
    <n v="-1345"/>
    <n v="4"/>
    <n v="2022"/>
    <s v="04184/MI/008/PUSAT/ICON+/2016 | 06869/SPP/008/PUSAT/ICON+/2017 |_x000a_ 053104/MI/000/PUSAT/ICON+/2016 |08427/SPP/008/PUSAT/ICON+/2018 | 4500011377_x000a_ 042010/SPR/008/PUSAT/ICON+/2016 | 4500010484 | 10429/SPP/008/PUSAT/ICON+/2019 | 4500012722 | 12698/SPP/008/PUSAT/ICON+/2020 | 4500013998"/>
    <s v="15559/SPP/008/PUSAT/ICON+/2021"/>
    <n v="4500016056"/>
    <s v="Fajar Paramita"/>
    <s v="Marissa"/>
    <s v="021-57998891"/>
    <m/>
    <s v="B80"/>
    <s v="C79"/>
    <s v="D70"/>
    <s v="E79"/>
    <m/>
    <m/>
    <m/>
    <m/>
    <s v="1. Biaya Instalasi UTP Rp1.000.000 _x000a_ 2. Biaya sewa Rp2.000.000,-/tahun"/>
  </r>
  <r>
    <n v="931"/>
    <s v="Dinamika Raya Prima"/>
    <s v="PT Tangara Mitrakom"/>
    <s v="MidPlaza 2 Lt. 8 Jl Jend. Sudirman 10-11 Jakarta 10220"/>
    <x v="0"/>
    <m/>
    <s v="Biznet Technovillage Bukit Riverside Golf Jl. Biznet Technovillage No. Cimanggis ( PT Tangara Mitrakom No. ICON-00/ACT/1609/0747, ICON-00/ACT/1609/0746, ICON-00/ACT/1609/0592)"/>
    <s v="Sewa Tahunan"/>
    <s v="Colocation"/>
    <s v="ICON-00/MIG/1611/0043 - 110120208994 / 0990000320485037_x000a_ICON-00/ACT/1610/0522 - 110120208996 / 0990000320480304"/>
    <m/>
    <m/>
    <m/>
    <m/>
    <m/>
    <n v="610200000"/>
    <m/>
    <m/>
    <n v="6000000"/>
    <m/>
    <d v="2022-10-21T00:00:00"/>
    <d v="2023-10-20T00:00:00"/>
    <x v="0"/>
    <m/>
    <d v="2025-12-24T00:00:00"/>
    <n v="-796"/>
    <n v="10"/>
    <n v="2023"/>
    <s v="3271016/SPR/ICON+/2016_x000a_ 1251016/SPR/ICON+/2016 07627/SPP/008/PUSAT/ICON+/2017 |4500010956 |09321/SPP/008/PUSAT/ICON+/2018 | 4500011893 | 11687/SPP/008/PUSAT/ICON+/2019 | 4500013316 | 14312/SPP/008/PUSAT/ICON+/2020 | 4500015117|16792/SPP/008/PUSAT/ICON+/2021| 4500016958"/>
    <s v="19416/SPP/008/PUSAT/ICON+/2022"/>
    <n v="4500018642"/>
    <s v="Fajar Paramita"/>
    <s v="Marissa"/>
    <s v="021-57998891"/>
    <n v="119"/>
    <s v="B201"/>
    <s v="C203"/>
    <s v="D338"/>
    <s v="E311"/>
    <s v="F289"/>
    <m/>
    <m/>
    <m/>
    <s v="1. Biaya Instalasi UTP Rp1.000.000 total untuk 3 kabel Rp3.000.000,-_x000a_ 2. Biaya sewa Rp2.000.000,-/tahun total untuk 3 kabel Rp6.000.000,-"/>
  </r>
  <r>
    <n v="932"/>
    <s v="Dinamika Raya Prima"/>
    <s v="PT Tangara Mitrakom"/>
    <s v="MidPlaza 2 Lt. 8 Jl Jend. Sudirman 10-11 Jakarta 10220"/>
    <x v="0"/>
    <m/>
    <s v="Biznet Technovillage Bukit Riverside Golf Jl. Biznet Technovillage No. Cimanggis ( PT Tangara Mitrakom No. ICON-00/ACT/1609/0747, ICON-00/ACT/1609/0746, ICON-00/ACT/1609/0592)"/>
    <s v="Sewa Tahunan"/>
    <s v="Colocation"/>
    <s v="ICON-00/MIG/1611/0043 - 110120208994 / 0990000320485037_x000a_ICON-00/ACT/1610/0522 - 110120208996 / 0990000320480304"/>
    <m/>
    <m/>
    <m/>
    <m/>
    <m/>
    <n v="153600000"/>
    <m/>
    <m/>
    <n v="6000000"/>
    <m/>
    <d v="2023-10-21T00:00:00"/>
    <d v="2025-10-20T00:00:00"/>
    <x v="1"/>
    <m/>
    <d v="2025-12-24T00:00:00"/>
    <n v="-65"/>
    <n v="10"/>
    <n v="2025"/>
    <m/>
    <s v="4117/SPP/SBU/PLNICONPLUS/2024"/>
    <n v="4500023246"/>
    <s v="Livia Indraswati"/>
    <s v="Marissa"/>
    <s v="021-57998892"/>
    <m/>
    <m/>
    <m/>
    <m/>
    <m/>
    <m/>
    <m/>
    <s v="H300"/>
    <m/>
    <m/>
  </r>
  <r>
    <n v="933"/>
    <s v="Dinamika Raya Prima"/>
    <s v="PT Bank Sinarmas (CID 1939)"/>
    <s v="MidPlaza 2 Lt. 8 Jl Jend. Sudirman 10-11 Jakarta 10220"/>
    <x v="0"/>
    <m/>
    <s v="Biznet Technovillage Bukit Riverside Golf Jl. Biznet Technovillage No. Cimanggis (PT Bahana Sysfo Utama)"/>
    <s v="Sewa Tahunan"/>
    <s v="Cross Connect"/>
    <s v="ICON-00/SBC/1706/0035 _x000a_ ICON-00/SBC/1704/0227"/>
    <m/>
    <m/>
    <m/>
    <m/>
    <m/>
    <n v="240000000"/>
    <m/>
    <m/>
    <n v="2000000"/>
    <m/>
    <d v="2024-02-01T00:00:00"/>
    <d v="2025-01-31T00:00:00"/>
    <x v="1"/>
    <m/>
    <d v="2025-12-24T00:00:00"/>
    <n v="-327"/>
    <n v="1"/>
    <n v="2025"/>
    <s v="0670317/SPR/ICON+/2017 | 08010/SPP/008/PUSAT/ICON+/2018 | 4500011246 | 09839/SPP/008/PUSAT/ICON+/2018 | 4500012301 | 12450/SPP/008/PUSAT/ICON+/2019 | 4500013745 | 17621/SPP/008/PUSAT/ICON+/2022 | 4500017804 | |21082/SPP/008/PUSAT/ICON+/2023 | 4500019974"/>
    <s v="3143/SPP/SBU/PLNICONPLUS/2024_x0009_"/>
    <n v="4500022911"/>
    <s v="Livia Indraswati"/>
    <s v="Marissa"/>
    <s v="021-57998891"/>
    <s v="-"/>
    <s v="B38"/>
    <s v="B288"/>
    <s v="D5"/>
    <s v="E156"/>
    <m/>
    <s v="G81"/>
    <s v="H179"/>
    <m/>
    <s v="1. Biaya collocation Crossconect MMR Cable UTP @Rp2.000.000/tahun _x000a_ 2. Biaya Instalasi Rp1.000.000 one time charge"/>
  </r>
  <r>
    <n v="934"/>
    <s v="Dinamika Raya Prima"/>
    <s v="PT. PRAWATHIYA KARSA PRADIPTHA"/>
    <s v="MidPlaza 2 Lt. 8 Jl Jend. Sudirman 10-11 Jakarta 10221"/>
    <x v="0"/>
    <m/>
    <s v="Biznet Technovillage Jl. Riverside Golf Club No.1, Bojong Nangka"/>
    <s v="Sewa Tahunan"/>
    <s v="Cross Connect"/>
    <s v="PA/ACT/2201/2302"/>
    <m/>
    <m/>
    <m/>
    <m/>
    <m/>
    <n v="72000000"/>
    <m/>
    <s v="Rp 3.000.000"/>
    <n v="12000000"/>
    <m/>
    <d v="2022-02-10T00:00:00"/>
    <d v="2023-02-09T00:00:00"/>
    <x v="2"/>
    <m/>
    <d v="2025-12-24T00:00:00"/>
    <n v="-1049"/>
    <n v="2"/>
    <n v="2023"/>
    <s v="baru"/>
    <s v="17921/SPP/008/PUSAT/ICON+/2022"/>
    <n v="4500017633"/>
    <s v="Fajar Paramita"/>
    <s v="Marissa"/>
    <s v="021-57998891"/>
    <m/>
    <m/>
    <m/>
    <m/>
    <m/>
    <s v="F34"/>
    <m/>
    <m/>
    <m/>
    <s v="Konfirm to Sales"/>
  </r>
  <r>
    <n v="935"/>
    <s v="Dinamika Raya Prima"/>
    <s v="PT. BANK SYARIAH MANDIRI"/>
    <s v="MidPlaza 2 Lt. 8 Jl Jend. Sudirman 10-11 Jakarta 10220"/>
    <x v="0"/>
    <m/>
    <s v="Bukalapak, Data Center Biznet, Biznet Technovillage, PT. Dinamika Raya Prima, Jl. Riverside Golf Club No. 1, Bojong Nangka, Gunung Putri, Kabupaten Bogor, Jawa Barat, Indonesia, 16965"/>
    <s v="Sewa Tahunan"/>
    <s v="Cross Connect"/>
    <s v="PA/ACT/1810/1104"/>
    <m/>
    <m/>
    <m/>
    <m/>
    <m/>
    <n v="42000000"/>
    <m/>
    <m/>
    <n v="6000000"/>
    <m/>
    <d v="2022-11-01T00:00:00"/>
    <d v="2023-10-31T00:00:00"/>
    <x v="0"/>
    <m/>
    <d v="2025-12-24T00:00:00"/>
    <n v="-785"/>
    <n v="10"/>
    <n v="2023"/>
    <s v="09478/SPP/008/PUSAT/ICON+/2018 | 4500012020 | 14564/SPP/008/PUSAT/ICON+/2020 | 4500015396 | 17172/SPP/008/PUSAT/ICON+/2021 | 4500017286"/>
    <s v="20198/SPP/008/PUSAT/ICON+/2022"/>
    <m/>
    <s v="Fajar Paramita"/>
    <s v="Marissa"/>
    <s v="021-57998891"/>
    <m/>
    <s v="B228"/>
    <m/>
    <s v="D297"/>
    <m/>
    <m/>
    <m/>
    <m/>
    <m/>
    <s v="Konfirm to Sales"/>
  </r>
  <r>
    <n v="936"/>
    <s v="Dinamika Raya Prima"/>
    <s v="PT Cyberindo Aditama qq PT Biznet Gio Nusantara"/>
    <s v="MidPlaza 2 Lt. 8 Jl Jend. Sudirman 10-11 Jakarta 10221"/>
    <x v="0"/>
    <m/>
    <s v="CBN - Biznet Technovillage, Jl. Riverside Golf Club No.1, Bojong Nangka, Gn. Putri, Kabupaten Bogor, Jawa Barat, Indonesia, 16965"/>
    <s v="Sewa Tahunan"/>
    <s v="Cross Connect"/>
    <s v="PA/ACT/1904/0253 - 110120208179 / 01000051525"/>
    <m/>
    <m/>
    <m/>
    <m/>
    <m/>
    <n v="143400000"/>
    <m/>
    <m/>
    <n v="12000000"/>
    <m/>
    <d v="2022-05-15T00:00:00"/>
    <d v="2023-05-14T00:00:00"/>
    <x v="0"/>
    <m/>
    <d v="2025-12-24T00:00:00"/>
    <n v="-955"/>
    <n v="5"/>
    <n v="2023"/>
    <s v="10816/SPP/008/PUSAT/ICON+/2019 | 4500012818 | 13124/SPP/008/PUSAT/ICON+/2020 | 4500014192| 15560/SPP/008/PUSAT/ICON+/2021| 4500016050"/>
    <s v="18807/SPP/008/PUSAT/ICON+/2022"/>
    <n v="4500018096"/>
    <s v="Fajar Paramita"/>
    <s v="Marissa"/>
    <s v="021-57998891"/>
    <m/>
    <m/>
    <s v="C102"/>
    <s v="D92"/>
    <s v="E78"/>
    <s v="F204"/>
    <m/>
    <m/>
    <m/>
    <s v="Konfirm to Sales"/>
  </r>
  <r>
    <n v="937"/>
    <s v="Dinamika Raya Prima"/>
    <s v="PT Cyberindo Aditama qq PT Biznet Gio Nusantara"/>
    <s v="MidPlaza 2 Lt. 8 Jl Jend. Sudirman 10-11 Jakarta 10221"/>
    <x v="0"/>
    <m/>
    <s v="CBN - Biznet Technovillage, Jl. Riverside Golf Club No.1, Bojong Nangka, Gn. Putri, Kabupaten Bogor, Jawa Barat, Indonesia, 16965"/>
    <s v="Sewa Tahunan"/>
    <s v="Cross Connect"/>
    <s v="PA/ACT/1904/0253 - 110120208179 / 01000051525"/>
    <m/>
    <m/>
    <m/>
    <m/>
    <m/>
    <n v="143400000"/>
    <m/>
    <m/>
    <n v="12000000"/>
    <m/>
    <d v="2023-05-15T00:00:00"/>
    <d v="2024-05-14T00:00:00"/>
    <x v="0"/>
    <m/>
    <d v="2025-12-24T00:00:00"/>
    <n v="-589"/>
    <n v="5"/>
    <n v="2024"/>
    <m/>
    <s v="398/SPP/SBU/ICON+/2023"/>
    <n v="4500023013"/>
    <s v="Livia Indraswati"/>
    <s v="Marissa"/>
    <s v="021-57998892"/>
    <m/>
    <m/>
    <m/>
    <m/>
    <m/>
    <m/>
    <m/>
    <m/>
    <m/>
    <m/>
  </r>
  <r>
    <n v="938"/>
    <s v="Dinamika Raya Prima"/>
    <s v="PT Cyberindo Aditama qq PT Biznet Gio Nusantara"/>
    <s v="MidPlaza 2 Lt. 8 Jl Jend. Sudirman 10-11 Jakarta 10221"/>
    <x v="0"/>
    <m/>
    <s v="CBN - Biznet Technovillage, Jl. Riverside Golf Club No.1, Bojong Nangka, Gn. Putri, Kabupaten Bogor, Jawa Barat, Indonesia, 16965"/>
    <s v="Sewa Tahunan"/>
    <s v="Cross Connect"/>
    <s v="PA/ACT/1904/0253 - 110120208179 / 01000051525"/>
    <m/>
    <m/>
    <m/>
    <m/>
    <m/>
    <n v="143400000"/>
    <m/>
    <m/>
    <n v="12000000"/>
    <m/>
    <d v="2024-05-15T00:00:00"/>
    <d v="2025-05-14T00:00:00"/>
    <x v="1"/>
    <m/>
    <d v="2025-12-24T00:00:00"/>
    <n v="-224"/>
    <n v="5"/>
    <n v="2025"/>
    <m/>
    <m/>
    <m/>
    <s v="Livia Indraswati"/>
    <s v="Marissa"/>
    <s v="021-57998893"/>
    <m/>
    <m/>
    <m/>
    <m/>
    <m/>
    <m/>
    <s v="H363"/>
    <m/>
    <m/>
    <m/>
  </r>
  <r>
    <n v="939"/>
    <s v="Dinamika Raya Prima"/>
    <s v="PT.SUMBER ALFARIA TRIJAYA Tbk"/>
    <s v="MidPlaza 2 Lt. 8 Jl Jend. Sudirman 10-11 Jakarta 10220"/>
    <x v="0"/>
    <m/>
    <s v="Data Center Biznet Technovillage_x000a_ Jl.BiznetTechnovillageNo1_x000a_ Cimanggis, Jawa Barat"/>
    <s v="Sewa Tahunan"/>
    <s v="Colocation"/>
    <s v="ICON-00/ACT/1510/0150"/>
    <m/>
    <m/>
    <m/>
    <m/>
    <m/>
    <n v="222000000"/>
    <m/>
    <m/>
    <n v="2000000"/>
    <m/>
    <d v="2023-01-01T00:00:00"/>
    <d v="2023-12-31T00:00:00"/>
    <x v="0"/>
    <m/>
    <d v="2025-12-24T00:00:00"/>
    <n v="-724"/>
    <n v="12"/>
    <n v="2023"/>
    <s v="08011/SPP/008/PUSAT/ICON+/2018 | 4500011192 | 09794/SPP/008/PUSAT/ICON+/2018 | 4500012290 | 09794/SPP/008/PUSAT/ICON+/2018 | 4500013734 | 14745/SPP/008/PUSAT/ICON+/2020 | 4500015357| 17205/SPP/008/PUSAT/ICON+/2021 | 4500017129"/>
    <s v="20571/SPP/008/PUSAT/ICON+/2022"/>
    <n v="4500019550"/>
    <s v="Fajar Paramita"/>
    <s v="Marissa"/>
    <s v="021-57998891"/>
    <m/>
    <s v="B32"/>
    <s v="B269"/>
    <s v="D8"/>
    <s v="E230"/>
    <s v="E389"/>
    <s v="F435"/>
    <m/>
    <m/>
    <s v="Konfirm to Sales"/>
  </r>
  <r>
    <n v="940"/>
    <s v="Dinamika Raya Prima"/>
    <s v="PT Bank Sinarmas"/>
    <s v="MidPlaza 2 Lt. 8 Jl Jend. Sudirman 10-11 Jakarta 10221"/>
    <x v="0"/>
    <m/>
    <s v="Data Center Biznet Technovillage_x000a_ Jl.BiznetTechnovillageNo1_x000a_ Cimanggis, Jawa Barat"/>
    <s v="Sewa Tahunan"/>
    <s v="Colocation"/>
    <s v="ICON-00/SBC/1704/0227"/>
    <m/>
    <m/>
    <m/>
    <m/>
    <m/>
    <n v="276000000"/>
    <m/>
    <m/>
    <n v="2000000"/>
    <m/>
    <d v="2022-03-01T00:00:00"/>
    <d v="2023-02-28T00:00:00"/>
    <x v="0"/>
    <m/>
    <d v="2025-12-24T00:00:00"/>
    <n v="-1030"/>
    <n v="2"/>
    <n v="2023"/>
    <s v="Collocation Cross Connect - UTP (Rack ICONPLUS &lt;&gt; RACK BEPS|4500010296| CID 1988 berubah menjadi CID 5008 | 08395/SPP/008/PUSAT/ICON+/2018 | 4500011372 | 10556/SPP/008/PUSAT/ICON+/2019 | 4500012664 | 12587/SPP/008/PUSAT/ICON+/2020 | 4500014038 | 15084/SPP/008/PUSAT/ICON+/2021 | 4500015683"/>
    <s v="17647/SPP/008/PUSAT/ICON+/2022"/>
    <n v="4500019958"/>
    <s v="Fajar Paramita"/>
    <s v="Marissa"/>
    <s v="021-57998891"/>
    <n v="58"/>
    <s v="B184"/>
    <s v="C70"/>
    <s v="D61"/>
    <s v="E157"/>
    <m/>
    <m/>
    <m/>
    <m/>
    <s v="Konfirm to Sales"/>
  </r>
  <r>
    <n v="941"/>
    <s v="Dinamika Raya Prima"/>
    <s v="PT BAHANA SYSFO UTAMA"/>
    <s v="MidPlaza 2 Lt. 8 Jl Jend. Sudirman 10-11 Jakarta 10220"/>
    <x v="0"/>
    <m/>
    <s v="Data Center Biznet Technovillage_x000a_ Jl.BiznetTechnovillageNo1_x000a_ Cimanggis, Jawa Barat"/>
    <s v="Sewa Tahunan"/>
    <s v="Cross Connect"/>
    <s v="ICON-00/SBC/1702/0689"/>
    <m/>
    <m/>
    <m/>
    <m/>
    <m/>
    <n v="240000000"/>
    <m/>
    <m/>
    <n v="2000000"/>
    <m/>
    <d v="2023-01-01T00:00:00"/>
    <d v="2024-12-31T00:00:00"/>
    <x v="1"/>
    <m/>
    <d v="2025-12-24T00:00:00"/>
    <n v="-358"/>
    <n v="12"/>
    <n v="2024"/>
    <s v="08054/SPP/008/PUSAT/ICON+/2018 | 4500011242| 09712/SPP/008/PUSAT/ICON+/2018 | 4500012193 | 12181/SPP/008/PUSAT/ICON+/2019 | 4500013733 | 14770/SPP/008/PUSAT/ICON+/2020| 4500015646 | 17134/SPP/008/PUSAT/ICON+/2021 | 4500017369"/>
    <s v="20748/SPP/008/PUSAT/ICON+/2022"/>
    <n v="4500019924"/>
    <s v="Fajar Paramita"/>
    <s v="Marissa"/>
    <s v="021-57998891"/>
    <m/>
    <s v="B295"/>
    <m/>
    <s v="D9"/>
    <s v="E165"/>
    <m/>
    <s v="G32"/>
    <m/>
    <m/>
    <m/>
  </r>
  <r>
    <n v="942"/>
    <s v="Dinamika Raya Prima"/>
    <s v="PT TOKOPEDIA"/>
    <s v="MidPlaza 2 Lt. 8 Jl Jend. Sudirman 10-11 Jakarta 10220"/>
    <x v="0"/>
    <m/>
    <s v="DRC Tokopedia, Biznet Technovillage, Jl. Riverside Golf No. 1, Bojong Nangka, Kec. Gunung Putri, Kabupaten Bogor, Jawa Barat, Indonesia, 16965"/>
    <s v="Sewa Tahunan"/>
    <s v="Cross Connect"/>
    <s v="PA/ACT/2201/1232/TER"/>
    <m/>
    <m/>
    <m/>
    <m/>
    <m/>
    <n v="66000000"/>
    <m/>
    <m/>
    <n v="24000000"/>
    <m/>
    <d v="2022-01-21T00:00:00"/>
    <d v="2023-01-20T00:00:00"/>
    <x v="2"/>
    <m/>
    <d v="2025-12-24T00:00:00"/>
    <n v="-1069"/>
    <n v="1"/>
    <n v="2023"/>
    <s v="baru"/>
    <s v="17683/SPP/008/PUSAT/ICON+/2022"/>
    <n v="4500017503"/>
    <s v="Fajar Paramita"/>
    <s v="Marissa"/>
    <s v="021-57998891"/>
    <m/>
    <m/>
    <m/>
    <m/>
    <m/>
    <s v="F20"/>
    <m/>
    <m/>
    <m/>
    <s v="Biaya Set Up Rp.4.000.000"/>
  </r>
  <r>
    <n v="943"/>
    <s v="Dinamika Raya Prima"/>
    <s v="PT. AEON CREDIT SERVICES INDONESIA"/>
    <s v="MidPlaza 2 Lt. 8 Jl Jend. Sudirman 10-11 Jakarta 10220"/>
    <x v="0"/>
    <m/>
    <s v="Graha Telkom Sigma, Lengkong Gudang, BSD"/>
    <s v="Sewa Tahunan"/>
    <s v="Cross Connect"/>
    <s v="PA/ACT/2001/3966"/>
    <m/>
    <m/>
    <m/>
    <m/>
    <m/>
    <n v="63360000"/>
    <m/>
    <m/>
    <n v="25000000"/>
    <m/>
    <d v="2020-03-04T00:00:00"/>
    <d v="2021-03-03T00:00:00"/>
    <x v="0"/>
    <m/>
    <d v="2025-12-24T00:00:00"/>
    <n v="-1757"/>
    <n v="3"/>
    <n v="2021"/>
    <s v="baru"/>
    <s v="12681/SPP/008/PUSAT/ICON+/2020"/>
    <n v="4500014024"/>
    <s v="Fajar Paramita"/>
    <s v="Marissa"/>
    <s v="021-57998891"/>
    <m/>
    <m/>
    <m/>
    <s v="D54"/>
    <m/>
    <m/>
    <m/>
    <m/>
    <m/>
    <m/>
  </r>
  <r>
    <n v="944"/>
    <s v="Dinamika Raya Prima"/>
    <s v="PT BANK MANDIRI"/>
    <s v="MidPlaza 2 Lt. 8 Jl Jend. Sudirman 10-11 Jakarta 10220"/>
    <x v="0"/>
    <m/>
    <s v="H2H Bukalapak, Biznet Technovillage Lt.3 Open Space, Rack DC-JK2-095 Jl. Riverside Golf Club No.1, Bojong Nangka,  Kec. Gn Putri,  Kota Bogor,  Jawa Barat,  Indonesia,  16965"/>
    <s v="Sewa Tahunan"/>
    <s v="Cross Connect"/>
    <s v="PA/RLK/2303/0094"/>
    <m/>
    <m/>
    <m/>
    <m/>
    <m/>
    <n v="20727276"/>
    <m/>
    <m/>
    <n v="24000000"/>
    <m/>
    <d v="2023-03-17T00:00:00"/>
    <d v="2024-03-16T00:00:00"/>
    <x v="1"/>
    <s v="SPP"/>
    <d v="2025-12-24T00:00:00"/>
    <n v="-648"/>
    <n v="3"/>
    <n v="2024"/>
    <s v="baru"/>
    <s v="21710/SPP/008/PUSAT/ICON+/2023"/>
    <n v="4500020243"/>
    <s v="Fajar Paramita"/>
    <s v="Marissa"/>
    <s v="021-57998891"/>
    <m/>
    <m/>
    <m/>
    <m/>
    <m/>
    <m/>
    <s v="G78"/>
    <m/>
    <m/>
    <s v="Instalasi Biznet Rp.5.000.000"/>
  </r>
  <r>
    <n v="945"/>
    <s v="Dinamika Raya Prima"/>
    <s v="PT TOKOPEDIA"/>
    <s v="MidPlaza 2 Lt. 8 Jl Jend. Sudirman 10-11 Jakarta 10223"/>
    <x v="0"/>
    <m/>
    <s v="H2H DRC Tokopedia (Biznet Technovillage) Jl. Riverside Golf No. 1, Bojong Nangka"/>
    <s v="Sewa Tahunan"/>
    <s v="Cross Connect"/>
    <s v="PA/ACT/2210/2386 "/>
    <m/>
    <m/>
    <m/>
    <m/>
    <m/>
    <n v="66000000"/>
    <m/>
    <m/>
    <n v="24000000"/>
    <m/>
    <d v="2022-11-01T00:00:00"/>
    <d v="2023-10-31T00:00:00"/>
    <x v="2"/>
    <m/>
    <d v="2025-12-24T00:00:00"/>
    <n v="-785"/>
    <n v="10"/>
    <n v="2023"/>
    <s v="baru"/>
    <s v="20335/SPP/008/PUSAT/ICON+/2022"/>
    <n v="4500019287"/>
    <s v="Fajar Paramita"/>
    <s v="Marissa"/>
    <s v="021-57998891"/>
    <m/>
    <m/>
    <m/>
    <m/>
    <m/>
    <s v="F371"/>
    <m/>
    <m/>
    <m/>
    <s v="Biaya Instalasi Cross Connect Fiber Optic_x000a_from Icon+ rack to Tokopedia Rack  Rp.5.000.000"/>
  </r>
  <r>
    <n v="946"/>
    <s v="Dinamika Raya Prima"/>
    <s v="Nap Info"/>
    <s v="MidPlaza 2 Lt. 8 Jl Jend. Sudirman 10-11 Jakarta 10220"/>
    <x v="0"/>
    <m/>
    <s v="Jakarta Future Exchange, Data Center Biznet, Biznet Technovillage, , Jl. Riverside Golf Club No. 1, Bojong Nangka, Gunung Putri, Kabupaten Bogor, Jawa Barat, Indonesia, 16965"/>
    <s v="Sewa Tahunan"/>
    <s v="Cross Connect"/>
    <s v="AL/1905/14081 - 110120210133"/>
    <m/>
    <m/>
    <m/>
    <m/>
    <m/>
    <n v="32923200"/>
    <m/>
    <m/>
    <n v="6000000"/>
    <m/>
    <d v="2021-11-01T00:00:00"/>
    <d v="2022-10-31T00:00:00"/>
    <x v="0"/>
    <m/>
    <d v="2025-12-24T00:00:00"/>
    <n v="-1150"/>
    <n v="10"/>
    <n v="2022"/>
    <s v="baru"/>
    <s v="09559/SPP/008/PUSAT/ICON+/2018"/>
    <n v="4500019436"/>
    <s v="Fajar Paramita"/>
    <s v="Marissa"/>
    <s v="021-57998891"/>
    <m/>
    <s v="B253"/>
    <m/>
    <m/>
    <m/>
    <m/>
    <m/>
    <m/>
    <m/>
    <s v="Konfirm to Sales"/>
  </r>
  <r>
    <n v="947"/>
    <s v="Dinamika Raya Prima"/>
    <s v="Nap Info"/>
    <s v="MidPlaza 2 Lt. 8 Jl Jend. Sudirman 10-11 Jakarta 10220"/>
    <x v="0"/>
    <m/>
    <s v="Jakarta Future Exchange, Data Center Biznet, Biznet Technovillage, , Jl. Riverside Golf Club No. 1, Bojong Nangka, Gunung Putri, Kabupaten Bogor, Jawa Barat, Indonesia, 16965"/>
    <s v="Sewa Tahunan"/>
    <s v="Cross Connect"/>
    <s v="AL/1905/14081 - 110120210133"/>
    <m/>
    <m/>
    <m/>
    <m/>
    <m/>
    <n v="42000000"/>
    <m/>
    <m/>
    <n v="6000000"/>
    <m/>
    <d v="2022-11-01T00:00:00"/>
    <d v="2025-10-31T00:00:00"/>
    <x v="0"/>
    <m/>
    <d v="2025-12-24T00:00:00"/>
    <n v="-54"/>
    <n v="10"/>
    <n v="2025"/>
    <m/>
    <s v="3944/SPP/SBU/PLNICONPLUS/2024"/>
    <n v="4500023248"/>
    <s v="Livia Indraswati"/>
    <s v="Marissa"/>
    <s v="021-57998891"/>
    <m/>
    <m/>
    <m/>
    <m/>
    <m/>
    <m/>
    <m/>
    <s v="H301"/>
    <m/>
    <m/>
  </r>
  <r>
    <n v="948"/>
    <s v="Dinamika Raya Prima"/>
    <s v="PT. BUKALAPAK.COM"/>
    <s v="MidPlaza 2 Lt. 8 Jl Jend. Sudirman 10-11 Jakarta 10220"/>
    <x v="0"/>
    <m/>
    <s v="Jl. Dr. Wahidin Raya No.1"/>
    <s v="Sewa Tahunan"/>
    <s v="Cross Connect"/>
    <s v="PA/RLK/2303/0017_x000a_PA/RLK/2303/0016_x000a_PA/ACT/2112/3139 "/>
    <m/>
    <m/>
    <m/>
    <m/>
    <m/>
    <n v="96000000"/>
    <m/>
    <m/>
    <n v="24000000"/>
    <m/>
    <d v="2024-03-15T00:00:00"/>
    <d v="2025-03-14T00:00:00"/>
    <x v="1"/>
    <m/>
    <d v="2025-12-24T00:00:00"/>
    <n v="-285"/>
    <n v="3"/>
    <n v="2025"/>
    <s v="21667/SPP/008/PUSAT/ICON+/2023 | 4500020115"/>
    <s v="3095/SPP/SBU/PLNICONPLUS/2024"/>
    <n v="4500022685"/>
    <s v="Fajar Paramita"/>
    <s v="Marissa"/>
    <s v="021-57998891"/>
    <m/>
    <m/>
    <m/>
    <m/>
    <m/>
    <m/>
    <s v="G66"/>
    <s v="H182"/>
    <m/>
    <s v="Instalasi Biznet Rp.5.000.000"/>
  </r>
  <r>
    <n v="949"/>
    <s v="Dinamika Raya Prima"/>
    <s v="PT Multi Adiprakarsa Manunggal"/>
    <s v="MidPlaza 2 Lt. 8 Jl Jend. Sudirman 10-11 Jakarta 10221"/>
    <x v="0"/>
    <m/>
    <s v="Jl. Riverside Golf Club No. 1, Bojong Nangka, Biznet Technovillage, Kabupaten Bogor, Jawa Barat, Indonesia, 16965"/>
    <s v="Sewa Tahunan"/>
    <s v="Colocation"/>
    <s v="PA/ACT/1903/0976"/>
    <m/>
    <m/>
    <m/>
    <m/>
    <m/>
    <n v="66000000"/>
    <m/>
    <m/>
    <n v="12000000"/>
    <m/>
    <d v="2021-03-21T00:00:00"/>
    <d v="2023-03-20T00:00:00"/>
    <x v="0"/>
    <m/>
    <d v="2025-12-24T00:00:00"/>
    <n v="-1010"/>
    <n v="3"/>
    <n v="2023"/>
    <s v="11608/SPP/008/PUSAT/ICON+/2019 | 4500013255| 12634/SPP/008/PUSAT/ICON+/2020| 4500014041"/>
    <s v="18368/SPP/008/PUSAT/ICON+/2022"/>
    <n v="4500017891"/>
    <s v="Fajar Paramita"/>
    <s v="Marissa"/>
    <s v="021-57998891"/>
    <m/>
    <m/>
    <s v="C186"/>
    <s v="D65"/>
    <m/>
    <s v="F132"/>
    <m/>
    <m/>
    <m/>
    <m/>
  </r>
  <r>
    <n v="950"/>
    <s v="Dinamika Raya Prima"/>
    <s v="PT. BUKALAPAK.COM"/>
    <s v="MidPlaza 2 Lt. 8 Jl Jend. Sudirman 10-11 Jakarta 10220"/>
    <x v="0"/>
    <m/>
    <s v="Jl. Riverside Golf Club No.1"/>
    <s v="Sewa Tahunan"/>
    <s v="Cross Connect"/>
    <s v="PA/ACT/2112/3139/ORI_x000a_ PA/ACT/2112/3135/ORI"/>
    <m/>
    <m/>
    <m/>
    <m/>
    <m/>
    <n v="24000000"/>
    <m/>
    <m/>
    <n v="24000000"/>
    <m/>
    <d v="2021-12-29T00:00:00"/>
    <d v="2022-12-28T00:00:00"/>
    <x v="0"/>
    <m/>
    <d v="2025-12-24T00:00:00"/>
    <n v="-1092"/>
    <n v="12"/>
    <n v="2022"/>
    <s v="baru"/>
    <s v="17566/SPP/008/PUSAT/ICON+/2021"/>
    <n v="4500017371"/>
    <s v="Fajar Paramita"/>
    <s v="Marissa"/>
    <s v="021-57998891"/>
    <m/>
    <m/>
    <m/>
    <m/>
    <s v="E376"/>
    <m/>
    <m/>
    <m/>
    <m/>
    <s v="OTC Sebesar Rp.5.000.000"/>
  </r>
  <r>
    <n v="951"/>
    <s v="Dinamika Raya Prima"/>
    <s v="PT. AEON CREDIT SERVICES INDONESIA"/>
    <s v="MidPlaza 2 Lt. 8 Jl Jend. Sudirman 10-11 Jakarta 10220"/>
    <x v="0"/>
    <m/>
    <s v="Lengkong Gudang, Kec. Serpong, Kota Tangerang Selatan, Banten, Indonesia, 15321"/>
    <s v="Sewa Tahunan"/>
    <s v="Cross Connect"/>
    <s v="PA/ACT/2001/3966"/>
    <m/>
    <m/>
    <m/>
    <m/>
    <m/>
    <n v="63360000"/>
    <m/>
    <m/>
    <n v="24000000"/>
    <m/>
    <d v="2020-03-04T00:00:00"/>
    <d v="2021-03-03T00:00:00"/>
    <x v="0"/>
    <m/>
    <d v="2025-12-24T00:00:00"/>
    <n v="-1757"/>
    <n v="3"/>
    <n v="2021"/>
    <s v="baru"/>
    <s v="12681/SPP/008/PUSAT/ICON+/2020"/>
    <n v="4500014024"/>
    <s v="Fajar Paramita"/>
    <s v="Marissa"/>
    <s v="021-57998891"/>
    <m/>
    <m/>
    <m/>
    <s v="D54"/>
    <m/>
    <m/>
    <m/>
    <m/>
    <m/>
    <s v="1.Biaya Instalasi PA/ACT/2001/3966/TER (crossconnect Telkomsigma BSD) Rp.3.000.000,- 2.Biaya Sewa PA/ACT/2001/3966/TER (crossconnect Telkomsigma BSD) Rp.6.000.000,- 3.Biaya Instalasi PA/ACT/2001/3966/ORI (crossconnect UTP Biznet DC) Rp.2.000.000,- 4.Biaya Sewa PA/ACT/2001/3966/ORI (crossconnect UTP Biznet DC) Rp.6.000.000,- 5.Biaya Sewa PA/ACT/2001/3966/ORI (crossconnect FO Biznet DC) Rp.12.000.000,-"/>
  </r>
  <r>
    <n v="952"/>
    <s v="Dinamika Raya Prima"/>
    <s v="PT Asuransi Multi Artha Guna (CID 2845 berubah menjadi 5009)"/>
    <s v="MidPlaza 2 Lt. 8 Jl Jend. Sudirman 10-11 Jakarta 10220"/>
    <x v="0"/>
    <m/>
    <s v="MidPlaza 2, 8th Floor Jl. Jend. Sudirman 10-11 Jakarta 10220"/>
    <s v="Sewa Tahunan"/>
    <s v="Colocation"/>
    <s v="ICON-00/SBC/1607/0255"/>
    <m/>
    <m/>
    <m/>
    <m/>
    <m/>
    <n v="270000000"/>
    <m/>
    <m/>
    <n v="4000000"/>
    <m/>
    <d v="2019-03-10T00:00:00"/>
    <d v="2020-03-09T00:00:00"/>
    <x v="0"/>
    <m/>
    <d v="2025-12-24T00:00:00"/>
    <n v="-2116"/>
    <n v="3"/>
    <n v="2020"/>
    <s v="0660317 SPR [CID : 2845 berubah menjadi 5009] | 08366/SPP/008/PUSAT/ICON+/2018 | 4500011351"/>
    <s v="10604/SPP/008/PUSAT/ICON+/2019"/>
    <n v="4500012732"/>
    <s v="Fajar Paramita"/>
    <s v="Marissa"/>
    <s v="021-57998891"/>
    <m/>
    <s v="B183"/>
    <s v="C32"/>
    <m/>
    <m/>
    <m/>
    <m/>
    <m/>
    <m/>
    <s v="1.Biaya Sewa Tahunan sebesar Rp.4.000.000,-"/>
  </r>
  <r>
    <n v="953"/>
    <s v="Dinamika Raya Prima"/>
    <m/>
    <s v="MidPlaza 2 Lt. 8 Jl Jend. Sudirman 10-11 Jakarta 10222"/>
    <x v="0"/>
    <m/>
    <s v="PT Dipo Star Finance DRC Biznet Technovillage, Jl. Riverside Golf Club No.1, Bojong Nangka, Gn. Putri, Kabupaten Bogor, Jawa Barat, Indonesia, 16965"/>
    <s v="Sewa Tahunan"/>
    <s v="Cross Connect"/>
    <s v="AL/1904/7057"/>
    <m/>
    <m/>
    <m/>
    <m/>
    <m/>
    <n v="138000000"/>
    <m/>
    <m/>
    <n v="6000000"/>
    <m/>
    <d v="2021-03-13T00:00:00"/>
    <d v="2022-03-12T00:00:00"/>
    <x v="2"/>
    <m/>
    <d v="2025-12-24T00:00:00"/>
    <n v="-1383"/>
    <n v="3"/>
    <n v="2022"/>
    <s v="10531/SPP/008/PUSAT/ICON+/2019 | 4500012672 | 12630/SPP/008/PUSAT/ICON+/2020 | 4500014042"/>
    <s v="15170/SPP/008/PUSAT/ICON+/2021"/>
    <n v="4500015823"/>
    <s v="Fajar Paramita"/>
    <s v="Marissa"/>
    <s v="021-57998891"/>
    <m/>
    <m/>
    <s v="C62"/>
    <s v="D63"/>
    <s v="E44"/>
    <m/>
    <m/>
    <m/>
    <m/>
    <m/>
  </r>
  <r>
    <n v="954"/>
    <s v="Dinamika Raya Prima"/>
    <s v="PT Supra Primatama Nusantara (BCA)"/>
    <s v="MidPlaza 2 Lt. 8 Jl Jend. Sudirman 10-11 Jakarta 10220"/>
    <x v="0"/>
    <m/>
    <s v="PT SUPRA PRIMA TAMA, RUKO PANDANARAN KAV. 8 JL. PANDANARAN NO. 2-6"/>
    <s v="Sewa Tahunan"/>
    <s v="Cross Connect"/>
    <s v="PA/RLK/1901/0036"/>
    <m/>
    <m/>
    <m/>
    <m/>
    <m/>
    <n v="200000000"/>
    <m/>
    <m/>
    <n v="12000000"/>
    <m/>
    <d v="2022-01-31T00:00:00"/>
    <d v="2023-01-30T00:00:00"/>
    <x v="2"/>
    <m/>
    <d v="2025-12-24T00:00:00"/>
    <n v="-1059"/>
    <n v="1"/>
    <n v="2023"/>
    <s v="11680/SPP/008/PUSAT/ICON+/2019 | 4500013932| 15103/SPP/008/PUSAT/ICON+/2021| 4500015889"/>
    <s v="17748/SPP/008/PUSAT/ICON+/2022"/>
    <n v="4500017693"/>
    <s v="Fajar Paramita"/>
    <s v="Marissa"/>
    <s v="021-57998891"/>
    <m/>
    <m/>
    <m/>
    <s v="D32"/>
    <s v="E198"/>
    <s v="F127"/>
    <m/>
    <m/>
    <m/>
    <m/>
  </r>
  <r>
    <n v="955"/>
    <s v="Dinamika Raya Prima"/>
    <s v="PT. GRAHA INFORMATIKA NUSANTARA"/>
    <s v="MidPlaza 2 Lt. 8 Jl Jend. Sudirman 10-11 Jakarta 10220"/>
    <x v="0"/>
    <m/>
    <s v="PT. Graha Informatika Nusantara, Biznet Technovillage Jl. Riverside Golf Club No.1, Bojong Nangka"/>
    <s v="Sewa Tahunan"/>
    <s v="Cross Connect"/>
    <s v="PA/ACT/2201/1333"/>
    <m/>
    <m/>
    <m/>
    <m/>
    <m/>
    <n v="108000000"/>
    <m/>
    <m/>
    <n v="24000000"/>
    <m/>
    <d v="2024-01-27T00:00:00"/>
    <d v="2025-01-26T00:00:00"/>
    <x v="0"/>
    <m/>
    <d v="2025-12-24T00:00:00"/>
    <n v="-332"/>
    <n v="1"/>
    <n v="2025"/>
    <s v="17689/SPP/008/PUSAT/ICON+/2022 | 4500017531 | 21091/SPP/008/PUSAT/ICON+/2023 | 4500022793"/>
    <s v="3666/SPP/SBU/PLNICONPLUS/2024"/>
    <n v="4500022793"/>
    <s v="Fajar Paramita"/>
    <s v="Marissa"/>
    <s v="021-57998891"/>
    <m/>
    <m/>
    <m/>
    <m/>
    <m/>
    <s v="F22"/>
    <m/>
    <s v="H175"/>
    <m/>
    <s v="Biaya Set Up Rp.4.000.000"/>
  </r>
  <r>
    <n v="956"/>
    <s v="Dinamika Raya Prima"/>
    <s v="BPJS KESEHATAN"/>
    <s v="MidPlaza 2 Lt. 8 Jl Jend. Sudirman 10-11 Jakarta 10220"/>
    <x v="0"/>
    <m/>
    <s v="(Jl. Riverside Golf Club No.1, Bojong Nangka, Kec. Gn. Putri, Kabupaten Bogor, Jawa Barat 16965)"/>
    <s v="Sewa Tahunan"/>
    <s v="Cross Connect"/>
    <s v="A811202000039"/>
    <m/>
    <m/>
    <m/>
    <m/>
    <m/>
    <n v="228000000"/>
    <m/>
    <m/>
    <n v="48000000"/>
    <m/>
    <d v="2023-09-09T00:00:00"/>
    <d v="2024-08-09T00:00:00"/>
    <x v="1"/>
    <m/>
    <d v="2025-12-24T00:00:00"/>
    <n v="-502"/>
    <n v="8"/>
    <n v="2024"/>
    <s v="baru"/>
    <s v="1400/SPP/SBU/ICON+/2023"/>
    <n v="4500021318"/>
    <s v="Fajar Paramita"/>
    <s v="anggun"/>
    <s v="021-57998891"/>
    <m/>
    <m/>
    <m/>
    <m/>
    <m/>
    <m/>
    <s v="G238"/>
    <m/>
    <m/>
    <s v="1.Biaya Sewa Xconnect 2 item @ 1 Tahun Rp.48.000.000 | 2.OTC Rp.10.000.000"/>
  </r>
  <r>
    <n v="957"/>
    <s v="Dinamika Raya Prima"/>
    <s v="PT LINTAS JARINGAN NUSANTARA"/>
    <s v="MidPlaza 2 Lt. 8 Jl Jend. Sudirman 10-11 Jakarta 10220"/>
    <x v="0"/>
    <m/>
    <s v="LJN TECHNO VILLAGE JL. RIVERSIDE GOLF CLUB NO.1, BOJONG NANGKA, KEC. GN. PUTRI, KABUPATEN BOGOR, JAWA BARAT 16965"/>
    <s v="Sewa Tahunan"/>
    <s v="Cross Connect"/>
    <s v="A821202000415"/>
    <m/>
    <m/>
    <m/>
    <m/>
    <m/>
    <n v="51600000"/>
    <m/>
    <m/>
    <n v="12000000"/>
    <m/>
    <d v="2023-09-13T00:00:00"/>
    <d v="2024-12-09T00:00:00"/>
    <x v="0"/>
    <m/>
    <d v="2025-12-24T00:00:00"/>
    <n v="-380"/>
    <n v="12"/>
    <n v="2024"/>
    <s v="baru"/>
    <s v="1403/SPP/SBU/ICON+/2023"/>
    <n v="4500021319"/>
    <s v="Fajar Paramita"/>
    <s v="Marissa"/>
    <s v="021-57998891"/>
    <m/>
    <m/>
    <m/>
    <m/>
    <m/>
    <m/>
    <s v="G237"/>
    <m/>
    <m/>
    <s v="1.MRC Cross Connect Services to MMR (UTP/FO)  @1 tahun  Rp.12.000.000 | Biaya Instalasi OTC Rp.3.000.000"/>
  </r>
  <r>
    <n v="958"/>
    <s v="Dunia Virtual Online"/>
    <s v="PT. BANK MANDIRI (PERSERO), TBK"/>
    <s v="Jl.Embong Tanjung No.40 Surabaya"/>
    <x v="0"/>
    <s v="-"/>
    <s v="H2H e-mobile BMRI, (Data Center TIfa Building), Jalan Kuningan barat 1 No.26"/>
    <s v="Sewa Tahunan"/>
    <s v="Cross Connect"/>
    <s v="PA/ACT/2210/2015"/>
    <m/>
    <m/>
    <m/>
    <m/>
    <m/>
    <n v="30545460"/>
    <m/>
    <m/>
    <n v="5540000"/>
    <m/>
    <d v="2023-10-31T00:00:00"/>
    <d v="2024-10-30T00:00:00"/>
    <x v="0"/>
    <m/>
    <d v="2025-12-24T00:00:00"/>
    <n v="-420"/>
    <n v="10"/>
    <n v="2024"/>
    <s v="20275 | 4500019217"/>
    <n v="1679"/>
    <n v="4500022148"/>
    <s v="Fajar Paramita"/>
    <m/>
    <m/>
    <m/>
    <m/>
    <m/>
    <m/>
    <m/>
    <s v="F361"/>
    <m/>
    <s v="H25"/>
    <m/>
    <s v="OTC Rp.500.000"/>
  </r>
  <r>
    <n v="959"/>
    <s v="Dunia Virtual Online"/>
    <s v="PT. LAYANAN INTERNET SAKTI"/>
    <s v="Jl.Embong Tanjung No.40 Surabaya"/>
    <x v="0"/>
    <s v="-"/>
    <s v="Jl. Margonda Raya No.525A, Pondok Cina"/>
    <s v="Sewa Tahunan"/>
    <s v="Cross Connect"/>
    <s v="PA/ACT/2209/2049"/>
    <m/>
    <m/>
    <m/>
    <m/>
    <m/>
    <n v="48000000"/>
    <m/>
    <m/>
    <n v="5540000"/>
    <m/>
    <d v="2023-10-20T00:00:00"/>
    <d v="2024-10-19T00:00:00"/>
    <x v="0"/>
    <m/>
    <d v="2025-12-24T00:00:00"/>
    <n v="-431"/>
    <n v="10"/>
    <n v="2024"/>
    <s v="20270 | 4500019216"/>
    <n v="1680"/>
    <n v="4500022147"/>
    <s v="Fajar Paramita"/>
    <m/>
    <m/>
    <m/>
    <m/>
    <m/>
    <m/>
    <m/>
    <s v="F359"/>
    <m/>
    <s v="H23"/>
    <m/>
    <s v="OTC Rp.500.000"/>
  </r>
  <r>
    <n v="960"/>
    <s v="Dunia Virtual Online"/>
    <s v="PT. LAYANAN INTERNET SAKTI"/>
    <s v="Jl.Embong Tanjung No.40 Surabaya"/>
    <x v="0"/>
    <m/>
    <s v="Pollux Mall Chadstone: Jl. Raya Cikarang - Cibarusah"/>
    <s v="Sewa Tahunan"/>
    <s v="Cross Connect"/>
    <s v="PA/ACT/2203/2624/ORI"/>
    <m/>
    <m/>
    <m/>
    <m/>
    <m/>
    <n v="48000000"/>
    <m/>
    <m/>
    <n v="5040000"/>
    <m/>
    <d v="2023-07-27T00:00:00"/>
    <d v="2024-07-26T00:00:00"/>
    <x v="0"/>
    <m/>
    <d v="2025-12-24T00:00:00"/>
    <n v="-516"/>
    <n v="7"/>
    <n v="2024"/>
    <s v="19206 | 4500018439"/>
    <n v="2667"/>
    <n v="4500022316"/>
    <s v="Fajar Paramita"/>
    <m/>
    <m/>
    <m/>
    <m/>
    <m/>
    <m/>
    <m/>
    <s v="F215"/>
    <m/>
    <s v="H82"/>
    <m/>
    <s v="OTC Rp.500.000"/>
  </r>
  <r>
    <n v="961"/>
    <s v="Dunia Virtual Online"/>
    <s v="Cipta Piranti Sejahtera Gd. Tifa Jl. Kuningan Bar Mampang Prapatan ORIGI_x000a_PT Indomarco Data Center Ged.Cyber Jl.Kuningan Barat Raya_x000a_PT.Layanan Internet Sakit Pollux Mall Chadstone_x000a_PT Sarana Prima Telematika Tifa Arum Realty - Kantor Pusat Direktorat Jenderal Pajak_x000a_PT. BANK MANDIRI (PERSERO), TBK"/>
    <s v="Jl.Embong Tanjung No.40 Surabaya"/>
    <x v="0"/>
    <s v="Server CPS – Data Center DTP Ged. Tifa, Kuningan Barat Jaksel"/>
    <s v="Server CPS – Data Center DTP Ged. Tifa, Kuningan Barat Jaksel"/>
    <s v="Sewa Tahunan"/>
    <s v="Colocation"/>
    <s v="PA/RLK/2111/0021_x000a_PA/ACT/2002/2154_x000a_PA/ACT/2203/2624_x000a_PA/RLK/2111/0034_x000a_PA/ACT/2210/2015"/>
    <m/>
    <m/>
    <m/>
    <m/>
    <m/>
    <n v="60000000"/>
    <m/>
    <m/>
    <n v="8000000"/>
    <m/>
    <d v="2023-11-01T00:00:00"/>
    <d v="2024-10-31T00:00:00"/>
    <x v="0"/>
    <m/>
    <d v="2025-12-24T00:00:00"/>
    <n v="-419"/>
    <n v="10"/>
    <n v="2024"/>
    <s v="09573/SPP/008/PUSAT/ICON+/2018 | 4500012134 | 11813/SPP/008/PUSAT/ICON+/2019| 4500013869| 14304/SPP/008/PUSAT/ICON+/2020 | 4500015106 |  17646/SPP/008/PUSAT/ICON+/2022 | 4500017616 | 20180/SPP/008/PUSAT/ICON+/2022 | 4500019570"/>
    <n v="2161"/>
    <n v="4500022146"/>
    <s v="Fajar Paramita"/>
    <s v="Jaka"/>
    <s v="021 526 0626"/>
    <m/>
    <s v="B242"/>
    <m/>
    <s v="D330"/>
    <m/>
    <s v="F82"/>
    <s v="G474"/>
    <s v="H24"/>
    <m/>
    <s v="-"/>
  </r>
  <r>
    <n v="962"/>
    <s v="Duta Merlin "/>
    <s v="PT Trans Retail Indonesia"/>
    <s v="Kantor Pusat Gedung Harco Electronic Superstore Lt.IV Jl. Arteri Mangga Dua Jakarta Pusat 10730_x000a_Kantor Representatif :_x000a_Graha Gramala Komplek Duta Merlin Blok H No. 1-3 Jl. Gajah Mada No. 3-5 Jakarta 10130"/>
    <x v="0"/>
    <m/>
    <s v="Duta Merlin_x000a_ Rukan Blok C s/d Rukan Blok D_x000a_ Jl. Gajah Mada No.3-5_x000a_ Jakarta_x000a_ (Trans Retail Indonesia)"/>
    <s v="Sewa Tahunan"/>
    <s v="Colocation"/>
    <s v="ICON-00/ACT/1306/0121"/>
    <m/>
    <m/>
    <m/>
    <m/>
    <m/>
    <n v="60000000"/>
    <m/>
    <m/>
    <n v="24500000"/>
    <m/>
    <d v="2021-10-10T00:00:00"/>
    <d v="2022-10-09T00:00:00"/>
    <x v="2"/>
    <m/>
    <d v="2025-12-24T00:00:00"/>
    <n v="-1172"/>
    <n v="10"/>
    <n v="2022"/>
    <s v="4500009722 |07415/SPP/008/PUSAT/ICON+/2017 |4500010811 | 09194/SPP/008/PUSAT/ICON+/2018 | 4500011856 | 11745/SPP/008/PUSAT/ICON+/2019 | 4500013371 | 14314/SPP/008/PUSAT/ICON+/2020 | 4500015175"/>
    <s v="16759/SPP/008/PUSAT/ICON+/2021"/>
    <s v="4500016854"/>
    <s v="Fajar Paramita"/>
    <s v="Wilda Wildiana"/>
    <s v="021-6127122,6127155_x000a_ 021-63867676"/>
    <n v="110"/>
    <s v="B215"/>
    <s v="C205"/>
    <s v="D329"/>
    <s v="E319"/>
    <m/>
    <m/>
    <m/>
    <m/>
    <s v="1. Sewa Shaft Kabel Rp16.500.000/tahun update tahun 2016 Rp19.000.000 (karena tarikan kabel lebih panjang di banding OCBC NISP)_x000a_ 2. Jaminan Sewa Rp5.000.000_x000a_ 3. Biaya Supervisi Rp300.000,- (OTC)_x000a_ 4. Jaminan Pekerjaan Rp1.500.000 update tahun 2016 Rp3.000.000,-"/>
  </r>
  <r>
    <n v="963"/>
    <s v="Duta Parahyangan Lestari "/>
    <s v="PT. BCA FINANCE"/>
    <s v="Menara Citibank Gallery Suite 7-02_x000a_Jl. Metro Pondok Indah Kav. II BA No. 2_x000a_Jakarta 12310"/>
    <x v="0"/>
    <m/>
    <s v="Menara Citibank Lantai 1, Jalan Metro Pondok Indah Kav II BA No 2, Jakarta Selatan"/>
    <s v="Sewa Tahunan"/>
    <s v="Colocation"/>
    <s v="PA/ACT/2004/1362/TER"/>
    <m/>
    <m/>
    <m/>
    <m/>
    <m/>
    <n v="60000000"/>
    <m/>
    <m/>
    <n v="25000000"/>
    <m/>
    <d v="2024-09-15T00:00:00"/>
    <d v="2025-09-14T00:00:00"/>
    <x v="0"/>
    <m/>
    <d v="2025-12-24T00:00:00"/>
    <n v="-101"/>
    <n v="9"/>
    <n v="2025"/>
    <s v="13791/SPP/008/PUSAT/ICON+/2020 | 4500014766 | 776/SPP/SBU/ICON+/2023 | 4500020937"/>
    <s v="4530/SPP/SBU/PLNICONPLUS/2024"/>
    <n v="4500023594"/>
    <s v="Livia Indraswati"/>
    <m/>
    <m/>
    <m/>
    <m/>
    <m/>
    <s v="D148"/>
    <m/>
    <m/>
    <s v="G195"/>
    <s v="H374"/>
    <m/>
    <s v="biaya sewa pertahuna 75.000.000"/>
  </r>
  <r>
    <n v="964"/>
    <s v="Duta Pertiwi "/>
    <s v="PT. BANK MANDIRI (PERSERO), TBK"/>
    <s v="ITC Cempaka Mas Mega Grosir Lt. 5 Jl. Letjen Suprapto kav. 1 Jakarta 10640"/>
    <x v="0"/>
    <m/>
    <s v="12710 Jakarta ITC Fatmawati, Pertokoan Duta Mas Blok A Jl. Fatmawati No.17-18, RT.3/RW.5"/>
    <s v="Sewa Tahunan"/>
    <s v="Colocation"/>
    <s v="PA/ACT/2206/16525"/>
    <m/>
    <m/>
    <m/>
    <m/>
    <m/>
    <n v="45818184"/>
    <m/>
    <m/>
    <n v="5100300"/>
    <m/>
    <d v="2024-08-30T00:00:00"/>
    <d v="2025-08-29T00:00:00"/>
    <x v="0"/>
    <m/>
    <d v="2025-12-24T00:00:00"/>
    <n v="-117"/>
    <n v="8"/>
    <n v="2025"/>
    <s v="19492/SPP/008/PUSAT/ICON+/2022 | 4500018593 | 1161/SPP/SBU/ICON+/2023 | 4500021286"/>
    <s v="3669/SPP/SBU/PLNICONPLUS/2024"/>
    <n v="4500022947"/>
    <s v="Livia Indraswati"/>
    <m/>
    <m/>
    <m/>
    <m/>
    <m/>
    <m/>
    <m/>
    <s v="F266"/>
    <s v="G360"/>
    <s v="H173"/>
    <m/>
    <s v="Biaya Perizinan Sewa selama 1 tahun  (85 ribu x 56.67 meter) Rp.4.816.950"/>
  </r>
  <r>
    <n v="965"/>
    <s v="Duta Pertiwi "/>
    <s v="PT. IPWAN GLOBAL TELECOMM"/>
    <s v="Gd.JITC Lt.7&amp;8 Jl Mangga dua raya Jakarta Utara"/>
    <x v="0"/>
    <m/>
    <s v="BTN Jl. RS. Fatmawati Komp. Pertokoan Duta Mas, Blok A1 No. 19, Fatmawati, Jakarta Selatan, DKI Jakarta"/>
    <s v="Sewa Tahunan"/>
    <s v="Colocation"/>
    <s v="PA/ACT/1904/2434/TER"/>
    <m/>
    <m/>
    <m/>
    <m/>
    <m/>
    <m/>
    <m/>
    <m/>
    <n v="12000000"/>
    <m/>
    <d v="2022-08-19T00:00:00"/>
    <d v="2023-08-18T00:00:00"/>
    <x v="2"/>
    <m/>
    <d v="2025-12-24T00:00:00"/>
    <n v="-859"/>
    <n v="8"/>
    <n v="2023"/>
    <s v="11254/SPP/008/PUSAT/ICON+/2019 | 4500013032 | 13829/SPP/008/PUSAT/ICON+/2020 | 4500014744| 16290/SPP/008/PUSAT/ICON+/2021| 4500016494"/>
    <s v="19141/SPP/008/PUSAT/ICON+/2022        "/>
    <n v="4500018462"/>
    <s v="Fajar Paramita"/>
    <s v="Lela Tobing/Bram"/>
    <s v="021-42878833 ext 418"/>
    <m/>
    <m/>
    <m/>
    <s v="D171"/>
    <s v="E192"/>
    <s v="F253"/>
    <m/>
    <m/>
    <m/>
    <s v="Biaya sewa tahunan sebesar 10.500.000"/>
  </r>
  <r>
    <n v="966"/>
    <s v="Duta Pertiwi "/>
    <s v="Trans Retail"/>
    <s v="ITC Cempaka Mas Mega Grosir Lt. 5 Jl. Letjen Suprapto kav. 1 Jakarta 10640"/>
    <x v="0"/>
    <m/>
    <s v="ITC Cempaka Mas Mega Grosir Lt. 5 Jl. Letjen Suprapto kav. 1 Jakarta 10640"/>
    <s v="Sewa Tahunan"/>
    <s v="Colocation"/>
    <s v="ICON-00/SOP/1403/0019"/>
    <m/>
    <m/>
    <m/>
    <m/>
    <m/>
    <n v="54000000"/>
    <m/>
    <m/>
    <n v="37500000"/>
    <m/>
    <d v="2022-08-27T00:00:00"/>
    <d v="2023-08-26T00:00:00"/>
    <x v="0"/>
    <m/>
    <d v="2025-12-24T00:00:00"/>
    <n v="-851"/>
    <n v="8"/>
    <n v="2023"/>
    <s v="4500009754 | 06996/SPP/008/PUSAT/ICON+/2017 |4500010559 | 08858/SPP/008/PUSAT/ICON+/2018 | 450001168 | 11020/SPP/008/PUSAT/ICON+/2019 | 4500012942 | 13725/SPP/008/PUSAT/ICON+/2020 | 4500014634| 16289/SPP/008/PUSAT/ICON+/2021| 4500016493"/>
    <s v="18910/SPP/008/PUSAT/ICON+/2022"/>
    <n v="4500018257"/>
    <s v="Fajar Paramita"/>
    <s v="Lela Tobing/Bram"/>
    <s v="021-42878833 ext 418"/>
    <n v="66"/>
    <s v="B156"/>
    <s v="C119"/>
    <s v="D150"/>
    <s v="E195"/>
    <s v="F239"/>
    <m/>
    <m/>
    <m/>
    <s v="Sewa Cable Shaft sepanjang 500 meter dari Lantai Ground Floor ke Lantai Lower Ground (Kantor PLN Gambir I Cempaka Mas ke Kantor Carrefour) sebesar Rp55.000/meter/tahun"/>
  </r>
  <r>
    <n v="967"/>
    <s v="Duta Pertiwi "/>
    <s v="Bank Mega"/>
    <s v="Gd.JITC Lt.7&amp;8 Jl Mangga dua raya Jakarta Utara"/>
    <x v="0"/>
    <m/>
    <s v="Komplek Pertokoan Duta Mas Fatmawati Blok B1 No. 6 Jl. RS Fatmawati No. 39 12150"/>
    <s v="Sewa Tahunan"/>
    <s v="Colocation"/>
    <s v="AL/2203/53173"/>
    <m/>
    <m/>
    <m/>
    <m/>
    <m/>
    <n v="36000000"/>
    <m/>
    <m/>
    <n v="11250000"/>
    <m/>
    <d v="2024-04-12T00:00:00"/>
    <d v="2025-04-11T00:00:00"/>
    <x v="0"/>
    <m/>
    <d v="2025-12-24T00:00:00"/>
    <n v="-257"/>
    <n v="4"/>
    <n v="2025"/>
    <s v="08160/SPP/008/PUSAT/ICON+/2018 | 4500011262 | 10041/SPP/008/PUSAT/ICON+/2019 | 4500012436 | 12635/SPP/008/PUSAT/ICON+/2020 | 4500014316| 15566/SPP/008/PUSAT/ICON+/2021| 4500016054 | 18242/SPP/008/PUSAT/ICON+/2022 | 4500017925 | 21147 | 4500020068"/>
    <n v="3091"/>
    <n v="4500022562"/>
    <s v="Fajar Paramita"/>
    <s v="Lela Tobing/Bram"/>
    <s v="021-42878833 ext 418"/>
    <m/>
    <n v="148"/>
    <s v="C27"/>
    <s v="D155"/>
    <s v="E125"/>
    <s v="F206"/>
    <s v="G64"/>
    <s v="G146"/>
    <m/>
    <s v=" Deposit sebesar 1.000.000"/>
  </r>
  <r>
    <n v="968"/>
    <s v="Duta Pertiwi "/>
    <s v="PT. BANK SINARMAS"/>
    <s v="Gd.JITC Lt.7&amp;8 Jl Mangga dua raya Jakarta Utara"/>
    <x v="0"/>
    <m/>
    <s v="Ruko Cempaka Mas Blok E No. 5-6, Jalan Letjen Suprapto, Sumur Batu, Kemayoran, Jakarta Pusat"/>
    <s v="Sewa Tahunan"/>
    <s v="Colocation"/>
    <s v="PA/ACT/1909/3860/TER"/>
    <m/>
    <m/>
    <m/>
    <m/>
    <m/>
    <n v="54000000"/>
    <m/>
    <m/>
    <n v="15480000"/>
    <m/>
    <d v="2024-01-27T00:00:00"/>
    <d v="2025-01-26T00:00:00"/>
    <x v="0"/>
    <m/>
    <d v="2025-12-24T00:00:00"/>
    <n v="-332"/>
    <n v="1"/>
    <n v="2025"/>
    <s v="12151/SPP/008/PUSAT/ICON+/2019 | 4500013731 | 15235/SPP/008/PUSAT/ICON+/2021| 4500015779 | 17742/SPP/008/PUSAT/ICON+/2022 | 4500017587 | 20966 | 4500020106"/>
    <n v="2573"/>
    <n v="4500022247"/>
    <s v="Fajar Paramita"/>
    <s v="Lela Tobing/Bram"/>
    <s v="021-42878833 ext 418"/>
    <m/>
    <m/>
    <m/>
    <s v="C262"/>
    <s v="E134"/>
    <s v="F24"/>
    <s v="G217"/>
    <s v="H66"/>
    <m/>
    <s v="2.Biaya Perijinan PU Jakarta Utara sebesar Rp.10.000.000"/>
  </r>
  <r>
    <n v="969"/>
    <s v="Duta Pertiwi "/>
    <s v="PT. TRI MANDIRI SELARAS"/>
    <s v="ITC Cempaka Mas Mega Grosir Lt. 5 Jl. Letjen Suprapto kav. 1 Jakarta 10640"/>
    <x v="0"/>
    <m/>
    <s v="Tri Mandiri Selaras, Jl. Ruko Cempaka Mas Blok J31 - 33, Komplek Ruko Cempaka Mas, Sumur Batu"/>
    <s v="Sewa Tahunan"/>
    <s v="Colocation"/>
    <s v="PA/ACT/2112/1064/TER"/>
    <m/>
    <m/>
    <m/>
    <m/>
    <m/>
    <n v="39600000"/>
    <m/>
    <m/>
    <n v="31500000"/>
    <m/>
    <d v="2024-04-01T00:00:00"/>
    <d v="2025-03-31T00:00:00"/>
    <x v="0"/>
    <m/>
    <d v="2025-12-24T00:00:00"/>
    <n v="-268"/>
    <n v="3"/>
    <n v="2025"/>
    <s v="18071/SPP/008/PUSAT/ICON+/2022 | 4500017710 | 21489 | 4500020124"/>
    <n v="2849"/>
    <n v="4500022472"/>
    <s v="Fajar Paramita"/>
    <s v="brahmono"/>
    <m/>
    <m/>
    <m/>
    <m/>
    <m/>
    <m/>
    <s v="F47"/>
    <s v="G73"/>
    <s v="H39"/>
    <m/>
    <m/>
  </r>
  <r>
    <n v="970"/>
    <s v="Duta Pertiwi "/>
    <s v="PT SUMMIT OTO FINANCE (BLOK E NO 11-12)"/>
    <s v="ITC Cempaka Mas Mega Grosir Lt. 5 Jl. Letjen Suprapto kav. 1 Jakarta 10640"/>
    <x v="0"/>
    <s v="-"/>
    <s v="(SOF Cempaka Mas + Oto Pec) Ruko Mega Grosir Cempaka Mas Blok E 11-12, Kemayoran, Jakarta Pusat, DKI Jakarta, Indonesia, 10640"/>
    <s v="Sewa Tahunan"/>
    <s v="Colocation"/>
    <s v="A82130300341"/>
    <m/>
    <m/>
    <m/>
    <m/>
    <m/>
    <n v="8036892000"/>
    <m/>
    <m/>
    <n v="38700000"/>
    <m/>
    <d v="2023-12-01T00:00:00"/>
    <d v="2024-11-30T00:00:00"/>
    <x v="0"/>
    <m/>
    <d v="2025-12-24T00:00:00"/>
    <n v="-389"/>
    <n v="11"/>
    <n v="2024"/>
    <s v="baru"/>
    <s v="2180/SPP/SBU/ICON+/2023"/>
    <n v="4500021830"/>
    <s v="Livia Indraswati"/>
    <s v="Chandra"/>
    <s v="0819-0566-0781"/>
    <m/>
    <m/>
    <m/>
    <m/>
    <m/>
    <m/>
    <s v="G354"/>
    <m/>
    <m/>
    <s v="Biaya Perizinan Sewa selama 1 tahun  (90 ribu x 430 meter) Rp.38.700.000"/>
  </r>
  <r>
    <n v="971"/>
    <s v="Duta Pertiwi "/>
    <s v="PT SUMMIT OTO FINANCE (BLOK I NO 48-50)"/>
    <s v="ITC Cempaka Mas Mega Grosir Lt. 5 Jl. Letjen Suprapto kav. 1 Jakarta 10640"/>
    <x v="0"/>
    <s v="-"/>
    <s v="(Sub HO Ard Cemas) Ruko Mega Grosir Cempaka Mas Blok I No. 48-50, Jl. Letjend Soeprapto, Jakarta Pusat, DKI Jakarta, Indonesia"/>
    <s v="Sewa Tahunan"/>
    <s v="Colocation"/>
    <s v="A82130300340"/>
    <m/>
    <m/>
    <m/>
    <m/>
    <m/>
    <n v="8036892000"/>
    <m/>
    <m/>
    <n v="25200000"/>
    <m/>
    <d v="2023-12-01T00:00:00"/>
    <d v="2024-11-30T00:00:00"/>
    <x v="0"/>
    <m/>
    <d v="2025-12-24T00:00:00"/>
    <n v="-389"/>
    <n v="11"/>
    <n v="2024"/>
    <s v="baru"/>
    <s v="2178/SPP/SBU/ICON+/2023"/>
    <n v="4500021829"/>
    <s v="Livia Indraswati"/>
    <s v="Chandra"/>
    <s v="0819-0566-0781"/>
    <m/>
    <m/>
    <m/>
    <m/>
    <m/>
    <m/>
    <s v="G355"/>
    <m/>
    <m/>
    <s v="Biaya Perizinan Sewa selama 1 tahun  (90 ribu x 280 meter) Rp.25.200.000"/>
  </r>
  <r>
    <n v="972"/>
    <s v="Duta Pertiwi "/>
    <s v="PT OTO MULTIARTHA (BLOK Q NO 12-14)"/>
    <s v="ITC Cempaka Mas Mega Grosir Lt. 5 Jl. Letjen Suprapto kav. 1 Jakarta 10640"/>
    <x v="0"/>
    <s v="-"/>
    <s v="(SUB HO Cempaka Mas) Ruko Cempaka Mas Blok Q No. 12-14 Jl. Letjend Soeprapto, Jakarta Pusat, DKI Jakarta, Indonesia"/>
    <s v="Sewa Tahunan"/>
    <s v="Colocation"/>
    <s v="A82130300463"/>
    <m/>
    <m/>
    <m/>
    <m/>
    <m/>
    <n v="8036892000"/>
    <m/>
    <m/>
    <n v="27000000"/>
    <m/>
    <d v="2023-12-01T00:00:00"/>
    <d v="2024-11-30T00:00:00"/>
    <x v="0"/>
    <m/>
    <d v="2025-12-24T00:00:00"/>
    <n v="-389"/>
    <n v="11"/>
    <n v="2024"/>
    <s v="baru"/>
    <s v="2182/SPP/SBU/ICON+/2023"/>
    <n v="4500021850"/>
    <s v="Livia Indraswati"/>
    <s v="Chandra"/>
    <s v="0819-0566-0781"/>
    <m/>
    <m/>
    <m/>
    <m/>
    <m/>
    <m/>
    <s v="G358"/>
    <m/>
    <m/>
    <s v="Biaya Perizinan Sewa selama 1 tahun  (90 ribu x 300 meter) Rp.27.000.000"/>
  </r>
  <r>
    <n v="973"/>
    <s v="Duta Pertiwi "/>
    <s v="PT BANK RAKYAT INDONESIA (PERSERO) TBK"/>
    <s v="ITC Cempaka Mas Mega Grosir Lt. 5 Jl. Letjen Suprapto kav. 1 Jakarta 10640"/>
    <x v="0"/>
    <s v="Jl. Harsono RM No.26, RT.6/RW.7, Ragunan, Ps. Minggu, Kota Jakarta Selatan, Daerah Khusus Ibukota Jakarta 12550"/>
    <s v="Jl Ruko Cempaka Mas No.27, Sumur Batu, Kec. Kemayoran, Kota Jakarta Pusat, DKI Jakarta 10640"/>
    <s v="Sewa Tahunan"/>
    <s v="Colocation"/>
    <s v="R111205001181"/>
    <m/>
    <m/>
    <m/>
    <m/>
    <m/>
    <n v="77272724"/>
    <m/>
    <m/>
    <n v="46530000"/>
    <m/>
    <d v="2023-12-01T00:00:00"/>
    <d v="2024-11-30T00:00:00"/>
    <x v="0"/>
    <m/>
    <d v="2025-12-24T00:00:00"/>
    <n v="-389"/>
    <n v="11"/>
    <n v="2024"/>
    <s v="baru"/>
    <s v="2040/SPP/SBU/ICON+/2023"/>
    <n v="4500021685"/>
    <s v="Fajar Paramita"/>
    <s v="Chandra"/>
    <s v="0819-0566-0781"/>
    <m/>
    <m/>
    <m/>
    <m/>
    <m/>
    <m/>
    <s v="G25"/>
    <m/>
    <m/>
    <s v="Biaya Perizinan Sewa selama 1 tahun  (90 ribu x 517 meter) Rp.46.530.000"/>
  </r>
  <r>
    <n v="974"/>
    <s v="Ekagrata Data Gemilang"/>
    <s v="PT Airpay International Indonesia"/>
    <s v="Gedung Menara Tendean Lt.22 No.21"/>
    <x v="0"/>
    <m/>
    <s v="H2H Gedung Menara BCA Grand Indonesia, Jl. MH Thamrin No.1, Menteng, RT.1/RW.5, Menteng,  Menteng,  Jakarta Pusat,  DKI Jakarta,  Indonesia,  10310"/>
    <s v="Sewa Tahunan"/>
    <s v="Cross Connect"/>
    <s v="PA/ACT/2212/0254"/>
    <m/>
    <m/>
    <m/>
    <m/>
    <m/>
    <n v="54000000"/>
    <m/>
    <m/>
    <n v="24000000"/>
    <m/>
    <d v="2023-12-30T00:00:00"/>
    <d v="2024-12-29T00:00:00"/>
    <x v="0"/>
    <m/>
    <d v="2025-12-24T00:00:00"/>
    <n v="-360"/>
    <n v="12"/>
    <n v="2024"/>
    <s v="20901/SPP/008/PUSAT/ICON+/2022 | 4500019781"/>
    <s v="1867/SPP/SBU/ICON+/2023"/>
    <n v="4500021746"/>
    <s v="Livia Indraswati"/>
    <m/>
    <m/>
    <m/>
    <m/>
    <m/>
    <m/>
    <m/>
    <s v="f450"/>
    <s v="."/>
    <m/>
    <m/>
    <s v="Biaya OTC Rp.1.500.000"/>
  </r>
  <r>
    <n v="975"/>
    <s v="Ekagrata Data Gemilang"/>
    <s v="PT Bank Mandiri "/>
    <s v="Gedung Menara Tendean Lt.22 No.20"/>
    <x v="0"/>
    <m/>
    <s v="H2H Shopee, Gedung Edge Lantai 3, Jl. Kuningan Barat Raya No. 59, RT.1/RW.3, Kuningan Barat, Jakarta, Indonesia"/>
    <s v="Sewa Tahunan"/>
    <s v="Cross Connect"/>
    <s v="PA/ACT/2211/2168"/>
    <m/>
    <m/>
    <m/>
    <m/>
    <m/>
    <n v="65453340"/>
    <m/>
    <m/>
    <n v="24000000"/>
    <m/>
    <d v="2023-12-22T00:00:00"/>
    <d v="2024-12-21T00:00:00"/>
    <x v="0"/>
    <m/>
    <d v="2025-12-24T00:00:00"/>
    <n v="-368"/>
    <n v="12"/>
    <n v="2024"/>
    <s v="20808/SPP/008/PUSAT/ICON+/2022 | 4500019676"/>
    <s v="1868/SPP/SBU/ICON+/2023"/>
    <n v="4500021747"/>
    <s v="Livia Indraswati"/>
    <m/>
    <m/>
    <m/>
    <m/>
    <m/>
    <m/>
    <m/>
    <s v="F432"/>
    <s v="G384"/>
    <m/>
    <m/>
    <s v="Biaya OTC Rp.2.500.000"/>
  </r>
  <r>
    <n v="976"/>
    <s v="Envision "/>
    <s v="PT Ace Hardware Indonesia"/>
    <s v="Lahan Gandaria 8 Unit 6-H Kebayoran Lama Jakarta Selatan 12240"/>
    <x v="0"/>
    <m/>
    <s v="Gandaria Unit 6H Jakarta 12240"/>
    <s v="Sewa Tahunan"/>
    <s v="Colocation"/>
    <s v="PA/ACT/1802/2350"/>
    <m/>
    <m/>
    <m/>
    <m/>
    <m/>
    <n v="48000000"/>
    <m/>
    <m/>
    <n v="36000000"/>
    <m/>
    <d v="2021-07-01T00:00:00"/>
    <d v="2022-06-30T00:00:00"/>
    <x v="2"/>
    <m/>
    <d v="2025-12-24T00:00:00"/>
    <n v="-1273"/>
    <n v="6"/>
    <n v="2022"/>
    <s v="08956/SPP/008/PUSAT/ICON+/2018 | 4500011707 | 13715/SPP/008/PUSAT/ICON+/2020 | 4500014680"/>
    <s v="16155/SPP/008/PUSAT/ICON+/2021"/>
    <n v="4500016524"/>
    <s v="Fajar Paramita"/>
    <s v="Dinda"/>
    <s v="81519819883_x000a_ 021-29052905"/>
    <m/>
    <m/>
    <m/>
    <s v="D161"/>
    <s v="E413"/>
    <m/>
    <m/>
    <m/>
    <m/>
    <s v="1.Sewa Shaft Rp.36.000.000"/>
  </r>
  <r>
    <n v="977"/>
    <s v="Envision "/>
    <s v="PT OLAM INDONESIA"/>
    <s v="Lahan Gandaria 8 Unit 6-H Kebayoran Lama Jakarta Selatan 12240"/>
    <x v="0"/>
    <m/>
    <s v="Perkantoran Gandaria Kebayoran Baru/Mall Gandaria City (exclusive penyedia jasa telekomunikasi adalah PT Envision namun pemilik gedung adalah PT Artisan Wahyu)"/>
    <s v="Sewa Tahunan"/>
    <s v="Colocation"/>
    <s v="ICON-00/ACT/1201/0170 _x000a_ ICON-00/ACT/1202/0262_x000a_ ICON-00/SOP/1711/0091_x000a_ ICON-00/ACT/1708/0014"/>
    <m/>
    <m/>
    <m/>
    <m/>
    <m/>
    <n v="538800000"/>
    <m/>
    <m/>
    <n v="60000000"/>
    <m/>
    <d v="2020-04-20T00:00:00"/>
    <d v="2021-04-19T00:00:00"/>
    <x v="2"/>
    <m/>
    <d v="2025-12-24T00:00:00"/>
    <n v="-1710"/>
    <n v="4"/>
    <n v="2021"/>
    <s v="4500009374 |06884/SPP/008/PUSAT/ICON+/2017 |4500010489 | 08524/SPP/008/PUSAT/ICON+/2018 | 4500011443 | 10463/SPP/008/PUSAT/ICON+/2019 | 4500012808"/>
    <s v="12975/SPP/008/PUSAT/ICON+/2020"/>
    <n v="4500014155"/>
    <s v="Fajar Paramita"/>
    <s v="Dinda"/>
    <s v="81519819883_x000a_ 021-29052905"/>
    <m/>
    <s v="B83"/>
    <s v="C99"/>
    <s v="D76"/>
    <m/>
    <m/>
    <m/>
    <m/>
    <m/>
    <s v="1. Sewa Shaft untuk Penempatan 2 Core Kabel FO (PT Envision)_x000a_ 2. Link Local Loop Rp2.500.000,-/bulan (PT Envision)_x000a_ 3. Instalasi Rp2.500.000 (PT Envision)_x000a_ 4. Jaminan Rp5.000.000 (PT Artisan Wahyu)"/>
  </r>
  <r>
    <n v="978"/>
    <s v="Fauzi Panca Manunggal"/>
    <s v="PT Bank Commonwealth"/>
    <s v="Jl Buncit Raya Lt Penthouse No.22 Jakarta 12510"/>
    <x v="0"/>
    <m/>
    <s v="Jl. Warung Jati Barat No.22, RT.2/RW.7, Pejaten Bar., Ps. Minggu, Kota Jakarta Selatan, Daerah Khusus Ibukota Jakarta 12510"/>
    <s v="Sewa Tahunan"/>
    <s v="Colocation"/>
    <s v="AL/1812/21323_x000a_ AL/1812/17142"/>
    <m/>
    <m/>
    <m/>
    <m/>
    <m/>
    <n v="234000000"/>
    <m/>
    <m/>
    <n v="70000000"/>
    <m/>
    <d v="2023-09-25T00:00:00"/>
    <d v="2024-09-24T00:00:00"/>
    <x v="0"/>
    <m/>
    <d v="2025-12-24T00:00:00"/>
    <n v="-456"/>
    <n v="9"/>
    <n v="2024"/>
    <s v="09347/SPP/008/PUSAT/ICON+/2018 | | 11768/SPP/008/PUSAT/ICON+/2019| 4500013449 | 14227/SPP/008/PUSAT/ICON+/2020 | 4500015016|4500016628 16417/SPP/008/PUSAT/ICON+/2021 | 19803/SPP/008/PUSAT/ICON+/2022 | 4500018896"/>
    <s v="716/SPP/SBU/ICON+/2023"/>
    <n v="4500020905"/>
    <s v="Fajar Paramita"/>
    <s v="Magdalena Novita"/>
    <s v="021-7918 2222"/>
    <m/>
    <m/>
    <s v="C251"/>
    <s v="D214"/>
    <s v="E266"/>
    <s v="F346"/>
    <s v="G170"/>
    <m/>
    <m/>
    <s v="1.Biaya Sewa Tahunan Rp.70.000.000,- 2.Biaya PKB sebesar Rp.8.652.573,-"/>
  </r>
  <r>
    <n v="979"/>
    <s v="Five Pillars Indonesia Office Park "/>
    <s v="PT. ASURANSI PERISAI LISTRIK NASIONAL"/>
    <s v="Jl.MT Haryono Kav 58-60 Pancoran 12830"/>
    <x v="0"/>
    <m/>
    <s v="Mulia Business Park, Jl. Letjen M.T. Haryono No.Kav. 58 - 60, Pancoran, Kec. Pancoran"/>
    <s v="Sewa Tahunan"/>
    <s v="Colocation"/>
    <s v="PA/ACT/2205/1484"/>
    <m/>
    <m/>
    <m/>
    <m/>
    <m/>
    <n v="108000000"/>
    <m/>
    <m/>
    <n v="189000000"/>
    <m/>
    <d v="2022-06-01T00:00:00"/>
    <d v="2025-05-31T00:00:00"/>
    <x v="0"/>
    <m/>
    <d v="2025-12-24T00:00:00"/>
    <n v="-207"/>
    <n v="5"/>
    <n v="2025"/>
    <s v="baru"/>
    <s v="18786/SPP/008/PUSAT/ICON+/2022"/>
    <n v="4500018200"/>
    <s v="Livia Indraswati"/>
    <m/>
    <m/>
    <m/>
    <m/>
    <m/>
    <m/>
    <m/>
    <s v="F159"/>
    <m/>
    <m/>
    <m/>
    <s v="1.Biaya sewa tahunan Rp.63.000.000 2.Biaya Jaminan setara Sewa selama 3 Bulan  Rp.15.750.000 "/>
  </r>
  <r>
    <n v="980"/>
    <s v="Garama Dhanalaksmi"/>
    <s v="PT BERLIAN AMAL PERKASA"/>
    <s v="Jl.TB Simatupang Kav.36 Jakarta Selatan"/>
    <x v="0"/>
    <m/>
    <s v="Sovereign Plaza, Lt.16 Unit D-E, Jl. TB Simatupang No.36, RT.1/RW.2, Cilandak Barat, Jakarta Selatan, DKI Jakarta, Indonesia, 12430"/>
    <s v="Sewa Tahunan"/>
    <s v="Colocation"/>
    <s v="PA/ACT/2201/0439"/>
    <m/>
    <m/>
    <m/>
    <m/>
    <m/>
    <n v="180000000"/>
    <m/>
    <m/>
    <n v="180000000"/>
    <m/>
    <d v="2022-01-17T00:00:00"/>
    <d v="2025-01-16T00:00:00"/>
    <x v="2"/>
    <m/>
    <d v="2025-12-24T00:00:00"/>
    <n v="-342"/>
    <n v="1"/>
    <n v="2025"/>
    <s v="baru"/>
    <s v="17660/SPP/008/PUSAT/ICON+/2022"/>
    <n v="4500017485"/>
    <s v="Fajar Paramita"/>
    <m/>
    <m/>
    <m/>
    <m/>
    <m/>
    <m/>
    <m/>
    <s v="F4"/>
    <m/>
    <m/>
    <m/>
    <s v="1.Biaya Sewa 3 tahun RFp.180.000.000"/>
  </r>
  <r>
    <n v="981"/>
    <s v="Gentamulia Infra"/>
    <s v="PT. BANK BTPN Tbk_x000a_ PT. BANK DANAMON INDONESIA_x000a_ PT Bank Pembangunan Sumatera Selatan dan Bangka Belitung"/>
    <s v="Gedung The East Building Lt. 32 Jl. Lingkar Mega Kuningan / Gedung The East Jl. DR.Ide Anak Agung Gde Agung Kav. E3.2 No. 1 Jakarta 12950_x000a__x000a_Jl. Pedurenan Masjid 1 No. 18"/>
    <x v="0"/>
    <m/>
    <s v="Gedung The East Kawasan Mega Kuningan Jl. DR.Ide Anak Agung Gde Agung Kav. E3.2 No. 1 Jakarta 12950"/>
    <s v="Sewa Tahunan"/>
    <s v="Colocation"/>
    <s v="ICON-00/ACT/1506/0233_x000a_ ICON-00/ACT/1204/0114_x000a_ ICON-00/ACT/1405/0198"/>
    <m/>
    <m/>
    <m/>
    <m/>
    <m/>
    <n v="198000000"/>
    <m/>
    <m/>
    <n v="180000000"/>
    <m/>
    <d v="2023-08-01T00:00:00"/>
    <d v="2025-07-31T00:00:00"/>
    <x v="0"/>
    <m/>
    <d v="2025-12-24T00:00:00"/>
    <n v="-146"/>
    <n v="7"/>
    <n v="2025"/>
    <s v="4500009957_x000a_ Amandemen IV_x000a_ 02031/AMDIV/061/ICON+/2017 07170/SPP/008/PUSAT/ICON+/2017 4500010668 | 08824/SPP/008/PUSAT/ICON+/2018 | 4500011647 | 11206/SPP/008/PUSAT/ICON+/2019 | 4500014577 | 13888/SPP/008/PUSAT/ICON+/2020 | 4500014817| 15962/SPP/008/PUSAT/ICON+/2021| 4500016264 | 18539/SPP/008/PUSAT/ICON+/2022 | 4500018124"/>
    <s v="442/SPP/SBU/ICON+/2023"/>
    <s v="4500020733"/>
    <s v="Fajar Paramita"/>
    <s v="Retno_x000a_ Jamaludin_x000a_ Endang"/>
    <s v="021-57900690_x000a_ 08129233394"/>
    <m/>
    <m/>
    <s v="C139"/>
    <m/>
    <s v="E123"/>
    <s v="F284"/>
    <s v="G177"/>
    <m/>
    <m/>
    <s v="1. Sewa Shaft Kabel Rp50.000.000,-/Tahun update tahun 2016 Rp73.000.000,-/tahun _x000a_ 3. Ijin Penarikan Rp4.400.000/One Time Charged_x000a_ 4. Jasa Man Hour Rp3.000.000/One Time Charged"/>
  </r>
  <r>
    <n v="982"/>
    <s v="Global Pahala Jasatama"/>
    <s v="PT ASTARI NIAGARA INTERNATIONAL"/>
    <s v="Jl.Gatot Subroto Kav 51-52 JAKARTA 102660"/>
    <x v="0"/>
    <m/>
    <s v="Gedung Dipo Tower lt 10 Jl Gatot Subroto kav 50-52 Jakarta 10260"/>
    <s v="Sewa Tahunan"/>
    <s v="Colocation"/>
    <s v="AL/1901/1008_x000a_ AL/1901/1009_x000a_ ICON-00/SBC/1710/2251"/>
    <m/>
    <m/>
    <m/>
    <m/>
    <m/>
    <n v="103800000"/>
    <m/>
    <m/>
    <n v="15000000"/>
    <m/>
    <d v="2020-05-25T00:00:00"/>
    <d v="2021-05-24T00:00:00"/>
    <x v="2"/>
    <m/>
    <d v="2025-12-24T00:00:00"/>
    <n v="-1675"/>
    <n v="5"/>
    <n v="2021"/>
    <s v="4500010328 |06669/SPP/008/PUSAT/ICON+/2017 | 08425/SPP/008/PUSAT/ICON+/2018 | 4500011375 | 10394/SPP/008/PUSAT/ICON+/2019 | 4500012621"/>
    <n v="13395"/>
    <n v="4500014396"/>
    <s v="Fajar Paramita"/>
    <s v="Dina Rofiana"/>
    <m/>
    <n v="56"/>
    <s v="B76"/>
    <s v="C36"/>
    <s v="D205"/>
    <m/>
    <m/>
    <m/>
    <m/>
    <m/>
    <s v="-"/>
  </r>
  <r>
    <n v="983"/>
    <s v="Global Pahala Jasatama"/>
    <s v="PT. BERLIAN SISTEM INFORMASI"/>
    <s v="Jl.Gatot Subroto Kav 51-52 JAKARTA 102660"/>
    <x v="0"/>
    <s v="-"/>
    <s v="PT. Dipo Star Finance, Gedung Dipo Tower lantai 8, Jl. Jendral Gatot Subroto Kav. 52-53, Tanah Abang, Jakarta Pusat."/>
    <s v="Sewa Tahunan"/>
    <s v="Colocation"/>
    <s v="PA/ACT/1908/0063/TER"/>
    <m/>
    <m/>
    <m/>
    <m/>
    <m/>
    <n v="42000000"/>
    <m/>
    <m/>
    <n v="15000000"/>
    <m/>
    <d v="2023-11-02T00:00:00"/>
    <d v="2024-11-01T00:00:00"/>
    <x v="0"/>
    <m/>
    <d v="2025-12-24T00:00:00"/>
    <n v="-418"/>
    <n v="11"/>
    <n v="2024"/>
    <s v="11659/SPP/008/PUSAT/ICON+/2019 | 4500013278 | 14019/SPP/008/PUSAT/ICON+/2020| 4500014888 | 17155/SPP/008/PUSAT/ICON+/2021 | 4500017142 | 20287 | 4500019423"/>
    <n v="1953"/>
    <n v="45000221000"/>
    <s v="Fajar Paramita"/>
    <s v="Dina Rofiana"/>
    <m/>
    <m/>
    <m/>
    <s v="C202"/>
    <s v="D179"/>
    <s v="E397"/>
    <s v="F402"/>
    <m/>
    <s v="H29"/>
    <m/>
    <s v="-"/>
  </r>
  <r>
    <n v="984"/>
    <s v="Gobel Dharma Nusantara "/>
    <s v="PT. INTERNETWORK KOMUNIKASI INDONESIA"/>
    <s v="Lahan Industri Cibitung (Jl. Dewi Sartika No. 14 Cawang II Jakarta Timur 13630)"/>
    <x v="0"/>
    <m/>
    <s v="McD Cibitung"/>
    <s v="Sewa Tahunan"/>
    <s v="Colocation"/>
    <s v="PA/ACT/2204/2799/TER"/>
    <m/>
    <m/>
    <m/>
    <m/>
    <m/>
    <n v="4200000"/>
    <m/>
    <m/>
    <n v="24000000"/>
    <m/>
    <d v="2023-08-05T00:00:00"/>
    <d v="2024-08-04T00:00:00"/>
    <x v="0"/>
    <m/>
    <d v="2025-12-24T00:00:00"/>
    <n v="-507"/>
    <n v="8"/>
    <n v="2024"/>
    <s v="19515/SPP/008/PUSAT/ICON+/2022 | 4500018572"/>
    <s v="831/SPP/SBU/ICON+/2023"/>
    <n v="4500021426"/>
    <s v="Fajar Paramita"/>
    <s v="Agus Purwanto"/>
    <s v="021-8015666 Ext 265"/>
    <m/>
    <m/>
    <m/>
    <m/>
    <m/>
    <s v="F267"/>
    <s v="G341"/>
    <m/>
    <m/>
    <s v="Sewa lahan Rp24.000.000/tarikan kabel/tahun"/>
  </r>
  <r>
    <n v="985"/>
    <s v="Grahaniaga Tatautama "/>
    <s v="BUT. SARULLA OPERATIONS LTD_x000a_ Bank Woori Saudara"/>
    <s v="Gedung Graha Niaga Lantai 1 Jl. Jendral Sudirman Kav. 58 Jakarta 12190"/>
    <x v="0"/>
    <m/>
    <s v="Gedung Graha Niaga"/>
    <s v="Sewa Tahunan"/>
    <s v="Colocation"/>
    <s v="ICON-00/ACT/1709/1154_x000a_ ICON-00/ACT/1302/0085"/>
    <m/>
    <m/>
    <m/>
    <m/>
    <m/>
    <n v="360000000"/>
    <m/>
    <m/>
    <n v="25106760"/>
    <m/>
    <d v="2023-07-21T00:00:00"/>
    <d v="2024-07-20T00:00:00"/>
    <x v="0"/>
    <m/>
    <d v="2025-12-24T00:00:00"/>
    <n v="-522"/>
    <n v="7"/>
    <n v="2024"/>
    <s v="4500009588 |Addendum Ke Tujuh 07234/SPP/008/PUSAT/ICON+/2017| 4500010667 | 08854/SPP/008/PUSAT/ICON+/2018 | 4500011661 | 11207/SPP/008/PUSAT/ICON+/2019 | 4500013023 | 13595/SPP/008/PUSAT/ICON+/2020 | 4500014584| 16737/SPP/008/PUSAT/ICON+/2021| 4500016619 | 18846/SPP/008/PUSAT/ICON+/2022 | 4500018224"/>
    <m/>
    <n v="4500020938"/>
    <s v="Fajar Paramita"/>
    <s v="Hetmi"/>
    <s v="021-2505250"/>
    <n v="83"/>
    <s v="B127"/>
    <s v="C143"/>
    <s v="D141"/>
    <s v="E271"/>
    <s v="F201"/>
    <s v="G181"/>
    <m/>
    <m/>
    <s v="Sewa Shaft Kabel"/>
  </r>
  <r>
    <n v="986"/>
    <s v="Graha Pena Jawa Pos "/>
    <s v="PT JAWA POS KORAN"/>
    <s v="Jl. Raya Kebayoran Lama No. 12_x000a_Jakarta 12210"/>
    <x v="0"/>
    <s v="Jl. Sumengko Wringinanom Gresik"/>
    <s v="Graha Pena Jawa Pos Jakarta _x000a_ Ruang Roof Top Lt.11_x000a_ Jl. Kebayoran Lama No. 12 Jakarta Selatan 12210"/>
    <s v="Sewa Tahunan"/>
    <s v="Colocation"/>
    <s v="ICON-00/ACT/1501/0690"/>
    <m/>
    <m/>
    <m/>
    <m/>
    <m/>
    <n v="615500000"/>
    <m/>
    <m/>
    <n v="56997993"/>
    <m/>
    <d v="2024-01-02T00:00:00"/>
    <d v="2025-01-01T00:00:00"/>
    <x v="0"/>
    <m/>
    <d v="2025-12-24T00:00:00"/>
    <n v="-357"/>
    <n v="1"/>
    <n v="2025"/>
    <s v="4500010058 | 07709/SPP/008/PUSAT/ICON+/2017 | 4500011003 | 09908/SPP/008/PUSAT/ICON+/2018 | 4500012357 | 12451/SPP/008/PUSAT/ICON+/2019 | 4500013795 | 15074/SPP/008/PUSAT/ICON+/2020 | 4500015632 | 17614/SPP/008/PUSAT/ICON+/2022 | 4500017429 | 20990"/>
    <n v="2459"/>
    <n v="4500022171"/>
    <s v="Fajar Paramita"/>
    <s v="Putri"/>
    <s v="021-53699542-3"/>
    <m/>
    <n v="171"/>
    <s v="C16"/>
    <s v="D15"/>
    <s v="E223"/>
    <s v="F18"/>
    <s v="G13"/>
    <s v="H43"/>
    <m/>
    <m/>
  </r>
  <r>
    <n v="987"/>
    <s v="Graha Pratama Joint Operation"/>
    <s v="PT Circlecom Nusantara Indonesia"/>
    <s v="Badan Kerjasama Graha Pratama Jl. M.T. Haryono Kav.15 Jakarta 12810"/>
    <x v="0"/>
    <m/>
    <s v="Gedung Graha Pratama Jl. M.T. Haryono Kav. 15 Jakarta (PT Circlecom Nusantara Indonesia SO No. ICON-00/ACT/1609/0121)"/>
    <s v="Sewa Tahunan"/>
    <s v="Colocation"/>
    <s v="ICON-00/SBC/1611/0594"/>
    <m/>
    <m/>
    <m/>
    <m/>
    <m/>
    <n v="60000000"/>
    <m/>
    <m/>
    <n v="6957500"/>
    <m/>
    <d v="2021-09-27T00:00:00"/>
    <d v="2022-09-26T00:00:00"/>
    <x v="2"/>
    <m/>
    <d v="2025-12-24T00:00:00"/>
    <n v="-1185"/>
    <n v="9"/>
    <n v="2022"/>
    <s v="4500007412 | 061521/MI/004/PUSAT/ICON+/2015 | 05297/SKU/008/PUSAT/ICON+/2015 | 07396/SPP/008/PUSAT/ICON+/2017 | 4500010777 | 08950/SPP/008/PUSAT/ICON+/2018 | 4500011706 | 11311/SPP/008/PUSAT/ICON+/2019 | 4500013066 | 13989/SPP/008/PUSAT/ICON+/2020 | 4500014889"/>
    <s v="16302/SPP/008/PUSAT/ICON+/2021"/>
    <s v="4500016589"/>
    <s v="Fajar Paramita"/>
    <s v="Hesti"/>
    <s v="021-83790777"/>
    <n v="100"/>
    <s v="B175"/>
    <s v="C158"/>
    <s v="D180"/>
    <s v="E238"/>
    <m/>
    <m/>
    <m/>
    <m/>
    <s v="1. Sewa shaft Rp5.000.000/tahun_x000a_ 2. Biaya Supervisi Rp50.000,-/jam"/>
  </r>
  <r>
    <n v="988"/>
    <s v="Graha Pratama Joint Operation"/>
    <s v="PT. ENERGY MANAGEMENT INDONESIA"/>
    <s v="Badan Kerjasama Graha Pratama Jl. M.T. Haryono Kav.15 Jakarta 12810"/>
    <x v="0"/>
    <m/>
    <s v="Graha Pratama RT.11/RW.5, Tebet Bar., Kec. Tebet, Kota Jakarta Selatan, Daerah Khusus Ibukota Jakart,Graha Pratama RT.11/RW.5, Tebet Bar., Kec. Tebet, Kota Jakarta "/>
    <s v="Sewa Tahunan"/>
    <s v="Colocation"/>
    <s v="PA/ACT/2203/4071"/>
    <m/>
    <m/>
    <m/>
    <m/>
    <m/>
    <n v="85500000"/>
    <m/>
    <m/>
    <n v="7000000"/>
    <m/>
    <d v="2023-06-01T00:00:00"/>
    <d v="2024-05-31T00:00:00"/>
    <x v="2"/>
    <m/>
    <d v="2025-12-24T00:00:00"/>
    <n v="-572"/>
    <n v="5"/>
    <n v="2024"/>
    <s v="18870/SPP/008/PUSAT/ICON+/2022 | 4500018193"/>
    <s v="515/SPP/SBU/ICON+/2023_x0009_"/>
    <n v="4500020827"/>
    <s v="Fajar Paramita"/>
    <s v="Hesti"/>
    <s v="021-83790777"/>
    <m/>
    <m/>
    <m/>
    <m/>
    <m/>
    <s v="F169"/>
    <s v="G227"/>
    <m/>
    <m/>
    <s v="1.Biaya Sewa Shaft pertahun Rp.7.000.000,-"/>
  </r>
  <r>
    <n v="989"/>
    <s v="Grahalestari Ciptakencana"/>
    <s v="PT. ACTAVIS INDONESIA_x000a_ PT. MULTIPOLAR TECHNOLOGY TBK_x000a_ PT. BERDIKARI PRIMA MANDIRI"/>
    <s v="Talavera Office Park Jl. TB Simatupang Kav. 22 - 26 Cilandak, Jakarta - 12430"/>
    <x v="0"/>
    <m/>
    <s v="Gedung Talavera Jl. TB Simatupang Kav. 22 - 26 Cilandak, Jakarta - 12430"/>
    <s v="Sewa Tahunan"/>
    <s v="Colocation"/>
    <s v="PA/UPG/1910/0013_x000a_ PA/ACT/1812/1403_x000a_ PA/ACT/1811/1742_x000a_ PA/UPG/1810/0069_x000a_ PA/ACT/1804/0538"/>
    <m/>
    <m/>
    <m/>
    <m/>
    <m/>
    <n v="62500000"/>
    <m/>
    <m/>
    <n v="90000000"/>
    <m/>
    <d v="2022-03-30T00:00:00"/>
    <d v="2023-03-29T00:00:00"/>
    <x v="2"/>
    <m/>
    <d v="2025-12-24T00:00:00"/>
    <n v="-1001"/>
    <n v="3"/>
    <n v="2023"/>
    <s v="4500010184 | 08286/SPP/008/PUSAT/ICON+/2018 | 4500011335 | 10406/SPP/008/PUSAT/ICON+/2019 | 4500012527 | 12628/SPP/008/PUSAT/ICON+/2020 | 4500013906| 15124/SPP/008/PUSAT/ICON+/2021| 4500015726"/>
    <s v="18271/SPP/008/PUSAT/ICON+/2022"/>
    <n v="4500017801"/>
    <s v="Fajar Paramita"/>
    <s v="Froleen"/>
    <s v="021-75 900 911"/>
    <m/>
    <s v="B40"/>
    <s v="C46"/>
    <s v="D35"/>
    <s v="E164"/>
    <s v="F120"/>
    <m/>
    <m/>
    <m/>
    <s v="1. Sewa Collo dan Shaft Kabel Rp84.000.000,-/tahun_x000a_ 2. Biaya Instalasi Rp1.000.000,-/instalasi_x000a_ 3. Jaminan Pekerjaan Rp2.000.000,-/instalasi_x000a_ 4. Biaya firestop Rp250.000,-"/>
  </r>
  <r>
    <n v="990"/>
    <s v="Grahalestari Ciptakencana"/>
    <s v="PC KETAPANG II LTD |PT INDONESIA COMNETS PLUS"/>
    <s v="Talavera Office Park Jl. TB Simatupang Kav. 22 - 26 Cilandak, Jakarta - 12430"/>
    <x v="0"/>
    <m/>
    <s v="Gedung Talavera Jl. TB Simatupang Kav. 22 - 26 Cilandak, Jakarta - 12430"/>
    <s v="Sewa Tahunan"/>
    <s v="Colocation"/>
    <s v="AL/2006/18858_x000a_PA/ACT/2210/2796"/>
    <m/>
    <m/>
    <m/>
    <m/>
    <m/>
    <n v="1440000000"/>
    <m/>
    <m/>
    <n v="125000000"/>
    <m/>
    <d v="2023-03-30T00:00:00"/>
    <d v="2025-03-29T00:00:00"/>
    <x v="0"/>
    <m/>
    <d v="2025-12-24T00:00:00"/>
    <n v="-270"/>
    <n v="3"/>
    <n v="2025"/>
    <s v="baru"/>
    <s v="21103/SPP/008/PUSAT/ICON+/2023"/>
    <n v="4500020015"/>
    <s v="Fajar Paramita"/>
    <s v="Froleen"/>
    <s v="021-75 900 911"/>
    <m/>
    <m/>
    <m/>
    <m/>
    <m/>
    <m/>
    <s v="G21"/>
    <m/>
    <m/>
    <s v="Biaya Sewa Shaft Perangkat Selama 2 Tahun Rp.250.000.000 | Jaminan Sewa Rp.25.000.000 | Biaya Pergantian Firestopper (OTC) RP.20.000.000"/>
  </r>
  <r>
    <n v="991"/>
    <s v="Griya Kirana Properti"/>
    <s v="PT BCA Finance _x000a_  PT Hanasta Dakara"/>
    <s v="Jl. Boulevard Raya No. 1 Kelapa Gading Jakarta"/>
    <x v="0"/>
    <m/>
    <s v="Kirana Boutique Kelapa Gading (PT BCA Finance SO No. ICON-00/ACT/1605/0532 dan PT Hanasta Dakara SO No. ICON-00/ACT/1606/0018)"/>
    <s v="Sewa Tahunan"/>
    <s v="Colocation"/>
    <s v="ICON-00/SBC/1612/0251_x000a_ ICON-00/ACT/1605/0532"/>
    <m/>
    <m/>
    <m/>
    <m/>
    <m/>
    <n v="94800000"/>
    <m/>
    <m/>
    <n v="28500000"/>
    <m/>
    <d v="2021-09-22T00:00:00"/>
    <d v="2022-09-21T00:00:00"/>
    <x v="0"/>
    <m/>
    <d v="2025-12-24T00:00:00"/>
    <n v="-1190"/>
    <n v="9"/>
    <n v="2022"/>
    <s v="092317/MI/004/PUSAT/ICON+/2016_x000a_ 4108916/SPR/ICON+/2016_x000a_ 4320916/SPR/ICON+/2016_x000a_ 5001016/SPR/ICON+/2016 07405/SPP/008/PUSAT/ICON+/2017 4500010806 | 08938/SPP/008/PUSAT/ICON+/2018 | 4500012109 | 11402/SPP/008/PUSAT/ICON+/2019 | 4500013331 | 14253/SPP/008/PUSAT/ICON+/2020 | 4500015142"/>
    <s v="16575/SPP/008/PUSAT/ICON+/2021"/>
    <n v="4500016827"/>
    <s v="Fajar Paramita"/>
    <s v="Agus Sunarto"/>
    <s v="021-29375657"/>
    <n v="101"/>
    <s v="B151"/>
    <s v="C218"/>
    <s v="D296"/>
    <s v="E320"/>
    <m/>
    <m/>
    <m/>
    <m/>
    <s v="1 Jaminan Rp5.000.000,-_x000a_ 2. Pembayaran Terminasi Rp2.500.000/pelanggan_x000a_ 3. Biaya Administrasi Rp150.000,-_x000a_ 4. Biaya sewa Rp23.000.000,-"/>
  </r>
  <r>
    <n v="992"/>
    <s v="Grya Catur Abadi "/>
    <s v="PT TERA LOGISTIC INDONESIA"/>
    <s v="Jl. Abdul Muis No. 46 Jakarta 10160"/>
    <x v="0"/>
    <m/>
    <s v="JL. Abdul Muis No. 50 Gambir, Jakarta Pusat, DKI Jakarta, Indonesia"/>
    <s v="Sewa Tahunan"/>
    <s v="Colocation"/>
    <s v="PA/ACT/2012/0457/TER"/>
    <m/>
    <m/>
    <m/>
    <m/>
    <m/>
    <n v="80400000"/>
    <m/>
    <m/>
    <n v="9350000"/>
    <m/>
    <d v="2024-02-01T00:00:00"/>
    <d v="2025-01-31T00:00:00"/>
    <x v="0"/>
    <m/>
    <d v="2025-12-24T00:00:00"/>
    <n v="-327"/>
    <n v="1"/>
    <n v="2025"/>
    <s v="15824/SPP/008/PUSAT/ICON+/2021 | 4500016197 | 17690/SPP/008/PUSAT/ICON+/2022 | 4500017689 | 21042 | 4500019932"/>
    <n v="2449"/>
    <n v="4500022205"/>
    <s v="Fajar Paramita"/>
    <s v="Lia Simorangkir"/>
    <s v="021-3505350"/>
    <m/>
    <m/>
    <m/>
    <m/>
    <s v="E59"/>
    <s v="F80"/>
    <s v="G54"/>
    <s v="H38"/>
    <m/>
    <m/>
  </r>
  <r>
    <n v="993"/>
    <s v="Grya Mekar Abadi"/>
    <s v="PT MITRA VISIONER PRATAMA"/>
    <s v="Jl Abdul Muis No.46 Jakarta Pusat 10160"/>
    <x v="0"/>
    <m/>
    <s v="Jl. Abdul Muis No. 46, Petojo Selatan, Gambir, Jakarta"/>
    <s v="Sewa Tahunan"/>
    <s v="Colocation"/>
    <s v="PA/ACT/1802/1734"/>
    <m/>
    <m/>
    <m/>
    <m/>
    <m/>
    <n v="26700000"/>
    <m/>
    <m/>
    <n v="8250000"/>
    <m/>
    <d v="2019-04-05T00:00:00"/>
    <d v="2020-04-04T00:00:00"/>
    <x v="0"/>
    <m/>
    <d v="2025-12-24T00:00:00"/>
    <n v="-2090"/>
    <n v="4"/>
    <n v="2020"/>
    <s v="08161/SPP/008/PUSAT/ICON+/2018 | 4500011289"/>
    <s v="10492/SPP/008/PUSAT/ICON+/2019"/>
    <n v="4500012662"/>
    <s v="Fajar Paramita"/>
    <s v="Roni Saputra &lt;roni.saputra@gkabadi.com&gt;"/>
    <m/>
    <m/>
    <s v="B28"/>
    <s v="C69"/>
    <m/>
    <m/>
    <m/>
    <m/>
    <m/>
    <m/>
    <m/>
  </r>
  <r>
    <n v="994"/>
    <s v="Hadisurjo Propertama "/>
    <s v="PT MORA TELEMATIKA INDONESIA"/>
    <s v="Gedung Graha Kencana Sejahtera Jl. Raya Perjuangan No. 88 Jakarta Barat 11530"/>
    <x v="0"/>
    <m/>
    <s v="Gedung Graha Kencana"/>
    <s v="Sewa Tahunan"/>
    <s v="Colocation"/>
    <s v="ICON-00/SBC/1411/0452"/>
    <m/>
    <m/>
    <m/>
    <m/>
    <m/>
    <n v="49032000"/>
    <m/>
    <m/>
    <n v="33000000"/>
    <m/>
    <d v="2020-05-01T00:00:00"/>
    <d v="2021-04-30T00:00:00"/>
    <x v="2"/>
    <m/>
    <d v="2025-12-24T00:00:00"/>
    <n v="-1699"/>
    <n v="4"/>
    <n v="2021"/>
    <s v="4500009406 | Addendum VI |06887/SPP/008/PUSAT/ICON+/2017 |4500010479 |08554/SPP/008/PUSAT/ICON+/2018 | 4500011461 | 10710/SPP/008/PUSAT/ICON+/2019 | 4500012926"/>
    <s v="12648/SPP/008/PUSAT/ICON+/2020"/>
    <n v="4500014608"/>
    <s v="Fajar Paramita"/>
    <s v="Bapak Iwan dan Ibu Neli"/>
    <s v="53679658 ext 323(iwan) Neli (305)"/>
    <n v="25"/>
    <s v="B82"/>
    <s v="C127"/>
    <s v="D206"/>
    <m/>
    <m/>
    <m/>
    <m/>
    <m/>
    <s v="1. Sewa Shaft Cable Rp33.000.000/tahun_x000a_ 2. Jaminan sebesar 30% dari biaya sewa Rp7.200.000,-"/>
  </r>
  <r>
    <n v="995"/>
    <s v="Indonesia Net Teknologi"/>
    <s v="PT Goto (Gojek Tokopedia)"/>
    <s v="Jalan Batan Lebak Bulus Raya No. Z8 Lebak Bulus, Cilandak"/>
    <x v="1"/>
    <m/>
    <s v="MMR Building Pasaraya Blok M Gedung B Lt. 6"/>
    <s v="Sewa Tahunan"/>
    <s v="Colocation"/>
    <s v="A821303001181"/>
    <m/>
    <m/>
    <m/>
    <m/>
    <m/>
    <n v="1416000000"/>
    <m/>
    <m/>
    <n v="72000000"/>
    <m/>
    <d v="2024-07-11T00:00:00"/>
    <d v="2026-07-10T00:00:00"/>
    <x v="1"/>
    <m/>
    <d v="2025-12-24T00:00:00"/>
    <n v="198"/>
    <n v="7"/>
    <n v="2026"/>
    <s v="Baru"/>
    <s v="3767/SPP/SBU/PLNICONPLUS/2024"/>
    <n v="4500022945"/>
    <s v="Fajar Paramita"/>
    <s v="Ibu Soraya"/>
    <s v="0877-7010-1025"/>
    <m/>
    <m/>
    <m/>
    <m/>
    <m/>
    <m/>
    <m/>
    <s v="H317"/>
    <m/>
    <m/>
  </r>
  <r>
    <n v="996"/>
    <s v="IDC (Internetindo Data Centra Indonesia) "/>
    <s v="-"/>
    <s v="Rukan Duren Tiga No. 7H_x000a_Jl. Duren Tiga Raya No. 7 Jakarta Selatan 12760"/>
    <x v="0"/>
    <m/>
    <s v="-"/>
    <s v="Sewa Tahunan"/>
    <s v="Colocation"/>
    <s v="Metro Admedia + Metro Global Sekawan Komunika_x000a_ Trunk to CPE Interconnection ICON Cyber (172.16.40.237)_x000a_ ### METRO INFRATEL BEKASI - Gd. CYBER lokasi CYBER Lt. 4###_x000a_ Trunk to NNI to PT Envison_x000a_ ### METRO PHISON W.T. link Cyber Twins (Satnet lt 4) ke Tangerang ###_x000a_ ### METRO.BITNET.to.Metro.Angke ###_x000a_ 0990000320480362 Metro Sistelindo Mitralintas PT Sungintex Kawasan Indutri Wijayakusuma Kendal Km 12 - Cyber LT 7 [112016] NEWACT_x000a_ 01000011260 Metro P2MP Media Andalan Nusa Backhaul Cyber 1 Jl.Kuningan Barat No 8 Mampang [HO]_x000a_ 01000008284 Metro Voltras International - Kereta Api Indonesia Jl. Perintis Kemerdekaan No.1 Babakan Ciamis Sumur Bandung_x000a_ Trunk to NNI Metro Hipernet Indodata_x000a_ INTERCONNECTION CUSTOMER VIA NNI TELKOM_x000a_ Link.to.Telkom.45(up grade become 90 Mbps).Mbps_x000a_ Trunk to PT SISTELINDO MITRALINTAS_x000a_ 01000043951 Metro P2MP Pemprov DKI Jakarta Gedung Teknis Kuningan(Epicentrum Mall PTSP) JL.HR Rasuna Said Kav C/21_x000a_ 0990000320486961 Metro Bank BTPN 0043 Retail KC Rasuna Said (TB Simatupang) - Data Center IBM [via Megatel-NetStar]_x000a_ 01000037728 Metro Jetcoms Netindo - Pt.Conservation International,Jl.Pejatan Barat Raya Ragunan Jaksel_x000a_ 0990000320403537 IPVPN Design Jaya Indonesia Cyber Backhaul_x000a_ NMS PDH RAD Gd.Cyber Lt7 - GIS Mampang 2 (10.10.31.147)_x000a_ 01000027252 Metro Metro PT.Transdata Sejahtera Perumahan Citra Harmony KM 20,Sidoarjo,Kabupaten Sidoarjo,Jawa Timur_x000a_ 0990000020261893 Metro Interlink Technology Container Terminal Priok - Cyber_x000a_ 0990000320317952 Metro Hanasta Dakara PT. Hankook Tire Indonesia bekasi_x000a_ Trunk to Metro DIGISAT CYBER LT_x000a_ Interkoneksi NNI Indosat Trans Retail_x000a_ Trunk to Metro Lintas Data Prima JKT_x000a_ 0990000320349420 Metro IFORTE GLOBAL INTERNET Cyber to Hotel Sheraton Bali (SOP: 11042017 20Mbp s-100M bps)_x000a_ [01000036751 Taman Bintaro] [01000049301 Nok Indonesia] Total Info Kharisma_x000a_ 0990000020277036 Metronet Kresna Graha Sekurindo Cyber - Diponegoro Medan_x000a_ 01000012215 Metro Hanasta Dakara - Daehal Tegal Jl. Raya Pantura No. 600 Pejagan Tanjung_x000a_ 01000089640 Metro Berdikari Prima Mandiri Gedung Plaza Mandiri LT. 4 Jl. Jend Gatot Subroto Kav. 36-38 Kebayoran Baru_x000a_ 01000033540 Metro Qinq PT.Tujuh Akses Mentari Prima CV.Putera Anteja,JL.Temanggung Jalil No.08 RT.04 Kel. Kebun Sari Kalimantan Selatan_x000a_ 0990000320655557 Metro Dutakom Wibawa Putra IDC Cyber - Jl. A. A Gede Ngurah Mataram_x000a_ 0990000320427741 Metro PT Kresna Securities Solo - Cyber Lt 7_x000a_ 01000021124 Metronet P2MP PT.Tujuh Akses Mentari Prima Gedung Cyber Lt.7,Jl.Kuningan Barat Raya No.8,Ma_x000a_ [01000037030 Holcim Tuban][01000037012:01000037008 Metro Telekomunikasi Indonesia - PT Holcim,Talavera_x000a_ 01000101781;01000101778 Metro Interlink Technology Cyber - Bppt Wisma Teknologi Bppt Tugu Selatan Cisar_x000a_ Link to RKAL-BALIKPAPAN.PLN.WIL-ASR920-NPE-01 via Telkom 500Mbps CID: 1-3778110713_x000a_ Interconnection Gbic Optical Jakarta-Bangka 50 Mb ps via Telkom Antarpulau_x000a_ Link to SBS-CABANG.BANGKABELITUNG-ME3600-UPE-01 04 C825L10 EOS via XL 45Mbps (3rd Party)_x000a_ 01000103670 Metro Qinq Maxindo Mitra Solusi Cyber IDC Data Center - Hotel Aria Gajayana Malang_x000a_ Trunk to PT Flash Mobile Cyber Lantai 10_x000a_ 01000004416 Metro Maxindo Mitra Solusi Cyber - The Oasis Cikarang Jl.Raya Cikarang Cibarusah Kav. 1_x000a_ 01000089516 Metro Dutakom Wibawa Putra Villa Sorga, Senggigi. Lombok. NTB._x000a_ [01000037010 Holcim Cilacap] [01000037013 Holcim Site Lhoknga] Metro Telekomunikasi Indonesia_x000a_ 0990000320299558 Metro Parsaoran Global Datatrans MM 2100 Industrial Town - IDC_x000a_ 0990000320325774 Metro PT Gaharu sejahtera CATI Jl.Malabar 67 - Cyber lt 7_x000a_ 01000010133 Metro P2MP Maxindo Mitra Solusi Backhaul Gedung Cyber Lt.7 - IDC Data Center Jl.Kuningan Barat No.8 Jakarta Selatan_x000a_ 01000046778 Metro Cakramedia Indocyber Cyber 1 - Central Mega Kencana Sintesis Tower LT. 9 &amp; 10_x000a_ 0990000320380149 Metronet Cyber building Lt. 7 - Kawasan Industri MM2100 Jl. Irian I Blok GG 5-1, Desa Danau Indah. Cikarang Barat_x000a_ [01000047592 Karawang Branch] [01000048274 ESD Branch] Hutchison 3 Indonesia Gedung Cyber Jl. Kuningan Barat Raya_x000a_ NNI PT. Solusindo Bintang Pratama Cyber 1 Lt.7_x000a_ 0990000320472933 Metro P2MP iForte Global Internet Cyber Lt. 7 - Backhaul_x000a_ 01000029657 Metro Qinq Hanasta Dakara (Backhaul)_x000a_ Trunk to Perangkat Gravitti Technology Cyber1_x000a_ 01000120463 Qinq Metro Ethernet PT Ajin Solusindo Cyber Building Jakarta Gedung Cyber - Telkomsel TTC Buaran"/>
    <m/>
    <m/>
    <m/>
    <m/>
    <m/>
    <s v="-"/>
    <m/>
    <m/>
    <n v="168000000"/>
    <m/>
    <d v="2023-01-04T00:00:00"/>
    <d v="2024-01-03T00:00:00"/>
    <x v="0"/>
    <m/>
    <d v="2025-12-24T00:00:00"/>
    <n v="-721"/>
    <n v="1"/>
    <n v="2024"/>
    <s v="15034/SPP/008/PUSAT/ICON+/2020|4500015580 | 17627/SPP/008/PUSAT/ICON+/2022 | 4500017631"/>
    <s v="21067/SPP/008/PUSAT/ICON+/2023        "/>
    <n v="4500019952"/>
    <s v="Fajar Paramita"/>
    <s v="Rahmat_x000a_ Galih / Nopita"/>
    <m/>
    <m/>
    <m/>
    <m/>
    <m/>
    <s v="D357"/>
    <s v="F71"/>
    <s v="G131"/>
    <m/>
    <m/>
    <m/>
  </r>
  <r>
    <n v="997"/>
    <s v="IDC (Internetindo Data Centra Indonesia) "/>
    <s v="PT Central Online_x000a_ PT. NETTOCYBER INDONESIA_x000a_ PT. MEDIA SARANA DATA_x000a_ PT. SISTELINDO MITRALINTAS_x000a_ PT. SISTELINDO MITRALINTAS_x000a_ PT. INDOSAT TBK_x000a_ PT. HANASTA DAKARA_x000a_ PT Sprint _x000a_ PT. GAHARU SEJAHTERA_x000a_ PT. TOTAL INFO KHARISMA_x000a_ PT. VARNION INTERNASIONAL_x000a_ PT. INTERLINK TECHNOLOGY_x000a_ PT. GAHARU SEJAHTERA_x000a_ PT. AJN SOLUSINDO"/>
    <s v="Rukan Duren Tiga No. 7H_x000a_Jl. Duren Tiga Raya No. 7 Jakarta Selatan 12760"/>
    <x v="0"/>
    <m/>
    <s v="Cyber Building Jakarta Gedung Cyber, Lantai 7 Jl. Kuningan Barat No.8, -, Jakarta Selatan, DKI Jakarta, Indonesia, 12710"/>
    <s v="Sewa Tahunan"/>
    <s v="Cross Connect"/>
    <s v="-"/>
    <m/>
    <m/>
    <m/>
    <m/>
    <m/>
    <n v="2500800000"/>
    <m/>
    <m/>
    <n v="624000000"/>
    <m/>
    <d v="2023-04-01T00:00:00"/>
    <d v="2024-03-31T00:00:00"/>
    <x v="0"/>
    <m/>
    <d v="2025-12-24T00:00:00"/>
    <n v="-633"/>
    <n v="3"/>
    <n v="2024"/>
    <s v="15660/SPP/008/PUSAT/ICON+/2021| 4500016114 | 18423/SPP/008/PUSAT/ICON+/2022 | 4500018004"/>
    <s v="325/SPP/PUSAT/ICON+/2023"/>
    <n v="4500021016"/>
    <s v="Fajar Paramita"/>
    <s v="Rahmat_x000a_ Galih / Nopita"/>
    <m/>
    <m/>
    <m/>
    <m/>
    <m/>
    <s v="E29"/>
    <s v="F209"/>
    <s v="G260"/>
    <m/>
    <m/>
    <s v="1.Pembayaran sewa cross connect Rp.1.164.000.000"/>
  </r>
  <r>
    <n v="998"/>
    <s v="IDC (Internetindo Data Centra Indonesia) "/>
    <s v="all pelanggan di IDC "/>
    <s v="Rukan Duren Tiga No. 7H_x000a_Jl. Duren Tiga Raya No. 7 Jakarta Selatan 12760"/>
    <x v="0"/>
    <m/>
    <s v="Gedung IDC 3D Jl.Duren Tiga raya 7 Jakarta selatan"/>
    <s v="Sewa Tahunan"/>
    <s v="Cross Connect"/>
    <s v="-"/>
    <m/>
    <m/>
    <m/>
    <m/>
    <m/>
    <n v="38961601326"/>
    <m/>
    <m/>
    <n v="316000000"/>
    <m/>
    <d v="2024-01-01T00:00:00"/>
    <d v="2024-12-31T00:00:00"/>
    <x v="0"/>
    <m/>
    <d v="2025-12-24T00:00:00"/>
    <n v="-358"/>
    <n v="12"/>
    <n v="2024"/>
    <s v="baru"/>
    <s v="3370/SPP/SBU/PLNICONPLUS/2024"/>
    <n v="4500022774"/>
    <s v="Fajar Paramita"/>
    <s v="Rahmat_x000a_ Galih / Nopita"/>
    <m/>
    <m/>
    <m/>
    <m/>
    <m/>
    <m/>
    <s v="F154"/>
    <m/>
    <s v="H219"/>
    <m/>
    <s v="1.Pembayaran sewa collocation Rp.928.800.000"/>
  </r>
  <r>
    <n v="999"/>
    <s v="IDC (Internetindo Data Centra Indonesia) "/>
    <s v="PT MEDIA SARANA DATA (GMEDIA)_x000a_ PT MEDIA SARANA DATA (GMEDIA)_x000a_ PT MEDIA SARANA DATA (GMEDIA)_x000a_ PT MEDIA SARANA DATA (GMEDIA)_x000a_ PT MEDIA SARANA DATA (GMEDIA)_x000a_ ADI INTI MANDIRI SOLUSI_x000a_ PT. SMART MEDIA PRATAMA_x000a_ PT IFORTE GLOBAL INTERNET_x000a_ PT. PRIMACOM INTERBUANA_x000a_ PT IFORTE GLOBAL INTERNET_x000a_ PT MITRA AKSES GLOBALINDO_x000a_ PT MITRA AKSES GLOBALINDO_x000a_ PT INDOMARCO PRISMATAMA"/>
    <s v="Rukan Duren Tiga No. 7H_x000a_Jl. Duren Tiga Raya No. 7 Jakarta Selatan 12760"/>
    <x v="0"/>
    <m/>
    <s v="Gedung IDC 3D Lt.2_x000a_ IDC Rack Centre No. Winter WI 275"/>
    <s v="Sewa Tahunan"/>
    <s v="Colocation"/>
    <s v="ICON-00/ACT/1506/0013_x000a_ ICON-00/ACT/1501/0581_x000a_ ICON-00/ACT/1707/0013_x000a_ ICON-00/SOP/1701/0179_x000a_ ICON-00/SOP/1701/0223_x000a_ ICON-00/ACT/1703/1299_x000a_ ICON-00/ACT/1704/0102_x000a_ ICON-00/ACT/1610/0834_x000a_ ICON-00/SOP/1704/0167_x000a_ ICON-00/ACT/1706/0015_x000a_ ICON-00/DOW/1612/0003_x000a_ ICON-00/MIG/1504/0003_x000a_ ICON-00/ACT/1608/0290_x000a_ ICON-00/ACT/1611/0130_x000a_ ICON-00/ACT/1611/0131_x000a_ ICON-00/ACT/1504/0302"/>
    <m/>
    <m/>
    <m/>
    <m/>
    <m/>
    <n v="315000000"/>
    <m/>
    <m/>
    <n v="119700000"/>
    <m/>
    <d v="2023-11-01T00:00:00"/>
    <d v="2024-10-31T00:00:00"/>
    <x v="0"/>
    <m/>
    <d v="2025-12-24T00:00:00"/>
    <n v="-419"/>
    <n v="10"/>
    <n v="2024"/>
    <s v="4500009931|07901/SPP/008/PUSAT/ICON+/2018 | 4500011117 | 09589/SPP/008/PUSAT/ICON+/2018 | 4500012153 | 11787/SPP/008/PUSAT/ICON+/2019 | 4500013407 | 14449/SPP/008/PUSAT/ICON+/2020 | 4500015278| 4500016857 | 19809/SPP/008/PUSAT/ICON+/2022 | 4500018921"/>
    <s v="1979/SPP/SBU/ICON+/2023"/>
    <n v="4500021750"/>
    <s v="Fajar Paramita"/>
    <s v="Rahmat_x000a_ Galih / Nopita"/>
    <s v="021-7987982"/>
    <m/>
    <s v="B4"/>
    <s v="C227"/>
    <s v="E229"/>
    <s v="E386"/>
    <s v="F352"/>
    <s v="G388"/>
    <m/>
    <m/>
    <s v="Sewa Shaft Kabel dan Collo"/>
  </r>
  <r>
    <n v="1000"/>
    <s v="IDC (Internetindo Data Centra Indonesia) "/>
    <s v="-"/>
    <s v="Rukan Duren Tiga No. 7H_x000a_Jl. Duren Tiga Raya No. 7 Jakarta Selatan 12760"/>
    <x v="0"/>
    <m/>
    <s v="Gedung IDC 3D Lt.2_x000a_ IDC Rack Centre No. Winter WI 275"/>
    <s v="Sewa Tahunan"/>
    <s v="Colocation"/>
    <s v="-"/>
    <m/>
    <m/>
    <m/>
    <m/>
    <m/>
    <m/>
    <m/>
    <m/>
    <n v="142500000"/>
    <m/>
    <d v="2023-10-20T00:00:00"/>
    <d v="2024-10-19T00:00:00"/>
    <x v="0"/>
    <m/>
    <d v="2025-12-24T00:00:00"/>
    <n v="-431"/>
    <n v="10"/>
    <n v="2024"/>
    <s v="20204/SPP/008/PUSAT/ICON+/2022 | 4500019285"/>
    <s v="2049/SPP/SBU/ICON+/2023"/>
    <n v="4500021743"/>
    <s v="Fajar Paramita"/>
    <s v="Rahmat_x000a_ Galih / Nopita"/>
    <m/>
    <m/>
    <m/>
    <m/>
    <m/>
    <m/>
    <s v="F414"/>
    <s v="G347"/>
    <m/>
    <m/>
    <s v="1.Pembayaran sewa collocation Rp.145.825.000"/>
  </r>
  <r>
    <n v="1001"/>
    <s v="IDC (Internetindo Data Centra Indonesia) "/>
    <s v="Project Improvement Backbone All Pelanggan"/>
    <s v="Rukan Duren Tiga No. 7H_x000a_Jl. Duren Tiga Raya No. 7 Jakarta Selatan 12760"/>
    <x v="0"/>
    <m/>
    <s v="PT Internetindo Data Centra Indonesia, Gedung IDC 3D Duren Tiga, Jakarta"/>
    <s v="Sewa Tahunan"/>
    <s v="Colocation"/>
    <s v="-"/>
    <m/>
    <m/>
    <m/>
    <m/>
    <m/>
    <n v="33789600000"/>
    <m/>
    <m/>
    <n v="119700000"/>
    <m/>
    <d v="2024-03-31T00:00:00"/>
    <d v="2025-03-30T00:00:00"/>
    <x v="0"/>
    <m/>
    <d v="2025-12-24T00:00:00"/>
    <n v="-269"/>
    <n v="3"/>
    <n v="2025"/>
    <s v="21579/SPP/008//PUSAT/ICON+/2023 | 4500020250"/>
    <s v="3212/SPP/SBU/PLNICONPLUS/2024"/>
    <n v="4500022668"/>
    <s v="Fajar Paramita"/>
    <s v="Rahmat_x000a_ Galih / Nopita"/>
    <m/>
    <m/>
    <m/>
    <m/>
    <m/>
    <m/>
    <m/>
    <s v="G57"/>
    <s v="H522"/>
    <m/>
    <s v="1.pembayaran sewa collocation Rp.246.050.000"/>
  </r>
  <r>
    <n v="1002"/>
    <s v="IDC (Internetindo Data Centra Indonesia) "/>
    <s v="Tambahan Project DWDM NAP 100G Jakarta"/>
    <s v="Rukan Duren Tiga No. 7H_x000a_Jl. Duren Tiga Raya No. 7 Jakarta Selatan 12760"/>
    <x v="0"/>
    <m/>
    <m/>
    <s v="Sewa Tahunan"/>
    <s v="Colocation"/>
    <s v="-"/>
    <m/>
    <m/>
    <m/>
    <m/>
    <m/>
    <s v="-"/>
    <m/>
    <m/>
    <n v="119700000"/>
    <m/>
    <d v="2023-12-14T00:00:00"/>
    <d v="2024-12-13T00:00:00"/>
    <x v="0"/>
    <m/>
    <d v="2025-12-24T00:00:00"/>
    <n v="-376"/>
    <n v="12"/>
    <n v="2024"/>
    <s v="15097/SPP/008/PUSAT/ICON+/2021 | 4500015736 | 20819/SPP/008/PUSAT/ICON+/2022 | 4500019851"/>
    <s v="1980/SPP/SBU/ICON+/2023"/>
    <n v="4500021742"/>
    <s v="Fajar Paramita"/>
    <s v="Rahmat_x000a_ Galih / Nopita"/>
    <m/>
    <m/>
    <m/>
    <m/>
    <m/>
    <s v="E5"/>
    <s v="F460"/>
    <s v="G349"/>
    <m/>
    <m/>
    <m/>
  </r>
  <r>
    <n v="1003"/>
    <s v="Indointernet "/>
    <s v="PT. JARING SOLUSI APLIKASI"/>
    <s v="Jl. Rempoa Raya No. 11 Ciputat Tangerang Selatan Banten 15412, Indonesia"/>
    <x v="0"/>
    <s v="(H2H) (INDONET) Jl. Rempoa Raya No.11, Rempoa, Ciputat Timur, Tangerang, Banten"/>
    <s v="(H2H) Plaza Mandiri, Jl. Gatot Subroto No.Kav 36-38, RT.7/RW.3, Senayan, Kebayoran Baru, Jakarta Selatan"/>
    <s v="Sewa Tahunan"/>
    <s v="Colocation"/>
    <s v="PA/ACT/1912/0025"/>
    <m/>
    <m/>
    <m/>
    <m/>
    <m/>
    <n v="36000000"/>
    <m/>
    <m/>
    <n v="2500000"/>
    <m/>
    <d v="2024-01-18T00:00:00"/>
    <d v="2025-01-17T00:00:00"/>
    <x v="0"/>
    <m/>
    <d v="2025-12-24T00:00:00"/>
    <n v="-341"/>
    <n v="1"/>
    <n v="2025"/>
    <s v="12413/SPP/008/PUSAT/ICON+/2019 | 4500013714 | 14772/SPP/008/PUSAT/ICON+/2020 | 4500015691 | 4500020210"/>
    <n v="2450"/>
    <n v="4500022160"/>
    <s v="Fajar Paramita"/>
    <s v="Sugiharti &lt;sugiharti@indonet.co.id&gt;"/>
    <s v="021-73882525"/>
    <m/>
    <m/>
    <s v="C270"/>
    <m/>
    <s v="E150"/>
    <m/>
    <s v="G205"/>
    <s v="H40"/>
    <m/>
    <s v="1.Biaya sewa pertahun sebesar Rp.2.500.000"/>
  </r>
  <r>
    <n v="1004"/>
    <s v="Indointernet "/>
    <s v="PT. BANK BCA SYARIAH"/>
    <s v="Jl. Rempoa Raya No. 11 Ciputat Tangerang Selatan Banten 15412, Indonesia"/>
    <x v="0"/>
    <m/>
    <s v="(Open Port) DRC IPVPN Jl. Rempoa Raya No. 11"/>
    <s v="Sewa Tahunan"/>
    <s v="Colocation"/>
    <s v="PA/ACT/2209/2406"/>
    <m/>
    <m/>
    <m/>
    <m/>
    <m/>
    <n v="62400000"/>
    <m/>
    <m/>
    <n v="12000000"/>
    <m/>
    <d v="2023-10-07T00:00:00"/>
    <d v="2024-10-06T00:00:00"/>
    <x v="0"/>
    <m/>
    <d v="2025-12-24T00:00:00"/>
    <n v="-444"/>
    <n v="10"/>
    <n v="2024"/>
    <s v="20069/SPP/008/PUSAT/ICON+/2022 | 4500019045"/>
    <s v="2112/SPP/SBU/ICON+/2023"/>
    <n v="4500021841"/>
    <s v="Fajar Paramita"/>
    <s v="Sugiharti &lt;sugiharti@indonet.co.id&gt;"/>
    <s v="021-73882525"/>
    <m/>
    <m/>
    <m/>
    <m/>
    <m/>
    <s v="F332"/>
    <s v="G378"/>
    <m/>
    <m/>
    <s v="1.Biaya Sewa Pertahun sebesar Rp.12.000.000,- 2. OTC Rp.1.000.000,-"/>
  </r>
  <r>
    <n v="1005"/>
    <s v="Indointernet "/>
    <s v="PT. PRIMACOM INTERBUANA qq Bank Harda"/>
    <s v="Jl. Rempoa Raya No. 11 Ciputat Tangerang Selatan Banten 15412, Indonesia"/>
    <x v="0"/>
    <m/>
    <s v="Bank Harda lnternational (DC) Rumah lndonet Rempoa Jl. Rempoa Raya No, 11, Bintaro, Kota Administrasi Jakarta Selatan, DKI Jakarta, Indonesia,"/>
    <s v="Sewa Tahunan"/>
    <s v="Colocation"/>
    <s v="PT. PRIMACOM INTERBUANA"/>
    <m/>
    <m/>
    <m/>
    <m/>
    <m/>
    <n v="36000000"/>
    <m/>
    <m/>
    <n v="2500000"/>
    <m/>
    <d v="2022-06-08T00:00:00"/>
    <d v="2023-06-07T00:00:00"/>
    <x v="2"/>
    <m/>
    <d v="2025-12-24T00:00:00"/>
    <n v="-931"/>
    <n v="6"/>
    <n v="2023"/>
    <s v="13706/SPP/008/PUSAT/ICON+/2020 | 4500014679"/>
    <s v="19223/SPP/008/PUSAT/ICON+/2022"/>
    <n v="4500018645"/>
    <s v="Fajar Paramita"/>
    <s v="Sugiharti &lt;sugiharti@indonet.co.id&gt;"/>
    <s v="021-73882525"/>
    <m/>
    <m/>
    <m/>
    <s v="D162"/>
    <m/>
    <s v="F470"/>
    <m/>
    <m/>
    <m/>
    <s v="1.Biaya Sewa Pertahun sebesar Rp.2.500.000,-"/>
  </r>
  <r>
    <n v="1006"/>
    <s v="Indointernet "/>
    <s v="PT Primacom Interbuana qq Bank Ina Perdana"/>
    <s v="Jl. Rempoa Raya No. 11 Ciputat Tangerang Selatan Banten 15412, Indonesia"/>
    <x v="0"/>
    <m/>
    <s v="Bank Ina Perdana (DRC) Indonet Jl. Rempoa Raya No.11, Rempoa, Ciputat Tim., Kota Tangerang Selatan, Banten 15412"/>
    <s v="Sewa Tahunan"/>
    <s v="Colocation"/>
    <s v="PA/ACT/1812/0776"/>
    <m/>
    <m/>
    <m/>
    <m/>
    <m/>
    <n v="30000000"/>
    <m/>
    <m/>
    <n v="2000000"/>
    <m/>
    <d v="2022-02-20T00:00:00"/>
    <d v="2023-02-19T00:00:00"/>
    <x v="2"/>
    <m/>
    <d v="2025-12-24T00:00:00"/>
    <n v="-1039"/>
    <n v="2"/>
    <n v="2023"/>
    <s v="10136/SPP/008/PUSAT/ICON+/2019 | 4500012440 | 12655/SPP/008/PUSAT/ICON+/2020 | 4500014170 | 15269/SPP/008/PUSAT/ICON+/2021 | 4500015778"/>
    <s v="19578/SPP/008/PUSAT/ICON+/2022"/>
    <n v="4500018934"/>
    <s v="Fajar Paramita"/>
    <s v="Sugiharti &lt;sugiharti@indonet.co.id&gt;"/>
    <s v="021-73882525"/>
    <m/>
    <m/>
    <s v="C12"/>
    <s v="D78"/>
    <s v="E41"/>
    <s v="F469"/>
    <m/>
    <m/>
    <m/>
    <s v="1.Biaya Sewa Tahunan 2.000.000"/>
  </r>
  <r>
    <n v="1007"/>
    <s v="Indointernet "/>
    <s v="PT Primacom Interbuana"/>
    <s v="Jl. Rempoa Raya No. 11 Ciputat Tangerang Selatan Banten 15412, Indonesia"/>
    <x v="0"/>
    <m/>
    <s v="Cyber Building Jl. Kuningan Barat No. 8 Jakarta 12710"/>
    <s v="Sewa Tahunan"/>
    <s v="Colocation"/>
    <s v="PA/ACT/1801/0637/TER"/>
    <m/>
    <m/>
    <m/>
    <m/>
    <m/>
    <n v="30000000"/>
    <m/>
    <m/>
    <n v="2500000"/>
    <m/>
    <d v="2019-05-16T00:00:00"/>
    <d v="2020-05-15T00:00:00"/>
    <x v="2"/>
    <m/>
    <d v="2025-12-24T00:00:00"/>
    <n v="-2049"/>
    <n v="5"/>
    <n v="2020"/>
    <s v="08706/SPP/008/PUSAT/ICON+/2018 | 4500011569"/>
    <s v="10598/SPP/008/PUSAT/ICON+/2019"/>
    <n v="4500012779"/>
    <s v="Fajar Paramita"/>
    <s v="Sugiharti &lt;sugiharti@indonet.co.id&gt;"/>
    <s v="021-73882525"/>
    <m/>
    <s v="B91"/>
    <s v="C154"/>
    <m/>
    <m/>
    <m/>
    <m/>
    <m/>
    <m/>
    <s v="1.Biaya Sekali Bayar Rp.3.500.000,- 2.Biaya PKB (Aktivasi )Rp.8,577.508,-"/>
  </r>
  <r>
    <n v="1008"/>
    <s v="Indointernet "/>
    <s v="BCA Syariah"/>
    <s v="Jl. Rempoa Raya No. 11 Ciputat Tangerang Selatan Banten 15412, Indonesia"/>
    <x v="0"/>
    <m/>
    <s v="Data Center Indonet Jalan Rempoa Raya No. 11 Ciputat Tanggerang - Interkoneksi dari rack ICON+ menuju (BCA Syariah) No. Pel :005900053210845"/>
    <s v="Sewa Tahunan"/>
    <s v="Colocation"/>
    <s v="ICON-00/ACT/1409/0150_x000a_ ICON-00/ACT/1409/0148"/>
    <m/>
    <m/>
    <m/>
    <m/>
    <m/>
    <n v="84000000"/>
    <m/>
    <m/>
    <n v="2500000"/>
    <m/>
    <d v="2022-11-19T00:00:00"/>
    <d v="2023-11-18T00:00:00"/>
    <x v="0"/>
    <m/>
    <d v="2025-12-24T00:00:00"/>
    <n v="-767"/>
    <n v="11"/>
    <n v="2023"/>
    <s v="0811216/SPR/ICON+/2016 07728/SPP/008/PUSAT/ICON+/2017 4500011022 | 09439/SPP/008/PUSAT/ICON+/2018 | 4500012005 | 11785/SPP/008/PUSAT/ICON+/2019 | 4500013416| 14464/SPP/008/PUSAT/ICON+/2020| 4500015272 | 17323/SPP/008/PUSAT/ICON+/2021 | 4500017890"/>
    <s v="19751/SPP/008/PUSAT/ICON+/2022"/>
    <n v="4500019400"/>
    <s v="Fajar Paramita"/>
    <s v="Sugiharti &lt;sugiharti@indonet.co.id&gt;"/>
    <s v="021-73882525"/>
    <n v="165"/>
    <s v="B247"/>
    <s v="C223"/>
    <s v="D319"/>
    <s v="F131"/>
    <s v="F416"/>
    <m/>
    <m/>
    <m/>
    <s v="1. colocation perangkat ICON+ (1/2 rack) dan akses masuk Rp48.000.000 update harga 2015 Rp58.200.000/tahun_x000a_ 2. Sewa Shaft Kabel Rp2.500.000/tahun update tahun 2014 Rp2.500.000/tahun_x000a_ 3. Layanan Koneksi VPN Rp2.500.000/bulan harga tahun 2012"/>
  </r>
  <r>
    <n v="1009"/>
    <s v="Indointernet "/>
    <s v="PT Jatelindo Perkasa Abadi"/>
    <s v="Jl. Rempoa Raya No. 11 Ciputat Tangerang Selatan Banten 15412, Indonesia"/>
    <x v="0"/>
    <m/>
    <s v="Data Center Indonet Jalan Rempoa Raya No. 11 Ciputat Tanggerang - Interkoneksi dari rack ICON+ menuju (Pelanggan PT Jatelindo Perkasa Abadi)No. Pel : 0053210845"/>
    <s v="Sewa Tahunan"/>
    <s v="Colocation"/>
    <s v="ICON-00/SBC/1503/0316"/>
    <m/>
    <m/>
    <m/>
    <m/>
    <m/>
    <n v="98400000"/>
    <m/>
    <m/>
    <n v="2500000"/>
    <m/>
    <d v="2021-02-01T00:00:00"/>
    <d v="2022-01-31T00:00:00"/>
    <x v="2"/>
    <m/>
    <d v="2025-12-24T00:00:00"/>
    <n v="-1423"/>
    <n v="1"/>
    <n v="2022"/>
    <s v="2520217/SPR/ICON+/2017 | 08034/SPP/008/PUSAT/ICON+/2018 | 4500011195| 10068/SPP/008/PUSAT/ICON+/2019| 4500012411"/>
    <s v="19594/SPP/008/PUSAT/ICON+/2022"/>
    <n v="4500018688"/>
    <s v="Fajar Paramita"/>
    <s v="Sugiharti &lt;sugiharti@indonet.co.id&gt;"/>
    <s v="021-73882525"/>
    <m/>
    <s v="B26"/>
    <s v="C57"/>
    <m/>
    <s v="F286"/>
    <m/>
    <m/>
    <m/>
    <m/>
    <s v="1. colocation perangkat ICON+ (1/2 rack) dan akses masuk Rp48.000.000 update harga 2015 Rp58.200.000/tahun_x000a_ 2. Sewa Shaft Kabel Rp2.500.000/tahun update tahun 2014 Rp2.750.000/tahun_x000a_ 3. Layanan Koneksi VPN Rp2.500.000/bulan harga tahun 2012"/>
  </r>
  <r>
    <n v="1010"/>
    <s v="Indointernet "/>
    <s v="PT Citra Sari Makmur"/>
    <s v="Jl. Rempoa Raya No. 11 Ciputat Tangerang Selatan Banten 15412, Indonesia"/>
    <x v="0"/>
    <m/>
    <s v="Data Center Indonet Jalan Rempoa Raya No. 11 Ciputat Tanggerang - Interkoneksi dari rack ICON+ menuju Bank Chinatrust (Pelanggan PT Citra Sari Makmur) No. Pel : 0053210845 [ Note : ICON+ To Pactindo)"/>
    <s v="Sewa Tahunan"/>
    <s v="Colocation"/>
    <s v="ICON-00/ACT/1502/0273"/>
    <m/>
    <m/>
    <m/>
    <m/>
    <m/>
    <n v="28800000"/>
    <m/>
    <m/>
    <n v="2500000"/>
    <m/>
    <d v="2020-04-28T00:00:00"/>
    <d v="2022-04-27T00:00:00"/>
    <x v="2"/>
    <m/>
    <d v="2025-12-24T00:00:00"/>
    <n v="-1337"/>
    <n v="4"/>
    <n v="2022"/>
    <s v="032420/SPR/008/PUSAT/ICON+/2016 | 07726/SPP/008/PUSAT/ICON+/2017 | 4500011000 | 07726/SPP/008/PUSAT/ICON+/2017 | 4500011383| 10300/SPP/008/PUSAT/ICON+/2019| 4500012487"/>
    <s v="19584/SPP/008/PUSAT/ICON+/2022"/>
    <n v="4500018685"/>
    <s v="Fajar Paramita"/>
    <s v="Sugiharti &lt;sugiharti@indonet.co.id&gt;"/>
    <s v="021-73882525"/>
    <n v="160"/>
    <s v="B147"/>
    <s v="C37"/>
    <m/>
    <s v="F287"/>
    <m/>
    <m/>
    <m/>
    <m/>
    <s v="1. colocation perangkat ICON+ (1/2 rack) dan akses masuk Rp48.000.000 update harga 2015 Rp58.200.000/tahun_x000a_ 2. Sewa Shaft Kabel Rp2.500.000/tahun update tahun 2014 Rp2.750.000/tahun_x000a_ 3. Layanan Koneksi VPN Rp2.500.000/bulan harga tahun 2012"/>
  </r>
  <r>
    <n v="1011"/>
    <s v="Indointernet "/>
    <s v="PT. Bank Index Selindo Rempoa"/>
    <s v="Jl. Rempoa Raya No. 11 Ciputat Tangerang Selatan Banten 15412, Indonesia"/>
    <x v="0"/>
    <m/>
    <s v="Data Center Indonet Rempoa_x000a_ Jl. Rempoa Raya No 11 Ciputat Tangerang Selatan 15412"/>
    <s v="Sewa Tahunan"/>
    <s v="Colocation"/>
    <s v="PA/ACT/1802/1088"/>
    <m/>
    <m/>
    <m/>
    <m/>
    <m/>
    <n v="32400000"/>
    <m/>
    <m/>
    <n v="2500000"/>
    <m/>
    <d v="2021-04-03T00:00:00"/>
    <d v="2022-04-02T00:00:00"/>
    <x v="2"/>
    <m/>
    <d v="2025-12-24T00:00:00"/>
    <n v="-1362"/>
    <n v="4"/>
    <n v="2022"/>
    <s v="08456/SPP/008/PUSAT/ICON+/2018 | 4500011386 | 10377/SPP/008/PUSAT/ICON+/2019 | 4500012490"/>
    <s v="15685/SPP/008/PUSAT/ICON+/2021"/>
    <n v="4500016185"/>
    <s v="Fajar Paramita"/>
    <s v="Sugiharti &lt;sugiharti@indonet.co.id&gt;"/>
    <s v="021-73882525"/>
    <m/>
    <s v="B98"/>
    <s v="C54"/>
    <m/>
    <s v="E136"/>
    <m/>
    <m/>
    <m/>
    <m/>
    <s v="1.OTC Rp.3.500.000,- 2.Biaya Sewa Tahunan Rp.2.500.000,-"/>
  </r>
  <r>
    <n v="1012"/>
    <s v="Indointernet"/>
    <s v="PT Prodia Widyahusada"/>
    <s v="Jl. Rempoa Raya No. 11 Ciputat Tangerang Selatan Banten 15412, Indonesia"/>
    <x v="0"/>
    <m/>
    <s v="Data Center Indonet Rempoa_x000a_ Jl. Rempoa Raya No 11 Ciputat Tangerang Selatan 15412"/>
    <s v="Sewa Tahunan"/>
    <s v="Colocation"/>
    <s v="PA/ACT/1803/0184"/>
    <n v="72000000"/>
    <m/>
    <m/>
    <m/>
    <m/>
    <m/>
    <m/>
    <m/>
    <m/>
    <m/>
    <m/>
    <m/>
    <x v="0"/>
    <m/>
    <d v="2025-12-24T00:00:00"/>
    <m/>
    <m/>
    <m/>
    <m/>
    <s v="21846/SPP/008/PUSAT/ICON+/2023"/>
    <n v="4500018609"/>
    <m/>
    <m/>
    <m/>
    <m/>
    <m/>
    <m/>
    <m/>
    <m/>
    <m/>
    <m/>
    <m/>
    <m/>
    <m/>
  </r>
  <r>
    <n v="1013"/>
    <s v="Indointernet "/>
    <s v="PT. Prodia Widyahusada"/>
    <s v="Jl. Rempoa Raya No. 11 Ciputat Tangerang Selatan Banten 15412, Indonesia"/>
    <x v="0"/>
    <m/>
    <s v="Data Center Indonet Rempoa_x000a_ Jl. Rempoa Raya No 11 Ciputat Tangerang Selatan 15412"/>
    <s v="Sewa Tahunan"/>
    <s v="Colocation"/>
    <s v="PA/ACT/1803/0184"/>
    <m/>
    <m/>
    <m/>
    <m/>
    <m/>
    <n v="72000000"/>
    <m/>
    <m/>
    <n v="2500000"/>
    <m/>
    <d v="2024-04-14T00:00:00"/>
    <d v="2025-04-13T00:00:00"/>
    <x v="0"/>
    <m/>
    <d v="2025-12-24T00:00:00"/>
    <n v="-255"/>
    <n v="4"/>
    <n v="2025"/>
    <s v="08458/SPP/008/PUSAT/ICON+/2018 | 4500011387 | 10941/SPP/008/PUSAT/ICON+/2019 | 4500013033| 13050/SPP/008/PUSAT/ICON+/2020| 4500014248 | 18718/SPP/008/PUSAT/ICON+/2022| 4500018609 |  21846/SPP/008/PUSAT/ICON+/2023 | 4500020390"/>
    <s v="3094/SPP/SBU/PLNICONPLUS/2024"/>
    <n v="4500022686"/>
    <s v="Fajar Paramita"/>
    <s v="Sugiharti &lt;sugiharti@indonet.co.id&gt;"/>
    <s v="021-73882525"/>
    <m/>
    <s v="B97"/>
    <s v="C149"/>
    <s v="E224"/>
    <m/>
    <s v="F345"/>
    <s v="G98"/>
    <s v="H167"/>
    <m/>
    <s v="1.Biaya Sewa Tahunan Rp.2.500.000,-"/>
  </r>
  <r>
    <n v="1014"/>
    <s v="Indointernet "/>
    <s v="BPR SUPRA ARTA PERSADA"/>
    <s v="Jl. Rempoa Raya No. 11 Ciputat Tangerang Selatan Banten 15412, Indonesia"/>
    <x v="0"/>
    <m/>
    <s v="Data Center Indonet Rempoa_x000a_ Jl. Rempoa Raya No 11 Ciputat Tangerang Selatan 15412"/>
    <s v="Sewa Tahunan"/>
    <s v="Colocation"/>
    <s v="PA/ACT/1804/0612"/>
    <m/>
    <m/>
    <m/>
    <m/>
    <m/>
    <n v="36000000"/>
    <m/>
    <m/>
    <n v="2500000"/>
    <m/>
    <d v="2019-04-24T00:00:00"/>
    <d v="2020-04-23T00:00:00"/>
    <x v="2"/>
    <m/>
    <d v="2025-12-24T00:00:00"/>
    <n v="-2071"/>
    <n v="4"/>
    <n v="2020"/>
    <s v="08544/SPP/008/PUSAT/ICON+/2018 | 4500011467"/>
    <s v="10908/SPP/008/PUSAT/ICON+/2019"/>
    <n v="4500013309"/>
    <s v="Fajar Paramita"/>
    <s v="Sugiharti &lt;sugiharti@indonet.co.id&gt;"/>
    <s v="021-73882525"/>
    <m/>
    <m/>
    <s v="C247"/>
    <m/>
    <m/>
    <m/>
    <m/>
    <m/>
    <m/>
    <s v="1.Biaya Sewa Tahunan Rp.2.500.000,-"/>
  </r>
  <r>
    <n v="1015"/>
    <s v="Indointernet "/>
    <s v="XL Axiata qq Bank Sahabat Sampoerna"/>
    <s v="Jl. Rempoa Raya No. 11 Ciputat Tangerang Selatan Banten 15412, Indonesia"/>
    <x v="0"/>
    <m/>
    <s v="Data Center Indonet Rempoa_x000a_ Jl. Rempoa Raya No 11 Ciputat Tangerang Selatan 15412"/>
    <s v="Sewa Tahunan"/>
    <s v="Colocation"/>
    <s v="PA/ACT/1804/1002"/>
    <m/>
    <m/>
    <m/>
    <m/>
    <m/>
    <n v="48000000"/>
    <m/>
    <m/>
    <n v="2500000"/>
    <m/>
    <d v="2019-04-23T00:00:00"/>
    <d v="2020-04-22T00:00:00"/>
    <x v="2"/>
    <m/>
    <d v="2025-12-24T00:00:00"/>
    <n v="-2072"/>
    <n v="4"/>
    <n v="2020"/>
    <s v="08578/SPP/008/PUSAT/ICON+/2018 | 4500011486"/>
    <s v="19582/SPP/008/PUSAT/ICON+/2022"/>
    <n v="4500018929"/>
    <s v="Fajar Paramita"/>
    <s v="Sugiharti &lt;sugiharti@indonet.co.id&gt;"/>
    <s v="021-73882525"/>
    <m/>
    <m/>
    <m/>
    <m/>
    <m/>
    <s v="F471"/>
    <m/>
    <m/>
    <m/>
    <s v="1.Biaya OTC Rp 5.000.000,- 2.Biaya Sewa Tahunan Rp.2.500.000,-"/>
  </r>
  <r>
    <n v="1016"/>
    <s v="Indointernet "/>
    <s v="PT Primacom Interbuana qq Bank Jasa Jakarta"/>
    <s v="Jl. Rempoa Raya No. 11 Ciputat Tangerang Selatan Banten 15412, Indonesia"/>
    <x v="0"/>
    <m/>
    <s v="Data Center Indonet Rempoa_x000a_ Jl. Rempoa Raya No 11 Ciputat Tangerang Selatan 15412"/>
    <s v="Sewa Tahunan"/>
    <s v="Colocation"/>
    <s v="AR/RLK/1807/0002"/>
    <m/>
    <m/>
    <m/>
    <m/>
    <m/>
    <m/>
    <m/>
    <m/>
    <n v="2500000"/>
    <m/>
    <d v="2022-02-15T00:00:00"/>
    <d v="2023-02-14T00:00:00"/>
    <x v="2"/>
    <m/>
    <d v="2025-12-24T00:00:00"/>
    <n v="-1044"/>
    <n v="2"/>
    <n v="2023"/>
    <s v="08955/SPP/008/PUSAT/ICON+/2018 4500011692 | 12656/SPP/008/PUSAT/ICON+/2020 | 4500014171 | 15268/SPP/008/PUSAT/ICON+/2021 | 4500015812"/>
    <s v="19579/SPP/008/PUSAT/ICON+/2022"/>
    <n v="4500018935"/>
    <s v="Fajar Paramita"/>
    <s v="Sugiharti &lt;sugiharti@indonet.co.id&gt;"/>
    <s v="021-73882525"/>
    <m/>
    <m/>
    <m/>
    <s v="D75"/>
    <s v="E40"/>
    <s v="F427"/>
    <m/>
    <m/>
    <m/>
    <m/>
  </r>
  <r>
    <n v="1017"/>
    <s v="Indointernet "/>
    <s v="PT. AKSES CIPTA SOLUSI"/>
    <s v="Jl. Rempoa Raya No. 11 Ciputat Tangerang Selatan Banten 15412, Indonesia"/>
    <x v="0"/>
    <s v="Primary Link H2H DC Tokopedia (DCI Cibitung) - Jl. Halmahera Blok F1 No.1, Danau Indah"/>
    <s v="DC Rempoa Rack A03 - Lantai 1, Jl. Rempoa Raya No.11, Rempoa"/>
    <s v="Sewa Tahunan"/>
    <s v="Colocation"/>
    <s v="PA/ACT/2302/8913"/>
    <m/>
    <m/>
    <m/>
    <m/>
    <m/>
    <n v="49200000"/>
    <m/>
    <m/>
    <n v="12000000"/>
    <m/>
    <d v="2024-03-23T00:00:00"/>
    <d v="2025-03-22T00:00:00"/>
    <x v="0"/>
    <m/>
    <d v="2025-12-24T00:00:00"/>
    <n v="-277"/>
    <n v="3"/>
    <n v="2025"/>
    <s v="21673 | 4500020166"/>
    <n v="2461"/>
    <n v="4500022253"/>
    <s v="Fajar Paramita"/>
    <s v="Sugiharti &lt;sugiharti@indonet.co.id&gt;"/>
    <s v="021-73882525"/>
    <m/>
    <m/>
    <m/>
    <m/>
    <m/>
    <m/>
    <s v="G65"/>
    <s v="H65"/>
    <m/>
    <s v="OTC Rp.1.000.000"/>
  </r>
  <r>
    <n v="1018"/>
    <s v="Indointernet "/>
    <s v="PT Pratama Link"/>
    <s v="Jl. Rempoa Raya No. 11 Ciputat Tangerang Selatan Banten 15412, Indonesia"/>
    <x v="0"/>
    <m/>
    <s v="Gedung Cyber Lt.8 (Data Center Indonet-Rack Pactindo)-(Pelanggan PT Pratama Link So No. ICON-00/ACT/1608/0127) R A05 No. Pelanggan 0054981024"/>
    <s v="Sewa Tahunan"/>
    <s v="Colocation"/>
    <s v="ICON-00/ACT/1608/0127"/>
    <m/>
    <m/>
    <m/>
    <m/>
    <m/>
    <n v="42000000"/>
    <m/>
    <m/>
    <n v="3500000"/>
    <m/>
    <d v="2022-09-23T00:00:00"/>
    <d v="2023-09-22T00:00:00"/>
    <x v="2"/>
    <m/>
    <d v="2025-12-24T00:00:00"/>
    <n v="-824"/>
    <n v="9"/>
    <n v="2023"/>
    <s v="0801216/MI/004/PUSAT/ICON+/2016 | 08946/SPP/008/PUSAT/ICON+/2018 | 11627/SPP/008/PUSAT/ICON+/2019| 4500013296_x000a_ 0801216/SPR/ICON+/2016 07727/SPP/008/PUSAT/ICON+/2017 4500010999 | 4500011705 | 13982/SPP/008/PUSAT/ICON+/2020 | 4500014894| 16542/SPP/008/PUSAT/ICON+/2021"/>
    <s v="19752/SPP/008/PUSAT/ICON+/2022"/>
    <n v="4500018971"/>
    <s v="Fajar Paramita"/>
    <s v="Sugiharti &lt;sugiharti@indonet.co.id&gt;"/>
    <s v="021-73882525"/>
    <n v="155"/>
    <s v="B152"/>
    <s v="C198"/>
    <s v="D183"/>
    <s v="E306"/>
    <s v="F341"/>
    <m/>
    <m/>
    <m/>
    <s v="1. colocation perangkat ICON+ (1/2 rack) dan akses masuk Rp48.000.000 update harga 2015 Rp58.200.000/tahun_x000a_ 2. Sewa Shaft Kabel Rp3.500.000_x000a_ 3. Layanan Koneksi VPN Rp2.500.000/bulan harga tahun 2012"/>
  </r>
  <r>
    <n v="1019"/>
    <s v="Indointernet "/>
    <s v="Bank Woori Saudara"/>
    <s v="Jl. Rempoa Raya No. 11 Ciputat Tangerang Selatan Banten 15412, Indonesia"/>
    <x v="0"/>
    <m/>
    <s v="Gedung Cyber Lt.8 (Data Center Indonet)-(Pelanggan Bank Woori Saudara terminating PT Sarana Pactindo Jl. Rempoa Raya No. 11 Ciputat Tangerang Selatan So No. ICON-00/ACT/1603/0285) No. Pel : 0053210845"/>
    <s v="Sewa Tahunan"/>
    <s v="Cross Connect"/>
    <s v="ICON-00/SBC/1606/0180"/>
    <m/>
    <m/>
    <m/>
    <m/>
    <m/>
    <n v="36288000"/>
    <m/>
    <m/>
    <n v="2500000"/>
    <m/>
    <d v="2023-04-21T00:00:00"/>
    <d v="2024-04-20T00:00:00"/>
    <x v="0"/>
    <s v="SPP"/>
    <d v="2025-12-24T00:00:00"/>
    <n v="-613"/>
    <n v="4"/>
    <n v="2024"/>
    <s v="083011/MI/004/PUSAT/ICON+/2016 | 07724/SPP/008/PUSAT/ICON+/2017 | 4500011001 | 08449/SPP/008/PUSAT/ICON+/2018 | 4500011394 | 10336/SPP/008/PUSAT/ICON+/2019 | 4500012503 | 13123/SPP/008/PUSAT/ICON+/2020 | 4500014203| 15568/SPP/008/PUSAT/ICON+/2021| 4500016055 | 18314/SPP/008/PUSAT/ICON+/2022 | 4500017880"/>
    <s v="99/SPP/SBU/ICON+/2023"/>
    <n v="4500020428"/>
    <s v="Fajar Paramita"/>
    <s v="Sugiharti &lt;sugiharti@indonet.co.id&gt;"/>
    <s v="021-73882525"/>
    <n v="149"/>
    <s v="B104"/>
    <s v="C48"/>
    <s v="D93"/>
    <s v="E74"/>
    <s v="F130"/>
    <m/>
    <m/>
    <m/>
    <m/>
  </r>
  <r>
    <n v="1020"/>
    <s v="Indointernet "/>
    <s v="PT Primacom Interbuana"/>
    <s v="Jl. Rempoa Raya No. 11 Ciputat Tangerang Selatan Banten 15412, Indonesia"/>
    <x v="0"/>
    <m/>
    <s v="Gedung Cyber Lt.8 (Data Center Indonet)-(Pelanggan PT Primacom Interbuana- Bank Agris ACTIVE sejak tanggal 04 Feb 2015 dan periode sewa 2015 belum ditagihkan) No. Pel : 0053210845"/>
    <s v="Sewa Tahunan"/>
    <s v="Colocation"/>
    <s v="ICON-00/SBC/1504/0028"/>
    <m/>
    <m/>
    <m/>
    <m/>
    <m/>
    <n v="27000000"/>
    <m/>
    <m/>
    <n v="2500000"/>
    <m/>
    <d v="2021-03-03T00:00:00"/>
    <d v="2022-03-02T00:00:00"/>
    <x v="0"/>
    <m/>
    <d v="2025-12-24T00:00:00"/>
    <n v="-1393"/>
    <n v="3"/>
    <n v="2022"/>
    <s v="0630317/SPR/ICON+/2017 | 08296/SPP/008/PUSAT/ICON+/2018 | 4500011350 | 10045/SPP/008/PUSAT/ICON+/2019 | 4500012382| 12706/SPP/008/PUSAT/ICON+/2020| 4500013985"/>
    <s v="19500/SPP/008/PUSAT/ICON+/2022"/>
    <n v="4500018687"/>
    <s v="Fajar Paramita"/>
    <s v="Sugiharti &lt;sugiharti@indonet.co.id&gt;"/>
    <s v="021-73882525"/>
    <s v="-"/>
    <s v="B56"/>
    <s v="C22"/>
    <s v="D68"/>
    <m/>
    <s v="F290"/>
    <m/>
    <m/>
    <m/>
    <s v="1. colocation perangkat ICON+ (1/2 rack) dan akses masuk Rp48.000.000 update harga 2015 Rp58.200.000/tahun_x000a_ 2. Sewa Shaft Kabel Rp2.500.000/tahun update tahun 2014 Rp2.750.000/tahun_x000a_ 3. Layanan Koneksi VPN Rp2.500.000/bulan harga tahun 2012"/>
  </r>
  <r>
    <n v="1021"/>
    <s v="Indointernet "/>
    <s v="PT JAYA FAJAR DEWATAMA"/>
    <s v="Jl. Rempoa Raya No. 11 Ciputat Tangerang Selatan Banten 15412, Indonesia"/>
    <x v="0"/>
    <m/>
    <s v="Gedung Indonet / Jl. Rempoa Raya No. 11, Ciputat Tangerang Selatan (Rack Pactindo)"/>
    <s v="Sewa Tahunan"/>
    <s v="Colocation"/>
    <s v="ICON-00/SBC/1606/0028 / 0990000320461929_x000a_ ICON-00/SBC/1606/0029 / 0990000320461930)"/>
    <m/>
    <m/>
    <m/>
    <m/>
    <m/>
    <n v="54000000"/>
    <m/>
    <m/>
    <n v="2500000"/>
    <m/>
    <d v="2020-04-21T00:00:00"/>
    <d v="2021-04-20T00:00:00"/>
    <x v="2"/>
    <m/>
    <d v="2025-12-24T00:00:00"/>
    <n v="-1709"/>
    <n v="4"/>
    <n v="2021"/>
    <s v="07867/SPP/008/PUSAT/ICON+/2017 | 4500011118 | 08484/SPP/008/PUSAT/ICON+/2018 | 4500011424 | 10718/SPP/008/PUSAT/ICON+/2019 | 4500012763"/>
    <s v="13120/SPP/008/PUSAT/ICON+/2020"/>
    <n v="4500014193"/>
    <s v="Fajar Paramita"/>
    <s v="Sugiharti &lt;sugiharti@indonet.co.id&gt;"/>
    <s v="021-73882525"/>
    <n v="179"/>
    <s v="B142"/>
    <s v="C96"/>
    <s v="D94"/>
    <m/>
    <m/>
    <m/>
    <m/>
    <m/>
    <m/>
  </r>
  <r>
    <n v="1022"/>
    <s v="Indointernet "/>
    <s v="PT. BANK RAKYAT INDONESIA (PERSERO) TBK"/>
    <s v="Jl. Rempoa Raya No. 11 Ciputat Tangerang Selatan Banten 15412, Indonesia"/>
    <x v="0"/>
    <s v="Primary Link H2H DC Tokopedia (DCI Cibitung) - Jl. Halmahera Blok F1 No.1, Danau Indah"/>
    <s v="H2H Bus Suroboyo Gedung Data Center Indonet, Jl. Rempoa Raya No.11, Rempoa"/>
    <s v="Sewa Tahunan"/>
    <s v="Colocation"/>
    <s v="PA/ACT/2302/10774"/>
    <m/>
    <m/>
    <m/>
    <m/>
    <m/>
    <n v="27272724"/>
    <m/>
    <m/>
    <n v="12000000"/>
    <m/>
    <d v="2024-03-23T00:00:00"/>
    <d v="2025-03-22T00:00:00"/>
    <x v="0"/>
    <m/>
    <d v="2025-12-24T00:00:00"/>
    <n v="-277"/>
    <n v="3"/>
    <n v="2025"/>
    <s v="21577 | 4500020097"/>
    <n v="2465"/>
    <n v="4500022252"/>
    <s v="Fajar Paramita"/>
    <s v="Sugiharti &lt;sugiharti@indonet.co.id&gt;"/>
    <s v="021-73882525"/>
    <m/>
    <m/>
    <m/>
    <m/>
    <m/>
    <m/>
    <s v="G60"/>
    <s v="H69"/>
    <m/>
    <s v="1.Biaya Sewa 1 Tahun Rp.12.000.000 | 2.OTC Rp.1.000.000"/>
  </r>
  <r>
    <n v="1023"/>
    <s v="Indointernet "/>
    <s v="PT Widya Intersat Nusantara"/>
    <s v="Jl. Rempoa Raya No. 11 Ciputat Tangerang Selatan Banten 15412, Indonesia"/>
    <x v="0"/>
    <m/>
    <s v="Jl Kuningan Barat No 8 Mampang Prapatan"/>
    <s v="Sewa Tahunan"/>
    <s v="Colocation"/>
    <s v="PA/RLK/1902/0054"/>
    <m/>
    <m/>
    <m/>
    <m/>
    <m/>
    <n v="607200000"/>
    <m/>
    <m/>
    <n v="2000000"/>
    <m/>
    <d v="2021-05-10T00:00:00"/>
    <d v="2022-05-09T00:00:00"/>
    <x v="0"/>
    <m/>
    <d v="2025-12-24T00:00:00"/>
    <n v="-1325"/>
    <n v="5"/>
    <n v="2022"/>
    <s v="10500/SPP/008/PUSAT/ICON+/2019 | 4500012608 | 16050/SPP/008/PUSAT/ICON+/2021 | 4500016393 | 16347/SPP/008/PUSAT/ICON+/2021 |  4500016529"/>
    <m/>
    <n v="4500020527"/>
    <s v="Fajar Paramita"/>
    <s v="Sugiharti &lt;sugiharti@indonet.co.id&gt;"/>
    <s v="021-73882527"/>
    <m/>
    <m/>
    <s v="C44"/>
    <s v="E177"/>
    <s v="E239"/>
    <m/>
    <m/>
    <m/>
    <m/>
    <m/>
  </r>
  <r>
    <n v="1024"/>
    <s v="Indointernet "/>
    <s v="PT. Integra Multi Solusi"/>
    <s v="Jl. Rempoa Raya No. 11 Ciputat Tangerang Selatan Banten 15412, Indonesia"/>
    <x v="0"/>
    <m/>
    <s v="Jl. Rempoa Raya No.11, Kota Tangerang, Banten"/>
    <s v="Sewa Tahunan"/>
    <s v="Colocation"/>
    <s v="PA/ACT/2303/0373"/>
    <m/>
    <m/>
    <m/>
    <m/>
    <m/>
    <n v="39600000"/>
    <m/>
    <m/>
    <n v="12000000"/>
    <m/>
    <d v="2023-06-14T00:00:00"/>
    <d v="2024-06-13T00:00:00"/>
    <x v="2"/>
    <m/>
    <d v="2025-12-24T00:00:00"/>
    <n v="-559"/>
    <n v="6"/>
    <n v="2024"/>
    <s v="16009/SPP/008/PUSAT/ICON+/2021 | 4500016292 | 18995/SPP/008/PUSAT/ICON+/2022"/>
    <s v="_x0009_807/SPP/SBU/ICON+/2023"/>
    <n v="4500020956"/>
    <s v="Fajar Paramita"/>
    <s v="Sugiharti &lt;sugiharti@indonet.co.id&gt;"/>
    <s v="021-73882525"/>
    <m/>
    <m/>
    <m/>
    <m/>
    <s v="E98"/>
    <s v="G228"/>
    <s v="G330"/>
    <m/>
    <m/>
    <s v="1.Biaya Sewa Pertahun sebesar Rp.12.000.000,-"/>
  </r>
  <r>
    <n v="1025"/>
    <s v="Indointernet "/>
    <s v="PT. MEGA AUTO FINANCE"/>
    <s v="Jl. Rempoa Raya No. 11 Ciputat Tangerang Selatan Banten 15412, Indonesia"/>
    <x v="0"/>
    <m/>
    <s v="Jl. Rempoa Raya No.11, Rempoa, Ciputat Timur, Tangerang"/>
    <s v="Sewa Tahunan"/>
    <s v="Colocation"/>
    <s v="PA/ACT/1905/0177"/>
    <m/>
    <m/>
    <m/>
    <m/>
    <m/>
    <n v="27600000"/>
    <m/>
    <m/>
    <n v="18000000"/>
    <m/>
    <d v="2019-06-01T00:00:00"/>
    <d v="2020-05-31T00:00:00"/>
    <x v="0"/>
    <m/>
    <d v="2025-12-24T00:00:00"/>
    <n v="-2033"/>
    <n v="5"/>
    <n v="2020"/>
    <s v="baru"/>
    <s v="10894/SPP/008/PUSAT/ICON+/2019"/>
    <n v="4500012833"/>
    <s v="Fajar Paramita"/>
    <s v="Sugiharti &lt;sugiharti@indonet.co.id&gt;"/>
    <s v="021-73882528"/>
    <m/>
    <m/>
    <s v="C108"/>
    <m/>
    <m/>
    <m/>
    <m/>
    <m/>
    <m/>
    <m/>
  </r>
  <r>
    <n v="1026"/>
    <s v="Indointernet "/>
    <s v="PT Pasifik Satelit Nusantara"/>
    <s v="Jl. Rempoa Raya No. 11 Ciputat Tangerang Selatan Banten 15412, Indonesia"/>
    <x v="0"/>
    <m/>
    <s v="PSN Mega Kuningan ,5th Floor Ged. Kantor Taman A9 Unit C3 &amp; C4Jl. Mega Kuningan Raya Lot. 8/9 No.9 Jakarta 12950"/>
    <s v="Sewa Tahunan"/>
    <s v="Colocation"/>
    <s v="PA/ACT/2003/0542"/>
    <m/>
    <m/>
    <m/>
    <m/>
    <m/>
    <n v="64800000"/>
    <m/>
    <m/>
    <n v="12000000"/>
    <m/>
    <d v="2024-05-08T00:00:00"/>
    <d v="2025-05-07T00:00:00"/>
    <x v="0"/>
    <m/>
    <d v="2025-12-24T00:00:00"/>
    <n v="-231"/>
    <n v="5"/>
    <n v="2025"/>
    <s v="13317/SPP/008/PUSAT/ICON+/2020 | 4500014386 | 18850/SPP/008/PUSAT/ICON+/2022 | 4500018610"/>
    <s v="3207/SPP/SBU/PLNICONPLUS/2024"/>
    <n v="4500022664"/>
    <s v="Fajar Paramita"/>
    <s v="Sugiharti &lt;sugiharti@indonet.co.id&gt;"/>
    <m/>
    <m/>
    <m/>
    <m/>
    <s v="D137"/>
    <m/>
    <s v="F348"/>
    <s v="G138"/>
    <m/>
    <m/>
    <s v="1.Biaya Sewa Cable Shaft Rp.12.000.000 2.OTC Rp.1.000.000"/>
  </r>
  <r>
    <n v="1027"/>
    <s v="Indointernet "/>
    <s v="Bank Woori Saudara"/>
    <s v="Jl. Rempoa Raya No. 11 Ciputat Tangerang Selatan Banten 15412, Indonesia"/>
    <x v="0"/>
    <m/>
    <s v="PT Sarana Pactindo - Jl. Rempoa Raya No.11, Rempoa"/>
    <s v="Sewa Tahunan"/>
    <s v="Colocation"/>
    <s v=" ICON-00/ACT/1603/0285 _x000a_ PA/ACT/2206/15945 "/>
    <m/>
    <m/>
    <m/>
    <m/>
    <m/>
    <n v="30000000"/>
    <m/>
    <m/>
    <n v="12000000"/>
    <m/>
    <d v="2024-02-10T00:00:00"/>
    <d v="2025-02-09T00:00:00"/>
    <x v="0"/>
    <m/>
    <d v="2025-12-24T00:00:00"/>
    <n v="-318"/>
    <n v="2"/>
    <n v="2025"/>
    <s v="20860 | 4500019841"/>
    <n v="2473"/>
    <n v="4500022246"/>
    <s v="Fajar Paramita"/>
    <s v="Sugiharti &lt;sugiharti@indonet.co.id&gt;"/>
    <s v="021-73882525"/>
    <m/>
    <m/>
    <m/>
    <m/>
    <m/>
    <m/>
    <s v="G90"/>
    <s v="H63"/>
    <m/>
    <s v="OTC Rp.1.000.000"/>
  </r>
  <r>
    <n v="1028"/>
    <s v="Indointernet "/>
    <s v="PT Sunvone Solusindo"/>
    <s v="Jl. Rempoa Raya No. 11 Ciputat Tangerang Selatan Banten 15412, Indonesia"/>
    <x v="0"/>
    <m/>
    <s v="PT Sunvone Solusindo Jl. Raden Inten II 3-5, RW.15, Duren Sawit, Buaran, Jakarta Timur, DKI Jakarta 13440"/>
    <s v="Sewa Tahunan"/>
    <s v="Colocation"/>
    <s v="PA/ACT/1811/1730"/>
    <m/>
    <m/>
    <m/>
    <m/>
    <m/>
    <n v="66000000"/>
    <m/>
    <m/>
    <n v="3500000"/>
    <m/>
    <d v="2022-01-01T00:00:00"/>
    <d v="2022-12-31T00:00:00"/>
    <x v="2"/>
    <m/>
    <d v="2025-12-24T00:00:00"/>
    <n v="-1089"/>
    <n v="12"/>
    <n v="2022"/>
    <s v="09911/SPP/008/PUSAT/ICON+/2018 | 4500012324 | 11968/SPP/008/PUSAT/ICON+/2019 | 4500013749|14746/SPP/008/PUSAT/ICON+/2020|4500015368"/>
    <s v="17145/SPP/008/PUSAT/ICON+/2021"/>
    <n v="4500017132"/>
    <s v="Fajar Paramita"/>
    <s v="Sugiharti &lt;sugiharti@indonet.co.id&gt;"/>
    <s v="021-73882526"/>
    <m/>
    <m/>
    <s v="B268"/>
    <s v="D2 /D66 / D368"/>
    <m/>
    <s v="F60"/>
    <m/>
    <m/>
    <m/>
    <s v="Biaya sewa shaft Rp.3.500.000"/>
  </r>
  <r>
    <n v="1029"/>
    <s v="Indointernet "/>
    <s v="PT PRIMACOM INTERBUANA"/>
    <s v="Jl. Rempoa Raya No. 11 Ciputat Tangerang Selatan Banten 15412, Indonesia"/>
    <x v="0"/>
    <m/>
    <s v="Rumah Indonet Rempoa Jl. Rempoa Raya No. 11, Ciputat Timur, Kota Tangerang Selatan, Banten, Indonesia, 15412"/>
    <s v="Sewa Tahunan"/>
    <s v="Colocation"/>
    <s v="PA/ACT/2107/0057/TER"/>
    <m/>
    <m/>
    <m/>
    <m/>
    <m/>
    <n v="48000000"/>
    <m/>
    <m/>
    <n v="12000000"/>
    <m/>
    <d v="2022-08-09T00:00:00"/>
    <d v="2023-08-08T00:00:00"/>
    <x v="0"/>
    <m/>
    <d v="2025-12-24T00:00:00"/>
    <n v="-869"/>
    <n v="8"/>
    <n v="2023"/>
    <s v="16199/SPP/008/PUSAT/ICON+/2021 | 4500016416 | 19224/SPP/008/PUSAT/ICON+/2022 | 4500018936"/>
    <s v="1334/SPP/SBU/ICON+2023"/>
    <n v="4500022072"/>
    <s v="Fajar Paramita"/>
    <s v="Sugiharti &lt;sugiharti@indonet.co.id&gt;"/>
    <s v="021-73882525"/>
    <m/>
    <m/>
    <m/>
    <m/>
    <m/>
    <s v="F446"/>
    <m/>
    <m/>
    <m/>
    <m/>
  </r>
  <r>
    <n v="1030"/>
    <s v="Indointernet "/>
    <s v="PT. Mitra Pajakku"/>
    <s v="Jl. Rempoa Raya No. 11 Ciputat Tangerang Selatan Banten 15412, Indonesia"/>
    <x v="0"/>
    <m/>
    <s v="Gedung Graha Pertamina"/>
    <s v="Sewa Tahunan"/>
    <s v="Colocation"/>
    <s v="A111202000736"/>
    <m/>
    <m/>
    <m/>
    <m/>
    <m/>
    <n v="67200000"/>
    <m/>
    <m/>
    <n v="12000000"/>
    <m/>
    <d v="2024-08-15T00:00:00"/>
    <d v="2025-08-14T00:00:00"/>
    <x v="0"/>
    <m/>
    <d v="2025-12-24T00:00:00"/>
    <n v="-132"/>
    <n v="8"/>
    <n v="2025"/>
    <s v="1033/SPP/SBU/ICON+/2023 | 4500021642"/>
    <s v="4287/SPP/SBU/PLNICONPLUS/2024"/>
    <n v="4500023505"/>
    <s v="Livia Indraswati"/>
    <s v="Sugiharti &lt;sugiharti@indonet.co.id&gt;"/>
    <s v="021-73882525"/>
    <m/>
    <m/>
    <m/>
    <m/>
    <m/>
    <m/>
    <s v="F162"/>
    <s v="H341"/>
    <m/>
    <s v="1.Biaya Sewa @ 1 tahun  Rp.12.000.000 | 2.Biaya OTC Rp.1.000.000"/>
  </r>
  <r>
    <n v="1031"/>
    <s v="Indosat Tbk "/>
    <s v="PT ELECTRONIC DATA INTERCHANGE INDONESIA"/>
    <s v="Jl. Kebagusan Raya No. 36_x000a_Ragunan Jakarta 12550"/>
    <x v="0"/>
    <m/>
    <s v="PT Indosat Mega Media (IM2) - PT Edi Indonesia_x000a_ Lantai 3_x000a_ Jl. Kebagusan Raya No. 36_x000a_ Ragunan Jakarta_x000a_  - (Serah terima ke Div. Operasi)"/>
    <s v="Sewa Tahunan"/>
    <s v="Colocation"/>
    <s v="ICON-00/DOW/1711/0001"/>
    <m/>
    <m/>
    <m/>
    <m/>
    <m/>
    <n v="71280000"/>
    <m/>
    <m/>
    <n v="4800000"/>
    <m/>
    <d v="2019-11-01T00:00:00"/>
    <d v="2020-10-31T00:00:00"/>
    <x v="0"/>
    <m/>
    <d v="2025-12-24T00:00:00"/>
    <n v="-1880"/>
    <n v="10"/>
    <n v="2020"/>
    <s v="4821116/SPR/ICON+/2016 07665/SPP/008/PUSAT/ICON+/2017 4500010978 | 09175/SPP/008/PUSAT/ICON+/2018 | 4500011848"/>
    <s v="11795/SPP/008/PUSAT/ICON+/2019"/>
    <n v="4500013414"/>
    <s v="Fajar Paramita"/>
    <s v="Ifan Lubis"/>
    <s v="021-78546969_x000a_ 021-78830983"/>
    <m/>
    <s v="B199"/>
    <s v="C296"/>
    <m/>
    <m/>
    <m/>
    <m/>
    <m/>
    <m/>
    <s v="Sewa Interkoneksi Rp400.000/bulan"/>
  </r>
  <r>
    <n v="1032"/>
    <s v="Indosat Tbk "/>
    <s v="BANK MEGA"/>
    <s v="Jl. Kebagusan Raya No. 36_x000a_Ragunan Jakarta 12550"/>
    <x v="0"/>
    <m/>
    <s v="PT Indosat Mega Media (IM2) - PT Edi Indonesia_x000a_ Lantai 3_x000a_ Jl. Kebagusan Raya No. 36_x000a_ Ragunan Jakarta (Bank Mega -ICON-00/ACT/1311/0083)"/>
    <s v="Sewa Tahunan"/>
    <s v="Colocation"/>
    <s v="ICON-00/ACT/1311/0083"/>
    <m/>
    <m/>
    <m/>
    <m/>
    <m/>
    <n v="31200000"/>
    <m/>
    <m/>
    <n v="7200000"/>
    <m/>
    <d v="2019-12-01T00:00:00"/>
    <d v="2020-11-30T00:00:00"/>
    <x v="0"/>
    <m/>
    <d v="2025-12-24T00:00:00"/>
    <n v="-1850"/>
    <n v="11"/>
    <n v="2020"/>
    <s v="0881216/SPR/ICON+/2016 | 4500013334 | 10603/SPP/008/PUSAT/ICON+/2019"/>
    <s v="12336/SPP/008/PUSAT/ICON+/2019"/>
    <n v="4500013654"/>
    <s v="Fajar Paramita"/>
    <s v="Ifan Lubis"/>
    <s v="021-78546969_x000a_ 021-78830983"/>
    <m/>
    <s v="C286"/>
    <s v="C290"/>
    <m/>
    <m/>
    <m/>
    <m/>
    <m/>
    <m/>
    <s v="1. Sewa Shaft Cable dan Interkoneksi Rp7.200.000,-_x000a_ 2. Biaya Instalasi Rp1.500.000,-"/>
  </r>
  <r>
    <n v="1033"/>
    <s v="Indosat Tbk "/>
    <s v="KOMISI PEMBERANTASAN KORUPSI (KPK)"/>
    <s v="Jl.Medan Merdeka Selatan No.12"/>
    <x v="0"/>
    <m/>
    <s v="Indosat KPPTI"/>
    <s v="Sewa Tahunan"/>
    <s v="Cross Connect"/>
    <s v="PA/ACT/2012/0399"/>
    <m/>
    <m/>
    <m/>
    <m/>
    <m/>
    <n v="102000000"/>
    <m/>
    <m/>
    <n v="27700000"/>
    <m/>
    <d v="2023-02-01T00:00:00"/>
    <d v="2025-01-31T00:00:00"/>
    <x v="0"/>
    <m/>
    <d v="2025-12-24T00:00:00"/>
    <n v="-327"/>
    <n v="1"/>
    <n v="2025"/>
    <s v="15147/SPP/008/PUSAT/ICON+/2021 | 4500015758 |17692/SPP/008/PUSAT/ICON+/2022 | 4500022225"/>
    <s v="3103/SPP/SBU/PLNIOCNPLUS/2024"/>
    <m/>
    <s v="Fajar Paramita"/>
    <s v="Ibu Tika "/>
    <s v="+62 08551212185"/>
    <m/>
    <m/>
    <m/>
    <m/>
    <s v="E2/114"/>
    <m/>
    <m/>
    <m/>
    <m/>
    <m/>
  </r>
  <r>
    <n v="1034"/>
    <s v="Indosat Tbk "/>
    <s v="BCA"/>
    <s v="Jl.Medan Merdeka Selatan No.12"/>
    <x v="0"/>
    <m/>
    <s v="H2H BCA - BPJS Ketenagakerjaan; DC KPPTI Kantor Pusat PT. Indosat Lantai 5, Jl. Medan Merdeka Barat No 21,  Gambir,  Jakarta Pusat,  DKI Jakarta,  Indonesia,  10110"/>
    <s v="Sewa Tahunan"/>
    <s v="Cross Connect"/>
    <s v="PA/ACT/2012/0385"/>
    <m/>
    <m/>
    <m/>
    <m/>
    <m/>
    <n v="28800000"/>
    <m/>
    <m/>
    <n v="27700000"/>
    <m/>
    <d v="2022-01-08T00:00:00"/>
    <d v="2025-01-07T00:00:00"/>
    <x v="0"/>
    <m/>
    <d v="2025-12-24T00:00:00"/>
    <n v="-351"/>
    <n v="1"/>
    <n v="2025"/>
    <s v="15053/SPP/008/PUSAT/ICON+/2020 | 4500015581"/>
    <s v="3329/SPP/SBU/PLNICONPLUS/2024"/>
    <m/>
    <s v="Fajar Paramita"/>
    <m/>
    <m/>
    <m/>
    <m/>
    <m/>
    <m/>
    <s v="G115"/>
    <m/>
    <m/>
    <m/>
    <m/>
    <m/>
  </r>
  <r>
    <n v="1035"/>
    <s v="Infra Yes Solusindo"/>
    <s v="PT. LOTTE DATA COMMUNICATION INDONESIA"/>
    <s v="Lotte Mart Green Pramuka Square (Lotte Mart Green Pramuka Square Lt. LG) Jl. Jend. A. Yani Kav. 49, Rawasari, Cempaka Putih, Jakarta Pusat"/>
    <x v="0"/>
    <m/>
    <s v="Apartement Green Pramuka City KAV.49 Jakarta Pusat 10570"/>
    <s v="Sewa Tahunan"/>
    <s v="Colocation"/>
    <s v="PA/ACT/1902/2034"/>
    <m/>
    <m/>
    <m/>
    <m/>
    <m/>
    <n v="60000000"/>
    <m/>
    <m/>
    <n v="18000000"/>
    <m/>
    <d v="2019-05-13T00:00:00"/>
    <d v="2020-05-12T00:00:00"/>
    <x v="2"/>
    <m/>
    <d v="2025-12-24T00:00:00"/>
    <n v="-2052"/>
    <n v="5"/>
    <n v="2020"/>
    <s v="baru"/>
    <s v="10839/SPP/008/PUSAT/ICON+/2019"/>
    <n v="4500012815"/>
    <s v="Fajar Paramita"/>
    <m/>
    <m/>
    <m/>
    <m/>
    <s v="C106"/>
    <m/>
    <m/>
    <m/>
    <m/>
    <m/>
    <m/>
    <m/>
  </r>
  <r>
    <n v="1036"/>
    <s v="Infra Yes Solusindo"/>
    <s v="PT Indosat Tbk"/>
    <s v="Jln Ragunan No 36 A Jakarta Selatan"/>
    <x v="0"/>
    <m/>
    <s v="Blitzmegaplex Green Pramuka Square Lantai 1 Jl. Jend. A Yani Kav. 49 Rawasari"/>
    <s v="Sewa Tahunan"/>
    <s v="Cross Connect"/>
    <s v="PA/ACT/2112/2385"/>
    <m/>
    <m/>
    <m/>
    <m/>
    <m/>
    <n v="14832000"/>
    <m/>
    <m/>
    <n v="13000000"/>
    <m/>
    <d v="2024-04-06T00:00:00"/>
    <d v="2025-04-05T00:00:00"/>
    <x v="0"/>
    <m/>
    <d v="2025-12-24T00:00:00"/>
    <n v="-263"/>
    <n v="4"/>
    <n v="2025"/>
    <s v="18264/SPP/008/PUSAT/ICON+/2022 | 4500017769 | 196/SPP/SBU/ICON+/2023 | 4500020566"/>
    <s v="3389/SPP/SBU/PLNICONPLUS/2024"/>
    <n v="4500022956"/>
    <s v="Fajar Paramita"/>
    <m/>
    <m/>
    <m/>
    <m/>
    <m/>
    <m/>
    <m/>
    <s v="F86 "/>
    <s v="G218"/>
    <s v="H242"/>
    <m/>
    <s v="1.Pembayaran Sewa cross connect Rp.15.000.000"/>
  </r>
  <r>
    <n v="1037"/>
    <s v="Infrastruktur Bisnis Sejahtera"/>
    <s v="PT. SUPRA BOGA LESTARI, TBK"/>
    <s v="Gedung GKM Lt 2, Jalan Cikini Raya No 12 – 14, Menteng – Jakarta Pusat"/>
    <x v="0"/>
    <m/>
    <s v="PT. Supra Boga Lestari, Tbk, Living Plaza Jababeka (Farmers Market) , Jl. Niaga Raya BB/2-4, Kel. Pasarsari, Cikarang, Bekasi, Jawa Barat,"/>
    <s v="Sewa Tahunan"/>
    <s v="Cross Connect"/>
    <s v="PA/ACT/1910/0323/TER"/>
    <m/>
    <m/>
    <m/>
    <m/>
    <m/>
    <n v="36000000"/>
    <m/>
    <m/>
    <n v="7260000"/>
    <m/>
    <d v="2023-10-23T00:00:00"/>
    <d v="2024-10-22T00:00:00"/>
    <x v="0"/>
    <m/>
    <d v="2025-12-24T00:00:00"/>
    <n v="-428"/>
    <n v="10"/>
    <n v="2024"/>
    <s v="11843/SPP/008/PUSAT/ICON+/2019 | 4500013475 | 14545/SPP/008/PUSAT/ICON+/2020 | 4500015223 | 16810/SPP/008/PUSAT/ICON+/2021 | 4500017019 | 20514/SPP/008/PUSAT/ICON+/2022 | 4500019561"/>
    <n v="1912"/>
    <n v="4500021648"/>
    <s v="Fajar Paramita"/>
    <m/>
    <m/>
    <m/>
    <m/>
    <m/>
    <s v="D320"/>
    <s v="E393"/>
    <s v="F440"/>
    <s v="G318"/>
    <m/>
    <m/>
    <m/>
  </r>
  <r>
    <n v="1038"/>
    <s v="Infrastruktur Bisnis Sejahtera"/>
    <s v="PT Sari Coffee Indonesia"/>
    <s v="Gedung GKM Lt 2, Jalan Cikini Raya No 12 – 14, Menteng – Jakarta Pusat"/>
    <x v="0"/>
    <m/>
    <s v="-"/>
    <s v="Sewa Tahunan"/>
    <s v="Cross Connect"/>
    <s v="PA/ACT/1910/4029/TER"/>
    <m/>
    <m/>
    <m/>
    <m/>
    <m/>
    <n v="54000000"/>
    <m/>
    <m/>
    <n v="18150000"/>
    <m/>
    <d v="2023-10-28T00:00:00"/>
    <d v="2024-10-27T00:00:00"/>
    <x v="0"/>
    <m/>
    <d v="2025-12-24T00:00:00"/>
    <n v="-423"/>
    <n v="10"/>
    <n v="2024"/>
    <s v="11943/SPP/008/PUSAT/ICON+/2019 | 4500013508| 14544/SPP/008/PUSAT/ICON+/2020| 4500015204 | 4500017020 | 20631 | 4500019559"/>
    <n v="2114"/>
    <n v="4500022066"/>
    <s v="Fajar Paramita"/>
    <m/>
    <m/>
    <m/>
    <m/>
    <s v="C240"/>
    <s v="D304"/>
    <s v="E400"/>
    <s v="F441"/>
    <m/>
    <m/>
    <m/>
    <m/>
  </r>
  <r>
    <n v="1039"/>
    <s v="Infrastruktur Bisnis Sejahtera"/>
    <s v="PT. ERIA TIGA ADIRAJA"/>
    <s v="Jl.Riau 23 Jakarta 10310"/>
    <x v="0"/>
    <m/>
    <m/>
    <s v="Sewa Tahunan"/>
    <s v="Cross Connect"/>
    <s v="PA/ACT/1911/0093/TER"/>
    <m/>
    <m/>
    <m/>
    <m/>
    <m/>
    <n v="36000000"/>
    <m/>
    <m/>
    <n v="7260000"/>
    <m/>
    <d v="2022-11-07T00:00:00"/>
    <d v="2023-11-06T00:00:00"/>
    <x v="2"/>
    <m/>
    <d v="2025-12-24T00:00:00"/>
    <n v="-779"/>
    <n v="11"/>
    <n v="2023"/>
    <s v="14982/SPP/008/PUSAT/ICON+/2020|4500015517 | 16819/SPP/008/PUSAT/ICON+/2021 | 4500017018"/>
    <n v="20546"/>
    <n v="4500019560"/>
    <s v="Fajar Paramita"/>
    <m/>
    <m/>
    <m/>
    <m/>
    <m/>
    <s v="D351"/>
    <s v="E403"/>
    <s v="F443"/>
    <m/>
    <m/>
    <m/>
    <m/>
  </r>
  <r>
    <n v="1040"/>
    <s v="Infrastruktur Bisnis Sejahtera"/>
    <s v="PT Jaya Wira Jerindo"/>
    <s v="Gedung GKM Lt 2, Jalan Cikini Raya No 12 – 14, Menteng – Jakarta Pusat"/>
    <x v="0"/>
    <m/>
    <s v="Shihlin, Living Plaza Jababeka Living Plaza, Jl. Niaga Raya BB/2-4, Kel. Pasarsari, Cikarang Barat, Bekasi, Jawa Barat"/>
    <s v="Sewa Bulanan"/>
    <s v="Interkoneksi"/>
    <s v="AL/2002/6383"/>
    <s v="04000104394"/>
    <n v="0.995"/>
    <s v="Internet Corporate"/>
    <s v="2 Mbps"/>
    <m/>
    <n v="36000000"/>
    <m/>
    <m/>
    <n v="7260000"/>
    <m/>
    <d v="2023-02-12T00:00:00"/>
    <d v="2024-02-11T00:00:00"/>
    <x v="2"/>
    <m/>
    <d v="2025-12-24T00:00:00"/>
    <n v="-682"/>
    <n v="2"/>
    <n v="2024"/>
    <n v="4500017728"/>
    <n v="21059"/>
    <n v="4500019930"/>
    <s v="Syifa Artianingsih"/>
    <m/>
    <m/>
    <m/>
    <m/>
    <m/>
    <m/>
    <m/>
    <m/>
    <n v="17"/>
    <m/>
    <m/>
    <s v="Dismatle sesuai masa berakhir PO"/>
  </r>
  <r>
    <n v="1041"/>
    <s v="Infrastruktur Bisnis Sejahtera"/>
    <s v="PT Excelso Multirasa"/>
    <s v="Gedung GKM Lt 2, Jalan Cikini Raya No 12 – 14, Menteng – Jakarta Pusat"/>
    <x v="0"/>
    <m/>
    <s v="Excelso Living Plaza jababeka Jl. Niaga Raya Cikarang Unit : G-26, G 26A, Cikarang, Bekasi, Jawa Barat, Indonesia, 17530"/>
    <s v="Sewa Bulanan"/>
    <s v="Interkoneksi"/>
    <s v="PA/ACT/2008/0804"/>
    <s v="04000127029"/>
    <n v="0.995"/>
    <s v="Internet Corporate"/>
    <s v="2 Mbps"/>
    <m/>
    <n v="36000000"/>
    <m/>
    <m/>
    <n v="7260000"/>
    <m/>
    <d v="2023-08-19T00:00:00"/>
    <d v="2024-08-18T00:00:00"/>
    <x v="0"/>
    <m/>
    <d v="2025-12-24T00:00:00"/>
    <n v="-493"/>
    <n v="8"/>
    <n v="2024"/>
    <s v="19217/SPP/008/PUSAT/ICON+/2022 | 4500018423"/>
    <s v="1003/SPP/SBU/ICON+/2023"/>
    <n v="4500021051"/>
    <s v="Syifa Artianingsih"/>
    <s v="Hapsah"/>
    <s v="0815-9821-393"/>
    <m/>
    <m/>
    <m/>
    <m/>
    <m/>
    <m/>
    <n v="203"/>
    <m/>
    <m/>
    <m/>
  </r>
  <r>
    <n v="1042"/>
    <s v="Infrastruktur Bisnis Sejahtera"/>
    <s v="PT Graha Layar Prima"/>
    <s v="Gedung GKM Lt 2, Jalan Cikini Raya No 12 – 14, Menteng – Jakarta Pusat"/>
    <x v="0"/>
    <m/>
    <s v="CGV LIVING PLAZA JABABEKA, Jl. Niaga Raya BB/2-4 Kel. Pasarsari, Cikarang Barat, Bekasi, Jawa Barat, Indonesia. "/>
    <s v="Sewa Bulanan"/>
    <s v="Interkoneksi"/>
    <s v="PA/ACT/1911/2682"/>
    <s v="04000090446"/>
    <s v="99,50%"/>
    <s v="Internet Corporate"/>
    <s v="3 Mbps"/>
    <m/>
    <n v="42000000"/>
    <m/>
    <m/>
    <n v="10890000"/>
    <m/>
    <d v="2023-10-01T00:00:00"/>
    <d v="2024-09-30T00:00:00"/>
    <x v="0"/>
    <m/>
    <d v="2025-12-24T00:00:00"/>
    <n v="-450"/>
    <n v="9"/>
    <n v="2024"/>
    <n v="4500018646"/>
    <s v="1300/SPP/SBU/ICON+/2023"/>
    <n v="4500021326"/>
    <s v="Syifa Artianingsih"/>
    <s v="Hapsah"/>
    <s v="0815-9821-393"/>
    <m/>
    <m/>
    <m/>
    <m/>
    <m/>
    <m/>
    <n v="284"/>
    <m/>
    <m/>
    <m/>
  </r>
  <r>
    <n v="1043"/>
    <s v="Infrastruktur Cakrawala Telekomunikasi"/>
    <s v="PT Media Lintas Data"/>
    <s v="WTP Building Jl.Jababeka IV Blok B No.12 Cikarang"/>
    <x v="0"/>
    <s v="Jl. Kuningan Barat Raya No.8, RW.3, Kuningan Bar"/>
    <s v="BOF Liquid New WareHouse Cikarang, P45G+W46,"/>
    <s v="Sewa Tahunan"/>
    <s v="Cross Connect"/>
    <s v="PA/ACT/2203/3379/TER"/>
    <m/>
    <m/>
    <m/>
    <m/>
    <m/>
    <n v="33000000"/>
    <m/>
    <m/>
    <n v="10028172"/>
    <m/>
    <d v="2022-06-16T00:00:00"/>
    <d v="2023-06-15T00:00:00"/>
    <x v="0"/>
    <m/>
    <d v="2025-12-24T00:00:00"/>
    <n v="-923"/>
    <n v="6"/>
    <n v="2023"/>
    <s v="baru"/>
    <s v="18418/SPP/008/PUSAT/ICON+/2022"/>
    <n v="4500017900"/>
    <s v="Fajar Paramita"/>
    <s v="Anggun"/>
    <m/>
    <m/>
    <m/>
    <m/>
    <m/>
    <m/>
    <s v="F107"/>
    <m/>
    <m/>
    <m/>
    <m/>
  </r>
  <r>
    <n v="1044"/>
    <s v="Infrastruktur Cakrawala Telekomunikasi"/>
    <s v="PT Media Lintas Data"/>
    <s v="WTP Building Jl.Jababeka IV Blok B No.12 Cikarang"/>
    <x v="0"/>
    <s v="Jl. Kuningan Barat Raya No.8, RW.3, Kuningan Bar"/>
    <s v="BOF Liquid New WareHouse Cikarang, P45G+W46,"/>
    <s v="Sewa Tahunan"/>
    <s v="Cross Connect"/>
    <s v="PA/ACT/2203/3379/TER"/>
    <m/>
    <m/>
    <m/>
    <m/>
    <m/>
    <n v="5500000"/>
    <m/>
    <m/>
    <n v="1671362"/>
    <m/>
    <d v="2023-11-01T00:00:00"/>
    <d v="2023-12-31T00:00:00"/>
    <x v="0"/>
    <m/>
    <d v="2025-12-24T00:00:00"/>
    <n v="-724"/>
    <n v="12"/>
    <n v="2023"/>
    <m/>
    <m/>
    <m/>
    <m/>
    <m/>
    <m/>
    <m/>
    <m/>
    <m/>
    <m/>
    <m/>
    <m/>
    <m/>
    <m/>
    <m/>
    <m/>
  </r>
  <r>
    <n v="1045"/>
    <s v="Infrastruktur Cakrawala Telekomunikasi"/>
    <s v="PT Media Lintas Data"/>
    <s v="WTP Building Jl.Jababeka IV Blok B No.12 Cikarang"/>
    <x v="0"/>
    <s v="Jl. Kuningan Barat Raya No.8, RW.3, Kuningan Bar"/>
    <s v="BOF Liquid New WareHouse Cikarang, P45G+W46,"/>
    <s v="Sewa Tahunan"/>
    <s v="Cross Connect"/>
    <s v="PA/ACT/2203/3379/TER"/>
    <m/>
    <m/>
    <m/>
    <m/>
    <m/>
    <n v="33000000"/>
    <m/>
    <m/>
    <n v="12376764"/>
    <m/>
    <d v="2024-01-01T00:00:00"/>
    <d v="2024-12-31T00:00:00"/>
    <x v="0"/>
    <m/>
    <d v="2025-12-24T00:00:00"/>
    <n v="-358"/>
    <n v="12"/>
    <n v="2024"/>
    <m/>
    <m/>
    <m/>
    <m/>
    <m/>
    <m/>
    <m/>
    <m/>
    <m/>
    <m/>
    <m/>
    <m/>
    <m/>
    <m/>
    <m/>
    <m/>
  </r>
  <r>
    <n v="1046"/>
    <s v="Infrastruktur Cakrawala Telekomunikasi"/>
    <s v="PT. GENERO PHARMACEUTICALS"/>
    <s v="WTP Building Jl.Jababeka IV Blok B No.12 Cikarang"/>
    <x v="0"/>
    <s v="-"/>
    <s v="Genero KK, Jl. Industri Selatan 1B Blok KK No. 1-2, Kawasan Industri Jababeka 2"/>
    <s v="Sewa Tahunan"/>
    <s v="Cross Connect"/>
    <s v="PA/UPG/2206/0110/TER"/>
    <m/>
    <m/>
    <m/>
    <m/>
    <m/>
    <n v="120000000"/>
    <m/>
    <m/>
    <n v="44049312"/>
    <m/>
    <d v="2022-06-20T00:00:00"/>
    <d v="2023-06-19T00:00:00"/>
    <x v="0"/>
    <m/>
    <d v="2025-12-24T00:00:00"/>
    <n v="-919"/>
    <n v="6"/>
    <n v="2023"/>
    <s v="baru"/>
    <s v="19002/SPP/008/PUSAT/ICON+/2022"/>
    <n v="4500018290"/>
    <s v="Fajar Paramita"/>
    <s v="Anggun"/>
    <m/>
    <m/>
    <m/>
    <m/>
    <m/>
    <m/>
    <s v="F182"/>
    <m/>
    <m/>
    <m/>
    <m/>
  </r>
  <r>
    <n v="1047"/>
    <s v="Infrastruktur Cakrawala Telekomunikasi"/>
    <s v="PT. GENERO PHARMACEUTICALS"/>
    <s v="WTP Building Jl.Jababeka IV Blok B No.12 Cikarang"/>
    <x v="0"/>
    <m/>
    <s v="Genero KK, Jl. Industri Selatan 1B Blok KK No. 1-2, Kawasan Industri Jababeka 2"/>
    <s v="Sewa Tahunan"/>
    <s v="Cross Connect"/>
    <s v="PA/UPG/2206/0110/TER"/>
    <m/>
    <m/>
    <m/>
    <m/>
    <m/>
    <n v="20000000"/>
    <m/>
    <m/>
    <n v="7341552"/>
    <m/>
    <d v="2023-11-01T00:00:00"/>
    <d v="2023-12-31T00:00:00"/>
    <x v="0"/>
    <m/>
    <d v="2025-12-24T00:00:00"/>
    <n v="-724"/>
    <n v="12"/>
    <n v="2023"/>
    <m/>
    <m/>
    <m/>
    <m/>
    <m/>
    <m/>
    <m/>
    <m/>
    <m/>
    <m/>
    <m/>
    <m/>
    <m/>
    <m/>
    <m/>
    <m/>
  </r>
  <r>
    <n v="1048"/>
    <s v="Infrastruktur Cakrawala Telekomunikasi"/>
    <s v="PT. GENERO PHARMACEUTICALS"/>
    <s v="WTP Building Jl.Jababeka IV Blok B No.12 Cikarang"/>
    <x v="0"/>
    <m/>
    <s v="Genero KK, Jl. Industri Selatan 1B Blok KK No. 1-2, Kawasan Industri Jababeka 2"/>
    <s v="Sewa Tahunan"/>
    <s v="Cross Connect"/>
    <s v="PA/UPG/2206/0110/TER"/>
    <m/>
    <m/>
    <m/>
    <m/>
    <m/>
    <n v="120000000"/>
    <m/>
    <m/>
    <n v="50444376"/>
    <m/>
    <d v="2024-01-01T00:00:00"/>
    <d v="2024-12-31T00:00:00"/>
    <x v="1"/>
    <m/>
    <d v="2025-12-24T00:00:00"/>
    <n v="-358"/>
    <n v="12"/>
    <n v="2024"/>
    <m/>
    <m/>
    <m/>
    <m/>
    <m/>
    <m/>
    <m/>
    <m/>
    <m/>
    <m/>
    <m/>
    <m/>
    <m/>
    <m/>
    <m/>
    <m/>
  </r>
  <r>
    <n v="1049"/>
    <s v="Infrastruktur Cakrawala Telekomunikasi"/>
    <s v="PT. BANK RAKYAT INDONESIA (PERSERO) TBK"/>
    <s v="WTP Building Jl.Jababeka IV Blok B No.12 Cikarang"/>
    <x v="0"/>
    <s v="-"/>
    <s v="H2H Bus Suroboyo Gedung Data Center Indonet, Jl. Rempoa Raya No.11, Rempoa"/>
    <s v="Sewa Tahunan"/>
    <s v="Cross Connect"/>
    <s v="PA/ACT/2302/10774"/>
    <m/>
    <m/>
    <m/>
    <m/>
    <m/>
    <n v="27272724"/>
    <m/>
    <m/>
    <n v="6878389"/>
    <m/>
    <d v="2023-03-30T00:00:00"/>
    <d v="2023-09-30T00:00:00"/>
    <x v="0"/>
    <m/>
    <d v="2025-12-24T00:00:00"/>
    <n v="-816"/>
    <n v="9"/>
    <n v="2023"/>
    <s v="baru"/>
    <s v="21741/SPP/008/PUSAT/ICON+/2023"/>
    <n v="4500020360"/>
    <s v="Fajar Paramita"/>
    <s v="Anggun"/>
    <m/>
    <m/>
    <m/>
    <m/>
    <m/>
    <m/>
    <m/>
    <s v="G77"/>
    <m/>
    <m/>
    <m/>
  </r>
  <r>
    <n v="1050"/>
    <s v="Infrastruktur Cakrawala Telekomunikasi"/>
    <s v="PT MATTEL INDONESIA"/>
    <s v="WTP Building Jl.Jababeka IV Blok B No.12 Cikarang"/>
    <x v="0"/>
    <s v="Jl. Industri Utama Blok SS Kav 1- 3, Kawasan Industri Jababeka II, Cikarang Utara, Kabupaten Bekasi, Jawa Barat, Indonesia, 17530"/>
    <s v="JL. JABABEKA V BLOK G 4-6 KAWASAN INDUSTRI JABABEKA, DESA HARJA MEKAR, KECAMATAN CIKARANG UTARA KABUPATEN BEKASI INDONESIA"/>
    <s v="Sewa Tahunan"/>
    <s v="Cross Connect"/>
    <s v="PA/UPG/2203/0053"/>
    <m/>
    <m/>
    <m/>
    <m/>
    <m/>
    <n v="93600000"/>
    <m/>
    <m/>
    <n v="79425018"/>
    <m/>
    <d v="2021-06-22T00:00:00"/>
    <d v="2021-08-21T00:00:00"/>
    <x v="0"/>
    <m/>
    <d v="2025-12-24T00:00:00"/>
    <n v="-1586"/>
    <n v="8"/>
    <n v="2021"/>
    <s v="baru"/>
    <s v="16107/SPP/008/PUSAT/ICON+/2021"/>
    <n v="4500016356"/>
    <s v="Fajar Paramita"/>
    <s v="Anggun"/>
    <m/>
    <m/>
    <m/>
    <m/>
    <m/>
    <s v="E108"/>
    <m/>
    <m/>
    <m/>
    <m/>
    <m/>
  </r>
  <r>
    <n v="1051"/>
    <s v="Infrastruktur Cakrawala Telekomunikasi"/>
    <s v="PT MATTEL INDONESIA"/>
    <s v="WTP Building Jl.Jababeka IV Blok B No.12 Cikarang"/>
    <x v="0"/>
    <s v="Jl. Industri Utama Blok SS Kav 1- 3, Kawasan Industri Jababeka II, Cikarang Utara, Kabupaten Bekasi, Jawa Barat, Indonesia, 17530"/>
    <s v="JL. JABABEKA V BLOK G 4-6 KAWASAN INDUSTRI JABABEKA, DESA HARJA MEKAR, KECAMATAN CIKARANG UTARA KABUPATEN BEKASI INDONESIA"/>
    <s v="Sewa Tahunan"/>
    <s v="Cross Connect"/>
    <s v="PA/UPG/2203/0053"/>
    <m/>
    <m/>
    <m/>
    <m/>
    <m/>
    <n v="116000000"/>
    <m/>
    <m/>
    <n v="27515636"/>
    <m/>
    <d v="2023-11-01T00:00:00"/>
    <d v="2023-12-31T00:00:00"/>
    <x v="0"/>
    <m/>
    <d v="2025-12-24T00:00:00"/>
    <n v="-724"/>
    <n v="12"/>
    <n v="2023"/>
    <m/>
    <m/>
    <m/>
    <m/>
    <m/>
    <m/>
    <m/>
    <m/>
    <m/>
    <m/>
    <m/>
    <m/>
    <m/>
    <m/>
    <m/>
    <m/>
  </r>
  <r>
    <n v="1052"/>
    <s v="Infrastruktur Cakrawala Telekomunikasi"/>
    <s v="PT MATTEL INDONESIA"/>
    <s v="WTP Building Jl.Jababeka IV Blok B No.12 Cikarang"/>
    <x v="0"/>
    <s v="Jl. Industri Utama Blok SS Kav 1- 3, Kawasan Industri Jababeka II, Cikarang Utara, Kabupaten Bekasi, Jawa Barat, Indonesia, 17530"/>
    <s v="JL. JABABEKA V BLOK G 4-6 KAWASAN INDUSTRI JABABEKA, DESA HARJA MEKAR, KECAMATAN CIKARANG UTARA KABUPATEN BEKASI INDONESIA"/>
    <s v="Sewa Tahunan"/>
    <s v="Cross Connect"/>
    <s v="PA/UPG/2203/0053"/>
    <m/>
    <m/>
    <m/>
    <m/>
    <m/>
    <n v="696000000"/>
    <m/>
    <m/>
    <n v="171014892"/>
    <m/>
    <d v="2024-01-01T00:00:00"/>
    <d v="2024-12-31T00:00:00"/>
    <x v="1"/>
    <m/>
    <d v="2025-12-24T00:00:00"/>
    <n v="-358"/>
    <n v="12"/>
    <n v="2024"/>
    <m/>
    <m/>
    <m/>
    <m/>
    <m/>
    <m/>
    <m/>
    <m/>
    <m/>
    <m/>
    <m/>
    <m/>
    <m/>
    <m/>
    <m/>
    <m/>
  </r>
  <r>
    <n v="1053"/>
    <s v="Infrastruktur Cakrawala Telekomunikasi"/>
    <s v="PT DHL SUPPLY CHAIN INDONESIA"/>
    <s v="WTP Building Jl.Jababeka IV Blok B No.12 Cikarang"/>
    <x v="0"/>
    <s v="-"/>
    <s v="Jl. Jababeka II, Blok C 9-10, Jababeka I, Passir Gombong, Pasirgombong, Kec. Cikarang Utara, Bekasi, Jawa Barat 17530, Pasirgombong, Cikarang, Jawa Barat, Indonesia,, Cikarang Utara, Bekasi, Jawa Barat, Indonesia, 17530"/>
    <s v="Sewa Tahunan"/>
    <s v="Cross Connect"/>
    <s v="PA/ACT/2106/1509"/>
    <m/>
    <m/>
    <m/>
    <m/>
    <m/>
    <n v="84000000"/>
    <m/>
    <m/>
    <n v="26970084"/>
    <m/>
    <d v="2021-07-05T00:00:00"/>
    <d v="2022-07-04T00:00:00"/>
    <x v="0"/>
    <m/>
    <d v="2025-12-24T00:00:00"/>
    <n v="-1269"/>
    <n v="7"/>
    <n v="2022"/>
    <s v="baru"/>
    <s v="16106/SPP/008/PUSAT/ICON+/2021"/>
    <n v="4500016365"/>
    <s v="Fajar Paramita"/>
    <s v="Anggun"/>
    <m/>
    <m/>
    <m/>
    <m/>
    <m/>
    <s v="E109"/>
    <m/>
    <m/>
    <m/>
    <m/>
    <m/>
  </r>
  <r>
    <n v="1054"/>
    <s v="Infrastruktur Cakrawala Telekomunikasi"/>
    <s v="PT GOBEL DHARMA SARANA KARYA"/>
    <s v="WTP Building Jl.Jababeka IV Blok B No.12 Cikarang"/>
    <x v="0"/>
    <s v="-"/>
    <s v="Jl. Jababeka IIIG no. C17R, Bekasi, Cikarang, Jawa Barat, Indonesia,"/>
    <s v="Sewa Tahunan"/>
    <s v="Cross Connect"/>
    <s v="PA/ACT/2103/1696"/>
    <m/>
    <m/>
    <m/>
    <m/>
    <m/>
    <n v="60000000"/>
    <m/>
    <m/>
    <n v="39458424"/>
    <m/>
    <d v="2021-04-05T00:00:00"/>
    <d v="2022-04-04T00:00:00"/>
    <x v="0"/>
    <m/>
    <d v="2025-12-24T00:00:00"/>
    <n v="-1360"/>
    <n v="4"/>
    <n v="2022"/>
    <s v="baru"/>
    <s v="15624/SPP/008/PUSAT/ICON+/2021"/>
    <n v="4500016007"/>
    <s v="Fajar Paramita"/>
    <s v="Anggun"/>
    <m/>
    <m/>
    <m/>
    <m/>
    <m/>
    <s v="E27"/>
    <m/>
    <m/>
    <m/>
    <m/>
    <m/>
  </r>
  <r>
    <n v="1055"/>
    <s v="Infrastruktur Cakrawala Telekomunikasi"/>
    <s v="PT CIKARANG LISTRINDO TBK"/>
    <s v="WTP Building Jl.Jababeka IV Blok B No.12 Cikarang"/>
    <x v="0"/>
    <s v="-"/>
    <s v="Jl. Jababeka Raya, Blok R, Wangunharja,,  Cikarang Utara,  Kota Bekasi,  Jawa Barat,  Indonesia,  17550"/>
    <s v="Sewa Tahunan"/>
    <s v="Cross Connect"/>
    <s v="PA/UPG/2301/0510/TER"/>
    <m/>
    <m/>
    <m/>
    <m/>
    <m/>
    <n v="336000000"/>
    <m/>
    <m/>
    <n v="54744737"/>
    <m/>
    <d v="2023-02-25T00:00:00"/>
    <d v="2023-09-30T00:00:00"/>
    <x v="0"/>
    <m/>
    <d v="2025-12-24T00:00:00"/>
    <n v="-816"/>
    <n v="9"/>
    <n v="2023"/>
    <s v="baru"/>
    <s v="21072/SPP/008/PUSAT/ICON+/2023"/>
    <n v="4500019948"/>
    <s v="Fajar Paramita"/>
    <s v="Anggun"/>
    <m/>
    <m/>
    <m/>
    <m/>
    <m/>
    <m/>
    <m/>
    <s v="G22"/>
    <m/>
    <m/>
    <m/>
  </r>
  <r>
    <n v="1056"/>
    <s v="Infrastruktur Cakrawala Telekomunikasi"/>
    <s v="PT CIKARANG LISTRINDO TBK"/>
    <s v="WTP Building Jl.Jababeka IV Blok B No.12 Cikarang"/>
    <x v="0"/>
    <m/>
    <s v="Jl. Jababeka Raya, Blok R, Wangunharja,,  Cikarang Utara,  Kota Bekasi,  Jawa Barat,  Indonesia,  17550"/>
    <s v="Sewa Tahunan"/>
    <s v="Cross Connect"/>
    <s v="PA/UPG/2301/0510/TER"/>
    <m/>
    <m/>
    <m/>
    <m/>
    <m/>
    <n v="56000000"/>
    <m/>
    <m/>
    <n v="13310172"/>
    <m/>
    <d v="2023-11-01T00:00:00"/>
    <d v="2023-12-31T00:00:00"/>
    <x v="0"/>
    <m/>
    <d v="2025-12-24T00:00:00"/>
    <n v="-724"/>
    <n v="12"/>
    <n v="2023"/>
    <m/>
    <m/>
    <m/>
    <m/>
    <m/>
    <m/>
    <m/>
    <m/>
    <m/>
    <m/>
    <m/>
    <m/>
    <m/>
    <m/>
    <m/>
    <m/>
  </r>
  <r>
    <n v="1057"/>
    <s v="Infrastruktur Cakrawala Telekomunikasi"/>
    <s v="PT CIKARANG LISTRINDO TBK"/>
    <s v="WTP Building Jl.Jababeka IV Blok B No.12 Cikarang"/>
    <x v="0"/>
    <m/>
    <s v="Jl. Jababeka Raya, Blok R, Wangunharja,,  Cikarang Utara,  Kota Bekasi,  Jawa Barat,  Indonesia,  17550"/>
    <s v="Sewa Tahunan"/>
    <s v="Cross Connect"/>
    <s v="PA/UPG/2301/0510/TER"/>
    <m/>
    <m/>
    <m/>
    <m/>
    <m/>
    <n v="336000000"/>
    <m/>
    <m/>
    <n v="85374924"/>
    <m/>
    <d v="2024-01-01T00:00:00"/>
    <d v="2024-12-31T00:00:00"/>
    <x v="1"/>
    <m/>
    <d v="2025-12-24T00:00:00"/>
    <n v="-358"/>
    <n v="12"/>
    <n v="2024"/>
    <m/>
    <m/>
    <m/>
    <m/>
    <m/>
    <m/>
    <m/>
    <m/>
    <m/>
    <m/>
    <m/>
    <m/>
    <m/>
    <m/>
    <m/>
    <m/>
  </r>
  <r>
    <n v="1058"/>
    <s v="Infrastruktur Cakrawala Telekomunikasi"/>
    <s v="PT Media Telekomunikasi Mandiri"/>
    <s v="WTP Building Jl.Jababeka IV Blok B No.12 Cikarang"/>
    <x v="0"/>
    <s v="-"/>
    <s v="Jl. Niaga Raya, Pasirsari"/>
    <s v="Sewa Tahunan"/>
    <s v="Cross Connect"/>
    <s v="PA/ACT/2211/1776/TER"/>
    <m/>
    <m/>
    <m/>
    <m/>
    <m/>
    <n v="66000000"/>
    <m/>
    <m/>
    <n v="13132726"/>
    <m/>
    <d v="2022-12-22T00:00:00"/>
    <d v="2023-09-30T00:00:00"/>
    <x v="0"/>
    <m/>
    <d v="2025-12-24T00:00:00"/>
    <n v="-816"/>
    <n v="9"/>
    <n v="2023"/>
    <s v="baru"/>
    <s v="20627/SPP/008/PUSAT/ICON+/2022"/>
    <n v="4500019509"/>
    <s v="Fajar Paramita"/>
    <s v="Anggun"/>
    <m/>
    <m/>
    <m/>
    <m/>
    <m/>
    <m/>
    <s v="F438"/>
    <m/>
    <m/>
    <m/>
    <m/>
  </r>
  <r>
    <n v="1059"/>
    <s v="Infrastruktur Cakrawala Telekomunikasi"/>
    <s v="PT MEDIA TELEKOMUNIKASI MANDIRI "/>
    <s v="WTP Building Jl.Jababeka IV Blok B No.12 Cikarang"/>
    <x v="0"/>
    <s v="-"/>
    <s v="Jl. Niaga Raya, Pasirsari, Cikarang Selatan, Kabupaten Bekasi, Jawa Barat, Indonesia, 17530"/>
    <s v="Sewa Tahunan"/>
    <s v="Cross Connect"/>
    <s v="PA/UPG/2304/0299"/>
    <m/>
    <m/>
    <m/>
    <m/>
    <m/>
    <n v="120000000"/>
    <m/>
    <m/>
    <n v="7961520"/>
    <m/>
    <d v="2023-04-30T00:00:00"/>
    <d v="2023-09-30T00:00:00"/>
    <x v="0"/>
    <m/>
    <d v="2025-12-24T00:00:00"/>
    <n v="-816"/>
    <n v="9"/>
    <n v="2023"/>
    <s v="baru"/>
    <s v="91/SPP/SBU/ICON+/2023"/>
    <n v="4500020506"/>
    <s v="Fajar Paramita"/>
    <s v="Anggun"/>
    <m/>
    <m/>
    <m/>
    <m/>
    <m/>
    <m/>
    <m/>
    <s v="G93"/>
    <m/>
    <m/>
    <m/>
  </r>
  <r>
    <n v="1060"/>
    <s v="Infrastruktur Cakrawala Telekomunikasi"/>
    <s v="PT MEDIA TELEKOMUNIKASI MANDIRI "/>
    <s v="WTP Building Jl.Jababeka IV Blok B No.12 Cikarang"/>
    <x v="0"/>
    <m/>
    <s v="Jl. Niaga Raya, Pasirsari, Cikarang Selatan, Kabupaten Bekasi, Jawa Barat, Indonesia, 17530"/>
    <s v="Sewa Tahunan"/>
    <s v="Cross Connect"/>
    <s v="PA/UPG/2304/0299"/>
    <m/>
    <m/>
    <m/>
    <m/>
    <m/>
    <n v="20000000"/>
    <m/>
    <m/>
    <n v="4357242"/>
    <m/>
    <d v="2023-11-01T00:00:00"/>
    <d v="2023-12-31T00:00:00"/>
    <x v="0"/>
    <m/>
    <d v="2025-12-24T00:00:00"/>
    <n v="-724"/>
    <n v="12"/>
    <n v="2023"/>
    <m/>
    <m/>
    <m/>
    <m/>
    <m/>
    <m/>
    <m/>
    <m/>
    <m/>
    <m/>
    <m/>
    <m/>
    <m/>
    <m/>
    <m/>
    <m/>
  </r>
  <r>
    <n v="1061"/>
    <s v="Infrastruktur Cakrawala Telekomunikasi"/>
    <s v="PT MEDIA TELEKOMUNIKASI MANDIRI "/>
    <s v="WTP Building Jl.Jababeka IV Blok B No.12 Cikarang"/>
    <x v="0"/>
    <m/>
    <s v="Jl. Niaga Raya, Pasirsari, Cikarang Selatan, Kabupaten Bekasi, Jawa Barat, Indonesia, 17530"/>
    <s v="Sewa Tahunan"/>
    <s v="Cross Connect"/>
    <s v="PA/UPG/2304/0299"/>
    <m/>
    <m/>
    <m/>
    <m/>
    <m/>
    <n v="120000000"/>
    <m/>
    <m/>
    <n v="30536280"/>
    <m/>
    <d v="2024-01-01T00:00:00"/>
    <d v="2024-12-31T00:00:00"/>
    <x v="1"/>
    <m/>
    <d v="2025-12-24T00:00:00"/>
    <n v="-358"/>
    <n v="12"/>
    <n v="2024"/>
    <m/>
    <m/>
    <m/>
    <m/>
    <m/>
    <m/>
    <m/>
    <m/>
    <m/>
    <m/>
    <m/>
    <m/>
    <m/>
    <m/>
    <m/>
    <m/>
  </r>
  <r>
    <n v="1062"/>
    <s v="Infrastruktur Cakrawala Telekomunikasi"/>
    <s v="PT Mega Auto Finance"/>
    <s v="WTP Building Jl.Jababeka IV Blok B No.12 Cikarang"/>
    <x v="0"/>
    <s v="-"/>
    <s v="Jl. Niaga Raya, Ruko CBD Kav AA3 - D 25, Cikarang, Bekasi, Jawa Barat"/>
    <s v="Sewa Tahunan"/>
    <s v="Cross Connect"/>
    <s v="PA/ACT/2203/0309/TER"/>
    <m/>
    <m/>
    <m/>
    <m/>
    <m/>
    <n v="38400000"/>
    <m/>
    <m/>
    <n v="11359668"/>
    <m/>
    <d v="2022-04-01T00:00:00"/>
    <d v="2023-03-31T00:00:00"/>
    <x v="0"/>
    <m/>
    <d v="2025-12-24T00:00:00"/>
    <n v="-999"/>
    <n v="3"/>
    <n v="2023"/>
    <s v="baru"/>
    <s v="18273/SPP/008/PUSAT/ICON+/2022"/>
    <n v="4500017820"/>
    <s v="Fajar Paramita"/>
    <s v="Anggun"/>
    <m/>
    <m/>
    <m/>
    <m/>
    <m/>
    <m/>
    <s v="F88"/>
    <m/>
    <m/>
    <m/>
    <m/>
  </r>
  <r>
    <n v="1063"/>
    <s v="Infrastruktur Cakrawala Telekomunikasi"/>
    <s v="PT MANE INDONESIA JABABEKA"/>
    <s v="WTP Building Jl.Jababeka IV Blok B No.12 Cikarang"/>
    <x v="0"/>
    <s v="-"/>
    <s v="JL.JABABEKA XVI, KAV.66 CIKARANG BEKASI 17530,  -,  -,  -,  Indonesia,  -"/>
    <s v="Sewa Tahunan"/>
    <s v="Cross Connect"/>
    <s v=" PA/UPG/2211/0174/TER"/>
    <m/>
    <m/>
    <m/>
    <m/>
    <m/>
    <n v="222000000"/>
    <m/>
    <m/>
    <n v="26613126"/>
    <m/>
    <d v="2023-02-22T00:00:00"/>
    <d v="2023-09-30T00:00:00"/>
    <x v="0"/>
    <m/>
    <d v="2025-12-24T00:00:00"/>
    <n v="-816"/>
    <n v="9"/>
    <n v="2023"/>
    <s v="baru"/>
    <s v="21032/SPP/008/PUSAT/ICON+/2023"/>
    <n v="4500019923"/>
    <s v="Fajar Paramita"/>
    <s v="Anggun"/>
    <m/>
    <m/>
    <m/>
    <m/>
    <m/>
    <m/>
    <m/>
    <s v="G8"/>
    <m/>
    <m/>
    <m/>
  </r>
  <r>
    <n v="1064"/>
    <s v="Infrastruktur Cakrawala Telekomunikasi"/>
    <s v="PT MANE INDONESIA JABABEKA"/>
    <s v="WTP Building Jl.Jababeka IV Blok B No.12 Cikarang"/>
    <x v="0"/>
    <m/>
    <s v="JL.JABABEKA XVI, KAV.66 CIKARANG BEKASI 17530,  -,  -,  -,  Indonesia,  -"/>
    <s v="Sewa Tahunan"/>
    <s v="Cross Connect"/>
    <s v=" PA/UPG/2211/0174/TER"/>
    <m/>
    <m/>
    <m/>
    <m/>
    <m/>
    <n v="37000000"/>
    <m/>
    <m/>
    <n v="7341552"/>
    <m/>
    <d v="2023-11-01T00:00:00"/>
    <d v="2023-12-31T00:00:00"/>
    <x v="0"/>
    <m/>
    <d v="2025-12-24T00:00:00"/>
    <n v="-724"/>
    <n v="12"/>
    <n v="2023"/>
    <m/>
    <m/>
    <m/>
    <m/>
    <m/>
    <m/>
    <m/>
    <m/>
    <m/>
    <m/>
    <m/>
    <m/>
    <m/>
    <m/>
    <m/>
    <m/>
  </r>
  <r>
    <n v="1065"/>
    <s v="Infrastruktur Cakrawala Telekomunikasi"/>
    <s v="PT MANE INDONESIA JABABEKA"/>
    <s v="WTP Building Jl.Jababeka IV Blok B No.12 Cikarang"/>
    <x v="0"/>
    <m/>
    <s v="JL.JABABEKA XVI, KAV.66 CIKARANG BEKASI 17530,  -,  -,  -,  Indonesia,  -"/>
    <s v="Sewa Tahunan"/>
    <s v="Cross Connect"/>
    <s v=" PA/UPG/2211/0174/TER"/>
    <m/>
    <m/>
    <m/>
    <m/>
    <m/>
    <n v="222000000"/>
    <m/>
    <m/>
    <n v="50444376"/>
    <m/>
    <d v="2024-01-01T00:00:00"/>
    <d v="2024-12-31T00:00:00"/>
    <x v="1"/>
    <m/>
    <d v="2025-12-24T00:00:00"/>
    <n v="-358"/>
    <n v="12"/>
    <n v="2024"/>
    <m/>
    <m/>
    <m/>
    <m/>
    <m/>
    <m/>
    <m/>
    <m/>
    <m/>
    <m/>
    <m/>
    <m/>
    <m/>
    <m/>
    <m/>
    <m/>
  </r>
  <r>
    <n v="1066"/>
    <s v="Infrastruktur Cakrawala Telekomunikasi"/>
    <s v="PT. KAO INDONESIA"/>
    <s v="WTP Building Jl.Jababeka IV Blok B No.12 Cikarang"/>
    <x v="0"/>
    <s v="-"/>
    <s v="Kawasan Industri Jababeka Cikarang - Jln. Jababeka VI / N-2"/>
    <s v="Sewa Tahunan"/>
    <s v="Cross Connect"/>
    <s v="PA/UPG/2304/0283/TER"/>
    <m/>
    <m/>
    <m/>
    <m/>
    <m/>
    <n v="79200000"/>
    <m/>
    <m/>
    <n v="13871484"/>
    <m/>
    <d v="2023-04-13T00:00:00"/>
    <d v="2023-09-30T00:00:00"/>
    <x v="0"/>
    <m/>
    <d v="2025-12-24T00:00:00"/>
    <n v="-816"/>
    <n v="9"/>
    <n v="2023"/>
    <s v="baru"/>
    <s v="90/SPP/SBU/ICON+/2023"/>
    <n v="4500020555"/>
    <s v="Fajar Paramita"/>
    <s v="Anggun"/>
    <m/>
    <m/>
    <m/>
    <m/>
    <m/>
    <m/>
    <m/>
    <s v="G76"/>
    <m/>
    <m/>
    <m/>
  </r>
  <r>
    <n v="1067"/>
    <s v="Infrastruktur Cakrawala Telekomunikasi"/>
    <s v="PT. KAO INDONESIA"/>
    <s v="WTP Building Jl.Jababeka IV Blok B No.12 Cikarang"/>
    <x v="0"/>
    <s v="-"/>
    <s v="Kawasan Industri Jababeka Cikarang - Jln. Jababeka VI / N-2, Kab. Bekasi, Jawa Barat"/>
    <s v="Sewa Tahunan"/>
    <s v="Cross Connect"/>
    <s v="PA/ACT/2012/0139/TER_x000a_ PA/ACT/2012/0230/TER"/>
    <m/>
    <m/>
    <m/>
    <m/>
    <m/>
    <n v="127200000"/>
    <m/>
    <m/>
    <n v="70679256"/>
    <m/>
    <d v="2020-12-16T00:00:00"/>
    <d v="2021-12-15T00:00:00"/>
    <x v="0"/>
    <m/>
    <d v="2025-12-24T00:00:00"/>
    <n v="-1470"/>
    <n v="12"/>
    <n v="2021"/>
    <s v="baru"/>
    <s v="14929/SPP/008/PUSAT/ICON+/2020"/>
    <n v="4500015594"/>
    <s v="Fajar Paramita"/>
    <s v="Anggun"/>
    <m/>
    <m/>
    <m/>
    <m/>
    <s v="D346"/>
    <m/>
    <m/>
    <m/>
    <m/>
    <m/>
    <m/>
  </r>
  <r>
    <n v="1068"/>
    <s v="Infrastruktur Cakrawala Telekomunikasi"/>
    <s v="PT. KAO INDONESIA"/>
    <s v="WTP Building Jl.Jababeka IV Blok B No.12 Cikarang"/>
    <x v="0"/>
    <s v="-"/>
    <s v="Kawasan Industri Jababeka Cikarang, Jl. Jababeka VI/N2 Cikarang, Kec. Cikarang Utara, Kabupaten Bekasi, Jawa Barat, Indonesia, 17530"/>
    <s v="Sewa Tahunan"/>
    <s v="Cross Connect"/>
    <s v="PA/ACT/2108/1899"/>
    <m/>
    <m/>
    <m/>
    <m/>
    <m/>
    <n v="55200000"/>
    <m/>
    <m/>
    <n v="2410252"/>
    <m/>
    <d v="2021-09-09T00:00:00"/>
    <d v="2021-09-30T00:00:00"/>
    <x v="0"/>
    <m/>
    <d v="2025-12-24T00:00:00"/>
    <n v="-1546"/>
    <n v="9"/>
    <n v="2021"/>
    <s v="baru"/>
    <s v="16555/SPP/008/PUSAT/ICON+/2021"/>
    <n v="4500016697"/>
    <s v="Fajar Paramita"/>
    <s v="Anggun"/>
    <m/>
    <m/>
    <m/>
    <m/>
    <m/>
    <s v="E282"/>
    <m/>
    <m/>
    <m/>
    <m/>
    <m/>
  </r>
  <r>
    <n v="1069"/>
    <s v="Infrastruktur Cakrawala Telekomunikasi"/>
    <s v="PT. SOFTEX INDONESIA"/>
    <s v="WTP Building Jl.Jababeka IV Blok B No.12 Cikarang"/>
    <x v="0"/>
    <s v="-"/>
    <s v="Kawasan Industri Jababeka Jl. Jababeka IX B Blok Q2, Wangunharja, Cikarang Utara, Kabupaten Bekasi, Jawa Barat, Indonesia, 17530"/>
    <s v="Sewa Tahunan"/>
    <s v="Cross Connect"/>
    <s v="PA/ACT/2109/1806/TER"/>
    <m/>
    <m/>
    <m/>
    <m/>
    <m/>
    <n v="108000000"/>
    <m/>
    <m/>
    <n v="95055799"/>
    <m/>
    <d v="2021-10-26T00:00:00"/>
    <d v="2022-09-30T00:00:00"/>
    <x v="0"/>
    <m/>
    <d v="2025-12-24T00:00:00"/>
    <n v="-1181"/>
    <n v="9"/>
    <n v="2022"/>
    <s v="baru"/>
    <s v="16813/SPP/008/PUSAT/ICON+/2021"/>
    <n v="4500016810"/>
    <s v="Fajar Paramita"/>
    <s v="Anggun"/>
    <m/>
    <m/>
    <m/>
    <m/>
    <m/>
    <s v="E291"/>
    <m/>
    <m/>
    <m/>
    <m/>
    <m/>
  </r>
  <r>
    <n v="1070"/>
    <s v="Infrastruktur Cakrawala Telekomunikasi"/>
    <s v="PT. SOFTEX INDONESIA"/>
    <s v="WTP Building Jl.Jababeka IV Blok B No.12 Cikarang"/>
    <x v="0"/>
    <m/>
    <s v="Kawasan Industri Jababeka Jl. Jababeka IX B Blok Q2, Wangunharja, Cikarang Utara, Kabupaten Bekasi, Jawa Barat, Indonesia, 17530"/>
    <s v="Sewa Tahunan"/>
    <s v="Cross Connect"/>
    <s v="PA/ACT/2109/1806/TER"/>
    <m/>
    <m/>
    <m/>
    <m/>
    <m/>
    <n v="18000000"/>
    <m/>
    <m/>
    <n v="2477052"/>
    <m/>
    <d v="2023-11-01T00:00:00"/>
    <d v="2023-12-31T00:00:00"/>
    <x v="0"/>
    <m/>
    <d v="2025-12-24T00:00:00"/>
    <n v="-724"/>
    <n v="12"/>
    <n v="2023"/>
    <m/>
    <m/>
    <m/>
    <m/>
    <m/>
    <m/>
    <m/>
    <m/>
    <m/>
    <m/>
    <m/>
    <m/>
    <m/>
    <m/>
    <m/>
    <m/>
  </r>
  <r>
    <n v="1071"/>
    <s v="Infrastruktur Cakrawala Telekomunikasi"/>
    <s v="PT. SOFTEX INDONESIA"/>
    <s v="WTP Building Jl.Jababeka IV Blok B No.12 Cikarang"/>
    <x v="0"/>
    <m/>
    <s v="Kawasan Industri Jababeka Jl. Jababeka IX B Blok Q2, Wangunharja, Cikarang Utara, Kabupaten Bekasi, Jawa Barat, Indonesia, 17530"/>
    <s v="Sewa Tahunan"/>
    <s v="Cross Connect"/>
    <s v="PA/ACT/2109/1806/TER"/>
    <m/>
    <m/>
    <m/>
    <m/>
    <m/>
    <n v="108000000"/>
    <m/>
    <m/>
    <n v="36788388"/>
    <m/>
    <d v="2024-01-01T00:00:00"/>
    <d v="2024-12-31T00:00:00"/>
    <x v="1"/>
    <m/>
    <d v="2025-12-24T00:00:00"/>
    <n v="-358"/>
    <n v="12"/>
    <n v="2024"/>
    <m/>
    <m/>
    <m/>
    <m/>
    <m/>
    <m/>
    <m/>
    <m/>
    <m/>
    <m/>
    <m/>
    <m/>
    <m/>
    <m/>
    <m/>
    <m/>
  </r>
  <r>
    <n v="1072"/>
    <s v="Infrastruktur Cakrawala Telekomunikasi"/>
    <s v="PT. EONCHEMICALS PUTRA"/>
    <s v="WTP Building Jl.Jababeka IV Blok B No.12 Cikarang"/>
    <x v="0"/>
    <s v="-"/>
    <s v="Kawasan industri jababeka, jalan jababeka XVII B blok U no 21F, desa harja mekar"/>
    <s v="Sewa Tahunan"/>
    <s v="Cross Connect"/>
    <s v="PA/ACT/2210/2259"/>
    <m/>
    <m/>
    <m/>
    <m/>
    <m/>
    <n v="90000000"/>
    <m/>
    <m/>
    <n v="16292118"/>
    <m/>
    <d v="2022-11-22T00:00:00"/>
    <d v="2023-09-30T00:00:00"/>
    <x v="0"/>
    <m/>
    <d v="2025-12-24T00:00:00"/>
    <n v="-816"/>
    <n v="9"/>
    <n v="2023"/>
    <s v="baru"/>
    <s v="20455/SPP/008/PUSAT/ICON+/2022"/>
    <n v="4500019453"/>
    <s v="Fajar Paramita"/>
    <s v="Anggun"/>
    <m/>
    <m/>
    <m/>
    <m/>
    <m/>
    <m/>
    <s v="F401"/>
    <m/>
    <m/>
    <m/>
    <m/>
  </r>
  <r>
    <n v="1073"/>
    <s v="Infrastruktur Cakrawala Telekomunikasi"/>
    <s v="PT BANK SYARIAH INDONESIA TBK"/>
    <s v="WTP Building Jl.Jababeka IV Blok B No.12 Cikarang"/>
    <x v="0"/>
    <s v="-"/>
    <s v="KCP CIKARANG CBD, Ruko CBD Blok/Kavling AA3 Blok CD No. 1 Jl. Niaga Raya, Bekasi, Jawa Barat"/>
    <s v="Sewa Tahunan"/>
    <s v="Cross Connect"/>
    <s v="PA/ACT/2106/0130/TER"/>
    <m/>
    <m/>
    <m/>
    <m/>
    <m/>
    <n v="36000000"/>
    <m/>
    <m/>
    <n v="8194881"/>
    <m/>
    <d v="2021-10-08T00:00:00"/>
    <d v="2022-09-30T00:00:00"/>
    <x v="0"/>
    <m/>
    <d v="2025-12-24T00:00:00"/>
    <n v="-1181"/>
    <n v="9"/>
    <n v="2022"/>
    <s v="baru"/>
    <s v="16310/SPP/008/PUSAT/ICON+/2021"/>
    <n v="4500016592"/>
    <s v="Fajar Paramita"/>
    <s v="Anggun"/>
    <m/>
    <m/>
    <m/>
    <m/>
    <m/>
    <s v="E235"/>
    <m/>
    <m/>
    <m/>
    <m/>
    <m/>
  </r>
  <r>
    <n v="1074"/>
    <s v="Infrastruktur Cakrawala Telekomunikasi"/>
    <s v="PT. MITRA VISIONER PRATAMA"/>
    <s v="WTP Building Jl.Jababeka IV Blok B No.12 Cikarang"/>
    <x v="0"/>
    <s v="IIDC 3D, Duren tiga, kota administrasi Jakarta Selatan"/>
    <s v="Nippont Paint Cikarang, Jl.Kawasan Industri Jababeka Blok U No.8B Cikarang,  Cikarang,  Cikarang,  Jawa Barat,  Indonesia,"/>
    <s v="Sewa Tahunan"/>
    <s v="Cross Connect"/>
    <s v="PA/ACT/2202/2688/TER"/>
    <m/>
    <m/>
    <m/>
    <m/>
    <m/>
    <n v="21600000"/>
    <m/>
    <m/>
    <n v="12714168"/>
    <m/>
    <d v="2022-03-01T00:00:00"/>
    <d v="2023-02-28T00:00:00"/>
    <x v="0"/>
    <m/>
    <d v="2025-12-24T00:00:00"/>
    <n v="-1030"/>
    <n v="2"/>
    <n v="2023"/>
    <s v="Baru"/>
    <s v="18064/SPP/008/PUSAT/ICON+/2022"/>
    <n v="4500017658"/>
    <s v="Fajar Paramita"/>
    <s v="Anggun"/>
    <m/>
    <m/>
    <m/>
    <m/>
    <m/>
    <m/>
    <s v="F44"/>
    <m/>
    <m/>
    <m/>
    <m/>
  </r>
  <r>
    <n v="1075"/>
    <s v="Infrastruktur Cakrawala Telekomunikasi"/>
    <s v="PT. MITRA VISIONER PRATAMA"/>
    <s v="WTP Building Jl.Jababeka IV Blok B No.12 Cikarang"/>
    <x v="0"/>
    <s v="IIDC 3D, Duren tiga, kota administrasi Jakarta Selatan"/>
    <s v="Nippont Paint Cikarang, Jl.Kawasan Industri Jababeka Blok U No.8B Cikarang,  Cikarang,  Cikarang,  Jawa Barat,  Indonesia,"/>
    <s v="Sewa Tahunan"/>
    <s v="Cross Connect"/>
    <s v="PA/ACT/2202/2688/TER"/>
    <m/>
    <m/>
    <m/>
    <m/>
    <m/>
    <n v="3600000"/>
    <m/>
    <m/>
    <n v="2566656"/>
    <m/>
    <d v="2023-11-01T00:00:00"/>
    <d v="2023-12-31T00:00:00"/>
    <x v="0"/>
    <m/>
    <d v="2025-12-24T00:00:00"/>
    <n v="-724"/>
    <n v="12"/>
    <n v="2023"/>
    <m/>
    <m/>
    <m/>
    <m/>
    <m/>
    <m/>
    <m/>
    <m/>
    <m/>
    <m/>
    <m/>
    <m/>
    <m/>
    <m/>
    <m/>
    <m/>
  </r>
  <r>
    <n v="1076"/>
    <s v="Infrastruktur Cakrawala Telekomunikasi"/>
    <s v="PT. MITRA VISIONER PRATAMA"/>
    <s v="WTP Building Jl.Jababeka IV Blok B No.12 Cikarang"/>
    <x v="0"/>
    <s v="IIDC 3D, Duren tiga, kota administrasi Jakarta Selatan"/>
    <s v="Nippont Paint Cikarang, Jl.Kawasan Industri Jababeka Blok U No.8B Cikarang,  Cikarang,  Cikarang,  Jawa Barat,  Indonesia,"/>
    <s v="Sewa Tahunan"/>
    <s v="Cross Connect"/>
    <s v="PA/ACT/2202/2688/TER"/>
    <m/>
    <m/>
    <m/>
    <m/>
    <m/>
    <n v="21600000"/>
    <m/>
    <m/>
    <n v="17479944"/>
    <m/>
    <d v="2024-01-01T00:00:00"/>
    <d v="2024-12-31T00:00:00"/>
    <x v="1"/>
    <m/>
    <d v="2025-12-24T00:00:00"/>
    <n v="-358"/>
    <n v="12"/>
    <n v="2024"/>
    <m/>
    <m/>
    <m/>
    <m/>
    <m/>
    <m/>
    <m/>
    <m/>
    <m/>
    <m/>
    <m/>
    <m/>
    <m/>
    <m/>
    <m/>
    <m/>
  </r>
  <r>
    <n v="1077"/>
    <s v="Infrastruktur Cakrawala Telekomunikasi"/>
    <s v="PT Astrazeneca Pharmaceutical"/>
    <s v="WTP Building Jl.Jababeka IV Blok B No.12 Cikarang"/>
    <x v="0"/>
    <s v="-"/>
    <s v="PT Astrazeneca Pharmaceutical, , Jababeka Phase III,Technopark Blok B1A-B1B, Lemah Abang"/>
    <s v="Sewa Tahunan"/>
    <s v="Cross Connect"/>
    <s v="PA/ACT/2207/2392/TER"/>
    <m/>
    <m/>
    <m/>
    <m/>
    <m/>
    <n v="228000000"/>
    <m/>
    <m/>
    <n v="79861032"/>
    <m/>
    <d v="2022-08-09T00:00:00"/>
    <d v="2023-08-08T00:00:00"/>
    <x v="0"/>
    <m/>
    <d v="2025-12-24T00:00:00"/>
    <n v="-869"/>
    <n v="8"/>
    <n v="2023"/>
    <s v="baru"/>
    <s v="19358/SPP/008/PUSAT/ICON+/2022"/>
    <n v="4500018571"/>
    <s v="Fajar Paramita"/>
    <s v="Anggun"/>
    <m/>
    <m/>
    <m/>
    <m/>
    <m/>
    <m/>
    <s v="F247"/>
    <m/>
    <m/>
    <m/>
    <m/>
  </r>
  <r>
    <n v="1078"/>
    <s v="Infrastruktur Cakrawala Telekomunikasi"/>
    <s v="PT Astrazeneca Pharmaceutical"/>
    <s v="WTP Building Jl.Jababeka IV Blok B No.12 Cikarang"/>
    <x v="0"/>
    <m/>
    <s v="PT Astrazeneca Pharmaceutical, , Jababeka Phase III,Technopark Blok B1A-B1B, Lemah Abang"/>
    <s v="Sewa Tahunan"/>
    <s v="Cross Connect"/>
    <s v="PA/ACT/2207/2392/TER"/>
    <m/>
    <m/>
    <m/>
    <m/>
    <m/>
    <n v="38000000"/>
    <m/>
    <m/>
    <n v="13310172"/>
    <m/>
    <d v="2023-11-01T00:00:00"/>
    <d v="2023-12-31T00:00:00"/>
    <x v="0"/>
    <m/>
    <d v="2025-12-24T00:00:00"/>
    <n v="-724"/>
    <n v="12"/>
    <n v="2023"/>
    <m/>
    <m/>
    <m/>
    <m/>
    <m/>
    <m/>
    <m/>
    <m/>
    <m/>
    <m/>
    <m/>
    <m/>
    <m/>
    <m/>
    <m/>
    <m/>
  </r>
  <r>
    <n v="1079"/>
    <s v="Infrastruktur Cakrawala Telekomunikasi"/>
    <s v="PT Astrazeneca Pharmaceutical"/>
    <s v="WTP Building Jl.Jababeka IV Blok B No.12 Cikarang"/>
    <x v="0"/>
    <m/>
    <s v="PT Astrazeneca Pharmaceutical, , Jababeka Phase III,Technopark Blok B1A-B1B, Lemah Abang"/>
    <s v="Sewa Tahunan"/>
    <s v="Cross Connect"/>
    <s v="PA/ACT/2207/2392/TER"/>
    <m/>
    <m/>
    <m/>
    <m/>
    <m/>
    <n v="228000000"/>
    <m/>
    <m/>
    <n v="85374924"/>
    <m/>
    <d v="2024-01-01T00:00:00"/>
    <d v="2024-12-31T00:00:00"/>
    <x v="1"/>
    <m/>
    <d v="2025-12-24T00:00:00"/>
    <n v="-358"/>
    <n v="12"/>
    <n v="2024"/>
    <m/>
    <m/>
    <m/>
    <m/>
    <m/>
    <m/>
    <m/>
    <m/>
    <m/>
    <m/>
    <m/>
    <m/>
    <m/>
    <m/>
    <m/>
    <m/>
  </r>
  <r>
    <n v="1080"/>
    <s v="Infrastruktur Cakrawala Telekomunikasi"/>
    <s v="PT Indointernet qq PT Katsushiro Indonesia"/>
    <s v="WTP Building Jl.Jababeka IV Blok B No.12 Cikarang"/>
    <x v="0"/>
    <s v="-"/>
    <s v="PT Katsushiro Indonesia Jl Jababeka XII Blok I Kawasan Jababeka Tahap I, -, Cikarang, Jawa Barat"/>
    <s v="Sewa Tahunan"/>
    <s v="Cross Connect"/>
    <s v="PA/ACT/2012/0170"/>
    <m/>
    <m/>
    <m/>
    <m/>
    <m/>
    <n v="38400000"/>
    <m/>
    <m/>
    <n v="13609344"/>
    <m/>
    <d v="2020-12-16T00:00:00"/>
    <d v="2021-12-15T00:00:00"/>
    <x v="0"/>
    <m/>
    <d v="2025-12-24T00:00:00"/>
    <n v="-1470"/>
    <n v="12"/>
    <n v="2021"/>
    <s v="baru"/>
    <s v="14965/SPP/008/PUSAT/ICON+/2020"/>
    <n v="4500015520"/>
    <s v="Fajar Paramita"/>
    <s v="Anggun"/>
    <m/>
    <m/>
    <m/>
    <m/>
    <s v="D293"/>
    <m/>
    <m/>
    <m/>
    <m/>
    <m/>
    <m/>
  </r>
  <r>
    <n v="1081"/>
    <s v="Infrastruktur Cakrawala Telekomunikasi"/>
    <s v="PT Quantum Tera Network"/>
    <s v="WTP Building Jl.Jababeka IV Blok B No.12 Cikarang"/>
    <x v="0"/>
    <s v="-"/>
    <s v="PT Kiat Ananda Cold Storage (MMP Warehouse XII), Pasirgombong"/>
    <s v="Sewa Tahunan"/>
    <s v="Cross Connect"/>
    <s v="PA/ACT/2205/2008"/>
    <m/>
    <m/>
    <m/>
    <m/>
    <m/>
    <n v="33000000"/>
    <m/>
    <m/>
    <n v="15399936"/>
    <m/>
    <d v="2022-08-19T00:00:00"/>
    <d v="2023-08-18T00:00:00"/>
    <x v="0"/>
    <m/>
    <d v="2025-12-24T00:00:00"/>
    <n v="-859"/>
    <n v="8"/>
    <n v="2023"/>
    <s v="baru"/>
    <s v="18863/SPP/008/PUSAT/ICON+/2022"/>
    <n v="4500018167"/>
    <s v="Fajar Paramita"/>
    <s v="Anggun"/>
    <m/>
    <m/>
    <m/>
    <m/>
    <m/>
    <m/>
    <s v="F166"/>
    <m/>
    <m/>
    <m/>
    <m/>
  </r>
  <r>
    <n v="1082"/>
    <s v="Infrastruktur Cakrawala Telekomunikasi"/>
    <s v="PT. HIPERNET INDODATA qq PT. KOMATSU INDONESIA"/>
    <s v="WTP Building Jl.Jababeka IV Blok B No.12 Cikarang"/>
    <x v="0"/>
    <s v="-"/>
    <s v="PT Komatsu Indonesia KUI Jababeka,Jl. Jababeka XI Blok H-16, Cikarang Industrial Estate, Cikarang, Bekasi, Jawa Barat, Indonesia, 17530"/>
    <s v="Sewa Tahunan"/>
    <s v="Cross Connect"/>
    <s v="PA/UPG/2012/0045/TER"/>
    <m/>
    <m/>
    <m/>
    <m/>
    <m/>
    <n v="72000000"/>
    <m/>
    <m/>
    <n v="44049312"/>
    <m/>
    <d v="2020-12-15T00:00:00"/>
    <d v="2021-12-14T00:00:00"/>
    <x v="0"/>
    <m/>
    <d v="2025-12-24T00:00:00"/>
    <n v="-1471"/>
    <n v="12"/>
    <n v="2021"/>
    <s v="baru"/>
    <s v="14976/SPP/008/PUSAT/ICON+/2020"/>
    <n v="4500015510"/>
    <s v="Fajar Paramita"/>
    <s v="Anggun"/>
    <m/>
    <m/>
    <m/>
    <m/>
    <s v="D359"/>
    <m/>
    <m/>
    <m/>
    <m/>
    <m/>
    <m/>
  </r>
  <r>
    <n v="1083"/>
    <s v="Infrastruktur Cakrawala Telekomunikasi"/>
    <s v="PT HIPERNET INDODATA QQ PT KOMATSU INDONESIA"/>
    <s v="WTP Building Jl.Jababeka IV Blok B No.12 Cikarang"/>
    <x v="0"/>
    <s v="-"/>
    <s v="PT Komatsu Indonesia KUI Jababeka,Jl. Jababeka XI Blok H-16, Cikarang Industrial Estate, Cikarang, Bekasi, Jawa Barat, Indonesia, 17530"/>
    <s v="Sewa Tahunan"/>
    <s v="Cross Connect"/>
    <s v="PA/UPG/2103/0224"/>
    <m/>
    <m/>
    <m/>
    <m/>
    <m/>
    <n v="231600000"/>
    <m/>
    <m/>
    <n v="115672752"/>
    <m/>
    <d v="2021-03-18T00:00:00"/>
    <d v="2022-03-17T00:00:00"/>
    <x v="0"/>
    <m/>
    <d v="2025-12-24T00:00:00"/>
    <n v="-1378"/>
    <n v="3"/>
    <n v="2022"/>
    <s v="baru"/>
    <s v="15596/SPP/008/PUSAT/ICON+/2021"/>
    <n v="4500015961"/>
    <s v="Fajar Paramita"/>
    <s v="Anggun"/>
    <m/>
    <m/>
    <m/>
    <m/>
    <m/>
    <s v="E25"/>
    <m/>
    <m/>
    <m/>
    <m/>
    <m/>
  </r>
  <r>
    <n v="1084"/>
    <s v="Infrastruktur Cakrawala Telekomunikasi"/>
    <s v="PT. Hipernet Indodata qq PT Lestari Teknik Plastikatama"/>
    <s v="WTP Building Jl.Jababeka IV Blok B No.12 Cikarang"/>
    <x v="0"/>
    <s v="-"/>
    <s v="PT. Lestari Teknik Plastikatama - Kawasan Industri Jababeka, Jl. Jababeka XI Blok K No.8C, Harja Mekar,"/>
    <s v="Sewa Tahunan"/>
    <s v="Cross Connect"/>
    <s v="PA/ACT/2210/0062/TER"/>
    <m/>
    <m/>
    <m/>
    <m/>
    <m/>
    <n v="46800000"/>
    <m/>
    <m/>
    <n v="26143452"/>
    <m/>
    <d v="2022-11-04T00:00:00"/>
    <d v="2023-11-03T00:00:00"/>
    <x v="0"/>
    <m/>
    <d v="2025-12-24T00:00:00"/>
    <n v="-782"/>
    <n v="11"/>
    <n v="2023"/>
    <s v="baru"/>
    <s v="20148/SPP/008/PUSAT/ICON+/2022"/>
    <n v="4500019286"/>
    <s v="Fajar Paramita"/>
    <s v="Anggun"/>
    <m/>
    <m/>
    <m/>
    <m/>
    <m/>
    <m/>
    <s v="F353"/>
    <m/>
    <m/>
    <m/>
    <m/>
  </r>
  <r>
    <n v="1085"/>
    <s v="Infrastruktur Cakrawala Telekomunikasi"/>
    <s v="PT. Hipernet Indodata qq PT Lestari Teknik Plastikatama"/>
    <s v="WTP Building Jl.Jababeka IV Blok B No.12 Cikarang"/>
    <x v="0"/>
    <m/>
    <s v="PT. Lestari Teknik Plastikatama - Kawasan Industri Jababeka, Jl. Jababeka XI Blok K No.8C, Harja Mekar,"/>
    <s v="Sewa Tahunan"/>
    <s v="Cross Connect"/>
    <s v="PA/ACT/2210/0062/TER"/>
    <m/>
    <m/>
    <m/>
    <m/>
    <m/>
    <n v="4357242"/>
    <m/>
    <m/>
    <n v="7800000"/>
    <m/>
    <d v="2023-11-01T00:00:00"/>
    <d v="2023-12-31T00:00:00"/>
    <x v="0"/>
    <m/>
    <d v="2025-12-24T00:00:00"/>
    <n v="-724"/>
    <n v="12"/>
    <n v="2023"/>
    <m/>
    <m/>
    <m/>
    <m/>
    <m/>
    <m/>
    <m/>
    <m/>
    <m/>
    <m/>
    <m/>
    <m/>
    <m/>
    <m/>
    <m/>
    <m/>
  </r>
  <r>
    <n v="1086"/>
    <s v="Infrastruktur Cakrawala Telekomunikasi"/>
    <s v="PT. Hipernet Indodata qq PT Lestari Teknik Plastikatama"/>
    <s v="WTP Building Jl.Jababeka IV Blok B No.12 Cikarang"/>
    <x v="0"/>
    <m/>
    <s v="PT. Lestari Teknik Plastikatama - Kawasan Industri Jababeka, Jl. Jababeka XI Blok K No.8C, Harja Mekar,"/>
    <s v="Sewa Tahunan"/>
    <s v="Cross Connect"/>
    <s v="PA/ACT/2210/0062/TER"/>
    <m/>
    <m/>
    <m/>
    <m/>
    <m/>
    <n v="46800000"/>
    <m/>
    <m/>
    <n v="30536280"/>
    <m/>
    <d v="2024-01-01T00:00:00"/>
    <d v="2024-12-31T00:00:00"/>
    <x v="1"/>
    <m/>
    <d v="2025-12-24T00:00:00"/>
    <n v="-358"/>
    <n v="12"/>
    <n v="2024"/>
    <m/>
    <m/>
    <m/>
    <m/>
    <m/>
    <m/>
    <m/>
    <m/>
    <m/>
    <m/>
    <m/>
    <m/>
    <m/>
    <m/>
    <m/>
    <m/>
  </r>
  <r>
    <n v="1087"/>
    <s v="Infrastruktur Cakrawala Telekomunikasi"/>
    <s v="PT Hipernet Indodata qq PT Nippon Indosari Corpindo Tbk"/>
    <s v="WTP Building Jl.Jababeka IV Blok B No.12 Cikarang"/>
    <x v="0"/>
    <s v="-"/>
    <s v="PT. Nippon Indosari Corpindo Jababeka 5; Jl. Science Timur 2, Blok B1H-A, Kel. Jayamukti"/>
    <s v="Sewa Tahunan"/>
    <s v="Cross Connect"/>
    <s v="PA/ACT/2203/2605/TER"/>
    <m/>
    <m/>
    <m/>
    <m/>
    <m/>
    <n v="29880000"/>
    <m/>
    <m/>
    <n v="15399936"/>
    <m/>
    <d v="2022-03-23T00:00:00"/>
    <d v="2023-03-22T00:00:00"/>
    <x v="0"/>
    <m/>
    <d v="2025-12-24T00:00:00"/>
    <n v="-1008"/>
    <n v="3"/>
    <n v="2023"/>
    <s v="baru"/>
    <s v="18318/SPP/008/PUSAT/ICON+/2022"/>
    <n v="4500017834"/>
    <s v="Fajar Paramita"/>
    <s v="Anggun"/>
    <m/>
    <m/>
    <m/>
    <m/>
    <m/>
    <m/>
    <s v="F96"/>
    <m/>
    <m/>
    <m/>
    <m/>
  </r>
  <r>
    <n v="1088"/>
    <s v="Infrastruktur Cakrawala Telekomunikasi"/>
    <s v="PT Hipernet Indodata qq PT Nippon Indosari Corpindo Tbk"/>
    <s v="WTP Building Jl.Jababeka IV Blok B No.12 Cikarang"/>
    <x v="0"/>
    <m/>
    <s v="PT. Nippon Indosari Corpindo Jababeka 5; Jl. Science Timur 2, Blok B1H-A, Kel. Jayamukti"/>
    <s v="Sewa Tahunan"/>
    <s v="Cross Connect"/>
    <s v="PA/ACT/2203/2605/TER"/>
    <m/>
    <m/>
    <m/>
    <m/>
    <m/>
    <n v="4980000"/>
    <m/>
    <m/>
    <n v="2566656"/>
    <m/>
    <d v="2023-11-01T00:00:00"/>
    <d v="2023-12-31T00:00:00"/>
    <x v="0"/>
    <m/>
    <d v="2025-12-24T00:00:00"/>
    <n v="-724"/>
    <n v="12"/>
    <n v="2023"/>
    <m/>
    <m/>
    <m/>
    <m/>
    <m/>
    <m/>
    <m/>
    <m/>
    <m/>
    <m/>
    <m/>
    <m/>
    <m/>
    <m/>
    <m/>
    <m/>
  </r>
  <r>
    <n v="1089"/>
    <s v="Infrastruktur Cakrawala Telekomunikasi"/>
    <s v="PT Hipernet Indodata qq PT Nippon Indosari Corpindo Tbk"/>
    <s v="WTP Building Jl.Jababeka IV Blok B No.12 Cikarang"/>
    <x v="0"/>
    <m/>
    <s v="PT. Nippon Indosari Corpindo Jababeka 5; Jl. Science Timur 2, Blok B1H-A, Kel. Jayamukti"/>
    <s v="Sewa Tahunan"/>
    <s v="Cross Connect"/>
    <s v="PA/ACT/2203/2605/TER"/>
    <m/>
    <m/>
    <m/>
    <m/>
    <m/>
    <n v="29880000"/>
    <m/>
    <m/>
    <n v="17479944"/>
    <m/>
    <d v="2024-01-01T00:00:00"/>
    <d v="2024-12-31T00:00:00"/>
    <x v="1"/>
    <m/>
    <d v="2025-12-24T00:00:00"/>
    <n v="-358"/>
    <n v="12"/>
    <n v="2024"/>
    <m/>
    <m/>
    <m/>
    <m/>
    <m/>
    <m/>
    <m/>
    <m/>
    <m/>
    <m/>
    <m/>
    <m/>
    <m/>
    <m/>
    <m/>
    <m/>
  </r>
  <r>
    <n v="1090"/>
    <s v="Infrastruktur Cakrawala Telekomunikasi"/>
    <s v="PT Hipernet Indodata qq PT Nippon Indosari Corpindo Tbk"/>
    <s v="WTP Building Jl.Jababeka IV Blok B No.12 Cikarang"/>
    <x v="0"/>
    <s v="-"/>
    <s v="PT. Nippon Indosari Corpindo Kawasan Industri Jababeka, Jl. Jababeka XVII B Blok U, No. 33"/>
    <s v="Sewa Tahunan"/>
    <s v="Cross Connect"/>
    <s v="PA/ACT/2203/2604/TER"/>
    <m/>
    <m/>
    <m/>
    <m/>
    <m/>
    <n v="29880000"/>
    <m/>
    <m/>
    <n v="15399936"/>
    <m/>
    <d v="2022-03-30T00:00:00"/>
    <d v="2023-03-29T00:00:00"/>
    <x v="0"/>
    <m/>
    <d v="2025-12-24T00:00:00"/>
    <n v="-1001"/>
    <n v="3"/>
    <n v="2023"/>
    <s v="baru"/>
    <s v="18316/SPP/008/PUSAT/ICON+/2022"/>
    <n v="4500017836"/>
    <s v="Fajar Paramita"/>
    <s v="Anggun"/>
    <m/>
    <m/>
    <m/>
    <m/>
    <m/>
    <m/>
    <s v="F97"/>
    <m/>
    <m/>
    <m/>
    <m/>
  </r>
  <r>
    <n v="1091"/>
    <s v="Infrastruktur Cakrawala Telekomunikasi"/>
    <s v="PT Hipernet Indodata qq PT Nippon Indosari Corpindo Tbk"/>
    <s v="WTP Building Jl.Jababeka IV Blok B No.12 Cikarang"/>
    <x v="0"/>
    <m/>
    <s v="PT. Nippon Indosari Corpindo Kawasan Industri Jababeka, Jl. Jababeka XVII B Blok U, No. 33"/>
    <s v="Sewa Tahunan"/>
    <s v="Cross Connect"/>
    <s v="PA/ACT/2203/2604/TER"/>
    <m/>
    <m/>
    <m/>
    <m/>
    <m/>
    <n v="4980000"/>
    <m/>
    <m/>
    <n v="2566656"/>
    <m/>
    <d v="2023-11-01T00:00:00"/>
    <d v="2023-12-31T00:00:00"/>
    <x v="0"/>
    <m/>
    <d v="2025-12-24T00:00:00"/>
    <n v="-724"/>
    <n v="12"/>
    <n v="2023"/>
    <m/>
    <m/>
    <m/>
    <m/>
    <m/>
    <m/>
    <m/>
    <m/>
    <m/>
    <m/>
    <m/>
    <m/>
    <m/>
    <m/>
    <m/>
    <m/>
  </r>
  <r>
    <n v="1092"/>
    <s v="Infrastruktur Cakrawala Telekomunikasi"/>
    <s v="PT Hipernet Indodata qq PT Nippon Indosari Corpindo Tbk"/>
    <s v="WTP Building Jl.Jababeka IV Blok B No.12 Cikarang"/>
    <x v="0"/>
    <m/>
    <s v="PT. Nippon Indosari Corpindo Kawasan Industri Jababeka, Jl. Jababeka XVII B Blok U, No. 33"/>
    <s v="Sewa Tahunan"/>
    <s v="Cross Connect"/>
    <s v="PA/ACT/2203/2604/TER"/>
    <m/>
    <m/>
    <m/>
    <m/>
    <m/>
    <n v="29880000"/>
    <m/>
    <m/>
    <n v="17479944"/>
    <m/>
    <d v="2024-01-01T00:00:00"/>
    <d v="2024-12-31T00:00:00"/>
    <x v="1"/>
    <m/>
    <d v="2025-12-24T00:00:00"/>
    <n v="-358"/>
    <n v="12"/>
    <n v="2024"/>
    <m/>
    <m/>
    <m/>
    <m/>
    <m/>
    <m/>
    <m/>
    <m/>
    <m/>
    <m/>
    <m/>
    <m/>
    <m/>
    <m/>
    <m/>
    <m/>
  </r>
  <r>
    <n v="1093"/>
    <s v="Infrastruktur Cakrawala Telekomunikasi"/>
    <s v="PT. MILENIAL INTI TELEKOMUNIKASI qq RS Harapan keluarga"/>
    <s v="WTP Building Jl.Jababeka IV Blok B No.12 Cikarang"/>
    <x v="0"/>
    <s v="Jl. Duren Tiga Raya No.7, RT.9/RW.5, Duren Tiga, Kec. Pancoran, Kota Jakarta Selatan, Daerah Khusus Ibukota Jakarta 12760,  -,  Jakarta Selatan,  DKI Jakarta,  Indonesia,"/>
    <s v="RS Harapan Keluarga Jababeka Jl. Kasuari Raya  Kav.1A&amp;1B, Mekarmukti,  Cikarang Utara,  Bekasi,  Jawa Barat,  Indonesia,"/>
    <s v="Sewa Tahunan"/>
    <s v="Cross Connect"/>
    <s v="PA/ACT/2207/2494/TER"/>
    <m/>
    <m/>
    <m/>
    <m/>
    <m/>
    <n v="48000000"/>
    <m/>
    <m/>
    <n v="26143452"/>
    <m/>
    <d v="2022-07-26T00:00:00"/>
    <d v="2023-07-25T00:00:00"/>
    <x v="0"/>
    <m/>
    <d v="2025-12-24T00:00:00"/>
    <n v="-883"/>
    <n v="7"/>
    <n v="2023"/>
    <s v="baru"/>
    <s v="19312/SPP/008/PUSAT/ICON+/2022_x0009_"/>
    <n v="4500018458"/>
    <s v="Fajar Paramita"/>
    <s v="Anggun"/>
    <m/>
    <m/>
    <m/>
    <m/>
    <m/>
    <m/>
    <s v="F234"/>
    <m/>
    <m/>
    <m/>
    <m/>
  </r>
  <r>
    <n v="1094"/>
    <s v="Infrastruktur Cakrawala Telekomunikasi"/>
    <s v="PT. MILENIAL INTI TELEKOMUNIKASI qq RS Harapan keluarga"/>
    <s v="WTP Building Jl.Jababeka IV Blok B No.12 Cikarang"/>
    <x v="0"/>
    <s v="Jl. Duren Tiga Raya No.7, RT.9/RW.5, Duren Tiga, Kec. Pancoran, Kota Jakarta Selatan, Daerah Khusus Ibukota Jakarta 12760,  -,  Jakarta Selatan,  DKI Jakarta,  Indonesia,"/>
    <s v="RS Harapan Keluarga Jababeka Jl. Kasuari Raya  Kav.1A&amp;1B, Mekarmukti,  Cikarang Utara,  Bekasi,  Jawa Barat,  Indonesia,"/>
    <s v="Sewa Tahunan"/>
    <s v="Cross Connect"/>
    <s v="PA/ACT/2207/2494/TER"/>
    <m/>
    <m/>
    <m/>
    <m/>
    <m/>
    <n v="8000000"/>
    <m/>
    <m/>
    <n v="4357242"/>
    <m/>
    <d v="2023-11-01T00:00:00"/>
    <d v="2023-12-31T00:00:00"/>
    <x v="0"/>
    <m/>
    <d v="2025-12-24T00:00:00"/>
    <n v="-724"/>
    <n v="12"/>
    <n v="2023"/>
    <m/>
    <m/>
    <m/>
    <m/>
    <m/>
    <m/>
    <m/>
    <m/>
    <m/>
    <m/>
    <m/>
    <m/>
    <m/>
    <m/>
    <m/>
    <m/>
  </r>
  <r>
    <n v="1095"/>
    <s v="Infrastruktur Cakrawala Telekomunikasi"/>
    <s v="PT. MILENIAL INTI TELEKOMUNIKASI qq RS Harapan keluarga"/>
    <s v="WTP Building Jl.Jababeka IV Blok B No.12 Cikarang"/>
    <x v="0"/>
    <s v="Jl. Duren Tiga Raya No.7, RT.9/RW.5, Duren Tiga, Kec. Pancoran, Kota Jakarta Selatan, Daerah Khusus Ibukota Jakarta 12760,  -,  Jakarta Selatan,  DKI Jakarta,  Indonesia,"/>
    <s v="RS Harapan Keluarga Jababeka Jl. Kasuari Raya  Kav.1A&amp;1B, Mekarmukti,  Cikarang Utara,  Bekasi,  Jawa Barat,  Indonesia,"/>
    <s v="Sewa Tahunan"/>
    <s v="Cross Connect"/>
    <s v="PA/ACT/2207/2494/TER"/>
    <m/>
    <m/>
    <m/>
    <m/>
    <m/>
    <n v="48000000"/>
    <m/>
    <m/>
    <n v="30563880"/>
    <m/>
    <d v="2024-01-01T00:00:00"/>
    <d v="2024-12-31T00:00:00"/>
    <x v="1"/>
    <m/>
    <d v="2025-12-24T00:00:00"/>
    <n v="-358"/>
    <n v="12"/>
    <n v="2024"/>
    <m/>
    <m/>
    <m/>
    <m/>
    <m/>
    <m/>
    <m/>
    <m/>
    <m/>
    <m/>
    <m/>
    <m/>
    <m/>
    <m/>
    <m/>
    <m/>
  </r>
  <r>
    <n v="1096"/>
    <s v="Infrastruktur Cakrawala Telekomunikasi"/>
    <s v="PT PC24 TELEKOMUNIKASI QQ WATSONS STORE"/>
    <s v="WTP Building Jl.Jababeka IV Blok B No.12 Cikarang"/>
    <x v="0"/>
    <s v="-"/>
    <s v="Watsons Store - Living Plaza Jababeka, Mega Jababeka, Makarmukti,  Unit: G-01B,  Cikarang Utara,  Bekasi,  Jawa Barat,  Indonesia,  17530"/>
    <s v="Sewa Tahunan"/>
    <s v="Cross Connect"/>
    <s v="PA/ACT/2302/10683"/>
    <m/>
    <m/>
    <m/>
    <m/>
    <m/>
    <n v="102000000"/>
    <m/>
    <m/>
    <n v="6735428"/>
    <m/>
    <d v="2023-03-06T00:00:00"/>
    <d v="2023-09-30T00:00:00"/>
    <x v="0"/>
    <m/>
    <d v="2025-12-24T00:00:00"/>
    <n v="-816"/>
    <n v="9"/>
    <n v="2023"/>
    <s v="baru"/>
    <s v="21607/SPP/008/PUSAT/ICON+/2023"/>
    <n v="4500020165"/>
    <s v="Fajar Paramita"/>
    <s v="Anggun"/>
    <m/>
    <m/>
    <m/>
    <m/>
    <m/>
    <m/>
    <m/>
    <s v="G83"/>
    <m/>
    <m/>
    <m/>
  </r>
  <r>
    <n v="1097"/>
    <s v="Infrastruktur Cakrawala Telekomunikasi"/>
    <s v="PT PC24 TELEKOMUNIKASI QQ WATSONS STORE"/>
    <s v="WTP Building Jl.Jababeka IV Blok B No.12 Cikarang"/>
    <x v="0"/>
    <m/>
    <s v="Watsons Store - Living Plaza Jababeka, Mega Jababeka, Makarmukti,  Unit: G-01B,  Cikarang Utara,  Bekasi,  Jawa Barat,  Indonesia,  17530"/>
    <s v="Sewa Tahunan"/>
    <s v="Cross Connect"/>
    <s v="PA/ACT/2302/10683"/>
    <m/>
    <m/>
    <m/>
    <m/>
    <m/>
    <n v="17000000"/>
    <m/>
    <m/>
    <n v="1969794"/>
    <m/>
    <d v="2023-11-01T00:00:00"/>
    <d v="2023-12-31T00:00:00"/>
    <x v="0"/>
    <m/>
    <d v="2025-12-24T00:00:00"/>
    <n v="-724"/>
    <n v="12"/>
    <n v="2023"/>
    <m/>
    <m/>
    <m/>
    <m/>
    <m/>
    <m/>
    <m/>
    <m/>
    <m/>
    <m/>
    <m/>
    <m/>
    <m/>
    <m/>
    <m/>
    <m/>
  </r>
  <r>
    <n v="1098"/>
    <s v="Infrastruktur Cakrawala Telekomunikasi"/>
    <s v="PT PC24 TELEKOMUNIKASI QQ WATSONS STORE"/>
    <s v="WTP Building Jl.Jababeka IV Blok B No.12 Cikarang"/>
    <x v="0"/>
    <m/>
    <s v="Watsons Store - Living Plaza Jababeka, Mega Jababeka, Makarmukti,  Unit: G-01B,  Cikarang Utara,  Bekasi,  Jawa Barat,  Indonesia,  17530"/>
    <s v="Sewa Tahunan"/>
    <s v="Cross Connect"/>
    <s v="PA/ACT/2302/10684"/>
    <m/>
    <m/>
    <m/>
    <m/>
    <m/>
    <n v="102000000"/>
    <m/>
    <m/>
    <n v="14077824"/>
    <m/>
    <d v="2024-01-01T00:00:00"/>
    <d v="2024-12-31T00:00:00"/>
    <x v="1"/>
    <m/>
    <d v="2025-12-24T00:00:00"/>
    <n v="-358"/>
    <n v="12"/>
    <n v="2024"/>
    <m/>
    <m/>
    <m/>
    <m/>
    <m/>
    <m/>
    <m/>
    <m/>
    <m/>
    <m/>
    <m/>
    <m/>
    <m/>
    <m/>
    <m/>
    <m/>
  </r>
  <r>
    <n v="1099"/>
    <s v="Infrastruktur Cakrawala Telekomunikasi"/>
    <s v="PT HIPERNET INDODATA qq PT Mitsuyoshi Manufacturing Indonesia"/>
    <s v="WTP Building Jl.Jababeka IV Blok B No.12 Cikarang"/>
    <x v="0"/>
    <s v="-"/>
    <s v="PT. Mitsuyoshi Manufacturing Indonesia, Jl. Jababeka SFB Blok V No. 86 A-B Cikarang Industrial Estate, Cikarang, Kabupaten Bekasi, Jawa Barat, Indonesia"/>
    <s v="Sewa Tahunan"/>
    <s v="Cross Connect"/>
    <s v="PA/UPG/2102/0694"/>
    <m/>
    <m/>
    <m/>
    <m/>
    <m/>
    <n v="67200000"/>
    <m/>
    <m/>
    <n v="26143452"/>
    <m/>
    <d v="2021-02-25T00:00:00"/>
    <d v="2022-02-24T00:00:00"/>
    <x v="0"/>
    <m/>
    <d v="2025-12-24T00:00:00"/>
    <n v="-1399"/>
    <n v="2"/>
    <n v="2022"/>
    <s v="baru"/>
    <s v="15454/SPP/008/PUSAT/ICON+/2021"/>
    <n v="4500015859"/>
    <s v="Fajar Paramita"/>
    <s v="Anggun"/>
    <m/>
    <m/>
    <m/>
    <m/>
    <m/>
    <s v="E13"/>
    <m/>
    <m/>
    <m/>
    <m/>
    <m/>
  </r>
  <r>
    <n v="1100"/>
    <s v="Infrastruktur Cakrawala Telekomunikasi"/>
    <s v="PT HIPERNET INDODATA qq PT Mitsuyoshi Manufacturing Indonesia"/>
    <s v="WTP Building Jl.Jababeka IV Blok B No.12 Cikarang"/>
    <x v="0"/>
    <m/>
    <s v="PT. Mitsuyoshi Manufacturing Indonesia, Jl. Jababeka SFB Blok V No. 86 A-B Cikarang Industrial Estate, Cikarang, Kabupaten Bekasi, Jawa Barat, Indonesia"/>
    <s v="Sewa Tahunan"/>
    <s v="Cross Connect"/>
    <s v="PA/UPG/2102/0694"/>
    <m/>
    <m/>
    <m/>
    <m/>
    <m/>
    <n v="11200000"/>
    <m/>
    <m/>
    <n v="4357242"/>
    <m/>
    <d v="2023-11-01T00:00:00"/>
    <d v="2023-12-31T00:00:00"/>
    <x v="0"/>
    <m/>
    <d v="2025-12-24T00:00:00"/>
    <n v="-724"/>
    <n v="12"/>
    <n v="2023"/>
    <m/>
    <m/>
    <m/>
    <m/>
    <m/>
    <m/>
    <m/>
    <m/>
    <m/>
    <m/>
    <m/>
    <m/>
    <m/>
    <m/>
    <m/>
    <m/>
  </r>
  <r>
    <n v="1101"/>
    <s v="Infrastruktur Cakrawala Telekomunikasi"/>
    <s v="PT HIPERNET INDODATA qq PT Mitsuyoshi Manufacturing Indonesia"/>
    <s v="WTP Building Jl.Jababeka IV Blok B No.12 Cikarang"/>
    <x v="0"/>
    <m/>
    <s v="PT. Mitsuyoshi Manufacturing Indonesia, Jl. Jababeka SFB Blok V No. 86 A-B Cikarang Industrial Estate, Cikarang, Kabupaten Bekasi, Jawa Barat, Indonesia"/>
    <s v="Sewa Tahunan"/>
    <s v="Cross Connect"/>
    <s v="PA/UPG/2102/0694"/>
    <m/>
    <m/>
    <m/>
    <m/>
    <m/>
    <n v="67200000"/>
    <m/>
    <m/>
    <n v="30536280"/>
    <m/>
    <d v="2024-01-01T00:00:00"/>
    <d v="2024-12-31T00:00:00"/>
    <x v="1"/>
    <m/>
    <d v="2025-12-24T00:00:00"/>
    <n v="-358"/>
    <n v="12"/>
    <n v="2024"/>
    <m/>
    <m/>
    <m/>
    <m/>
    <m/>
    <m/>
    <m/>
    <m/>
    <m/>
    <m/>
    <m/>
    <m/>
    <m/>
    <m/>
    <m/>
    <m/>
  </r>
  <r>
    <n v="1102"/>
    <s v="Infrastruktur Cakrawala Telekomunikasi"/>
    <s v="PT HIPERNET INDODATA qq PT Surya Internusa Hotels"/>
    <s v="WTP Building Jl.Jababeka IV Blok B No.12 Cikarang"/>
    <x v="0"/>
    <s v="-"/>
    <s v="PT. Surya Internusa Hotels, Jl. Niaga Raya Blok CC No.3A, Pasirsari,  Cikarang Selatan,  Kabupaten Bekasi,  Jawa Barat,  Indonesia,  17530"/>
    <s v="Sewa Tahunan"/>
    <s v="Cross Connect"/>
    <s v="PA/ACT/2102/2076/TER"/>
    <m/>
    <m/>
    <m/>
    <m/>
    <m/>
    <n v="44400000"/>
    <m/>
    <m/>
    <n v="18981108"/>
    <m/>
    <d v="2021-03-03T00:00:00"/>
    <d v="2022-03-02T00:00:00"/>
    <x v="0"/>
    <m/>
    <d v="2025-12-24T00:00:00"/>
    <n v="-1393"/>
    <n v="3"/>
    <n v="2022"/>
    <s v="baru"/>
    <s v="15458/SPP/008/PUSAT/ICON+/2021"/>
    <n v="4500015860"/>
    <s v="Fajar Paramita"/>
    <s v="Anggun"/>
    <m/>
    <m/>
    <m/>
    <m/>
    <m/>
    <s v="E20"/>
    <m/>
    <m/>
    <m/>
    <m/>
    <m/>
  </r>
  <r>
    <n v="1103"/>
    <s v="Infrastruktur Cakrawala Telekomunikasi"/>
    <s v="PT Jetcoms Netindo qq PT Nano Coating dan Prima Tolling_x000a_ PT Tele Globe Global_x000a_ Rapigra Flexible Packaging_x000a_ PT Ingress Malindo Ventures_x000a_ PT Axalta Powder Coating System Indonesia_x000a_ PT Geoservices_x000a_ BCA Multifinance_x000a_ PT COMTRICS SYSTEM_x000a_ PT. Fukoku Tokai Rubber_x000a_ PT HIPERNET INDODATA_x000a_ PT MATTEL INDONESIA_x000a_ PT Menara Terus Makmur_x000a_ PT MULIA MEGA MAKMUR_x000a_ PT PALAPA MEDIA INDONESIA qq PT KAO INDONESIA_x000a_ APLIKANUSA LINTASARTA_x000a_ PT YAKULT INDONESIA PERSADA"/>
    <s v="WTP Building Jl.Jababeka IV Blok B No.12 Cikarang"/>
    <x v="0"/>
    <s v="-"/>
    <s v="Jl. Industri Selatan 7 Blok FF 1 C Kawasan Industry Jababeka 2 (Interkoneksi PT Nano Coating Indonesia) Cikarang Utara, Kota Bekasi, Jawa Barat, Indonesia"/>
    <s v="Sewa Tahunan"/>
    <s v="Cross Connect"/>
    <s v="ICON-00/SBC/1801/0258_x000a_ AL/1902/1852_x000a_ ICON-00/SBC/1604/0355_x000a_ PA/ACT/1902/0294_x000a_ PA/ACT/1902/0301_x000a_ PA/ACT/1810/0773_x000a_ PA/ACT/1901/1451_x000a_ PA/ACT/1901/1450_x000a_ ICON-00/SBC/1802/0059_x000a_ ICON-00/SBC/1710/1103_x000a_ PA/ACT/1909/0692_x000a_ ICON-00/SBC/1209/0511_x000a_ ICON-00/SBC/1310/0176_x000a_ ICON-00/SBC/1310/0176_x000a_ PA/ACT/1811/1775_x000a_ PA/ACT/1911/0927_x000a_ PA/ACT/1907/0848_x000a_ PA/ACT/1905/0318_x000a_ PA/UPG/1807/0326_x000a_ ICON-00/SBC/1610/0191 _x000a_ PA/ACT/1812/0449_x000a_ ICON-00/SBC/1710/0716_x000a_ PA/RLK/1810/0038_x000a_ PA/ACT/1903/1098_x000a_ PA/ACT/1901/0193_x000a_ &quot;AL/2006/16713_x000a_ 0990000320491203_x000a_ &quot;_x000a_ &quot;AL/2006/16713_x000a_ 0990000320491208_x000a_ &quot;_x000a_ PA/ACT/1906/0631_x000a_ ICON-00/SBC/1801/0053_x000a_ ICON-00/SBC/1802/0318_x000a_ AL/1807/6361_x000a_ PA/ACT/1808/0427_x000a_ PA/ACT/1811/2837_x000a_ PA/ACT/1902/1709_x000a_ PA/ACT/1902/1710_x000a_ PA/ACT/1802/111 /AL/1806/4272_x000a_ ICON-00/SBC/1709/0134_x000a_ ICON-00/SBC/1406/0396_x000a_ PA/ACT/1905/2226 / AL/1906/15327_x000a_ PA/UPG/1905/0122_x000a_ PA/ACT/1907/2968_x000a_ 1000129316_x000a_ 1000129323_x000a_ 1000129321_x000a_ ICON-00/SBC/1708/0374_x000a_ ICON-00/SBC/1708/0375_x000a_ OPT/1807/16145_x000a_ OPT/1810/24899_x000a_ OPT/1904/10228_x000a_ ICON-00/SBC/1603/0160_x000a_ ICON-00/SBC/1203/0194_x000a_ PA/ACT/1803/0832_x000a_ PA/ACT/1810/2531_x000a_ PA/ACT/2007/0049_x000a_ PA/ACT/1906/0952"/>
    <m/>
    <m/>
    <m/>
    <m/>
    <m/>
    <n v="51020949600"/>
    <m/>
    <m/>
    <n v="2208578544"/>
    <m/>
    <d v="2022-10-01T00:00:00"/>
    <d v="2023-09-30T00:00:00"/>
    <x v="0"/>
    <m/>
    <d v="2025-12-24T00:00:00"/>
    <n v="-816"/>
    <n v="9"/>
    <n v="2023"/>
    <s v="14338/SPP/008/PUSAT/ICON+/2020 | 4500015634 |17033/SPP/008/PUSAT/ICON+/2021 | 4500017234"/>
    <s v="20373/SPP/008/PUSAT/ICON+/2022"/>
    <n v="4500019523"/>
    <s v="Fajar Paramita"/>
    <s v="Anggun"/>
    <m/>
    <m/>
    <m/>
    <m/>
    <m/>
    <s v="E147"/>
    <s v="E404"/>
    <s v="E445"/>
    <m/>
    <m/>
    <m/>
  </r>
  <r>
    <n v="1104"/>
    <s v="Infrastruktur Cakrawala Telekomunikasi"/>
    <s v="PT. JAYA WIRA JERINDO"/>
    <s v="WTP Building Jl.Jababeka IV Blok B No.12 Cikarang"/>
    <x v="0"/>
    <s v="-"/>
    <s v="-"/>
    <s v="Sewa Tahunan"/>
    <s v="Cross Connect"/>
    <s v="-"/>
    <m/>
    <m/>
    <m/>
    <m/>
    <m/>
    <n v="36000000"/>
    <m/>
    <m/>
    <n v="60001748"/>
    <m/>
    <d v="2021-02-12T00:00:00"/>
    <d v="2022-02-11T00:00:00"/>
    <x v="0"/>
    <m/>
    <d v="2025-12-24T00:00:00"/>
    <n v="-1412"/>
    <n v="2"/>
    <n v="2022"/>
    <s v="baru"/>
    <s v="15180/SPP/008/PUSAT/ICON+/2021"/>
    <n v="4500015777"/>
    <s v="Fajar Paramita"/>
    <s v="Anggun"/>
    <m/>
    <m/>
    <m/>
    <m/>
    <m/>
    <s v="E174"/>
    <m/>
    <m/>
    <m/>
    <m/>
    <m/>
  </r>
  <r>
    <n v="1105"/>
    <s v="Infrastruktur Cakrawala Telekomunikasi"/>
    <s v="PT. KAO INDONESIA"/>
    <s v="WTP Building Jl.Jababeka IV Blok B No.12 Cikarang"/>
    <x v="0"/>
    <s v="-"/>
    <s v="KAO Logistic Center - Jl. Science Boulevard, Jayamukti,  Kec. Cikarang Pusat,  Kabupaten Bekasi,  Jawa Barat,  Indonesia,  17530"/>
    <s v="Sewa Tahunan"/>
    <s v="Cross Connect"/>
    <s v="PA/ACT/2104/2210"/>
    <m/>
    <m/>
    <m/>
    <m/>
    <m/>
    <n v="30000000"/>
    <m/>
    <m/>
    <n v="23848008"/>
    <m/>
    <d v="2021-05-03T00:00:00"/>
    <d v="2022-05-02T00:00:00"/>
    <x v="0"/>
    <m/>
    <d v="2025-12-24T00:00:00"/>
    <n v="-1332"/>
    <n v="5"/>
    <n v="2022"/>
    <s v="baru"/>
    <s v="15764/SPP/008/PUSAT/ICON+/2021"/>
    <n v="4500016417"/>
    <s v="Fajar Paramita"/>
    <s v="Anggun"/>
    <m/>
    <m/>
    <m/>
    <m/>
    <m/>
    <s v="E34"/>
    <m/>
    <m/>
    <m/>
    <m/>
    <m/>
  </r>
  <r>
    <n v="1106"/>
    <s v="Infrastruktur Cakrawala Telekomunikasi"/>
    <s v="PT. GRAFINDO MITRASEMESTA"/>
    <s v="WTP Building Jl.Jababeka IV Blok B No.12 Cikarang"/>
    <x v="0"/>
    <s v="-"/>
    <s v="Cikarang Industrial Estate, Jababeka 1 Block U 8D, U 8C &amp; U 7A, Cikarang, Harja Mekar,  Cikarang Utara,  Bekasi,  Jawa Barat,  Indonesia,  "/>
    <s v="Sewa Tahunan"/>
    <s v="Cross Connect"/>
    <s v="PA/ACT/2104/2615"/>
    <m/>
    <m/>
    <m/>
    <m/>
    <m/>
    <n v="60000000"/>
    <m/>
    <m/>
    <n v="39458424"/>
    <m/>
    <d v="2021-05-27T00:00:00"/>
    <d v="2022-05-26T00:00:00"/>
    <x v="0"/>
    <m/>
    <d v="2025-12-24T00:00:00"/>
    <n v="-1308"/>
    <n v="5"/>
    <n v="2022"/>
    <s v="baru"/>
    <s v="16112/SPP/008/PUSAT/ICON+/2021"/>
    <n v="4500016354"/>
    <s v="Fajar Paramita"/>
    <s v="Anggun"/>
    <m/>
    <m/>
    <m/>
    <m/>
    <m/>
    <s v="E103"/>
    <m/>
    <m/>
    <m/>
    <m/>
    <m/>
  </r>
  <r>
    <n v="1107"/>
    <s v="Infrastruktur Cakrawala Telekomunikasi"/>
    <s v="PT HIPERNET INDODATA qq PT ICI Paints Indonesia"/>
    <s v="WTP Building Jl.Jababeka IV Blok B No.12 Cikarang"/>
    <x v="0"/>
    <s v="-"/>
    <s v="PT. ICI Paints Indonesia Jl. Jababeka IV Blok V No.64,  Kec. Cikarang Utara,  Kabupaten Bekasi,  Jawa Barat,  Indonesia,  17530"/>
    <s v="Sewa Tahunan"/>
    <s v="Cross Connect"/>
    <s v="PA/ACT/2104/2730/TER"/>
    <m/>
    <m/>
    <m/>
    <m/>
    <m/>
    <n v="36000000"/>
    <m/>
    <m/>
    <n v="15399936"/>
    <m/>
    <d v="2021-05-27T00:00:00"/>
    <d v="2022-05-26T00:00:00"/>
    <x v="0"/>
    <m/>
    <d v="2025-12-24T00:00:00"/>
    <n v="-1308"/>
    <n v="5"/>
    <n v="2022"/>
    <s v="baru"/>
    <s v="16111/SPP/008/PUSAT/ICON+/2021"/>
    <n v="4500016355"/>
    <s v="Fajar Paramita"/>
    <s v="Anggun"/>
    <m/>
    <m/>
    <m/>
    <m/>
    <m/>
    <s v="E104"/>
    <m/>
    <m/>
    <m/>
    <m/>
    <m/>
  </r>
  <r>
    <n v="1108"/>
    <s v="Infrastruktur Cakrawala Telekomunikasi"/>
    <s v="PT Citra Sari Makmur"/>
    <s v="WTP Building Jl.Jababeka IV Blok B No.12 Cikarang"/>
    <x v="0"/>
    <s v="-"/>
    <s v="-"/>
    <s v="Sewa Tahunan"/>
    <s v="Cross Connect"/>
    <s v="ICON-00/ACT/1703/0494"/>
    <m/>
    <m/>
    <m/>
    <m/>
    <m/>
    <n v="90000000"/>
    <m/>
    <m/>
    <n v="6168860"/>
    <m/>
    <d v="2021-06-04T00:00:00"/>
    <d v="2021-09-30T00:00:00"/>
    <x v="0"/>
    <m/>
    <d v="2025-12-24T00:00:00"/>
    <n v="-1546"/>
    <n v="9"/>
    <n v="2021"/>
    <s v="baru"/>
    <s v="15283/SPP/008/PUSAT/ICON+/2021"/>
    <n v="4500016199"/>
    <s v="Fajar Paramita"/>
    <s v="Anggun"/>
    <m/>
    <m/>
    <m/>
    <m/>
    <m/>
    <s v="E281"/>
    <m/>
    <m/>
    <m/>
    <m/>
    <m/>
  </r>
  <r>
    <n v="1109"/>
    <s v="Infrastruktur Cakrawala Telekomunikasi"/>
    <s v="PT KAO INDONESIA"/>
    <s v="WTP Building Jl.Jababeka IV Blok B No.12 Cikarang"/>
    <x v="0"/>
    <s v="-"/>
    <s v="Kawasan Industri Jababeka Cikarang - Jl. Jababeka VI/N2 Cikarang, Kec. Cikarang Utara, Kabupaten Bekasi, Jawa Barat, Indonesia, 17530"/>
    <s v="Sewa Tahunan"/>
    <s v="Cross Connect"/>
    <s v="PA/UPG/2305/0286/TER"/>
    <m/>
    <m/>
    <m/>
    <m/>
    <m/>
    <n v="72000000"/>
    <m/>
    <m/>
    <n v="10587899"/>
    <m/>
    <d v="2023-05-15T00:00:00"/>
    <d v="2023-09-30T00:00:00"/>
    <x v="0"/>
    <m/>
    <d v="2025-12-24T00:00:00"/>
    <n v="-816"/>
    <n v="9"/>
    <n v="2023"/>
    <s v="baru"/>
    <s v="234/SPP/SBU/ICON+/2023"/>
    <n v="4500020496"/>
    <s v="Fajar Paramita"/>
    <s v="anggun"/>
    <m/>
    <m/>
    <m/>
    <m/>
    <m/>
    <m/>
    <m/>
    <s v="G104"/>
    <m/>
    <m/>
    <m/>
  </r>
  <r>
    <n v="1110"/>
    <s v="Infrastruktur Cakrawala Telekomunikasi"/>
    <s v="PT Hipernet Indodata qq PT Sebastian Jaya Metal"/>
    <s v="WTP Building Jl.Jababeka IV Blok B No.12 Cikarang"/>
    <x v="0"/>
    <s v="-"/>
    <s v="SEBASTIAN JAYA METAL - Kawasan Industri Jababeka I JL. Jababeka X, Blok F No.5,  Cikarang,  Bekasi,  Jawa Barat,  Indonesia,  "/>
    <s v="Sewa Tahunan"/>
    <s v="Cross Connect"/>
    <s v="PA/ACT/2304/1192"/>
    <m/>
    <m/>
    <m/>
    <m/>
    <m/>
    <n v="336000000"/>
    <m/>
    <m/>
    <n v="11910521"/>
    <m/>
    <d v="2023-04-17T00:00:00"/>
    <d v="2023-09-30T00:00:00"/>
    <x v="0"/>
    <m/>
    <d v="2025-12-24T00:00:00"/>
    <n v="-816"/>
    <n v="9"/>
    <n v="2023"/>
    <s v="baru"/>
    <s v="27/SPP/SBU/ICON+/2023"/>
    <n v="4500020493"/>
    <s v="Fajar Paramita"/>
    <s v="anggun"/>
    <m/>
    <m/>
    <m/>
    <m/>
    <m/>
    <m/>
    <m/>
    <s v="G89"/>
    <m/>
    <m/>
    <m/>
  </r>
  <r>
    <n v="1111"/>
    <s v="Infrastruktur Cakrawala Telekomunikasi"/>
    <s v="PT Hipernet Indodata qq PT Sebastian Jaya Metal"/>
    <s v="WTP Building Jl.Jababeka IV Blok B No.12 Cikarang"/>
    <x v="0"/>
    <m/>
    <s v="SEBASTIAN JAYA METAL - Kawasan Industri Jababeka I JL. Jababeka X, Blok F No.5,  Cikarang,  Bekasi,  Jawa Barat,  Indonesia,  "/>
    <s v="Sewa Tahunan"/>
    <s v="Cross Connect"/>
    <s v="PA/ACT/2304/1192"/>
    <m/>
    <m/>
    <m/>
    <m/>
    <m/>
    <n v="7600000"/>
    <m/>
    <m/>
    <n v="4357242"/>
    <m/>
    <d v="2023-11-01T00:00:00"/>
    <d v="2023-12-31T00:00:00"/>
    <x v="0"/>
    <m/>
    <d v="2025-12-24T00:00:00"/>
    <n v="-724"/>
    <n v="12"/>
    <n v="2023"/>
    <m/>
    <m/>
    <m/>
    <m/>
    <m/>
    <m/>
    <m/>
    <m/>
    <m/>
    <m/>
    <m/>
    <m/>
    <m/>
    <m/>
    <m/>
    <m/>
  </r>
  <r>
    <n v="1112"/>
    <s v="Infrastruktur Cakrawala Telekomunikasi"/>
    <s v="PT Hipernet Indodata qq PT Sebastian Jaya Metal"/>
    <s v="WTP Building Jl.Jababeka IV Blok B No.12 Cikarang"/>
    <x v="0"/>
    <m/>
    <s v="SEBASTIAN JAYA METAL - Kawasan Industri Jababeka I JL. Jababeka X, Blok F No.5,  Cikarang,  Bekasi,  Jawa Barat,  Indonesia,  "/>
    <s v="Sewa Tahunan"/>
    <s v="Cross Connect"/>
    <s v="PA/ACT/2304/1192"/>
    <m/>
    <m/>
    <m/>
    <m/>
    <m/>
    <n v="45600000"/>
    <m/>
    <m/>
    <n v="30536280"/>
    <m/>
    <d v="2024-01-01T00:00:00"/>
    <d v="2024-12-31T00:00:00"/>
    <x v="1"/>
    <m/>
    <d v="2025-12-24T00:00:00"/>
    <n v="-358"/>
    <n v="12"/>
    <n v="2024"/>
    <m/>
    <m/>
    <m/>
    <m/>
    <m/>
    <m/>
    <m/>
    <m/>
    <m/>
    <m/>
    <m/>
    <m/>
    <m/>
    <m/>
    <m/>
    <m/>
  </r>
  <r>
    <n v="1113"/>
    <s v="Infrastruktur Cakrawala Telekomunikasi"/>
    <s v="PT Hipernet Indodata qq Fanuc Indonesia"/>
    <s v="WTP Building Jl.Jababeka IV Blok B No.12 Cikarang"/>
    <x v="0"/>
    <s v="-"/>
    <s v="FANUC INDONESIA -Jl. Science Boulevard A1 C1,Kawasan Jababeka,  Cikarang,  Bekasi,  Jawa Barat,  Indonesia"/>
    <s v="Sewa Tahunan"/>
    <s v="Cross Connect"/>
    <s v="PA/ACT/2304/1193"/>
    <m/>
    <m/>
    <m/>
    <m/>
    <m/>
    <n v="45600000"/>
    <m/>
    <m/>
    <n v="10681779"/>
    <m/>
    <d v="2023-06-01T00:00:00"/>
    <d v="2023-09-30T00:00:00"/>
    <x v="0"/>
    <m/>
    <d v="2025-12-24T00:00:00"/>
    <n v="-816"/>
    <n v="9"/>
    <n v="2023"/>
    <s v="baru"/>
    <s v="89/SPP/SBU/ICON+/2023"/>
    <n v="4500020494"/>
    <s v="Fajar Paramita"/>
    <s v="anggun"/>
    <m/>
    <m/>
    <m/>
    <m/>
    <m/>
    <m/>
    <m/>
    <s v="G88"/>
    <m/>
    <m/>
    <m/>
  </r>
  <r>
    <n v="1114"/>
    <s v="Infrastruktur Cakrawala Telekomunikasi"/>
    <s v="PT Hipernet Indodata qq Fanuc Indonesia"/>
    <s v="WTP Building Jl.Jababeka IV Blok B No.12 Cikarang"/>
    <x v="0"/>
    <m/>
    <s v="FANUC INDONESIA -Jl. Science Boulevard A1 C1,Kawasan Jababeka,  Cikarang,  Bekasi,  Jawa Barat,  Indonesia"/>
    <s v="Sewa Tahunan"/>
    <s v="Cross Connect"/>
    <s v="PA/ACT/2304/1193"/>
    <m/>
    <m/>
    <m/>
    <m/>
    <m/>
    <n v="7600000"/>
    <m/>
    <m/>
    <n v="4357242"/>
    <m/>
    <d v="2023-11-01T00:00:00"/>
    <d v="2023-12-31T00:00:00"/>
    <x v="0"/>
    <m/>
    <d v="2025-12-24T00:00:00"/>
    <n v="-724"/>
    <n v="12"/>
    <n v="2023"/>
    <m/>
    <m/>
    <m/>
    <m/>
    <m/>
    <m/>
    <m/>
    <m/>
    <m/>
    <m/>
    <m/>
    <m/>
    <m/>
    <m/>
    <m/>
    <m/>
  </r>
  <r>
    <n v="1115"/>
    <s v="Infrastruktur Cakrawala Telekomunikasi"/>
    <s v="PT Hipernet Indodata qq Fanuc Indonesia"/>
    <s v="WTP Building Jl.Jababeka IV Blok B No.12 Cikarang"/>
    <x v="0"/>
    <m/>
    <s v="FANUC INDONESIA -Jl. Science Boulevard A1 C1,Kawasan Jababeka,  Cikarang,  Bekasi,  Jawa Barat,  Indonesia"/>
    <s v="Sewa Tahunan"/>
    <s v="Cross Connect"/>
    <s v="PA/ACT/2304/1193"/>
    <m/>
    <m/>
    <m/>
    <m/>
    <m/>
    <n v="45600000"/>
    <m/>
    <m/>
    <n v="30536280"/>
    <m/>
    <d v="2024-01-01T00:00:00"/>
    <d v="2024-12-31T00:00:00"/>
    <x v="1"/>
    <m/>
    <d v="2025-12-24T00:00:00"/>
    <n v="-358"/>
    <n v="12"/>
    <n v="2024"/>
    <m/>
    <m/>
    <m/>
    <m/>
    <m/>
    <m/>
    <m/>
    <m/>
    <m/>
    <m/>
    <m/>
    <m/>
    <m/>
    <m/>
    <m/>
    <m/>
  </r>
  <r>
    <n v="1116"/>
    <s v="Infrastruktur Cakrawala Telekomunikasi"/>
    <s v="COMMONWEALTH BANK "/>
    <s v="WTP Building Jl.Jababeka IV Blok B No.12 Cikarang"/>
    <x v="0"/>
    <m/>
    <s v="Cabang Pondok Indah, ANZ Pondok Indah (Samping Houbii adventure park), Jl. Metro Pondok Indah Kav. III_x000a_B, Pondok Indah, Jakarta Selatan, DKI Jakarta, Indonesia, 12310"/>
    <s v="Sewa Tahunan"/>
    <s v="Cross Connect"/>
    <s v="PA/ACT/2006/1647"/>
    <m/>
    <m/>
    <m/>
    <m/>
    <m/>
    <n v="180000000"/>
    <m/>
    <m/>
    <n v="3529526"/>
    <m/>
    <d v="2023-06-15T00:00:00"/>
    <d v="2023-09-30T00:00:00"/>
    <x v="0"/>
    <m/>
    <d v="2025-12-24T00:00:00"/>
    <n v="-816"/>
    <n v="9"/>
    <n v="2023"/>
    <s v="baru"/>
    <s v="340/SPP/SBU/ICON+/2023"/>
    <n v="4500020495"/>
    <s v="Fajar Paramita"/>
    <s v="anggun"/>
    <m/>
    <m/>
    <m/>
    <m/>
    <m/>
    <m/>
    <m/>
    <s v="G103"/>
    <m/>
    <m/>
    <m/>
  </r>
  <r>
    <n v="1117"/>
    <s v="Infrastruktur Cakrawala Telekomunikasi"/>
    <s v="COMMONWEALTH BANK "/>
    <s v="WTP Building Jl.Jababeka IV Blok B No.12 Cikarang"/>
    <x v="0"/>
    <m/>
    <s v="Cabang Pondok Indah, ANZ Pondok Indah (Samping Houbii adventure park), Jl. Metro Pondok Indah Kav. III_x000a_B, Pondok Indah, Jakarta Selatan, DKI Jakarta, Indonesia, 12311"/>
    <s v="Sewa Tahunan"/>
    <s v="Cross Connect"/>
    <s v="PA/ACT/2006/1647"/>
    <m/>
    <m/>
    <m/>
    <m/>
    <m/>
    <n v="30000000"/>
    <m/>
    <m/>
    <n v="4357242"/>
    <m/>
    <d v="2023-11-01T00:00:00"/>
    <d v="2023-12-31T00:00:00"/>
    <x v="0"/>
    <m/>
    <d v="2025-12-24T00:00:00"/>
    <n v="-724"/>
    <n v="12"/>
    <n v="2023"/>
    <m/>
    <m/>
    <m/>
    <m/>
    <m/>
    <m/>
    <m/>
    <m/>
    <m/>
    <m/>
    <m/>
    <m/>
    <m/>
    <m/>
    <m/>
    <m/>
  </r>
  <r>
    <n v="1118"/>
    <s v="Infrastruktur Cakrawala Telekomunikasi"/>
    <s v="COMMONWEALTH BANK "/>
    <s v="WTP Building Jl.Jababeka IV Blok B No.12 Cikarang"/>
    <x v="0"/>
    <m/>
    <s v="Cabang Pondok Indah, ANZ Pondok Indah (Samping Houbii adventure park), Jl. Metro Pondok Indah Kav. III_x000a_B, Pondok Indah, Jakarta Selatan, DKI Jakarta, Indonesia, 12312"/>
    <s v="Sewa Tahunan"/>
    <s v="Cross Connect"/>
    <s v="PA/ACT/2006/1647"/>
    <m/>
    <m/>
    <m/>
    <m/>
    <m/>
    <n v="180000000"/>
    <m/>
    <m/>
    <n v="30536280"/>
    <m/>
    <d v="2024-01-01T00:00:00"/>
    <d v="2024-12-31T00:00:00"/>
    <x v="1"/>
    <m/>
    <d v="2025-12-24T00:00:00"/>
    <n v="-358"/>
    <n v="12"/>
    <n v="2024"/>
    <m/>
    <m/>
    <m/>
    <m/>
    <m/>
    <m/>
    <m/>
    <m/>
    <m/>
    <m/>
    <m/>
    <m/>
    <m/>
    <m/>
    <m/>
    <m/>
  </r>
  <r>
    <n v="1119"/>
    <s v="Infrastruktur Cakrawala Telekomunikasi"/>
    <s v="PT TECHNO ORBIT PARTICLE FILTRATION"/>
    <s v="WTP Building Jl.Jababeka IV Blok B No.12 Cikarang"/>
    <x v="0"/>
    <m/>
    <s v="JABABEKA IV E BLOK V NOMOR 78 Q"/>
    <s v="Sewa Tahunan"/>
    <s v="Cross Connect"/>
    <s v="A111303000136"/>
    <m/>
    <m/>
    <m/>
    <m/>
    <m/>
    <n v="27600000"/>
    <m/>
    <m/>
    <n v="3412301"/>
    <m/>
    <d v="2023-03-07T00:00:00"/>
    <d v="2023-09-30T00:00:00"/>
    <x v="0"/>
    <m/>
    <d v="2025-12-24T00:00:00"/>
    <n v="-816"/>
    <n v="9"/>
    <n v="2023"/>
    <s v="baru"/>
    <s v="798/SPP/SBU/ICON+/2023"/>
    <n v="4500021038"/>
    <s v="Fajar Paramita"/>
    <s v="anggun"/>
    <m/>
    <m/>
    <m/>
    <m/>
    <m/>
    <m/>
    <m/>
    <s v="G123"/>
    <m/>
    <m/>
    <m/>
  </r>
  <r>
    <n v="1120"/>
    <s v="Infrastruktur Cakrawala Telekomunikasi"/>
    <s v="PT TECHNO ORBIT PARTICLE FILTRATION"/>
    <s v="WTP Building Jl.Jababeka IV Blok B No.12 Cikarang"/>
    <x v="0"/>
    <m/>
    <s v="JABABEKA IV E BLOK V NOMOR 78 Q"/>
    <s v="Sewa Tahunan"/>
    <s v="Cross Connect"/>
    <s v="A111303000136"/>
    <m/>
    <m/>
    <m/>
    <m/>
    <m/>
    <n v="6824602"/>
    <m/>
    <m/>
    <n v="2089166"/>
    <m/>
    <d v="2023-11-01T00:00:00"/>
    <d v="2023-12-31T00:00:00"/>
    <x v="0"/>
    <m/>
    <d v="2025-12-24T00:00:00"/>
    <n v="-724"/>
    <n v="12"/>
    <n v="2023"/>
    <m/>
    <m/>
    <m/>
    <m/>
    <m/>
    <m/>
    <m/>
    <m/>
    <m/>
    <m/>
    <m/>
    <m/>
    <m/>
    <m/>
    <m/>
    <m/>
  </r>
  <r>
    <n v="1121"/>
    <s v="Infrastruktur Cakrawala Telekomunikasi"/>
    <s v="PT TECHNO ORBIT PARTICLE FILTRATION"/>
    <s v="WTP Building Jl.Jababeka IV Blok B No.12 Cikarang"/>
    <x v="0"/>
    <m/>
    <s v="JABABEKA IV E BLOK V NOMOR 78 Q"/>
    <s v="Sewa Tahunan"/>
    <s v="Cross Connect"/>
    <s v="A111303000136"/>
    <m/>
    <m/>
    <m/>
    <m/>
    <m/>
    <n v="40947612"/>
    <m/>
    <m/>
    <n v="14758248"/>
    <m/>
    <d v="2024-01-01T00:00:00"/>
    <d v="2024-12-31T00:00:00"/>
    <x v="1"/>
    <m/>
    <d v="2025-12-24T00:00:00"/>
    <n v="-358"/>
    <n v="12"/>
    <n v="2024"/>
    <m/>
    <m/>
    <m/>
    <m/>
    <m/>
    <m/>
    <m/>
    <m/>
    <m/>
    <m/>
    <m/>
    <m/>
    <m/>
    <m/>
    <m/>
    <m/>
  </r>
  <r>
    <n v="1122"/>
    <s v="Infrastruktur Cakrawala Telekomunikasi"/>
    <s v="PT Rudolf Chemicals Indonesia"/>
    <s v="WTP Building Jl.Jababeka IV Blok B No.12 Cikarang"/>
    <x v="0"/>
    <m/>
    <s v="PT. RUDOLF CHEMICALS INDONESIA JABABEKA 1, KAV.K2FGH, WANGUNHARJA, CIKARANG UTARA, BEKASI REGENCY, WEST JAVA 17530"/>
    <s v="Sewa Tahunan"/>
    <s v="Cross Connect"/>
    <s v="A821303000076"/>
    <m/>
    <m/>
    <m/>
    <m/>
    <m/>
    <n v="108000000"/>
    <m/>
    <m/>
    <n v="5188414"/>
    <m/>
    <d v="2023-08-08T00:00:00"/>
    <d v="2023-09-30T00:00:00"/>
    <x v="0"/>
    <m/>
    <d v="2025-12-24T00:00:00"/>
    <n v="-816"/>
    <n v="9"/>
    <n v="2023"/>
    <s v="baru"/>
    <s v="969/SPP/SBU/ICON+/2023"/>
    <n v="4500021177"/>
    <s v="Fajar Paramita"/>
    <s v="anggun"/>
    <m/>
    <m/>
    <m/>
    <m/>
    <m/>
    <m/>
    <m/>
    <s v="G173"/>
    <m/>
    <m/>
    <m/>
  </r>
  <r>
    <n v="1123"/>
    <s v="Infrastruktur Cakrawala Telekomunikasi"/>
    <s v="PT Rudolf Chemicals Indonesia"/>
    <s v="WTP Building Jl.Jababeka IV Blok B No.12 Cikarang"/>
    <x v="0"/>
    <m/>
    <s v="PT. RUDOLF CHEMICALS INDONESIA JABABEKA 1, KAV.K2FGH, WANGUNHARJA, CIKARANG UTARA, BEKASI REGENCY, WEST JAVA 17530"/>
    <s v="Sewa Tahunan"/>
    <s v="Cross Connect"/>
    <s v="A821303000076"/>
    <m/>
    <m/>
    <m/>
    <m/>
    <m/>
    <n v="18000000"/>
    <m/>
    <m/>
    <n v="5853396"/>
    <m/>
    <d v="2023-11-01T00:00:00"/>
    <d v="2023-12-31T00:00:00"/>
    <x v="0"/>
    <m/>
    <d v="2025-12-24T00:00:00"/>
    <n v="-724"/>
    <n v="12"/>
    <n v="2023"/>
    <m/>
    <m/>
    <m/>
    <m/>
    <m/>
    <m/>
    <m/>
    <m/>
    <m/>
    <m/>
    <m/>
    <m/>
    <m/>
    <m/>
    <m/>
    <m/>
  </r>
  <r>
    <n v="1124"/>
    <s v="Infrastruktur Cakrawala Telekomunikasi"/>
    <s v="PT Rudolf Chemicals Indonesia"/>
    <s v="WTP Building Jl.Jababeka IV Blok B No.12 Cikarang"/>
    <x v="0"/>
    <m/>
    <s v="PT. RUDOLF CHEMICALS INDONESIA JABABEKA 1, KAV.K2FGH, WANGUNHARJA, CIKARANG UTARA, BEKASI REGENCY, WEST JAVA 17530"/>
    <s v="Sewa Tahunan"/>
    <s v="Cross Connect"/>
    <s v="A821303000076"/>
    <m/>
    <m/>
    <m/>
    <m/>
    <m/>
    <n v="108000000"/>
    <m/>
    <m/>
    <n v="41891556"/>
    <m/>
    <d v="2024-01-01T00:00:00"/>
    <d v="2024-12-31T00:00:00"/>
    <x v="1"/>
    <m/>
    <d v="2025-12-24T00:00:00"/>
    <n v="-358"/>
    <n v="12"/>
    <n v="2024"/>
    <m/>
    <m/>
    <m/>
    <m/>
    <m/>
    <m/>
    <m/>
    <m/>
    <m/>
    <m/>
    <m/>
    <m/>
    <m/>
    <m/>
    <m/>
    <m/>
  </r>
  <r>
    <n v="1125"/>
    <s v="Infrastruktur Cakrawala Telekomunikasi"/>
    <s v="PT IP TEKNOLOGI KOMUNIKASI"/>
    <s v="WTP Building Jl.Jababeka IV Blok B No.12 Cikarang"/>
    <x v="0"/>
    <s v="-"/>
    <s v="Jababeka Phase 5, Jl.Science Tim 1 No.7, Sertajaya, Cikarang Timur, Bekasi Regency, West, Java 1753"/>
    <s v="Sewa Tahunan"/>
    <s v="Cross Connect"/>
    <s v="A111202001140"/>
    <m/>
    <m/>
    <m/>
    <m/>
    <m/>
    <n v="54000000"/>
    <m/>
    <m/>
    <n v="24527056"/>
    <m/>
    <d v="2023-10-24T00:00:00"/>
    <d v="2024-09-30T00:00:00"/>
    <x v="1"/>
    <m/>
    <d v="2025-12-24T00:00:00"/>
    <n v="-450"/>
    <n v="9"/>
    <n v="2024"/>
    <s v="baru"/>
    <s v="1550/SPP/SBU/ICON+/2023"/>
    <n v="4500021564"/>
    <s v="Fajar Paramita"/>
    <s v="anggun"/>
    <m/>
    <m/>
    <m/>
    <m/>
    <m/>
    <m/>
    <m/>
    <s v="G303"/>
    <m/>
    <m/>
    <m/>
  </r>
  <r>
    <n v="1126"/>
    <s v="Insan Asia Nusantara "/>
    <s v="PT SURYA RENGO CONTAINERS_x000a_ PT SURYA RENGO CONTAINERS_x000a_ PT INDOMARCO ADI PRIMA_x000a_ PT INDOMARCO ADI PRIMA_x000a_ PT INDOMARCO ADI PRIMA_x000a_ PT INDOMARCO ADI PRIMA_x000a_ PT INDOMARCO ADI PRIMA_x000a_ PT INDOFOOD SUKSES MAKMUR TBK, DIV BOGASARI_x000a_ PT INDOMARCO ADI PRIMA_x000a_ PT. SALIM IVOMAS PRATAMA,TBK_x000a_ PT TIRTA SUKSES PERKASA_x000a_ PT TIRTA SUKSES PERKASA_x000a_ PT TIRTA MAKMUR PERKASA_x000a_ PT ASAHI INDOFOOD BEVERAGE MAKMUR_x000a_ PT TIRTA MAKMUR PERKASA_x000a_ PT TIRTA MAKMUR PERKASA_x000a_ PT TIRTA SUKSES PERKASA_x000a_ PT TIRTA SUKSES PERKASA_x000a_ PT. INDOFOOD SUKSES MAKMUR, TBK_x000a_ PT INDOFOOD ASAHI SUKSES BEVERAGE_x000a_ PT INDOFOOD ASAHI SUKSES BEVERAGE_x000a_ PT INDOFOOD ASAHI SUKSES BEVERAGE_x000a_ NESTLE INDOFOOD CITARASA INDONESIA_x000a_ PT. INDOFOOD CBP SUKSES MAKMUR Tbk_x000a_ NESTLE INDOFOOD CITARASA INDONESIA_x000a_ PT SURYA RENGO CONTAINERS_x000a_  PT SURYA RENGO CONTAINERS"/>
    <s v="Sudirman Plaza Jl. Jend. Sudirman Kav. 76-78 Kel. Setia Budi Kec. Setia Budi Jakarta Selatan 12910_x000a__x000a_Jalan Rs. Fatmawati No. 50 Pondok Labu Jakarta Selatan"/>
    <x v="0"/>
    <s v="-"/>
    <s v="Gedung Sudirman Plaza/Indofood Tower/Sudirman Square"/>
    <s v="Sewa Tahunan"/>
    <s v="Colocation"/>
    <s v="ICON-00/ACT/1409/0047_x000a_ ICON-00/ACT/1407/0335_x000a_ ICON-00/SOP/1405/0007_x000a_ ICON-00/ACT/1310/0134_x000a_ ICON-00/ACT/1310/0113_x000a_ ICON-00/ACT/1310/0114_x000a_ ICON-00/ACT/1303/0385_x000a_ ICON-00/ACT/1304/0223_x000a_ ICON-00/ACT/1212/0276_x000a_ ICON-00/ACT/1210/0159_x000a_  ICON-00/ACT/1207/0081"/>
    <m/>
    <m/>
    <m/>
    <m/>
    <m/>
    <n v="2720400000"/>
    <m/>
    <m/>
    <n v="13500000"/>
    <m/>
    <d v="2019-03-01T00:00:00"/>
    <d v="2020-02-28T00:00:00"/>
    <x v="0"/>
    <m/>
    <d v="2025-12-24T00:00:00"/>
    <n v="-2126"/>
    <n v="2"/>
    <n v="2020"/>
    <s v="4500009267 |06604/SPP/008/PUSAT/ICON+/2017 | 4500010304 | 08298/SPP/008/PUSAT/ICON+/2018 | 4500011336 | Note : PO belum di Print"/>
    <s v="10163/SPP/008/PUSAT/ICON+/2019"/>
    <n v="4500012446"/>
    <s v="Fajar Paramita"/>
    <s v="widya"/>
    <s v="021-57936855"/>
    <m/>
    <m/>
    <m/>
    <m/>
    <m/>
    <m/>
    <m/>
    <m/>
    <m/>
    <s v="1. Sewa Shaft Untuk Jalur FO dan atau Penempatan Perangkat Pendukung Lainya USD 800_x000a_ 2.Biaya Ijin Penarikan (One Time Charged) Rp2.600.000/tarikan/Instalasi"/>
  </r>
  <r>
    <n v="1127"/>
    <s v="Intershop Prima Center "/>
    <s v="PT SURYA RENGO CONTAINERS"/>
    <s v="WTC Mangga Dua Lantai 11_x000a_Jl. Mangga Dua Raya Kav. 8"/>
    <x v="0"/>
    <s v="-"/>
    <s v="WTC Mangga Dua, Gedung WTC Mangga Dua Jl. Mangga Dua Raya No.8 Blok CL001 Lantai UG Jakarta (Pelanggan PT Iforte Global Internet -BCA So No. ICON-00/ACT/1611/0189)"/>
    <s v="Sewa Tahunan"/>
    <s v="Colocation"/>
    <s v="ICON-00/ACT/1611/0189"/>
    <m/>
    <m/>
    <m/>
    <m/>
    <m/>
    <n v="34800000"/>
    <m/>
    <m/>
    <n v="12000000"/>
    <m/>
    <d v="2024-01-01T00:00:00"/>
    <d v="2024-12-31T00:00:00"/>
    <x v="1"/>
    <m/>
    <d v="2025-12-24T00:00:00"/>
    <n v="-358"/>
    <n v="12"/>
    <n v="2024"/>
    <s v="013117/MI/004/PUSAT/ICON+/2017 | 4500010293 | 10601/SPP/008/PUSAT/ICON+/2019 | 4500014605 | 14989/SPP/008/PUSAT/ICON+/2020_x000a_ 06631/SPP/008/ | 20930/SPP/008/PUSAT/ICON+/2022 | 4500019907_x000a_ PUSAT/ICON+/2017 | 4500015614 | 17191/SPP/008/PUSAT/ICON+/2021 | 4500017465| 1951 | 4500021741"/>
    <n v="1951"/>
    <n v="4500021741"/>
    <s v="Fajar Paramita"/>
    <s v="Windari Handayani"/>
    <s v="021-30013001"/>
    <m/>
    <m/>
    <m/>
    <s v="D147"/>
    <s v="E214"/>
    <s v="F8"/>
    <s v="G30 | G348"/>
    <s v="F348"/>
    <m/>
    <s v="1. Jaminan Kerja Rp5.000.000,-_x000a_ 2. Sewa penempatan Kabel Tray dan Shaft Rp9.000.000,-/tahun_x000a_ 3. Biaya Penarikan Kabel Rp25.000,-/meter untuk panjang 400 m total sebesar Rp10.000.000,-"/>
  </r>
  <r>
    <n v="1128"/>
    <s v="Jakarta Golden Landmark "/>
    <s v="PT. ADIRA DINAMIKA MULTIFINANCE"/>
    <s v="The Landmark Center Lt. 33 Jl. Jend. Sudirman No. 1 Jakarta 12910"/>
    <x v="0"/>
    <s v="Jl. Letjen. TB. Simatupang Kav.10 Jakarta Selatan 12430,  -,  -,  -,  Indonesia,  -"/>
    <s v="Gedung Landmark Jl. Jend. Sudirman No. 1 Jakarta 12910"/>
    <s v="Sewa Tahunan"/>
    <s v="Colocation"/>
    <s v="PA/UPG/1801/0043"/>
    <m/>
    <m/>
    <m/>
    <m/>
    <m/>
    <n v="420000000"/>
    <m/>
    <m/>
    <n v="2944447"/>
    <m/>
    <d v="2020-11-23T00:00:00"/>
    <d v="2021-01-15T00:00:00"/>
    <x v="2"/>
    <m/>
    <d v="2025-12-24T00:00:00"/>
    <n v="-1804"/>
    <n v="1"/>
    <n v="2021"/>
    <s v="5781116/SPR/ICON+/2016 07528/SPP/008/PUSAT/ICON+/2017 4500010860 | 09446/SPP/008/PUSAT/ICON+/2018 | 4500010293 | 11812/SPP/008/PUSAT/ICON+/2019 | 4500013400"/>
    <s v="14685/SPP/008/PUSAT/ICON+/2020"/>
    <n v="4500015969"/>
    <s v="Fajar Paramita"/>
    <s v="Nini Martini"/>
    <s v="021-5700363"/>
    <n v="124"/>
    <s v="B229"/>
    <s v="C217"/>
    <m/>
    <s v="E82"/>
    <m/>
    <m/>
    <m/>
    <m/>
    <s v="Jaminan Sewa senilai 3 bulan dari masa sewa"/>
  </r>
  <r>
    <n v="1129"/>
    <s v="Jakarta Industrial Estate Pulogadung (Persero) (JIEP) "/>
    <s v="PT PLN (Persero) Kantor Pusat"/>
    <s v="Jl. Pulokambing No. 1 Lahan Industri Pulogadung Jakarta Timur 13290"/>
    <x v="0"/>
    <s v="[UID JAYA - UP2D] [UP3 CEMPAKA PUTIH],  -,  Jakarta Pusat,  DKI Jakarta,  Indonesia,  -"/>
    <s v="[UID JAYA - UP2D] [UP3 CEMPAKA PUTIH],  -,  Jakarta Pusat,  DKI Jakarta,  Indonesia,  -"/>
    <s v="Sewa Tahunan"/>
    <s v="Colocation"/>
    <s v="PA/ACT/2005/1817/TER"/>
    <m/>
    <m/>
    <m/>
    <m/>
    <m/>
    <n v="38196000"/>
    <m/>
    <m/>
    <n v="26735856"/>
    <m/>
    <d v="2023-10-16T00:00:00"/>
    <d v="2024-10-15T00:00:00"/>
    <x v="0"/>
    <m/>
    <d v="2025-12-24T00:00:00"/>
    <n v="-435"/>
    <n v="10"/>
    <n v="2024"/>
    <s v="20167/SPP/008/PUSAT/ICON+/2022 | 4500019283"/>
    <s v="2081/SPP/SBU/ICON+/2023"/>
    <n v="4500021726"/>
    <s v="Fajar Paramita"/>
    <m/>
    <m/>
    <m/>
    <m/>
    <m/>
    <m/>
    <m/>
    <s v="F391"/>
    <s v="G337"/>
    <m/>
    <m/>
    <s v="-"/>
  </r>
  <r>
    <n v="1130"/>
    <s v="Jakarta Industrial Estate Pulogadung (Persero) (JIEP) "/>
    <s v="PT Aplikanusa Lintasarta qq PT Bank Cimb Niaga"/>
    <s v="Jl. Pulokambing No. 1 Lahan Industri Pulogadung Jakarta Timur 13290"/>
    <x v="0"/>
    <s v="Node Lintasarta Ruang Lintasarta, Jl. TB. Simatupang Kav. 10, Jakarta,  -,  Jakarta Selatan,  DKI Jakarta,  Indonesia,  -"/>
    <s v="BANK CIMB NIAGA TBK, PULOGADUNG POLIKLINIK PT. JIEP Lahan INDUSTRI PULOGADUNG, Jl. Rawa Terate II, Jakarta Timur 13930 (2010001692),  -,  -,  -,  Indonesia,  -"/>
    <s v="Sewa Tahunan"/>
    <s v="Colocation"/>
    <s v="PA/UPG/2004/0101/TER"/>
    <m/>
    <m/>
    <m/>
    <m/>
    <m/>
    <n v="42000000"/>
    <m/>
    <m/>
    <n v="38699016"/>
    <m/>
    <d v="2023-08-30T00:00:00"/>
    <d v="2024-08-29T00:00:00"/>
    <x v="0"/>
    <m/>
    <d v="2025-12-24T00:00:00"/>
    <n v="-482"/>
    <n v="8"/>
    <n v="2024"/>
    <n v="20159"/>
    <n v="2245"/>
    <n v="4500022325"/>
    <s v="Fajar Paramita"/>
    <m/>
    <m/>
    <m/>
    <m/>
    <m/>
    <m/>
    <m/>
    <s v="F388"/>
    <s v="G116"/>
    <m/>
    <m/>
    <s v="-"/>
  </r>
  <r>
    <n v="1131"/>
    <s v="Jakarta Industrial Estate Pulogadung (Persero) (JIEP) "/>
    <s v="PT Indosat Tbk qq Tirta Investama"/>
    <s v="Jl. Pulokambing No. 1 Lahan Industri Pulogadung Jakarta Timur 13290"/>
    <x v="0"/>
    <m/>
    <s v="DIVERSITY TIRTA INVESTAMA 63682  KANTOR PUSAT Lahan .JL PULO LENTUT NO.3 KIP JAKARTA TIMUR 13920,  -,  -,  -,  Indonesia,  -"/>
    <s v="Sewa Tahunan"/>
    <s v="Colocation"/>
    <s v="PA/UPG/2007/0067"/>
    <m/>
    <m/>
    <m/>
    <m/>
    <m/>
    <n v="97200000"/>
    <m/>
    <m/>
    <n v="47127600"/>
    <m/>
    <d v="2022-09-27T00:00:00"/>
    <d v="2023-09-26T00:00:00"/>
    <x v="0"/>
    <m/>
    <d v="2025-12-24T00:00:00"/>
    <n v="-820"/>
    <n v="9"/>
    <n v="2023"/>
    <s v="baru"/>
    <s v="20161/SPP/008/PUSAT/ICON+/2022"/>
    <n v="4500019271"/>
    <s v="Fajar Paramita"/>
    <m/>
    <m/>
    <m/>
    <m/>
    <m/>
    <m/>
    <m/>
    <s v="F386"/>
    <m/>
    <m/>
    <m/>
    <s v="-"/>
  </r>
  <r>
    <n v="1132"/>
    <s v="Jakarta Industrial Estate Pulogadung (Persero) (JIEP) "/>
    <s v="PT Bank Mandiri "/>
    <s v="Jl. Pulokambing No. 1 Lahan Industri Pulogadung Jakarta Timur 13290"/>
    <x v="0"/>
    <s v="-"/>
    <s v="Jakarta Lahan Industri Pulogadung, Jl. Pulobuaran Raya No.2 Lahan Industri Pulogadung, Jakarta, 13930,- ,- ,- ,Indonesia ,-"/>
    <s v="Sewa Tahunan"/>
    <s v="Colocation"/>
    <s v="PA/ACT/2211/2168"/>
    <m/>
    <m/>
    <m/>
    <m/>
    <m/>
    <n v="6600000"/>
    <m/>
    <m/>
    <n v="36705157"/>
    <m/>
    <d v="2024-03-13T00:00:00"/>
    <d v="2025-03-12T00:00:00"/>
    <x v="0"/>
    <m/>
    <d v="2025-12-24T00:00:00"/>
    <n v="-287"/>
    <n v="3"/>
    <n v="2025"/>
    <s v="20808 | 4500019503"/>
    <n v="2467"/>
    <n v="4500022161"/>
    <s v="Fajar Paramita"/>
    <m/>
    <m/>
    <m/>
    <m/>
    <m/>
    <m/>
    <m/>
    <s v="F394"/>
    <m/>
    <s v="H13"/>
    <m/>
    <s v="-"/>
  </r>
  <r>
    <n v="1133"/>
    <s v="Jakarta Industrial Estate Pulogadung (Persero) (JIEP) "/>
    <s v="PT Pasifiktel Indotama QQ PT Hexindo Adi Perkasa"/>
    <s v="Jalan Pulo Kambing No. 01, KIP Jakarta Timur"/>
    <x v="0"/>
    <s v="Cyber 1, Jl. Kuningan Barat Raya No.8, RT.1/RW.3, Kuningan Barat,  Kec. Mampang Prapatan,  Jakarta Selatan,  DKI Jakarta,  Indonesia,  12710"/>
    <s v="Hexindo Adi Perkasa, Lahan Industri Pulo Gadung Jl. Pulo Kambing 2/33 Kav 1-2,  -,  Jakarta Timur,  DKI Jakarta,  Indonesia,  13930"/>
    <s v="Sewa Tahunan"/>
    <s v="Colocation"/>
    <s v="PA/ACT/2004/1141/TER"/>
    <m/>
    <m/>
    <m/>
    <m/>
    <m/>
    <n v="72000000"/>
    <m/>
    <m/>
    <n v="27823416"/>
    <m/>
    <d v="2023-08-25T00:00:00"/>
    <d v="2024-08-24T00:00:00"/>
    <x v="0"/>
    <m/>
    <d v="2025-12-24T00:00:00"/>
    <n v="-487"/>
    <n v="8"/>
    <n v="2024"/>
    <s v="20151 | 4500019267"/>
    <n v="2345"/>
    <n v="4500022326"/>
    <s v="Fajar Paramita"/>
    <m/>
    <m/>
    <m/>
    <m/>
    <m/>
    <m/>
    <m/>
    <s v="F382"/>
    <s v="G118"/>
    <m/>
    <m/>
    <s v="-"/>
  </r>
  <r>
    <n v="1134"/>
    <s v="Jakarta Industrial Estate Pulogadung (Persero) (JIEP) "/>
    <s v="PT. PAMA PERSADA NUSANTARA"/>
    <s v="Jl. Pulokambing No. 1 Lahan Industri Pulogadung Jakarta Timur 13291"/>
    <x v="0"/>
    <s v="-"/>
    <s v="Jatinegara,  CAKUNG,  Jakarta Timur,  DKI Jakarta,"/>
    <s v="Sewa Tahunan"/>
    <s v="Colocation"/>
    <s v="PA/ACT/2202/2487"/>
    <m/>
    <m/>
    <m/>
    <m/>
    <m/>
    <n v="564000000"/>
    <m/>
    <m/>
    <n v="24470100"/>
    <m/>
    <d v="2023-05-23T00:00:00"/>
    <d v="2024-05-22T00:00:00"/>
    <x v="0"/>
    <m/>
    <d v="2025-12-24T00:00:00"/>
    <n v="-581"/>
    <n v="5"/>
    <n v="2024"/>
    <s v="18632/SPP/008/PUSAT/ICON+/2022 | 4500018065"/>
    <s v="654/SPP/SBU/ICON+/2023"/>
    <n v="4500021241"/>
    <s v="Fajar Paramita"/>
    <m/>
    <m/>
    <m/>
    <m/>
    <m/>
    <m/>
    <m/>
    <s v="F151"/>
    <s v="G418"/>
    <m/>
    <m/>
    <s v="-"/>
  </r>
  <r>
    <n v="1135"/>
    <s v="Jakarta Industrial Estate Pulogadung (Persero) (JIEP) "/>
    <s v="PT. PAMA PERSADA NUSANTARA"/>
    <s v="Jl. Pulokambing No. 1 Lahan Industri Pulogadung Jakarta Timur 13291"/>
    <x v="0"/>
    <m/>
    <s v="Jatinegara,  CAKUNG,  Jakarta Timur,  DKI Jakarta,"/>
    <s v="Sewa Tahunan"/>
    <s v="Colocation"/>
    <s v="PA/ACT/2202/2487"/>
    <m/>
    <m/>
    <m/>
    <m/>
    <m/>
    <n v="564000000"/>
    <m/>
    <m/>
    <n v="24470100"/>
    <m/>
    <d v="2024-05-23T00:00:00"/>
    <d v="2025-05-22T00:00:00"/>
    <x v="0"/>
    <m/>
    <d v="2025-12-24T00:00:00"/>
    <n v="-216"/>
    <n v="5"/>
    <n v="2025"/>
    <m/>
    <s v="3895/SPP/SBU/PLNICONPLUS/2024"/>
    <n v="4500023102"/>
    <s v="Fajar Paramita"/>
    <m/>
    <m/>
    <m/>
    <m/>
    <m/>
    <m/>
    <m/>
    <m/>
    <m/>
    <s v="H263"/>
    <m/>
    <m/>
  </r>
  <r>
    <n v="1136"/>
    <s v="Jakarta Industrial Estate Pulogadung (Persero) (JIEP) "/>
    <s v="PT Yapindo Transportama"/>
    <s v="Jl. Pulokambing No. 1 Lahan Industri Pulogadung Jakarta Timur 13290"/>
    <x v="0"/>
    <s v="-"/>
    <s v="Jl Rawa Gelam 1 no 26,  Pulogadung,  Jakarta Timur,  DKI Jakarta,  Indonesia,"/>
    <s v="Sewa Tahunan"/>
    <s v="Colocation"/>
    <s v="PA/ACT/1802/1067"/>
    <m/>
    <m/>
    <m/>
    <m/>
    <m/>
    <n v="72000000"/>
    <m/>
    <m/>
    <n v="67791240"/>
    <m/>
    <d v="2022-03-02T00:00:00"/>
    <d v="2023-03-01T00:00:00"/>
    <x v="2"/>
    <m/>
    <d v="2025-12-24T00:00:00"/>
    <n v="-1029"/>
    <n v="3"/>
    <n v="2023"/>
    <s v="baru"/>
    <s v="20116/SPP/008/PUSAT/ICON+/2022"/>
    <n v="4500019261"/>
    <s v="Fajar Paramita"/>
    <m/>
    <m/>
    <m/>
    <m/>
    <m/>
    <m/>
    <m/>
    <s v="F377"/>
    <m/>
    <m/>
    <m/>
    <s v="-"/>
  </r>
  <r>
    <n v="1137"/>
    <s v="Jakarta Industrial Estate Pulogadung (Persero) (JIEP) "/>
    <s v="PT Daya Muda Agung"/>
    <s v="Jl. Pulokambing No. 1 Lahan Industri Pulogadung Jakarta Timur 13290"/>
    <x v="0"/>
    <s v="-"/>
    <s v="Jl. Pulo Kambing Raya No. 9 Lahan Industri Pulo Gadung Jakarta Timur,  -,  -,  -,  Indonesia,  -"/>
    <s v="Sewa Tahunan"/>
    <s v="Colocation"/>
    <s v="PA/UPG/2201/0411/TER"/>
    <m/>
    <m/>
    <m/>
    <m/>
    <m/>
    <n v="152727276"/>
    <m/>
    <m/>
    <n v="15769620"/>
    <m/>
    <d v="2022-09-05T00:00:00"/>
    <d v="2023-09-04T00:00:00"/>
    <x v="2"/>
    <m/>
    <d v="2025-12-24T00:00:00"/>
    <n v="-842"/>
    <n v="9"/>
    <n v="2023"/>
    <s v="baru"/>
    <s v="20118/SPP/008/PUSAT/ICON+/2022"/>
    <n v="4500019264"/>
    <s v="Fajar Paramita"/>
    <m/>
    <m/>
    <m/>
    <m/>
    <m/>
    <m/>
    <m/>
    <s v="F379"/>
    <m/>
    <m/>
    <m/>
    <s v="-"/>
  </r>
  <r>
    <n v="1138"/>
    <s v="Jakarta Industrial Estate Pulogadung (Persero) (JIEP) "/>
    <s v="PT Astra International"/>
    <s v="Jl. Pulokambing No. 1 Lahan Industri Pulogadung Jakarta Timur 13290"/>
    <x v="0"/>
    <s v="-"/>
    <s v="Jl. Pulo lentut No. 09 Pulogadung Lahan Industri Pulo gadung Jakarta Timur"/>
    <s v="Sewa Tahunan"/>
    <s v="Colocation"/>
    <s v="ICON-00/ACT/1202/0051"/>
    <m/>
    <m/>
    <m/>
    <m/>
    <m/>
    <n v="15600000"/>
    <m/>
    <m/>
    <n v="17582221"/>
    <m/>
    <d v="2022-10-19T00:00:00"/>
    <d v="2023-10-18T00:00:00"/>
    <x v="2"/>
    <m/>
    <d v="2025-12-24T00:00:00"/>
    <n v="-798"/>
    <n v="10"/>
    <n v="2023"/>
    <s v="baru"/>
    <s v="20209/SPP/008/PUSAT/ICON+/2022"/>
    <n v="4500019280"/>
    <s v="Fajar Paramita"/>
    <m/>
    <m/>
    <m/>
    <m/>
    <m/>
    <m/>
    <m/>
    <s v="F393"/>
    <m/>
    <m/>
    <m/>
    <s v="-"/>
  </r>
  <r>
    <n v="1139"/>
    <s v="Jakarta Industrial Estate Pulogadung (Persero) (JIEP) "/>
    <s v="PT Royal Sultan Agung"/>
    <s v="Jl. Pulokambing No. 1 Lahan Industri Pulogadung Jakarta Timur 13290"/>
    <x v="0"/>
    <s v="-"/>
    <s v="Jl. Rawa Gelam IV KIP Jatinegara, Cakung, Jakarta Timur"/>
    <s v="Sewa Tahunan"/>
    <s v="Colocation"/>
    <s v="PA/UPG/2209/0055"/>
    <m/>
    <m/>
    <m/>
    <m/>
    <m/>
    <n v="66000000"/>
    <m/>
    <m/>
    <n v="543780"/>
    <m/>
    <d v="2024-02-19T00:00:00"/>
    <d v="2025-02-18T00:00:00"/>
    <x v="0"/>
    <m/>
    <d v="2025-12-24T00:00:00"/>
    <n v="-309"/>
    <n v="2"/>
    <n v="2025"/>
    <s v="20114/SPP/008/PUSAT/ICON+/2022 | 4500019262 | 21812 | 4500021239"/>
    <n v="2469"/>
    <n v="4500022251"/>
    <s v="Fajar Paramita"/>
    <m/>
    <m/>
    <m/>
    <m/>
    <m/>
    <m/>
    <m/>
    <s v="F378"/>
    <s v="G416"/>
    <s v="H8"/>
    <m/>
    <s v="-"/>
  </r>
  <r>
    <n v="1140"/>
    <s v="Jakarta Industrial Estate Pulogadung (Persero) (JIEP) "/>
    <s v="PT. KABELINDO MURNI TBK"/>
    <s v="Jl. Pulokambing No. 1 Lahan Industri Pulogadung Jakarta Timur 13291"/>
    <x v="0"/>
    <s v="-"/>
    <s v="Jl. Rawagirang no 2 Lahan industri pulogadung zip 13930, CAKUNG, Jakarta Timur, DKI Jakarta, Indonesia, 13930"/>
    <s v="Sewa Tahunan"/>
    <s v="Colocation"/>
    <s v="PA/ACT/2201/0883"/>
    <m/>
    <m/>
    <m/>
    <m/>
    <m/>
    <n v="138000000"/>
    <m/>
    <m/>
    <n v="13594500"/>
    <m/>
    <d v="2023-02-23T00:00:00"/>
    <d v="2024-02-22T00:00:00"/>
    <x v="0"/>
    <m/>
    <d v="2025-12-24T00:00:00"/>
    <n v="-671"/>
    <n v="2"/>
    <n v="2024"/>
    <s v="18026/SPP/008/PUSAT/ICON+/2022 | 4500017659"/>
    <s v="21340/SPP/008/PUSAT/ICON+/2023"/>
    <n v="4500020162"/>
    <s v="Fajar Paramita"/>
    <s v="Ade"/>
    <s v="021-4600306"/>
    <m/>
    <m/>
    <m/>
    <m/>
    <m/>
    <s v="F49"/>
    <s v="G102"/>
    <m/>
    <m/>
    <s v="-"/>
  </r>
  <r>
    <n v="1141"/>
    <s v="Jakarta Industrial Estate Pulogadung (Persero) (JIEP) "/>
    <s v="PT. KABELINDO MURNI TBK"/>
    <s v="Jl. Pulokambing No. 1 Lahan Industri Pulogadung Jakarta Timur 13291"/>
    <x v="0"/>
    <m/>
    <s v="Jl. Rawagirang no 2 Lahan industri pulogadung zip 13930, CAKUNG, Jakarta Timur, DKI Jakarta, Indonesia, 13930"/>
    <s v="Sewa Tahunan"/>
    <s v="Colocation"/>
    <s v="PA/ACT/2201/0883"/>
    <m/>
    <m/>
    <m/>
    <m/>
    <m/>
    <n v="144000000"/>
    <m/>
    <m/>
    <n v="13594500"/>
    <m/>
    <d v="2024-02-23T00:00:00"/>
    <d v="2025-02-22T00:00:00"/>
    <x v="0"/>
    <m/>
    <d v="2025-12-24T00:00:00"/>
    <n v="-305"/>
    <n v="2"/>
    <n v="2025"/>
    <m/>
    <s v="3862/SPP/SBU/PLNICONPLUS/2024"/>
    <n v="4500023103"/>
    <s v="Livia Indraswati"/>
    <m/>
    <m/>
    <m/>
    <m/>
    <m/>
    <m/>
    <m/>
    <m/>
    <m/>
    <s v="H262"/>
    <m/>
    <m/>
  </r>
  <r>
    <n v="1142"/>
    <s v="Jakarta Industrial Estate Pulogadung (Persero) (JIEP) "/>
    <s v="PT Kimia Farma"/>
    <s v="Jl. Pulokambing No. 1 Lahan Industri Pulogadung Jakarta Timur 13290"/>
    <x v="0"/>
    <s v="-"/>
    <s v="Lahan Industri Pulo Gadung Blok N6-11, Jalan Rawa Gelam 5 No. 1, RW.9, Jatinegara, Cakung, Kota Jakarta Timur, Daerah Khusus Ibukota Jakarta,  Pulo Gadung,  Kota Administrasi Jakarta Timur,  .Banten - salah,  Indonesia,  13920"/>
    <s v="Sewa Tahunan"/>
    <s v="Colocation"/>
    <s v="PA/RLK/2103/0017"/>
    <m/>
    <m/>
    <m/>
    <m/>
    <m/>
    <n v="90000000"/>
    <m/>
    <m/>
    <n v="31176720"/>
    <m/>
    <d v="2023-06-19T00:00:00"/>
    <d v="2024-06-18T00:00:00"/>
    <x v="0"/>
    <m/>
    <d v="2025-12-24T00:00:00"/>
    <n v="-554"/>
    <n v="6"/>
    <n v="2024"/>
    <s v="20137 | 4500019266"/>
    <s v="730/SPP/SBU/ICON+/2023"/>
    <n v="4500021826"/>
    <s v="Livia Indraswati"/>
    <m/>
    <m/>
    <m/>
    <m/>
    <m/>
    <m/>
    <m/>
    <s v="F381"/>
    <s v="G115"/>
    <m/>
    <m/>
    <s v="-"/>
  </r>
  <r>
    <n v="1143"/>
    <s v="Jakarta Industrial Estate Pulogadung (Persero) (JIEP) "/>
    <s v="PT Kimia Farma"/>
    <s v="Jl. Pulokambing No. 1 Lahan Industri Pulogadung Jakarta Timur 13290"/>
    <x v="0"/>
    <m/>
    <s v="Lahan Industri Pulo Gadung Blok N6-11, Jalan Rawa Gelam 5 No. 1, RW.9, Jatinegara, Cakung, Kota Jakarta Timur, Daerah Khusus Ibukota Jakarta,  Pulo Gadung,  Kota Administrasi Jakarta Timur,  .Banten - salah,  Indonesia,  13920"/>
    <s v="Sewa Tahunan"/>
    <s v="Colocation"/>
    <s v="PA/RLK/2103/0017"/>
    <m/>
    <m/>
    <m/>
    <m/>
    <m/>
    <n v="90000000"/>
    <m/>
    <m/>
    <n v="31176720"/>
    <m/>
    <d v="2024-06-19T00:00:00"/>
    <d v="2025-06-18T00:00:00"/>
    <x v="0"/>
    <m/>
    <d v="2025-12-24T00:00:00"/>
    <n v="-189"/>
    <n v="6"/>
    <n v="2025"/>
    <m/>
    <s v="3752/SPP/SBU/PLNICONPLUS/2024"/>
    <n v="4500022994"/>
    <s v="Livia Indraswati"/>
    <m/>
    <m/>
    <m/>
    <m/>
    <m/>
    <m/>
    <m/>
    <m/>
    <m/>
    <s v="H205"/>
    <m/>
    <m/>
  </r>
  <r>
    <n v="1144"/>
    <s v="Jakarta Industrial Estate Pulogadung (Persero) (JIEP) "/>
    <s v="PT SOLO MURNI"/>
    <s v="Jl. Pulokambing No. 1 Lahan Industri Pulogadung Jakarta Timur 13291"/>
    <x v="0"/>
    <s v="-"/>
    <s v="Lahan Industri Pulogadung Blok III.BB.17B, Jl. Rw. Sumur I, RT.2/RW.9, Jatinegara"/>
    <s v="Sewa Tahunan"/>
    <s v="Colocation"/>
    <s v="PA/ACT/2201/0586"/>
    <m/>
    <m/>
    <m/>
    <m/>
    <m/>
    <n v="15552000"/>
    <m/>
    <m/>
    <n v="163949677"/>
    <m/>
    <d v="2023-05-23T00:00:00"/>
    <d v="2024-05-22T00:00:00"/>
    <x v="2"/>
    <m/>
    <d v="2025-12-24T00:00:00"/>
    <n v="-581"/>
    <n v="5"/>
    <n v="2024"/>
    <s v="18634 | 4500018066"/>
    <n v="731"/>
    <n v="4500022187"/>
    <s v="Fajar Paramita"/>
    <m/>
    <m/>
    <m/>
    <m/>
    <m/>
    <m/>
    <m/>
    <s v="F152"/>
    <s v="G112"/>
    <m/>
    <m/>
    <s v="-"/>
  </r>
  <r>
    <n v="1145"/>
    <s v="Jakarta Industrial Estate Pulogadung (Persero) (JIEP) "/>
    <s v="PT PLN (Persero) Unit Induk Distribusi Jakarta Raya"/>
    <s v="Jl. Pulokambing No. 1 Lahan Industri Pulogadung Jakarta Timur 13290"/>
    <x v="0"/>
    <s v="PLN DISJAYA_x000a_PLN DISJAYA"/>
    <s v="PG189 PULOGADUNG PT. ENSEVAL PUTRA M / JL. PULO LENTUT,  pulo entut,  Kota Administrasi Jakarta Timur,  .Banten - salah,  Indonesia,"/>
    <s v="Sewa Tahunan"/>
    <s v="Colocation"/>
    <s v="PA/ACT/1712/0247"/>
    <m/>
    <m/>
    <m/>
    <m/>
    <m/>
    <n v="20300400"/>
    <m/>
    <m/>
    <n v="14228916"/>
    <m/>
    <d v="2023-04-06T00:00:00"/>
    <d v="2024-04-05T00:00:00"/>
    <x v="0"/>
    <m/>
    <d v="2025-12-24T00:00:00"/>
    <n v="-628"/>
    <n v="4"/>
    <n v="2024"/>
    <s v="20168 | 4500019275"/>
    <n v="2341"/>
    <n v="4500022186"/>
    <s v="Fajar Paramita"/>
    <m/>
    <m/>
    <m/>
    <m/>
    <m/>
    <m/>
    <m/>
    <s v="F390"/>
    <s v="G114"/>
    <m/>
    <m/>
    <s v="-"/>
  </r>
  <r>
    <n v="1146"/>
    <s v="Jakarta Industrial Estate Pulogadung (Persero) (JIEP) "/>
    <s v="PT  Sarana Steel "/>
    <s v="Jl. Pulokambing No. 1 Lahan Industri Pulogadung Jakarta Timur 13290"/>
    <x v="0"/>
    <s v="PLN DISJAYA, PLN DISJAYA, Kota Administrasi Jakarta utara, DKI Jakarta, Indonesia, 11410"/>
    <s v="PG257 PULOGADUNG PT. SARANA STEEL CORP / JL. RW BULAK II,RW BULAK ,Kota Administrasi Jakarta Timur ,DKI Jakarta ,Indonesia ,- "/>
    <s v="Sewa Tahunan"/>
    <s v="Colocation"/>
    <s v="PA/ACT/1801/1972"/>
    <m/>
    <m/>
    <m/>
    <m/>
    <m/>
    <n v="20300400"/>
    <m/>
    <m/>
    <n v="543780"/>
    <m/>
    <d v="2022-06-05T00:00:00"/>
    <d v="2023-06-04T00:00:00"/>
    <x v="0"/>
    <m/>
    <d v="2025-12-24T00:00:00"/>
    <n v="-934"/>
    <n v="6"/>
    <n v="2023"/>
    <s v="20178 | 4500019274"/>
    <n v="2342"/>
    <n v="4500022188"/>
    <s v="Fajar Paramita"/>
    <m/>
    <m/>
    <m/>
    <m/>
    <m/>
    <m/>
    <m/>
    <s v="F389"/>
    <s v="G117"/>
    <m/>
    <m/>
    <s v="-"/>
  </r>
  <r>
    <n v="1147"/>
    <s v="Jakarta Industrial Estate Pulogadung (Persero) (JIEP) "/>
    <s v="PT Iforte Solusi Infotek QQ PT Herlina Indah"/>
    <s v="Jl. Pulokambing No. 1 Lahan Industri Pulogadung Jakarta Timur 13290"/>
    <x v="0"/>
    <s v="IFORTE IDC DUREN 3"/>
    <s v="PT Herlina Indah, Lahan Industri Pulogadung Blok DD 14,16 Jl. Rawa Sumur Jakarta Timur,  Pulogadung,  Jakarta Timur,  DKI Jakarta,  Indonesia,  -"/>
    <s v="Sewa Tahunan"/>
    <s v="Colocation"/>
    <s v="PA/UPG/2011/0101"/>
    <m/>
    <m/>
    <m/>
    <m/>
    <m/>
    <n v="441600000"/>
    <m/>
    <m/>
    <n v="48668317"/>
    <m/>
    <d v="2023-11-16T00:00:00"/>
    <d v="2024-11-15T00:00:00"/>
    <x v="0"/>
    <m/>
    <d v="2025-12-24T00:00:00"/>
    <n v="-404"/>
    <n v="11"/>
    <n v="2024"/>
    <s v="20150/SPP/008/PUSAT/ICON+/2022 | 4500019268"/>
    <s v="2082/SPP/SBU/ICON+/2023"/>
    <n v="4500021728"/>
    <s v="Livia Indraswati"/>
    <m/>
    <m/>
    <m/>
    <m/>
    <m/>
    <m/>
    <m/>
    <s v="F383"/>
    <s v="G339"/>
    <m/>
    <m/>
    <s v="-"/>
  </r>
  <r>
    <n v="1148"/>
    <s v="Jakarta Industrial Estate Pulogadung (Persero) (JIEP) "/>
    <s v="PT Iforte Solusi Infotek QQ PT Herlina Indah"/>
    <s v="Jl. Pulokambing No. 1 Lahan Industri Pulogadung Jakarta Timur 13290"/>
    <x v="0"/>
    <s v="IFORTE IDC DUREN 3"/>
    <s v="PT Herlina Indah, Lahan Industri Pulogadung Blok DD 14,16 Jl. Rawa Sumur Jakarta Timur,  Pulogadung,  Jakarta Timur,  DKI Jakarta,  Indonesia,  -"/>
    <s v="Sewa Tahunan"/>
    <s v="Colocation"/>
    <s v="PA/UPG/2011/0101"/>
    <m/>
    <m/>
    <m/>
    <m/>
    <m/>
    <n v="273600000"/>
    <m/>
    <m/>
    <n v="48668315"/>
    <m/>
    <d v="2024-11-16T00:00:00"/>
    <d v="2025-11-15T00:00:00"/>
    <x v="0"/>
    <m/>
    <d v="2025-12-24T00:00:00"/>
    <n v="-39"/>
    <n v="11"/>
    <n v="2025"/>
    <m/>
    <s v="3758/SPP/SBU/PLNICONPLUS/2024"/>
    <n v="4500022991"/>
    <s v="Livia Indraswati"/>
    <m/>
    <m/>
    <m/>
    <m/>
    <m/>
    <m/>
    <m/>
    <m/>
    <m/>
    <s v="H202"/>
    <m/>
    <m/>
  </r>
  <r>
    <n v="1149"/>
    <s v="Jakarta Industrial Estate Pulogadung (Persero) (JIEP) "/>
    <s v="PT Iforte Solusi Infotek QQ PT Wahana Citra Nabati"/>
    <s v="Jl. Pulokambing No. 1 Lahan Industri Pulogadung Jakarta Timur 13290"/>
    <x v="0"/>
    <s v="IFORTE IDC DUREN 3,  -,  Jakarta Selatan,  DKI Jakarta,  Indonesia,  -"/>
    <s v="PT WAHANA CITRA NABATI, Jl. Rawa Sumur 1 Blok EE NO.5 Lahan Industri Pulogadung Jaktim,  -,  -,  -,  Indonesia,  -"/>
    <s v="Sewa Tahunan"/>
    <s v="Colocation"/>
    <s v="PA/UPG/2008/0151/TER"/>
    <m/>
    <m/>
    <m/>
    <m/>
    <m/>
    <n v="109200000"/>
    <m/>
    <m/>
    <n v="24107581"/>
    <m/>
    <d v="2023-10-16T00:00:00"/>
    <d v="2024-10-15T00:00:00"/>
    <x v="0"/>
    <m/>
    <d v="2025-12-24T00:00:00"/>
    <n v="-435"/>
    <n v="10"/>
    <n v="2024"/>
    <s v="20136/SPP/008/PUSAT/ICON+/2022 | 4500019265"/>
    <s v="2083/SPP/SBU/ICON+/2023"/>
    <n v="4500021729"/>
    <s v="Livia Indraswati"/>
    <m/>
    <m/>
    <m/>
    <m/>
    <m/>
    <m/>
    <m/>
    <s v="F380"/>
    <s v="G338"/>
    <m/>
    <m/>
    <s v="-"/>
  </r>
  <r>
    <n v="1150"/>
    <s v="Jakarta Industrial Estate Pulogadung (Persero) (JIEP) "/>
    <s v="PT Iforte Solusi Infotek QQ PT Wahana Citra Nabati"/>
    <s v="Jl. Pulokambing No. 1 Lahan Industri Pulogadung Jakarta Timur 13290"/>
    <x v="0"/>
    <s v="IFORTE IDC DUREN 3,  -,  Jakarta Selatan,  DKI Jakarta,  Indonesia,  -"/>
    <s v="PT WAHANA CITRA NABATI, Jl. Rawa Sumur 1 Blok EE NO.5 Lahan Industri Pulogadung Jaktim,  -,  -,  -,  Indonesia,  -"/>
    <s v="Sewa Tahunan"/>
    <s v="Colocation"/>
    <s v="PA/UPG/2008/0151/TER"/>
    <m/>
    <m/>
    <m/>
    <m/>
    <m/>
    <n v="99590400"/>
    <m/>
    <m/>
    <n v="24107581"/>
    <m/>
    <d v="2024-10-16T00:00:00"/>
    <d v="2025-10-15T00:00:00"/>
    <x v="0"/>
    <m/>
    <d v="2025-12-24T00:00:00"/>
    <n v="-70"/>
    <n v="10"/>
    <n v="2025"/>
    <m/>
    <s v="3761/SPP/SBU/PLNICONPLUS/2024"/>
    <n v="4500022993"/>
    <s v="Livia Indraswati"/>
    <m/>
    <m/>
    <m/>
    <m/>
    <m/>
    <m/>
    <m/>
    <m/>
    <m/>
    <s v="H204"/>
    <m/>
    <m/>
  </r>
  <r>
    <n v="1151"/>
    <s v="Jakarta Industrial Estate Pulogadung (Persero) (JIEP) "/>
    <s v="PT Astra Agro Lestari"/>
    <s v="Jl. Pulokambing No. 1 Lahan Industri Pulogadung Jakarta Timur 13290"/>
    <x v="0"/>
    <s v="-"/>
    <s v="PT. Astra Agro Lestari, Lahan Industri Pulogadung Blok OR 1-2 Pulo Ayang Raya Cakung RW. 9, Rawa Terate,  Cakung,  Jakarta Timur,  DKI Jakarta,  Indonesia,  "/>
    <s v="Sewa Tahunan"/>
    <s v="Colocation"/>
    <s v="PA/ACT/1809/1510"/>
    <m/>
    <m/>
    <m/>
    <m/>
    <m/>
    <n v="42750000"/>
    <m/>
    <m/>
    <n v="23926320"/>
    <m/>
    <d v="2023-09-26T00:00:00"/>
    <d v="2024-09-25T00:00:00"/>
    <x v="0"/>
    <m/>
    <d v="2025-12-24T00:00:00"/>
    <n v="-455"/>
    <n v="9"/>
    <n v="2024"/>
    <s v="20117 | 4500019260"/>
    <n v="2347"/>
    <n v="4500022324"/>
    <s v="Fajar Paramita"/>
    <m/>
    <m/>
    <m/>
    <m/>
    <m/>
    <m/>
    <m/>
    <s v="F376"/>
    <s v="G113"/>
    <m/>
    <m/>
    <s v="-"/>
  </r>
  <r>
    <n v="1152"/>
    <s v="Jakarta Industrial Estate Pulogadung (Persero) (JIEP) "/>
    <s v="PT Nutrifood Indonesia"/>
    <s v="Jl. Pulokambing No. 1 Lahan Industri Pulogadung Jakarta Timur 13290"/>
    <x v="0"/>
    <s v="-"/>
    <s v="PT. Nutrifood Indonesia, Jl. Rawabali II No.3, JIEP Pulogadung,- ,- ,- ,Indonesia "/>
    <s v="Sewa Tahunan"/>
    <s v="Colocation"/>
    <s v="PA/UPG/1909/0105"/>
    <m/>
    <m/>
    <m/>
    <m/>
    <m/>
    <n v="168000000"/>
    <m/>
    <m/>
    <n v="61628400"/>
    <m/>
    <d v="2023-03-13T00:00:00"/>
    <d v="2024-03-12T00:00:00"/>
    <x v="0"/>
    <m/>
    <d v="2025-12-24T00:00:00"/>
    <n v="-652"/>
    <n v="3"/>
    <n v="2024"/>
    <s v="20162/SPP/008/PUSAT/ICON+/2022 | 4500019270"/>
    <s v="21810/SPP/008/PUSAT/ICON+/2023"/>
    <n v="4500021242"/>
    <s v="Fajar Paramita"/>
    <m/>
    <m/>
    <m/>
    <m/>
    <m/>
    <m/>
    <m/>
    <s v="F385"/>
    <s v="G421"/>
    <m/>
    <m/>
    <s v="-"/>
  </r>
  <r>
    <n v="1153"/>
    <s v="Jakarta Industrial Estate Pulogadung (Persero) (JIEP) "/>
    <s v="PT Iforte Solusi Infotek qq PT Pionir Beton"/>
    <s v="Jl. Pulokambing No. 1 Lahan Industri Pulogadung Jakarta Timur 13290"/>
    <x v="0"/>
    <s v="-"/>
    <s v="PT. Pionir Beton - Jl. Rawa Sumur IV Blok BB No. 9A-9B, Lahan Industri Pulogadung, Jakarta Timur,  -,  -,  -,  Indonesia,  -"/>
    <s v="Sewa Tahunan"/>
    <s v="Colocation"/>
    <s v="PA/UPG/2101/0166/TER"/>
    <m/>
    <m/>
    <m/>
    <m/>
    <m/>
    <n v="99000000"/>
    <m/>
    <m/>
    <n v="37702080"/>
    <m/>
    <d v="2023-11-23T00:00:00"/>
    <d v="2024-11-22T00:00:00"/>
    <x v="0"/>
    <m/>
    <d v="2025-12-24T00:00:00"/>
    <n v="-397"/>
    <n v="11"/>
    <n v="2024"/>
    <s v="20165/SPP/008/PUSAT/ICON+/2022 | 4500019281"/>
    <s v="2084/SPP/SBU/ICON+/2023"/>
    <n v="4500021730"/>
    <s v="Livia Indraswati"/>
    <m/>
    <m/>
    <m/>
    <m/>
    <m/>
    <m/>
    <m/>
    <s v="F392"/>
    <s v="G344"/>
    <s v="H203"/>
    <m/>
    <s v="-"/>
  </r>
  <r>
    <n v="1154"/>
    <s v="Jakarta Industrial Estate Pulogadung (Persero) (JIEP) "/>
    <s v="PT Iforte Solusi Infotek qq PT Pionir Beton"/>
    <s v="Jl. Pulokambing No. 1 Lahan Industri Pulogadung Jakarta Timur 13290"/>
    <x v="0"/>
    <m/>
    <s v="PT. Pionir Beton - Jl. Rawa Sumur IV Blok BB No. 9A-9B, Lahan Industri Pulogadung, Jakarta Timur,  -,  -,  -,  Indonesia,  -"/>
    <s v="Sewa Tahunan"/>
    <s v="Colocation"/>
    <s v="PA/UPG/2101/0166/TER"/>
    <m/>
    <m/>
    <m/>
    <m/>
    <m/>
    <n v="109440000"/>
    <m/>
    <m/>
    <n v="37702080"/>
    <m/>
    <d v="2024-11-23T00:00:00"/>
    <d v="2025-11-22T00:00:00"/>
    <x v="2"/>
    <m/>
    <d v="2025-12-24T00:00:00"/>
    <n v="-32"/>
    <n v="11"/>
    <n v="2025"/>
    <m/>
    <s v="3759/SPP/SBU/PLNICONPLUS/2024"/>
    <n v="4500022992"/>
    <s v="Livia Indraswati"/>
    <m/>
    <m/>
    <m/>
    <m/>
    <m/>
    <m/>
    <m/>
    <m/>
    <m/>
    <s v="H203"/>
    <m/>
    <m/>
  </r>
  <r>
    <n v="1155"/>
    <s v="Jakarta Industrial Estate Pulogadung (Persero) (JIEP) "/>
    <s v="PT Nettocyber Indonesia QQ PT Swakarsa Sinar Sentosa"/>
    <s v="Jl. Pulokambing No. 1 Lahan Industri Pulogadung Jakarta Timur 13290"/>
    <x v="0"/>
    <s v="Menara Rajawali Lahan Mega Kuningan lt.10 lot 5.1 jakarta,  -,  -,  -,  Indonesia,  -"/>
    <s v="PT. Swakarsa Sinar Sentosa : Jl. Rawa Gelam 5. Gedung Graha Sapta Mulia lt. 3,  -,  -,  -,  Indonesia,  -"/>
    <s v="Sewa Tahunan"/>
    <s v="Colocation"/>
    <s v="PA/UPG/2104/0186"/>
    <m/>
    <m/>
    <m/>
    <m/>
    <m/>
    <n v="27500000"/>
    <m/>
    <m/>
    <n v="68516280"/>
    <m/>
    <d v="2023-04-13T00:00:00"/>
    <d v="2024-04-12T00:00:00"/>
    <x v="0"/>
    <m/>
    <d v="2025-12-24T00:00:00"/>
    <n v="-621"/>
    <n v="4"/>
    <n v="2024"/>
    <s v="20149/SPP/008/PUSAT/ICON+/2022 | 4500019269"/>
    <s v="20149/SPP/008/PUSAT/ICON+/2022"/>
    <n v="4500021240"/>
    <s v="Fajar Paramita"/>
    <m/>
    <m/>
    <m/>
    <m/>
    <m/>
    <m/>
    <m/>
    <s v="F384"/>
    <s v="G417"/>
    <m/>
    <m/>
    <s v="-"/>
  </r>
  <r>
    <n v="1156"/>
    <s v="Jakarta Industrial Estate Pulogadung (Persero) (JIEP) "/>
    <s v="PT Aplikanusa Lintasarta qq PT Parit Padang Global"/>
    <s v="Jl. Pulokambing No. 1 Lahan Industri Pulogadung Jakarta Timur 13290"/>
    <x v="0"/>
    <s v="-"/>
    <s v="Soho Global Health (PT Parit Padang Global), Jl. Rawa Sumur II Kav. BB No.3, Lahan Industri Pulo Gadung, Jakarta 13930,  -,  -,  -,  Indonesia,  -"/>
    <s v="Sewa Tahunan"/>
    <s v="Colocation"/>
    <s v="PA/UPG/1806/0037/TER"/>
    <m/>
    <m/>
    <m/>
    <m/>
    <m/>
    <n v="150000000"/>
    <m/>
    <m/>
    <n v="13594501"/>
    <m/>
    <d v="2022-10-19T00:00:00"/>
    <d v="2023-10-18T00:00:00"/>
    <x v="2"/>
    <m/>
    <d v="2025-12-24T00:00:00"/>
    <n v="-798"/>
    <n v="10"/>
    <n v="2023"/>
    <s v="baru"/>
    <s v="20160/SPP/008/PUSAT/ICON+/2022"/>
    <n v="4500019272"/>
    <s v="Fajar Paramita"/>
    <m/>
    <m/>
    <m/>
    <m/>
    <m/>
    <m/>
    <m/>
    <s v="F387"/>
    <m/>
    <m/>
    <m/>
    <s v="-"/>
  </r>
  <r>
    <n v="1157"/>
    <s v="Jakarta Industrial Estate Pulogadung (Persero) (JIEP) "/>
    <s v="PT Pama Persada_x000a_PT Yapindo Transportama_x000a_PT Iforte Solusi Infotek qq PT Wahana Citra Nabati_x000a_PT Iforte Solusi Infotek QQ PT Herlina Indah_x000a_PT Nutrifood Indonesia_x000a_PT Indosat Tbk qq Tirta Investama_x000a_PT Aplikanusa Lintasarta qq PT Bank Cimb Niaga_x000a_PT PLN (Persero) Kantor Pusat_x000a_PT Iforte Solusi Infotek qq PT Pionir Beton_x000a_PT Bank Mandiri_x000a_"/>
    <s v="Jl. Pulokambing No. 1 Lahan Industri Pulogadung Jakarta Timur 13290"/>
    <x v="0"/>
    <s v="Lahan JIEP"/>
    <s v="Lahan JIEP"/>
    <s v="Sewa Tahunan"/>
    <s v="Colocation"/>
    <s v="PA/ACT/2202/2487_x000a_PA/UPG/1805/0261_x000a_PA/UPG/2008/0151_x000a_PA/UPG/2011/0101_x000a_PA/UPG/1909/0105_x000a_PA/UPG/2007/0067_x000a_PA/ACT/2203/1175_x000a_PA/UPG/2004/0101/TER_x000a_PA/ACT/2005/1817/TER_x000a_PA/UPG/2209/0077_x000a_ICON-00/SBC/1710/1084 - 0990000320515696_x000a_"/>
    <m/>
    <m/>
    <m/>
    <m/>
    <m/>
    <m/>
    <m/>
    <m/>
    <n v="267721020"/>
    <m/>
    <d v="2024-01-01T00:00:00"/>
    <d v="2024-12-31T00:00:00"/>
    <x v="0"/>
    <m/>
    <d v="2025-12-24T00:00:00"/>
    <n v="-358"/>
    <n v="12"/>
    <n v="2024"/>
    <s v="1214 | 4500021388"/>
    <n v="2468"/>
    <n v="4500022093"/>
    <s v="Fajar Paramita"/>
    <m/>
    <m/>
    <m/>
    <m/>
    <m/>
    <m/>
    <m/>
    <m/>
    <s v="G253"/>
    <s v="H41"/>
    <m/>
    <s v="PA Penutuan Temuan Kawasan JIEP"/>
  </r>
  <r>
    <n v="1158"/>
    <s v="Jakarta Infrastruktur Propertindo "/>
    <s v="PT. JALA LINTAS MEDIA_x000a_PT. PLN (PERSERO) KANTOR PUSAT_x000a_PT. HOME CENTER INDONESIA_x000a_"/>
    <s v="Gedung Thamrin City Lt.1 Jakarta 10230"/>
    <x v="0"/>
    <s v="-"/>
    <s v="USER SEPANJANG MAMPANG PRAPATAN"/>
    <s v="Sewa Tahunan"/>
    <s v="Colocation"/>
    <s v="_x000a_AL/2009/48404 / PA/ACT/1805/0724_x000a_0990000320374109 _x000a_0990000320375804_x000a_990000320354365_x000a_0990000320523705 _x000a_01000034064_x000a_01000052949 "/>
    <m/>
    <m/>
    <m/>
    <m/>
    <m/>
    <s v="="/>
    <m/>
    <m/>
    <n v="161626143"/>
    <m/>
    <d v="2023-04-12T00:00:00"/>
    <d v="2024-04-11T00:00:00"/>
    <x v="0"/>
    <m/>
    <d v="2025-12-24T00:00:00"/>
    <n v="-622"/>
    <n v="4"/>
    <n v="2024"/>
    <s v="20061/SPP/008/PUSAT/ICON+/2022 | 4500019039"/>
    <s v="98/SPP/SBU/ICON+/2023"/>
    <n v="4500020797"/>
    <s v="Fajar Paramita"/>
    <s v="Irfan"/>
    <s v="815-2587-5256"/>
    <m/>
    <m/>
    <m/>
    <m/>
    <m/>
    <s v="F350"/>
    <s v="G178"/>
    <m/>
    <m/>
    <s v="-"/>
  </r>
  <r>
    <n v="1159"/>
    <s v="Jakarta Infrastruktur Propertindo "/>
    <s v="PT Marunda Distribundo Raya_x000a_PT Trans Retail Indonesia_x000a_PT Asuransi Astra Buana_x000a_PT Hutchison 3 Indonesia_x000a_KEMENTERIAN ENERGI DAN SUMBER DAYA MINERAL"/>
    <s v="Gedung Thamrin City Lt.1 Jakarta 10230"/>
    <x v="0"/>
    <s v="H3I Menara Mulia Basement FL Menara Mulia, Jl. Jend. Gatot Subroto Kav. 9-11 Jakarta , -, Jakarta Selatan, DKI Jakarta, Indonesia, -"/>
    <s v="USER SEPANJANG TENDEAN"/>
    <s v="Sewa Tahunan"/>
    <s v="Colocation"/>
    <s v="PA/ACT/2103/2394_x000a_AL/2104/24052_x000a_PA/UPG/2006/0169_x000a_ICON-00/SBC/1610/0127_x000a_&quot;AL/2007/024908"/>
    <m/>
    <m/>
    <m/>
    <m/>
    <m/>
    <n v="141342240"/>
    <m/>
    <m/>
    <n v="69806190"/>
    <m/>
    <d v="2023-11-27T00:00:00"/>
    <d v="2024-11-26T00:00:00"/>
    <x v="0"/>
    <m/>
    <d v="2025-12-24T00:00:00"/>
    <n v="-393"/>
    <n v="11"/>
    <n v="2024"/>
    <s v="21883/SPP/008/PUSAT/ICON+/2023 | 4500020373"/>
    <s v="3213/SPP/SBU/PLNICONPLUS/2024"/>
    <n v="4500022866"/>
    <s v="Fajar Paramita"/>
    <s v="Irfan"/>
    <s v="815-2587-5256"/>
    <m/>
    <m/>
    <m/>
    <m/>
    <m/>
    <s v="G87"/>
    <s v="H180"/>
    <m/>
    <m/>
    <m/>
  </r>
  <r>
    <n v="1160"/>
    <s v="Jakarta Infrastruktur Propertindo "/>
    <s v="Parno Isworo_x000a_Amir Rosidin_x000a_Doddy Sukmajaya_x000a_Kartini Sally HB Joenoes_x000a_PT. PLN (PERSERO) KANTOR PUSAT_x000a_PT. CIMB NIAGA AUTO FINANCE"/>
    <s v="Gedung Thamrin City Lt.1 Jakarta 10230"/>
    <x v="0"/>
    <m/>
    <s v="sepanjang jalan cikajang"/>
    <s v="Sewa Tahunan"/>
    <s v="Colocation"/>
    <s v="SPA/ACT/2109/064460_x000a_SPA/ACT/2111/107746_x000a_SPA/ACT/2201/152793_x000a_SPA/ACT/2202/178953_x000a_PA/ACT/2102/2627_x000a_PA/ACT/2105/0325"/>
    <m/>
    <m/>
    <m/>
    <m/>
    <m/>
    <n v="223512000"/>
    <m/>
    <m/>
    <n v="9545016"/>
    <m/>
    <d v="2024-01-10T00:00:00"/>
    <d v="2025-01-09T00:00:00"/>
    <x v="1"/>
    <m/>
    <d v="2025-12-24T00:00:00"/>
    <n v="-349"/>
    <n v="1"/>
    <n v="2025"/>
    <s v="825/SPP/SBU/ICON+/2023 | 4500021008"/>
    <s v="2480/SPP/SBU/ICON+/2024"/>
    <n v="4500022946"/>
    <s v="Fajar Paramita"/>
    <s v="Irfan"/>
    <s v="815-2587-5256"/>
    <m/>
    <m/>
    <m/>
    <m/>
    <m/>
    <m/>
    <s v="G175"/>
    <s v="H206"/>
    <m/>
    <m/>
  </r>
  <r>
    <n v="1161"/>
    <s v="Jakarta Infrastruktur Propertindo "/>
    <s v="PT Lucky Strategis_x000a_PT Sumber Alfaria Trijaya Tbk_x000a_PT Prodia Widyahusada_x000a_PT Prodia Widyahusada_x000a_Kementerian Energi dan Sumber Daya Mineral_x000a_PT Jala Lintas Media_x000a_PT Tele Globe Global qq ATM Mu Gung Hwa Supermarket_x000a_PT Astra International Tbk_x000a_PT Bank Mandiri (Persero) Tbk_x000a_BUT. Sarulla Operations Ltd_x000a_PT Bank Mandiri (Persero) Tbk_x000a_PT PLN (Persero) Kantor Pusat_x000a_PT. PLN (PERSERO) KANTOR PUSAT_x000a_PT PLN (Persero) Kantor Pusat_x000a_PT PLN (Persero) Kantor Pusat_x000a_PT. ORBIT TERMINAL MERAK_x000a_PT. PLN (PERSERO) KANTOR PUSAT_x000a_KEMENTERIAN PEKERJAAN UMUM DAN PERUMAHAN RAKYAT DIREKTORAT JENDRAL_x000a_PT PLN (Persero) Kantor Pusat_x000a_PT Indonesia Comnets Plus_x000a_PT Indonesia Comnets Plus_x000a_PT. CYBER NETWORK INDONESIA qq Bareskrim Polri_x000a_PEMERINTAH PROVINSI DKI JAKARTA_x000a_PT Aplikanusa Lintasarta qq Korlantas Polri_x000a_Abdul Ghofur "/>
    <s v="Gedung Thamrin City Lt.1 Jakarta 10230"/>
    <x v="0"/>
    <m/>
    <s v="sepanjang jalan gunawarman"/>
    <s v="Sewa Tahunan"/>
    <s v="Colocation"/>
    <s v="PA/UPG/1805/0139_x000a_PA/UPG/1812/0208/TER_x000a_PA/UPG/2106/0218/TER_x000a_PA/UPG/2201/0518/TER_x000a_PA/ACT/2003/1278/TER_x000a_PA/UPG/2102/0554/TER_x000a_PA/ACT/2208/0577/TER_x000a_PA/ACT/2005/1005/TER_x000a_PA/UPG/1909/0085/TER_x000a_PA/DOW/2305/0003/ORI_x000a_AL/2205/81855_x000a_AL/2102/7935_x000a_AL/2102/9240_x000a_PA/ACT/2004/2366_x000a_PA/ACT/2004/2255_x000a_ICON-00/SBC/1810/0080_x000a_PA/ACT/2004/2253_x000a_AL/2201/2929_x000a_PA/ACT/1907/2021_x000a_PA/ACT/1909/0904_x000a_AL/2007/024868_x000a_PA/ACT/2011/0790_x000a_PA/ACT/2006/0082/TER_x000a_AL/2210/326231_x000a_SAL/2007/025595"/>
    <m/>
    <m/>
    <m/>
    <m/>
    <m/>
    <n v="1116598920"/>
    <m/>
    <m/>
    <n v="15141000"/>
    <m/>
    <d v="2024-01-10T00:00:00"/>
    <d v="2025-01-09T00:00:00"/>
    <x v="1"/>
    <m/>
    <d v="2025-12-24T00:00:00"/>
    <n v="-349"/>
    <n v="1"/>
    <n v="2025"/>
    <s v="705/SPP/SBU/ICON+/2023 | 4500021009"/>
    <s v="2480/SPP/SBU/ICON+/2024"/>
    <n v="4500022946"/>
    <s v="Fajar Paramita"/>
    <s v="irfan"/>
    <s v="815-2587-5256"/>
    <m/>
    <m/>
    <m/>
    <m/>
    <m/>
    <m/>
    <s v="G124"/>
    <s v="H206"/>
    <m/>
    <m/>
  </r>
  <r>
    <n v="1162"/>
    <s v="Jakarta Infrastruktur Propertindo "/>
    <s v="PT Lucky Strategis_x000a_PT Sumber Alfaria Trijaya Tbk_x000a_PT Prodia Widyahusada_x000a_PT Prodia Widyahusada_x000a_Kementerian Energi dan Sumber Daya Mineral_x000a_PT Jala Lintas Media_x000a_PT Tele Globe Global qq ATM Mu Gung Hwa Supermarket_x000a_PT Astra International Tbk_x000a_PT Bank Mandiri (Persero) Tbk_x000a_BUT. Sarulla Operations Ltd_x000a_PT Bank Mandiri (Persero) Tbk_x000a_PT PLN (Persero) Kantor Pusat_x000a_PT. PLN (PERSERO) KANTOR PUSAT_x000a_PT PLN (Persero) Kantor Pusat_x000a_PT PLN (Persero) Kantor Pusat_x000a_PT. ORBIT TERMINAL MERAK_x000a_PT. PLN (PERSERO) KANTOR PUSAT_x000a_KEMENTERIAN PEKERJAAN UMUM DAN PERUMAHAN RAKYAT DIREKTORAT JENDRAL_x000a_PT PLN (Persero) Kantor Pusat_x000a_PT Indonesia Comnets Plus_x000a_PT Indonesia Comnets Plus_x000a_PT. CYBER NETWORK INDONESIA qq Bareskrim Polri_x000a_PEMERINTAH PROVINSI DKI JAKARTA_x000a_PT Aplikanusa Lintasarta qq Korlantas Polri_x000a_Abdul Ghofur "/>
    <s v="Gedung Thamrin City Lt.1 Jakarta 10230"/>
    <x v="0"/>
    <m/>
    <s v="sepanjang jalan suryo"/>
    <s v="Sewa Tahunan"/>
    <s v="Colocation"/>
    <s v="PA/UPG/1805/0139_x000a_PA/UPG/1812/0208/TER_x000a_PA/UPG/2106/0218/TER_x000a_PA/UPG/2201/0518/TER_x000a_PA/ACT/2003/1278/TER_x000a_PA/UPG/2102/0554/TER_x000a_PA/ACT/2208/0577/TER_x000a_PA/ACT/2005/1005/TER_x000a_PA/UPG/1909/0085/TER_x000a_PA/DOW/2305/0003/ORI_x000a_AL/2205/81855_x000a_AL/2102/7935_x000a_AL/2102/9240_x000a_PA/ACT/2004/2366_x000a_PA/ACT/2004/2255_x000a_ICON-00/SBC/1810/0080_x000a_PA/ACT/2004/2253_x000a_AL/2201/2929_x000a_PA/ACT/1907/2021_x000a_PA/ACT/1909/0904_x000a_AL/2007/024868_x000a_PA/ACT/2011/0790_x000a_PA/ACT/2006/0082/TER_x000a_AL/2210/326231_x000a_SAL/2007/025595"/>
    <m/>
    <m/>
    <m/>
    <m/>
    <m/>
    <n v="1116598920"/>
    <m/>
    <m/>
    <n v="21901920"/>
    <m/>
    <d v="2024-01-10T00:00:00"/>
    <d v="2025-01-09T00:00:00"/>
    <x v="1"/>
    <m/>
    <d v="2025-12-24T00:00:00"/>
    <n v="-349"/>
    <n v="1"/>
    <n v="2025"/>
    <s v="706/SPP/SBU/ICON+/2023 | 4500021010"/>
    <s v="2480/SPP/SBU/ICON+/2024"/>
    <n v="4500022946"/>
    <s v="Fajar Paramita"/>
    <s v="Irfan"/>
    <s v="815-2587-5256"/>
    <m/>
    <m/>
    <m/>
    <m/>
    <m/>
    <m/>
    <s v="G125"/>
    <s v="H206"/>
    <m/>
    <m/>
  </r>
  <r>
    <n v="1163"/>
    <s v="Jakarta Infrastruktur Propertindo "/>
    <s v="Parno Isworo_x000a_Amir Rosidin_x000a_Doddy Sukmajaya_x000a_Kartini Sally HB Joenoes_x000a_PT. PLN (PERSERO) KANTOR PUSAT_x000a_PT. CIMB NIAGA AUTO FINANCE"/>
    <s v="Gedung Thamrin City Lt.1 Jakarta 10230"/>
    <x v="0"/>
    <m/>
    <s v="sepanjang jalan monginsidi"/>
    <s v="Sewa Tahunan"/>
    <s v="Colocation"/>
    <s v="SPA/ACT/2109/064460_x000a_SPA/ACT/2111/107746_x000a_SPA/ACT/2201/152793_x000a_SPA/ACT/2202/178953_x000a_PA/ACT/2102/2627_x000a_PA/ACT/2105/0325"/>
    <m/>
    <m/>
    <m/>
    <m/>
    <m/>
    <m/>
    <m/>
    <m/>
    <n v="48568620"/>
    <m/>
    <d v="2024-01-10T00:00:00"/>
    <d v="2025-01-09T00:00:00"/>
    <x v="1"/>
    <m/>
    <d v="2025-12-24T00:00:00"/>
    <n v="-349"/>
    <n v="1"/>
    <n v="2025"/>
    <s v="890/SPP/SBU/ICON+/2023 | 4500021014"/>
    <s v="2480/SPP/SBU/ICON+/2024"/>
    <n v="4500022946"/>
    <s v="Fajar Paramita"/>
    <s v="Irfan"/>
    <s v="815-2587-5256"/>
    <m/>
    <m/>
    <m/>
    <m/>
    <m/>
    <m/>
    <s v="G148"/>
    <s v="H206"/>
    <m/>
    <m/>
  </r>
  <r>
    <n v="1164"/>
    <s v="Jakarta Infrastruktur Propertindo "/>
    <s v="PT Lucky Strategis_x000a_PT Sumber Alfaria Trijaya Tbk_x000a_PT Prodia Widyahusada_x000a_PT Prodia Widyahusada_x000a_Kementerian Energi dan Sumber Daya Mineral_x000a_PT Jala Lintas Media_x000a_PT Tele Globe Global qq ATM Mu Gung Hwa Supermarket_x000a_PT Astra International Tbk_x000a_PT Bank Mandiri (Persero) Tbk_x000a_BUT. Sarulla Operations Ltd_x000a_PT Bank Mandiri (Persero) Tbk_x000a_PT PLN (Persero) Kantor Pusat_x000a_PT. PLN (PERSERO) KANTOR PUSAT_x000a_PT PLN (Persero) Kantor Pusat_x000a_PT PLN (Persero) Kantor Pusat_x000a_PT. ORBIT TERMINAL MERAK_x000a_PT. PLN (PERSERO) KANTOR PUSAT_x000a_KEMENTERIAN PEKERJAAN UMUM DAN PERUMAHAN RAKYAT DIREKTORAT JENDRAL_x000a_PT PLN (Persero) Kantor Pusat_x000a_PT Indonesia Comnets Plus_x000a_PT Indonesia Comnets Plus_x000a_PT. CYBER NETWORK INDONESIA qq Bareskrim Polri_x000a_PEMERINTAH PROVINSI DKI JAKARTA_x000a_PT Aplikanusa Lintasarta qq Korlantas Polri_x000a_Abdul Ghofur "/>
    <s v="Gedung Thamrin City Lt.1 Jakarta 10230"/>
    <x v="0"/>
    <m/>
    <s v="sepanjang jalan senopati"/>
    <s v="Sewa Tahunan"/>
    <s v="Colocation"/>
    <s v="PA/UPG/1805/0139_x000a_PA/UPG/1812/0208/TER_x000a_PA/UPG/2106/0218/TER_x000a_PA/UPG/2201/0518/TER_x000a_PA/ACT/2003/1278/TER_x000a_PA/UPG/2102/0554/TER_x000a_PA/ACT/2208/0577/TER_x000a_PA/ACT/2005/1005/TER_x000a_PA/UPG/1909/0085/TER_x000a_PA/DOW/2305/0003/ORI_x000a_AL/2205/81855_x000a_AL/2102/7935_x000a_AL/2102/9240_x000a_PA/ACT/2004/2366_x000a_PA/ACT/2004/2255_x000a_ICON-00/SBC/1810/0080_x000a_PA/ACT/2004/2253_x000a_AL/2201/2929_x000a_PA/ACT/1907/2021_x000a_PA/ACT/1909/0904_x000a_AL/2007/024868_x000a_PA/ACT/2011/0790_x000a_PA/ACT/2006/0082/TER_x000a_AL/2210/326231_x000a_SAL/2007/025595"/>
    <m/>
    <m/>
    <m/>
    <m/>
    <m/>
    <n v="1116598920"/>
    <m/>
    <m/>
    <n v="46204776"/>
    <m/>
    <d v="2024-01-10T00:00:00"/>
    <d v="2025-01-09T00:00:00"/>
    <x v="1"/>
    <m/>
    <d v="2025-12-24T00:00:00"/>
    <n v="-349"/>
    <n v="1"/>
    <n v="2025"/>
    <s v="708/SPP/SBU/ICON+/2023 | 4500021013"/>
    <s v="2480/SPP/SBU/ICON+/2024"/>
    <n v="4500022946"/>
    <s v="Fajar Paramita"/>
    <s v="Irfan"/>
    <s v="815-2587-5256"/>
    <m/>
    <m/>
    <m/>
    <m/>
    <m/>
    <m/>
    <s v="G147"/>
    <s v="H206"/>
    <m/>
    <m/>
  </r>
  <r>
    <n v="1165"/>
    <s v="Jakarta Land"/>
    <s v="PT. WORLEY SEA INDONESIA"/>
    <s v="Jl.Jend Sudirman Kav.29-31 Jakarta 12190"/>
    <x v="0"/>
    <s v="-"/>
    <s v="Building WTC 3 Floor 18, Jl. Jend. Sudirman kav 29-31 RT.4/RW.2, Kuningan, Karet"/>
    <s v="Sewa Tahunan"/>
    <s v="Colocation"/>
    <s v="PA/ACT/2210/2013"/>
    <m/>
    <m/>
    <m/>
    <m/>
    <m/>
    <n v="240000000"/>
    <m/>
    <m/>
    <n v="35000000"/>
    <m/>
    <d v="2024-01-01T00:00:00"/>
    <d v="2024-12-31T00:00:00"/>
    <x v="0"/>
    <m/>
    <d v="2025-12-24T00:00:00"/>
    <n v="-358"/>
    <n v="12"/>
    <n v="2024"/>
    <s v="20800/SPP/008/PUSAT/ICON+/2022 | 4500019756"/>
    <s v="2115/SPP/SBU/ICON+/2023"/>
    <n v="4500021810"/>
    <s v="Fajar Paramita"/>
    <m/>
    <m/>
    <m/>
    <m/>
    <m/>
    <m/>
    <m/>
    <s v="F431"/>
    <s v="G385"/>
    <m/>
    <m/>
    <s v="Security Deposit 5.000.000"/>
  </r>
  <r>
    <n v="1166"/>
    <s v="Jakarta Land"/>
    <s v="PT Cikarang Listrindo Tbk"/>
    <s v="Jl.Jend Sudirman Kav.29-31 Jakarta 12190"/>
    <x v="0"/>
    <s v="-"/>
    <s v="Jl. Jend. Sudirman, World Trade Center Kav 29 - 31 Lantai 17, RT.8/RW.3, Kuningan, Karet, Setiabudi, Jakarta Selatan, DKI Jakarta, 12920"/>
    <s v="Sewa Tahunan"/>
    <s v="Colocation"/>
    <s v="PA/ACT/1901/1451_x000a_ PA/ACT/1901/1450"/>
    <m/>
    <m/>
    <m/>
    <m/>
    <m/>
    <n v="114000000"/>
    <m/>
    <m/>
    <n v="105000000"/>
    <m/>
    <d v="2021-03-01T00:00:00"/>
    <d v="2024-02-28T00:00:00"/>
    <x v="2"/>
    <m/>
    <d v="2025-12-24T00:00:00"/>
    <n v="-665"/>
    <n v="2"/>
    <n v="2024"/>
    <s v="10253/SPP/008/PUSAT/ICON+/2019 | 4500012509"/>
    <s v="15557/SPP/008/PUSAT/ICON+/2021"/>
    <n v="4500016043"/>
    <s v="Fajar Paramita"/>
    <m/>
    <m/>
    <m/>
    <m/>
    <s v="C23"/>
    <m/>
    <s v="E67"/>
    <m/>
    <m/>
    <m/>
    <m/>
    <s v="Security Deposit 5.000.000"/>
  </r>
  <r>
    <n v="1167"/>
    <s v="Jakarta Sinar Intertrade "/>
    <s v="Bank Sinarmas"/>
    <s v="ITC Mangga Dua 6th Floor Jl. Mangga Dua Raya Jakarta 14430"/>
    <x v="0"/>
    <s v="PLAZA SINARMAS JL. FACHRUDIN 18 LT.6 JAKARTAPUSAT 10250, -, Jakarta Pusat, DKI Jakarta, Indonesia, -"/>
    <s v="ITC Mangga Dua (Lt. Dasar sampai ATM Bank Sinarmas Lt.1 Blok D No. 61-62 ITC Mangga Dua Jl. Mangga Dua Raya Jakarta-Bank Sinarmas)"/>
    <s v="Sewa Tahunan"/>
    <s v="Colocation"/>
    <s v="ICON-00/ACT/1503/0100"/>
    <m/>
    <m/>
    <m/>
    <m/>
    <m/>
    <n v="43080000"/>
    <m/>
    <m/>
    <n v="26000000"/>
    <m/>
    <d v="2023-08-01T00:00:00"/>
    <d v="2024-07-31T00:00:00"/>
    <x v="2"/>
    <m/>
    <d v="2025-12-24T00:00:00"/>
    <n v="-511"/>
    <n v="7"/>
    <n v="2024"/>
    <s v="4500009719 | 004/CTFO/L&amp;P/VIII/2016 | 07107/SPP/008/PUSAT/ICON+/2017 | 4500010609 | 08806/SPP/008/PUSAT/ICON+/2018 | 4500011660 | 450001303011185/SPP/008/PUSAT/ICON+/2019 | 4500013030 | 13945/SPP/008/PUSAT/ICON+/2020 | 4500014819 | 15964/SPP/008/PUSAT/ICON+/2021 | 4500016270 | 4500018463"/>
    <s v="2044/SPP/SBU/ICON+/2023"/>
    <n v="4500021913"/>
    <s v="Fajar Paramita"/>
    <s v="Meiky"/>
    <s v="021-6017771"/>
    <n v="65"/>
    <s v="B166"/>
    <s v="C146"/>
    <s v="D199"/>
    <s v="E194"/>
    <s v="F361"/>
    <s v="G387"/>
    <m/>
    <m/>
    <m/>
  </r>
  <r>
    <n v="1168"/>
    <s v="Jakarta Sinar Intertrade "/>
    <s v="BCA"/>
    <s v="ITC Mangga Dua 6th Floor Jl. Mangga Dua Raya Jakarta 14430"/>
    <x v="0"/>
    <s v="-"/>
    <s v="ITC Mangga Dua (Lt. Dasar sampai ATM BCA lt.4 Jl. Mangga Dua Raya Jakarta-Bank Central Asia So No.ICON-00/ACT/1602/0472 )"/>
    <s v="Sewa Tahunan"/>
    <s v="Colocation"/>
    <s v="AL/2303/13854"/>
    <m/>
    <m/>
    <m/>
    <m/>
    <m/>
    <n v="42000000"/>
    <m/>
    <m/>
    <n v="28280000"/>
    <m/>
    <d v="2023-12-01T00:00:00"/>
    <d v="2024-11-30T00:00:00"/>
    <x v="0"/>
    <m/>
    <d v="2025-12-24T00:00:00"/>
    <n v="-389"/>
    <n v="11"/>
    <n v="2024"/>
    <s v="4500009756_x000a_ Revisi_x000a_ 4500009909_x000a_ 111113/MI/004/PUSAT/ICON+/2016_x000a_ 006/CTFO/L&amp;P/XI/2016 07552/SPP/008/PUSAT/ICON+/2017 4500011045 | 09456/SPP/008/PUSAT/ICON+/2018 | 4500012046 | 11789/SPP/008/PUSAT/ICON+/2019 | 4500013402| 14469/SPP/008/PUSAT/ICON+/2020| 4500015209 |17133/SPP/008/PUSAT/ICON+/2021 | 4500018727 | 20681| 4500019997"/>
    <n v="2531"/>
    <n v="4500022309"/>
    <s v="Fajar Paramita"/>
    <s v="Dani Dwi Aditya"/>
    <s v="021-6017771"/>
    <n v="173"/>
    <s v="B250"/>
    <s v="C220"/>
    <s v="D311"/>
    <s v="F261"/>
    <s v="G80"/>
    <s v="H104"/>
    <m/>
    <m/>
    <m/>
  </r>
  <r>
    <n v="1169"/>
    <s v="Jakarta Sinar Intertrade "/>
    <s v="PT BANK DANAMON INDONESIA, TBK"/>
    <s v="Gedung Mall Mangga Dua Lt. 5_x000a_Jl. Arteri Mangga Dua Raya Jakarta 10730_x000a_Indonesia"/>
    <x v="0"/>
    <s v="BDI BSD"/>
    <s v="Ruko Orion Mangga Dua Jl. Raya Mangga Dua No. 3 Jakarta -Bank Danamon Indonesia"/>
    <s v="Sewa Tahunan"/>
    <s v="Colocation"/>
    <s v="ICON-00/SBC/1803/0091_x000a_ ICON-00/ACT/1103/0510"/>
    <m/>
    <m/>
    <m/>
    <m/>
    <m/>
    <n v="80400000"/>
    <m/>
    <m/>
    <n v="42000000"/>
    <m/>
    <d v="2019-05-11T00:00:00"/>
    <d v="2020-05-10T00:00:00"/>
    <x v="2"/>
    <m/>
    <d v="2025-12-24T00:00:00"/>
    <n v="-2054"/>
    <n v="5"/>
    <n v="2020"/>
    <s v="4500009479 |002/LP-ORION/V/2016 |4500010588 |05426/SPP/008/PUSAT/ICON+/2017 | 08601/SPP/008/PUSAT/ICON+/2018 | 4500011490"/>
    <s v="10520/SPP/008/PUSAT/ICON+/2019"/>
    <s v="4500012782"/>
    <s v="Fajar Paramita"/>
    <s v="Hendra"/>
    <s v="021-6126000"/>
    <n v="46"/>
    <s v="B79"/>
    <s v="C107"/>
    <m/>
    <m/>
    <m/>
    <m/>
    <m/>
    <m/>
    <m/>
  </r>
  <r>
    <n v="1170"/>
    <s v="Jaya Land "/>
    <s v="PT JAKARTA INFRASTRUKTUR PROPERTINDO"/>
    <s v="Gedung Jaya Jl.MH Thamrin No.12"/>
    <x v="0"/>
    <s v="-"/>
    <s v="Gedung JAYA, Gedung Jaya, Jl. M.H. Thamrin No.12, RW.1, Kb. Sirih, Kec. Menteng, Kota Jakarta Pusat, Daerah Khusus Ibukota Jakarta 10340"/>
    <s v="Sewa Tahunan"/>
    <s v="Colocation"/>
    <s v="A11130300013"/>
    <m/>
    <m/>
    <m/>
    <m/>
    <m/>
    <n v="112800000"/>
    <m/>
    <m/>
    <n v="15750000"/>
    <m/>
    <d v="2024-03-07T00:00:00"/>
    <d v="2025-03-06T00:00:00"/>
    <x v="0"/>
    <m/>
    <d v="2025-12-24T00:00:00"/>
    <n v="-293"/>
    <n v="3"/>
    <n v="2025"/>
    <s v="21501 | 4500020103"/>
    <n v="2470"/>
    <n v="4500022134"/>
    <s v="Fajar Paramita"/>
    <m/>
    <m/>
    <m/>
    <m/>
    <m/>
    <m/>
    <m/>
    <m/>
    <s v="G67"/>
    <s v="H31"/>
    <m/>
    <m/>
  </r>
  <r>
    <n v="1171"/>
    <s v="Jaya Land "/>
    <s v="Bank Mega"/>
    <s v="Gedung Jaya Jl.MH Thamrin No.12"/>
    <x v="0"/>
    <s v="Backhaul Metronet) Menara Bank Mega Lt. 8. Jl.Kapten Tendean Kav. 12 - 14 A Jakarta,  Mampang Prapatan,  Kota Administrasi Jakarta Selatan,  DKI Jakarta,  Indonesia,  12790"/>
    <s v="KCP Gedung Jaya Thamrin, JL. MH Thamrin No. 12 10340"/>
    <s v="Sewa Tahunan"/>
    <s v="Colocation"/>
    <s v="ICON-00/ACT/1706/0323"/>
    <m/>
    <m/>
    <m/>
    <m/>
    <m/>
    <n v="25680000"/>
    <m/>
    <m/>
    <n v="14300000"/>
    <m/>
    <d v="2024-02-01T00:00:00"/>
    <d v="2025-01-31T00:00:00"/>
    <x v="0"/>
    <m/>
    <d v="2025-12-24T00:00:00"/>
    <n v="-327"/>
    <n v="1"/>
    <n v="2025"/>
    <s v="07823/SPP/008/PUSAT/ICON+/2017 | 4500011087 | 10047/SPP/008/PUSAT/ICON+/2019 | 4500012388 | 12664/SPP/008/PUSAT/ICON+/2020 | 4500014000 | 4500015608 | 17586/SPP/008/PUSAT/ICON+/2021 | 4500017469 | 20675 | 4500019683"/>
    <n v="2498"/>
    <n v="4500022245"/>
    <s v="Fajar Paramita"/>
    <m/>
    <m/>
    <n v="167"/>
    <s v="C56"/>
    <m/>
    <s v="D135"/>
    <s v="E65"/>
    <s v="F11"/>
    <s v="F468"/>
    <s v="H62"/>
    <m/>
    <s v="Biaya Pengawasan Pekerjaan Rp.500.000 3.Jaminan Pekerjaan Rp.3.000.000"/>
  </r>
  <r>
    <n v="1172"/>
    <s v="Jaya Real Property "/>
    <s v="NESTLE INDOFOOD CITARASA INDONESIA"/>
    <s v="Bintaro Trade Centre Lt. 2 Blok H 4 No. 1 - 33 Jl. Jend. Sudirman Pusat Kawasan Niaga Bintaro Jaya Sektor VII Tangerang 15224"/>
    <x v="0"/>
    <m/>
    <s v="1. Jl. MH. Thamrin Sektor 7 CBD Bintaro_x000a_ 2. Jalan Depan Carrefour Blok CBD A1 Sektor 7 Bintaro"/>
    <s v="Sewa Tahunan"/>
    <s v="Colocation"/>
    <m/>
    <m/>
    <m/>
    <m/>
    <m/>
    <m/>
    <m/>
    <m/>
    <m/>
    <n v="22500000"/>
    <m/>
    <d v="2015-07-13T00:00:00"/>
    <d v="2025-07-12T00:00:00"/>
    <x v="1"/>
    <m/>
    <d v="2025-12-24T00:00:00"/>
    <n v="-165"/>
    <n v="7"/>
    <n v="2025"/>
    <s v="4500008597_x000a_ 070330/MI/004/PUSAT/ICON+/2015"/>
    <m/>
    <m/>
    <s v="Fajar Paramita"/>
    <s v="Taufiq"/>
    <s v="021-74864001"/>
    <m/>
    <m/>
    <m/>
    <m/>
    <m/>
    <m/>
    <m/>
    <m/>
    <m/>
    <s v="1. Perijinan Pemanfaatan lahan untuk 10 tahun Rp150.000/m total 150 m update tahun 2016 Rp250.000,-_x000a_ 2. Jasa Pengawasan Rp350.000 total untuk 7 hari update tahun 2016 Rp300.000/hari _x000a_ 3. Jaminan Rp75.000/m total untuk 150m update tahun 2016 LS Rp7.500.000,-"/>
  </r>
  <r>
    <n v="1173"/>
    <s v="Jekael Invesco "/>
    <s v="PT. BANK MANDIRI (PERSERO), TBK"/>
    <s v="Gedung menara Selatan Lt.9 Jl. Jend. Gatot Subroto No. 38 Jakarta 12710"/>
    <x v="0"/>
    <s v="-"/>
    <s v="Gedung Menara Jamsostek Jl. Jend. Gatot Subroto No. 38 Jakarta"/>
    <s v="Sewa Tahunan"/>
    <s v="Colocation"/>
    <s v="PA/ACT/2206/16525"/>
    <m/>
    <m/>
    <m/>
    <m/>
    <m/>
    <n v="322800000"/>
    <m/>
    <m/>
    <n v="8000000"/>
    <m/>
    <d v="2023-12-01T00:00:00"/>
    <d v="2024-11-30T00:00:00"/>
    <x v="0"/>
    <m/>
    <d v="2025-12-24T00:00:00"/>
    <n v="-389"/>
    <n v="11"/>
    <n v="2024"/>
    <s v="06809/SPP/008/PUSAT/ICON+/2017 4500010413 | 09354/SPP/008/PUSAT/ICON+/2018 | 4500011961 | 11646/SPP/008/PUSAT/ICON+/2019 | 4500013292 | 14407/SPP/008/PUSAT/ICON+/2020 | 4500015174 | 16790/SPP/008/PUSAT/ICON+/2021 | 4500017202 | 19356/SPP/008/PUSAT/ICON+/2022 | 4500019237"/>
    <s v="1857/SPP/SBU/ICON+/2023"/>
    <n v="4500021720"/>
    <s v="Fajar Paramita"/>
    <s v="Puty"/>
    <s v="021-5279317_x000a_ 021-52961504_x000a_ 021-52961509"/>
    <n v="78"/>
    <s v="B223"/>
    <s v="C196"/>
    <s v="D360"/>
    <s v="F9"/>
    <s v=" "/>
    <s v="G345"/>
    <m/>
    <m/>
    <s v="1.Biaya Sewa Tahunan sebesar Rp.7.500.000"/>
  </r>
  <r>
    <n v="1174"/>
    <s v="Jekael Invesco "/>
    <s v="PT Indonesia Comnets Plus"/>
    <s v="Gedung menara Selatan Lt.9 Jl. Jend. Gatot Subroto No. 38 Jakarta 12711"/>
    <x v="0"/>
    <s v="-"/>
    <s v="Gedung Menara Jamsostek Jl. Jend. Gatot Subroto No. 38 Jakarta"/>
    <s v="Sewa Tahunan"/>
    <s v="Colocation"/>
    <s v="PA/ACT/1906/1465"/>
    <m/>
    <m/>
    <m/>
    <m/>
    <m/>
    <m/>
    <m/>
    <m/>
    <n v="10000000"/>
    <m/>
    <d v="2023-07-22T00:00:00"/>
    <d v="2024-07-21T00:00:00"/>
    <x v="0"/>
    <m/>
    <d v="2025-12-24T00:00:00"/>
    <n v="-521"/>
    <n v="7"/>
    <n v="2024"/>
    <s v="11335/SPP/008/PUSAT/ICON+/2019 | 4500013058 | 13582/SPP/008/PUSAT/ICON+/2020 | 4500014591| 4500016267| 15952/SPP/008/PUSAT/ICON+/2021 | 19025/SPP/008/PUSAT/ICON+/2022  | 4500018604 | 312/SPP/SBU/ICON+/2023 |   4500020788"/>
    <s v="312/SPP/SBU/ICON+/2023"/>
    <n v="4500020788"/>
    <s v="Livia Indraswati"/>
    <s v="Puty"/>
    <s v="021-5279317_x000a_ 021-52961504_x000a_ 021-52961510"/>
    <m/>
    <m/>
    <s v="C156"/>
    <s v="D145"/>
    <s v="E209"/>
    <s v="F255"/>
    <s v="G176"/>
    <m/>
    <m/>
    <s v="1.Biaya Sewa Tahunan sebesar Rp.10.000.000"/>
  </r>
  <r>
    <n v="1175"/>
    <s v="Jekael Invesco "/>
    <s v="PT Indonesia Comnets Plus"/>
    <s v="Gedung menara Selatan Lt.9 Jl. Jend. Gatot Subroto No. 38 Jakarta 12711"/>
    <x v="0"/>
    <m/>
    <s v="Gedung Menara Jamsostek Jl. Jend. Gatot Subroto No. 38 Jakarta"/>
    <s v="Sewa Tahunan"/>
    <s v="Colocation"/>
    <s v="PA/ACT/1906/1465"/>
    <m/>
    <m/>
    <m/>
    <m/>
    <m/>
    <m/>
    <m/>
    <m/>
    <n v="10000000"/>
    <m/>
    <d v="2024-07-22T00:00:00"/>
    <d v="2025-07-21T00:00:00"/>
    <x v="0"/>
    <m/>
    <d v="2025-12-24T00:00:00"/>
    <n v="-156"/>
    <n v="7"/>
    <n v="2025"/>
    <m/>
    <s v="3831/SPP/SBU/PLNICONPLUS/2024"/>
    <n v="4500023033"/>
    <s v="Livia Indraswati"/>
    <s v="Tri / Ramlis"/>
    <m/>
    <m/>
    <m/>
    <m/>
    <m/>
    <m/>
    <m/>
    <m/>
    <s v="H250"/>
    <m/>
    <m/>
  </r>
  <r>
    <n v="1176"/>
    <s v="Jekael Invesco "/>
    <s v="PT Indonesia Comnets Plus"/>
    <s v="Gedung menara Selatan Lt.9 Jl. Jend. Gatot Subroto No. 38 Jakarta 12712"/>
    <x v="0"/>
    <s v="-"/>
    <s v="Gedung Menara Jamsostek Jl. Jend. Gatot Subroto No. 38 Jakarta"/>
    <s v="Sewa Tahunan"/>
    <s v="Colocation"/>
    <s v="PA/ACT/1906/1466"/>
    <m/>
    <m/>
    <m/>
    <m/>
    <m/>
    <m/>
    <m/>
    <m/>
    <n v="7500000"/>
    <m/>
    <d v="2023-07-16T00:00:00"/>
    <d v="2024-07-15T00:00:00"/>
    <x v="0"/>
    <m/>
    <d v="2025-12-24T00:00:00"/>
    <n v="-527"/>
    <n v="7"/>
    <n v="2024"/>
    <s v="11279/SPP/008/PUSAT/ICON+/2019 | 4500013060 | 13583/SPP/008/PUSAT/ICON+/2020 | 4500014586| 15953/SPP/008/PUSAT/ICON+/2021| 4500016268 | 19356/SPP/008/PUSAT/ICON+/2022 | 4500018605 | 429/SPP/SBU/ICON+/2023 | 4500020785 | "/>
    <s v="429/SPP/SBU/ICON+/2023"/>
    <n v="4500020785"/>
    <s v="Livia Indraswati"/>
    <s v="Puty"/>
    <s v="021-5279317_x000a_ 021-52961504_x000a_ 021-52961511"/>
    <m/>
    <m/>
    <s v="C157"/>
    <s v="D146"/>
    <s v="E205"/>
    <s v="F259"/>
    <s v="G176"/>
    <m/>
    <m/>
    <s v="1.Biaya Sewa Tahunan sebesar Rp.5.000.000"/>
  </r>
  <r>
    <n v="1177"/>
    <s v="Jekael Invesco "/>
    <s v="PT Indonesia Comnets Plus"/>
    <s v="Gedung menara Selatan Lt.9 Jl. Jend. Gatot Subroto No. 38 Jakarta 12712"/>
    <x v="0"/>
    <m/>
    <s v="Gedung Menara Jamsostek Jl. Jend. Gatot Subroto No. 38 Jakarta"/>
    <s v="Sewa Tahunan"/>
    <s v="Colocation"/>
    <s v="PA/ACT/1906/1466"/>
    <m/>
    <m/>
    <m/>
    <m/>
    <m/>
    <m/>
    <m/>
    <m/>
    <n v="7500000"/>
    <m/>
    <d v="2024-07-16T00:00:00"/>
    <d v="2025-07-15T00:00:00"/>
    <x v="0"/>
    <m/>
    <d v="2025-12-24T00:00:00"/>
    <n v="-162"/>
    <n v="7"/>
    <n v="2025"/>
    <m/>
    <s v="3830/SPP/SBU/PLNICONPLUS/2024"/>
    <n v="4500023032"/>
    <s v="Livia Indraswati"/>
    <s v="Tri / Ramlis"/>
    <m/>
    <m/>
    <m/>
    <m/>
    <m/>
    <m/>
    <m/>
    <m/>
    <s v="H251"/>
    <m/>
    <m/>
  </r>
  <r>
    <n v="1178"/>
    <s v="Jekael Invesco "/>
    <s v="PT Bank Mandiri"/>
    <s v="Gedung menara Selatan Lt.9 Jl. Jend. Gatot Subroto No. 38 Jakarta 12710"/>
    <x v="0"/>
    <s v="-"/>
    <s v="Gedung Menara Jamsostek Jl. Jend. Gatot Subroto No. 38 Jakarta (Bank Mandiri)"/>
    <s v="Sewa Tahunan"/>
    <s v="Colocation"/>
    <s v="ICON-00/ACT/1107/3460"/>
    <m/>
    <m/>
    <m/>
    <m/>
    <m/>
    <n v="22202760"/>
    <m/>
    <m/>
    <n v="5000000"/>
    <m/>
    <d v="2023-12-01T00:00:00"/>
    <d v="2024-11-30T00:00:00"/>
    <x v="0"/>
    <m/>
    <d v="2025-12-24T00:00:00"/>
    <n v="-389"/>
    <n v="11"/>
    <n v="2024"/>
    <s v="2141116/SPR/ICON+/2016_x000a_ 32/LOI/BIJAK-ICON+/01.2017 07341/SPP/008/PUSAT/ICON+/2017 4500010770 | 09447/SPP/008/PUSAT/ICON+/2018 | 4500012007 | 11791/SPP/008/PUSAT/ICON+/2019 | 4500013415 | 14456/SPP/008/PUSAT/ICON+/2020 | 4500015271 | 16773/SPP/008/PUSAT/ICON+/2021 | 4500016881 | 19355/SPP/008/PUSAT/ICON+/2022 | 4500018689"/>
    <s v="1675/SPP/SBU/ICON+/2023"/>
    <n v="4500021821"/>
    <s v="Fajar Paramita"/>
    <s v="Puty"/>
    <s v="021-5279317_x000a_ 021-52961504_x000a_ 021-52961509"/>
    <m/>
    <s v="B236"/>
    <s v="C221"/>
    <s v="D305"/>
    <s v="E409"/>
    <s v="F444"/>
    <s v="G386"/>
    <m/>
    <m/>
    <s v="1. Biaya Perbaikan Fire Stop per lantai Rp400.000 total untuk 12 lantai Rp4.800.000 one Time Charged_x000a_ 2. Biaya Supervisi Rp300.000,- update tahun 2014 Rp900.000,- one Time Charged_x000a_ 3. Sewa Shaft per tarikan Rp4.000.000 update akhir tahun 2014 Rp5.000.000/unit/tahun_x000a_ 4. Sewa Panel Rp2.500.000/unit/tahun_x000a_ 5. Jaminan Rp1.875.000"/>
  </r>
  <r>
    <n v="1179"/>
    <s v="Jekael Invesco "/>
    <s v="PT Tanjung Enim Lestari"/>
    <s v="Gedung menara Selatan Lt.9 Jl. Jend. Gatot Subroto No. 38 Jakarta 12710"/>
    <x v="0"/>
    <s v="Desa. Niru Tebat Agung Kec. Rambang Dangku Kab. Muara Enim Sumatera Selatan 31172"/>
    <s v="Gedung Menara Jamsostek Jl. Jend. Gatot Subroto No. 38 Jakarta (Menara Jamsostek Utara B1 s/d Lt.12-PT Tanjung Enim Lestari)"/>
    <s v="Sewa Tahunan"/>
    <s v="Colocation"/>
    <s v="ICON-00/SOP/1707/0112"/>
    <m/>
    <m/>
    <m/>
    <m/>
    <m/>
    <n v="94800000"/>
    <m/>
    <m/>
    <n v="5000000"/>
    <m/>
    <d v="2022-07-22T00:00:00"/>
    <d v="2023-07-21T00:00:00"/>
    <x v="2"/>
    <m/>
    <d v="2025-12-24T00:00:00"/>
    <n v="-887"/>
    <n v="7"/>
    <n v="2023"/>
    <s v="061726/SPR/008/PUSAT/ICON+/2016 | 32/LOI/BIJAK-ICON+/01.2017 | 07245/SPP/008/PUSAT/ICON+/2017 |4500010674 | 08779/SPP/008/PUSAT/ICON+/2018 | 4500011633 | 10953/SPP/008/PUSAT/ICON+/2019 | 4500012934| 15925/SPP/008/PUSAT/ICON+/2021| 4500016266"/>
    <s v="18778/SPP/008/PUSAT/ICON+/2022"/>
    <n v="4500018465"/>
    <s v="Fajar Paramita"/>
    <s v="Puty"/>
    <s v="021-5279317_x000a_ 021-52961504_x000a_ 021-52961509"/>
    <m/>
    <s v="B129"/>
    <s v="C123"/>
    <m/>
    <s v="E202"/>
    <s v="F258"/>
    <m/>
    <m/>
    <m/>
    <s v="1. Biaya Perbaikan Fire Stop per lantai Rp400.000 total untuk 12 lantai Rp4.800.000 one Time Charged_x000a_ 2. Biaya Supervisi Rp300.000,- update tahun 2014 Rp900.000,- one Time Charged_x000a_ 3. Sewa Shaft per tarikan Rp4.000.000 update akhir tahun 2014 Rp5.000.000/unit/tahun_x000a_ 4. Sewa Panel Rp2.500.000/unit/tahun_x000a_ 5. Jaminan Rp1.875.000"/>
  </r>
  <r>
    <n v="1180"/>
    <s v="Jekael Invesco "/>
    <s v="PT Indonesia Comnets Plus"/>
    <s v="Gedung menara Selatan Lt.9 Jl. Jend. Gatot Subroto No. 38 Jakarta 12712"/>
    <x v="0"/>
    <s v="-"/>
    <s v="Gedung Menara Jamsostek Jl. Jend. Gatot Subroto No. 38 Jakarta lantai 10"/>
    <s v="Sewa Tahunan"/>
    <s v="Colocation"/>
    <s v="PA/ACT/2212/1390"/>
    <m/>
    <m/>
    <m/>
    <m/>
    <m/>
    <s v="-"/>
    <m/>
    <m/>
    <n v="30000000"/>
    <m/>
    <d v="2023-01-02T00:00:00"/>
    <d v="2024-01-01T00:00:00"/>
    <x v="0"/>
    <m/>
    <d v="2025-12-24T00:00:00"/>
    <n v="-723"/>
    <n v="1"/>
    <n v="2024"/>
    <s v="baru"/>
    <s v="20865/SPP/008/PUSAT/ICON+/2022"/>
    <n v="4500019844"/>
    <s v="Fajar Paramita"/>
    <s v="Puty"/>
    <s v="021-5279317_x000a_ 021-52961504_x000a_ 021-52961511"/>
    <m/>
    <m/>
    <m/>
    <m/>
    <m/>
    <m/>
    <s v="G11"/>
    <m/>
    <m/>
    <m/>
  </r>
  <r>
    <n v="1181"/>
    <s v="Jekael Invesco "/>
    <s v="PT Indonesia Comnets Plus"/>
    <s v="Gedung menara Selatan Lt.9 Jl. Jend. Gatot Subroto No. 38 Jakarta 12712"/>
    <x v="0"/>
    <m/>
    <s v="Gedung Menara Jamsostek Jl. Jend. Gatot Subroto No. 38 Jakarta lantai 10"/>
    <s v="Sewa Tahunan"/>
    <s v="Colocation"/>
    <s v="PA/ACT/2212/1390"/>
    <m/>
    <m/>
    <m/>
    <m/>
    <m/>
    <m/>
    <m/>
    <m/>
    <n v="30000000"/>
    <m/>
    <d v="2024-01-02T00:00:00"/>
    <d v="2025-01-01T00:00:00"/>
    <x v="0"/>
    <m/>
    <d v="2025-12-24T00:00:00"/>
    <n v="-357"/>
    <n v="1"/>
    <n v="2025"/>
    <m/>
    <s v="3940/SPP/SBU/PLNICONPLUS/2024"/>
    <n v="4500023125"/>
    <s v="Livia Indraswati"/>
    <s v="Tri / Ramlis"/>
    <m/>
    <m/>
    <m/>
    <m/>
    <m/>
    <m/>
    <m/>
    <m/>
    <s v="H268"/>
    <m/>
    <m/>
  </r>
  <r>
    <n v="1182"/>
    <s v="Jekael Invesco "/>
    <s v="PT Indonesia Comnets Plus"/>
    <s v="Gedung menara Selatan Lt.9 Jl. Jend. Gatot Subroto No. 38 Jakarta 12712"/>
    <x v="0"/>
    <s v="-"/>
    <s v="R. Direksi Kantor ICON+ Jamsostek LT 19"/>
    <s v="Sewa Tahunan"/>
    <s v="Colocation"/>
    <s v="PA/ACT/2209/4005"/>
    <m/>
    <m/>
    <m/>
    <m/>
    <m/>
    <s v="-"/>
    <m/>
    <m/>
    <n v="5000000"/>
    <m/>
    <d v="2024-09-26T00:00:00"/>
    <d v="2025-09-25T00:00:00"/>
    <x v="0"/>
    <m/>
    <d v="2025-12-24T00:00:00"/>
    <n v="-90"/>
    <n v="9"/>
    <n v="2025"/>
    <s v="20013/SPP/008/PUSAT/ICON+/2022 | 4500018982 | 1674/SPP/SBU/ICON+/2023 | 4500021538"/>
    <s v="4531/SPP/SBU/PLNICONPLUS/2024"/>
    <n v="4500023542"/>
    <s v="Livia Indraswati"/>
    <s v="Puty"/>
    <s v="021-5279317_x000a_ 021-52961504_x000a_ 021-52961511"/>
    <m/>
    <m/>
    <m/>
    <m/>
    <m/>
    <s v="F325"/>
    <s v="G342"/>
    <s v="H371"/>
    <m/>
    <s v="1.Biaya Sewa Tahunan sebesar Rp.5.000.000 | 2.Biaya Supervisi Rp.440.000 | 3.Biaya Firestop Rp.1.350.000"/>
  </r>
  <r>
    <n v="1183"/>
    <s v="KAI Commuter Jabodetabek"/>
    <s v="PT. Prodia Widyahusada_x000a_ PT. BANK SYARIAH BRI KC Bogor _x000a_ GIS 150 KV BOGOR BARU II (TAJUR), -, -, -, Indonesia - GI 150 KV CIANJUR_x000a_ Bank BJB KCP Suryakencana No.315 Bogor_x000a_ Maybank Kim Eng Sekuritas Ruko Mega Mall Pluit_x000a_ PT. NAP INFO LINTASNUSA PLAZA KUNINGAN - StanChart Elitery Bogor_x000a_ BCA H2H Elitery Data Center_x000a_ PT Maybank Kim Eng Securities Indonesia Elitery Recovery Data Center_x000a_ Data Sinergi H2H Bank Mandiri_x000a_ Aplikanusa Lintasarta Unilever Indonesia_x000a_ FUJITSU INDONESIA _x000a_ BT Communications Indonesia Graha Unilever_x000a_ DATA SINERGITAMA JAYA _x000a_ CBN Cyber 2 P2MP QinQ"/>
    <s v="Stasiun Cikini Lt. Dasar_x000a_Jln. Cikini Raya, Cikini - Menteng Jakarta Pusat - 10330"/>
    <x v="0"/>
    <m/>
    <s v="Jl. Jend. Sudirman No. 38-B, Bogor_x000a_ Jl. Jend. Ahmad Yani Bogor_x000a_ Jl. Kapten Muslihat No.25 Central Bogor Bogor West Java 16124 Indonesia_x000a_ Elitery Recovery Data Center, Jalan Padjajaran No.17 Sanggar Ksatria 5 Lantai 5_x000a_ Elitery Recovery Data Center, Jalan Padjajaran No.17 Sanggar Ksatria 5 Lantai 5_x000a_ H2H BCA Elitery Data Center; Jl. Raya Pajajaran No.61, RT.06/RW.13, Baranangsiang_x000a_ Elitery Data Center; Jl. Raya Pajajaran No.61, RT.06/RW.13, Baranangsiang"/>
    <s v="Sewa Tahunan"/>
    <s v="Colocation"/>
    <s v="1000008128_x000a_ 990000320370121_x000a_ 990000320520509_x000a_ 990000320409433_x000a_ 1000058903_x000a_ 990000320368897_x000a_ 1000135933_x000a_ '0990000320470177 _x000a_ 1000076136_x000a_ 1000127778_x000a_ 990000320452699_x000a_ 990000320478376_x000a_ 990000320514810_x000a_ 990000320433457"/>
    <m/>
    <m/>
    <m/>
    <m/>
    <m/>
    <n v="1668963600"/>
    <m/>
    <m/>
    <n v="105010000"/>
    <m/>
    <d v="2023-07-29T00:00:00"/>
    <d v="2024-07-28T00:00:00"/>
    <x v="0"/>
    <m/>
    <d v="2025-12-24T00:00:00"/>
    <n v="-514"/>
    <n v="7"/>
    <n v="2024"/>
    <s v="baru"/>
    <s v="18036/SPP/008/PUSAT/ICON+/2022"/>
    <n v="4500017709"/>
    <s v="Fajar Paramita"/>
    <m/>
    <m/>
    <m/>
    <m/>
    <m/>
    <m/>
    <m/>
    <s v="F53"/>
    <m/>
    <m/>
    <m/>
    <s v="1.Biaya sewa 105.010.000"/>
  </r>
  <r>
    <n v="1184"/>
    <s v="Karunia Megah Perkasa "/>
    <s v="PT. BANK PANIN, Tbk_x000a_ PT. BANK SYARIAH MANDIRI"/>
    <s v="Mutiara Taman Palem_x000a_Perumahan Mutiara Taman Palem Blok B 6 No. 1 Jl. Kamal Raya Outering Road Cengkareng Jakarta Barat"/>
    <x v="0"/>
    <m/>
    <s v="Lahan Mutiara Taman Palem_x000a_ 1. Bank Panin Blok A2 No. 20 Mutiara Taman Palem_x000a_ 2. Bank Syariah Mandiri Blok A2 No. 09 Mutiara Taman Palem"/>
    <s v="Sewa Tahunan"/>
    <s v="Colocation"/>
    <s v="ICON-00/SOP/1505/0062_x000a_ 357849/1285644652/103 | 357849/1285644652/103 | 170000211820025_x000a_ 170000218240011"/>
    <m/>
    <m/>
    <m/>
    <m/>
    <m/>
    <n v="86950000"/>
    <m/>
    <m/>
    <n v="36000000"/>
    <m/>
    <d v="2023-07-20T00:00:00"/>
    <d v="2024-07-19T00:00:00"/>
    <x v="0"/>
    <m/>
    <d v="2025-12-24T00:00:00"/>
    <n v="-523"/>
    <n v="7"/>
    <n v="2024"/>
    <s v="022011/MI/004/PUSAT/ICON+/2017 | 09420/SPP/008/PUSAT/ICON+/2018 | 4500012028 | 10773/SPP/008/PUSAT/ICON+/2019 | 4500012765 | 4500010138 | 07688/SPP/008/PUSAT/ICON+/2017 |4500011005 | 08796/SPP/008/PUSAT/ICON+/2018 | 4500011630 | 10750/SPP/008/PUSAT/ICON+/2019 | 4500013057 | 13553/SPP/008/PUSAT/ICON+/2020 | 4500014492| 13553/SPP/008/PUSAT/ICON+/2020 | 4500014491 | 18851/SPP/008/PUSAT/ICON+/2022 | 4500018967"/>
    <s v="657/SPP/SBU/ICON+/2023"/>
    <s v="4500021351"/>
    <s v="Fajar Paramita"/>
    <s v="Mugiono"/>
    <s v="021-54350222"/>
    <n v="161"/>
    <s v="B163"/>
    <s v="C93"/>
    <s v="D134"/>
    <s v="E249"/>
    <s v="F335"/>
    <s v="G321"/>
    <m/>
    <m/>
    <s v="1. Sewa Lahan Rp12.000.000/tahun/pelanggan"/>
  </r>
  <r>
    <n v="1185"/>
    <s v="Karyagraha Nusantara "/>
    <s v="PT INDOINTERNET"/>
    <s v="Jl.Kuningan Barat 8 Jakarta 12710"/>
    <x v="0"/>
    <m/>
    <s v="Box ICON+ di Basement Ke RDC Indonet di Lantai 8 _x000a_ Gedung Cyber _x000a_ Jl. Kuningan Barat No.8 _x000a_ Jakarta"/>
    <s v="Sewa Tahunan"/>
    <s v="Colocation"/>
    <s v="ICON-00/SBC/1704/0025"/>
    <m/>
    <m/>
    <m/>
    <m/>
    <m/>
    <n v="300000000"/>
    <m/>
    <m/>
    <n v="9000000"/>
    <m/>
    <d v="2019-03-01T00:00:00"/>
    <d v="2020-02-28T00:00:00"/>
    <x v="2"/>
    <m/>
    <d v="2025-12-24T00:00:00"/>
    <n v="-2126"/>
    <n v="2"/>
    <n v="2020"/>
    <s v="555/KN/Cable Shaft/II/2017 |07311/SPP/008/PUSAT/ICON+/2017 / 4500010832 | 08299/SPP/008/PUSAT/ICON+/2018 |4500011308"/>
    <s v="10008/SPP/008/PUSAT/ICON+/2019"/>
    <n v="4500012443"/>
    <s v="Fajar Paramita"/>
    <s v="Tito"/>
    <s v="021-5269588 Ext. 620"/>
    <n v="132"/>
    <s v="B73"/>
    <s v="C55"/>
    <m/>
    <m/>
    <m/>
    <m/>
    <m/>
    <m/>
    <m/>
  </r>
  <r>
    <n v="1186"/>
    <s v="Karyagraha Nusantara "/>
    <s v="PT. LINTAS JARINGAN NUSANTARA"/>
    <s v="Jl.Kuningan Barat 8 Jakarta 12710"/>
    <x v="0"/>
    <m/>
    <s v="Cyber 1, Jl. Kuningan Barat, Jakarta Selatan"/>
    <s v="Sewa Tahunan"/>
    <s v="Colocation"/>
    <s v="PA/ACT/2002/2405_x000a_ PA/ACT/2002/2406"/>
    <m/>
    <m/>
    <m/>
    <m/>
    <m/>
    <n v="480000000"/>
    <m/>
    <m/>
    <n v="7000000"/>
    <m/>
    <d v="2022-06-02T00:00:00"/>
    <d v="2023-06-01T00:00:00"/>
    <x v="0"/>
    <m/>
    <d v="2025-12-24T00:00:00"/>
    <n v="-937"/>
    <n v="6"/>
    <n v="2023"/>
    <s v="13024/SPP/008/PUSAT/ICON+/2020 | 4500014161| 15788/SPP/008/PUSAT/ICON+/2021| 4500016453"/>
    <s v="18997/SPP/008/PUSAT/ICON+/2022"/>
    <n v="4500018368"/>
    <s v="Fajar Paramita"/>
    <s v="Tito"/>
    <s v="021-5269588 Ext. 620"/>
    <m/>
    <m/>
    <m/>
    <s v="D81"/>
    <s v="E247"/>
    <s v="F301"/>
    <m/>
    <m/>
    <m/>
    <s v="Biaya ORI Sewa Cable Tray Cyber 1 (Karyagraha Nusantara) Rp.7.000.000,-"/>
  </r>
  <r>
    <n v="1187"/>
    <s v="Karyagraha Nusantara "/>
    <s v="CV Media Internet Kudus_x000a_PT. NETCITI PERSADA_x000a_PT Supra Prima Nusantara_x000a_PT. TRANS HYBRID COMMUNICATION qq PT Longrich_x000a_PT. ANAGATA CIPTA TEKNOLOGI_x000a_PT XL Axiata Tbk qq Bank BNI_x000a_PT. JARING SOLUSI PERSADA_x000a_PT Digitel Tech Solutions_x000a_PT Data Prima Solusindo"/>
    <s v="Jl.Kuningan Barat 8 Jakarta 12710"/>
    <x v="0"/>
    <m/>
    <s v="Cyber 1, Jl. Kuningan Barat, Jakarta Selatan"/>
    <s v="Sewa Tahunan"/>
    <s v="Colocation"/>
    <s v="01000334781_x000a_110120205827 / 100000002820000_x000a_01000304026_x000a_01000317606_x000a_01000315365_x000a_01000315886_x000a_111202018690_x000a_01000208742_x000a_"/>
    <m/>
    <m/>
    <m/>
    <m/>
    <m/>
    <m/>
    <m/>
    <m/>
    <n v="7000000"/>
    <m/>
    <d v="2023-06-02T00:00:00"/>
    <d v="2025-06-01T00:00:00"/>
    <x v="0"/>
    <m/>
    <d v="2025-12-24T00:00:00"/>
    <n v="-206"/>
    <n v="6"/>
    <n v="2025"/>
    <s v="18997/SPP/008/PUSAT/ICON+/2022"/>
    <s v="4303/SPP/SBU/PLNICONPLUS/2024"/>
    <n v="4500023480"/>
    <s v="Livia Indraswati"/>
    <s v="Tito"/>
    <s v="021-5269588 Ext. 620"/>
    <m/>
    <m/>
    <m/>
    <m/>
    <m/>
    <m/>
    <m/>
    <s v="H307"/>
    <m/>
    <m/>
  </r>
  <r>
    <n v="1188"/>
    <s v="Karyagraha Nusantara "/>
    <s v="-"/>
    <s v="Jl.Kuningan Barat 8 Jakarta 12710"/>
    <x v="0"/>
    <m/>
    <s v="Cyber 1, Jl. Kuningan Barat, Jakarta Selatan"/>
    <s v="Sewa Tahunan"/>
    <s v="Colocation"/>
    <s v="-"/>
    <m/>
    <m/>
    <m/>
    <m/>
    <m/>
    <s v="-"/>
    <m/>
    <m/>
    <n v="17000000"/>
    <m/>
    <d v="2022-06-30T00:00:00"/>
    <d v="2023-06-29T00:00:00"/>
    <x v="0"/>
    <m/>
    <d v="2025-12-24T00:00:00"/>
    <n v="-909"/>
    <n v="6"/>
    <n v="2023"/>
    <s v="15887/SPP/008/PUSAT/ICON+/2021| 4500016198"/>
    <s v="18959/SPP/008/PUSAT/ICON+/2022"/>
    <n v="4500018369"/>
    <s v="Fajar Paramita"/>
    <s v="Tito"/>
    <s v="021-5269588 Ext. 620"/>
    <m/>
    <m/>
    <m/>
    <m/>
    <s v="E50"/>
    <s v="F305"/>
    <m/>
    <m/>
    <m/>
    <s v="-"/>
  </r>
  <r>
    <n v="1189"/>
    <s v="Karyagraha Nusantara "/>
    <s v="CV Media Internet Kudus_x000a_PT. NETCITI PERSADA_x000a_PT Supra Prima Nusantara_x000a_PT. TRANS HYBRID COMMUNICATION qq PT Longrich_x000a_PT. ANAGATA CIPTA TEKNOLOGI_x000a_PT XL Axiata Tbk qq Bank BNI_x000a_PT. JARING SOLUSI PERSADA_x000a_PT Digitel Tech Solutions_x000a_PT Data Prima Solusindo"/>
    <s v="Jl.Kuningan Barat 8 Jakarta 12710"/>
    <x v="0"/>
    <m/>
    <s v="Cyber 1, Jl. Kuningan Barat, Jakarta Selatan"/>
    <s v="Sewa Tahunan"/>
    <s v="Colocation"/>
    <s v="01000334781_x000a_110120205827 / 100000002820000_x000a_01000304026_x000a_01000317606_x000a_01000315365_x000a_01000315886_x000a_111202018690_x000a_01000208742_x000a_"/>
    <m/>
    <m/>
    <m/>
    <m/>
    <m/>
    <m/>
    <m/>
    <m/>
    <n v="17000000"/>
    <m/>
    <d v="2023-06-30T00:00:00"/>
    <d v="2025-06-29T00:00:00"/>
    <x v="0"/>
    <m/>
    <d v="2025-12-24T00:00:00"/>
    <n v="-178"/>
    <n v="6"/>
    <n v="2025"/>
    <s v="18959/SPP/008/PUSAT/ICON+/2022"/>
    <s v="4306/SPP/SBU/PLNICONPLUS/2024"/>
    <n v="4500023481"/>
    <s v="Livia Indraswati"/>
    <s v="Tito"/>
    <s v="021-5269588 Ext. 620"/>
    <m/>
    <m/>
    <m/>
    <m/>
    <m/>
    <m/>
    <m/>
    <s v="H304"/>
    <m/>
    <m/>
  </r>
  <r>
    <n v="1190"/>
    <s v="Karyagraha Nusantara "/>
    <s v="PT PARSAORAN GLOBAL DATATRANS_x000a_ PT SISTELINDO MITRALINTAS_x000a_ PT. FLASH MOBILE_x000a_ PT. FLASH MOBILE_x000a_ PT.HANASTA DAKARA_x000a_ PT.HANASTA DAKARA_x000a_ PT.HANASTA DAKARA"/>
    <s v="Gedung Cyber Jl. Kuningan Barat No.8 Kuningan Barat Jakarta"/>
    <x v="0"/>
    <m/>
    <s v="Gedung Cyber"/>
    <s v="Sewa Tahunan"/>
    <s v="Colocation"/>
    <s v="990000320299558_x000a_ 990000320297000_x000a_ ICON-00/ACT/1205/0545_x000a_ ICON-00/ACT/1205/0544_x000a_ ICON-00/SOP/1507/0041 _x000a_ ICON-00/SOP/1710/0008 _x000a_ ICON-00/SOP/1507/0061"/>
    <m/>
    <m/>
    <m/>
    <m/>
    <m/>
    <n v="1032000000"/>
    <m/>
    <m/>
    <n v="7500000"/>
    <m/>
    <d v="2023-07-29T00:00:00"/>
    <d v="2024-07-28T00:00:00"/>
    <x v="0"/>
    <m/>
    <d v="2025-12-24T00:00:00"/>
    <n v="-514"/>
    <n v="7"/>
    <n v="2024"/>
    <s v="061316/SPR/008/PUSAT/ICON+/2016 | 08282/SPP/008/PUSAT/ICON+/2018 |4500011290 | 08772/SPP/008/PUSAT/ICON+/2018 | 4500011604 | 11032/SPP/008/PUSAT/ICON+/2019 | 4500012953 | 13716/SPP/008/PUSAT/ICON+/2020 | 4500014639| 15965/SPP/008/PUSAT/ICON+/2021| 4500016271 | 19407/SPP/008/PUSAT/ICON+/2022 | 4500018856"/>
    <s v="584/SPP/SBU/ICON+/2023"/>
    <n v="4500020823"/>
    <s v="Fajar Paramita"/>
    <s v="Tito"/>
    <s v="021-5269588 Ext. 620"/>
    <s v="B48"/>
    <s v="B138"/>
    <s v="C131"/>
    <s v="D352"/>
    <s v="E240"/>
    <s v="F351"/>
    <s v="G182"/>
    <m/>
    <m/>
    <s v="1. Sewa Cable Shaft -UTP 4 pair dari lantai 10 PT Cyberindo Aditama sampai ke lantai 7 IDC, yang melalui lorong Cable Shaft &quot;B&quot; Rp5.500.000 (Th. 2013) update harga tahun 2016 Rp6.500.000 (Perjanjian serupa)"/>
  </r>
  <r>
    <n v="1191"/>
    <s v="Karyagraha Nusantara "/>
    <s v="PT PARSAORAN GLOBAL DATATRANS"/>
    <s v="Gedung Cyber Jl. Kuningan Barat No.8 Kuningan Barat Jakarta"/>
    <x v="0"/>
    <m/>
    <s v="Gedung Cyber"/>
    <s v="Sewa Tahunan"/>
    <s v="Colocation"/>
    <s v="PA/RLK/2102/0024"/>
    <m/>
    <m/>
    <m/>
    <m/>
    <m/>
    <n v="72000000"/>
    <m/>
    <m/>
    <n v="7500000"/>
    <m/>
    <d v="2024-07-29T00:00:00"/>
    <d v="2025-07-28T00:00:00"/>
    <x v="1"/>
    <m/>
    <d v="2025-12-24T00:00:00"/>
    <n v="-149"/>
    <n v="7"/>
    <n v="2025"/>
    <m/>
    <s v="3937/SPP/SBU/PLNICONPLUS/2024"/>
    <n v="4500023186"/>
    <s v="Livia Indraswati"/>
    <s v="Tito"/>
    <s v="021-5269588 Ext. 620"/>
    <m/>
    <m/>
    <m/>
    <m/>
    <m/>
    <m/>
    <m/>
    <s v="H270"/>
    <m/>
    <m/>
  </r>
  <r>
    <n v="1192"/>
    <s v="Karyagraha Nusantara "/>
    <s v="PT XL AXIATA Tbk._x000a_ PT. ARTHA TELEKOMINDO_x000a_ PT. VARNION INTERNASIONAL"/>
    <s v="Gedung Cyber Jl. Kuningan Barat No.8 Kuningan Barat Jakarta"/>
    <x v="0"/>
    <m/>
    <s v="Gedung Cyber"/>
    <s v="Sewa Tahunan"/>
    <s v="Colocation"/>
    <s v="110120206768 / _x000a_0990000320470333"/>
    <m/>
    <m/>
    <m/>
    <m/>
    <m/>
    <n v="1158240000"/>
    <m/>
    <m/>
    <n v="35000000"/>
    <m/>
    <d v="2022-05-28T00:00:00"/>
    <d v="2023-05-27T00:00:00"/>
    <x v="0"/>
    <m/>
    <d v="2025-12-24T00:00:00"/>
    <n v="-942"/>
    <n v="5"/>
    <n v="2023"/>
    <s v="4500009401 _x000a_ Amandemen Ke-Dua Perjanjian Sewa Menyewa Jalur Kabel 132/KN/SUBDUCT/V/2009 |4500010346 |06722/SPP/008/PUSAT/ICON+/2017 |4500011393 | 08447/SPP/008/PUSAT/ICON+/2018 | 10734/SPP/008/PUSAT/ICON+/2019 | 4500012761 | 13359/SPP/008/PUSAT/ICON+/2020 | 4500014450| 15572/SPP/008/PUSAT/ICON+/2021| 4500016058"/>
    <s v="18803/SPP/008/PUSAT/ICON+/2022"/>
    <n v="4500018233"/>
    <s v="Fajar Paramita"/>
    <s v="Tito"/>
    <s v="021-5269588 Ext. 620"/>
    <n v="113"/>
    <s v="B69"/>
    <s v="C98"/>
    <s v="D202"/>
    <s v="E77"/>
    <s v="F198"/>
    <m/>
    <m/>
    <m/>
    <s v="Sewa Subduct (FO 96 core Depan Gedung cyber (Mainhole) ke lantai 1 (APJII)) Rp33.500.000/tahun _x000a_ Jasa Penarikan (One Time Charged)"/>
  </r>
  <r>
    <n v="1193"/>
    <s v="Karyagraha Nusantara "/>
    <s v="PT XL AXIATA Tbk._x000a_ PT. ARTHA TELEKOMINDO_x000a_ PT. VARNION INTERNASIONAL"/>
    <s v="Gedung Cyber Jl. Kuningan Barat No.8 Kuningan Barat Jakarta"/>
    <x v="0"/>
    <m/>
    <s v="Gedung Cyber"/>
    <s v="Sewa Tahunan"/>
    <s v="Colocation"/>
    <s v="110120206768 / _x000a_0990000320470333"/>
    <m/>
    <m/>
    <m/>
    <m/>
    <m/>
    <n v="140400000"/>
    <m/>
    <m/>
    <n v="35000000"/>
    <m/>
    <d v="2023-05-28T00:00:00"/>
    <d v="2025-05-27T00:00:00"/>
    <x v="1"/>
    <m/>
    <d v="2025-12-24T00:00:00"/>
    <n v="-211"/>
    <n v="5"/>
    <n v="2025"/>
    <s v="18803/SPP/008/PUSAT/ICON+/2022"/>
    <s v="4054/SPP/SBU/PLNICONPLUS/2024"/>
    <n v="4500023381"/>
    <s v="Livia Indraswati"/>
    <s v="Tito"/>
    <s v="021-5269588 Ext. 620"/>
    <m/>
    <m/>
    <m/>
    <m/>
    <m/>
    <m/>
    <m/>
    <s v="H335"/>
    <m/>
    <m/>
  </r>
  <r>
    <n v="1194"/>
    <s v="Karyagraha Nusantara "/>
    <s v="Cyberindo Aditama _x000a_ Flash Mobile"/>
    <s v="Gedung Cyber Jl. Kuningan Barat No.8 Kuningan Barat Jakarta"/>
    <x v="0"/>
    <m/>
    <s v="Gedung Cyber"/>
    <s v="Sewa Tahunan"/>
    <s v="Colocation"/>
    <s v="MIG/1705/0004_x000a_ ACT/1205/0544_x000a_ ACT/1205/0545"/>
    <m/>
    <m/>
    <m/>
    <m/>
    <m/>
    <n v="162000000"/>
    <m/>
    <m/>
    <n v="42500000"/>
    <m/>
    <d v="2022-05-10T00:00:00"/>
    <d v="2023-05-09T00:00:00"/>
    <x v="0"/>
    <m/>
    <d v="2025-12-24T00:00:00"/>
    <n v="-960"/>
    <n v="5"/>
    <n v="2023"/>
    <s v="362A/KN/Cable Shaft/IV_04 |4500009402 | 06721/SPP/008/PUSAT/ICON+/2017/ |4500010349 | 08500/SPP/008/PUSAT/ICON+/2018 | 4500011421 | 10518/SPP/008/PUSAT/ICON+/2019 | 4500012670 | 13509/SPP/008/PUSAT/ICON+/2020 | 4500014574| 15571/SPP/008/PUSAT/ICON+/2021| 4500016300"/>
    <s v="18804/SPP/008/PUSAT/ICON+/2022"/>
    <n v="4500018222"/>
    <s v="Fajar Paramita"/>
    <s v="Tito"/>
    <s v="021-5269588 Ext. 620"/>
    <n v="114"/>
    <s v="B70"/>
    <s v="C73"/>
    <s v="D204"/>
    <s v="E118"/>
    <s v="F207"/>
    <m/>
    <m/>
    <m/>
    <s v="1.Sewa Cable Shaft (FO 12 core dari Subduct depan Gedung Cyber Menuju Lt.10) Rp33.500.000,- _x000a_ 2. Sewa Panel Box Rp6.500.000/tahun_x000a_ 3. Jasa Penarikan (One Time Charged)"/>
  </r>
  <r>
    <n v="1195"/>
    <s v="Karyagraha Nusantara "/>
    <s v="CV Media Internet Kudus_x000a_PT. NETCITI PERSADA_x000a_PT Supra Prima Nusantara_x000a_PT. TRANS HYBRID COMMUNICATION qq PT Longrich_x000a_PT. ANAGATA CIPTA TEKNOLOGI_x000a_PT XL Axiata Tbk qq Bank BNI_x000a_PT. JARING SOLUSI PERSADA_x000a_PT Digitel Tech Solutions_x000a_PT Data Prima Solusindo"/>
    <s v="Gedung Cyber Jl. Kuningan Barat No.8 Kuningan Barat Jakarta"/>
    <x v="0"/>
    <m/>
    <s v="Gedung Cyber"/>
    <s v="Sewa Tahunan"/>
    <s v="Colocation"/>
    <s v="01000334781_x000a_110120205827 / 100000002820000_x000a_01000304026_x000a_01000317606_x000a_01000315365_x000a_01000315886_x000a_111202018690_x000a_01000208742_x000a_"/>
    <m/>
    <m/>
    <m/>
    <m/>
    <m/>
    <m/>
    <m/>
    <m/>
    <n v="42500000"/>
    <m/>
    <d v="2023-05-10T00:00:00"/>
    <d v="2025-05-09T00:00:00"/>
    <x v="0"/>
    <m/>
    <d v="2025-12-24T00:00:00"/>
    <n v="-229"/>
    <n v="5"/>
    <n v="2025"/>
    <s v="18804/SPP/008/PUSAT/ICON+/2022"/>
    <s v="4304/SPP/SBU/PLNICONPLUS/2024"/>
    <n v="4500023484"/>
    <s v="Livia Indraswati"/>
    <s v="Tito"/>
    <s v="021-5269588 Ext. 620"/>
    <m/>
    <m/>
    <m/>
    <m/>
    <m/>
    <m/>
    <m/>
    <s v="H306"/>
    <m/>
    <m/>
  </r>
  <r>
    <n v="1196"/>
    <s v="Karyagraha Nusantara "/>
    <s v="PT.HANASTA DAKARA"/>
    <s v="Gedung Cyber Jl. Kuningan Barat No.8 Kuningan Barat Jakarta"/>
    <x v="0"/>
    <m/>
    <s v="Gedung Cyber"/>
    <s v="Sewa Tahunan"/>
    <s v="Colocation"/>
    <s v="ICON-00/SBC/1610/0009_x000a_ ICON-00/SBC/1611/0605_x000a_ ICON-00/SBC/1703/0283_x000a_ ICON-00/SBC/1705/0136_x000a_ ICON-00/SBC/1708/0783_x000a_ ICON-00/SBC/1708/1327_x000a_ AL/1808/8640_x000a_ AL/1808/8641_x000a_ AL/1812/17440_x000a_ AL/1903/5003_x000a_ ICON-00/SBC/1809/0015_x000a_ AL/1810/10855"/>
    <m/>
    <m/>
    <m/>
    <m/>
    <m/>
    <n v="204000000"/>
    <m/>
    <m/>
    <n v="35000000"/>
    <m/>
    <d v="2022-08-23T00:00:00"/>
    <d v="2024-08-22T00:00:00"/>
    <x v="0"/>
    <m/>
    <d v="2025-12-24T00:00:00"/>
    <n v="-489"/>
    <n v="8"/>
    <n v="2024"/>
    <s v="4500009670 |08061/SPP/008/PUSAT/ICON+/2018 | 4500011266 | 08887/SPP/008/PUSAT/ICON+/2018 | 4500011679 | 11070/SPP/008/PUSAT/ICON+/2019 | 4500012955 | 13799/SPP/008/PUSAT/ICON+/2020 | 4500014682"/>
    <s v="2331/SPP/SBU/ICON+/2024"/>
    <n v="4500022456"/>
    <s v="Fajar Paramita"/>
    <s v="Tito"/>
    <s v="021-5269588 Ext. 620"/>
    <s v="B78"/>
    <s v="B125"/>
    <s v="C128"/>
    <s v="D160"/>
    <m/>
    <m/>
    <s v="H253"/>
    <m/>
    <m/>
    <s v="Sewa Subduct (FO 16 Core dari Mainhole ke Lt. 7) - Rp33.500.000,-_x000a_ Biaya Penarikan Kabel FO-Rp2.000.000,- (non resmi-One Time Charged) (PJ No. 078/KN-D/SUBDUCT/VIII/01)"/>
  </r>
  <r>
    <n v="1197"/>
    <s v="Karyagraha Nusantara "/>
    <s v="PT.HANASTA DAKARA"/>
    <s v="Gedung Cyber Jl. Kuningan Barat No.8 Kuningan Barat Jakarta"/>
    <x v="0"/>
    <m/>
    <s v="Gedung Cyber"/>
    <s v="Sewa Tahunan"/>
    <s v="Colocation"/>
    <s v="PA/ACT/1908/4074_x000a_PA/ACT/1810/1607"/>
    <m/>
    <m/>
    <m/>
    <m/>
    <m/>
    <n v="151410000"/>
    <m/>
    <m/>
    <n v="35000000"/>
    <m/>
    <d v="2024-08-23T00:00:00"/>
    <d v="2025-08-22T00:00:00"/>
    <x v="0"/>
    <m/>
    <d v="2025-12-24T00:00:00"/>
    <n v="-124"/>
    <n v="8"/>
    <n v="2025"/>
    <s v="2331/SPP/SBU/ICON+/2024"/>
    <s v="4301/SPP/SBU/PLNICONPLUS/2024"/>
    <n v="4500023486"/>
    <s v="Livia Indraswati"/>
    <s v="Tito"/>
    <s v="021-5269588 Ext. 620"/>
    <m/>
    <m/>
    <m/>
    <m/>
    <m/>
    <m/>
    <m/>
    <s v="H340"/>
    <m/>
    <m/>
  </r>
  <r>
    <n v="1198"/>
    <s v="Karyagraha Nusantara "/>
    <s v="PT Indonet"/>
    <s v="Gedung Cyber Jl. Kuningan Barat No.8 Kuningan Barat Jakarta"/>
    <x v="0"/>
    <m/>
    <s v="Gedung Cyber"/>
    <s v="Sewa Tahunan"/>
    <s v="Colocation"/>
    <s v="ICON-00/ACT/1701/0763 _x000a_ ICON-00/ACT/1701/0813 _x000a_ ICON-00/SOP/1607/0106 _x000a_ ICON-00/SOP/1505/0054 _x000a_ ICON-00/ACT/1503/0058 _x000a_ ICON-00/SOP/1703/0095"/>
    <m/>
    <m/>
    <m/>
    <m/>
    <m/>
    <m/>
    <m/>
    <m/>
    <n v="17000000"/>
    <m/>
    <d v="2023-09-06T00:00:00"/>
    <d v="2024-09-05T00:00:00"/>
    <x v="0"/>
    <m/>
    <d v="2025-12-24T00:00:00"/>
    <n v="-475"/>
    <n v="9"/>
    <n v="2024"/>
    <s v="4500009707_x000a_ Amandemen Kedua 07326/SPP/008/PUSAT/ICON+/2017 4500010738 | 09046/SPP/008/PUSAT/ICON+/2018 | 4500011779 | 11660/SPP/008/PUSAT/ICON+/2019 | 4500013290| 13983/SPP/008/PUSAT/ICON+/2020| 4500014857| 18428/SPP/008/PUSAT/ICON+/2022| 4500017892 | 19253/SPP/008/PUSAT/ICON+/2022 | 4500018445"/>
    <s v="586/SPP/SBU/ICON+/2023"/>
    <n v="4500020939"/>
    <s v="Fajar Paramita"/>
    <s v="Tito"/>
    <s v="021-5269588 Ext. 620"/>
    <s v="B17"/>
    <s v="B148"/>
    <s v="C193"/>
    <s v="D178"/>
    <s v="F142"/>
    <s v="F264"/>
    <s v="G393"/>
    <m/>
    <m/>
    <s v="Sewa Menyewa Cable Shaft dari Lt. Basement PT Indonesia Comnets Plus ke Lt. 8 (PT Indonet)"/>
  </r>
  <r>
    <n v="1199"/>
    <s v="Karyagraha Nusantara "/>
    <s v="PT.HANASTA DAKARA_x000a_ PT. GLOBAL KOMUNIKA DEWATA"/>
    <s v="Gedung Cyber Jl. Kuningan Barat No.8 Kuningan Barat Jakarta"/>
    <x v="0"/>
    <m/>
    <s v="Gedung Cyber"/>
    <s v="Sewa Tahunan"/>
    <s v="Colocation"/>
    <s v="100000042820001_x000a_ 1000037511_x000a_ 990000020265432_x000a_ 990000020261346_x000a_ 1000029813_x000a_ 1000043301_x000a_ 1000042892"/>
    <m/>
    <m/>
    <m/>
    <m/>
    <m/>
    <n v="2470800000"/>
    <m/>
    <m/>
    <n v="52000000"/>
    <m/>
    <d v="2023-09-04T00:00:00"/>
    <d v="2024-09-03T00:00:00"/>
    <x v="1"/>
    <m/>
    <d v="2025-12-24T00:00:00"/>
    <n v="-477"/>
    <n v="9"/>
    <n v="2024"/>
    <s v="4500009705 | 08031/SPP/008/PUSAT/ICON+/2018 | 4500011267 | 09077/SPP/008/PUSAT/ICON+/2018 | 4500011783 | 11461/SPP/008/PUSAT/ICON+/2019 | 4500013200| 13984/SPP/008/PUSAT/ICON+/2020 | 4500014998| 16862/SPP/008/PUSAT/ICON+/2021| 4500016998 | 19241/SPP/008/PUSAT/ICON+/2022 | 4500018456"/>
    <s v="579/SPP/SBU/ICON+/2023"/>
    <n v="4500020824"/>
    <s v="Fajar Paramita"/>
    <s v="Tito"/>
    <s v="021-5269588 Ext. 620"/>
    <s v="B43"/>
    <s v="B190"/>
    <s v="C175"/>
    <s v="E317"/>
    <m/>
    <s v="F265"/>
    <s v="G172"/>
    <m/>
    <m/>
    <s v="Sewa Subduct (FO 96 Core dan Sewa Cable Shaft 24 Core dari mainhole ke Lt.7 di gedung Cyber)"/>
  </r>
  <r>
    <n v="1200"/>
    <s v="Karyagraha Nusantara "/>
    <s v="PT. MATRIXNET GLOBAL INDONESIA_x000a_ PT. ARTHA TELEKOMINDO_x000a_ PT. HIPERNET INDODATA_x000a_ PT. HAWK TEKNOLOGI SOLUSI"/>
    <s v="Gedung Cyber Jl. Kuningan Barat No.8 Kuningan Barat Jakarta"/>
    <x v="0"/>
    <m/>
    <s v="Gedung Cyber"/>
    <s v="Sewa Tahunan"/>
    <s v="Colocation"/>
    <s v="ICON-00/SBC/1810/0136_x000a_ AL/1810/12176_x000a_ ICON-00/SBC/1709/0314_x000a_ AL/1810/12129_x000a_ AL/1810/12128_x000a_ AL/1805/3436_x000a_ ICON-00/SBC/1803/0021_x000a_ ICON-00/SBC/1609/0095_x000a_ ICON-00/SBC/1209/0518_x000a_ ICON-00/SBC/1202/0123_x000a_ ICON-00/SBC/1708/0536_x000a_ ICON-00/SBC/1701/0007_x000a_ ICON-00/SBC/1612/0288_x000a_ ICON-00/SBC/1609/0094_x000a_ ICON-00/SBC/1609/0093_x000a_ ICON-00/SBC/1504/0714_x000a_ ICON-00/SBC/1504/0713_x000a_ ICON-00/SBC/1211/0446_x000a_ AL/1809/9388_x000a_ ICON-00/SBC/1406/0343_x000a_ AL/1809/9388_x000a_ ICON-00/SBC/1406/0343_x000a_ ICON-00/SBC/1712/0633_x000a_ ICON-00/SBC/1302/0440"/>
    <m/>
    <m/>
    <m/>
    <m/>
    <m/>
    <n v="1092000000"/>
    <m/>
    <m/>
    <n v="35000000"/>
    <m/>
    <d v="2022-12-29T00:00:00"/>
    <d v="2024-12-28T00:00:00"/>
    <x v="1"/>
    <m/>
    <d v="2025-12-24T00:00:00"/>
    <n v="-361"/>
    <n v="12"/>
    <n v="2024"/>
    <s v="4500009958 | 07584/SPP/008/PUSAT/ICON+/2017 |4500010908 | 09769/SPP/008/PUSAT/ICON+/2018 |4500012231 | 12174/SPP/008/PUSAT/ICON+/2019 | 4500013735| 14795/SPP/008/PUSAT/ICON+/2020| 4500015420 | 17501/SPP/008/PUSAT/ICON+/2021 | 4500017569"/>
    <s v="2496/SPP/SBU/ICON+/2024"/>
    <n v="4500022803"/>
    <s v="Fajar Paramita"/>
    <s v="Tito"/>
    <s v="021-5269588 Ext. 620"/>
    <n v="134"/>
    <s v="B263"/>
    <s v="D10"/>
    <s v="E179"/>
    <m/>
    <s v="F64"/>
    <s v="H252"/>
    <m/>
    <m/>
    <s v="Sewa Subduct dari Rack ICON+ Lantai Basement (PABX) sampai ke Handhole Depan Gedung Cyber untuk penempatan 1 (satu) buah kabel FO 4 core (PJ Nomor 069/KN/SUBDUCT/XII/05)"/>
  </r>
  <r>
    <n v="1201"/>
    <s v="Karyagraha Nusantara "/>
    <s v="PT XL AXIATA Tbk."/>
    <s v="Gedung Cyber Jl. Kuningan Barat No.8 Kuningan Barat Jakarta"/>
    <x v="0"/>
    <m/>
    <s v="Gedung Cyber"/>
    <s v="Sewa Tahunan"/>
    <s v="Colocation"/>
    <s v="PA/ACT/1804/0749_x000a_ PA/ACT/1804/1002_x000a_ ICON-00/SBC/1802/0197_x000a_ ICON-00/SBC/1611/0388_x000a_ ICON-00/SBC/1604/0771_x000a_ ICON-00/SBC/1512/0180_x000a_ ICON-00/SBC/1510/0605_x000a_ ICON-00/SBC/1504/0328_x000a_ ICON-00/SBC/1609/0551_x000a_ ICON-00/SBC/1512/0184_x000a_ ICON-00/SBC/1609/0552_x000a_ ICON-00/SBC/1703/0667_x000a_ ICON-00/SBC/1703/0143_x000a_ ICON-00/SBC/1611/0307_x000a_ ICON-00/SBC/1609/0540_x000a_ ICON-00/SBC/1609/0526_x000a_ ICON-00/SBC/1602/0100_x000a_ ICON-00/SBC/1510/0611_x000a_ ICON-00/SBC/1510/0604_x000a_ ICON-00/SBC/1509/0613_x000a_ ICON-00/SBC/1509/0586_x000a_ ICON-00/SBC/1509/0585_x000a_ ICON-00/SBC/1509/0584_x000a_ ICON-00/SBC/1509/0583_x000a_ ICON-00/SBC/1509/0273_x000a_ ICON-00/SBC/1508/0578_x000a_ ICON-00/SBC/1504/0330_x000a_ ICON-00/SBC/1504/0327_x000a_ ICON-00/SBC/1412/0167_x000a_ ICON-00/SBC/1411/0127_x000a_ ICON-00/SBC/1406/0274_x000a_ ICON-00/SBC/1405/0112_x000a_ ICON-00/SBC/1405/0111_x000a_ ICON-00/SBC/1401/0057_x000a_ ICON-00/SBC/1401/0055#3104_x000a_ ICON-00/SBC/1401/0055#3103_x000a_ ICON-00/SBC/1311/0347_x000a_ ICON-00/SBC/1311/0008_x000a_ ICON-00/SBC/1304/0125_x000a_ ICON-00/SBC/1211/0377_x000a_ ICON-00/SBC/1207/0007_x000a_ ICON-00/SBC/1206/0216_x000a_ ICON-00/SBC/1206/0123_x000a_ ICON-00/SBC/1204/0034_x000a_ ICON-00/SBC/1202/0158_x000a_ ICON-00/SBC/1108/1466_x000a_ ICON-00/SBC/1107/1347_x000a_ 363548/1263528792/2"/>
    <m/>
    <m/>
    <m/>
    <m/>
    <m/>
    <n v="2337804000"/>
    <m/>
    <m/>
    <n v="7500000"/>
    <m/>
    <d v="2022-12-29T00:00:00"/>
    <d v="2024-12-28T00:00:00"/>
    <x v="1"/>
    <m/>
    <d v="2025-12-24T00:00:00"/>
    <n v="-361"/>
    <n v="12"/>
    <n v="2024"/>
    <s v="0181116/SPR/ICON+/2016 07615/SPP/008/PUSAT/ICON+/2017 4500010954 | 09704/SPP/008/PUSAT/ICON+/2018 | 4500012170 | 12209/SPP/008/PUSAT/ICON+/2019 | 4500013736|14780/SPP/008/PUSAT/ICON+/2020| 14780/SPP/008/PUSAT/ICON+/2020| 4500015421 | 17500/SPP/008/PUSAT/ICON+/2021 | 4500017568"/>
    <s v="2332/SPP/SBU/PLNICONPLUS/2024"/>
    <n v="4500022478"/>
    <s v="Fajar Paramita"/>
    <s v="Tito"/>
    <s v="021-5269588 Ext. 620"/>
    <n v="145"/>
    <s v="B262"/>
    <s v="D11"/>
    <s v="D11"/>
    <s v="E162"/>
    <s v="F63"/>
    <s v="H254"/>
    <m/>
    <m/>
    <s v="Sewa Cable Shaft -STP dari Lt.5 (PT Excelcomindo Pratama) ke Lantai 1 (APJII) melalui lorong cable shaft &quot;B&quot; Rp7.500.000/tahun (PJ No. 930/KN/Cable Shaft/XII/2009)"/>
  </r>
  <r>
    <n v="1202"/>
    <s v="Karyagraha Nusantara "/>
    <s v="PT IPWAN GLOBAL TELECOMM"/>
    <s v="Gedung Cyber Jl. Kuningan Barat No.8 Kuningan Barat Jakarta"/>
    <x v="0"/>
    <m/>
    <s v="Gedung Cyber"/>
    <s v="Sewa Tahunan"/>
    <s v="Colocation"/>
    <s v="AL/2010/50623"/>
    <m/>
    <m/>
    <m/>
    <m/>
    <m/>
    <n v="33000000"/>
    <m/>
    <m/>
    <n v="7500000"/>
    <m/>
    <d v="2022-01-21T00:00:00"/>
    <d v="2023-01-20T00:00:00"/>
    <x v="0"/>
    <m/>
    <d v="2025-12-24T00:00:00"/>
    <n v="-1069"/>
    <n v="1"/>
    <n v="2023"/>
    <s v="2230117/SPR/ICON+/2017 | 08176/SPP/008/PUSAT/ICON+/2018 | 4500011268 | 10022/SPP/008/PUSAT/ICON+/2019 | 4500012421 | 12503/SPP/008/PUSAT/ICON+/2020 | 4500013867 | 12503/SPP/008/PUSAT/ICON+/2020 | 4500013867| 15133/SPP/008/PUSAT/ICON+/2021| 4500015724"/>
    <s v="17623/SPP/008/PUSAT/ICON+/2022"/>
    <n v="4500017884"/>
    <s v="Fajar Paramita"/>
    <s v="Tito"/>
    <s v="021-5269588 Ext. 620"/>
    <m/>
    <s v="B41"/>
    <s v="C21"/>
    <s v="D25"/>
    <s v="E42"/>
    <s v="F138"/>
    <m/>
    <m/>
    <m/>
    <s v="1. Sewa Cable Shaft STP dari Data Center APJII Cage KS di Lt. 1 ke CDC Media Nusantara Data Global di Lt. 2 PT Ipwan Global Telecom Rp6.000.000/tahun update tahun 2016 menjadi Rp6.500.000,-/tahun_x000a_ 2. Jasa Penarikan Rp2.600.000/One Time Charge"/>
  </r>
  <r>
    <n v="1203"/>
    <s v="Karyagraha Nusantara "/>
    <s v="PT IPWAN GLOBAL TELECOMM"/>
    <s v="Gedung Cyber Jl. Kuningan Barat No.8 Kuningan Barat Jakarta"/>
    <x v="0"/>
    <m/>
    <s v="Gedung Cyber"/>
    <s v="Sewa Tahunan"/>
    <s v="Colocation"/>
    <s v="AL/2010/50623"/>
    <m/>
    <m/>
    <m/>
    <m/>
    <m/>
    <n v="84000000"/>
    <m/>
    <m/>
    <n v="7500000"/>
    <m/>
    <d v="2023-01-21T00:00:00"/>
    <d v="2025-01-20T00:00:00"/>
    <x v="1"/>
    <m/>
    <d v="2025-12-24T00:00:00"/>
    <n v="-338"/>
    <n v="1"/>
    <n v="2025"/>
    <m/>
    <s v="4056/SPP/SBU/PLNICONPLUS/2024"/>
    <n v="4500023280"/>
    <s v="Livia Indraswati"/>
    <s v="Tito"/>
    <s v="021-5269588 Ext. 621"/>
    <m/>
    <m/>
    <m/>
    <m/>
    <m/>
    <m/>
    <m/>
    <s v="H286"/>
    <m/>
    <s v="1. Sewa Cable Shaft STP dari Data Center APJII Cage KS di Lt. 1 ke CDC Media Nusantara Data Global di Lt. 2 PT Ipwan Global Telecom Rp6.000.000/tahun update tahun 2016 menjadi Rp6.500.000,-/tahun_x000a_ 2. Jasa Penarikan Rp2.600.000/One Time Charge"/>
  </r>
  <r>
    <n v="1204"/>
    <s v="Karyagraha Nusantara "/>
    <s v="PT IPWAN GLOBAL TELECOMM"/>
    <s v="Gedung Cyber Jl. Kuningan Barat No.8 Kuningan Barat Jakarta"/>
    <x v="0"/>
    <m/>
    <s v="Gedung Cyber"/>
    <s v="Sewa Tahunan"/>
    <s v="Colocation"/>
    <s v="AL/2010/50624"/>
    <m/>
    <m/>
    <m/>
    <m/>
    <m/>
    <n v="84000000"/>
    <m/>
    <m/>
    <n v="7500000"/>
    <m/>
    <d v="2022-01-29T00:00:00"/>
    <d v="2023-01-28T00:00:00"/>
    <x v="0"/>
    <m/>
    <d v="2025-12-24T00:00:00"/>
    <n v="-1061"/>
    <n v="1"/>
    <n v="2023"/>
    <s v="2220117/SPR/008/PUSAT/ICON+/2017 | 08007/SPP/008/PUSAT/ICON+/2018 | 4500011168 | 10019/SPP/008/PUSAT/ICON+/2019 | 4500012416 | 12504/SPP/008/PUSAT/ICON+/2020 | 4500013868| 15134/SPP/008/PUSAT/ICON+/2021| 4500015725"/>
    <s v="17674/SPP/008/PUSAT/ICON+/2022"/>
    <n v="4500017885"/>
    <s v="Fajar Paramita"/>
    <s v="Tito"/>
    <s v="021-5269588 Ext. 620"/>
    <m/>
    <s v="B20"/>
    <s v="C19"/>
    <s v="D26"/>
    <s v="E158"/>
    <s v="F136"/>
    <m/>
    <m/>
    <m/>
    <s v="1. Sewa Cable Shaft STP dari Data Center APJII Cage KS di Lt. 1 ke CDC Media Nusantara Data Global di Lt. 2 PT Ipwan Global Telecom (Back Up) Rp6.000.000/tahun update tahun 2016 naik menjadi Rp6.500.000,-_x000a_ 2. Jasa Penarikan Rp2.600.000/One Time Charge"/>
  </r>
  <r>
    <n v="1205"/>
    <s v="Karyagraha Nusantara "/>
    <s v="PT IPWAN GLOBAL TELECOMM"/>
    <s v="Gedung Cyber Jl. Kuningan Barat No.8 Kuningan Barat Jakarta"/>
    <x v="0"/>
    <m/>
    <s v="Gedung Cyber"/>
    <s v="Sewa Tahunan"/>
    <s v="Colocation"/>
    <s v="AL/2010/50624"/>
    <m/>
    <m/>
    <m/>
    <m/>
    <m/>
    <n v="84000000"/>
    <m/>
    <m/>
    <n v="7500000"/>
    <m/>
    <d v="2023-01-29T00:00:00"/>
    <d v="2025-01-28T00:00:00"/>
    <x v="1"/>
    <m/>
    <d v="2025-12-24T00:00:00"/>
    <n v="-330"/>
    <n v="1"/>
    <n v="2025"/>
    <m/>
    <s v="4057/SPP/SBU/PLNICONPLUS/2024"/>
    <n v="4500023281"/>
    <s v="Livia Indraswati"/>
    <s v="Tito"/>
    <s v="021-5269588 Ext. 620"/>
    <m/>
    <m/>
    <m/>
    <m/>
    <m/>
    <m/>
    <m/>
    <s v="H287"/>
    <m/>
    <s v="1. Sewa Cable Shaft STP dari Data Center APJII Cage KS di Lt. 1 ke CDC Media Nusantara Data Global di Lt. 2 PT Ipwan Global Telecom (Back Up) Rp6.000.000/tahun update tahun 2016 naik menjadi Rp6.500.000,-_x000a_ 2. Jasa Penarikan Rp2.600.000/One Time Charge"/>
  </r>
  <r>
    <n v="1206"/>
    <s v="Karyagraha Nusantara "/>
    <s v="PT DESIGN JAYA INDONESIA"/>
    <s v="Gedung Cyber Jl. Kuningan Barat No.8 Kuningan Barat Jakarta"/>
    <x v="0"/>
    <m/>
    <s v="Gedung Cyber"/>
    <s v="Sewa Tahunan"/>
    <s v="Colocation"/>
    <s v="ICON-00/SBC/1811/0010"/>
    <m/>
    <m/>
    <m/>
    <m/>
    <m/>
    <n v="80400000"/>
    <m/>
    <m/>
    <n v="3500000"/>
    <m/>
    <d v="2023-03-02T00:00:00"/>
    <d v="2024-03-01T00:00:00"/>
    <x v="0"/>
    <m/>
    <d v="2025-12-24T00:00:00"/>
    <n v="-663"/>
    <n v="3"/>
    <n v="2024"/>
    <s v="PJ 009/KN/CABLE TRAY/III/2014 | _x000a_ 022217/SPR/008/PUSAT/ICON+/2016 |_x000a_ 08303/SPP/008/PUSAT/ICON+/2018 | 4500011357 | 10591/SPP/008/PUSAT/ICON+/2019 | 4500012658 | 12717/SPP/008/PUSAT/ICON+/2020 | 4500013997| 15250/SPP/008/PUSAT/ICON+/2021| 4500016449 | 18372/SPP/008/PUSAT/ICON+/2022 | 4500017865"/>
    <s v="2333/SPP/SBU/ICON+/2024"/>
    <n v="4500022196"/>
    <s v="Fajar Paramita"/>
    <s v="Tito"/>
    <s v="021-5269588 Ext. 620"/>
    <m/>
    <s v="B68"/>
    <s v="C68"/>
    <s v="D67"/>
    <s v="E236"/>
    <s v="F143"/>
    <s v="H255"/>
    <m/>
    <m/>
    <s v="1. Sewa Shaft Kabel STP dari Ruang Data Center CBN di Lt.10 menuju ke Data Center Flash Mobile di Lt.10 @ Rp2.000.000/tahun/tarikan total untuk 2 tarikan Rp4.000.000/tahun update tahun 2016 @Rp2.500.000,-_x000a_ 2. Jasa Penarikan Kabel FO One Time Charged @ Rp2.000.000,-/tarikan/One tima Charged total untuk 2 tarikan Rp4.000.000/One Time Charged _x000a_(PJ No. 009/KN/Cable Tray/III/2014)"/>
  </r>
  <r>
    <n v="1207"/>
    <s v="Karyagraha Nusantara "/>
    <s v="CV Media Internet Kudus_x000a_PT. NETCITI PERSADA_x000a_PT Supra Prima Nusantara_x000a_PT. TRANS HYBRID COMMUNICATION qq PT Longrich_x000a_PT. ANAGATA CIPTA TEKNOLOGI_x000a_PT XL Axiata Tbk qq Bank BNI_x000a_PT. JARING SOLUSI PERSADA_x000a_PT Digitel Tech Solutions_x000a_PT Data Prima Solusindo"/>
    <s v="Gedung Cyber Jl. Kuningan Barat No.8 Kuningan Barat Jakarta"/>
    <x v="0"/>
    <m/>
    <s v="Gedung Cyber"/>
    <s v="Sewa Tahunan"/>
    <s v="Colocation"/>
    <s v="01000334781_x000a_110120205827 / 100000002820000_x000a_01000304026_x000a_01000317606_x000a_01000315365_x000a_01000315886_x000a_111202018690_x000a_01000208742_x000a_"/>
    <m/>
    <m/>
    <m/>
    <m/>
    <m/>
    <m/>
    <m/>
    <m/>
    <n v="3500000"/>
    <m/>
    <d v="2024-03-02T00:00:00"/>
    <d v="2025-03-01T00:00:00"/>
    <x v="1"/>
    <m/>
    <d v="2025-12-24T00:00:00"/>
    <n v="-298"/>
    <n v="3"/>
    <n v="2025"/>
    <s v="2333/SPP/SBU/ICON+/2024"/>
    <s v="4302/SPP/SBU/PLNICONPLUS/2024"/>
    <n v="4500023479"/>
    <s v="Livia Indraswati"/>
    <s v="Tito"/>
    <s v="021-5269588 Ext. 620"/>
    <m/>
    <m/>
    <m/>
    <m/>
    <m/>
    <m/>
    <m/>
    <s v="H303"/>
    <m/>
    <m/>
  </r>
  <r>
    <n v="1208"/>
    <s v="Karyagraha Nusantara "/>
    <s v="PT LINTAS JARINGAN NUSANTARA"/>
    <s v="Gedung Cyber Jl. Kuningan Barat No.8 Kuningan Barat Jakarta"/>
    <x v="0"/>
    <m/>
    <s v="Gedung Cyber"/>
    <s v="Sewa Tahunan"/>
    <s v="Colocation"/>
    <s v="ICON-00/SBC/1611/0332"/>
    <m/>
    <m/>
    <m/>
    <m/>
    <m/>
    <n v="300000000"/>
    <m/>
    <m/>
    <n v="6500000"/>
    <m/>
    <d v="2019-01-09T00:00:00"/>
    <d v="2020-01-08T00:00:00"/>
    <x v="0"/>
    <m/>
    <d v="2025-12-24T00:00:00"/>
    <n v="-2177"/>
    <n v="1"/>
    <n v="2020"/>
    <s v="2240117/SPR/ICON+/2017 | 08208/SPP/008/PUSAT/ICON+/2018 | 4500011297"/>
    <s v="09874/SPP/008/PUSAT/ICON+/2018"/>
    <n v="4500012317"/>
    <s v="Fajar Paramita"/>
    <s v="Tito"/>
    <s v="021-5269588 Ext. 620"/>
    <s v="-"/>
    <s v="B49"/>
    <s v="B281"/>
    <m/>
    <m/>
    <m/>
    <m/>
    <m/>
    <m/>
    <s v="1. Sewa Kabel Shaft unutk 1 fo 6 core dari APJII Cage ke PT Multitech Infomedia Lt.1 (Data Center MDC sebrang Gedung Cyber 1) Rp5.500.000,-/Tahun update tahun 2016 naik menjadi Rp6.000.000,-"/>
  </r>
  <r>
    <n v="1209"/>
    <s v="Karyagraha Nusantara "/>
    <s v="PT Mitra Visioner Pratama"/>
    <s v="Gedung Cyber Jl. Kuningan Barat No.8 Kuningan Barat Jakarta"/>
    <x v="0"/>
    <m/>
    <s v="Gedung Cyber"/>
    <s v="Sewa Tahunan"/>
    <s v="Colocation"/>
    <s v="990000320643284_x000a_ ICON-00/ACT/1703/0380"/>
    <m/>
    <m/>
    <m/>
    <m/>
    <m/>
    <n v="121800000"/>
    <m/>
    <m/>
    <n v="9000000"/>
    <m/>
    <d v="2019-06-17T00:00:00"/>
    <d v="2020-06-16T00:00:00"/>
    <x v="2"/>
    <m/>
    <d v="2025-12-24T00:00:00"/>
    <n v="-2017"/>
    <n v="6"/>
    <n v="2020"/>
    <s v="07346/SPP/008/PUSAT/ICON+/2017 | 4500010834 | 08621/SPP/008/PUSAT/ICON+/2018 | 4500011562"/>
    <s v="10897/SPP/008/PUSAT/ICON+/2019"/>
    <n v="4500012950"/>
    <s v="Fajar Paramita"/>
    <s v="Tito"/>
    <s v="021-5269588 Ext. 620"/>
    <n v="109"/>
    <s v="B105"/>
    <s v="C129"/>
    <m/>
    <m/>
    <m/>
    <m/>
    <m/>
    <m/>
    <s v="Biaya Sewa Rp.8.500.000 , Biaya Materai Rp.6.000.000"/>
  </r>
  <r>
    <n v="1210"/>
    <s v="Karyagraha Nusantara "/>
    <s v="PT DESIGN JAYA INDONESIA"/>
    <s v="Gedung Cyber Jl. Kuningan Barat No.8 Kuningan Barat Jakarta"/>
    <x v="0"/>
    <m/>
    <s v="Gedung Cyber"/>
    <s v="Sewa Tahunan"/>
    <s v="Colocation"/>
    <s v="ICON-00/DOW/1704/0012 _x000a_  ICON-00/SBC/1708/0661_x000a_ ICON-00/DOW/1704/0010 _x000a_  ICON-00/SBC/1708/0660"/>
    <m/>
    <m/>
    <m/>
    <m/>
    <m/>
    <n v="80400000"/>
    <m/>
    <m/>
    <n v="3500000"/>
    <m/>
    <d v="2022-03-02T00:00:00"/>
    <d v="2023-03-01T00:00:00"/>
    <x v="0"/>
    <m/>
    <d v="2025-12-24T00:00:00"/>
    <n v="-1029"/>
    <n v="3"/>
    <n v="2023"/>
    <s v="369/KN/CABLE TRAY/III/2014 |032214_MI_2540117_SPR_PRMN PBYN Perpanjangan Sewa Cable di Karyagraha Nusantara PJ 369 | 08192/SPP/008/PUSAT/ICON+/2018 | 4500011273 | 10611/SPP/008/PUSAT/ICON+/2019 | 4500012659 | 4500014655 | 12771/SPP/008/PUSAT/ICON+/2020| 15251/SPP/008/PUSAT/ICON+/2021| 4500016456"/>
    <s v="18373/SPP/008/PUSAT/ICON+/2022"/>
    <n v="4500017864"/>
    <s v="Fajar Paramita"/>
    <s v="Tito"/>
    <s v="021-5269588 Ext. 620"/>
    <m/>
    <s v="B46"/>
    <s v="C67"/>
    <s v="D349"/>
    <s v="E241"/>
    <s v="F141"/>
    <m/>
    <m/>
    <m/>
    <s v="1. Sewa Shaft Kabel STP dari Ruang Data Center CBN di Lt.10 menuju ke Data Center Flash Mobile di Lt.10 @ Rp2.000.000/tahun/tarikan total untuk 2 tarikan Rp4.000.000/tahun update tahun 2016 @Rp2.500.000,-_x000a_ 2. Jasa Penarikan Kabel FO One Time Charged @ Rp2.000.000,-/tarikan/One tima Charged total untuk 2 tarikan Rp4.000.000/One Time Charged"/>
  </r>
  <r>
    <n v="1211"/>
    <s v="Karyagraha Nusantara "/>
    <s v="CV Media Internet Kudus_x000a_PT. NETCITI PERSADA_x000a_PT Supra Prima Nusantara_x000a_PT. TRANS HYBRID COMMUNICATION qq PT Longrich_x000a_PT. ANAGATA CIPTA TEKNOLOGI_x000a_PT XL Axiata Tbk qq Bank BNI_x000a_PT. JARING SOLUSI PERSADA_x000a_PT Digitel Tech Solutions_x000a_PT Data Prima Solusindo"/>
    <s v="Gedung Cyber Jl. Kuningan Barat No.8 Kuningan Barat Jakarta"/>
    <x v="0"/>
    <m/>
    <s v="Gedung Cyber"/>
    <s v="Sewa Tahunan"/>
    <s v="Colocation"/>
    <s v="01000334781_x000a_110120205827 / 100000002820000_x000a_01000304026_x000a_01000317606_x000a_01000315365_x000a_01000315886_x000a_111202018690_x000a_01000208742_x000a_"/>
    <m/>
    <m/>
    <m/>
    <m/>
    <m/>
    <m/>
    <m/>
    <m/>
    <n v="3500000"/>
    <m/>
    <d v="2023-03-02T00:00:00"/>
    <d v="2025-03-01T00:00:00"/>
    <x v="0"/>
    <m/>
    <d v="2025-12-24T00:00:00"/>
    <n v="-298"/>
    <n v="3"/>
    <n v="2025"/>
    <s v="18373/SPP/008/PUSAT/ICON+/2022"/>
    <s v="4307/SPP/SBU/PLNICONPLUS/2024"/>
    <n v="4500023482"/>
    <s v="Livia Indraswati"/>
    <s v="Tito"/>
    <s v="021-5269588 Ext. 620"/>
    <m/>
    <m/>
    <m/>
    <m/>
    <m/>
    <m/>
    <m/>
    <s v="H302"/>
    <m/>
    <m/>
  </r>
  <r>
    <n v="1212"/>
    <s v="Karyagraha Nusantara "/>
    <s v="PT Bank Central Asia"/>
    <s v="Gedung Cyber Jl. Kuningan Barat No.8 Kuningan Barat Jakarta"/>
    <x v="0"/>
    <m/>
    <s v="Gedung Cyber (PT Bank Central Asia)"/>
    <s v="Sewa Tahunan"/>
    <s v="Colocation"/>
    <s v="AL/1901/1029"/>
    <m/>
    <m/>
    <m/>
    <m/>
    <m/>
    <n v="29900000"/>
    <m/>
    <m/>
    <n v="7500000"/>
    <m/>
    <d v="2023-10-24T00:00:00"/>
    <d v="2024-10-23T00:00:00"/>
    <x v="0"/>
    <m/>
    <d v="2025-12-24T00:00:00"/>
    <n v="-427"/>
    <n v="10"/>
    <n v="2024"/>
    <s v="090706/SPR/008/PUSAT/ICON+/2016 |08180/SPP/008/PUSAT/ICON+/2018 | 4500011265 | 09200/SPP/008/PUSAT/ICON+/2018 | 4500011928 | 11540/SPP/008/PUSAT/ICON+/2019 | 4500013205| 14447/SPP/008/PUSAT/ICON+/2020| 4500015202 | 17314/SPP/008/PUSAT/ICON+/2021 | 4500017513 | 4500019535"/>
    <n v="2338"/>
    <n v="4500022363"/>
    <s v="Fajar Paramita"/>
    <s v="Tito"/>
    <s v="021-5269588 Ext. 620"/>
    <s v="B143"/>
    <s v="B217"/>
    <s v="C177"/>
    <s v="D284"/>
    <s v="F65"/>
    <s v="F436"/>
    <s v="H106"/>
    <m/>
    <m/>
    <s v="1. Sewa Kabel Shaft 1 STP dari Data Center APJII Cage KS di Lt. 1 ke PT Dhecyber Flow Indonesia (BCA-H2H Trans Jakarta) di Lt. 5 Rp6.000.000,-/Tahun update tahun 2016 Rp6.500.000,-"/>
  </r>
  <r>
    <n v="1213"/>
    <s v="Karyagraha Nusantara "/>
    <s v="PT Dankom Mitra Abadi"/>
    <s v="Gedung Cyber Jl. Kuningan Barat No.8 Kuningan Barat Jakarta"/>
    <x v="0"/>
    <m/>
    <s v="Gedung Cyber (PT Dankom Mitra Abadi)"/>
    <s v="Sewa Tahunan"/>
    <s v="Colocation"/>
    <s v="PA/ACT/1801/0286_x000a_ PA/ACT/1801/0665_x000a_ PA/ACT/1801/0282_x000a_ PA/ACT/1801/0667_x000a_ PA/UPG/1803/0184_x000a_ PA/DOW/1804/0035_x000a_ PA/DOW/1804/0036_x000a_ PA/DOW/1804/0037_x000a_ PA/UPG/1812/0585"/>
    <m/>
    <m/>
    <m/>
    <m/>
    <m/>
    <n v="157800000"/>
    <m/>
    <m/>
    <n v="7500000"/>
    <m/>
    <d v="2021-08-31T00:00:00"/>
    <d v="2022-08-30T00:00:00"/>
    <x v="2"/>
    <m/>
    <d v="2025-12-24T00:00:00"/>
    <n v="-1212"/>
    <n v="8"/>
    <n v="2022"/>
    <s v="072807/SPR/008/PUSAT/ICON+/2016 |08043/SPP/008/PUSAT/ICON+/2018 |4500011243 |08899/SPP/008/PUSAT/ICON+/2018 | 4500011681 | 11069/SPP/008/PUSAT/ICON+/2019 | 4500012954 | 13800/SPP/008/PUSAT/ICON+/2020 | 4500014683"/>
    <s v="16196/SPP/008/PUSAT/ICON+/2021"/>
    <n v="4500016495"/>
    <s v="Fajar Paramita"/>
    <s v="Tito"/>
    <s v="021-5269588 Ext. 620"/>
    <s v="B44"/>
    <s v="B128"/>
    <s v="C130"/>
    <s v="D159"/>
    <s v="E294"/>
    <m/>
    <m/>
    <m/>
    <m/>
    <s v="1. Sewa Cable STP dari RDC APJII Lt. 1 ke CDC menuju PT Media Nusantara Data Global Rak No. 2A0817 (Lt. 2-PT Dankom Mitra Abadi). Perjanjian Nomor 855_KN_Cable Shaft_VIII_2015"/>
  </r>
  <r>
    <n v="1214"/>
    <s v="Karyagraha Nusantara "/>
    <s v="PT Primacom Interbuana"/>
    <s v="Jl.Kuningan Barat 8 Jakarta 12710"/>
    <x v="0"/>
    <m/>
    <s v="Primacom Sigma German Center BSD Backhaul IPVN (NNI)"/>
    <s v="Sewa Tahunan"/>
    <s v="Colocation"/>
    <s v="PA/ACT/1801/0637/TER"/>
    <m/>
    <m/>
    <m/>
    <m/>
    <m/>
    <n v="30000000"/>
    <m/>
    <m/>
    <n v="7000000"/>
    <m/>
    <d v="2022-05-04T00:00:00"/>
    <d v="2023-05-03T00:00:00"/>
    <x v="0"/>
    <m/>
    <d v="2025-12-24T00:00:00"/>
    <n v="-966"/>
    <n v="5"/>
    <n v="2023"/>
    <s v="08495/SPP/008/PUSAT/ICON+/2018 | 4500011418 |10280/SPP/008/PUSAT/ICON+/2019 | 4500012485 | 13421/SPP/008/PUSAT/ICON+/2020 | 4500014438 | 15765/SPP/008/PUSAT/ICON+/2021| 4500016299"/>
    <s v="18789/SPP/008/PUSAT/ICON+/2022"/>
    <n v="4500018381"/>
    <s v="Fajar Paramita"/>
    <s v="Tito"/>
    <s v="021-5269588 Ext. 620"/>
    <m/>
    <m/>
    <s v="C52"/>
    <s v="D213"/>
    <s v="E271"/>
    <s v="F302"/>
    <m/>
    <m/>
    <m/>
    <s v="1.Biaya Sekali bayar Rp.3.500.000 2.Biaya Sewa pertahun 6.000.000 3.Biaya Materai 6.000 4.Biaya PKB ( RAB Biaya Aktivasi) Rp.8.577.508. Perjanjian Nomor 725_KN_Cable Shaft_V_2018"/>
  </r>
  <r>
    <n v="1215"/>
    <s v="Karyagraha Nusantara "/>
    <s v="CV Media Internet Kudus_x000a_PT. NETCITI PERSADA_x000a_PT Supra Prima Nusantara_x000a_PT. TRANS HYBRID COMMUNICATION qq PT Longrich_x000a_PT. ANAGATA CIPTA TEKNOLOGI_x000a_PT XL Axiata Tbk qq Bank BNI_x000a_PT. JARING SOLUSI PERSADA_x000a_PT Digitel Tech Solutions_x000a_PT Data Prima Solusindo"/>
    <s v="Jl.Kuningan Barat 8 Jakarta 12710"/>
    <x v="0"/>
    <m/>
    <m/>
    <s v="Sewa Tahunan"/>
    <s v="Colocation"/>
    <s v="01000334781_x000a_110120205827 / 100000002820000_x000a_01000304026_x000a_01000317606_x000a_01000315365_x000a_01000315886_x000a_111202018690_x000a_01000208742_x000a_"/>
    <m/>
    <m/>
    <m/>
    <m/>
    <m/>
    <m/>
    <m/>
    <m/>
    <n v="7000000"/>
    <m/>
    <d v="2023-05-04T00:00:00"/>
    <d v="2025-05-03T00:00:00"/>
    <x v="0"/>
    <m/>
    <d v="2025-12-24T00:00:00"/>
    <n v="-235"/>
    <n v="5"/>
    <n v="2025"/>
    <s v="18789/SPP/008/PUSAT/ICON+/2022"/>
    <s v="4309/SPP/SBU/PLNICONPLUS/2024"/>
    <n v="4500023483"/>
    <s v="Livia Indraswati"/>
    <s v="Tito"/>
    <s v="021-5269588 Ext. 620"/>
    <m/>
    <m/>
    <m/>
    <m/>
    <m/>
    <m/>
    <m/>
    <s v="H305"/>
    <m/>
    <m/>
  </r>
  <r>
    <n v="1216"/>
    <s v="Karyagraha Nusantara "/>
    <s v="PT Quiros Network"/>
    <s v="Gedung Cyber Jl. Kuningan Barat No.8 Kuningan Barat Jakarta"/>
    <x v="0"/>
    <m/>
    <s v="RDC APJII ke RDC GSD Alpha Gedung Cyber_x000a_ Gedung Cyber _x000a_ Jl. Kuningan Barat No.8 _x000a_ Jakarta"/>
    <s v="Sewa Tahunan"/>
    <s v="Colocation"/>
    <s v="ICON-00/SBC/1703/0436"/>
    <m/>
    <m/>
    <m/>
    <m/>
    <m/>
    <n v="30000000"/>
    <m/>
    <m/>
    <n v="3000000"/>
    <m/>
    <d v="2019-03-01T00:00:00"/>
    <d v="2020-02-29T00:00:00"/>
    <x v="2"/>
    <m/>
    <d v="2025-12-24T00:00:00"/>
    <n v="-2125"/>
    <n v="2"/>
    <n v="2020"/>
    <s v="07312/SPP/008/PUSAT/ICON+/2017 | 4500010833 | 08297/SPP/008/PUSAT/ICON+/2018 | 4500011311"/>
    <s v="09894/SPP/008/PUSAT/ICON+/2018"/>
    <n v="4500012337"/>
    <s v="Fajar Paramita"/>
    <s v="Tito"/>
    <s v="021-5269588 Ext. 620"/>
    <n v="112"/>
    <s v="B123"/>
    <s v="B278"/>
    <m/>
    <m/>
    <m/>
    <m/>
    <m/>
    <m/>
    <s v="Perjanjian Nomor 554_KN_Cable Tray_II_2017"/>
  </r>
  <r>
    <n v="1217"/>
    <s v="Karyagraha Nusantara "/>
    <s v="SEKRETARIAT JENDERAL KEMENTERIAN HUKUM DAN HAM"/>
    <s v="Jl.Kuningan Barat 8 Jakarta 12711"/>
    <x v="0"/>
    <m/>
    <s v="sentra mulia Jl. H. R. Rasuna Said No.Kav X-6, 8"/>
    <s v="Sewa Tahunan"/>
    <s v="Colocation"/>
    <s v="PA/ACT/1812/1562/TER _x000a_ PA/ACT/1812/1561/TER"/>
    <m/>
    <m/>
    <m/>
    <m/>
    <m/>
    <n v="40276363680"/>
    <m/>
    <m/>
    <n v="16500000"/>
    <m/>
    <d v="2019-03-01T00:00:00"/>
    <d v="2020-03-01T00:00:00"/>
    <x v="0"/>
    <m/>
    <d v="2025-12-24T00:00:00"/>
    <n v="-2124"/>
    <n v="3"/>
    <n v="2020"/>
    <s v="baru"/>
    <s v="10694/SPP/008/PUSAT/ICON+/2019"/>
    <n v="4500012686"/>
    <s v="Fajar Paramita"/>
    <s v="Tito"/>
    <s v="021-5269588 Ext. 621"/>
    <m/>
    <m/>
    <s v="C75"/>
    <m/>
    <m/>
    <m/>
    <m/>
    <m/>
    <m/>
    <s v="1.Biaya sewa 16.000.000"/>
  </r>
  <r>
    <n v="1218"/>
    <s v="Kawasan Berikat Nusantara"/>
    <s v="PT BINA KARYA PRIMA"/>
    <s v="Lahan Berikat Nusantara SBU Lahan Tanjung Priok Marunda"/>
    <x v="0"/>
    <m/>
    <s v="Jalan Semarang Blok A6 No.4, Lahan Berikat (KBN) North, Jl. Nusantara, RW.2, Cakung Bar., Kec. Cilincing, Kota Jkt Utara, Daerah Khusus Ibukota Jakarta 14140,  KEC. CILINCING,  Jakarta Utara,  DKI Jakarta,  Indonesia,"/>
    <s v="Sewa Tahunan"/>
    <s v="Colocation"/>
    <s v="PA/ACT/2206/15980/TER"/>
    <m/>
    <m/>
    <m/>
    <m/>
    <m/>
    <n v="72000000"/>
    <m/>
    <m/>
    <n v="41343750"/>
    <m/>
    <d v="2023-08-15T00:00:00"/>
    <d v="2024-08-14T00:00:00"/>
    <x v="0"/>
    <m/>
    <d v="2025-12-24T00:00:00"/>
    <n v="-497"/>
    <n v="8"/>
    <n v="2024"/>
    <s v="4500018666 | 19547/SPP/008/PUSAT/ICON+/2022 | 4500018666"/>
    <s v="1240/SPP/SBU/ICON+/2023"/>
    <n v="4500021424"/>
    <s v="Fajar Paramita"/>
    <s v="Mulyana "/>
    <m/>
    <m/>
    <m/>
    <m/>
    <m/>
    <m/>
    <s v="F273"/>
    <s v="G329"/>
    <m/>
    <m/>
    <m/>
  </r>
  <r>
    <n v="1219"/>
    <s v="Kawasan Berikat Nusantara"/>
    <s v="PT. SARI DUMAI OLEO ( Asia Nagro)"/>
    <s v="Lahan Berikat Nusantara SBU Lahan Tanjung Priok Marunda"/>
    <x v="0"/>
    <m/>
    <s v="Jl. Fak-fak No.6, RW.2, Cilincing, Kec. Cilincing, Kota Jkt Utara, Daerah Khusus Ibukota Jakarta 14120"/>
    <s v="Sewa Tahunan"/>
    <s v="Colocation"/>
    <s v="PA/ACT/2206/19102/TER"/>
    <m/>
    <m/>
    <m/>
    <m/>
    <m/>
    <n v="165000000"/>
    <m/>
    <m/>
    <n v="41343750"/>
    <m/>
    <d v="2023-08-05T00:00:00"/>
    <d v="2024-08-04T00:00:00"/>
    <x v="0"/>
    <m/>
    <d v="2025-12-24T00:00:00"/>
    <n v="-507"/>
    <n v="8"/>
    <n v="2024"/>
    <s v="4500018591 | 19426/SPP/008/PUSAT/ICON+/2022 |4500018591"/>
    <m/>
    <n v="4500021425"/>
    <s v="Fajar Paramita"/>
    <s v="Mulyana "/>
    <m/>
    <m/>
    <m/>
    <m/>
    <m/>
    <m/>
    <s v="F252"/>
    <s v="G334"/>
    <m/>
    <m/>
    <m/>
  </r>
  <r>
    <n v="1220"/>
    <s v="Kawasan Berikat Nusantara"/>
    <s v="PT. Sari Dumai Oleo"/>
    <s v="Lahan Berikat Nusantara SBU Lahan Tanjung Priok Marunda"/>
    <x v="0"/>
    <s v="Jl. Fak-fak No.6, RW.2, Cilincing, Kec. Cilincing, Kota_x000a_Jkt Utara, Daerah Khusus Ibukota Jakarta 14120"/>
    <s v="Jl. Semarang Bl A-6 No. 1 Marunda Cilincing Jakarta Utara DKI Jakarta, RW.2, Cilincing, Kec. Cilincing, Kota Jkt Utara, Daerah Khusus Ibukota Jakarta 14120"/>
    <s v="Sewa Tahunan"/>
    <s v="Colocation"/>
    <s v="PA/ACT/2206/19330/TER"/>
    <m/>
    <m/>
    <m/>
    <m/>
    <m/>
    <n v="165000000"/>
    <m/>
    <m/>
    <n v="41343750"/>
    <m/>
    <d v="2023-07-29T00:00:00"/>
    <d v="2024-07-28T00:00:00"/>
    <x v="0"/>
    <m/>
    <d v="2025-12-24T00:00:00"/>
    <n v="-514"/>
    <n v="7"/>
    <n v="2024"/>
    <s v="4500018514 | 19348 | 4500018514"/>
    <s v=" _x0009_2241"/>
    <n v="4500022208"/>
    <s v="Fajar Paramita"/>
    <s v="Mulyana "/>
    <m/>
    <m/>
    <m/>
    <m/>
    <m/>
    <m/>
    <s v="F237"/>
    <m/>
    <s v="H84"/>
    <m/>
    <m/>
  </r>
  <r>
    <n v="1221"/>
    <s v="Kawasan Berikat Nusantara"/>
    <s v="1.PT Sistelindo Mitralintas _x000a_2.PT Bitnet Komunikasindo _x000a_3.PT Kinex"/>
    <s v="Lahan Berikat Nusantara SBU Lahan Tanjung Priok Marunda"/>
    <x v="0"/>
    <m/>
    <s v="Jl.Raya Cakung Cirincing Jakarta Utara 14140"/>
    <s v="Sewa Tahunan"/>
    <s v="Colocation"/>
    <s v="PA/ACT/1808/0386_x000a_PA/ACT/2001/3409_AL/2002/5752_AR/ACT/2001/4192_x000a_01000187130/PA/ACT/2201/1141/AL/2203/71724"/>
    <m/>
    <m/>
    <m/>
    <m/>
    <m/>
    <m/>
    <m/>
    <m/>
    <n v="357782304"/>
    <m/>
    <d v="2018-03-02T00:00:00"/>
    <d v="2024-03-01T00:00:00"/>
    <x v="0"/>
    <m/>
    <d v="2025-12-24T00:00:00"/>
    <n v="-663"/>
    <n v="3"/>
    <n v="2024"/>
    <n v="450009644"/>
    <s v="19468/SPP/008/PUSAT/ICON+/2022"/>
    <n v="450018679"/>
    <s v="Fajar Paramita"/>
    <s v="Mulyana "/>
    <m/>
    <m/>
    <s v="B8"/>
    <m/>
    <m/>
    <m/>
    <s v="F292"/>
    <m/>
    <m/>
    <m/>
    <m/>
  </r>
  <r>
    <n v="1222"/>
    <s v="Kawasan Berikat Nusantara"/>
    <s v="PT. ROMA STONE INDONESIA"/>
    <s v="Lahan Berikat Nusantara SBU Lahan Tanjung Priok Marunda"/>
    <x v="0"/>
    <s v="-"/>
    <s v="JL Irian Blok E 10, Sukapura, Kec. Cilincing, Kota Jkt Utara, Daerah Khusus Ibukota Jakarta"/>
    <s v="Sewa Tahunan"/>
    <s v="Colocation"/>
    <s v="PA/ACT/2211/5398/TER_x000a_PA/ACT/2211/5399/TER_x000a_PA/ACT/2211/5413/TER"/>
    <m/>
    <m/>
    <m/>
    <m/>
    <m/>
    <n v="60000000"/>
    <m/>
    <m/>
    <n v="82500000"/>
    <m/>
    <d v="2022-12-09T00:00:00"/>
    <d v="2024-12-08T00:00:00"/>
    <x v="0"/>
    <m/>
    <d v="2025-12-24T00:00:00"/>
    <n v="-381"/>
    <n v="12"/>
    <n v="2024"/>
    <s v="baru"/>
    <s v="20720/SPP/008/PUSAT/ICON+/2022"/>
    <n v="4500019557"/>
    <s v="Fajar Paramita"/>
    <s v="Mulyana "/>
    <m/>
    <m/>
    <m/>
    <m/>
    <m/>
    <m/>
    <s v="F428"/>
    <m/>
    <m/>
    <m/>
    <m/>
  </r>
  <r>
    <n v="1223"/>
    <s v="Kelola Graha Vinilon "/>
    <s v="Bank BCA"/>
    <s v="Jl. Raden Saleh No. 13-17_x000a_Kenari Jakarta Pusat"/>
    <x v="0"/>
    <m/>
    <s v="Gedung Vinilon Jl. Raden Saleh No. 13-17 Kenari Jakarta Pusat (Bank BCA)"/>
    <s v="Sewa Tahunan"/>
    <s v="Colocation"/>
    <s v="ICON-00/SOP/1510/0203 (ICON-00/SBC/1801/0265)"/>
    <m/>
    <m/>
    <m/>
    <m/>
    <m/>
    <n v="53460000"/>
    <m/>
    <m/>
    <n v="8250000"/>
    <m/>
    <d v="2023-12-01T00:00:00"/>
    <d v="2024-11-30T00:00:00"/>
    <x v="0"/>
    <m/>
    <d v="2025-12-24T00:00:00"/>
    <n v="-389"/>
    <n v="11"/>
    <n v="2024"/>
    <s v="028120462/SPP/008/PUSAT/ICON+/2022216/SPR/ICON+/2016_x000a_ 121509/MI/008/PUSAT/ICON+/2016 07695/SPP/008/PUSAT/ICON+/2017 4500011002 | 09448/SPP/008/PUSAT/ICON+/2018 | 4500012006 | 11811/SPP/008/PUSAT/ICON+/2019 | 4500013496 | 14574/SPP/008/PUSAT/ICON+/2020 | 4500015228 | 4500019427"/>
    <s v="1920/SPP/SBU/ICON+/2023"/>
    <n v="4500021660"/>
    <s v="Fajar Paramita"/>
    <s v="Yunita"/>
    <s v="021-29578188"/>
    <n v="157"/>
    <s v="B178"/>
    <s v="C269"/>
    <m/>
    <m/>
    <m/>
    <s v="G316"/>
    <m/>
    <m/>
    <s v="1. Sewa Shaft Rp5.000.000/tahun_x000a_ 2. Biaya Administrasi Jaminan Fit Out Rp200.000,-/One Time Charged_x000a_ 3. Biaya Supervisi bervariasi mulai dar Rp1.000.000,- s/d Rp2.500.000,-/One Time charged_x000a_ 4. Jaminan Rp2.000.000,-"/>
  </r>
  <r>
    <n v="1224"/>
    <s v="Kereta Api Indonesia  (Persero) Daerah Operasi I"/>
    <m/>
    <s v="Stasiun Cikini Lt. Dasar_x000a_Jln. Cikini Raya, Cikini - Menteng Jakarta Pusat - 10330"/>
    <x v="0"/>
    <m/>
    <s v="KM.6+0/1 (di Udara /Melayang) antara Karang Tengah - Cisaat Lintas Kereta Api Bogor - Yogyakarta"/>
    <s v="Sewa Tahunan"/>
    <s v="Colocation"/>
    <m/>
    <m/>
    <m/>
    <m/>
    <m/>
    <m/>
    <m/>
    <m/>
    <m/>
    <n v="264000000"/>
    <m/>
    <d v="2017-01-01T00:00:00"/>
    <d v="2021-12-31T00:00:00"/>
    <x v="0"/>
    <m/>
    <d v="2025-12-24T00:00:00"/>
    <n v="-1454"/>
    <n v="12"/>
    <n v="2021"/>
    <n v="4500010164"/>
    <m/>
    <m/>
    <s v="Fajar Paramita"/>
    <s v="Saepudin Nugroho"/>
    <s v="021-3924676"/>
    <m/>
    <m/>
    <m/>
    <m/>
    <m/>
    <m/>
    <m/>
    <m/>
    <m/>
    <s v="1. Biaya sewa Pengawasan Rp52.800.000,-/tahun untuk 2 titik_x000a_ 2. Biaya Ukur/Adm Rp9.610.000"/>
  </r>
  <r>
    <n v="1225"/>
    <s v="Kereta Api Indonesia  (Persero) Daerah Operasi I"/>
    <s v="PT. KERETA API INDONESIA"/>
    <s v="Stasiun Cikini Lt. Dasar_x000a_Jln. Cikini Raya, Cikini - Menteng Jakarta Pusat - 10330"/>
    <x v="0"/>
    <m/>
    <s v="KM.6+284 antara Stasiun Pasar Senen –Stasiun Gangsentiong di Jl. Suprapto Kelurahan Senen Jakarta Pusat 10410"/>
    <s v="Sewa Tahunan"/>
    <s v="Colocation"/>
    <s v="ICON-00/SOP/1611/0191"/>
    <m/>
    <m/>
    <m/>
    <m/>
    <m/>
    <n v="35100000"/>
    <m/>
    <m/>
    <n v="345104375"/>
    <m/>
    <d v="2017-01-01T00:00:00"/>
    <d v="2021-12-31T00:00:00"/>
    <x v="0"/>
    <m/>
    <d v="2025-12-24T00:00:00"/>
    <n v="-1454"/>
    <n v="12"/>
    <n v="2021"/>
    <n v="4500010163"/>
    <m/>
    <m/>
    <s v="Fajar Paramita"/>
    <s v="Saepudin Nugroho"/>
    <s v="021-3924676"/>
    <m/>
    <m/>
    <m/>
    <m/>
    <m/>
    <m/>
    <m/>
    <m/>
    <m/>
    <s v="1. Biaya sewa Pengawasan Rp69.020.875,-/tahun"/>
  </r>
  <r>
    <n v="1226"/>
    <s v="Krakatau Industrial Estate "/>
    <s v="-"/>
    <s v="wisma krakatau 1st floor"/>
    <x v="0"/>
    <m/>
    <m/>
    <s v="Sewa Tahunan"/>
    <s v="Cross Connect"/>
    <s v="-"/>
    <m/>
    <m/>
    <m/>
    <m/>
    <m/>
    <s v="-"/>
    <m/>
    <m/>
    <n v="589500000"/>
    <m/>
    <d v="2021-04-19T00:00:00"/>
    <d v="2022-04-18T00:00:00"/>
    <x v="0"/>
    <m/>
    <d v="2025-12-24T00:00:00"/>
    <n v="-1346"/>
    <n v="4"/>
    <n v="2022"/>
    <s v="baru"/>
    <s v="15743/SPP/008/PUSAT/ICON+/2021"/>
    <n v="4500016098"/>
    <s v="Fajar Paramita"/>
    <m/>
    <m/>
    <m/>
    <m/>
    <m/>
    <m/>
    <s v="E31"/>
    <m/>
    <m/>
    <m/>
    <m/>
    <s v="biaya cross connect sebesar Rp. 589.500.000"/>
  </r>
  <r>
    <n v="1227"/>
    <s v="Krakatau Sarana Properti "/>
    <s v="PT. CIPTA TELEKOMUNIKASI MANDIRI "/>
    <s v="Jl.Raya Bagendung Cilegon"/>
    <x v="0"/>
    <s v="-"/>
    <s v="Wisma Baja Jl. Jend Gatot Subroto Kav 54 Kuningan Timur Setiabudi Jakarta Selatan DKI Jakarta"/>
    <s v="Sewa Tahunan"/>
    <s v="Colocation"/>
    <s v=" PA/ACT/2301/3840/TER "/>
    <m/>
    <m/>
    <m/>
    <m/>
    <m/>
    <n v="54000000"/>
    <m/>
    <m/>
    <n v="24000000"/>
    <m/>
    <d v="2023-02-03T00:00:00"/>
    <d v="2024-02-02T00:00:00"/>
    <x v="0"/>
    <m/>
    <d v="2025-12-24T00:00:00"/>
    <n v="-691"/>
    <n v="2"/>
    <n v="2024"/>
    <s v="baru"/>
    <s v="21128/SPP/008/PUSAT/ICON+/2023"/>
    <n v="4500019991"/>
    <s v="Fajar Paramita"/>
    <m/>
    <m/>
    <m/>
    <m/>
    <m/>
    <m/>
    <m/>
    <m/>
    <s v="G28"/>
    <m/>
    <m/>
    <s v="Biaya Sewa jalur kawasan 1 tahun Rp.24.000.000"/>
  </r>
  <r>
    <n v="1228"/>
    <s v="Lantamal III"/>
    <s v="Lintas jalur Perumahan Lantamal"/>
    <s v="Bungur Besar Raya No.76-78 8, RT.8/RW.7, Gn. Sahari Sel., Kec. Senen, Kota Jakarta Pusat, Pangkalan Angkatan Laut"/>
    <x v="0"/>
    <s v="-"/>
    <s v="Komplek TNI AL Wilayah Lantamal III"/>
    <s v="Sewa Tahunan"/>
    <s v="Colocation"/>
    <m/>
    <m/>
    <m/>
    <m/>
    <m/>
    <m/>
    <m/>
    <m/>
    <m/>
    <n v="75000000"/>
    <m/>
    <d v="2023-12-12T00:00:00"/>
    <d v="2025-11-12T00:00:00"/>
    <x v="1"/>
    <m/>
    <d v="2025-12-24T00:00:00"/>
    <n v="-42"/>
    <n v="11"/>
    <n v="2025"/>
    <s v="baru"/>
    <s v="-"/>
    <s v="-"/>
    <s v="Fajar Paramita"/>
    <m/>
    <m/>
    <m/>
    <m/>
    <m/>
    <m/>
    <m/>
    <m/>
    <m/>
    <m/>
    <m/>
    <s v="-"/>
  </r>
  <r>
    <n v="1229"/>
    <s v="Lekom Maras"/>
    <s v="PT Telekomunikasi Indonesia Tbk"/>
    <s v="Jl. Bungur Besar Raya"/>
    <x v="0"/>
    <m/>
    <s v="Ratu Prabu 2 Building Management Jl. TB Simatupang Kav 1B Jakarta 12560"/>
    <s v="Sewa Tahunan"/>
    <s v="Colocation"/>
    <s v="AL/1903/5178"/>
    <m/>
    <m/>
    <m/>
    <m/>
    <m/>
    <n v="72000000"/>
    <m/>
    <m/>
    <n v="30000000"/>
    <m/>
    <d v="2020-01-01T00:00:00"/>
    <d v="2020-12-31T00:00:00"/>
    <x v="2"/>
    <m/>
    <d v="2025-12-24T00:00:00"/>
    <n v="-1819"/>
    <n v="12"/>
    <n v="2020"/>
    <s v="09909/SPP/008/PUSAT/ICON+/2018| 4500012325"/>
    <s v="11995/SPP/008/PUSAT/ICON+/2019"/>
    <n v="4500013750"/>
    <s v="Fajar Paramita"/>
    <s v="Sintia"/>
    <s v="(021) 7884.1046"/>
    <s v="-"/>
    <s v="B265"/>
    <m/>
    <s v="D22"/>
    <m/>
    <m/>
    <m/>
    <m/>
    <m/>
    <s v="Biaya Sewa Tahunan Rp.30.000.000,-"/>
  </r>
  <r>
    <n v="1230"/>
    <s v="Loka Mampang Indah Realty "/>
    <s v="PT Telekomunikasi Inonesia Tbk"/>
    <s v="Perkantoran Hijau Arkadia_x000a_Jl. TB Simatupang Kav. 88 Jakarta 12520"/>
    <x v="0"/>
    <m/>
    <s v="Gedung Arkadia Tower B (PT Telekomunikasi Inonesia Tbk Link Nestle SO No. ICON-00/ACT/1609/0620)"/>
    <s v="Sewa Tahunan"/>
    <s v="Colocation"/>
    <s v="ICON-00/ACT/1702/0224"/>
    <m/>
    <m/>
    <m/>
    <m/>
    <m/>
    <n v="116298000"/>
    <m/>
    <m/>
    <n v="21500000"/>
    <m/>
    <d v="2021-12-02T00:00:00"/>
    <d v="2022-12-01T00:00:00"/>
    <x v="2"/>
    <m/>
    <d v="2025-12-24T00:00:00"/>
    <n v="-1119"/>
    <n v="12"/>
    <n v="2022"/>
    <s v="2781216/SPRICON+/2016 | 08195/SPP/008/PUSAT/ICON+/2018 | 4500011358 | 09692/SPP/008/PUSAT/ICON+/2018 | 4500012199 | 12014/SPP/008/PUSAT/ICON+/2019 | 4500014086| 14893/SPP/008/PUSAT/ICON+/2020| 4500015616"/>
    <s v="17152/SPP/008/PUSAT/ICON+/2021"/>
    <n v="4500017403"/>
    <s v="Fajar Paramita"/>
    <s v="Arsa"/>
    <s v="021-7827610"/>
    <s v="B45"/>
    <s v="C25"/>
    <s v="D69"/>
    <s v="E226"/>
    <m/>
    <m/>
    <m/>
    <m/>
    <m/>
    <s v="1.Sewa Shaft Kabel Rp20.000.000,-/tahun/shaft_x000a_ 2. Jaminan Pekerjaan Rp5.000.000/instalasi_x000a_ 3. Instalasi Rp1.000.000,-/instalasi"/>
  </r>
  <r>
    <n v="1231"/>
    <s v="Loka Mampang Indah Realty "/>
    <s v="PT. ECO MULTI SINERGI "/>
    <s v="Perkantoran Hijau Arkadia_x000a_Jl. TB Simatupang Kav. 88 Jakarta 12520"/>
    <x v="0"/>
    <s v="-"/>
    <s v="Menara Arcadia Tower G Lantai 15) Jl. TB Simatupang"/>
    <s v="Sewa Tahunan"/>
    <s v="Colocation"/>
    <s v="PA/ACT/2209/4589/TER "/>
    <m/>
    <m/>
    <m/>
    <m/>
    <m/>
    <n v="240000000"/>
    <m/>
    <m/>
    <n v="30000000"/>
    <m/>
    <d v="2022-10-24T00:00:00"/>
    <d v="2023-10-23T00:00:00"/>
    <x v="2"/>
    <m/>
    <d v="2025-12-24T00:00:00"/>
    <n v="-793"/>
    <n v="10"/>
    <n v="2023"/>
    <s v="baru"/>
    <s v="20242/SPP/008/PUSAT/ICON+/2022"/>
    <n v="4500019192"/>
    <s v="Fajar Paramita"/>
    <m/>
    <m/>
    <m/>
    <m/>
    <m/>
    <m/>
    <m/>
    <s v="F360"/>
    <m/>
    <m/>
    <m/>
    <s v="1.Biaya  Sewa Shaft Rack Selama 1 tahun  Rp.30.000.000 | Biaya OTC Supervisi Fee Rp.1.000.000"/>
  </r>
  <r>
    <n v="1232"/>
    <s v="Loka Mampang Indah Realty "/>
    <s v="PT. NTT INDONESIA SOLUTIONS QQ PT PERTAMINA HULU ENERGI"/>
    <s v="Perkantoran Hijau Arkadia_x000a_Jl. TB Simatupang Kav. 88 Jakarta 12520"/>
    <x v="0"/>
    <s v="-"/>
    <s v="PHE Tower Jl. TB Simatupang No.Kav. 99, RT.1/RW.1, Kebagusan,Kecamatan Pasar Minggu ,Jakarta Selatan ,DKI Jakarta ,Indonesia ,12520  "/>
    <s v="Sewa Tahunan"/>
    <s v="Colocation"/>
    <s v="PA/ACT/2302/11050/ORI"/>
    <m/>
    <m/>
    <m/>
    <m/>
    <m/>
    <n v="2812500000"/>
    <m/>
    <m/>
    <n v="22000000"/>
    <m/>
    <d v="2023-03-01T00:00:00"/>
    <d v="2024-02-29T00:00:00"/>
    <x v="0"/>
    <m/>
    <d v="2025-12-24T00:00:00"/>
    <n v="-664"/>
    <n v="2"/>
    <n v="2024"/>
    <s v="baru"/>
    <s v="21553/SPP/008/PUSAT/ICON+/2023"/>
    <n v="4500020069"/>
    <s v="Fajar Paramita"/>
    <s v="Arsa"/>
    <s v="021-7827610"/>
    <m/>
    <m/>
    <m/>
    <m/>
    <m/>
    <m/>
    <s v="G56"/>
    <m/>
    <m/>
    <s v="1.Biaya Sewa Kawasangan Arkadia @1tahun Rp.22.000.000 | Biaya Supervisi Rp.1.000.000 | Deposit selama sewa  Rp.5.000.000"/>
  </r>
  <r>
    <n v="1233"/>
    <s v="Makmur Jaya Serasi  berubah menjadi Mandiri Andal Sejahtera"/>
    <s v="PT PLN (Persero) Kantor Pusat"/>
    <s v="Mall of Indonesia Lt. Lower Ground Jl. Boulevard Barat Raya Kelapa Gading Square Jakarta Utara"/>
    <x v="0"/>
    <m/>
    <s v="Area Tnjung Priuk GH0019 /Mall Of Indonesia"/>
    <s v="Sewa Tahunan"/>
    <s v="Colocation"/>
    <s v="ICON-00/ACT/1606/0060"/>
    <m/>
    <m/>
    <m/>
    <m/>
    <m/>
    <n v="42000000"/>
    <m/>
    <m/>
    <n v="22187500"/>
    <m/>
    <d v="2021-08-01T00:00:00"/>
    <d v="2022-07-31T00:00:00"/>
    <x v="0"/>
    <m/>
    <d v="2025-12-24T00:00:00"/>
    <n v="-1242"/>
    <n v="7"/>
    <n v="2022"/>
    <s v="07349/SPP/008/PUSAT/ICON+/2017 | 4500010775 | 09080/SPP/008/PUSAT/ICON+/2018 | 4500011791 | 11251/SPP/008/PUSAT/ICON+/2019 | 4500013262 | 13674/SPP/008/PUSAT/ICON+/2020 | 4500014712"/>
    <s v="15984/SPP/008/PUSAT/ICON+/2021"/>
    <n v="4500016715"/>
    <s v="Fajar Paramita"/>
    <s v="Kiki"/>
    <s v="021-45867888 +62 813-1565-9321"/>
    <m/>
    <s v="B181"/>
    <s v="C245"/>
    <m/>
    <m/>
    <s v="F67"/>
    <m/>
    <m/>
    <m/>
    <s v="1.Uang Jaminan Rp.2.500.000"/>
  </r>
  <r>
    <n v="1234"/>
    <s v="Marmitria Land "/>
    <s v="PT. KIDECO JAYA AGUNG"/>
    <s v="Jl.Jend Gatot Subroto Kav. 21 Jakarta Selatan"/>
    <x v="0"/>
    <m/>
    <s v="Gedung Graha Mitra LT 1, Jl. Jend. Gatot Subroto Kav. 21, Jakarta Selatan"/>
    <s v="Sewa Tahunan"/>
    <s v="Cross Connect"/>
    <s v="PA/ACT/2012/2393/TER"/>
    <m/>
    <m/>
    <m/>
    <m/>
    <m/>
    <n v="180000000"/>
    <m/>
    <m/>
    <n v="4355000"/>
    <m/>
    <d v="2022-03-10T00:00:00"/>
    <d v="2022-11-30T00:00:00"/>
    <x v="2"/>
    <m/>
    <d v="2025-12-24T00:00:00"/>
    <n v="-1120"/>
    <n v="11"/>
    <n v="2022"/>
    <s v="15383/SPP/008/PUSAT/ICON+/2021 | 4500015835"/>
    <s v="18380/SPP/008/PUSAT/ICON+/2022"/>
    <n v="4500019627"/>
    <s v="Fajar Paramita"/>
    <m/>
    <m/>
    <m/>
    <m/>
    <m/>
    <m/>
    <s v="E11"/>
    <s v="F464"/>
    <m/>
    <m/>
    <m/>
    <s v="Berubah skema kerjasama menjadi interkoneksi"/>
  </r>
  <r>
    <n v="1235"/>
    <s v="Maspion "/>
    <s v="PT Lawangmas Primapack"/>
    <s v="Maspion Plaza Gunung Sahari Jl Gunung Sahari Raya No. 18 Lt.16 Jakarta Utara 14420"/>
    <x v="0"/>
    <m/>
    <s v="Maspion Plaza Gunung Sahari Kav. 18 (lt.5 s/d Lt.6) (PT Lawangmas Primapack)"/>
    <s v="Sewa Tahunan"/>
    <s v="Colocation"/>
    <s v="PA/UPG/1910/0214"/>
    <m/>
    <m/>
    <m/>
    <m/>
    <m/>
    <n v="33000000"/>
    <m/>
    <m/>
    <n v="5000000"/>
    <m/>
    <d v="2024-02-01T00:00:00"/>
    <d v="2025-01-31T00:00:00"/>
    <x v="0"/>
    <m/>
    <d v="2025-12-24T00:00:00"/>
    <n v="-327"/>
    <n v="1"/>
    <n v="2025"/>
    <s v="012016/SPR/000/PUSAT/ICON+/2016 | 07962/SPP/008/PUSAT/ICON+/2018 | 4500011158 | 10009/SPP/008/PUSAT/ICON+/2019 | 4500012420 | 12486/SPP/008/PUSAT/ICON+/2020 | 4500013878|15104/SPP/008/PUSAT/ICON+/2021|4500015684 | 17750/SPP/008/PUSAT/ICON+/2022| 4500017624 | 21039 | 4500019900"/>
    <n v="2475"/>
    <n v="4500022330"/>
    <s v="Fajar Paramita"/>
    <s v="Wulan"/>
    <s v="021-64701000"/>
    <m/>
    <s v="B18"/>
    <s v="C20"/>
    <s v="D354"/>
    <s v="E130"/>
    <s v="F62"/>
    <s v="G40"/>
    <s v="H30"/>
    <m/>
    <m/>
  </r>
  <r>
    <n v="1236"/>
    <s v="Matra Olah Cipta "/>
    <s v="PT Indosat Tbk"/>
    <s v="Grand ITC Permata Hijau Lt. 7 Jl Arteri Permata Hijau Jakarta 12210"/>
    <x v="1"/>
    <m/>
    <s v="DBS Kantor Emerald No. 23 - 24, Grand ITC Permata Hijau, Jl. Letnan Jenderal Soepomo, RT 11/RW.10, Grogol Utara, Kec. Kby Lama, Kota Jakarta Selatan"/>
    <s v="Sewa Tahunan"/>
    <s v="Colocation"/>
    <s v="A821202000240 "/>
    <m/>
    <m/>
    <m/>
    <m/>
    <m/>
    <n v="30000000"/>
    <m/>
    <m/>
    <n v="103680000"/>
    <m/>
    <d v="2023-09-18T00:00:00"/>
    <d v="2026-09-17T00:00:00"/>
    <x v="1"/>
    <m/>
    <d v="2025-12-24T00:00:00"/>
    <n v="267"/>
    <n v="9"/>
    <n v="2026"/>
    <s v="baru"/>
    <s v="1345/SPP/SBU/ICON+/2023"/>
    <n v="4500021271"/>
    <s v="Fajar Paramita"/>
    <m/>
    <m/>
    <m/>
    <m/>
    <m/>
    <m/>
    <m/>
    <m/>
    <s v="G230"/>
    <m/>
    <m/>
    <s v="1.Biaya Sewa 288 meter x 120.000 @ 3 tahun Rp.103.680.000"/>
  </r>
  <r>
    <n v="1237"/>
    <s v="Media Nusantara Data Global"/>
    <s v="-"/>
    <s v="Jalan Kuningan Barat No.8 Cyber 1nd &amp; 2 nd jakarta selatam 12710"/>
    <x v="0"/>
    <m/>
    <s v="-"/>
    <s v="Sewa Tahunan"/>
    <s v="Cross Connect"/>
    <s v="-"/>
    <m/>
    <m/>
    <m/>
    <m/>
    <m/>
    <s v="-"/>
    <m/>
    <m/>
    <n v="2500000"/>
    <m/>
    <d v="2020-09-18T00:00:00"/>
    <d v="2021-09-17T00:00:00"/>
    <x v="0"/>
    <m/>
    <d v="2025-12-24T00:00:00"/>
    <n v="-1559"/>
    <n v="9"/>
    <n v="2021"/>
    <s v="baru"/>
    <s v="14182/SPP/008/PUSAT/ICON+/2020"/>
    <n v="4500015014"/>
    <s v="Fajar Paramita"/>
    <s v="Ira"/>
    <s v="0819-3243-0596"/>
    <m/>
    <m/>
    <m/>
    <s v="D194"/>
    <m/>
    <m/>
    <m/>
    <m/>
    <m/>
    <m/>
  </r>
  <r>
    <n v="1238"/>
    <s v="Media Nusantara Data Global"/>
    <s v="-"/>
    <s v="Jalan Kuningan Barat No.8 Cyber 1nd &amp; 2 nd jakarta selatam 12710"/>
    <x v="0"/>
    <m/>
    <s v="-"/>
    <s v="Sewa Tahunan"/>
    <s v="Cross Connect"/>
    <s v="-"/>
    <m/>
    <m/>
    <m/>
    <m/>
    <m/>
    <s v="-"/>
    <m/>
    <m/>
    <n v="36000000"/>
    <m/>
    <d v="2023-05-13T00:00:00"/>
    <d v="2024-05-12T00:00:00"/>
    <x v="0"/>
    <m/>
    <d v="2025-12-24T00:00:00"/>
    <n v="-591"/>
    <n v="5"/>
    <n v="2024"/>
    <s v="15809/SPP/008/PUSAT/ICON+/2021| 4500016167 | 18720/SPP/008/PUSAT/ICON+/2022 | 4500018011"/>
    <s v="1117/SPP/SBU/ICON+/2023_x0009_"/>
    <n v="4500021237"/>
    <s v="Fajar Paramita"/>
    <s v="Ira"/>
    <s v="0819-3243-0596"/>
    <m/>
    <m/>
    <m/>
    <m/>
    <s v="E36"/>
    <s v="F291"/>
    <s v="G335"/>
    <m/>
    <m/>
    <s v="1.Biaya Cross Connect Rp.36.000.000"/>
  </r>
  <r>
    <n v="1239"/>
    <s v="Media Nusantara Data Global"/>
    <s v="Join Customer All"/>
    <s v="Jl. Kuningan Barat No. 8 Cyber Building 1st &amp; 2nd Jakarta Selatan 12710"/>
    <x v="0"/>
    <m/>
    <m/>
    <s v="Sewa Tahunan"/>
    <s v="Cross Connect"/>
    <m/>
    <m/>
    <m/>
    <m/>
    <m/>
    <m/>
    <n v="576000000"/>
    <m/>
    <m/>
    <n v="18000000"/>
    <m/>
    <d v="2024-05-13T00:00:00"/>
    <d v="2025-05-12T00:00:00"/>
    <x v="1"/>
    <m/>
    <d v="2025-12-24T00:00:00"/>
    <n v="-226"/>
    <n v="5"/>
    <n v="2025"/>
    <m/>
    <s v="3838/SPP/SBU/PLNICONPLUS/2024"/>
    <n v="4500023236"/>
    <s v="Fajar Paramita"/>
    <s v="Ira"/>
    <s v="0819-3243-0596"/>
    <m/>
    <m/>
    <m/>
    <m/>
    <m/>
    <m/>
    <m/>
    <s v="H315"/>
    <m/>
    <m/>
  </r>
  <r>
    <n v="1240"/>
    <s v="Media Nusantara Data Global"/>
    <s v="-"/>
    <s v="Jalan Kuningan Barat No.8 Cyber 1nd &amp; 2 nd jakarta selatam 12710"/>
    <x v="0"/>
    <m/>
    <s v="-"/>
    <s v="Sewa Tahunan"/>
    <s v="Cross Connect"/>
    <s v="-"/>
    <m/>
    <m/>
    <m/>
    <m/>
    <m/>
    <s v="-"/>
    <m/>
    <m/>
    <n v="54000000"/>
    <m/>
    <d v="2021-07-23T00:00:00"/>
    <d v="2022-07-22T00:00:00"/>
    <x v="0"/>
    <m/>
    <d v="2025-12-24T00:00:00"/>
    <n v="-1251"/>
    <n v="7"/>
    <n v="2022"/>
    <s v="baru"/>
    <s v="16316/SPP/008/PUSAT/ICON+/2021"/>
    <n v="4500016484"/>
    <s v="Fajar Paramita"/>
    <s v="Ira"/>
    <s v="0819-3243-0596"/>
    <m/>
    <m/>
    <m/>
    <m/>
    <s v="E180"/>
    <m/>
    <m/>
    <m/>
    <m/>
    <m/>
  </r>
  <r>
    <n v="1241"/>
    <s v="Media Nusantara Data Global"/>
    <s v="PT PINUS MERAH ABADI qq Bitniaga Cipta Gemilang"/>
    <s v="Jalan Kuningan Barat No.8 Cyber 1nd &amp; 2 nd jakarta selatam 12710"/>
    <x v="0"/>
    <m/>
    <s v="(Bitniaga 1GB Mojokerto) Jl. Raden Patah No.16 Dsn Bedagas Ds Tunggul Pager, Kec. Pungging, Kabupaten Mojokerto, Jawa Timur, Indonesia, 61382"/>
    <s v="Sewa Tahunan"/>
    <s v="Cross Connect"/>
    <s v="PA/ACT/2006/0717"/>
    <m/>
    <m/>
    <m/>
    <m/>
    <m/>
    <m/>
    <m/>
    <m/>
    <n v="2500000"/>
    <m/>
    <d v="2020-07-06T00:00:00"/>
    <d v="2021-07-05T00:00:00"/>
    <x v="0"/>
    <m/>
    <d v="2025-12-24T00:00:00"/>
    <n v="-1633"/>
    <n v="7"/>
    <n v="2021"/>
    <s v="baru"/>
    <s v="13738/SPP/008/PUSAT/ICON+/2020"/>
    <n v="4500014669"/>
    <s v="Fajar Paramita"/>
    <s v="Ira"/>
    <s v="0819-3243-0596"/>
    <m/>
    <m/>
    <m/>
    <s v="D143"/>
    <m/>
    <m/>
    <m/>
    <m/>
    <m/>
    <m/>
  </r>
  <r>
    <n v="1242"/>
    <s v="Media Nusantara Data Global"/>
    <s v="PT. BITNIAGA CIPTA GEMILANG"/>
    <s v="Jalan Kuningan Barat No.8 Cyber 1nd &amp; 2 nd jakarta selatam 12710"/>
    <x v="0"/>
    <m/>
    <s v="(Bitniaga node Dawar) Sidokerto RT. 001/RW.002 Ds. Pulorejo, Kec. Dawarblandong, Kabupaten Mojokerto, Jawa Timur, Indonesia, 61354"/>
    <s v="Sewa Tahunan"/>
    <s v="Cross Connect"/>
    <s v="PA/ACT/2109/0159/ORI"/>
    <m/>
    <m/>
    <m/>
    <m/>
    <m/>
    <n v="300000000"/>
    <m/>
    <m/>
    <n v="18000000"/>
    <m/>
    <d v="2021-09-22T00:00:00"/>
    <d v="2022-09-21T00:00:00"/>
    <x v="0"/>
    <m/>
    <d v="2025-12-24T00:00:00"/>
    <n v="-1190"/>
    <n v="9"/>
    <n v="2022"/>
    <s v="baru"/>
    <s v="16750/SPP/008/PUSAT/ICON+/2021"/>
    <n v="4500016780"/>
    <s v="Fajar Paramita"/>
    <s v="Ira"/>
    <s v="0819-3243-0596"/>
    <m/>
    <m/>
    <m/>
    <m/>
    <s v="E278"/>
    <m/>
    <m/>
    <m/>
    <m/>
    <m/>
  </r>
  <r>
    <n v="1243"/>
    <s v="Media Nusantara Data Global"/>
    <s v="PT. BITNIAGA CIPTA GEMILANG"/>
    <s v="Jalan Kuningan Barat No.8 Cyber 1nd &amp; 2 nd jakarta selatam 12713"/>
    <x v="0"/>
    <m/>
    <s v="(Originating Backhaul PT. Bitniaga Cipta Gemilang ) Gedung Cyber 1 Lt.2 (Rak 2A0818) Jl. Kuningan Barat Raya No.8, RT.1/RW.3, Kuningan Barat, Jakarta Selatan"/>
    <s v="Sewa Tahunan"/>
    <s v="Cross Connect"/>
    <s v="PA/ACT/2011/1164"/>
    <m/>
    <m/>
    <m/>
    <m/>
    <m/>
    <n v="312000000"/>
    <m/>
    <m/>
    <n v="18000000"/>
    <m/>
    <d v="2021-01-19T00:00:00"/>
    <d v="2022-01-18T00:00:00"/>
    <x v="0"/>
    <m/>
    <d v="2025-12-24T00:00:00"/>
    <n v="-1436"/>
    <n v="1"/>
    <n v="2022"/>
    <s v="Baru"/>
    <s v="15100/SPP/008/PUSAT/ICON+/2021"/>
    <n v="4500015645"/>
    <s v="Fajar Paramita"/>
    <s v="Ira"/>
    <s v="0819-3243-0596"/>
    <m/>
    <m/>
    <m/>
    <s v="D324"/>
    <m/>
    <m/>
    <m/>
    <m/>
    <m/>
    <m/>
  </r>
  <r>
    <n v="1244"/>
    <s v="Media Nusantara Data Global"/>
    <s v="-"/>
    <s v="Jl. Kuningan Barat No. 8 Cyber Building 1st &amp; 2nd Jakarta Selatan 12710"/>
    <x v="0"/>
    <m/>
    <s v="backbone"/>
    <s v="Sewa Tahunan"/>
    <s v="Cross Connect"/>
    <s v="-"/>
    <m/>
    <m/>
    <m/>
    <m/>
    <m/>
    <s v="-"/>
    <m/>
    <m/>
    <n v="36000000"/>
    <m/>
    <d v="2023-10-06T00:00:00"/>
    <d v="2024-10-05T00:00:00"/>
    <x v="0"/>
    <m/>
    <d v="2025-12-24T00:00:00"/>
    <n v="-445"/>
    <n v="10"/>
    <n v="2024"/>
    <s v="16801/SPP/008/PUSAT/ICON+/2021 | 4500016817 | 20312/SPP/008/PUSAT/ICON+/2022 | 4500019391"/>
    <s v="1949/SPP/SBU/ICON+/2023"/>
    <n v="4500021816"/>
    <s v="Fajar Paramita"/>
    <s v="Ira"/>
    <s v="0819-3243-0596"/>
    <m/>
    <m/>
    <m/>
    <m/>
    <s v="E233"/>
    <s v="F412"/>
    <s v="G377"/>
    <m/>
    <m/>
    <s v="1.Biaya Cross Connect untuk Backbone Rp.36.000.000"/>
  </r>
  <r>
    <n v="1245"/>
    <s v="Media Nusantara Data Global"/>
    <s v="akamai dan Facebook"/>
    <s v="Jl. Kuningan Barat No. 8 Cyber Building 1st &amp; 2nd Jakarta Selatan 12710"/>
    <x v="0"/>
    <m/>
    <s v="CDC Cyber 1"/>
    <s v="Sewa Tahunan"/>
    <s v="Cross Connect"/>
    <s v="-"/>
    <m/>
    <m/>
    <m/>
    <m/>
    <m/>
    <s v="-"/>
    <m/>
    <m/>
    <n v="18000000"/>
    <m/>
    <d v="2023-01-11T00:00:00"/>
    <d v="2024-01-10T00:00:00"/>
    <x v="0"/>
    <m/>
    <d v="2025-12-24T00:00:00"/>
    <n v="-714"/>
    <n v="1"/>
    <n v="2024"/>
    <s v="baru"/>
    <s v="21031/SPP/008/PUSAT/ICON+/2023"/>
    <n v="4500019922"/>
    <s v="Fajar Paramita"/>
    <s v="Ira"/>
    <s v="0819-3243-0596"/>
    <m/>
    <m/>
    <m/>
    <m/>
    <m/>
    <m/>
    <s v="G6"/>
    <m/>
    <m/>
    <m/>
  </r>
  <r>
    <n v="1246"/>
    <s v="Media Nusantara Data Global"/>
    <s v="PT. JARINGANKU SARANA NUSANTARA"/>
    <s v="Jl. Kuningan Barat No. 8 Cyber Building 1st &amp; 2nd Jakarta Selatan 12710"/>
    <x v="0"/>
    <m/>
    <s v="CV.  HAANSIRO, RT.4 RW.1 Ds. Jontro, Jl Wijayakusuma No 6 RT 05 RW III, Perum Griya Sekar Asri, Sekarkurung, Desa, Sekarkurung, Muktiharjo, 59163,  Kecamatan Wedarijaksa,  Kabupaten Pati,  Jawa Tengah,  Indonesia,  "/>
    <s v="Sewa Tahunan"/>
    <s v="Cross Connect"/>
    <s v="PA/ACT/2207/0766"/>
    <m/>
    <m/>
    <m/>
    <m/>
    <m/>
    <n v="1032000000"/>
    <m/>
    <m/>
    <n v="18000000"/>
    <m/>
    <d v="2023-08-02T00:00:00"/>
    <d v="2024-08-01T00:00:00"/>
    <x v="0"/>
    <m/>
    <d v="2025-12-24T00:00:00"/>
    <n v="-510"/>
    <n v="8"/>
    <n v="2024"/>
    <s v="19414/SPP/008/PUSAT/ICON+/2022 | 4500018501"/>
    <s v="1136/SPP/SBU/ICON+/2023"/>
    <n v="4500021193"/>
    <s v="Fajar Paramita"/>
    <s v="Ira"/>
    <s v="0819-3243-0596"/>
    <m/>
    <m/>
    <m/>
    <m/>
    <m/>
    <s v="F250"/>
    <s v="G269"/>
    <m/>
    <m/>
    <s v="1.Biaya Cross Connect Rp.18.000.000 | 2.Biaya OTC Rp.1.500.000"/>
  </r>
  <r>
    <n v="1247"/>
    <s v="Media Nusantara Data Global"/>
    <s v="-"/>
    <s v="Jl. Kuningan Barat No. 8 Cyber Building 1st &amp; 2nd Jakarta Selatan 12710"/>
    <x v="0"/>
    <m/>
    <s v="Cyber Building 1st &amp; 2nd Floor, Jl. Kuningan Barat Raya No.8, RT.1/RW.3, Kuningan Bar., Kec. Mampang Prpt., Jakarta Selatan, DKI Jakarta, Indonesia, 12710"/>
    <s v="Sewa Tahunan"/>
    <s v="Colocation"/>
    <s v="-"/>
    <m/>
    <m/>
    <m/>
    <m/>
    <m/>
    <s v="-"/>
    <m/>
    <m/>
    <n v="450000000"/>
    <m/>
    <d v="2024-07-11T00:00:00"/>
    <d v="2024-07-10T00:00:00"/>
    <x v="0"/>
    <m/>
    <d v="2025-12-24T00:00:00"/>
    <n v="-532"/>
    <n v="7"/>
    <n v="2024"/>
    <s v="160 | 4500020579"/>
    <n v="2237"/>
    <n v="4500022128"/>
    <s v="Fajar Paramita"/>
    <s v="ira"/>
    <s v="0819-3243-0597"/>
    <m/>
    <m/>
    <m/>
    <m/>
    <m/>
    <m/>
    <s v="G94"/>
    <s v="H1"/>
    <m/>
    <m/>
  </r>
  <r>
    <n v="1248"/>
    <s v="Media Nusantara Data Global"/>
    <s v="-"/>
    <s v="Jl. Kuningan Barat No. 8 Cyber Building 1st &amp; 2nd Jakarta Selatan 12710"/>
    <x v="0"/>
    <m/>
    <s v="Data center CDCI"/>
    <s v="Sewa Tahunan"/>
    <s v="Cross Connect"/>
    <s v="-"/>
    <m/>
    <m/>
    <m/>
    <m/>
    <m/>
    <s v="-"/>
    <m/>
    <m/>
    <n v="18000000"/>
    <m/>
    <d v="2023-02-02T00:00:00"/>
    <d v="2024-02-01T00:00:00"/>
    <x v="0"/>
    <m/>
    <d v="2025-12-24T00:00:00"/>
    <n v="-692"/>
    <n v="2"/>
    <n v="2024"/>
    <s v="17719/SPP/008/PUSAT/ICON+/2022 | 4500017575"/>
    <s v="21138/SPP/008/PUSAT/ICON+/2023"/>
    <n v="4500020024"/>
    <s v="Fajar Paramita"/>
    <s v="Ira"/>
    <s v="0819-3243-0596"/>
    <m/>
    <m/>
    <m/>
    <m/>
    <m/>
    <s v="F26"/>
    <s v="G63"/>
    <m/>
    <m/>
    <m/>
  </r>
  <r>
    <n v="1249"/>
    <s v="Media Nusantara Data Global"/>
    <s v="-"/>
    <s v="Jl. Kuningan Barat No. 8 Cyber Building 1st &amp; 2nd Jakarta Selatan 12710"/>
    <x v="0"/>
    <m/>
    <s v="Data center CDCI"/>
    <s v="Sewa Tahunan"/>
    <s v="Cross Connect"/>
    <s v="-"/>
    <m/>
    <m/>
    <m/>
    <m/>
    <m/>
    <s v="-"/>
    <m/>
    <m/>
    <n v="18000000"/>
    <m/>
    <d v="2023-06-29T00:00:00"/>
    <d v="2024-06-28T00:00:00"/>
    <x v="0"/>
    <m/>
    <d v="2025-12-24T00:00:00"/>
    <n v="-544"/>
    <n v="6"/>
    <n v="2024"/>
    <s v="18892/SPP/008/PUSAT/ICON+/2022 | 4500018217"/>
    <s v="862/SPP/SBU/ICON+/2023"/>
    <n v="4500021083"/>
    <s v="Fajar Paramita"/>
    <s v="Ira"/>
    <s v="0819-3243-0596"/>
    <m/>
    <m/>
    <m/>
    <m/>
    <m/>
    <s v="F192"/>
    <s v="GF259"/>
    <m/>
    <m/>
    <s v="1.Biaya Cross Connect Rp.18.000.001"/>
  </r>
  <r>
    <n v="1250"/>
    <s v="Media Nusantara Data Global"/>
    <s v="PT Lintas Jaringan Nusantara"/>
    <s v="Jalan Kuningan Barat No.8 Cyber 1nd &amp; 2 nd jakarta selatam 12710"/>
    <x v="0"/>
    <m/>
    <s v="Data center CDCI"/>
    <s v="Sewa Tahunan"/>
    <s v="Cross Connect"/>
    <s v="PA/ACT/2211/5458/ORI _x000a_PA/ACT/2211/5112/ORI _x000a_PA/ACT/2211/5111/ORI_x000a_PA/ACT/2211/5110/ORI_x000a_PA/ACT/2211/4785/ORI_x000a_PA/UPG/2211/0146/ORI_x000a_PA/UPG/2211/0113/ORI_x000a_PA/UPG/2209/0146/ORI_x000a_PA/UPG/2209/0145/ORI_x000a_PA/UPG/2209/0144/ORI_x000a_PA/UPG/2209/0143/ORI_x000a_PA/ACT/2212/1318/ORI_x000a_PA/ACT/2301/0549/ORI_x000a_PA/UPG/2301/0104/ORI_x000a_PA/ACT/2301/1442/ORI _x000a_PA/ACT/2301/4194/ORI"/>
    <m/>
    <m/>
    <m/>
    <m/>
    <m/>
    <n v="4626000000"/>
    <m/>
    <m/>
    <n v="18000000"/>
    <m/>
    <d v="2023-02-23T00:00:00"/>
    <d v="2024-02-22T00:00:00"/>
    <x v="2"/>
    <m/>
    <d v="2025-12-24T00:00:00"/>
    <n v="-671"/>
    <n v="2"/>
    <n v="2024"/>
    <s v="baru"/>
    <s v="21434/SPP/008/PUSAT/ICON+/2023"/>
    <n v="4500020050"/>
    <s v="Fajar Paramita"/>
    <s v="Ira"/>
    <s v="0819-3243-0596"/>
    <m/>
    <m/>
    <m/>
    <m/>
    <m/>
    <m/>
    <s v="G47"/>
    <m/>
    <m/>
    <m/>
  </r>
  <r>
    <n v="1251"/>
    <s v="Media Nusantara Data Global"/>
    <s v="PT. DATA BUANA NUSANTARA"/>
    <s v="Jalan Kuningan Barat No.8 Cyber 1nd &amp; 2 nd jakarta selatam 12710"/>
    <x v="0"/>
    <m/>
    <s v="DBN Tenggiring, Kab. Lamongan, Jawa Timur"/>
    <s v="Sewa Tahunan"/>
    <s v="Cross Connect"/>
    <s v="PA/ACT/2012/0489"/>
    <m/>
    <m/>
    <m/>
    <m/>
    <m/>
    <n v="288000000"/>
    <m/>
    <m/>
    <n v="18000000"/>
    <m/>
    <d v="2021-02-05T00:00:00"/>
    <d v="2022-02-04T00:00:00"/>
    <x v="0"/>
    <m/>
    <d v="2025-12-24T00:00:00"/>
    <n v="-1419"/>
    <n v="2"/>
    <n v="2022"/>
    <s v="baru"/>
    <s v="15187/SPP/008/PUSAT/ICON+/2021"/>
    <n v="4500015757"/>
    <s v="Fajar Paramita"/>
    <s v="Ira"/>
    <s v="0819-3243-0596"/>
    <m/>
    <m/>
    <m/>
    <m/>
    <s v="E7"/>
    <m/>
    <m/>
    <m/>
    <m/>
    <m/>
  </r>
  <r>
    <n v="1252"/>
    <s v="Media Nusantara Data Global"/>
    <s v="PT. BANGUN UMMAT SEJAHTERA"/>
    <s v="Jalan Kuningan Barat No.8 Cyber 1nd &amp; 2 nd jakarta selatam 12710"/>
    <x v="0"/>
    <m/>
    <s v="Desa Jolotundo RT 03 RW 01, Kab. Rembang, Jawa Tengah"/>
    <s v="Sewa Tahunan"/>
    <s v="Cross Connect"/>
    <s v="PA/ACT/2009/0311"/>
    <m/>
    <m/>
    <m/>
    <m/>
    <m/>
    <n v="300000000"/>
    <m/>
    <m/>
    <n v="2500000"/>
    <m/>
    <d v="2020-09-29T00:00:00"/>
    <d v="2021-09-28T00:00:00"/>
    <x v="2"/>
    <m/>
    <d v="2025-12-24T00:00:00"/>
    <n v="-1548"/>
    <n v="9"/>
    <n v="2021"/>
    <s v="baru"/>
    <s v="14285/SPP/008/PUSAT/ICON+/2020"/>
    <n v="4500015060"/>
    <s v="Fajar Paramita"/>
    <s v="Ira"/>
    <s v="0819-3243-0596"/>
    <m/>
    <m/>
    <m/>
    <s v="D193"/>
    <m/>
    <m/>
    <m/>
    <m/>
    <m/>
    <s v="OTC Rp.2.500.000"/>
  </r>
  <r>
    <n v="1253"/>
    <s v="Media Nusantara Data Global"/>
    <s v="PT INTI DATA TELEMATIKA"/>
    <s v="Jalan Kuningan Barat No.8 Cyber 1nd &amp; 2 nd jakarta selatam 12710"/>
    <x v="0"/>
    <m/>
    <s v="Dinas Kominfo Bangkalan, Jl. Soekarno Hatta No.35, Wr 08, Mlajah, Bangkalan, Kec. Bangkalan, Kabupaten Bangkalan, Jawa Timur, Indonesia, 69116"/>
    <s v="Sewa Tahunan"/>
    <s v="Cross Connect"/>
    <s v="PA/ACT/2104/2689"/>
    <m/>
    <m/>
    <m/>
    <m/>
    <m/>
    <n v="300000000"/>
    <m/>
    <m/>
    <n v="36000000"/>
    <m/>
    <d v="2022-04-29T00:00:00"/>
    <d v="2023-04-28T00:00:00"/>
    <x v="0"/>
    <m/>
    <d v="2025-12-24T00:00:00"/>
    <n v="-971"/>
    <n v="4"/>
    <n v="2023"/>
    <s v="15782/SPP/008/PUSAT/ICON+/2021| 4500016120"/>
    <s v="18706/SPP/008/PUSAT/ICON+/2022"/>
    <n v="4500018118"/>
    <s v="Fajar Paramita"/>
    <s v="Ira"/>
    <s v="0819-3243-0596"/>
    <m/>
    <m/>
    <m/>
    <m/>
    <s v="E35"/>
    <s v="F222"/>
    <m/>
    <m/>
    <m/>
    <m/>
  </r>
  <r>
    <n v="1254"/>
    <s v="Media Nusantara Data Global"/>
    <s v="PT. ALIANSI TEKNOLOGI INDONESIA "/>
    <s v="Jl. Kuningan Barat No. 8 Cyber Building 1st &amp; 2nd Jakarta Selatan 12710"/>
    <x v="0"/>
    <m/>
    <s v="DWDM, Gd. NTTi data Center, Jl. Kuningan Barat Raya No.8, RT.6/RW.3, Kuningan Barat"/>
    <s v="Sewa Tahunan"/>
    <s v="Cross Connect"/>
    <s v="PA/ACT/2209/5345"/>
    <m/>
    <m/>
    <m/>
    <m/>
    <m/>
    <n v="294000000"/>
    <m/>
    <m/>
    <n v="18000000"/>
    <m/>
    <d v="2023-11-29T00:00:00"/>
    <d v="2024-11-28T00:00:00"/>
    <x v="0"/>
    <m/>
    <d v="2025-12-24T00:00:00"/>
    <n v="-391"/>
    <n v="11"/>
    <n v="2024"/>
    <s v="20638 | 4500019491"/>
    <n v="2446"/>
    <n v="4500022185"/>
    <s v="Fajar Paramita"/>
    <s v="Ira"/>
    <s v="0819-3243-0596"/>
    <m/>
    <m/>
    <m/>
    <m/>
    <m/>
    <s v="F87"/>
    <s v="H110"/>
    <m/>
    <m/>
    <s v="Biaya OTC 1.500.000"/>
  </r>
  <r>
    <n v="1255"/>
    <s v="Media Nusantara Data Global"/>
    <s v="PT. TRISULA MEDIA DATA"/>
    <s v="Jalan Kuningan Barat No.8 Cyber 1nd &amp; 2 nd jakarta selatam 12711"/>
    <x v="0"/>
    <m/>
    <s v="Gedung Cyber 1 lantai 2 (CDCI)"/>
    <s v="Sewa Tahunan"/>
    <s v="Cross Connect"/>
    <s v="PA/ACT/2011/0709"/>
    <m/>
    <m/>
    <m/>
    <m/>
    <m/>
    <n v="324000000"/>
    <m/>
    <m/>
    <n v="18000000"/>
    <m/>
    <d v="2021-12-29T00:00:00"/>
    <d v="2022-12-28T00:00:00"/>
    <x v="0"/>
    <m/>
    <d v="2025-12-24T00:00:00"/>
    <n v="-1092"/>
    <n v="12"/>
    <n v="2022"/>
    <s v="15027/SPP/008/PUSAT/ICON+/2020 | 4500015537"/>
    <s v="17579/SPP/008/PUSAT/ICON+/2021"/>
    <n v="4500017435"/>
    <s v="Fajar Paramita"/>
    <s v="Ira"/>
    <s v="0819-3243-0596"/>
    <m/>
    <m/>
    <m/>
    <s v="D326"/>
    <m/>
    <s v="F12"/>
    <m/>
    <m/>
    <m/>
    <m/>
  </r>
  <r>
    <n v="1256"/>
    <s v="Media Nusantara Data Global"/>
    <s v="PT. WOM FINANCE "/>
    <s v="Jalan Kuningan Barat No.8 Cyber 1nd &amp; 2 nd jakarta selatam 12711"/>
    <x v="0"/>
    <m/>
    <s v="Gedung Cyber 1 Lt. 2 Jl. Kuningan Barat Raya, No. 9B, RT. 03/ RW 02. Kuningan Barat,  Mampang Prapatan,  Jakarta Selatan,  DKI Jakarta,  Indonesia,"/>
    <s v="Sewa Tahunan"/>
    <s v="Cross Connect"/>
    <s v="PA/TRL/2207/0053/TER"/>
    <m/>
    <m/>
    <m/>
    <m/>
    <m/>
    <s v="-"/>
    <m/>
    <m/>
    <n v="1500000"/>
    <m/>
    <d v="2022-09-11T00:00:00"/>
    <d v="2022-10-10T00:00:00"/>
    <x v="2"/>
    <m/>
    <d v="2025-12-24T00:00:00"/>
    <n v="-1171"/>
    <n v="10"/>
    <n v="2022"/>
    <s v="baru"/>
    <s v="20010/SPP/008/PUSAT/ICON+/2022"/>
    <n v="4500019071"/>
    <s v="Fajar Paramita"/>
    <s v="Ira"/>
    <s v="0819-3243-0596"/>
    <m/>
    <m/>
    <m/>
    <m/>
    <m/>
    <s v="F246"/>
    <m/>
    <m/>
    <m/>
    <s v="1.Biaya Cross Connect  Rp.1.500.000"/>
  </r>
  <r>
    <n v="1257"/>
    <s v="Media Nusantara Data Global"/>
    <s v="-"/>
    <s v="Jalan Kuningan Barat No.8 Cyber 1nd &amp; 2 nd jakarta selatam 12711"/>
    <x v="0"/>
    <m/>
    <s v="Gedung Cyber 1 Lt. 8 Jl. Kuningan Barat Raya, No. 9B, RT. 03/ RW 02. Kuningan Barat,  Mampang Prapatan,  Jakarta Selatan,  DKI Jakarta,  Indonesia,"/>
    <s v="Sewa Tahunan"/>
    <s v="Cross Connect"/>
    <s v="-"/>
    <m/>
    <m/>
    <m/>
    <m/>
    <m/>
    <s v="-"/>
    <m/>
    <m/>
    <n v="18000000"/>
    <m/>
    <d v="2022-11-11T00:00:00"/>
    <d v="2023-11-10T00:00:00"/>
    <x v="0"/>
    <m/>
    <d v="2025-12-24T00:00:00"/>
    <n v="-775"/>
    <n v="11"/>
    <n v="2023"/>
    <s v="baru"/>
    <s v="20518/SPP/008/PUSAT/ICON+/2022"/>
    <n v="4500019383"/>
    <s v="Fajar Paramita"/>
    <s v="Ira"/>
    <s v="0819-3243-0596"/>
    <m/>
    <m/>
    <m/>
    <m/>
    <m/>
    <s v="F409"/>
    <m/>
    <m/>
    <m/>
    <s v="1.Biaya Cross Connect DI CDC u Project DWDM (Merujuk pada SP2K 4500019159)"/>
  </r>
  <r>
    <n v="1258"/>
    <s v="Media Nusantara Data Global"/>
    <s v="PT. SIGNAL INDO SUKSES"/>
    <s v="Jalan Kuningan Barat No.8 Cyber 1nd &amp; 2 nd jakarta selatam 12710"/>
    <x v="0"/>
    <m/>
    <s v="Gedung Cyber APjii, Jl. Kuningan Barat Raya No.8, RT.1/RW.3, Kuningan Bar., Kec. Mampang Prpt., Kota Jakarta, Jakarta Selatan, DKI Jakarta, Indonesia"/>
    <s v="Sewa Tahunan"/>
    <s v="Cross Connect"/>
    <s v="PA/ACT/2008/1120"/>
    <m/>
    <m/>
    <m/>
    <m/>
    <m/>
    <n v="840000000"/>
    <m/>
    <m/>
    <n v="2500000"/>
    <m/>
    <d v="2020-09-25T00:00:00"/>
    <d v="2021-09-24T00:00:00"/>
    <x v="0"/>
    <m/>
    <d v="2025-12-24T00:00:00"/>
    <n v="-1552"/>
    <n v="9"/>
    <n v="2021"/>
    <s v="baru"/>
    <s v="14222/SPP/008/PUSAT/ICON+/2020"/>
    <n v="4500015013"/>
    <s v="Fajar Paramita"/>
    <s v="Ira"/>
    <s v="0819-3243-0596"/>
    <m/>
    <m/>
    <m/>
    <s v="D195"/>
    <m/>
    <m/>
    <m/>
    <m/>
    <m/>
    <s v="Biaya OTC Rp.2.500.000"/>
  </r>
  <r>
    <n v="1259"/>
    <s v="Media Nusantara Data Global"/>
    <s v="PT. TRISULA MEDIA DATA"/>
    <s v="Jalan Kuningan Barat No.8 Cyber 1nd &amp; 2 nd jakarta selatam 12715"/>
    <x v="0"/>
    <m/>
    <s v="Gedung Cyber Lt. 1, Jalan Kuningan Barat No. 8, Kuningan Barat, Jakarta Selatan"/>
    <s v="Sewa Tahunan"/>
    <s v="Cross Connect"/>
    <s v="PA/ACT/2010/1353"/>
    <m/>
    <m/>
    <m/>
    <m/>
    <m/>
    <n v="57000000"/>
    <m/>
    <m/>
    <n v="18000000"/>
    <m/>
    <d v="2021-12-24T00:00:00"/>
    <d v="2022-12-23T00:00:00"/>
    <x v="0"/>
    <m/>
    <d v="2025-12-24T00:00:00"/>
    <n v="-1097"/>
    <n v="12"/>
    <n v="2022"/>
    <s v="15000/SPP/008/PUSAT/ICON+/2020 | 4500015538"/>
    <s v="17581/SPP/008/PUSAT/ICON+/2021"/>
    <n v="4500017434"/>
    <s v="Fajar Paramita"/>
    <s v="Ira"/>
    <s v="0819-3243-0596"/>
    <m/>
    <m/>
    <m/>
    <s v="D325"/>
    <m/>
    <s v="F16"/>
    <m/>
    <m/>
    <m/>
    <m/>
  </r>
  <r>
    <n v="1260"/>
    <s v="Media Nusantara Data Global"/>
    <s v="PT Fahasa Tri Data_x000a_PT Metrosolusi Teknologi Indonesia_x000a_PT Giga Digital Nusantara_x000a_PT Akses Bersama Sedaya"/>
    <s v="Jalan Kuningan Barat No.8 Cyber 1nd &amp; 2 nd jakarta selatam 12711"/>
    <x v="0"/>
    <m/>
    <s v="Gedung Cyber Lt. 1, Jl. Kuningan Barat Raya No.8, RT.1/RW.3, Kuningan Barat,  Mampang Prapatan,  Jakarta Selatan,  DKI Jakarta,  Indonesia,  "/>
    <s v="Sewa Tahunan"/>
    <s v="Cross Connect"/>
    <s v="_x000a_PA/UPG/2211/0071/ORI_x000a_PA/UPG/2211/0069/ORI_x000a_PA/UPG/2209/0105/ORI_x000a_PA/ACT/2211/0117/ORI_x000a_PA/ACT/2210/3216/ORI_x000a_PA/ACT/2210/0687/ORI_x000a_PA/ACT/2210/2189/ORI"/>
    <m/>
    <m/>
    <m/>
    <m/>
    <m/>
    <n v="4776000000"/>
    <m/>
    <m/>
    <n v="18000000"/>
    <m/>
    <d v="2022-11-16T00:00:00"/>
    <d v="2023-11-15T00:00:00"/>
    <x v="0"/>
    <m/>
    <d v="2025-12-24T00:00:00"/>
    <n v="-770"/>
    <n v="11"/>
    <n v="2023"/>
    <s v="baru"/>
    <s v="20541/SPP/008/PUSAT/ICON+/2022"/>
    <n v="4500019440"/>
    <s v="Fajar Paramita"/>
    <s v="Ira"/>
    <s v="0819-3243-0596"/>
    <m/>
    <m/>
    <m/>
    <m/>
    <m/>
    <s v="F410"/>
    <m/>
    <m/>
    <m/>
    <m/>
  </r>
  <r>
    <n v="1261"/>
    <s v="Media Nusantara Data Global"/>
    <s v="PT. BANK CENTRAL ASIA, TBK"/>
    <s v="Jl. Kuningan Barat No. 8 Cyber Building 1st &amp; 2nd Jakarta Selatan 12710"/>
    <x v="0"/>
    <m/>
    <s v="H2H PT. Transjakarta – AINO ; Gedung Cyber 1 Lt.1 No. Rak 1a0212, Jl. Kuningan Barat Raya No. 8, Kuningan Barat, Jakarta Selatan, DKI Jakarta, Indonesia, 12710"/>
    <s v="Sewa Tahunan"/>
    <s v="Cross Connect"/>
    <s v="PA/RLK/2009/0090/TER"/>
    <m/>
    <m/>
    <m/>
    <m/>
    <m/>
    <n v="28800000"/>
    <m/>
    <m/>
    <n v="18000000"/>
    <m/>
    <d v="2023-12-24T00:00:00"/>
    <d v="2024-12-23T00:00:00"/>
    <x v="0"/>
    <m/>
    <d v="2025-12-24T00:00:00"/>
    <n v="-366"/>
    <n v="12"/>
    <n v="2024"/>
    <s v="14991/SPP/008/PUSAT/ICON+/2020 | 4500015536 | 17528/SPP/008/PUSAT/ICON+/2021 | 4500017432 | 20893/SPP/008/PUSAT/ICON+/2022 | 4500019845"/>
    <s v="2974/SPP/SBU/PLNICONPLUS/2024"/>
    <n v="4500022979"/>
    <s v="Fajar Paramita"/>
    <s v="Ira"/>
    <s v="0819-3243-0596"/>
    <m/>
    <m/>
    <m/>
    <s v="D327"/>
    <m/>
    <s v="F6"/>
    <s v="G10"/>
    <s v="H243"/>
    <m/>
    <m/>
  </r>
  <r>
    <n v="1262"/>
    <s v="Media Nusantara Data Global"/>
    <s v="PT. JALA LINTAS MEDIA qq IAIN Kediri"/>
    <s v="Jalan Kuningan Barat No.8 Cyber 1nd &amp; 2 nd jakarta selatam 12710"/>
    <x v="0"/>
    <m/>
    <s v="IAIN Kediri, Jl. Sunan Ampel No.7, Rejomulyo, Kediri, Kota Kediri, Jawa Timur, Indonesia,"/>
    <s v="Sewa Tahunan"/>
    <s v="Cross Connect"/>
    <s v="PA/ACT/2001/0748"/>
    <m/>
    <m/>
    <m/>
    <m/>
    <m/>
    <m/>
    <m/>
    <m/>
    <n v="2500000"/>
    <m/>
    <d v="2021-07-22T00:00:00"/>
    <d v="2022-07-21T00:00:00"/>
    <x v="2"/>
    <m/>
    <d v="2025-12-24T00:00:00"/>
    <n v="-1252"/>
    <n v="7"/>
    <n v="2022"/>
    <s v="13898/SPP/008/PUSAT/ICON+/2020 | 4500014743"/>
    <s v="16236/SPP/008/PUSAT/ICON+/2021"/>
    <n v="4500016505"/>
    <s v="Fajar Paramita"/>
    <s v="Ira"/>
    <s v="0819-3243-0596"/>
    <m/>
    <m/>
    <m/>
    <s v="D166"/>
    <s v="E242"/>
    <m/>
    <m/>
    <m/>
    <m/>
    <m/>
  </r>
  <r>
    <n v="1263"/>
    <s v="Media Nusantara Data Global"/>
    <m/>
    <s v="Jalan Kuningan Barat No.8 Cyber 1nd &amp; 2 nd jakarta selatam 12710"/>
    <x v="0"/>
    <m/>
    <s v="Jalan Kuningan Barat No.8 Cyber 1nd &amp; 2 nd jakarta selatam 12710"/>
    <s v="Sewa Tahunan"/>
    <s v="Colocation"/>
    <s v="1000008966_x000a_ 1000008248_x000a_ 1000015005_x000a_ 1000021664_x000a_ 1000059277_x000a_ 1000041784_x000a_ 1000054123_x000a_ 1000072810_x000a_ 1000064029_x000a_ 1000037667_x000a_ 99000032051_x000a_ 1000087667_x000a_ 4000062481_x000a_ [01000044710_x000a_ [0990000320643284_x000a_ 1000056441"/>
    <m/>
    <m/>
    <m/>
    <m/>
    <m/>
    <n v="1922967276"/>
    <m/>
    <m/>
    <n v="881000000"/>
    <m/>
    <d v="2020-12-19T00:00:00"/>
    <d v="2021-12-18T00:00:00"/>
    <x v="0"/>
    <m/>
    <d v="2025-12-24T00:00:00"/>
    <n v="-1467"/>
    <n v="12"/>
    <n v="2021"/>
    <s v=",07172/SPP/008/PUSAT/ICON+/2017 | 09986/SPP/008/PUSAT/ICON+/2018 | 4500010800 | 12323/SPP/008/PUSAT/ICON+/2019 | 4500013760"/>
    <s v="14812/SPP/008/PUSAT/ICON+/2020"/>
    <n v="4500015515"/>
    <s v="Fajar Paramita"/>
    <s v="Ira"/>
    <s v="0819-3243-0596"/>
    <m/>
    <m/>
    <s v="C112"/>
    <s v="D298"/>
    <m/>
    <m/>
    <m/>
    <m/>
    <m/>
    <m/>
  </r>
  <r>
    <n v="1264"/>
    <s v="Media Nusantara Data Global"/>
    <s v="PT. DWI TUNGGAL PUTRA"/>
    <s v="Jl. Kuningan Barat No. 8 Cyber Building 1st &amp; 2nd Jakarta Selatan 12710"/>
    <x v="0"/>
    <s v="Cyber Building, Jl. Kuningan Barat Raya No.8, RT.1/RW.3, Kuningan Barat,  Kec. Mampang Prapatan,  Jakarta Selatan,  DKI Jakarta,  Indonesia,  12710"/>
    <s v="Jalan Kuningan Barat No.8 Cyber 1nd &amp; 2 nd jakarta selatan 12711"/>
    <s v="Sewa Tahunan"/>
    <s v="Cross Connect"/>
    <s v="PA/ACT/2112/2028"/>
    <m/>
    <m/>
    <m/>
    <m/>
    <m/>
    <n v="1080000000"/>
    <m/>
    <m/>
    <n v="18000000"/>
    <m/>
    <d v="2024-01-17T00:00:00"/>
    <d v="2025-01-16T00:00:00"/>
    <x v="0"/>
    <m/>
    <d v="2025-12-24T00:00:00"/>
    <n v="-342"/>
    <n v="1"/>
    <n v="2025"/>
    <s v="17672/SPP/008/PUSAT/ICON+/2022| 4500017499 | 21040 | 4500019920"/>
    <n v="2477"/>
    <n v="4500022204"/>
    <s v="Fajar Paramita"/>
    <s v="Ira"/>
    <s v="0819-3243-0596"/>
    <m/>
    <m/>
    <m/>
    <m/>
    <m/>
    <m/>
    <s v="G33"/>
    <s v="H34"/>
    <m/>
    <s v="Biaya OTC Rp.1.500.000"/>
  </r>
  <r>
    <n v="1265"/>
    <s v="Media Nusantara Data Global"/>
    <s v="Akamai dan Facebook"/>
    <s v="Jl. Kuningan Barat No. 8 Cyber Building 1st &amp; 2nd Jakarta Selatan 12710"/>
    <x v="0"/>
    <m/>
    <s v="Jalan Kuningan Barat No.8 Cyber 1nd &amp; 2 nd jakarta selatan 12710"/>
    <s v="Sewa Tahunan"/>
    <s v="Cross Connect"/>
    <s v="-"/>
    <m/>
    <m/>
    <m/>
    <m/>
    <m/>
    <n v="0"/>
    <m/>
    <m/>
    <n v="18000000"/>
    <m/>
    <d v="2024-01-11T00:00:00"/>
    <d v="2025-01-10T00:00:00"/>
    <x v="0"/>
    <m/>
    <d v="2025-12-24T00:00:00"/>
    <n v="-348"/>
    <n v="1"/>
    <n v="2025"/>
    <s v="20857 | 4500019747"/>
    <s v="2765/SPP/SBU/ICON+/2024"/>
    <n v="4500022597"/>
    <s v="Fajar Paramita"/>
    <s v="Ira"/>
    <s v="0819-3243-0596"/>
    <m/>
    <m/>
    <m/>
    <m/>
    <m/>
    <s v="F437"/>
    <s v="G120"/>
    <s v="H216"/>
    <m/>
    <m/>
  </r>
  <r>
    <n v="1266"/>
    <s v="Media Nusantara Data Global"/>
    <s v="PT. JAYA MEDIA EXPRESS"/>
    <s v="Jl. Kuningan Barat No. 8 Cyber Building 1st &amp; 2nd Jakarta Selatan 12710"/>
    <x v="0"/>
    <m/>
    <s v="Jl. H. Sanusi, Randegan Kulon,, Kecamatan Jatitujuh, Kabupaten Majalengka, Jawa Barat, Indonesia, 45458"/>
    <s v="Sewa Tahunan"/>
    <s v="Cross Connect"/>
    <s v="PA/RLK/2109/0110"/>
    <m/>
    <m/>
    <m/>
    <m/>
    <m/>
    <n v="300000000"/>
    <m/>
    <m/>
    <n v="36000000"/>
    <m/>
    <d v="2023-10-14T00:00:00"/>
    <d v="2024-10-13T00:00:00"/>
    <x v="1"/>
    <m/>
    <d v="2025-12-24T00:00:00"/>
    <n v="-437"/>
    <n v="10"/>
    <n v="2024"/>
    <s v="16886/SPP/008/PUSAT/ICON+/2021 | 4500016925 | 20306/SPP/008/PUSAT/ICON+/2022 | 4500019390"/>
    <s v="1961/SPP/SBU/ICON+/2023"/>
    <n v="4500021815"/>
    <s v="Fajar Paramita"/>
    <s v="Ira"/>
    <s v="0819-3243-0596"/>
    <m/>
    <m/>
    <m/>
    <s v="E287"/>
    <s v="F28"/>
    <s v="F411'"/>
    <s v="G376"/>
    <m/>
    <m/>
    <s v="1.Biaya Cross Connect Rp.36.000.000"/>
  </r>
  <r>
    <n v="1267"/>
    <s v="Media Nusantara Data Global"/>
    <s v="PT. ADEAKSA INDO JAYATAMA"/>
    <s v="Jalan Kuningan Barat No.8 Cyber 1nd &amp; 2 nd jakarta selatam 12710"/>
    <x v="0"/>
    <m/>
    <s v="Jl. Kuningan Barat Raya No.8, RW.3, Kuningan Bar, Jakarta Selatan"/>
    <s v="Sewa Tahunan"/>
    <s v="Cross Connect"/>
    <s v="PA/ACT/2007/1607_x000a_ PA/ACT/2007/1030"/>
    <m/>
    <m/>
    <m/>
    <m/>
    <m/>
    <n v="600000000"/>
    <m/>
    <m/>
    <n v="5000000"/>
    <m/>
    <d v="2021-08-12T00:00:00"/>
    <d v="2022-08-11T00:00:00"/>
    <x v="0"/>
    <m/>
    <d v="2025-12-24T00:00:00"/>
    <n v="-1231"/>
    <n v="8"/>
    <n v="2022"/>
    <s v="13975/SPP/008/PUSAT/ICON+/2020 | 4500014802"/>
    <s v="16685/SPP/008/PUSAT/ICON+/2021"/>
    <n v="4500016924"/>
    <s v="Fajar Paramita"/>
    <s v="Ira"/>
    <s v="0819-3243-0596"/>
    <m/>
    <m/>
    <m/>
    <s v="D169"/>
    <s v="E407"/>
    <m/>
    <m/>
    <m/>
    <m/>
    <m/>
  </r>
  <r>
    <n v="1268"/>
    <s v="Media Nusantara Data Global"/>
    <s v="PT CYBERINDO ADITAMA"/>
    <s v="Jalan Kuningan Barat No.8 Cyber 1nd &amp; 2 nd jakarta selatam 12710"/>
    <x v="0"/>
    <m/>
    <s v="Jl. Kuningan Barat Raya No.8, RW.3, Kuningan Bar, Jakarta Selatan"/>
    <s v="Sewa Tahunan"/>
    <s v="Cross Connect"/>
    <s v="01000352589"/>
    <m/>
    <m/>
    <m/>
    <m/>
    <m/>
    <m/>
    <m/>
    <m/>
    <n v="2500000"/>
    <m/>
    <d v="2023-08-14T00:00:00"/>
    <d v="2024-08-13T00:00:00"/>
    <x v="0"/>
    <m/>
    <d v="2025-12-24T00:00:00"/>
    <n v="-498"/>
    <n v="8"/>
    <n v="2024"/>
    <s v="14007/SPP/008/PUSAT/ICON+/2020| 4500014850| 16629/SPP/008/PUSAT/ICON+/2021 | 4500016886 | 19810/SPP/008/PUSAT/ICON+/2022 | 4500019055"/>
    <s v="1138/SPP/SBU/ICON+/2023"/>
    <n v="4500021194"/>
    <s v="Fajar Paramita"/>
    <s v="Ira"/>
    <s v="0819-3243-0596"/>
    <m/>
    <m/>
    <m/>
    <s v="D175"/>
    <s v="F220"/>
    <s v="F373"/>
    <s v="G272"/>
    <m/>
    <m/>
    <s v="1.Biaya Sewa Tahunan Rp,2.500.000"/>
  </r>
  <r>
    <n v="1269"/>
    <s v="Media Nusantara Data Global"/>
    <s v="PT CYBERINDO ADITAMA"/>
    <s v="Jl. Kuningan Barat No. 8 Cyber Building 1st &amp; 2nd Jakarta Selatan 12710"/>
    <x v="0"/>
    <m/>
    <s v="Jl. Kuningan Barat Raya No.8, RW.3, Kuningan Bar, Jakarta Selatan"/>
    <s v="Sewa Tahunan"/>
    <s v="Cross Connect"/>
    <s v="01000352589"/>
    <m/>
    <m/>
    <m/>
    <m/>
    <m/>
    <m/>
    <m/>
    <m/>
    <n v="2500000"/>
    <m/>
    <d v="2024-08-14T00:00:00"/>
    <d v="2025-08-13T00:00:00"/>
    <x v="0"/>
    <m/>
    <d v="2025-12-24T00:00:00"/>
    <n v="-133"/>
    <n v="8"/>
    <n v="2025"/>
    <m/>
    <s v="3945/SPP/SBU/PLNICONPLUS/2024"/>
    <n v="4500023166"/>
    <s v="Livia Indraswati"/>
    <s v="Ira"/>
    <s v="0819-3243-0596"/>
    <m/>
    <m/>
    <m/>
    <m/>
    <m/>
    <m/>
    <m/>
    <s v="H281"/>
    <m/>
    <m/>
  </r>
  <r>
    <n v="1270"/>
    <s v="Media Nusantara Data Global"/>
    <s v="PT. SIGNAL INDO SUKSES"/>
    <s v="Jalan Kuningan Barat No.8 Cyber 1nd &amp; 2 nd jakarta selatam 12710"/>
    <x v="0"/>
    <m/>
    <s v="Jl. Kuningan Barat Raya No.8, RW.3, Kuningan Bar, Jakarta Selatan"/>
    <s v="Sewa Tahunan"/>
    <s v="Cross Connect"/>
    <s v="PA/ACT/2008/1120"/>
    <m/>
    <m/>
    <m/>
    <m/>
    <m/>
    <n v="840000000"/>
    <m/>
    <m/>
    <n v="5000000"/>
    <m/>
    <d v="2020-09-25T00:00:00"/>
    <d v="2021-09-24T00:00:00"/>
    <x v="0"/>
    <m/>
    <d v="2025-12-24T00:00:00"/>
    <n v="-1552"/>
    <n v="9"/>
    <n v="2021"/>
    <s v="baru"/>
    <s v="14222/SPP/008/PUSAT/ICON+/2020"/>
    <n v="4500015013"/>
    <s v="Fajar Paramita"/>
    <s v="Ira"/>
    <s v="0819-3243-0596"/>
    <m/>
    <m/>
    <m/>
    <s v="D195"/>
    <m/>
    <m/>
    <m/>
    <m/>
    <m/>
    <m/>
  </r>
  <r>
    <n v="1271"/>
    <s v="Media Nusantara Data Global"/>
    <m/>
    <s v="Jalan Kuningan Barat No.8 Cyber 1nd &amp; 2 nd jakarta selatam 12710"/>
    <x v="0"/>
    <m/>
    <s v="Jl. Kuningan Barat Raya No.8, RW.3, Kuningan Bar, Jakarta Selatan"/>
    <s v="Sewa Tahunan"/>
    <s v="Cross Connect"/>
    <s v="No PA"/>
    <m/>
    <m/>
    <m/>
    <m/>
    <m/>
    <n v="840000000"/>
    <m/>
    <m/>
    <n v="2500000"/>
    <m/>
    <d v="2020-09-18T00:00:00"/>
    <d v="2021-09-17T00:00:00"/>
    <x v="0"/>
    <m/>
    <d v="2025-12-24T00:00:00"/>
    <n v="-1559"/>
    <n v="9"/>
    <n v="2021"/>
    <s v="baru"/>
    <s v="14182/SPP/008/PUSAT/ICON+/2020"/>
    <n v="4500015014"/>
    <s v="Fajar Paramita"/>
    <s v="Ira"/>
    <s v="0819-3243-0596"/>
    <m/>
    <m/>
    <m/>
    <s v="D194"/>
    <m/>
    <m/>
    <m/>
    <m/>
    <m/>
    <m/>
  </r>
  <r>
    <n v="1272"/>
    <s v="Media Nusantara Data Global"/>
    <s v="PT. BITNIAGA CIPTA GEMILANG"/>
    <s v="Jalan Kuningan Barat No.8 Cyber 1nd &amp; 2 nd jakarta selatam 12710"/>
    <x v="0"/>
    <m/>
    <s v="Jl. Kuningan Barat Raya No.8, RW.3, Kuningan Bar, Jakarta Selatan"/>
    <s v="Sewa Tahunan"/>
    <s v="Cross Connect"/>
    <s v="PA/ACT/2005/0949"/>
    <m/>
    <m/>
    <m/>
    <m/>
    <m/>
    <m/>
    <m/>
    <m/>
    <n v="2500000"/>
    <m/>
    <d v="2021-06-03T00:00:00"/>
    <d v="2022-07-02T00:00:00"/>
    <x v="0"/>
    <m/>
    <d v="2025-12-24T00:00:00"/>
    <n v="-1271"/>
    <n v="7"/>
    <n v="2022"/>
    <s v="13469/SPP/008/PUSAT/ICON+/2020 | 4500014448"/>
    <s v="16027/SPP/008/PUSAT/ICON+/2021"/>
    <n v="4500016316"/>
    <s v="Fajar Paramita"/>
    <s v="Ira"/>
    <s v="0819-3243-0596"/>
    <m/>
    <m/>
    <m/>
    <s v="D117"/>
    <s v="E183"/>
    <m/>
    <m/>
    <m/>
    <m/>
    <m/>
  </r>
  <r>
    <n v="1273"/>
    <s v="Media Nusantara Data Global"/>
    <s v="PT. DJARUM_x000a_"/>
    <s v="Jl. Kuningan Barat No. 8 Cyber Building 1st &amp; 2nd Jakarta Selatan 12710"/>
    <x v="0"/>
    <m/>
    <s v="Jl. Kuningan Barat Raya No.8, RW.3, Kuningan Bar, Jakarta Selatan"/>
    <s v="Sewa Tahunan"/>
    <s v="Cross Connect"/>
    <s v="PA/ACT/2003/0168_x000a_ PA/ACT/2004/0585"/>
    <m/>
    <m/>
    <m/>
    <m/>
    <m/>
    <n v="1890000000"/>
    <m/>
    <m/>
    <n v="2500000"/>
    <m/>
    <d v="2024-06-03T00:00:00"/>
    <d v="2025-06-02T00:00:00"/>
    <x v="0"/>
    <m/>
    <d v="2025-12-24T00:00:00"/>
    <n v="-205"/>
    <n v="6"/>
    <n v="2025"/>
    <s v="13482/SPP/008/PUSAT/ICON+/2020 | 4500014453| 15995/SPP/008/PUSAT/ICON+/2021 | 4500016317 | 19418/SPP/008/PUSAT/ICON+/2022 | 4500019058 | 802/SPP/SBU/ICON+/2023 | 4500020895"/>
    <s v="3749/SPP/SBU/PLNICONPLUS/2024"/>
    <n v="4500022995"/>
    <s v="Fajar Paramita"/>
    <s v="Ira"/>
    <s v="0819-3243-0596"/>
    <m/>
    <m/>
    <m/>
    <s v="D97"/>
    <s v="E184"/>
    <s v="F374"/>
    <s v="G209"/>
    <s v="H244"/>
    <m/>
    <s v="1.Biaya Sewa Tahunan Rp,2.500.000"/>
  </r>
  <r>
    <n v="1274"/>
    <s v="Media Nusantara Data Global"/>
    <s v="Joint ALL pelanggan"/>
    <s v="Jl. Kuningan Barat No. 8 Cyber Building 1st &amp; 2nd Jakarta Selatan 12710"/>
    <x v="0"/>
    <m/>
    <s v="Jl. Kuningan Barat Raya No.8, RW.3, Kuningan Bar, Jakarta Selatan"/>
    <s v="Sewa Tahunan"/>
    <s v="Colocation"/>
    <s v="1000106826_x000a_ 1000094688"/>
    <m/>
    <m/>
    <m/>
    <m/>
    <m/>
    <n v="285600000"/>
    <m/>
    <m/>
    <n v="49500000"/>
    <m/>
    <d v="2023-07-11T00:00:00"/>
    <d v="2024-07-10T00:00:00"/>
    <x v="0"/>
    <m/>
    <d v="2025-12-24T00:00:00"/>
    <n v="-532"/>
    <n v="7"/>
    <n v="2024"/>
    <s v="13825/SPP/008/PUSAT/ICON+/2020 | 4500014668| 16028/SPP/008/PUSAT/ICON+/2021| 4500016301 | 19240/SPP/008/PUSAT/ICON+/2022 | 4500018490"/>
    <s v="728/SPP/SBU/ICON+/2023"/>
    <n v="4500020893"/>
    <s v="Fajar Paramita"/>
    <s v="Ira"/>
    <s v="0819-3243-0596"/>
    <m/>
    <m/>
    <m/>
    <s v="D192"/>
    <s v="E185"/>
    <s v="F306"/>
    <s v="G214"/>
    <m/>
    <m/>
    <m/>
  </r>
  <r>
    <n v="1275"/>
    <s v="Media Nusantara Data Global"/>
    <s v="Joint ALL pelanggan"/>
    <s v="Jl. Kuningan Barat No. 8 Cyber Building 1st &amp; 2nd Jakarta Selatan 12710"/>
    <x v="0"/>
    <m/>
    <s v="Jl. Kuningan Barat Raya No.8, RW.3, Kuningan Bar, Jakarta Selatan"/>
    <s v="Sewa Tahunan"/>
    <s v="Colocation"/>
    <s v="1000106826_x000a_ 1000094688"/>
    <m/>
    <m/>
    <m/>
    <m/>
    <m/>
    <n v="516000000"/>
    <m/>
    <m/>
    <n v="49500000"/>
    <m/>
    <d v="2024-07-11T00:00:00"/>
    <d v="2025-07-10T00:00:00"/>
    <x v="0"/>
    <m/>
    <d v="2025-12-24T00:00:00"/>
    <n v="-167"/>
    <n v="7"/>
    <n v="2025"/>
    <m/>
    <s v="3866/SPP/SBU/PLNICONPLUS/2024"/>
    <n v="4500023239"/>
    <s v="Fajar Paramita"/>
    <s v="Ira"/>
    <s v="0819-3243-0596"/>
    <m/>
    <m/>
    <m/>
    <m/>
    <m/>
    <m/>
    <m/>
    <s v="H316"/>
    <m/>
    <m/>
  </r>
  <r>
    <n v="1276"/>
    <s v="Media Nusantara Data Global"/>
    <s v="PT. DATA BUANA NUSANTARA"/>
    <s v="Jalan Kuningan Barat No.8 Cyber 1nd &amp; 2 nd jakarta selatam 12710"/>
    <x v="0"/>
    <m/>
    <s v="Jl. Raya Kesongo Kedungadem, Grogol, Sidorejo, Kedungadem, Kabupaten Bojonegoro, Jawa Timur, Indonesia, 62195"/>
    <s v="Sewa Tahunan"/>
    <s v="Cross Connect"/>
    <s v="PA/ACT/2012/2159"/>
    <m/>
    <m/>
    <m/>
    <m/>
    <m/>
    <n v="288000000"/>
    <m/>
    <m/>
    <n v="18000000"/>
    <m/>
    <d v="2021-02-05T00:00:00"/>
    <d v="2022-02-04T00:00:00"/>
    <x v="0"/>
    <m/>
    <d v="2025-12-24T00:00:00"/>
    <n v="-1419"/>
    <n v="2"/>
    <n v="2022"/>
    <s v="baru"/>
    <s v="15188/SPP/008/PUSAT/ICON+/2021"/>
    <n v="4500015756"/>
    <s v="Fajar Paramita"/>
    <s v="Ira"/>
    <s v="0819-3243-0596"/>
    <m/>
    <m/>
    <m/>
    <m/>
    <s v="E6"/>
    <m/>
    <m/>
    <m/>
    <m/>
    <m/>
  </r>
  <r>
    <n v="1277"/>
    <s v="Media Nusantara Data Global"/>
    <s v="PT. YESI MEDIA UTAMA WONOGIRI"/>
    <s v="Jalan Kuningan Barat No.8 Cyber 1nd &amp; 2 nd jakarta selatam 12710"/>
    <x v="0"/>
    <m/>
    <s v="Jl. Raya Nguntoronadi KM 24 RT 02/ 01, Kedungrejo, Nguntoronadi, Wonogiri, Kecamatan Nguntoronadi, Kabupaten Wonogiri, Jawa Tengah, Indonesia, 57671"/>
    <s v="Sewa Tahunan"/>
    <s v="Cross Connect"/>
    <s v="PA/ACT/2006/1779"/>
    <m/>
    <m/>
    <m/>
    <m/>
    <m/>
    <m/>
    <m/>
    <m/>
    <n v="2500000"/>
    <m/>
    <d v="2020-07-16T00:00:00"/>
    <d v="2021-07-15T00:00:00"/>
    <x v="2"/>
    <m/>
    <d v="2025-12-24T00:00:00"/>
    <n v="-1623"/>
    <n v="7"/>
    <n v="2021"/>
    <s v="baru"/>
    <s v="13812/SPP/008/PUSAT/ICON+/2020"/>
    <n v="4500014674"/>
    <s v="Fajar Paramita"/>
    <s v="Ira"/>
    <s v="0819-3243-0596"/>
    <m/>
    <m/>
    <m/>
    <s v="D151"/>
    <m/>
    <m/>
    <m/>
    <m/>
    <m/>
    <m/>
  </r>
  <r>
    <n v="1278"/>
    <s v="Media Nusantara Data Global"/>
    <s v="PT. YESI MEDIA UTAMA WONOGIRI"/>
    <s v="Jalan Kuningan Barat No.8 Cyber 1nd &amp; 2 nd jakarta selatam 12710"/>
    <x v="0"/>
    <m/>
    <s v="Jl. Raya Nguntoronadi KM 24 RT 02/ 01, Kedungrejo, Nguntoronadi, Wonogiri, Kecamatan Nguntoronadi, Kabupaten Wonogiri, Jawa Tengah, Indonesia, 57671"/>
    <s v="Sewa Tahunan"/>
    <s v="Cross Connect"/>
    <s v="PA/ACT/2006/1779"/>
    <m/>
    <m/>
    <m/>
    <m/>
    <m/>
    <n v="318000000"/>
    <m/>
    <m/>
    <n v="2500000"/>
    <m/>
    <d v="2021-07-16T00:00:00"/>
    <d v="2022-07-15T00:00:00"/>
    <x v="2"/>
    <m/>
    <d v="2025-12-24T00:00:00"/>
    <n v="-1258"/>
    <n v="7"/>
    <n v="2022"/>
    <s v="baru"/>
    <s v="16238/SPP/008/PUSAT/ICON+/2021"/>
    <n v="4500016507"/>
    <s v="Fajar Paramita"/>
    <s v="Ira"/>
    <s v="0819-3243-0596"/>
    <m/>
    <m/>
    <m/>
    <m/>
    <s v="E222"/>
    <m/>
    <m/>
    <m/>
    <m/>
    <m/>
  </r>
  <r>
    <n v="1279"/>
    <s v="Media Nusantara Data Global"/>
    <s v="PT PINUS MERAH ABADI qq Bitniaga Cipta Gemilang"/>
    <s v="Jalan Kuningan Barat No.8 Cyber 1nd &amp; 2 nd jakarta selatam 12710"/>
    <x v="0"/>
    <m/>
    <s v="Jl. Raya Nguntoronadi KM 24 RT 02/ 01, Kedungrejo, Nguntoronadi, Wonogiri, Kecamatan Nguntoronadi, Kabupaten Wonogiri, Jawa Tengah, Indonesia, 57671"/>
    <s v="Sewa Tahunan"/>
    <s v="Cross Connect"/>
    <s v="PA/ACT/2006/0717"/>
    <m/>
    <m/>
    <m/>
    <m/>
    <m/>
    <n v="300000000"/>
    <m/>
    <m/>
    <n v="2500000"/>
    <m/>
    <d v="2021-07-06T00:00:00"/>
    <d v="2022-07-05T00:00:00"/>
    <x v="2"/>
    <m/>
    <d v="2025-12-24T00:00:00"/>
    <n v="-1268"/>
    <n v="7"/>
    <n v="2022"/>
    <s v="baru"/>
    <s v="16237/SPP/008/PUSAT/ICON+/2021"/>
    <n v="4500016506"/>
    <s v="Fajar Paramita"/>
    <s v="Ira"/>
    <s v="0819-3243-0596"/>
    <m/>
    <m/>
    <m/>
    <m/>
    <s v="E237"/>
    <m/>
    <m/>
    <m/>
    <m/>
    <m/>
  </r>
  <r>
    <n v="1280"/>
    <s v="Media Nusantara Data Global"/>
    <s v="PT. FIVENDRO MANDIRI INDONESIA"/>
    <s v="Jalan Kuningan Barat No.8 Cyber 1nd &amp; 2 nd jakarta selatam 12712"/>
    <x v="0"/>
    <s v="Jl. Kuningan Barat Raya No.8, RW.3, Kuningan Bar,  Mampang Prpt,  Jakarta Selatan,  DKI Jakarta,  Indonesia,  12710"/>
    <s v="Kauman, Ajibarang Wetan, Ajibarang, Kabupaten Banyumas, Jawa Tengah, Indonesia, 53163"/>
    <s v="Sewa Tahunan"/>
    <s v="Cross Connect"/>
    <s v="PA/ACT/2012/0147"/>
    <m/>
    <m/>
    <m/>
    <m/>
    <m/>
    <n v="300000000"/>
    <m/>
    <m/>
    <n v="18000000"/>
    <m/>
    <d v="2021-01-22T00:00:00"/>
    <d v="2022-01-21T00:00:00"/>
    <x v="0"/>
    <m/>
    <d v="2025-12-24T00:00:00"/>
    <n v="-1433"/>
    <n v="1"/>
    <n v="2022"/>
    <s v="baru"/>
    <s v="15109/SPP/008/PUSAT/ICON+/2021"/>
    <n v="4500015676"/>
    <s v="Fajar Paramita"/>
    <s v="Ira"/>
    <s v="0819-3243-0596"/>
    <m/>
    <m/>
    <m/>
    <s v="D348"/>
    <m/>
    <m/>
    <m/>
    <m/>
    <m/>
    <m/>
  </r>
  <r>
    <n v="1281"/>
    <s v="Media Nusantara Data Global"/>
    <s v="PT. CYBERINDO ADITAMA"/>
    <s v="Jl. Kuningan Barat No. 8 Cyber Building 1st &amp; 2nd Jakarta Selatan 12710"/>
    <x v="0"/>
    <s v="Jl. Kuningan Barat Raya No.8, RT.1/RW.3, Kuningan Bar., Kec. Mampang Prpt., Jakarta Selatan, DKI Jakarta, Indonesia, 12710"/>
    <s v="Omadata DC Intiland Tower, Jl. Panglima Sudirman No.101-103, Embong Kaliasin, Kec. Genteng, Surabaya, Jawa Timur, Indonesia, 60271"/>
    <s v="Sewa Tahunan"/>
    <s v="Cross Connect"/>
    <s v="PA/ACT/2302/11309_x000a_PA/ACT/2302/11310"/>
    <m/>
    <m/>
    <m/>
    <m/>
    <m/>
    <n v="3000000000"/>
    <m/>
    <m/>
    <n v="36000000"/>
    <m/>
    <d v="2024-03-16T00:00:00"/>
    <d v="2025-03-15T00:00:00"/>
    <x v="0"/>
    <m/>
    <d v="2025-12-24T00:00:00"/>
    <n v="-284"/>
    <n v="3"/>
    <n v="2025"/>
    <s v="21596 | 4500020204"/>
    <n v="2479"/>
    <n v="4500022305"/>
    <s v="Fajar Paramita"/>
    <s v="Ira"/>
    <s v="0819-3243-0596"/>
    <m/>
    <m/>
    <m/>
    <m/>
    <m/>
    <m/>
    <s v="G58"/>
    <s v="H109"/>
    <m/>
    <s v="OTC Rp.3.000.000"/>
  </r>
  <r>
    <n v="1282"/>
    <s v="Media Nusantara Data Global"/>
    <s v="PT. WOM FINANCE "/>
    <s v="Jalan Kuningan Barat No.8 Cyber 1nd &amp; 2 nd jakarta selatam 12711"/>
    <x v="0"/>
    <m/>
    <s v="PT Samchem Prasandha - The Blugreen Boutique Office Tower A-Blue Lantai 2 Unit AB-0, 2, Jl. Lkr. Luar Barat, RT.6/RW.1"/>
    <s v="Sewa Tahunan"/>
    <s v="Cross Connect"/>
    <s v="PA/TRL/2207/0053/TER"/>
    <m/>
    <m/>
    <m/>
    <m/>
    <m/>
    <s v="-"/>
    <m/>
    <m/>
    <n v="1500000"/>
    <m/>
    <d v="2022-10-10T00:00:00"/>
    <d v="2022-09-10T00:00:00"/>
    <x v="2"/>
    <m/>
    <d v="2025-12-24T00:00:00"/>
    <n v="-1201"/>
    <n v="9"/>
    <n v="2022"/>
    <s v="19334/SPP/008/PUSAT/ICON+/2022 | 4500018496"/>
    <s v="20010/SPP/008/PUSAT/ICON+/2022"/>
    <n v="4500019071"/>
    <s v="Fajar Paramita"/>
    <s v="Ira"/>
    <s v="0819-3243-0596"/>
    <m/>
    <m/>
    <m/>
    <m/>
    <m/>
    <s v="D246"/>
    <m/>
    <m/>
    <m/>
    <s v="1.Biaya Sewa Trial Rp.1.500.000 | 2.Biaya OTC Rp.1.500.000"/>
  </r>
  <r>
    <n v="1283"/>
    <s v="Media Nusantara Data Global"/>
    <s v="PT. YETOYA SOLUSI INDONESIA"/>
    <s v="Jl. Kuningan Barat No. 8 Cyber Building 1st &amp; 2nd Jakarta Selatan 12710"/>
    <x v="0"/>
    <m/>
    <s v="PT. Yetoya Solusi Indonesia Jl. Patih Jelantik Vallet, Kuta"/>
    <s v="Sewa Tahunan"/>
    <s v="Cross Connect"/>
    <s v="PA/ACT/2205/0982/ORI"/>
    <m/>
    <m/>
    <m/>
    <m/>
    <m/>
    <n v="1080000000"/>
    <m/>
    <m/>
    <n v="18000000"/>
    <m/>
    <d v="2023-06-13T00:00:00"/>
    <d v="2024-06-12T00:00:00"/>
    <x v="1"/>
    <m/>
    <d v="2025-12-24T00:00:00"/>
    <n v="-560"/>
    <n v="6"/>
    <n v="2024"/>
    <s v="18859/SPP/008/PUSAT/ICON+/2022 | 4500018164"/>
    <s v="1086/SPP/SBU/ICON+/2023"/>
    <n v="4500021195"/>
    <s v="Fajar Paramita"/>
    <s v="Ira"/>
    <s v="0819-3243-0596"/>
    <m/>
    <m/>
    <m/>
    <m/>
    <m/>
    <s v="F165"/>
    <s v="G270"/>
    <m/>
    <m/>
    <s v="1.Biaya Cross Connect Rp.18.000.000 | 2.Biaya OTC Rp.1.500.000"/>
  </r>
  <r>
    <n v="1284"/>
    <s v="Media Nusantara Data Global"/>
    <s v="PT. YETOYA SOLUSI INDONESIA"/>
    <s v="Jalan Kuningan Barat No.8 Cyber 1nd &amp; 2 nd jakarta selatam 12711"/>
    <x v="0"/>
    <s v="Jl. Kuningan Barat Raya No.8, RW.3, Kuningan Bar., Kec. Mampang Prpt."/>
    <s v="PT. Yetoya Solusi Indonesia Jl. Patih Jelantik Vallet, Kuta"/>
    <s v="Sewa Tahunan"/>
    <s v="Cross Connect"/>
    <s v="PA/UPG/2210/0176/ORI "/>
    <m/>
    <m/>
    <m/>
    <m/>
    <m/>
    <n v="1800000000"/>
    <m/>
    <m/>
    <n v="18000000"/>
    <m/>
    <d v="2022-11-30T00:00:00"/>
    <d v="2023-11-29T00:00:00"/>
    <x v="0"/>
    <m/>
    <d v="2025-12-24T00:00:00"/>
    <n v="-756"/>
    <n v="11"/>
    <n v="2023"/>
    <s v="baru"/>
    <s v="20696/SPP/008/PUSAT/ICON+/2022"/>
    <n v="4500019548"/>
    <s v="Fajar Paramita"/>
    <s v="Ira"/>
    <s v="0819-3243-0596"/>
    <m/>
    <m/>
    <m/>
    <m/>
    <m/>
    <s v="F426"/>
    <m/>
    <m/>
    <m/>
    <s v="Biaya OTC 1.500.000"/>
  </r>
  <r>
    <n v="1285"/>
    <s v="Media Nusantara Data Global"/>
    <s v="SEKRETARIAT JENDERAL KEMENTERIAN HUKUM DAN HAM"/>
    <s v="Jalan Kuningan Barat No.8 Cyber 1nd &amp; 2 nd jakarta selatam 12711"/>
    <x v="0"/>
    <m/>
    <s v="sentra mulia Jl. H. R. Rasuna Said No.Kav X-6, 8"/>
    <s v="Sewa Tahunan"/>
    <s v="Colocation"/>
    <s v="PA/ACT/1812/1562/TER _x000a_ PA/ACT/1812/1561/TER"/>
    <m/>
    <m/>
    <m/>
    <m/>
    <m/>
    <n v="40276363680"/>
    <m/>
    <m/>
    <n v="47380000"/>
    <m/>
    <d v="2019-05-30T00:00:00"/>
    <d v="2020-05-29T00:00:00"/>
    <x v="0"/>
    <m/>
    <d v="2025-12-24T00:00:00"/>
    <n v="-2035"/>
    <n v="5"/>
    <n v="2020"/>
    <s v="baru"/>
    <s v="10696/SPP/008/PUSAT/ICON+/2019"/>
    <n v="4500012711"/>
    <s v="Fajar Paramita"/>
    <s v="Ira"/>
    <s v="0819-3243-0596"/>
    <m/>
    <m/>
    <s v="C77"/>
    <m/>
    <m/>
    <m/>
    <m/>
    <m/>
    <m/>
    <s v="Collocation 1U OTB dan Splicing 24 Core di NER CDCI Basement Rak 0F0310"/>
  </r>
  <r>
    <n v="1286"/>
    <s v="Media Nusantara Data Global"/>
    <s v="PT. BINA INFORMATIKA SOLUSI"/>
    <s v="Jalan Kuningan Barat No.8 Cyber 1nd &amp; 2 nd jakarta selatam 12710"/>
    <x v="0"/>
    <s v="Cyber 1, Jl. Kuningan Barat No. 8, Kuningan Barat, Jakarta"/>
    <s v="Sregen Wifi, Kebayanan 1, Krikilan, Kab. Sragen, Jawa Tengah"/>
    <s v="Sewa Tahunan"/>
    <s v="Cross Connect"/>
    <s v="PA/ACT/2103/0262"/>
    <m/>
    <m/>
    <m/>
    <m/>
    <m/>
    <n v="288000000"/>
    <m/>
    <m/>
    <n v="18000000"/>
    <m/>
    <d v="2022-03-16T00:00:00"/>
    <d v="2023-03-15T00:00:00"/>
    <x v="2"/>
    <m/>
    <d v="2025-12-24T00:00:00"/>
    <n v="-1015"/>
    <n v="3"/>
    <n v="2023"/>
    <s v="15531/SPP/008/PUSAT/ICON+/2021| 4500015896"/>
    <s v="18215/SPP/008/PUSAT/ICON+/2022"/>
    <n v="4500017759"/>
    <s v="Fajar Paramita"/>
    <s v="Ira"/>
    <s v="0819-3243-0596"/>
    <m/>
    <m/>
    <m/>
    <m/>
    <s v="E18"/>
    <s v="F125"/>
    <m/>
    <m/>
    <m/>
    <m/>
  </r>
  <r>
    <n v="1287"/>
    <s v="Media Nusantara Data Global"/>
    <s v="-"/>
    <s v="Jl. Kuningan Barat No. 8 Cyber Building 1st &amp; 2nd Jakarta Selatan 12710"/>
    <x v="0"/>
    <m/>
    <s v="Sregen Wifi, Kebayanan 1, Krikilan, Kab. Sragen, Jawa Tengah"/>
    <s v="Sewa Tahunan"/>
    <s v="Cross Connect"/>
    <s v="-"/>
    <m/>
    <m/>
    <m/>
    <m/>
    <m/>
    <n v="288000000"/>
    <m/>
    <m/>
    <n v="18000000"/>
    <m/>
    <d v="2023-03-12T00:00:00"/>
    <d v="2024-03-11T00:00:00"/>
    <x v="1"/>
    <m/>
    <d v="2025-12-24T00:00:00"/>
    <n v="-653"/>
    <n v="3"/>
    <n v="2024"/>
    <s v="15532/SPP/008/PUSAT/ICON+/2021| 4500015926 | 18221/SPP/008/PUSAT/ICON+/2022 | 4500017766 | 21748/SPP/008/PUSAT/ICON+/2023 | 4500020269"/>
    <s v="4400/SPP/SBU/PLNICONPLUS/2024"/>
    <n v="4500023485"/>
    <s v="Livia Indraswati"/>
    <s v="Ira"/>
    <s v="0819-3243-0596"/>
    <m/>
    <m/>
    <m/>
    <m/>
    <s v="E19"/>
    <s v="F128"/>
    <m/>
    <s v="H201"/>
    <m/>
    <m/>
  </r>
  <r>
    <n v="1288"/>
    <s v="Media Nusantara Data Global"/>
    <s v="-"/>
    <s v="Jalan Kuningan Barat No.8 Cyber 1nd &amp; 2 nd jakarta selatam 12710"/>
    <x v="0"/>
    <m/>
    <m/>
    <s v="Sewa Tahunan"/>
    <s v="Cross Connect"/>
    <s v="-"/>
    <m/>
    <m/>
    <m/>
    <m/>
    <m/>
    <s v="-"/>
    <m/>
    <m/>
    <n v="18000000"/>
    <m/>
    <d v="2022-03-30T00:00:00"/>
    <d v="2023-03-29T00:00:00"/>
    <x v="0"/>
    <m/>
    <d v="2025-12-24T00:00:00"/>
    <n v="-1001"/>
    <n v="3"/>
    <n v="2023"/>
    <s v="15623/SPP/008/PUSAT/ICON+/2021| 4500015985"/>
    <s v="18290/SPP/008/PUSAT/ICON+/2022"/>
    <n v="4500018036"/>
    <s v="Fajar Paramita"/>
    <s v="Ira"/>
    <s v="0819-3243-0596"/>
    <m/>
    <m/>
    <m/>
    <m/>
    <s v="E24"/>
    <s v="F221"/>
    <m/>
    <m/>
    <m/>
    <m/>
  </r>
  <r>
    <n v="1289"/>
    <s v="Media Nusantara Data Global"/>
    <s v="-"/>
    <s v="Jalan Kuningan Barat No.8 Cyber 1nd &amp; 2 nd jakarta selatam 12710"/>
    <x v="0"/>
    <m/>
    <m/>
    <s v="Sewa Tahunan"/>
    <s v="Cross Connect"/>
    <s v="-"/>
    <m/>
    <m/>
    <m/>
    <m/>
    <m/>
    <s v="-"/>
    <m/>
    <m/>
    <n v="108000000"/>
    <m/>
    <d v="2021-07-23T00:00:00"/>
    <d v="2022-07-22T00:00:00"/>
    <x v="0"/>
    <m/>
    <d v="2025-12-24T00:00:00"/>
    <n v="-1251"/>
    <n v="7"/>
    <n v="2022"/>
    <s v="baru"/>
    <s v="16316/SPP/008/PUSAT/ICON+/2021"/>
    <n v="4500016484"/>
    <s v="Fajar Paramita"/>
    <s v="Ira"/>
    <s v="0819-3243-0596"/>
    <m/>
    <m/>
    <m/>
    <m/>
    <s v="E180"/>
    <m/>
    <m/>
    <m/>
    <m/>
    <m/>
  </r>
  <r>
    <n v="1290"/>
    <s v="Media Nusantara Data Global"/>
    <s v="PT CYBERINDO ADITAMA"/>
    <s v="Jl. Kuningan Barat No. 8 Cyber Building 1st &amp; 2nd Jakarta Selatan 12710"/>
    <x v="0"/>
    <s v="Jl. Kuningan Barat Raya No.8, RT.1/RW.3, Kuningan Bar.,  Kec. Mampang Prpt.,  Jakarta Selatan,  DKI Jakarta,  Indonesia,  12710"/>
    <s v="CBN Bali Istana Kuta Galeria  Blok PM 3 No. 7 Jl. Patih Jelantik,  Kuta,  Kabupaten Badung,  Bali,  Indonesia,  80361"/>
    <s v="Sewa Tahunan"/>
    <s v="Cross Connect"/>
    <s v="PA/ACT/2107/0206"/>
    <m/>
    <m/>
    <m/>
    <m/>
    <m/>
    <n v="2160000000"/>
    <m/>
    <m/>
    <n v="36000000"/>
    <m/>
    <d v="2024-08-01T00:00:00"/>
    <d v="2025-07-31T00:00:00"/>
    <x v="0"/>
    <m/>
    <d v="2025-12-24T00:00:00"/>
    <n v="-146"/>
    <n v="7"/>
    <n v="2025"/>
    <s v="16331/SPP/008/PUSAT/ICON+/2021| 4500016504 | 19406/SPP/008/PUSAT/ICON+/2022 | 4500018743 | 835/SPP/SBU/ICON+/2023 | 4500020894"/>
    <s v="4295/SPP/SBU/PLNICONPLUS/2024"/>
    <n v="4500023589"/>
    <s v="Livia Indraswati"/>
    <s v="Ira"/>
    <s v="0819-3243-0596"/>
    <m/>
    <m/>
    <m/>
    <m/>
    <s v="E186"/>
    <s v="F311"/>
    <s v="G213"/>
    <s v="H342"/>
    <m/>
    <m/>
  </r>
  <r>
    <n v="1291"/>
    <s v="Media Nusantara Data Global"/>
    <s v="PT. CYBERINDO ADITAMA"/>
    <s v="Jalan Kuningan Barat No.8 Cyber 1nd &amp; 2 nd jakarta selatam 12710"/>
    <x v="0"/>
    <s v="Jl. Kuningan Barat Raya No.8, RT.1/RW.3, Kuningan Bar.,  Kec. Mampang Prpt.,  Jakarta Selatan,  DKI Jakarta,  Indonesia,  12710"/>
    <s v="CBN Bali Istana Kuta Galeria  Blok PM 3 No. 7 Jl. Patih Jelantik,  Kuta,  Kabupaten Badung,  Bali,  Indonesia,  80361"/>
    <s v="Sewa Tahunan"/>
    <s v="Cross Connect"/>
    <s v="PA/ACT/2107/0206"/>
    <m/>
    <m/>
    <m/>
    <m/>
    <m/>
    <n v="2160000000"/>
    <m/>
    <m/>
    <n v="77760000"/>
    <m/>
    <d v="2022-08-03T00:00:00"/>
    <d v="2023-08-02T00:00:00"/>
    <x v="0"/>
    <m/>
    <d v="2025-12-24T00:00:00"/>
    <n v="-875"/>
    <n v="8"/>
    <n v="2023"/>
    <s v="16370/SPP/008/PUSAT/ICON+/2021| 4500016522"/>
    <s v="19755/SPP/008/PUSAT/ICON+/2022"/>
    <n v="4500018766"/>
    <s v="Fajar Paramita"/>
    <s v="Ira"/>
    <s v="0819-3243-0596"/>
    <m/>
    <m/>
    <m/>
    <m/>
    <s v="E159"/>
    <s v="F312"/>
    <m/>
    <m/>
    <m/>
    <m/>
  </r>
  <r>
    <n v="1292"/>
    <s v="Media Nusantara Data Global"/>
    <s v="Joint customer external"/>
    <s v="Jl. Kuningan Barat No. 8 Cyber Building 1st &amp; 2nd Jakarta Selatan 12710"/>
    <x v="0"/>
    <m/>
    <s v="Cyber 1 "/>
    <s v="Sewa Tahunan"/>
    <s v="Cross Connect"/>
    <s v="-"/>
    <m/>
    <m/>
    <m/>
    <m/>
    <m/>
    <n v="3359664000"/>
    <m/>
    <m/>
    <n v="1391000000"/>
    <m/>
    <d v="2024-02-01T00:00:00"/>
    <d v="2025-01-31T00:00:00"/>
    <x v="0"/>
    <m/>
    <d v="2025-12-24T00:00:00"/>
    <n v="-327"/>
    <n v="1"/>
    <n v="2025"/>
    <s v="728 | 4500019940"/>
    <s v="2454/SPP/SBU/PLNICONPLUS/2024"/>
    <n v="4500019940"/>
    <s v="Fajar Paramita"/>
    <s v="Ira"/>
    <s v="0819-3243-0596"/>
    <m/>
    <m/>
    <m/>
    <m/>
    <m/>
    <m/>
    <s v="G245"/>
    <s v="H147"/>
    <m/>
    <m/>
  </r>
  <r>
    <n v="1293"/>
    <s v="Media Nusantara Data Global"/>
    <s v="PT Lintas Jaringan Nusantara"/>
    <s v="Jl. Kuningan Barat No. 8 Cyber Building 1st &amp; 2nd Jakarta Selatan 12710"/>
    <x v="0"/>
    <s v="Cyber 1 Jl. Kuningan Barat Raya No.8, RW.3, Kuningan Bar., Kec. Mampang Prpt."/>
    <s v="LJN KARAWANG JL. AHMAD YANI NO.25B KARWANG BARAT - KARAWANG_x000a_-6.295944474137, 107.293680778819"/>
    <s v="Sewa Tahunan"/>
    <s v="Cross Connect"/>
    <s v="A821204000019"/>
    <m/>
    <m/>
    <m/>
    <m/>
    <m/>
    <n v="960000000"/>
    <m/>
    <m/>
    <n v="18000000"/>
    <m/>
    <d v="2023-08-22T00:00:00"/>
    <d v="2024-08-21T00:00:00"/>
    <x v="1"/>
    <m/>
    <d v="2025-12-24T00:00:00"/>
    <n v="-490"/>
    <n v="8"/>
    <n v="2024"/>
    <s v="1166/SPP/SBU/ICON+/2023 | 4500021162"/>
    <s v="4296/SPP/SBU/PLNICONPLUS/2024"/>
    <n v="4500023590"/>
    <s v="Livia Indraswati"/>
    <s v="Ira"/>
    <s v="0819-3243-0596"/>
    <m/>
    <m/>
    <m/>
    <m/>
    <m/>
    <m/>
    <s v="G188"/>
    <s v="H345"/>
    <m/>
    <s v="1.Biaya Cross Connect Rp.18.000.000 | 2. OTC 1.500.000,-"/>
  </r>
  <r>
    <n v="1294"/>
    <s v="Media Nusantara Data Global"/>
    <s v="Joint ALL pelanggan"/>
    <s v="Jl. Kuningan Barat No. 8 Cyber Building 1st &amp; 2nd Jakarta Selatan 12710"/>
    <x v="0"/>
    <m/>
    <s v="Cyber 1 "/>
    <s v="Sewa Tahunan"/>
    <s v="Cross Connect"/>
    <s v="-"/>
    <m/>
    <m/>
    <m/>
    <m/>
    <m/>
    <s v="-"/>
    <m/>
    <m/>
    <n v="36000000"/>
    <m/>
    <d v="2023-07-23T00:00:00"/>
    <d v="2024-07-22T00:00:00"/>
    <x v="0"/>
    <m/>
    <d v="2025-12-24T00:00:00"/>
    <n v="-520"/>
    <n v="7"/>
    <n v="2024"/>
    <s v="16316/SPP/008/PUSAT/ICON+/2021 | 19404/SPP/008/PUSAT/ICON+/2022| 4500019060"/>
    <s v="866/SPP/SBU/ICON+/2023"/>
    <n v="4500021082"/>
    <s v="Fajar Paramita"/>
    <s v="Ira"/>
    <s v="0819-3243-0596"/>
    <m/>
    <m/>
    <m/>
    <m/>
    <m/>
    <m/>
    <s v="G258"/>
    <m/>
    <m/>
    <s v="1.Biaya Cross Connect Rp.36.000.000"/>
  </r>
  <r>
    <n v="1295"/>
    <s v="Media Nusantara Data Global"/>
    <s v="Joint ALL pelanggan"/>
    <s v="Jl. Kuningan Barat No. 8 Cyber Building 1st &amp; 2nd Jakarta Selatan 12710"/>
    <x v="0"/>
    <m/>
    <s v="Cyber 1 "/>
    <s v="Sewa Tahunan"/>
    <s v="Cross Connect"/>
    <s v="-"/>
    <m/>
    <m/>
    <m/>
    <m/>
    <m/>
    <s v="-"/>
    <m/>
    <m/>
    <n v="18000000"/>
    <m/>
    <d v="2023-07-03T00:00:00"/>
    <d v="2024-07-02T00:00:00"/>
    <x v="0"/>
    <m/>
    <d v="2025-12-24T00:00:00"/>
    <n v="-540"/>
    <n v="7"/>
    <n v="2024"/>
    <s v="baru"/>
    <s v="785/SPP/SBU/ICON+/2023"/>
    <n v="4500021078"/>
    <s v="Fajar Paramita"/>
    <s v="Ira"/>
    <s v="0819-3243-0596"/>
    <m/>
    <m/>
    <m/>
    <m/>
    <m/>
    <m/>
    <s v="G261"/>
    <m/>
    <m/>
    <s v="1.Biaya Cross Connect Rp.18.000.000"/>
  </r>
  <r>
    <n v="1296"/>
    <s v="Media Nusantara Data Global"/>
    <s v="PT MONSADATA NUANSA TEKNOLOGI"/>
    <s v="Jl. Kuningan Barat No. 8 Cyber Building 1st &amp; 2nd Jakarta Selatan 12710"/>
    <x v="0"/>
    <s v="JL. KUNINGAN BARAT RAYA NO.8, RT.1/RW.3, KUNINGAN BAR., KEC. MAMPANG PRPT., KOTA JAKARTA SELATAN, DAERAH KHUSUS IBUKOTA JAKARTA 12710"/>
    <s v="JL.AGUNG PERKASA BLOK 9 K1 9-15, RT.15/RW.14, SUNTER AGUNG, KEC. TJ. PRIOK, JKT UTARA, DAERAH KHUSUS IBUKOTA JAKARTA 14230"/>
    <s v="Sewa Tahunan"/>
    <s v="Cross Connect"/>
    <s v="A111202000964"/>
    <m/>
    <m/>
    <m/>
    <m/>
    <m/>
    <n v="216000000"/>
    <m/>
    <m/>
    <n v="18000000"/>
    <m/>
    <d v="2023-09-19T00:00:00"/>
    <d v="2024-09-18T00:00:00"/>
    <x v="1"/>
    <m/>
    <d v="2025-12-24T00:00:00"/>
    <n v="-462"/>
    <n v="9"/>
    <n v="2024"/>
    <s v="baru"/>
    <s v="1527/SPP/SBU/ICON+/2023"/>
    <n v="4500021368"/>
    <s v="Fajar Paramita"/>
    <s v="Ira"/>
    <s v="0819-3243-0596"/>
    <m/>
    <m/>
    <m/>
    <m/>
    <m/>
    <m/>
    <s v="G263"/>
    <m/>
    <m/>
    <s v="OTC 1.500.000,-"/>
  </r>
  <r>
    <n v="1297"/>
    <s v="Media Nusantara Data Global"/>
    <s v="Backup Link Kantor ICON Jamsostek"/>
    <s v="Jl. Kuningan Barat No. 8 Cyber Building 1st &amp; 2nd Jakarta Selatan 12710"/>
    <x v="0"/>
    <s v=" ICON+ GANDUL,  Limo,  Kota Depok,  Jawa Barat,  Indonesia,  16514"/>
    <s v="Gd. Jamsostek Selatan (lt.15-17) Jl Gatot Subroto,  Mampang,  Jakarta Selatan,  DKI Jakarta,  Indonesia,"/>
    <s v="Sewa Tahunan"/>
    <s v="Cross Connect"/>
    <s v="PA/ACT/1906/1465"/>
    <m/>
    <m/>
    <m/>
    <m/>
    <m/>
    <s v="-"/>
    <m/>
    <m/>
    <n v="18000000"/>
    <m/>
    <d v="2023-09-15T00:00:00"/>
    <d v="2024-09-14T00:00:00"/>
    <x v="0"/>
    <m/>
    <d v="2025-12-24T00:00:00"/>
    <n v="-466"/>
    <n v="9"/>
    <n v="2024"/>
    <s v="baru"/>
    <s v="1459/SPP/SBU/ICON+/2023"/>
    <n v="4500021321"/>
    <s v="Fajar Paramita"/>
    <s v="Ira"/>
    <s v="0819-3243-0596"/>
    <m/>
    <m/>
    <m/>
    <m/>
    <m/>
    <m/>
    <s v="G262"/>
    <m/>
    <m/>
    <s v="Biaya Cross Connect Rp.18.000.000"/>
  </r>
  <r>
    <n v="1298"/>
    <s v="Media Nusantara Data Global"/>
    <s v="PT. JARINGANKU SARANA NUSANTARA (Uplink Backbone)"/>
    <s v="Jl. Kuningan Barat No. 8 Cyber Building 1st &amp; 2nd Jakarta Selatan 12710"/>
    <x v="0"/>
    <s v="MATRIX DATA CENTER CYBER BUILDING"/>
    <s v="TUBAN, JAWA TIMUR"/>
    <s v="Sewa Tahunan"/>
    <s v="Cross Connect"/>
    <s v="A221204000007_x000a_A221204000024_x000a_"/>
    <m/>
    <m/>
    <m/>
    <m/>
    <m/>
    <n v="2022000000"/>
    <m/>
    <m/>
    <n v="72000000"/>
    <m/>
    <d v="2023-09-15T00:00:00"/>
    <d v="2024-09-14T00:00:00"/>
    <x v="0"/>
    <m/>
    <d v="2025-12-24T00:00:00"/>
    <n v="-466"/>
    <n v="9"/>
    <n v="2024"/>
    <s v="baru"/>
    <s v="1429/SPP/SBU/ICON+/2023"/>
    <n v="4500021320"/>
    <s v="Fajar Paramita"/>
    <s v="Ira"/>
    <s v="0819-3243-0596"/>
    <m/>
    <m/>
    <m/>
    <m/>
    <m/>
    <m/>
    <s v="G254"/>
    <m/>
    <m/>
    <s v="1.Biaya Cross Connect Rp.72.000.000 | 2.Biaya OTC instalasi 2P15 Rp.6.000.000 | 3.Biaya OTC Instalasi 2P26 Rp.3.000.000"/>
  </r>
  <r>
    <n v="1299"/>
    <s v="Media Nusantara Data Global"/>
    <s v="PT. SUPRA PRIMATAMA NUSANTARA"/>
    <s v="Jl. Kuningan Barat No. 8 Cyber Building 1st &amp; 2nd Jakarta Selatan 12710"/>
    <x v="0"/>
    <m/>
    <s v="BIZNET TECHNOCENTER SURABAYA JL. SUMATERA NO.120, GUBENG, KEC. GUBENG,"/>
    <s v="Sewa Tahunan"/>
    <s v="Cross Connect"/>
    <s v="A821204000046"/>
    <m/>
    <m/>
    <m/>
    <m/>
    <m/>
    <n v="1620000000"/>
    <m/>
    <m/>
    <n v="18000000"/>
    <m/>
    <d v="2023-09-16T00:00:00"/>
    <d v="2024-09-15T00:00:00"/>
    <x v="1"/>
    <m/>
    <d v="2025-12-24T00:00:00"/>
    <n v="-465"/>
    <n v="9"/>
    <n v="2024"/>
    <s v="baru"/>
    <s v="1461/SPP/SBU/ICON+/2023"/>
    <n v="450002132"/>
    <s v="Fajar Paramita"/>
    <s v="Ira"/>
    <s v="0819-3243-0596"/>
    <m/>
    <m/>
    <m/>
    <m/>
    <m/>
    <m/>
    <s v="G257"/>
    <m/>
    <m/>
    <s v="OTC Rp.1.500.000"/>
  </r>
  <r>
    <n v="1300"/>
    <s v="Media Nusantara Data Global"/>
    <s v="PT. Yetoya Solusi Indonesia"/>
    <s v="Jl. Kuningan Barat No. 8 Cyber Building 1st &amp; 2nd Jakarta Selatan 12710"/>
    <x v="0"/>
    <m/>
    <s v="PT. Yetoya Solusi Indonesia Jl. Patih Jelantik Vallet, Kuta,  Kec. Kuta,  Kabupaten Badung,  Bali,  Indonesia "/>
    <s v="Sewa Tahunan"/>
    <s v="Cross Connect"/>
    <s v="A821204000043"/>
    <m/>
    <m/>
    <m/>
    <m/>
    <m/>
    <n v="3000000000"/>
    <m/>
    <m/>
    <n v="18000000"/>
    <m/>
    <d v="2023-09-12T00:00:00"/>
    <d v="2024-09-11T00:00:00"/>
    <x v="1"/>
    <m/>
    <d v="2025-12-24T00:00:00"/>
    <n v="-469"/>
    <n v="9"/>
    <n v="2024"/>
    <s v="baru"/>
    <s v="1413/SPP/SBU/ICON+/2023"/>
    <n v="4500021339"/>
    <s v="Fajar Paramita"/>
    <s v="Ira"/>
    <s v="0819-3243-0596"/>
    <m/>
    <m/>
    <m/>
    <m/>
    <m/>
    <m/>
    <s v="G264"/>
    <m/>
    <m/>
    <s v="OTC Rp.1.500.000"/>
  </r>
  <r>
    <n v="1301"/>
    <s v="Media Nusantara Data Global"/>
    <s v="PT Lintas Jaringan Nusantara"/>
    <s v="Jl. Kuningan Barat No. 8 Cyber Building 1st &amp; 2nd Jakarta Selatan 12710"/>
    <x v="0"/>
    <s v="-"/>
    <s v="Jl. Kuningan Barat Raya No.8, RT.1/RW.3, Kuningan Barat, Kec. Mampang Prapatan, Jakarta Selatan"/>
    <s v="Sewa Tahunan"/>
    <s v="Cross Connect"/>
    <s v="U111204000021"/>
    <m/>
    <m/>
    <m/>
    <m/>
    <m/>
    <n v="962500000"/>
    <m/>
    <m/>
    <n v="18000000"/>
    <m/>
    <d v="2023-11-01T00:00:00"/>
    <d v="2024-10-31T00:00:00"/>
    <x v="0"/>
    <m/>
    <d v="2025-12-24T00:00:00"/>
    <n v="-419"/>
    <n v="10"/>
    <n v="2024"/>
    <s v="baru"/>
    <s v="1950/SPP/SBU/ICON+/2023"/>
    <n v="4500021658"/>
    <s v="Fajar Paramita"/>
    <s v="Ira"/>
    <s v="0819-3243-0596"/>
    <m/>
    <m/>
    <m/>
    <m/>
    <m/>
    <m/>
    <s v="G302"/>
    <m/>
    <m/>
    <s v="OTC Rp.1.500.000"/>
  </r>
  <r>
    <n v="1302"/>
    <s v="Media Nusantara Data Global"/>
    <s v="PT CYBERINDO ADITAMA"/>
    <s v="Jl. Kuningan Barat No. 8 Cyber Building 1st &amp; 2nd Jakarta Selatan 12710"/>
    <x v="0"/>
    <s v="Jl. Kuningan Barat Raya No.8, RT.1/RW.3, Kuningan Bar.,  Kec. Mampang Prpt.,  Jakarta Selatan,  DKI Jakarta,  Indonesia,  12710"/>
    <s v="CBN Bali Istana Kuta Galeria  Blok PM 3 No. 7 Jl. Patih Jelantik,  Kuta,  Kabupaten Badung,  Bali,  Indonesia,  80361"/>
    <s v="Sewa Tahunan"/>
    <s v="Cross Connect"/>
    <s v="AL/2303/17561"/>
    <m/>
    <m/>
    <m/>
    <m/>
    <m/>
    <n v="2400000000"/>
    <m/>
    <m/>
    <n v="18000000"/>
    <m/>
    <d v="2023-12-01T00:00:00"/>
    <d v="2024-11-30T00:00:00"/>
    <x v="0"/>
    <m/>
    <d v="2025-12-24T00:00:00"/>
    <n v="-389"/>
    <n v="11"/>
    <n v="2024"/>
    <s v="baru"/>
    <s v="654/SPP/SBU/ICON+/2023"/>
    <n v="4500021970"/>
    <s v="Fajar Paramita"/>
    <s v="Ira"/>
    <s v="0819-3243-0596"/>
    <m/>
    <m/>
    <m/>
    <m/>
    <m/>
    <m/>
    <s v="G357"/>
    <m/>
    <m/>
    <s v="OTC Rp.1.500.000"/>
  </r>
  <r>
    <n v="1303"/>
    <s v="Mega Akses Persada "/>
    <s v="PT indomarco Prismatama"/>
    <s v="Jl Rasuna Said X-8 Kav 2-3 Jakarta Selatan"/>
    <x v="0"/>
    <m/>
    <s v="Indomaret Tower, RT. 6/RW. 2, Kamal Muara, Kec. Penjaringan (Interkoneksi Fiberstar), -, Jakarta Utara, DKI Jakarta, Indonesia, 14470"/>
    <s v="Sewa Tahunan"/>
    <s v="Colocation"/>
    <s v="PA/ACT/2011/1190"/>
    <m/>
    <m/>
    <m/>
    <m/>
    <m/>
    <n v="492000000"/>
    <m/>
    <m/>
    <n v="36000000"/>
    <m/>
    <d v="2022-12-30T00:00:00"/>
    <d v="2023-12-29T00:00:00"/>
    <x v="0"/>
    <m/>
    <d v="2025-12-24T00:00:00"/>
    <n v="-726"/>
    <n v="12"/>
    <n v="2023"/>
    <s v="17427/SPP/008/PUSAT/ICON+/2021 | 4500017269 I 21806/SPP/008/PUSAT/ICON+/2022"/>
    <s v="21086/SPP/008/PUSAT/ICON+/2023"/>
    <n v="4500022074"/>
    <s v="Fajar Paramita"/>
    <m/>
    <m/>
    <m/>
    <m/>
    <m/>
    <s v="E347"/>
    <s v="F98"/>
    <s v="H319"/>
    <m/>
    <m/>
    <m/>
    <s v="1.Biaya Registrasi (fiberstar) Rp.5.000.000 | 2.Biaya sewa per tahun (fiberstar) Rp.84.000.000 | 3.Biaya Backhaul Rp.36.000.000. | 4. Konfirm to Sales"/>
  </r>
  <r>
    <n v="1304"/>
    <s v="Mega Telekomunikasi Indonesia"/>
    <s v="PT Bukalapak.com"/>
    <s v="Jln.Canadianti No.15B Pela Mampang Jakarta Selatan"/>
    <x v="0"/>
    <m/>
    <s v="Jl Ampera Raya No. 22"/>
    <s v="Sewa Tahunan"/>
    <s v="Cross Connect"/>
    <s v="PA/ACT/2112/2471/ORI"/>
    <m/>
    <m/>
    <m/>
    <m/>
    <m/>
    <n v="48000000"/>
    <m/>
    <m/>
    <n v="21000000"/>
    <m/>
    <d v="2022-02-14T00:00:00"/>
    <d v="2023-02-13T00:00:00"/>
    <x v="2"/>
    <m/>
    <d v="2025-12-24T00:00:00"/>
    <n v="-1045"/>
    <n v="2"/>
    <n v="2023"/>
    <s v="baru"/>
    <s v="17896/SPP/008/PUSAT/ICON+/2022"/>
    <n v="4500017639"/>
    <s v="Fajar Paramita"/>
    <m/>
    <m/>
    <m/>
    <m/>
    <m/>
    <m/>
    <m/>
    <s v="F37"/>
    <m/>
    <m/>
    <m/>
    <s v="Berubah skema kerjasama menjadi revenue sharing"/>
  </r>
  <r>
    <n v="1305"/>
    <s v="Megah Agung Lestari "/>
    <s v="PT XL Axiata"/>
    <s v="Darmawangsa Square - The City Walk Lt. Basement Unit 42-45 Jl. Dharmawangsa VI &amp; XI Jakarta Selatan 12160"/>
    <x v="0"/>
    <m/>
    <s v="Dharmawangsa Square Jl Dharmawangsa 6 &amp; 9 Jakarta Selatan (PT XL Axiata - Ranch Market Tbk SO No. ICON-00/ACT/1608/0740)"/>
    <s v="Sewa Tahunan"/>
    <s v="Colocation"/>
    <s v="ICON-00/ACT/1608/0740"/>
    <m/>
    <m/>
    <m/>
    <m/>
    <m/>
    <n v="13600000"/>
    <m/>
    <m/>
    <n v="12500000"/>
    <m/>
    <d v="2019-01-10T00:00:00"/>
    <d v="2020-01-09T00:00:00"/>
    <x v="2"/>
    <m/>
    <d v="2025-12-24T00:00:00"/>
    <n v="-2176"/>
    <n v="1"/>
    <n v="2020"/>
    <s v="112111/MI/004/PUSAT/ICON+/2016 |_x000a_ 011615/MI/004/PUSAT/ICON+/2017 |_x000a_ 1790117/SPR/ICON+/2017 |_x000a_ 1800117/SPR/ICON+/2017 | _x000a_ 007/PSM/LGL-POM/DS-ICP/II/2017 | 07931/SPP/008/PUSAT/ICON+/2018 | 4500011134 | 10010/SPP/008/PUSAT/ICON+/2019 |"/>
    <s v="10010/SPP/008/PUSAT/ICON+/2019"/>
    <n v="4500012422"/>
    <s v="Fajar Paramita"/>
    <s v="Maily Tandiah"/>
    <s v="021-7205066_x000a_ 021-63867676 Ext 750"/>
    <s v="-"/>
    <s v="B2"/>
    <s v="C17"/>
    <m/>
    <m/>
    <m/>
    <m/>
    <m/>
    <m/>
    <s v="1. Biaya Sewa Kabel tray Rp10.000,-/meter total untuk 250 update tahun 2016 Rp25.000,-/m2/th total untuk 250 m' Rp6.250.000_x000a_ 2. Sewa Tempat box panel Rp3.750.000,-/tahun_x000a_ 3. Deposit Sewa Rp5.000.000,-_x000a_ 4. Biaya Supervisi Rp300.000,-/SIK"/>
  </r>
  <r>
    <n v="1306"/>
    <s v="Megah Pratama Sejahtera"/>
    <s v="PT PEMBANGKITAN JAWA BALI"/>
    <s v="GD 18 Office Park LT B1 Jakarta Selatan"/>
    <x v="0"/>
    <s v="[PJB KANTOR PUSAT],  Jl. Ketintang Baru No. 11,  Surabaya,  Jawa Timur,  Indonesia,  60231"/>
    <s v="OFFICE 18, Gedung 18 Office Park, Jl. TB Simatupang No. 18, Rt. 02/ Rw. 01, Kebagusan, Pasar Minggu, Jakarta Selatan, DKI Jakarta, Indonesia, 12520"/>
    <s v="Sewa Tahunan"/>
    <s v="Colocation"/>
    <s v="PA/ACT/2112/0723"/>
    <m/>
    <m/>
    <m/>
    <m/>
    <m/>
    <n v="163225440"/>
    <m/>
    <m/>
    <n v="12000000"/>
    <m/>
    <d v="2024-01-20T00:00:00"/>
    <d v="2025-01-19T00:00:00"/>
    <x v="1"/>
    <m/>
    <d v="2025-12-24T00:00:00"/>
    <n v="-339"/>
    <n v="1"/>
    <n v="2025"/>
    <s v="17648/SPP/008/PUSAT/ICON+/2022 | 4500017472 | 21066 | 4500020086"/>
    <s v="2850/SPP/SBU/ICON+/2024"/>
    <n v="4500022521"/>
    <s v="Fajar Paramita"/>
    <s v="Margono"/>
    <s v="0856-7557-754"/>
    <m/>
    <m/>
    <m/>
    <m/>
    <m/>
    <s v="F2"/>
    <s v="G315"/>
    <s v="H126"/>
    <m/>
    <m/>
  </r>
  <r>
    <n v="1307"/>
    <s v="Mekar Prana Indah "/>
    <s v="Bank Syariah Indonesia"/>
    <s v="Menara Bidakara Jl. Jendral Gatot Subroto Kav. 71-73 Pancoran Jakarta Selatan 12871"/>
    <x v="0"/>
    <s v="Kantor Perwakilan PJB Jakarta / Menara Bidakara 2 Lt. 16 , Jln. Gatot Subroto Kav 71-73,  Tebet,  Jakarta Selatan,  DKI Jakarta,  Indonesia,"/>
    <s v="Kantor Perwakilan PJB Jakarta / Menara Bidakara 2 Lt. 16 , Jln. Gatot Subroto Kav 71-73, Tebet, Jakarta Selatan, DKI Jakarta,"/>
    <s v="Sewa Tahunan"/>
    <s v="Colocation"/>
    <s v="PA/ACT/1904/1014"/>
    <m/>
    <m/>
    <m/>
    <m/>
    <m/>
    <n v="150000000"/>
    <m/>
    <m/>
    <n v="58000000"/>
    <m/>
    <d v="2023-08-27T00:00:00"/>
    <d v="2024-08-26T00:00:00"/>
    <x v="0"/>
    <m/>
    <d v="2025-12-24T00:00:00"/>
    <n v="-485"/>
    <n v="8"/>
    <n v="2024"/>
    <s v="11083/SPP/008/PUSAT/ICON+/2019 | 4500012939 | 13747/SPP/008/PUSAT/ICON+/2020 | 4500014711| 16565/SPP/008/PUSAT/ICON+/2021| 4500016700 | 4500018794"/>
    <s v="781/SPP/SBU/ICON+/2023"/>
    <s v="4500021172"/>
    <s v="Fajar Paramita"/>
    <s v="Fajar"/>
    <s v="021-83793050"/>
    <m/>
    <m/>
    <s v="C124"/>
    <s v="D350"/>
    <s v="E316"/>
    <s v="F308"/>
    <s v="G235"/>
    <m/>
    <m/>
    <s v="biaya sewa tahunan sebesar 51.500.000"/>
  </r>
  <r>
    <n v="1308"/>
    <s v="Menara Antam Sejahtera "/>
    <s v=" PT BANK SYARIAH INDONESIA TBK"/>
    <s v="Gedung Antam Lt. 3 Jl. Letjen TB Simatupang No. 1 Tanjung Barat"/>
    <x v="0"/>
    <s v="-"/>
    <s v="KCP Jakarta Antam, Antam Building Tower B, Lantai GF, Jl. TB Simatupang No. Kel. Tanjung Barat,  Kec. Jagakarsa,  Jakarta Selatan,  DKI Jakarta,  Indonesia,  12530"/>
    <s v="Sewa Tahunan"/>
    <s v="Colocation"/>
    <s v="PA/ACT/2208/3992 "/>
    <m/>
    <m/>
    <m/>
    <m/>
    <m/>
    <n v="26400000"/>
    <m/>
    <m/>
    <n v="35000000"/>
    <m/>
    <d v="2023-11-03T00:00:00"/>
    <d v="2024-11-02T00:00:00"/>
    <x v="0"/>
    <m/>
    <d v="2025-12-24T00:00:00"/>
    <n v="-417"/>
    <n v="11"/>
    <n v="2024"/>
    <s v="20511/SPP/008/PUSAT/ICON+/2022 | 4500019394"/>
    <s v="2120/SPP/SBU/ICON+/2023"/>
    <n v="4500021738"/>
    <s v="Fajar Paramita"/>
    <s v="Tia Pamudji"/>
    <s v="021-7812635"/>
    <m/>
    <m/>
    <m/>
    <m/>
    <m/>
    <s v="F413"/>
    <s v="G346"/>
    <m/>
    <m/>
    <s v="1.Sewa Tray dan Shaft Rp.35.000.000 | 2.Biaya Tarikan Kabel Indoor Rp.4.000.000"/>
  </r>
  <r>
    <n v="1309"/>
    <s v="Menara Capital Indonusa "/>
    <s v="PT. NAP INFO LINTASNUSA"/>
    <s v="Menara Palma Lantai 27, Jkl. HR Rasuna Said Blok X-2 Kav. 6 Jakarta Selatan"/>
    <x v="0"/>
    <m/>
    <s v="Gedung Palma Tower Jl. TB. Simatupang II S Kav. 6 _x000a_ Jakarta Selatan"/>
    <s v="Sewa Tahunan"/>
    <s v="Colocation"/>
    <s v="ICON-00/SBC/1501/0084"/>
    <m/>
    <m/>
    <m/>
    <m/>
    <m/>
    <n v="90000000"/>
    <m/>
    <m/>
    <n v="7791780"/>
    <m/>
    <d v="2021-09-01T00:00:00"/>
    <d v="2021-10-21T00:00:00"/>
    <x v="2"/>
    <m/>
    <d v="2025-12-24T00:00:00"/>
    <n v="-1525"/>
    <n v="10"/>
    <n v="2021"/>
    <s v="4500009748 | 060/ADD I/MCI-ICON+/XI/2016 | 07227/SPP/008/PUSAT/ICON+/2017 |4500010669 | 08865/SPP/008/PUSAT/ICON+/2018 | 4500011671 | 11204/SPP/008/PUSAT/ICON+/2019 | 4500013021 | 4500015165"/>
    <s v="16857/SPP/008/PUSAT/ICON+/2021"/>
    <s v="4500017146"/>
    <s v="Fajar Paramita"/>
    <s v="Andi Noviyanto"/>
    <s v="021-2520241"/>
    <n v="85"/>
    <s v="B137"/>
    <s v="C144"/>
    <s v="D312"/>
    <s v="E340"/>
    <m/>
    <m/>
    <m/>
    <m/>
    <s v="1. Sewa Shaft Kabel Rp30.000.000,-/tahun update tahun 2016 Rp45.000.000,-/tahun_x000a_ 2. Jaminan sewa Rp20.000.000,-"/>
  </r>
  <r>
    <n v="1310"/>
    <s v="Menara Thamrin"/>
    <s v="PT Aplikanusa Lintasarta"/>
    <s v="Jl.MH Thamrin Kav 3 Jakarta 10250"/>
    <x v="0"/>
    <m/>
    <s v="Menara Thamrin, Jl. MH Thamrin Kav. 3 Jakarta 10250"/>
    <s v="Sewa Tahunan"/>
    <s v="Colocation"/>
    <s v="PA/ACT/1804/0208"/>
    <m/>
    <m/>
    <m/>
    <m/>
    <m/>
    <n v="324000000"/>
    <m/>
    <m/>
    <n v="10000000"/>
    <m/>
    <d v="2020-05-14T00:00:00"/>
    <d v="2022-05-13T00:00:00"/>
    <x v="2"/>
    <m/>
    <d v="2025-12-24T00:00:00"/>
    <n v="-1321"/>
    <n v="5"/>
    <n v="2022"/>
    <s v="08649/SPP/008/PUSAT/ICON+/2018 | 4500011538"/>
    <s v="15439/SPP/008/PUSAT/ICON+/2021"/>
    <n v="4500016004"/>
    <s v="Fajar Paramita"/>
    <m/>
    <m/>
    <m/>
    <m/>
    <m/>
    <m/>
    <m/>
    <s v="F119"/>
    <m/>
    <m/>
    <m/>
    <s v="1.Jaminan Pekerjaan 3.000.000 , 2.Biaya PKB 8.806.244"/>
  </r>
  <r>
    <n v="1311"/>
    <s v="Menara Thamrin"/>
    <s v="IFAD Office"/>
    <s v="Jl.MH Thamrin Kav 3 Jakarta 10250"/>
    <x v="0"/>
    <s v="-"/>
    <s v="Menara Thamrin, Lantai 5, Jl MH Thamrin Kav. 3, Menteng, Jakarta Pusat, 10340,  Menteng,  Jakarta Pusat,"/>
    <s v="Sewa Tahunan"/>
    <s v="Colocation"/>
    <s v="PA/ACT/2204/0198"/>
    <m/>
    <m/>
    <m/>
    <m/>
    <m/>
    <n v="25200000"/>
    <m/>
    <m/>
    <n v="2100000"/>
    <m/>
    <d v="2024-04-11T00:00:00"/>
    <d v="2025-04-10T00:00:00"/>
    <x v="0"/>
    <m/>
    <d v="2025-12-24T00:00:00"/>
    <n v="-258"/>
    <n v="4"/>
    <n v="2025"/>
    <s v="18437/SPP/008/PUSAT/ICON+/2022 | 4500018172 | 215/SPP/SBU/ICON+/2023 | 4500020684"/>
    <s v="3088/SPP/SBU/PLNICONPLUS/2024"/>
    <n v="4500022612"/>
    <s v="Fajar Paramita"/>
    <s v="Bapak Webi "/>
    <s v="0812-8357 889"/>
    <m/>
    <m/>
    <m/>
    <m/>
    <m/>
    <s v="F170"/>
    <s v="G219"/>
    <s v="H168"/>
    <m/>
    <s v="1.Biaya Cross Connect Rp.10.500.000"/>
  </r>
  <r>
    <n v="1312"/>
    <s v="Menara Thamrin"/>
    <s v="Badan Pengawas Pemilihan Umum (BAWASLU)"/>
    <s v="Jl.MH Thamrin Kav 3 Jakarta 10250"/>
    <x v="0"/>
    <s v="Jl. M.H. Thamrin No.14, RT.8/RW.4, Gondangdia"/>
    <s v="Thamrin Menara Tower, Jl. M.H. Thamrin No.3, RT.10/RW.10, Kebon Sirih,"/>
    <s v="Sewa Tahunan"/>
    <s v="Colocation"/>
    <s v="PA/ACT/2211/4577"/>
    <m/>
    <m/>
    <m/>
    <m/>
    <m/>
    <n v="218935860"/>
    <m/>
    <m/>
    <n v="21000000"/>
    <m/>
    <d v="2024-01-01T00:00:00"/>
    <d v="2024-12-31T00:00:00"/>
    <x v="0"/>
    <m/>
    <d v="2025-12-24T00:00:00"/>
    <n v="-358"/>
    <n v="12"/>
    <n v="2024"/>
    <s v="21023/SPP/008/PUSAT/ICON+/2023 | 450001994"/>
    <s v="2281/SPP/SBU/ICON+/2023"/>
    <n v="4500022118"/>
    <s v="Fajar Paramita"/>
    <s v="Bapak Webi "/>
    <s v="0812-8357 889"/>
    <m/>
    <m/>
    <m/>
    <m/>
    <m/>
    <m/>
    <s v="G24"/>
    <s v="H322"/>
    <m/>
    <s v="1.Biaya Sewa shaft selama 3 tahun Rp.63.000.000 | Revenue Sharing 7,5% / Bulan"/>
  </r>
  <r>
    <n v="1313"/>
    <s v="Metropolitan Kentjana Tbk "/>
    <s v="BSI"/>
    <s v="Jl.Sultan Iskandar Muda.Kav V-TA Pondok Indah_x000a_Jakarta Selatan 12310"/>
    <x v="2"/>
    <m/>
    <s v="Pondok Indah Office Tower d/h Wisma Pondok Indah 2 (PT Agincourt Resources)"/>
    <s v="Sewa Tahunan"/>
    <s v="Colocation"/>
    <s v="PA/ACT/2209/3589"/>
    <m/>
    <m/>
    <m/>
    <m/>
    <m/>
    <n v="276000000"/>
    <m/>
    <m/>
    <n v="60000000"/>
    <m/>
    <d v="2024-01-23T00:00:00"/>
    <d v="2026-01-22T00:00:00"/>
    <x v="1"/>
    <m/>
    <d v="2025-12-24T00:00:00"/>
    <n v="29"/>
    <n v="1"/>
    <n v="2026"/>
    <s v="4500008998_x000a_ 11262/PJ/001/PUSAT/ICON+/2015 | 07817/SPP/008/PUSAT/ICON+/2017 | 4500011090_x000a_ 039/LA-ANT/PIOT2/MK/XI/2015 | 09996/SPP/008/PUSAT/ICON+/2019 | 4500012358 | 12502/SPP/008/PUSAT/ICON+/2020 | 4500014043|15085/SPP/008/PUSAT/ICON+/2021|4500015685 | 17669 | 4500017613"/>
    <n v="2632"/>
    <n v="4500022553"/>
    <s v="Fajar Paramita"/>
    <s v="Putri Ayu Aisyah"/>
    <s v="021-7697329, 7697349"/>
    <s v="-"/>
    <n v="178"/>
    <s v="C5"/>
    <s v="D211"/>
    <s v="E144"/>
    <s v="F55"/>
    <m/>
    <s v="H148"/>
    <m/>
    <m/>
  </r>
  <r>
    <n v="1314"/>
    <s v="Mora Telematika Indonesia "/>
    <s v="PT. ANUGRAH INTI KARYA_x000a_Gpay Digital Asia_x000a_PT Lintas Teknologi Digital_x000a_"/>
    <s v="Grha 9 6th floor, Jl. Penataran No.9 Proklamasi Jakarta Pusat 10320, Indonesia"/>
    <x v="0"/>
    <m/>
    <s v="NDC Jl. Raya Jatinegara Barat No.44, RT.1/RW.5, Kp. Melayu, Kecamatan Jatinegara, Kota Jakarta Timur, Daerah Khusus Ibukota Jakarta 13320"/>
    <s v="Sewa Tahunan"/>
    <s v="Colocation"/>
    <s v="PA/ACT/1810/0048 PA/ACT/2009/0738 PA/ACT/2204/0857"/>
    <m/>
    <m/>
    <m/>
    <m/>
    <m/>
    <n v="159000000"/>
    <m/>
    <m/>
    <n v="9000000"/>
    <m/>
    <d v="2023-04-18T00:00:00"/>
    <d v="2024-04-17T00:00:00"/>
    <x v="0"/>
    <m/>
    <d v="2025-12-24T00:00:00"/>
    <n v="-616"/>
    <n v="4"/>
    <n v="2024"/>
    <s v="19057/SPP/008/PUSAT/ICON+/2022 | 4500018395"/>
    <s v="2238/SPP/SBU/ICON+/2023"/>
    <n v="4500022061"/>
    <s v="Fajar Paramita"/>
    <s v="Alwin"/>
    <s v="021-31998603"/>
    <m/>
    <m/>
    <m/>
    <m/>
    <m/>
    <s v="f243"/>
    <m/>
    <m/>
    <m/>
    <m/>
  </r>
  <r>
    <n v="1315"/>
    <s v="Mora Telematika Indonesia "/>
    <s v="PT. ANUGRAH INTI KARYA"/>
    <s v="Grha 9 6th floor, Jl. Penataran No.9 Proklamasi Jakarta Pusat 10320, Indonesia"/>
    <x v="0"/>
    <m/>
    <s v="Nusantara Data Center(NDC) PT.Moratelindo Jl. Jatinegara Bar. No.44, RT.1/RW.5, Bidara Cina, Jatinegara, Kota Jakarta Timur, Daerah Khusus Ibukota Jakarta 13320"/>
    <s v="Sewa Tahunan"/>
    <s v="Colocation"/>
    <s v="AL/1812/21311"/>
    <m/>
    <m/>
    <m/>
    <m/>
    <m/>
    <n v="96000000"/>
    <m/>
    <m/>
    <n v="36000000"/>
    <m/>
    <d v="2023-10-01T00:00:00"/>
    <d v="2024-09-30T00:00:00"/>
    <x v="0"/>
    <m/>
    <d v="2025-12-24T00:00:00"/>
    <n v="-450"/>
    <n v="9"/>
    <n v="2024"/>
    <s v="09220/SPP/008/PUSAT/ICON+/2018 | 4500011886 | 11587/SPP/008/PUSAT/ICON+/2019 | 4500013379| 14204/SPP/008/PUSAT/ICON+/2020| 4500015370 | 16580/SPP/008/PUSAT/ICON+/2021 | 4500017734 | 19952/SPP/008/PUSAT/ICON+/2022 | 4500019772"/>
    <s v="744/SPP/SBU/ICON+/2023_x0009_"/>
    <n v="4500020941"/>
    <s v="Fajar Paramita"/>
    <s v="Maria Fransiska"/>
    <s v="021-31998601"/>
    <m/>
    <m/>
    <s v="C295"/>
    <s v="D393"/>
    <m/>
    <s v="F275"/>
    <s v="G183"/>
    <m/>
    <m/>
    <s v="1.Biaya Sewa Tahunan Collocation Rp.30.000.000 2.Biaya sewa tahunan xconnect Rp.6.000.000 3.Biaya Instalasi Collocation Rp.2.500.000 4.Biaya Instalasi Xconnect Rp.2.500.000"/>
  </r>
  <r>
    <n v="1316"/>
    <s v="Mora Telematika Indonesia "/>
    <s v="PT Asuransi Asei Indonesia"/>
    <s v="Grha 9 6th floor, Jl. Penataran No.9 Proklamasi Jakarta Pusat 10320, Indonesia"/>
    <x v="0"/>
    <m/>
    <s v="PT Mora Telematika Indonesia Grha 9 6th Floor Jl. Panataran No. 9 Proklamasi Jakarta Pusat 10320"/>
    <s v="Sewa Tahunan"/>
    <s v="Colocation"/>
    <s v="PA/ACT/1803/0242"/>
    <m/>
    <m/>
    <m/>
    <m/>
    <m/>
    <n v="24000000"/>
    <m/>
    <m/>
    <n v="9000000"/>
    <m/>
    <d v="2020-04-18T00:00:00"/>
    <d v="2021-04-17T00:00:00"/>
    <x v="2"/>
    <m/>
    <d v="2025-12-24T00:00:00"/>
    <n v="-1712"/>
    <n v="4"/>
    <n v="2021"/>
    <s v="08389/SPP/008/PUSAT/ICON+/2018 | 4500011368 | 10471/SPP/008/PUSAT/ICON+/2019 | 4500012604"/>
    <s v="12973/SPP/008/PUSAT/ICON+/2020"/>
    <n v="4500014156"/>
    <s v="Fajar Paramita"/>
    <s v="Alwin"/>
    <s v="021-31998601"/>
    <m/>
    <s v="B54"/>
    <s v="C59"/>
    <s v="D74"/>
    <m/>
    <m/>
    <m/>
    <m/>
    <m/>
    <s v="1.Biaya Instalasi sebesar 2.500.000 2. Biaya Sewa Tahunan sebesar 9.000.000"/>
  </r>
  <r>
    <n v="1317"/>
    <s v="Mora Telematika Indonesia "/>
    <s v="PT. GPAY DIGITAL ASIA"/>
    <s v="Grha 9 6th floor, Jl. Penataran No.9 Proklamasi Jakarta Pusat 10320, Indonesia"/>
    <x v="0"/>
    <m/>
    <s v="PT. NTT Indonesia Nexcenter Cyber CSF Building, Floor 2 Room 2-2, Jl. Kuningan Barat No. 8, Jakarta, Jakarta Selatan, DKI Jakarta, Indonesia, 12710"/>
    <s v="Sewa Tahunan"/>
    <s v="Cross Connect"/>
    <s v="PA/ACT/2009/0739"/>
    <m/>
    <m/>
    <m/>
    <m/>
    <m/>
    <n v="33000000"/>
    <m/>
    <m/>
    <n v="9000000"/>
    <m/>
    <d v="2023-10-22T00:00:00"/>
    <d v="2024-10-21T00:00:00"/>
    <x v="0"/>
    <m/>
    <d v="2025-12-24T00:00:00"/>
    <n v="-429"/>
    <n v="10"/>
    <n v="2024"/>
    <s v="14387/SPP/008/PUSAT/ICON+/2020| 4500015136 | 18505/SPP/008/PUSAT/ICON+/2022| 4500018133 | 20196 | 4500019300"/>
    <n v="2338"/>
    <n v="4500022362"/>
    <s v="Fajar Paramita"/>
    <s v="Alwin"/>
    <s v="021-31998602"/>
    <m/>
    <m/>
    <m/>
    <s v="D227"/>
    <s v="F288"/>
    <s v="F422"/>
    <m/>
    <s v="H107"/>
    <m/>
    <m/>
  </r>
  <r>
    <n v="1318"/>
    <s v="NTT Indonesia "/>
    <s v="PT Aplikanusa Lintasarta qq PT Artajasa"/>
    <s v="Wisma 46 Kota BNI Lt. 5, Jl. Jend. Sudirman, Tanah Abang, Kota Jak Pusat, Daerah Khusus Ibukota Jak 10250, Indonesia"/>
    <x v="0"/>
    <m/>
    <s v="Artajasa Pembayaran Elektronis, DCI Kawasan MM2100 Jl. Halmahera Blok F1 No. 1 Danau Indah, Cikarang Barat, Kabupaten Bekasi, Jawa Barat,"/>
    <s v="Sewa Tahunan"/>
    <s v="Colocation"/>
    <s v="PA/ACT/1810/1684"/>
    <m/>
    <m/>
    <m/>
    <m/>
    <m/>
    <n v="60000000"/>
    <m/>
    <m/>
    <n v="12000000"/>
    <m/>
    <d v="2020-02-13T00:00:00"/>
    <d v="2021-02-12T00:00:00"/>
    <x v="0"/>
    <m/>
    <d v="2025-12-24T00:00:00"/>
    <n v="-1776"/>
    <n v="2"/>
    <n v="2021"/>
    <s v="10135/SPP/008/PUSAT/ICON+/2019 | 4500012470"/>
    <s v="12591/SPP/008/PUSAT/ICON+/2020"/>
    <n v="4500013965"/>
    <s v="Fajar Paramita"/>
    <s v="Gite / Iffa (Finance"/>
    <s v="0856-1160-826 / 0856-8737-200"/>
    <m/>
    <m/>
    <s v="C28"/>
    <s v="D41"/>
    <m/>
    <m/>
    <m/>
    <m/>
    <m/>
    <m/>
  </r>
  <r>
    <n v="1319"/>
    <s v="NTT Indonesia "/>
    <s v="PT. BANK CIMB NIAGA"/>
    <s v="Wisma 46 Kota BNI Lt. 5, Jl. Jend. Sudirman, Tanah Abang, Kota Jak Pusat, Daerah Khusus Ibukota Jak 10250, Indonesia"/>
    <x v="0"/>
    <m/>
    <s v="Backhaul Bank CIMB Niaga, Gedung Cyber Lt. 4, Jl. Kuningan Barat Raya No.8, RT.1/RW.3, Kuningan Barat,  Kec. Mampang Prapatan,  Jakarta Selatan,  DKI Jakarta,  Indonesia,  12910"/>
    <s v="Sewa Tahunan"/>
    <s v="Cross Connect"/>
    <s v="PA/ACT/2108/2160"/>
    <m/>
    <m/>
    <m/>
    <m/>
    <m/>
    <n v="33600000"/>
    <m/>
    <m/>
    <n v="12000000"/>
    <m/>
    <d v="2021-09-21T00:00:00"/>
    <d v="2022-09-20T00:00:00"/>
    <x v="0"/>
    <m/>
    <d v="2025-12-24T00:00:00"/>
    <n v="-1191"/>
    <n v="9"/>
    <n v="2022"/>
    <s v="baru"/>
    <s v="16737/SPP/008/PUSAT/ICON+/2021"/>
    <n v="4500016891"/>
    <s v="Fajar Paramita"/>
    <s v="Gite / Iffa (Finance"/>
    <s v="0856-1160-826 / 0856-8737-200"/>
    <m/>
    <m/>
    <m/>
    <m/>
    <m/>
    <m/>
    <s v="E39"/>
    <m/>
    <m/>
    <m/>
  </r>
  <r>
    <n v="1320"/>
    <s v="NTT Indonesia "/>
    <s v="PT. BANK CIMB NIAGA"/>
    <s v="Wisma 46 Kota BNI Lt. 5, Jl. Jend. Sudirman, Tanah Abang, Kota Jak Pusat, Daerah Khusus Ibukota Jak 10250, Indonesia"/>
    <x v="0"/>
    <m/>
    <s v="Backhaul Bank CIMB Niaga, Gedung Cyber Lt. 4, Jl. Kuningan Barat Raya No.8, RT.1/RW.3, Kuningan Barat,  Kec. Mampang Prapatan,  Jakarta Selatan,  DKI Jakarta,  Indonesia,  12910"/>
    <s v="Sewa Tahunan"/>
    <s v="Cross Connect"/>
    <s v="PA/ACT/2108/2160"/>
    <m/>
    <m/>
    <m/>
    <m/>
    <m/>
    <n v="33600000"/>
    <m/>
    <m/>
    <n v="12000000"/>
    <m/>
    <d v="2021-09-21T00:00:00"/>
    <d v="2022-09-20T00:00:00"/>
    <x v="0"/>
    <m/>
    <d v="2025-12-24T00:00:00"/>
    <n v="-1191"/>
    <n v="9"/>
    <n v="2022"/>
    <s v="baru"/>
    <s v="16737/SPP/008/PUSAT/ICON+/2021"/>
    <n v="4500016891"/>
    <s v="Fajar Paramita"/>
    <s v="Gite / Iffa (Finance"/>
    <s v="0856-1160-826 / 0856-8737-200"/>
    <m/>
    <m/>
    <m/>
    <m/>
    <m/>
    <m/>
    <s v="G39"/>
    <m/>
    <m/>
    <m/>
  </r>
  <r>
    <n v="1321"/>
    <s v="NTT Indonesia "/>
    <s v="PT Mitra Akses Globalindo"/>
    <s v="Wisma 46 Kota BNI Lt. 5, Jl. Jend. Sudirman, Tanah Abang, Kota Jak Pusat, Daerah Khusus Ibukota Jak 10250, Indonesia"/>
    <x v="0"/>
    <m/>
    <s v="Backhaul Nexcenter,Cyber Building I, Lantai 3A, Jl. Kuningan Barat Raya No.8, RT.6/RW.3, Kuningan Barat, Mampang Prapatan, Jakarta Selatan,"/>
    <s v="Sewa Tahunan"/>
    <s v="Cross Connect"/>
    <s v="PA/ACT/1902/2062"/>
    <m/>
    <m/>
    <m/>
    <m/>
    <m/>
    <n v="33000000"/>
    <m/>
    <m/>
    <n v="12000000"/>
    <m/>
    <d v="2019-05-07T00:00:00"/>
    <d v="2020-05-06T00:00:00"/>
    <x v="0"/>
    <m/>
    <d v="2025-12-24T00:00:00"/>
    <n v="-2058"/>
    <n v="5"/>
    <n v="2020"/>
    <s v="baru"/>
    <s v="10858/SPP/008/PUSAT/ICON+/2019"/>
    <n v="4500012817"/>
    <s v="Fajar Paramita"/>
    <s v="Gite / Iffa (Finance"/>
    <s v="0856-1160-826 / 0856-8737-200"/>
    <m/>
    <m/>
    <s v="C88"/>
    <m/>
    <m/>
    <m/>
    <m/>
    <m/>
    <m/>
    <m/>
  </r>
  <r>
    <n v="1322"/>
    <s v="NTT Indonesia "/>
    <s v="PT. BUKIT MAKMUR MANDIRI UTAMA"/>
    <s v="Wisma 46 Kota BNI Lt. 5, Jl. Jend. Sudirman, Tanah Abang, Kota Jak Pusat, Daerah Khusus Ibukota Jak 10250, Indonesia"/>
    <x v="0"/>
    <m/>
    <s v="BUKIT MAKMUR MANDIRI NTTI-Nex Center Lokasi Cyber 1. (no rack L1.SRV01.09-07)"/>
    <s v="Sewa Tahunan"/>
    <s v="Cross Connect"/>
    <s v="PA/RLK/2005/0035"/>
    <m/>
    <m/>
    <m/>
    <m/>
    <m/>
    <n v="78000000"/>
    <m/>
    <m/>
    <n v="12000000"/>
    <m/>
    <d v="2020-05-28T00:00:00"/>
    <d v="2021-05-27T00:00:00"/>
    <x v="0"/>
    <m/>
    <d v="2025-12-24T00:00:00"/>
    <n v="-1672"/>
    <n v="5"/>
    <n v="2021"/>
    <s v="baru"/>
    <s v="13506/SPP/008/PUSAT/ICON+/2020"/>
    <n v="4500014488"/>
    <s v="Fajar Paramita"/>
    <s v="Gite / Iffa (Finance"/>
    <s v="0856-1160-826 / 0856-8737-200"/>
    <m/>
    <m/>
    <m/>
    <s v="D112"/>
    <m/>
    <m/>
    <m/>
    <m/>
    <m/>
    <m/>
  </r>
  <r>
    <n v="1323"/>
    <s v="NTT Indonesia "/>
    <s v="PT. BUKIT MAKMUR MANDIRI UTAMA"/>
    <s v="Wisma 46 Kota BNI Lt. 5, Jl. Jend. Sudirman, Tanah Abang, Kota Jak Pusat, Daerah Khusus Ibukota Jak 10250, Indonesia"/>
    <x v="0"/>
    <m/>
    <s v="BUKIT MAKMUR MANDIRI NTTI-Nex Center Lokasi Cyber 1. (no rack L1.SRV01.09-07) (Relokasi Ruang)"/>
    <s v="Sewa Tahunan"/>
    <s v="Cross Connect"/>
    <s v="PA/RLK/2005/0035"/>
    <m/>
    <m/>
    <m/>
    <m/>
    <m/>
    <n v="78000000"/>
    <m/>
    <m/>
    <n v="12000000"/>
    <m/>
    <d v="2020-05-28T00:00:00"/>
    <d v="2020-05-27T00:00:00"/>
    <x v="0"/>
    <m/>
    <d v="2025-12-24T00:00:00"/>
    <n v="-2037"/>
    <n v="5"/>
    <n v="2020"/>
    <s v="baru"/>
    <s v="13506/SPP/008/PUSAT/ICON+/2020"/>
    <n v="4500014489"/>
    <s v="Fajar Paramita"/>
    <s v="Gite / Iffa (Finance"/>
    <s v="0856-1160-826 / 0856-8737-200"/>
    <m/>
    <m/>
    <m/>
    <s v="D113"/>
    <m/>
    <m/>
    <m/>
    <m/>
    <m/>
    <m/>
  </r>
  <r>
    <n v="1324"/>
    <s v="NTT Indonesia "/>
    <s v="PT Bukit Makmur Mandiri Utama"/>
    <s v="Wisma 46 Kota BNI Lt. 5, Jl. Jend. Sudirman, Tanah Abang, Kota Jak Pusat, Daerah Khusus Ibukota Jak 10250, Indonesia"/>
    <x v="0"/>
    <m/>
    <s v="Cyber Building Nex Center Lantai 1 Jalan Kuningan Barat No. 8, Mampang Prapatan, Jakarta Selatan,"/>
    <s v="Sewa Tahunan"/>
    <s v="Colocation"/>
    <s v="PA/ACT/1806/0912"/>
    <m/>
    <m/>
    <m/>
    <m/>
    <m/>
    <n v="174000000"/>
    <m/>
    <m/>
    <n v="12000000"/>
    <m/>
    <d v="2019-07-24T00:00:00"/>
    <d v="2020-07-23T00:00:00"/>
    <x v="0"/>
    <m/>
    <d v="2025-12-24T00:00:00"/>
    <n v="-1980"/>
    <n v="7"/>
    <n v="2020"/>
    <s v="08941/SPP/008/PUSAT/ICON+/2018 | 4500011817"/>
    <s v="11093/SPP/008/PUSAT/ICON+/2019"/>
    <n v="4500012966"/>
    <s v="Fajar Paramita"/>
    <s v="Gite / Iffa (Finance"/>
    <s v="0856-1160-826 / 0856-8737-200"/>
    <m/>
    <s v="B115"/>
    <s v="C134"/>
    <m/>
    <m/>
    <m/>
    <m/>
    <m/>
    <m/>
    <m/>
  </r>
  <r>
    <n v="1325"/>
    <s v="NTT Indonesia "/>
    <s v="PT. BANK KEB HANA INDONESIA"/>
    <s v="Wisma 46 Kota BNI Lt. 5, Jl. Jend. Sudirman, Tanah Abang, Kota Jak Pusat, Daerah Khusus Ibukota Jak 10250, Indonesia"/>
    <x v="0"/>
    <m/>
    <s v="Cyber Building Nex Center Lantai 1 Jalan Kuningan Barat No. 8, Mampang Prapatan, Jakarta Selatan,"/>
    <s v="Sewa Tahunan"/>
    <s v="Colocation"/>
    <s v="PA/ACT/2002/2197/TER"/>
    <m/>
    <m/>
    <m/>
    <m/>
    <m/>
    <n v="102000000"/>
    <m/>
    <m/>
    <n v="30000000"/>
    <m/>
    <d v="2020-06-18T00:00:00"/>
    <d v="2021-06-17T00:00:00"/>
    <x v="0"/>
    <m/>
    <d v="2025-12-24T00:00:00"/>
    <n v="-1651"/>
    <n v="6"/>
    <n v="2021"/>
    <s v="baru"/>
    <s v="13501/SPP/008/PUSAT/ICON+/2020"/>
    <n v="4500014483"/>
    <s v="Fajar Paramita"/>
    <s v="Gite / Iffa (Finance"/>
    <s v="0856-1160-826 / 0856-8737-200"/>
    <m/>
    <m/>
    <m/>
    <s v="D115"/>
    <m/>
    <m/>
    <m/>
    <m/>
    <m/>
    <m/>
  </r>
  <r>
    <n v="1326"/>
    <s v="NTT Indonesia "/>
    <s v="PT. NUSA SATU INTI ARTHA"/>
    <s v="Wisma 46 Kota BNI Lt. 5, Jl. Jend. Sudirman, Tanah Abang, Kota Jak Pusat, Daerah Khusus Ibukota Jak 10250, Indonesia"/>
    <x v="0"/>
    <m/>
    <s v="DC ALFA CILEUNGSI Ktr. Cab Cileungsi, Dayeuh"/>
    <s v="Sewa Tahunan"/>
    <s v="Cross Connect"/>
    <s v="PA/ACT/2208/2714 "/>
    <m/>
    <m/>
    <m/>
    <m/>
    <m/>
    <n v="42000000"/>
    <m/>
    <m/>
    <n v="12000000"/>
    <m/>
    <d v="2022-09-19T00:00:00"/>
    <d v="2023-09-18T00:00:00"/>
    <x v="0"/>
    <m/>
    <d v="2025-12-24T00:00:00"/>
    <n v="-828"/>
    <n v="9"/>
    <n v="2023"/>
    <s v="baru"/>
    <s v="19884/SPP/008/PUSAT/ICON+/2022"/>
    <n v="4500018883"/>
    <s v="Fajar Paramita"/>
    <s v="Gite / Iffa (Finance"/>
    <s v="0856-1160-826 / 0856-8737-200"/>
    <m/>
    <m/>
    <m/>
    <m/>
    <m/>
    <s v="F310"/>
    <m/>
    <m/>
    <m/>
    <m/>
  </r>
  <r>
    <n v="1327"/>
    <s v="NTT Indonesia "/>
    <s v="PT. VERENA MULTIFINANCE"/>
    <s v="Wisma 46 Kota BNI Lt. 5, Jl. Jend. Sudirman, Tanah Abang, Kota Jak Pusat, Daerah Khusus Ibukota Jak 10250, Indonesia"/>
    <x v="0"/>
    <m/>
    <s v="DRC PT Satata Neka Tama Cyber Building 3rd Floor Jl. Kuningan Barat No.8"/>
    <s v="Sewa Tahunan"/>
    <s v="Cross Connect"/>
    <s v="PA/ACT/2204/3319_x000a_PA/ACT/2204/3315"/>
    <m/>
    <m/>
    <m/>
    <m/>
    <m/>
    <n v="132000000"/>
    <m/>
    <m/>
    <n v="24000000"/>
    <m/>
    <d v="2022-05-11T00:00:00"/>
    <d v="2023-05-10T00:00:00"/>
    <x v="0"/>
    <m/>
    <d v="2025-12-24T00:00:00"/>
    <n v="-959"/>
    <n v="5"/>
    <n v="2023"/>
    <s v="baru"/>
    <s v="18621/SPP/008/PUSAT/ICON+/2022"/>
    <n v="4500017995"/>
    <s v="Fajar Paramita"/>
    <s v="Gite / Iffa (Finance"/>
    <s v="0856-1160-826 / 0856-8737-200"/>
    <m/>
    <m/>
    <m/>
    <m/>
    <m/>
    <s v="F150"/>
    <m/>
    <m/>
    <m/>
    <m/>
  </r>
  <r>
    <n v="1328"/>
    <s v="NTT Indonesia "/>
    <s v="PT Bhinneka Life Indonesia"/>
    <s v="Wisma 46 Kota BNI Lt. 5, Jl. Jend. Sudirman, Tanah Abang, Kota Jak Pusat, Daerah Khusus Ibukota Jak 10250, Indonesia"/>
    <x v="0"/>
    <m/>
    <s v="Gedung Cyber 3, Jl. Kuningan Barat Raya No.8, RT.1/RW.3, lt.1 Kuningan Bar., Mampang Prpt., Kota Jakarta Selatan, Daerah Khusus Ibukota Jakarta 12710"/>
    <s v="Sewa Tahunan"/>
    <s v="Cross Connect"/>
    <s v="PA/ACT/1902/1154"/>
    <m/>
    <m/>
    <m/>
    <m/>
    <m/>
    <n v="96000000"/>
    <m/>
    <m/>
    <n v="12000000"/>
    <m/>
    <d v="2019-05-08T00:00:00"/>
    <d v="2020-05-07T00:00:00"/>
    <x v="0"/>
    <m/>
    <d v="2025-12-24T00:00:00"/>
    <n v="-2057"/>
    <n v="5"/>
    <n v="2020"/>
    <s v="baru"/>
    <s v="10856/SPP/008/PUSAT/ICON+/2019"/>
    <n v="4500012816"/>
    <s v="Fajar Paramita"/>
    <s v="Gite / Iffa (Finance"/>
    <s v="0856-1160-826 / 0856-8737-200"/>
    <m/>
    <m/>
    <s v="C89"/>
    <m/>
    <m/>
    <m/>
    <m/>
    <m/>
    <m/>
    <m/>
  </r>
  <r>
    <n v="1329"/>
    <s v="NTT Indonesia "/>
    <s v="BUT. MUFG BANK, LTD_x000a_ PT. BANK MAYBANK INDONESA TBK_x000a_ PT. CENTRAL SANTOSA FINANCE_x000a_ PT. LINK NET_x000a_ PT. NTT INDONESIA_x000a_ PT. SEPATU MAS IDAMAN_x000a_ PT. BANK CENTRAL ASIA, TBK_x000a_ PT. MORA TELEMATIKA INDONESIA_x000a_ PT. PRIMACOM INTERBUANA_x000a_ PT. SEWU SEGAR NUSANTARA"/>
    <s v="Gedung CyberCSF_x000a_Jl. Kuningan Barat Jakarta"/>
    <x v="0"/>
    <m/>
    <s v="Gedung Cyber CSF"/>
    <s v="Sewa Tahunan"/>
    <s v="Colocation"/>
    <s v="ICON-00/SBC/1609/0443_x000a_ AL/1807/6516_x000a_ ICON-00/SBC/1512/0665_x000a_ AL/1805/3463_x000a_ ICON-00/SBC/1612/0107_x000a_ ICON-00/SBC/1511/0163_x000a_ ICON-00/SBC/1708/0116_x000a_ ICON-00/SBC/1411/0456_x000a_ ICON-00/SBC/1605/0308_x000a_ AL/1803/0574"/>
    <m/>
    <m/>
    <m/>
    <m/>
    <m/>
    <n v="420000000"/>
    <m/>
    <m/>
    <n v="60000000"/>
    <m/>
    <d v="2019-08-27T00:00:00"/>
    <d v="2020-08-26T00:00:00"/>
    <x v="0"/>
    <m/>
    <d v="2025-12-24T00:00:00"/>
    <n v="-1946"/>
    <n v="8"/>
    <n v="2020"/>
    <n v="4500009953"/>
    <s v="11508/SPP/008/PUSAT/ICON+/2019"/>
    <n v="4500013237"/>
    <s v="Fajar Paramita"/>
    <s v="Gite / Iffa (Finance"/>
    <s v="0856-1160-826 / 0856-8737-200"/>
    <m/>
    <m/>
    <s v="C164"/>
    <m/>
    <m/>
    <m/>
    <m/>
    <m/>
    <m/>
    <m/>
  </r>
  <r>
    <n v="1330"/>
    <s v="NTT Indonesia "/>
    <s v="PT. BCA MULTI FINANCE"/>
    <s v="Wisma 46 Kota BNI Lt. 5, Jl. Jend. Sudirman, Tanah Abang, Kota Jak Pusat, Daerah Khusus Ibukota Jak 10250, Indonesia"/>
    <x v="0"/>
    <m/>
    <s v="Gedung Cyber CSF Lt 1 Jl. Kuningan Barat No. 8 Jakarta Selatan"/>
    <s v="Sewa Tahunan"/>
    <s v="Colocation"/>
    <s v="PA/ACT/1907/2400_x000a_ PA/ACT/1907/2400"/>
    <m/>
    <m/>
    <m/>
    <m/>
    <m/>
    <s v="-"/>
    <m/>
    <m/>
    <n v="12000000"/>
    <m/>
    <d v="2020-02-25T00:00:00"/>
    <d v="2021-02-24T00:00:00"/>
    <x v="0"/>
    <m/>
    <d v="2025-12-24T00:00:00"/>
    <n v="-1764"/>
    <n v="2"/>
    <n v="2021"/>
    <s v="10418/SPP/008/PUSAT/ICON+/2019 | 4500012521"/>
    <s v="12592/SPP/008/PUSAT/ICON+/2020"/>
    <n v="4500013999"/>
    <s v="Fajar Paramita"/>
    <s v="Gite / Iffa (Finance"/>
    <s v="0856-1160-826 / 0856-8737-200"/>
    <m/>
    <m/>
    <s v="C10"/>
    <s v="D62/E56"/>
    <m/>
    <m/>
    <m/>
    <m/>
    <m/>
    <m/>
  </r>
  <r>
    <n v="1331"/>
    <s v="NTT Indonesia "/>
    <s v="PT Cheil Jedang Indonesia"/>
    <s v="Wisma 46 Kota BNI Lt. 5, Jl. Jend. Sudirman, Tanah Abang, Kota Jak Pusat, Daerah Khusus Ibukota Jak 10250, Indonesia"/>
    <x v="0"/>
    <m/>
    <s v="Gedung NTT Indonesia Nexcenter, Cyber Building I, Lantai 3A, Jl. Kuningan Barat Raya No.8, RT.6/RW.3,, Mampang Prapatan, Jakarta Selatan, DKI Jakarta"/>
    <s v="Sewa Tahunan"/>
    <s v="Colocation"/>
    <s v="PA/ACT/1901/0119"/>
    <m/>
    <m/>
    <m/>
    <m/>
    <m/>
    <n v="360000000"/>
    <m/>
    <m/>
    <n v="12000000"/>
    <m/>
    <d v="2019-01-23T00:00:00"/>
    <d v="2020-01-22T00:00:00"/>
    <x v="2"/>
    <m/>
    <d v="2025-12-24T00:00:00"/>
    <n v="-2163"/>
    <n v="1"/>
    <n v="2020"/>
    <s v="baru"/>
    <s v="10110/SPP/008/PUSAT/ICON+/2019"/>
    <n v="4500012424"/>
    <s v="Fajar Paramita"/>
    <s v="Gite / Iffa (Finance"/>
    <s v="0856-1160-826 / 0856-8737-200"/>
    <m/>
    <m/>
    <s v="C8"/>
    <m/>
    <m/>
    <m/>
    <m/>
    <m/>
    <m/>
    <s v="1.Biaya sewa tahunan sebesar 12.000.000"/>
  </r>
  <r>
    <n v="1332"/>
    <s v="NTT Indonesia "/>
    <s v="PT Cheil Jedang Indonesia"/>
    <s v="Wisma 46 Kota BNI Lt. 5, Jl. Jend. Sudirman, Tanah Abang, Kota Jak Pusat, Daerah Khusus Ibukota Jak 10250, Indonesia"/>
    <x v="0"/>
    <m/>
    <s v="Gedung NTT Indonesia Nexcenter, Cyber Building I, Lantai 3A, Jl. Kuningan Barat Raya No.8, RT.6/RW.3,, Mampang Prapatan, Jakarta Selatan, DKI Jakarta"/>
    <s v="Sewa Tahunan"/>
    <s v="Cross Connect"/>
    <s v="PA/ACT/1901/0119_x000a_ PA/ACT/1901/0121"/>
    <m/>
    <m/>
    <m/>
    <m/>
    <m/>
    <n v="360000000"/>
    <m/>
    <m/>
    <n v="12000000"/>
    <m/>
    <d v="2019-05-09T00:00:00"/>
    <d v="2020-05-08T00:00:00"/>
    <x v="0"/>
    <m/>
    <d v="2025-12-24T00:00:00"/>
    <n v="-2056"/>
    <n v="5"/>
    <n v="2020"/>
    <s v="baru"/>
    <s v="10868/SPP/008/PUSAT/ICON+/2019"/>
    <n v="4500012826"/>
    <s v="Fajar Paramita"/>
    <s v="Gite / Iffa (Finance"/>
    <s v="0856-1160-826 / 0856-8737-200"/>
    <m/>
    <m/>
    <s v="C87"/>
    <m/>
    <m/>
    <m/>
    <m/>
    <m/>
    <m/>
    <m/>
  </r>
  <r>
    <n v="1333"/>
    <s v="NTT Indonesia "/>
    <s v="PT Cheil Jedang Indonesia"/>
    <s v="Wisma 46 Kota BNI Lt. 5, Jl. Jend. Sudirman, Tanah Abang, Kota Jak Pusat, Daerah Khusus Ibukota Jak 10250, Indonesia"/>
    <x v="0"/>
    <m/>
    <s v="Gedung NTT Indonesia Nexcenter, Cyber Building I, Lantai 3A, Jl. Kuningan Barat Raya No.8, RT.6/RW.3,, Mampang Prapatan, Jakarta Selatan, DKI Jakarta,"/>
    <s v="Sewa Tahunan"/>
    <s v="Cross Connect"/>
    <s v="PA/ACT/1901/0119_x000a_ PA/ACT/1901/0121_x000a_ PA/ACT/1901/0120"/>
    <m/>
    <m/>
    <m/>
    <m/>
    <m/>
    <n v="504000000"/>
    <m/>
    <m/>
    <n v="12000000"/>
    <m/>
    <d v="2019-09-19T00:00:00"/>
    <d v="2020-09-18T00:00:00"/>
    <x v="0"/>
    <m/>
    <d v="2025-12-24T00:00:00"/>
    <n v="-1923"/>
    <n v="9"/>
    <n v="2020"/>
    <s v="baru"/>
    <s v="11640/SPP/008/PUSAT/ICON+/2019"/>
    <n v="4500013324"/>
    <s v="Fajar Paramita"/>
    <s v="Gite / Iffa (Finance"/>
    <s v="0856-1160-826 / 0856-8737-200"/>
    <m/>
    <m/>
    <s v="C214"/>
    <m/>
    <m/>
    <m/>
    <m/>
    <m/>
    <m/>
    <m/>
  </r>
  <r>
    <n v="1334"/>
    <s v="NTT Indonesia "/>
    <s v="PT RITEL BERSAMA NASIONAL"/>
    <s v="Wisma 46 Kota BNI Lt. 5, Jl. Jend. Sudirman, Tanah Abang, Kota Jak Pusat, Daerah Khusus Ibukota Jak 10250, Indonesia"/>
    <x v="0"/>
    <m/>
    <s v="H2H - PT RITEL BERSAMA NASIONAL Menara Jamsostek Menara Utara Lt 18, Kuningan Barat, Kec. Mampang Prapatan, Jakarta Selatan, DKI Jakarta, Indonesia."/>
    <s v="Sewa Tahunan"/>
    <s v="Cross Connect"/>
    <s v="PA/ACT/1908/5717"/>
    <m/>
    <m/>
    <m/>
    <m/>
    <m/>
    <n v="102000000"/>
    <m/>
    <m/>
    <n v="12000000"/>
    <m/>
    <d v="2019-09-19T00:00:00"/>
    <d v="2020-09-18T00:00:00"/>
    <x v="0"/>
    <m/>
    <d v="2025-12-24T00:00:00"/>
    <n v="-1923"/>
    <n v="9"/>
    <n v="2020"/>
    <s v="baru"/>
    <s v="11703/SPP/008/PUSAT/ICON+/2019"/>
    <n v="4500013314"/>
    <s v="Fajar Paramita"/>
    <s v="Gite / Iffa (Finance"/>
    <s v="0856-1160-826 / 0856-8737-200"/>
    <m/>
    <m/>
    <s v="C199"/>
    <m/>
    <m/>
    <m/>
    <m/>
    <m/>
    <m/>
    <m/>
  </r>
  <r>
    <n v="1335"/>
    <s v="NTT Indonesia "/>
    <s v="PT. BANK RAKYAT INDONESIA (PERSERO) TBK"/>
    <s v="Wisma 46 Kota BNI Lt. 5, Jl. Jend. Sudirman, Tanah Abang, Kota Jak Pusat, Daerah Khusus Ibukota Jak 10250, Indonesia"/>
    <x v="0"/>
    <m/>
    <s v="H2H BRI - OVO NTT Indonesia Nexcenter Jl. Kuningan Barat Raya No.8, RT.6/RW.3"/>
    <s v="Sewa Tahunan"/>
    <s v="Cross Connect"/>
    <s v="PA/ACT/2209/5147"/>
    <m/>
    <m/>
    <m/>
    <m/>
    <m/>
    <n v="47567568"/>
    <m/>
    <m/>
    <n v="24000000"/>
    <m/>
    <d v="2022-11-16T00:00:00"/>
    <d v="2023-11-15T00:00:00"/>
    <x v="0"/>
    <m/>
    <d v="2025-12-24T00:00:00"/>
    <n v="-770"/>
    <n v="11"/>
    <n v="2023"/>
    <s v="baru"/>
    <s v="20280/SPP/008/PUSAT/ICON+/2022"/>
    <n v="4500019288"/>
    <s v="Fajar Paramita"/>
    <s v="Gite / Iffa (Finance"/>
    <s v="0856-1160-826 / 0856-8737-200"/>
    <m/>
    <m/>
    <m/>
    <m/>
    <m/>
    <s v="F363"/>
    <m/>
    <m/>
    <m/>
    <m/>
  </r>
  <r>
    <n v="1336"/>
    <s v="NTT Indonesia "/>
    <s v="PT. ALIANSI TEKNOLOGI INDONESIA "/>
    <s v="Wisma 46 Kota BNI Lt. 5, Jl. Jend. Sudirman, Tanah Abang, Kota Jak Pusat, Daerah Khusus Ibukota Jak 10250, Indonesia"/>
    <x v="0"/>
    <m/>
    <s v="IDC Duren Tiga Open IXP, Jl. Duren Tiga Raya No.7, RT.9/RW.5, Duren Tiga"/>
    <s v="Sewa Tahunan"/>
    <s v="Cross Connect"/>
    <s v="PA/ACT/2209/5345"/>
    <m/>
    <m/>
    <m/>
    <m/>
    <m/>
    <n v="294000000"/>
    <m/>
    <m/>
    <n v="120000000"/>
    <m/>
    <d v="2022-12-05T00:00:00"/>
    <d v="2023-12-04T00:00:00"/>
    <x v="0"/>
    <m/>
    <d v="2025-12-24T00:00:00"/>
    <n v="-751"/>
    <n v="12"/>
    <n v="2023"/>
    <s v="baru"/>
    <s v="20251/SPP/008/PUSAT/ICON+/2022"/>
    <n v="4500019236"/>
    <s v="Fajar Paramita"/>
    <s v="Gite / Iffa (Finance"/>
    <s v="0856-1160-826 / 0856-8737-200"/>
    <m/>
    <m/>
    <m/>
    <m/>
    <m/>
    <s v="F362"/>
    <m/>
    <m/>
    <m/>
    <m/>
  </r>
  <r>
    <n v="1337"/>
    <s v="NTT Indonesia "/>
    <s v="PT. BANK RAKYAT INDONESIA (PERSERO) TBK "/>
    <s v="Wisma 46 Kota BNI Lt. 5, Jl. Jend. Sudirman, Tanah Abang, Kota Jak Pusat, Daerah Khusus Ibukota Jak 10250, Indonesia"/>
    <x v="0"/>
    <m/>
    <s v="Jl. Kuningan Barat Raya No.8, RT.6/RW.3"/>
    <s v="Sewa Tahunan"/>
    <s v="Cross Connect"/>
    <s v="PA/ACT/2204/3976/TER"/>
    <m/>
    <m/>
    <m/>
    <m/>
    <m/>
    <n v="30454044"/>
    <m/>
    <m/>
    <n v="12000000"/>
    <m/>
    <d v="2022-05-25T00:00:00"/>
    <d v="2023-05-24T00:00:00"/>
    <x v="0"/>
    <m/>
    <d v="2025-12-24T00:00:00"/>
    <n v="-945"/>
    <n v="5"/>
    <n v="2023"/>
    <s v="baru"/>
    <s v="18937/SPP/008/PUSAT/ICON+/2022"/>
    <n v="4500018271"/>
    <s v="Fajar Paramita"/>
    <s v="Gite / Iffa (Finance"/>
    <s v="0856-1160-826 / 0856-8737-200"/>
    <m/>
    <m/>
    <m/>
    <m/>
    <m/>
    <s v="F181"/>
    <m/>
    <m/>
    <m/>
    <m/>
  </r>
  <r>
    <n v="1338"/>
    <s v="NTT Indonesia "/>
    <s v="PT. DJARUM_x000a_ PT. SUMBER CIPTA MULTINIAGA"/>
    <s v="Wisma 46 Kota BNI Lt. 5, Jl. Jend. Sudirman, Tanah Abang, Kota Jak Pusat, Daerah Khusus Ibukota Jak 10250, Indonesia"/>
    <x v="0"/>
    <m/>
    <s v="Kantor Djarum Kudus Jl. A. Yani No. 26 Kudus, Jawa Tengah"/>
    <s v="Sewa Tahunan"/>
    <s v="Cross Connect"/>
    <s v="PA/ACT/2003/0168_x000a_ PA/ACT/2004/0585"/>
    <m/>
    <m/>
    <m/>
    <m/>
    <m/>
    <n v="157500000"/>
    <m/>
    <m/>
    <n v="12000000"/>
    <m/>
    <d v="2020-05-14T00:00:00"/>
    <d v="2021-05-13T00:00:00"/>
    <x v="0"/>
    <m/>
    <d v="2025-12-24T00:00:00"/>
    <n v="-1686"/>
    <n v="5"/>
    <n v="2021"/>
    <s v="baru"/>
    <s v="13427/SPP/008/PUSAT/ICON+/2020"/>
    <n v="4500014399"/>
    <s v="Fajar Paramita"/>
    <s v="Gite / Iffa (Finance"/>
    <s v="0856-1160-826 / 0856-8737-200"/>
    <m/>
    <m/>
    <m/>
    <s v="D96"/>
    <m/>
    <m/>
    <m/>
    <m/>
    <m/>
    <m/>
  </r>
  <r>
    <n v="1339"/>
    <s v="NTT Indonesia "/>
    <s v="PT. SUMBER CIPTA MULTINIAGA"/>
    <s v="Wisma 46 Kota BNI Lt. 5, Jl. Jend. Sudirman, Tanah Abang, Kota Jak Pusat, Daerah Khusus Ibukota Jak 10250, Indonesia"/>
    <x v="0"/>
    <m/>
    <s v="Kantor Semarang Jl. Pandean Lamper 4 No 16 , Semarang (Lantai 1), Jawa Tengah"/>
    <s v="Sewa Tahunan"/>
    <s v="Cross Connect"/>
    <s v="PA/ACT/2004/0585"/>
    <m/>
    <m/>
    <m/>
    <m/>
    <m/>
    <n v="414000000"/>
    <m/>
    <m/>
    <n v="24000000"/>
    <m/>
    <d v="2020-04-23T00:00:00"/>
    <d v="2021-04-22T00:00:00"/>
    <x v="0"/>
    <m/>
    <d v="2025-12-24T00:00:00"/>
    <n v="-1707"/>
    <n v="4"/>
    <n v="2021"/>
    <s v="baru"/>
    <s v="13275/SPP/008/PUSAT/ICON+/2020"/>
    <n v="4500014318"/>
    <s v="Fajar Paramita"/>
    <s v="Gite / Iffa (Finance"/>
    <s v="0856-1160-826 / 0856-8737-200"/>
    <m/>
    <m/>
    <m/>
    <m/>
    <m/>
    <m/>
    <m/>
    <m/>
    <m/>
    <m/>
  </r>
  <r>
    <n v="1340"/>
    <s v="NTT Indonesia "/>
    <s v="PT Cheil Jedang Indonesia"/>
    <s v="Wisma 46 Kota BNI Lt. 5, Jl. Jend. Sudirman, Tanah Abang, Kota Jak Pusat, Daerah Khusus Ibukota Jak 10250, Indonesia"/>
    <x v="0"/>
    <m/>
    <s v="Menara Jamsostek, Jalan Gatot Subroto, Kav 38. RT.6/RW.1. Lantai 21.Kuningan Barat,, Mampang Prapatan, Jakarta Selatan, DKI Jakarta, Indonesia, 12710"/>
    <s v="Sewa Tahunan"/>
    <s v="Cross Connect"/>
    <s v="PA/ACT/1901/0119_x000a_ PA/ACT/1901/0121_x000a_ PA/ACT/1901/0120"/>
    <m/>
    <m/>
    <m/>
    <m/>
    <m/>
    <m/>
    <m/>
    <m/>
    <n v="12000000"/>
    <m/>
    <d v="2019-07-10T00:00:00"/>
    <d v="2020-07-09T00:00:00"/>
    <x v="0"/>
    <m/>
    <d v="2025-12-24T00:00:00"/>
    <n v="-1994"/>
    <n v="7"/>
    <n v="2020"/>
    <s v="baru"/>
    <s v="11277/SPP/008/PUSAT/ICON+/2019"/>
    <n v="4500013044"/>
    <s v="Fajar Paramita"/>
    <s v="Gite / Iffa (Finance"/>
    <s v="0856-1160-826 / 0856-8737-200"/>
    <m/>
    <m/>
    <s v="C155"/>
    <m/>
    <m/>
    <m/>
    <m/>
    <m/>
    <m/>
    <m/>
  </r>
  <r>
    <n v="1341"/>
    <s v="NTT Indonesia "/>
    <s v="PT. DJARUM"/>
    <s v="Wisma 46 Kota BNI Lt. 5, Jl. Jend. Sudirman, Tanah Abang, Kota Jak Pusat, Daerah Khusus Ibukota Jak 10250, Indonesia"/>
    <x v="0"/>
    <m/>
    <s v="NTT Indonesia Nexcenter Cyber Building I, Lantai 3A, Jl. Kuningan Barat Raya No.8, RT.6/RW.3, Kuningan Bar., Kec. Mampang Prpt"/>
    <s v="Sewa Tahunan"/>
    <s v="Cross Connect"/>
    <s v="PA/ACT/2207/1934_x000a_PA/ACT/2003/0168"/>
    <m/>
    <m/>
    <m/>
    <m/>
    <m/>
    <n v="1476000000"/>
    <m/>
    <m/>
    <n v="24000000"/>
    <m/>
    <d v="2022-07-21T00:00:00"/>
    <d v="2023-07-30T00:00:00"/>
    <x v="0"/>
    <m/>
    <d v="2025-12-24T00:00:00"/>
    <n v="-878"/>
    <n v="7"/>
    <n v="2023"/>
    <s v="baru"/>
    <s v="19446/SPP/008/PUSAT/ICON+/2022"/>
    <n v="4500018665"/>
    <s v="Fajar Paramita"/>
    <s v="Gite / Iffa (Finance"/>
    <s v="0856-1160-826 / 0856-8737-200"/>
    <m/>
    <m/>
    <m/>
    <m/>
    <m/>
    <s v="F233"/>
    <m/>
    <m/>
    <m/>
    <m/>
  </r>
  <r>
    <n v="1342"/>
    <s v="NTT Indonesia "/>
    <s v="PT. NTT INDONESIA"/>
    <s v="Wisma 46 Kota BNI Lt. 5, Jl. Jend. Sudirman, Tanah Abang, Kota Jak Pusat, Daerah Khusus Ibukota Jak 10250, Indonesia"/>
    <x v="0"/>
    <m/>
    <s v="PT NTT Indonesia Wisma 46 Kota BNI Jl.Jend Sudirman Kav 1 Jakarta"/>
    <s v="Sewa Tahunan"/>
    <s v="Cross Connect"/>
    <s v="-"/>
    <m/>
    <m/>
    <m/>
    <m/>
    <m/>
    <s v="-"/>
    <m/>
    <m/>
    <n v="214000000"/>
    <m/>
    <d v="2022-06-17T00:00:00"/>
    <d v="2023-06-16T00:00:00"/>
    <x v="0"/>
    <m/>
    <d v="2025-12-24T00:00:00"/>
    <n v="-922"/>
    <n v="6"/>
    <n v="2023"/>
    <s v="baru"/>
    <s v="18541/SPP/008/PUSAT/ICON+/2022        "/>
    <n v="4500018071"/>
    <s v="Fajar Paramita"/>
    <s v="Gite / Iffa (Finance"/>
    <s v="0856-1160-826 / 0856-8737-200"/>
    <m/>
    <m/>
    <m/>
    <m/>
    <m/>
    <s v="F210"/>
    <m/>
    <m/>
    <m/>
    <m/>
  </r>
  <r>
    <n v="1343"/>
    <s v="NTT Indonesia "/>
    <s v="PT. NTT INDONESIA"/>
    <s v="Wisma 46 Kota BNI Lt. 5, Jl. Jend. Sudirman, Tanah Abang, Kota Jak Pusat, Daerah Khusus Ibukota Jak 10250, Indonesia"/>
    <x v="0"/>
    <m/>
    <s v="PT Teknovatus SS, Jl. Pahlawan Seribu Lot 12 A BSD CBD Serpong, Tangerang 15322"/>
    <s v="Sewa Tahunan"/>
    <s v="Cross Connect"/>
    <s v="PA/ACT/2010/1221"/>
    <m/>
    <m/>
    <m/>
    <m/>
    <m/>
    <n v="162000000"/>
    <m/>
    <m/>
    <n v="12000000"/>
    <m/>
    <d v="2020-11-23T00:00:00"/>
    <d v="2021-11-22T00:00:00"/>
    <x v="0"/>
    <m/>
    <d v="2025-12-24T00:00:00"/>
    <n v="-1493"/>
    <n v="11"/>
    <n v="2021"/>
    <s v="baru"/>
    <s v="14660/SPP/008/PUSAT/ICON+/2020"/>
    <n v="4500015285"/>
    <s v="Fajar Paramita"/>
    <s v="Gite / Iffa (Finance"/>
    <s v="0856-1160-826 / 0856-8737-200"/>
    <m/>
    <m/>
    <m/>
    <s v="D274"/>
    <m/>
    <m/>
    <m/>
    <m/>
    <m/>
    <m/>
  </r>
  <r>
    <n v="1344"/>
    <s v="NTT Indonesia "/>
    <s v="PT Great Giant Pineapple"/>
    <s v="Wisma 46 Kota BNI Lt. 5, Jl. Jend. Sudirman, Tanah Abang, Kota Jak Pusat, Daerah Khusus Ibukota Jak 10250, Indonesia"/>
    <x v="0"/>
    <m/>
    <s v="PT. Great Giant Pineapple Cyber 3 (Backhaul), Jl. Wijayakarta IV No.217, RT.1/RW.3, Kuningan Bar. Mampang Prpt,, Kuningan Barat, Jakarta Selatan, DKI Jakarta, Indonesia,"/>
    <s v="Sewa Tahunan"/>
    <s v="Cross Connect"/>
    <s v="PA/ACT/1902/1061"/>
    <m/>
    <m/>
    <m/>
    <m/>
    <m/>
    <n v="48000000"/>
    <m/>
    <m/>
    <n v="24000000"/>
    <m/>
    <d v="2019-03-15T00:00:00"/>
    <d v="2020-03-14T00:00:00"/>
    <x v="2"/>
    <m/>
    <d v="2025-12-24T00:00:00"/>
    <n v="-2111"/>
    <n v="3"/>
    <n v="2020"/>
    <s v="baru"/>
    <s v="10571/SPP/008/PUSAT/ICON+/2019"/>
    <n v="4500012632"/>
    <s v="Fajar Paramita"/>
    <s v="Gite / Iffa (Finance"/>
    <s v="0856-1160-826 / 0856-8737-200"/>
    <m/>
    <m/>
    <s v="C40"/>
    <m/>
    <m/>
    <m/>
    <m/>
    <m/>
    <m/>
    <s v="1.Biaya sewa tahunan sebesar 24.000.000"/>
  </r>
  <r>
    <n v="1345"/>
    <s v="NTT Indonesia "/>
    <s v="PT. GPAY DIGITAL ASIA"/>
    <s v="Wisma 46 Kota BNI Lt. 5, Jl. Jend. Sudirman, Tanah Abang, Kota Jak Pusat, Daerah Khusus Ibukota Jak 10250, Indonesia"/>
    <x v="0"/>
    <m/>
    <s v="PT. NTT Indonesia Nexcenter Cyber CSF Building, Floor 2 Room 2-2, Jl. Kuningan Barat No. 8, Jakarta, Jakarta Selatan, DKI Jakarta, Indonesia, 12710"/>
    <s v="Sewa Tahunan"/>
    <s v="Cross Connect"/>
    <s v="PA/ACT/2009/0739"/>
    <m/>
    <m/>
    <m/>
    <m/>
    <m/>
    <n v="33000000"/>
    <m/>
    <m/>
    <n v="12000000"/>
    <m/>
    <d v="2021-10-26T00:00:00"/>
    <d v="2022-10-25T00:00:00"/>
    <x v="0"/>
    <m/>
    <d v="2025-12-24T00:00:00"/>
    <n v="-1156"/>
    <n v="10"/>
    <n v="2022"/>
    <s v="baru"/>
    <s v="14534/SPP/008/PUSAT/ICON+/2020"/>
    <n v="4500015237"/>
    <s v="Fajar Paramita"/>
    <s v="Gite / Iffa (Finance"/>
    <s v="0856-1160-826 / 0856-8737-200"/>
    <m/>
    <m/>
    <s v="C270"/>
    <m/>
    <m/>
    <m/>
    <m/>
    <m/>
    <m/>
    <m/>
  </r>
  <r>
    <n v="1346"/>
    <s v="NTT Indonesia "/>
    <s v="PT. PRIMACOM INTERBUANA"/>
    <s v="Wisma 46 Kota BNI Lt. 5, Jl. Jend. Sudirman, Tanah Abang, Kota Jak Pusat, Daerah Khusus Ibukota Jak 10250, Indonesia"/>
    <x v="0"/>
    <m/>
    <s v="Wisma 46 Kota BNI , Jl. Jend. Sudirman, Tanah Abang, Kota Jak Pusat, Daerah Khusus Ibukota Jak 10250, Indonesia ((LG) menuju Primacom lt. 49 (radio room) exclusive penyedia jasa telekomunikasi PT NTT Indonesia- Pemilik Gedung PT Swadharma Primautama/ PT Citanduy Perkasa)"/>
    <s v="Sewa Tahunan"/>
    <s v="Colocation"/>
    <s v="ICON-00/ACT/1502/0235"/>
    <m/>
    <m/>
    <m/>
    <m/>
    <m/>
    <n v="240000000"/>
    <m/>
    <m/>
    <n v="24000000"/>
    <m/>
    <d v="2019-05-21T00:00:00"/>
    <d v="2020-05-20T00:00:00"/>
    <x v="2"/>
    <m/>
    <d v="2025-12-24T00:00:00"/>
    <n v="-2044"/>
    <n v="5"/>
    <n v="2020"/>
    <s v="4500009466 |NTTI-ICON+/MAINETENANCE-BT/AMD-I/256/IX/16 |06888/SPP/008/PUSAT/ICON+/2018 | 4500010589 | 08605/SPP/008/PUSAT/ICON+/2018 | 4500011488"/>
    <s v="10532/SPP/008/PUSAT/ICON+/2019"/>
    <n v="4500012606"/>
    <s v="Fajar Paramita"/>
    <s v="Gite / Iffa (Finance"/>
    <s v="0856-1160-826 / 0856-8737-200"/>
    <s v="B19"/>
    <s v="B159"/>
    <s v="C132"/>
    <m/>
    <m/>
    <m/>
    <m/>
    <m/>
    <m/>
    <s v="1. Instalasi Rp4.000.000/tarikan_x000a_ 2. Sewa Shaft Rp24.000.000/tahun_x000a_ 3. Jaminan dengan Pihak Gedung (PT Swadharma Primautama/Citanduy Perkasa) Rp10.000.000,-_x000a_ 4.. Biaya Kebersihan Rp300.000,-/tarikan"/>
  </r>
  <r>
    <n v="1347"/>
    <s v="NTT Indonesia "/>
    <s v="PT Telindo Nusantara"/>
    <s v="Wisma 46 Kota BNI Lt. 5, Jl. Jend. Sudirman, Tanah Abang, Kota Jak Pusat, Daerah Khusus Ibukota Jak 10250, Indonesia"/>
    <x v="0"/>
    <m/>
    <s v="Wisma 46 Kota BNI, 5th Floor Jl. Jend Sudirman Kav. 1 Jakarta 10220"/>
    <s v="Sewa Tahunan"/>
    <s v="Colocation"/>
    <s v="PA/ACT/1804/0486/TER"/>
    <m/>
    <m/>
    <m/>
    <m/>
    <m/>
    <n v="36000000"/>
    <m/>
    <m/>
    <n v="12000000"/>
    <m/>
    <d v="2019-04-19T00:00:00"/>
    <d v="2020-04-18T00:00:00"/>
    <x v="0"/>
    <m/>
    <d v="2025-12-24T00:00:00"/>
    <n v="-2076"/>
    <n v="4"/>
    <n v="2020"/>
    <s v="08614/SPP/008/PUSAT/ICON+/2018 |4500011718"/>
    <s v="10454/SPP/008/PUSAT/ICON+/2019"/>
    <n v="4500013272"/>
    <s v="Fajar Paramita"/>
    <s v="Gite / Iffa (Finance"/>
    <s v="0856-1160-826 / 0856-8737-200"/>
    <m/>
    <m/>
    <s v="C248"/>
    <m/>
    <m/>
    <m/>
    <m/>
    <m/>
    <m/>
    <m/>
  </r>
  <r>
    <n v="1348"/>
    <s v="NTT Indonesia "/>
    <s v="PT Link Net"/>
    <s v="Wisma 46 Kota BNI Lt. 5, Jl. Jend. Sudirman, Tanah Abang, Kota Jak Pusat, Daerah Khusus Ibukota Jak 10250, Indonesia"/>
    <x v="0"/>
    <m/>
    <s v="Wisma 46 Kota BNI, 5th Floor Jl. Jend Sudirman Kav. 1 Jakarta 10220"/>
    <s v="Sewa Tahunan"/>
    <s v="Colocation"/>
    <s v="PA/ACT/1801/0048"/>
    <m/>
    <m/>
    <m/>
    <m/>
    <m/>
    <n v="300000000"/>
    <m/>
    <m/>
    <n v="12000000"/>
    <m/>
    <d v="2019-01-23T00:00:00"/>
    <d v="2020-01-22T00:00:00"/>
    <x v="0"/>
    <m/>
    <d v="2025-12-24T00:00:00"/>
    <n v="-2163"/>
    <n v="1"/>
    <n v="2020"/>
    <s v="08384/SPP/008/PUSAT/ICON+/2018 | 4500011409"/>
    <s v="10024/SPP/008/PUSAT/ICON+/2019"/>
    <n v="4500012430"/>
    <s v="Fajar Paramita"/>
    <s v="Gite / Iffa (Finance"/>
    <s v="0856-1160-826 / 0856-8737-200"/>
    <m/>
    <s v="B16"/>
    <s v="C30"/>
    <m/>
    <m/>
    <m/>
    <m/>
    <m/>
    <m/>
    <m/>
  </r>
  <r>
    <n v="1349"/>
    <s v="NTT Indonesia "/>
    <s v="PT. BANK MAYBANK INDONESIA"/>
    <s v="Wisma 46 Kota BNI Lt. 5, Jl. Jend. Sudirman, Tanah Abang, Kota Jak Pusat, Daerah Khusus Ibukota Jak 10250, Indonesia"/>
    <x v="0"/>
    <m/>
    <s v="Wisma 46 Kota BNI, 5th Floor Jl. Jend Sudirman Kav. 1 Jakarta 10220"/>
    <s v="Sewa Tahunan"/>
    <s v="Colocation"/>
    <s v="PA/ACT/1803/0186"/>
    <m/>
    <m/>
    <m/>
    <m/>
    <m/>
    <n v="30000000"/>
    <m/>
    <m/>
    <n v="12000000"/>
    <m/>
    <d v="2019-03-26T00:00:00"/>
    <d v="2020-03-25T00:00:00"/>
    <x v="0"/>
    <m/>
    <d v="2025-12-24T00:00:00"/>
    <n v="-2100"/>
    <n v="3"/>
    <n v="2020"/>
    <s v="08826/SPP/008/PUSAT/ICON+/2018 | 4500011719"/>
    <s v="10217/SPP/008/PUSAT/ICON+/2019"/>
    <n v="4500012450"/>
    <s v="Fajar Paramita"/>
    <s v="Gite / Iffa (Finance"/>
    <s v="0856-1160-826 / 0856-8737-200"/>
    <m/>
    <s v="B102"/>
    <s v="C31"/>
    <m/>
    <m/>
    <m/>
    <m/>
    <m/>
    <m/>
    <m/>
  </r>
  <r>
    <n v="1350"/>
    <s v="NTT Indonesia "/>
    <s v="Akamai dan Facebook"/>
    <s v="Wisma 46 Kota BNI Lt. 5, Jl. Jend. Sudirman, Tanah Abang, Kota Jak Pusat, Daerah Khusus Ibukota Jak 10250, Indonesia"/>
    <x v="0"/>
    <m/>
    <s v="Wisma BNI 46"/>
    <s v="Sewa Tahunan"/>
    <s v="Cross Connect"/>
    <s v="-"/>
    <m/>
    <m/>
    <m/>
    <m/>
    <m/>
    <s v="-"/>
    <m/>
    <m/>
    <n v="120000000"/>
    <m/>
    <d v="2022-12-16T00:00:00"/>
    <d v="2023-12-15T00:00:00"/>
    <x v="0"/>
    <m/>
    <d v="2025-12-24T00:00:00"/>
    <n v="-740"/>
    <n v="12"/>
    <n v="2023"/>
    <s v="baru"/>
    <s v="20917/SPP/008/PUSAT/ICON+/2022"/>
    <n v="4500019382"/>
    <s v="Fajar Paramita"/>
    <s v="Gite / Iffa (Finance"/>
    <s v="0856-1160-826 / 0856-8737-200"/>
    <m/>
    <m/>
    <m/>
    <m/>
    <m/>
    <s v="F399"/>
    <m/>
    <m/>
    <m/>
    <m/>
  </r>
  <r>
    <n v="1351"/>
    <s v="NTT Indonesia "/>
    <s v="AKAMAI DAN FACEBOOK"/>
    <s v="Wisma 46 Kota BNI Lt. 5, Jl. Jend. Sudirman, Tanah Abang, Kota Jak Pusat, Daerah Khusus Ibukota Jak 10250, Indonesia"/>
    <x v="0"/>
    <m/>
    <s v="Wisma BNI 46"/>
    <s v="Sewa Tahunan"/>
    <s v="Cross Connect"/>
    <s v="No PA"/>
    <m/>
    <m/>
    <m/>
    <m/>
    <m/>
    <n v="67718114062"/>
    <m/>
    <m/>
    <n v="24000000"/>
    <m/>
    <d v="2023-01-10T00:00:00"/>
    <d v="2024-01-09T00:00:00"/>
    <x v="1"/>
    <s v="Konfirmasi Sales"/>
    <d v="2025-12-24T00:00:00"/>
    <n v="-715"/>
    <n v="1"/>
    <n v="2024"/>
    <s v="baru"/>
    <s v="20917/SPP/008/PUSAT/ICON+/2022"/>
    <n v="4500019881"/>
    <s v="Livia Indraswati"/>
    <s v="Gite / Iffa (Finance"/>
    <s v="0856-1160-826 / 0856-8737-200"/>
    <m/>
    <m/>
    <m/>
    <m/>
    <m/>
    <m/>
    <s v="G12"/>
    <m/>
    <m/>
    <m/>
  </r>
  <r>
    <n v="1352"/>
    <s v="NTT Indonesia "/>
    <s v="PT. BANK CIMB NIAGA"/>
    <s v="Wisma 46 Kota BNI Lt. 5, Jl. Jend. Sudirman, Tanah Abang, Kota Jak Pusat, Daerah Khusus Ibukota Jak 10250, Indonesia"/>
    <x v="0"/>
    <m/>
    <s v="Wisma BNI 46"/>
    <s v="Sewa Tahunan"/>
    <s v="Cross Connect"/>
    <s v="PA/ACT/2108/2160"/>
    <m/>
    <m/>
    <m/>
    <m/>
    <m/>
    <n v="33600000"/>
    <m/>
    <m/>
    <n v="12000000"/>
    <m/>
    <d v="2021-09-21T00:00:00"/>
    <d v="2022-09-20T00:00:00"/>
    <x v="0"/>
    <m/>
    <d v="2025-12-24T00:00:00"/>
    <n v="-1191"/>
    <n v="9"/>
    <n v="2022"/>
    <s v="baru"/>
    <s v="16737/SPP/008/PUSAT/ICON+/2021"/>
    <n v="4500016891"/>
    <s v="Fajar Paramita"/>
    <s v="Gite / Iffa (Finance"/>
    <s v="0856-1160-826 / 0856-8737-200"/>
    <m/>
    <m/>
    <m/>
    <m/>
    <m/>
    <m/>
    <s v="G39"/>
    <m/>
    <m/>
    <m/>
  </r>
  <r>
    <n v="1353"/>
    <s v="NTT Indonesia "/>
    <s v="PT. CENTRIN ONLINE PRIMA qq PT Accenture_x000a_ PT. PRIMACOM INTERBUANA"/>
    <s v="Wisma 46 Kota BNI Lt. 5, Jl. Jend. Sudirman, Tanah Abang, Kota Jak Pusat, Daerah Khusus Ibukota Jak 10250, Indonesia"/>
    <x v="0"/>
    <m/>
    <s v="Wisma BNI 46,"/>
    <s v="Sewa Tahunan"/>
    <s v="Cross Connect"/>
    <s v="PA/ACT/1905/2810_x000a_ PA/RLK/1906/0030"/>
    <m/>
    <m/>
    <m/>
    <m/>
    <m/>
    <n v="107400000"/>
    <m/>
    <m/>
    <n v="82000000"/>
    <m/>
    <d v="2019-08-15T00:00:00"/>
    <d v="2020-08-14T00:00:00"/>
    <x v="0"/>
    <m/>
    <d v="2025-12-24T00:00:00"/>
    <n v="-1958"/>
    <n v="8"/>
    <n v="2020"/>
    <s v="baru"/>
    <s v="11493/SPP/008/PUSAT/ICON+/2019"/>
    <n v="4500013156"/>
    <s v="Fajar Paramita"/>
    <s v="Gite / Iffa (Finance"/>
    <s v="0856-1160-826 / 0856-8737-200"/>
    <m/>
    <m/>
    <s v="C171"/>
    <m/>
    <m/>
    <m/>
    <m/>
    <m/>
    <m/>
    <m/>
  </r>
  <r>
    <n v="1354"/>
    <s v="NTT Indonesia "/>
    <s v="PT. Astra Daihatsu Motor"/>
    <s v="Wisma 46 Kota BNI Lt. 5, Jl. Jend. Sudirman, Tanah Abang, Kota Jak Pusat, Daerah Khusus Ibukota Jak 10250, Indonesia"/>
    <x v="0"/>
    <m/>
    <s v="JL. SELAYAR BLOK A-6 KAWASAN MM2100 IDUSTRIAL ESTATE CIBITUNG (Interkoneksi Indonet),- ,- ,- ,Indonesia "/>
    <s v="Sewa Tahunan"/>
    <s v="Cross Connect"/>
    <s v="A821205000115"/>
    <m/>
    <m/>
    <m/>
    <m/>
    <m/>
    <n v="498000000"/>
    <m/>
    <m/>
    <n v="12000000"/>
    <m/>
    <d v="2023-08-15T00:00:00"/>
    <d v="2024-08-14T00:00:00"/>
    <x v="0"/>
    <m/>
    <d v="2025-12-24T00:00:00"/>
    <n v="-497"/>
    <n v="8"/>
    <n v="2024"/>
    <s v="baru"/>
    <s v="1097/SPP/SBU/ICON+/2023_x0009_"/>
    <n v="4500021085"/>
    <s v="Livia Indraswati"/>
    <s v="Gite / Iffa (Finance"/>
    <s v="0856-1160-826 / 0856-8737-200"/>
    <m/>
    <m/>
    <m/>
    <m/>
    <m/>
    <s v="x"/>
    <s v="G165"/>
    <m/>
    <m/>
    <s v="Sewa Cross Connect sebesar 12.000.000"/>
  </r>
  <r>
    <n v="1355"/>
    <s v="NTT Indonesia "/>
    <s v="PT. GRAHA LAYAR PRIMA TBK"/>
    <s v="Wisma 46 Kota BNI Lt. 5, Jl. Jend. Sudirman, Tanah Abang, Kota Jak Pusat, Daerah Khusus Ibukota Jak 10250, Indonesia"/>
    <x v="0"/>
    <m/>
    <s v="CGV NTT Data Center Jl. Kuningan Barat Raya No.8, RT.6/RW.3, Kuningan Bar., Kec. Mampang Prpt., Kota Jakarta Selatan, Daerah Khusus Ibukota Jakarta 12710"/>
    <s v="Sewa Tahunan"/>
    <s v="Cross Connect"/>
    <s v="PA/ACT/2212/6008"/>
    <m/>
    <m/>
    <m/>
    <m/>
    <m/>
    <n v="120000000"/>
    <m/>
    <m/>
    <n v="12000000"/>
    <m/>
    <d v="2023-01-19T00:00:00"/>
    <d v="2024-01-18T00:00:00"/>
    <x v="0"/>
    <m/>
    <d v="2025-12-24T00:00:00"/>
    <n v="-706"/>
    <n v="1"/>
    <n v="2024"/>
    <s v="baru"/>
    <s v="21065/SPP/008/PUSAT/ICON+/2023"/>
    <n v="4500019937"/>
    <s v="Livia Indraswati"/>
    <s v="Gite / Iffa (Finance"/>
    <s v="0856-1160-826 / 0856-8737-200"/>
    <m/>
    <m/>
    <m/>
    <m/>
    <m/>
    <m/>
    <s v="G20"/>
    <m/>
    <m/>
    <m/>
  </r>
  <r>
    <n v="1356"/>
    <s v="NTT Indonesia "/>
    <s v="PT Nosairis Teknologi Indonesia"/>
    <s v="Wisma 46 Kota BNI Lt. 5, Jl. Jend. Sudirman, Tanah Abang, Kota Jak Pusat, Daerah Khusus Ibukota Jak 10250, Indonesia"/>
    <x v="0"/>
    <m/>
    <s v="NTT Data Center, Cyber 3. Jl. Kuningan Barat Raya No.8, RT.6/RW.3, Kuningan Bar., Kec. Mampang Prpt., Kota Jakarta Selatan, Daerah Khusus Ibukota Jakarta 12710"/>
    <s v="Sewa Tahunan"/>
    <s v="Cross Connect"/>
    <s v="A811202000017 - 8123062000003"/>
    <m/>
    <m/>
    <m/>
    <m/>
    <m/>
    <m/>
    <m/>
    <m/>
    <n v="12000000"/>
    <m/>
    <d v="2023-08-08T00:00:00"/>
    <d v="2024-08-07T00:00:00"/>
    <x v="1"/>
    <s v="Konfirmasi Sales"/>
    <d v="2025-12-24T00:00:00"/>
    <n v="-504"/>
    <n v="8"/>
    <n v="2024"/>
    <s v="baru"/>
    <s v="1021/SPP/SBU/ICON+/2023"/>
    <n v="45000210472"/>
    <s v="Livia Indraswati"/>
    <s v="Gite / Iffa (Finance"/>
    <s v="0856-1160-826 / 0856-8737-200"/>
    <m/>
    <m/>
    <m/>
    <m/>
    <m/>
    <m/>
    <s v="G160"/>
    <m/>
    <m/>
    <s v="Sewa Cross Connect sebesar 12.000.000"/>
  </r>
  <r>
    <n v="1357"/>
    <s v="NTT Indonesia "/>
    <s v="AKAMAI DAN FACEBOOK"/>
    <s v="Wisma 46 Kota BNI Lt. 5, Jl. Jend. Sudirman, Tanah Abang, Kota Jak Pusat, Daerah Khusus Ibukota Jak 10250, Indonesia"/>
    <x v="0"/>
    <s v="-"/>
    <s v="Wisma BNI 46"/>
    <s v="Sewa Tahunan"/>
    <s v="Cross Connect"/>
    <s v="-"/>
    <m/>
    <m/>
    <m/>
    <m/>
    <m/>
    <n v="64718114062"/>
    <m/>
    <m/>
    <n v="12000000"/>
    <m/>
    <d v="2022-12-31T00:00:00"/>
    <d v="2023-12-30T00:00:00"/>
    <x v="0"/>
    <m/>
    <d v="2025-12-24T00:00:00"/>
    <n v="-725"/>
    <n v="12"/>
    <n v="2023"/>
    <s v="baru"/>
    <s v="20917/SPP/SBU/ICON+/2022"/>
    <n v="4500019806"/>
    <s v="Fajar Paramita"/>
    <s v="Gite / Iffa (Finance"/>
    <s v="0856-1160-826 / 0856-8737-200"/>
    <m/>
    <m/>
    <m/>
    <m/>
    <m/>
    <s v="F452"/>
    <m/>
    <m/>
    <m/>
    <m/>
  </r>
  <r>
    <n v="1358"/>
    <s v="Oleos Kirana Pratama "/>
    <s v="PT. AT&amp;T GLOBAL NETWORK SERVICES INDONE - MTX07715378"/>
    <s v="Jl.Kebagusan 1 No.6 Jakarta Selatan"/>
    <x v="0"/>
    <m/>
    <s v="MPOE room 6th floor _x000a_Jl. TB Simatupang Kav 53 A _x000a_Building Plaza Oleos"/>
    <s v="Sewa Tahunan"/>
    <s v="Cross Connect"/>
    <s v="PA/ACT/2112/1376"/>
    <m/>
    <m/>
    <m/>
    <m/>
    <m/>
    <n v="34024992"/>
    <m/>
    <m/>
    <n v="5000000"/>
    <m/>
    <d v="2022-03-01T00:00:00"/>
    <d v="2023-02-28T00:00:00"/>
    <x v="2"/>
    <m/>
    <d v="2025-12-24T00:00:00"/>
    <n v="-1030"/>
    <n v="2"/>
    <n v="2023"/>
    <s v="baru"/>
    <s v="18070/SPP/008/PUSAT/ICON+/2022"/>
    <n v="4500018001"/>
    <s v="Fajar Paramita"/>
    <m/>
    <m/>
    <m/>
    <m/>
    <m/>
    <m/>
    <m/>
    <s v="F46"/>
    <m/>
    <m/>
    <m/>
    <s v="Berubah Skema menjadi Revenue Sharing"/>
  </r>
  <r>
    <n v="1359"/>
    <s v="Omega Propertindo "/>
    <s v="PT. Japfa Comfeed Indonesia"/>
    <s v="Wisma Millenia Jakarta Jl. MT. Haryono kav. 16 Jakarta Selatan 12810"/>
    <x v="0"/>
    <s v="-"/>
    <s v="Gedung Wisma Milenia_x000a_ (Shaft Lt. Basement 1 B1 s/d Lt.4 Gedung Wisma Millenia)"/>
    <s v="Sewa Tahunan"/>
    <s v="Colocation"/>
    <s v="PA/ACT/1912/3172"/>
    <m/>
    <m/>
    <m/>
    <m/>
    <m/>
    <n v="310800000"/>
    <m/>
    <m/>
    <n v="41500000"/>
    <m/>
    <d v="2024-02-03T00:00:00"/>
    <d v="2025-02-02T00:00:00"/>
    <x v="0"/>
    <m/>
    <d v="2025-12-24T00:00:00"/>
    <n v="-325"/>
    <n v="2"/>
    <n v="2025"/>
    <s v="Addendum V _x000a_ No.002/OP-ICON/BM-WM/II/2017_x000a_ No. 02131/ADD.V/061/ICON+/2017 4500011140 | 08293/SPP/008/PUSAT/ICON+/2018 | 4500011315 | 09863/SPP/008/PUSAT/ICON+/2018 | 4500012321 | 12625/SPP/008/PUSAT/ICON+/2020+L688 | 4500014005| 15167/SPP/008/PUSAT/ICON+/2021| 4500015839| 17654/SPP/008/PUSAT/ICON+/2022 | 17654/SPP/008/PUSAT/ICON+/2022 | 4500017749 | 20774 | 4500019869"/>
    <n v="2586"/>
    <n v="4500022250"/>
    <s v="Fajar Paramita"/>
    <s v="Ida"/>
    <s v="0812 8129 3919"/>
    <s v="-"/>
    <s v="B64"/>
    <s v="B287"/>
    <s v="D38"/>
    <s v="E49"/>
    <s v="F144"/>
    <s v="G14"/>
    <s v="H71"/>
    <m/>
    <s v="-"/>
  </r>
  <r>
    <n v="1360"/>
    <s v="P3SRS Bukan Hunian Multivision Tower"/>
    <s v="PT Bank Commonwealth"/>
    <s v="GD Multivision Tower Lt Basement 1 Jakarta Selatan"/>
    <x v="0"/>
    <m/>
    <s v="Jl Kuningan Mulia Lot 9B – Kuningan Jakarta Selatan 12980"/>
    <s v="Sewa Tahunan"/>
    <s v="Colocation"/>
    <s v="PA/ACT/1809/0907_x000a_ PA/ACT/1809/0911_x000a_ PA/ACT/1807/0340_x000a_ PA/ACT/1809/1175"/>
    <m/>
    <m/>
    <m/>
    <m/>
    <m/>
    <n v="1966800000"/>
    <m/>
    <m/>
    <n v="44000000"/>
    <m/>
    <d v="2023-01-01T00:00:00"/>
    <d v="2023-12-31T00:00:00"/>
    <x v="2"/>
    <m/>
    <d v="2025-12-24T00:00:00"/>
    <n v="-724"/>
    <n v="12"/>
    <n v="2023"/>
    <s v="09907/SPP/008/PUSAT/ICON+/2018 | 4500012331 | 12452/SPP/008/PUSAT/ICON+/2019 | 4500013905 | 14934/SPP/008/PUSAT/ICON+/2020| 4500015687 | 17487/SPP/008/PUSAT/ICON+/2021 | 4500017871"/>
    <s v="20894/SPP/008/PUSAT/ICON+/2022"/>
    <n v="4500021435"/>
    <s v="Fajar Paramita"/>
    <m/>
    <m/>
    <m/>
    <s v="B264"/>
    <m/>
    <m/>
    <s v="E292"/>
    <s v="F122"/>
    <s v="G320"/>
    <m/>
    <m/>
    <m/>
  </r>
  <r>
    <n v="1361"/>
    <s v="P3SRS The City Tower"/>
    <s v="PT. SALIM IVOMAS PRATAMA,TBK"/>
    <s v="Jl.MH Thamrin 81 Menteng Jakarta Pusat 10310"/>
    <x v="0"/>
    <m/>
    <s v="The City Tower JL MH Thamrin no 81 Menteng Jakarta Pusat"/>
    <s v="Sewa Tahunan"/>
    <s v="Colocation"/>
    <s v="PA/ACT/1805/0890"/>
    <m/>
    <m/>
    <m/>
    <m/>
    <m/>
    <n v="66000000"/>
    <m/>
    <m/>
    <n v="23888889"/>
    <m/>
    <d v="2020-12-01T00:00:00"/>
    <d v="2021-01-31T00:00:00"/>
    <x v="2"/>
    <m/>
    <d v="2025-12-24T00:00:00"/>
    <n v="-1788"/>
    <n v="1"/>
    <n v="2021"/>
    <s v="09257/SPP/008/PUSAT/ICON+/2018 | 4500011864"/>
    <s v="12593/SPP/008/PUSAT/ICON+/2020"/>
    <n v="4500013954"/>
    <s v="Fajar Paramita"/>
    <m/>
    <m/>
    <m/>
    <m/>
    <m/>
    <s v="D83"/>
    <m/>
    <m/>
    <m/>
    <m/>
    <m/>
    <m/>
  </r>
  <r>
    <n v="1362"/>
    <s v="Patra Jasa Office Tower Jakarta "/>
    <s v="PT BANK MANDIRI (PERSERO), Tbk_x000a_ BANK MEGA"/>
    <s v="Patra Jasa Office Tower Jl. Gatot Subroto kav.32-34_x000a_12950 Jakarta"/>
    <x v="0"/>
    <m/>
    <s v="Patra Jasa Office Tower"/>
    <s v="Sewa Tahunan"/>
    <s v="Colocation"/>
    <s v="ICON-00/MIG/1602/0043_x000a_ PA/ACT/1805/0437"/>
    <m/>
    <m/>
    <m/>
    <m/>
    <m/>
    <n v="52131936"/>
    <m/>
    <m/>
    <n v="28440000"/>
    <m/>
    <d v="2020-09-21T00:00:00"/>
    <d v="2021-09-20T00:00:00"/>
    <x v="0"/>
    <m/>
    <d v="2025-12-24T00:00:00"/>
    <n v="-1556"/>
    <n v="9"/>
    <n v="2021"/>
    <s v="4500009895_x000a_ AMD.1/PSM.2931/PJOT/2016 | 07459/SPP/008/PUSAT/ICON+/2017 | 4500010926 | 10600/SPP/008/PUSAT/ICON+/2019 | 4500012673 | 11766/SPP/008/PUSAT/ICON+/2019 | 4500013494"/>
    <s v="14276/SPP/008/PUSAT/ICON+/2020"/>
    <s v="4500015124"/>
    <s v="Fajar Paramita"/>
    <s v="Agustina"/>
    <s v="021-5217427"/>
    <m/>
    <n v="76"/>
    <s v="C72/C294"/>
    <s v="D294"/>
    <m/>
    <m/>
    <m/>
    <m/>
    <m/>
    <m/>
  </r>
  <r>
    <n v="1363"/>
    <s v="Patra Jasa "/>
    <s v="PT XL AXIATA Tbk._x000a_ PT. PRIMACOM INTERBUANA_x000a_ PT. SATKOMINDO MEDIYASA_x000a_ PT. GAHARU SEJAHTERA_x000a_ PT.GAYA FAVORIT PRESS (FEMINA GROUP)_x000a_ PT. PRIMACOM INTERBUANA_x000a_ PT UNGGUL INDAH CAHAYA Tbk_x000a_ PT. INTI EVERSPRING INDONESIA_x000a_ PT INDOSAT Tbk_x000a_ PT IFORTE GLOBAL INTERNET_x000a_ PT. BANK SYARIAH BRI_x000a_ PT TRANS RETAIL INDONESIA_x000a_ _x000a_ PT. PRIMACOM INTERBUANA_x000a_ PT CITRA SARI MAKMUR_x000a_ PT. ASURANSI SINARMAS_x000a_ BANK BJB_x000a_ PT.PRATAMA LINK_x000a_ PT. SUZUKI FINANCE INDONESIA_x000a_ PT.PRATAMA LINK_x000a_ PT ANGGARA ARCHITEAM_x000a_ PT PASIFIKTEL INDOTAMA_x000a_ PT INDOSAT Tbk_x000a_ PT. CYBERINDO ADITAMA_x000a_ PT INDOMARCO PRISMATAMA"/>
    <s v="Jl. Taman Patra Raya No. 2_x000a_Jakarta 12950"/>
    <x v="0"/>
    <m/>
    <s v="Dari Jl. Taman Patra II, Jl. Taman Patra IV, Jl. Taman patra X, Jl. Taman Patra Kuningan , Jl. Dukuh Patra I sampai dengan Jl. Raya Mandala IV, Pertamina Oil Village"/>
    <s v="Sewa Tahunan"/>
    <s v="Colocation"/>
    <s v="ICON-00/ACT/1207/0109_x000a_ ICON-00/ACT/1312/0016_x000a_ ICON-00/ACT/1410/0169_x000a_ ICON-00/ACT/1312/0017_x000a_ ICON-00/ACT/1312/0018_x000a_ ICON-00/ACT/1312/0019_x000a_ ICON-00/SOP/1502/0006_x000a_ ICON-00/MIG/1412/0020_x000a_ ICON-00/ACT/1402/0242_x000a_ ICON-00/ACT/1411/0008_x000a_ ICON-00/ACT/1504/0302"/>
    <m/>
    <m/>
    <m/>
    <m/>
    <m/>
    <n v="2746622832"/>
    <m/>
    <m/>
    <n v="56000000"/>
    <m/>
    <d v="2021-08-23T00:00:00"/>
    <d v="2023-08-22T00:00:00"/>
    <x v="0"/>
    <m/>
    <d v="2025-12-24T00:00:00"/>
    <n v="-855"/>
    <n v="8"/>
    <n v="2023"/>
    <s v="450008676 | 07501/SPP/008/PUSAT/ICON+/2017 | 4500010867 | 11307/SPP/008/PUSAT/ICON+/2019 | 4500013359"/>
    <s v="16550/SPP/008/PUSAT/ICON+/2021"/>
    <n v="4500020397"/>
    <s v="Fajar Paramita"/>
    <s v="Ririn"/>
    <s v="021-8280463"/>
    <n v="142"/>
    <m/>
    <s v="C145"/>
    <m/>
    <m/>
    <m/>
    <m/>
    <m/>
    <m/>
    <m/>
  </r>
  <r>
    <n v="1364"/>
    <s v="Patra Jasa "/>
    <s v="PT. BANK MANDIRI (PERSERO), TBK"/>
    <s v="Jl. Taman Patra Raya No. 2_x000a_Jakarta 12950"/>
    <x v="0"/>
    <s v="-"/>
    <s v="7010 KCP Gd. Patrajasa, Jl.Jend.Gatot Subroto Kav.32-34 Jaksel,  -,  -,  -,  Indonesia,  -"/>
    <s v="Sewa Tahunan"/>
    <s v="Colocation"/>
    <s v="PA/RLK/2206/0064"/>
    <m/>
    <m/>
    <m/>
    <m/>
    <m/>
    <n v="45818184"/>
    <m/>
    <m/>
    <n v="56100000"/>
    <m/>
    <d v="2023-09-01T00:00:00"/>
    <d v="2024-08-31T00:00:00"/>
    <x v="1"/>
    <s v="SPP"/>
    <d v="2025-12-24T00:00:00"/>
    <n v="-480"/>
    <n v="8"/>
    <n v="2024"/>
    <s v="baru"/>
    <n v="1090"/>
    <n v="4500021935"/>
    <s v="Fajar Paramita"/>
    <m/>
    <m/>
    <m/>
    <m/>
    <m/>
    <m/>
    <m/>
    <m/>
    <s v="G200"/>
    <m/>
    <m/>
    <m/>
  </r>
  <r>
    <n v="1365"/>
    <s v="Patra Jasa Residential "/>
    <m/>
    <s v="Jl. Taman Patra Raya No. 2_x000a_Jakarta 12950"/>
    <x v="0"/>
    <m/>
    <s v="Dari Jl. Mandala Raya menuju Jl. Patra Kuningan 7 Jakarta"/>
    <s v="Sewa Tahunan"/>
    <s v="Colocation"/>
    <s v="- 01000040211_x000a_  01000002762_x000a_ 01000040470 _x000a_ 01000040478 _x000a_ 0990000320516968 _x000a_ 01000012546_x000a_ 01000008344_x000a_ 01000008343_x000a_ 04000030948_x000a_ 01000049377_x000a_ 04000003723_x000a_ 0990000320490183_x000a_ 04000003710_x000a_ 0990000320490184_x000a_ 04000003712_x000a_ 04000003713_x000a_ 04000026559_x000a_ 04000026558_x000a_ 04000003714_x000a_ 04000003715_x000a_ 0990000320386604 _x000a_ 01000005535 _x000a_ 01000038455_x000a_ 04000038349_x000a_ 04000038350_x000a_ 0990000320396251 _x000a_ 0990000320447602 _x000a_ 01000041282 _x000a_ 01000041276 _x000a_ 0990000320487053 _x000a_ 01000040250 _x000a_ 01000007993 _x000a_ 01000020717 _x000a_ 04000023130 _x000a_ 04000023129_x000a_ 02000023131 _x000a_ 01000023229 _x000a_ 04000030504 _x000a_ 04000037261 _x000a_ 01000037255_x000a_ 04000001324_x000a_ 01000027254_x000a_ 01000043320_x000a_ 0990000320523172_x000a_ 01000014895_x000a_ 0990000320471532_x000a_ 01000014195_x000a_ 0990000320501040_x000a_ 0990000320508826_x000a_ 0990000320513749_x000a_ 01000029013_x000a_ 01000044058_x000a_ 01000025553"/>
    <m/>
    <m/>
    <m/>
    <m/>
    <m/>
    <s v="-"/>
    <m/>
    <m/>
    <n v="29400000"/>
    <m/>
    <d v="2020-06-15T00:00:00"/>
    <d v="2021-06-14T00:00:00"/>
    <x v="0"/>
    <m/>
    <d v="2025-12-24T00:00:00"/>
    <n v="-1654"/>
    <n v="6"/>
    <n v="2021"/>
    <s v="4500008493_x000a_ 060437/MI/004/PUSAT/ICON+/2015 | 06894/SPP/008/PUSAT/ICON+/2017 | 4500010812 | 10975/SPP/008/PUSAT/ICON+/2019 | 4500013358"/>
    <s v="13678/SPP/008/PUSAT/ICON+/2020"/>
    <n v="4500014747"/>
    <s v="Fajar Paramita"/>
    <s v="Ririn"/>
    <s v="021-8280463"/>
    <m/>
    <m/>
    <s v="C244"/>
    <s v="D212"/>
    <m/>
    <m/>
    <m/>
    <m/>
    <m/>
    <s v="Jaminan Rp10.000.000,-"/>
  </r>
  <r>
    <n v="1366"/>
    <s v="PC 24 Telekomunikasi Indonesia "/>
    <s v="PT. BANK SYARIAH BRI"/>
    <s v="Jalan Kuningan Barat No.8 Cyber 1nd &amp; 2 nd jakarta selatam 12711"/>
    <x v="0"/>
    <s v="-"/>
    <s v="(ATM BRIS Kedaung) Indomaret Kedaung Barat 15 Jl. Raya Gatot Soebroto, Kedaung Barat, Kota Tangerang, Banten"/>
    <s v="Sewa Tahunan"/>
    <s v="Cross Connect"/>
    <s v="PA/ACT/2005/1127/TER"/>
    <m/>
    <m/>
    <m/>
    <m/>
    <m/>
    <n v="15272724"/>
    <m/>
    <m/>
    <n v="12000000"/>
    <m/>
    <d v="2020-05-19T00:00:00"/>
    <d v="2021-05-18T00:00:00"/>
    <x v="0"/>
    <m/>
    <d v="2025-12-24T00:00:00"/>
    <n v="-1681"/>
    <n v="5"/>
    <n v="2021"/>
    <s v="baru"/>
    <s v="14173/SPP/008/PUSAT/ICON+/2020"/>
    <n v="4500015139"/>
    <s v="Fajar Paramita"/>
    <m/>
    <m/>
    <m/>
    <m/>
    <m/>
    <s v="D262"/>
    <m/>
    <m/>
    <m/>
    <m/>
    <m/>
    <s v="Biaya Instalasi PC24 Rp.2.000.000"/>
  </r>
  <r>
    <n v="1367"/>
    <s v="PCDC Propco One "/>
    <s v="PT. MERDEKA COPPER GOLD TBK"/>
    <s v="Komplek Nilai Alam Ruko 1 KM 18"/>
    <x v="0"/>
    <s v="-"/>
    <s v="(DC ATRIA) Jl. Raya Daan Mogot No.37, RT.11/RW.3, Cengkareng Tim."/>
    <s v="Sewa Tahunan"/>
    <s v="Cross Connect"/>
    <s v="PA/ACT/2211/5797"/>
    <m/>
    <m/>
    <m/>
    <m/>
    <m/>
    <n v="48000000"/>
    <m/>
    <m/>
    <n v="21600000"/>
    <m/>
    <d v="2024-01-23T00:00:00"/>
    <d v="2025-01-22T00:00:00"/>
    <x v="0"/>
    <m/>
    <d v="2025-12-24T00:00:00"/>
    <n v="-336"/>
    <n v="1"/>
    <n v="2025"/>
    <n v="20816"/>
    <s v="2587 | 4500019677"/>
    <n v="4500022249"/>
    <s v="Fajar Paramita"/>
    <m/>
    <m/>
    <m/>
    <m/>
    <m/>
    <m/>
    <m/>
    <m/>
    <s v="G43"/>
    <s v="H67"/>
    <m/>
    <s v="Biaya OTC Rp.2.500.000 "/>
  </r>
  <r>
    <n v="1368"/>
    <s v="PCDC Propco One "/>
    <s v="PT. WIFIKU INDONESIA"/>
    <s v="Komplek Nilai Alam Ruko 1 KM 19"/>
    <x v="0"/>
    <s v="-"/>
    <s v="DC ATRIA JL. RAYA DAAN MOGOT NO.37, RT.11/RW.3, CENGKARENG TIM., KECAMATAN CENGKARENG"/>
    <s v="Sewa Tahunan"/>
    <s v="Cross Connect"/>
    <s v="A111205000005"/>
    <m/>
    <m/>
    <m/>
    <m/>
    <m/>
    <n v="84000000"/>
    <m/>
    <m/>
    <n v="14000000"/>
    <m/>
    <d v="2023-06-08T00:00:00"/>
    <d v="2024-06-07T00:00:00"/>
    <x v="0"/>
    <m/>
    <d v="2025-12-24T00:00:00"/>
    <n v="-565"/>
    <n v="6"/>
    <n v="2024"/>
    <s v="baru"/>
    <s v="465/SPP/SBU/ICON+/2023        "/>
    <n v="4500020634"/>
    <s v="Fajar Paramita"/>
    <m/>
    <m/>
    <m/>
    <m/>
    <m/>
    <m/>
    <m/>
    <m/>
    <s v="G113"/>
    <m/>
    <m/>
    <s v="MRC Cross Connect Services to MMR (UTP/FO)  Rp.12.000.000 | NRC Cross Connect Services to MMR (UTP/FO)  Rp.2.000.000"/>
  </r>
  <r>
    <n v="1369"/>
    <s v="PD Pasar Jaya "/>
    <s v="PT BANK MANDIRI (PERSERO), TBK"/>
    <s v="Perumda Pasar Jaya Jatinegara"/>
    <x v="0"/>
    <m/>
    <s v="Bank Mandiri Jakarta Pasar Jatinegara Pasar Jatinegara Blok A Lantai 3 Los AKS No. 012,  Jatinegara,  Jakarta Timur,  DKI Jakarta,  Indonesia,"/>
    <s v="Sewa Tahunan"/>
    <s v="Colocation"/>
    <s v="PA/ACT/2212/0862/TER"/>
    <m/>
    <m/>
    <m/>
    <m/>
    <m/>
    <n v="32863642"/>
    <m/>
    <m/>
    <n v="15000000"/>
    <m/>
    <d v="2024-05-22T00:00:00"/>
    <d v="2025-05-21T00:00:00"/>
    <x v="2"/>
    <m/>
    <d v="2025-12-24T00:00:00"/>
    <n v="-217"/>
    <n v="5"/>
    <n v="2025"/>
    <s v="482/SPP/SBU/ICON+/2023 | 4500022709"/>
    <s v="3757/SPP/SBU/PLNICONPLUS/2024"/>
    <n v="4500022999"/>
    <s v="Livia Indraswati"/>
    <m/>
    <m/>
    <m/>
    <m/>
    <m/>
    <m/>
    <m/>
    <m/>
    <s v="G117"/>
    <s v="H174"/>
    <m/>
    <s v="1.Biaya Sewa Lahan Rp.15.000.000"/>
  </r>
  <r>
    <n v="1370"/>
    <s v="Pelabuhan Indonesia II  (Persero)/PELINDO II"/>
    <s v="PT Toyota Manufacturing Indonesia"/>
    <s v="Jl. Raya Pelabuhan No. 9 Tanjung Priok Jakarta"/>
    <x v="0"/>
    <s v="PT. TMMIN, Jl. Laksda Yos Sudarso Sunter II Jakarta Utara (Existing),- ,- ,- ,Indonesia ,- "/>
    <s v="Gedung/Yard TFLI Export Cargo lt.1, Jl. Sindang Laut Cilincing Jakarta Utara,- ,- ,- ,Indonesia ,- "/>
    <s v="Sewa Tahunan"/>
    <s v="Colocation"/>
    <s v="ICON-00/ACT/1407/0018 "/>
    <m/>
    <m/>
    <m/>
    <m/>
    <m/>
    <n v="120000000"/>
    <m/>
    <m/>
    <n v="120858186"/>
    <m/>
    <d v="2023-09-01T00:00:00"/>
    <d v="2024-08-31T00:00:00"/>
    <x v="0"/>
    <m/>
    <d v="2025-12-24T00:00:00"/>
    <n v="-480"/>
    <n v="8"/>
    <n v="2024"/>
    <s v="4500009513 |4500010628 |07874/SPP/008/PUSAT/ICON+/2017 |4500011725 | 09123/SPP/008/PUSAT/ICON+/2018 | 4500011818 | 11182/SPP/008/PUSAT/ICON+/2019 | 4500013235| 13865/SPP/008/PUSAT/ICON+/2020| 4500014841 | 19116/SPP/008/PUSAT/ICON+/2022 | 4500019109"/>
    <n v="1907"/>
    <n v="4500022454"/>
    <s v="Fajar Paramita"/>
    <s v="Bakhus Salihin"/>
    <s v="021-4301080"/>
    <s v="B194"/>
    <s v="B177"/>
    <s v="C182"/>
    <s v="D279"/>
    <m/>
    <s v="F56"/>
    <s v="G125"/>
    <m/>
    <m/>
    <s v="1.Sewa lahan Rp261.375/meter/tahun_x000a_ 2.Biaya administrasi 1,5% dari biaya sewa lahan_x000a_ 3.Biaya Supervisi Rp10.000.000_x000a_ 4.Jaminan Pekerjaan Rp15.000.000,-"/>
  </r>
  <r>
    <n v="1371"/>
    <s v="Pelabuhan Indonesia II  (Persero)/PELINDO II"/>
    <s v="PT TARUNA_x000a_  BINA SARANA"/>
    <s v="Jl. Raya Pelabuhan No. 1 Ciwandan Cilegon 42166"/>
    <x v="0"/>
    <m/>
    <s v="Pelabuhan Banten Jl. Raya Pelabuhan No. 1 Lahan Pelindo II Cabang Banten Desa Kepuh Kec. Ciwandan Cilegon Banten 42166 (PT Taruna Bina Sarana)"/>
    <s v="Sewa Tahunan"/>
    <s v="Colocation"/>
    <s v="ICON-00/SOP/1412/0039"/>
    <m/>
    <m/>
    <m/>
    <m/>
    <m/>
    <n v="48000000"/>
    <m/>
    <m/>
    <n v="42773425"/>
    <m/>
    <d v="2024-01-01T00:00:00"/>
    <d v="2024-12-31T00:00:00"/>
    <x v="0"/>
    <s v="SPP"/>
    <d v="2025-12-24T00:00:00"/>
    <n v="-358"/>
    <n v="12"/>
    <n v="2024"/>
    <s v="TS.140/17/II/I/C.Btn.15 | 01274/SPR/008/PUSAT/ICON+/2016 | &quot;216/SPP/SBU/ICON+/2023 | 4500021612_x000a_ HK.56/27/1/1/C.Btn-16 06644/SPP/008/PUSAT/ICON+/2017 07766/SPP/008/PUSAT/ICON+/2017 4500010290 | 09697/SPP/008/PUSAT/ICON+/2018 | 4500012197 4500011047|09697/SPP/008/PUSAT/ICON+/2018|4500012197 | 12200/SPP/008/PUSAT/ICON+/2019 | 4500013839+L687 | 14936/SPP/008/PUSAT/ICON+/2020 | 4500016051| 14936/SPP/008/PUSAT/ICON+/2020|4500016051 | 17565/SPP/008/PUSAT/ICON+/2021 | 4500017793"/>
    <s v="2975/SPP/SBU/ICON+/2024"/>
    <n v="4500022713"/>
    <s v="Fajar Paramita"/>
    <s v="Zahara"/>
    <s v="0254-601417"/>
    <s v="-"/>
    <n v="170"/>
    <s v="B270"/>
    <s v="D85"/>
    <s v="E47"/>
    <s v="F56"/>
    <s v="G184"/>
    <s v="H318"/>
    <m/>
    <s v="1. Biaya Sewa Rp85.000/m2 total untuk 80,6 m2 Rp6.851.000,-/tahun_x000a_ 2. Biaya Administrasi Rp200.000,-"/>
  </r>
  <r>
    <n v="1372"/>
    <s v="Pembangkitan Jawa Bali "/>
    <s v="PT. PJB"/>
    <s v="Jl. Ketintang Baru 11 Surabaya 60231"/>
    <x v="0"/>
    <m/>
    <s v="PT Pembangkitan Jawa Bali unit Pembangkitan Muara Karang"/>
    <s v="Sewa Tahunan"/>
    <s v="Colocation"/>
    <s v="990000320480209_x000a_ 990000320504090_x000a_ 990000320459007_x000a_ 990000320458858_x000a_ 990000320473028_x000a_ 990000320515190_x000a_ 990000320415205_x000a_ 990000320523295_x000a_ 990000320415201_x000a_ 1000051535_x000a_ Ga bIsa Di Tellnet_x000a_ 990000320425399_x000a_ 990000320450909_x000a_ 990000320480461_x000a_ 990000020268103_x000a_ 990000320513651_x000a_ 1000005770_x000a_ 1000025793_x000a_ 4000027047_x000a_ 1000058903"/>
    <m/>
    <m/>
    <m/>
    <m/>
    <m/>
    <n v="113400000"/>
    <m/>
    <m/>
    <n v="7324885"/>
    <m/>
    <d v="2020-10-22T00:00:00"/>
    <d v="2021-10-21T00:00:00"/>
    <x v="2"/>
    <m/>
    <d v="2025-12-24T00:00:00"/>
    <n v="-1525"/>
    <n v="10"/>
    <n v="2021"/>
    <s v="6021016/ICON+/2016 | 11822/SPP/008/PUSAT/ICON+/2019 | 4500013506"/>
    <s v="14483/SPP/008/PUSAT/ICON+/2020"/>
    <n v="4500015362"/>
    <s v="Fajar Paramita"/>
    <s v="Farida"/>
    <s v="0857-2923-0935"/>
    <m/>
    <m/>
    <s v="C299"/>
    <s v="D383"/>
    <m/>
    <m/>
    <m/>
    <m/>
    <m/>
    <s v="sewa lahan untuk shelter/server room dengan ukuran 5m x 8 m =_x000a_ 40m2 dengan rincian :_x000a_ 3,3% x (luas Tanah x Nilai Tanah)"/>
  </r>
  <r>
    <n v="1373"/>
    <s v="Perhimpunan Penghuni Menara Batavia"/>
    <s v="Global Digital Niaga _x000a_ Wifiku Indonesia_x000a_ PT. ASURANSI MULTI ARTHA GUNA TBK_x000a_ PT. INDOSAT TBK"/>
    <s v="Menara Batavia Lt. Basement 2 Jl. KH. Mas Mansyur Kav. 126 Jakarta 10220"/>
    <x v="0"/>
    <s v="-"/>
    <s v="Menara Batavia 3rd floor Jl. KH Mas Mansyur Kav. 126 Jakarta (Bank BTPN dan PT Global Digital Niaga)- Bank Mega"/>
    <s v="Sewa Tahunan"/>
    <s v="Colocation"/>
    <s v="ICON-00/SOP/1603/0092_x000a_ ICON-00/ACT/1701/0980_x000a_ ICON-00/ACT/1612/0447_x000a_ ICON-00/SBC/1402/0289_x000a_ ICON-00/SBC/1402/0290_x000a_ ICON-00/SBC/1411/0063_x000a_ ICON-00/SBC/1607/0255_x000a_  ICON-00/SBC/1711/0351_x000a_ ICON-00/SBC/1703/0533"/>
    <m/>
    <m/>
    <m/>
    <m/>
    <m/>
    <n v="58000000"/>
    <m/>
    <m/>
    <n v="5500000"/>
    <m/>
    <d v="2024-01-01T00:00:00"/>
    <d v="2024-12-31T00:00:00"/>
    <x v="0"/>
    <m/>
    <d v="2025-12-24T00:00:00"/>
    <n v="-358"/>
    <n v="12"/>
    <n v="2024"/>
    <s v="3041216/SPR/ICON+/2016 | 08885/SPP/008/PUSAT/ICON+/2018 | 4500011701 | 4500015430 | 4500015688 | 09716/SPP/008/PUSAT/ICON+/2018 | 09716/SPP/008/PUSAT/ICON+/2018 | 4500019942 | 1422 | 4500021415"/>
    <n v="2669"/>
    <n v="4500022312"/>
    <s v="Fajar Paramita"/>
    <s v="Arief N (Building Manager)"/>
    <s v="021-5745060"/>
    <m/>
    <m/>
    <m/>
    <m/>
    <m/>
    <s v="G196"/>
    <s v="G362"/>
    <s v="H83"/>
    <m/>
    <s v="-"/>
  </r>
  <r>
    <n v="1374"/>
    <s v="Perhimpunan Penghuni Menara Kadin"/>
    <s v="Bukit Asam_x000a_ BANK MEGA"/>
    <s v="Menara Kadin Jl. HR Rasuna Said Blok X-5 Kav. 2-3 Kuningan Jakarta Selatan 12950"/>
    <x v="0"/>
    <m/>
    <s v="Menara Kadin Jl. HR Rasuna Said Blok X-5 Kav. 2-3 Kuningan Jakarta Selatan 12950 (Bank Mega)"/>
    <s v="Sewa Tahunan"/>
    <s v="Colocation"/>
    <s v="AL/1904/5372_x000a_ AL/1912/56534_x000a_ PA/ACT/1802/2046"/>
    <m/>
    <m/>
    <m/>
    <m/>
    <m/>
    <n v="143616000"/>
    <m/>
    <m/>
    <n v="26796000"/>
    <m/>
    <d v="2024-04-05T00:00:00"/>
    <d v="2025-04-04T00:00:00"/>
    <x v="0"/>
    <m/>
    <d v="2025-12-24T00:00:00"/>
    <n v="-264"/>
    <n v="4"/>
    <n v="2025"/>
    <s v="4500009382 |04131/AMDV/061/ICON+/2016 4500010345 |06595/SPP/008/PUSAT/ICON+/2017 | 08421/SPP/008/PUSAT/ICON+/2018 | 4500011376 | 450001268110474/SPP/008/PUSAT/ICON+/2019 | 12759/SPP/008/PUSAT/ICON+/2020 | 4500013982| 15591/SPP/008/PUSAT/ICON+/2021| 4500016070 | 18180/SPP/008/PUSAT/ICON+/2022 | 4500017867 I 100/SPP/SBU/ICON+/2023 I 4500020638"/>
    <s v="3368/SPP/SBU/ICON+/2023"/>
    <n v="4500023017"/>
    <s v="Fajar Paramita"/>
    <s v="Fitri"/>
    <s v="021-5274201"/>
    <n v="41"/>
    <s v="B72"/>
    <s v="C74"/>
    <s v="D37"/>
    <s v="E54"/>
    <s v="F133"/>
    <s v="G133"/>
    <s v="H245"/>
    <m/>
    <s v="1. Sewa Penempatan Perangkat (Colocation) Rp23.200.000,- update tahun 2016 turun menjadi Rp19.000.000,-/tahun_x000a_ 2. Biaya Supervisi Rp5.500.000,- update harga tahun 2015 naik menjadi Rp10.000.000,-/instalasi/One time charged update tahun 2016 turun menjadi Rp6.000.000,-_x000a_ 3. Biaya Instalasi baru Rp5.500.000/intalasi/One time charged_x000a_ 4. Jaminan pekerjaan Rp5.000.000,-"/>
  </r>
  <r>
    <n v="1375"/>
    <s v="Perhimpunan Penghuni Menara Karya"/>
    <s v="PT Bukit Asam_x000a_ PT Bank Rakyat Indonesia"/>
    <s v="Jl. H.R. Rasuna Said Blok X-5 Kav.1-2_x000a_Jakarta 12950"/>
    <x v="0"/>
    <m/>
    <s v="Menara Karya lt 17 Jl HR Rasuna Said Kav 1-2 BI X-5 Kuningan Timur Setia Budi Jakarta"/>
    <s v="Sewa Tahunan"/>
    <s v="Colocation"/>
    <s v="ICON-00/SBC/1605/0242_x000a_ ICON-00/ACT/1703/0662"/>
    <m/>
    <m/>
    <m/>
    <m/>
    <m/>
    <n v="73958184"/>
    <m/>
    <m/>
    <n v="13750000"/>
    <m/>
    <d v="2022-01-01T00:00:00"/>
    <d v="2022-03-31T00:00:00"/>
    <x v="0"/>
    <m/>
    <d v="2025-12-24T00:00:00"/>
    <n v="-1364"/>
    <n v="3"/>
    <n v="2022"/>
    <s v="dokumen pengadaan Bukit Asam : 4500009396 | 07681/SPP/008/PUSAT/ICON+/2017 | 4500011100_x000a_ 050303/MI/004/PUSAT/ICON+/2016_x000a_ Ref.PP/220/01/LA/PKS-01/IV-2016/ICON+ | Dokumen perpanjangan Bukit asam dan BRI Setelah digabung : 07681/SPP/008/PUSAT/ICON+/2017 4500011100 | 09735/SPP/008/PUSAT/ICON+/2018 | 4500012234 | 12187/SPP/008/PUSAT/ICON+/2019 | 4500013876|14848/SPP/008/PUSAT/ICON+/2020| 4500015689"/>
    <s v="17499/SPP/008/PUSAT/ICON+/2021"/>
    <n v="4500017515"/>
    <s v="Fajar Paramita"/>
    <s v="Debby"/>
    <s v="021-5794 4488"/>
    <s v="-"/>
    <s v="153 (2018)"/>
    <s v="B289 (2019)"/>
    <s v="D123"/>
    <s v="E75"/>
    <s v="F59"/>
    <m/>
    <m/>
    <m/>
    <s v="Biaya sewa sebesar 50.000.000/Tahun"/>
  </r>
  <r>
    <n v="1376"/>
    <s v="Persatuan Penghuni _x000a_ Perkantoran Plaza"/>
    <s v="PT ORBIT TERMINAL MERAK"/>
    <s v="Gedung Plaza Asia Jl.Jend Sudirman kav 59 Jakarta 12190"/>
    <x v="0"/>
    <m/>
    <s v="Plaza Asia, lt.20, jl. Jendral Sudirman Kav.59, Senayan, kebayoran Baru.Jakarta Selatan 12190"/>
    <s v="Sewa Tahunan"/>
    <s v="Colocation"/>
    <s v="ICON-00/ACT/1710/0051"/>
    <m/>
    <m/>
    <m/>
    <m/>
    <m/>
    <n v="63818184"/>
    <m/>
    <m/>
    <n v="16666668"/>
    <m/>
    <d v="2021-12-04T00:00:00"/>
    <d v="2022-12-03T00:00:00"/>
    <x v="0"/>
    <m/>
    <d v="2025-12-24T00:00:00"/>
    <n v="-1117"/>
    <n v="12"/>
    <n v="2022"/>
    <s v="07928/SPP/008/PUSAT/ICON+/2018 4500011125 | 09741/SPP/008/PUSAT/ICON+/2018 | 4500012232 | 15663/SPP/008/PUSAT/ICON+/2021 | 14849/SPP/008/PUSAT/ICON+/2020"/>
    <s v="17306/SPP/008/PUSAT/ICON+/2021"/>
    <n v="4500017849"/>
    <s v="Fajar Paramita"/>
    <s v="Gita"/>
    <m/>
    <m/>
    <m/>
    <m/>
    <m/>
    <s v="E45"/>
    <s v="F208"/>
    <m/>
    <m/>
    <m/>
    <s v="1.Biaya sewa di Plaza Asia 15.000.000 2.PKB 13.300.622"/>
  </r>
  <r>
    <n v="1377"/>
    <s v="Perwita Margasakti "/>
    <s v="PT Trans Retail Indonesia"/>
    <s v="Jl. Prof. Dr. Satrio Jakarta 12940 Indonesia"/>
    <x v="0"/>
    <m/>
    <s v="ITC Kuningan Jl. Prof. Dr. Satrio Jakarta 12940 Indonesia (Basement 1 PT Trans Retail Indonesia/Carrefour)"/>
    <s v="Sewa Tahunan"/>
    <s v="Colocation"/>
    <s v="ICON-00/SOP/1404/0002"/>
    <m/>
    <m/>
    <m/>
    <m/>
    <m/>
    <n v="60000000"/>
    <m/>
    <m/>
    <n v="43800000"/>
    <m/>
    <d v="2022-10-21T00:00:00"/>
    <d v="2023-10-20T00:00:00"/>
    <x v="2"/>
    <m/>
    <d v="2025-12-24T00:00:00"/>
    <n v="-796"/>
    <n v="10"/>
    <n v="2023"/>
    <s v="4500009874 | 07339/SPP/008/PUSAT/ICON+/2017 | 4500010735 | 09004/SPP/008/PUSAT/ICON+/2018 | 4500011745 | 11534/SPP/008/PUSAT/ICON+/2019 |  4500013217 | 14171/SPP/008/PUSAT/ICON+/2020 | 4500015143"/>
    <s v="19779/SPP/008/PUSAT/ICON+/2022"/>
    <s v="4500019069"/>
    <s v="Fajar Paramita"/>
    <s v="Nova"/>
    <s v="021-5766688 Ext. 134"/>
    <m/>
    <s v="C189"/>
    <s v="C178"/>
    <s v="D283"/>
    <m/>
    <s v="F355"/>
    <m/>
    <m/>
    <m/>
    <m/>
  </r>
  <r>
    <n v="1378"/>
    <s v="Perwita Margasakti "/>
    <s v="PT Bank Sinarmas"/>
    <s v="Jl. Prof. Dr. Satrio Jakarta 12940 Indonesia"/>
    <x v="0"/>
    <m/>
    <s v="Mall Ambasador Jl. Prof. Dr. Satrio Lt. 5 Blok 9C Setiabudi Jakarta Selatan (PT Bank Sinarmas SO No. ICON-00/ACT/1609/0269)"/>
    <s v="Sewa Tahunan"/>
    <s v="Colocation"/>
    <s v="AL/2005/15433_x000a_AL/2203/70048 _x000a_"/>
    <m/>
    <m/>
    <m/>
    <m/>
    <m/>
    <n v="55860000"/>
    <m/>
    <m/>
    <n v="34000000"/>
    <m/>
    <d v="2024-02-13T00:00:00"/>
    <d v="2025-02-12T00:00:00"/>
    <x v="0"/>
    <m/>
    <d v="2025-12-24T00:00:00"/>
    <n v="-315"/>
    <n v="2"/>
    <n v="2025"/>
    <s v="012719/MI/004/PUSAT/ICON+/2017 07840/SPP/008/PUSAT/ICON+/2017 4500011111_x000a_ 2970117/SPR/ICON+/2017_x000a_ 013116/MI/004/PUSAT/ICON+/2017 | 10018/SPP/008/PUSAT/ICON+/2019 | 4500012434_x000a_ 003 / PM - AB/ II / 2017 | 12568/SPP/008/PUSAT/ICON+/2020 | 4500013901| 15225/SPP/008/PUSAT/ICON+/2021| 4500015748 | 17860/SPP/008/PUSAT/ICON+/2022 | 4500017625 | 21209 | 4500020094"/>
    <s v="2523"/>
    <s v="4500022206"/>
    <s v="Fajar Paramita"/>
    <s v="Rosida"/>
    <s v="021-5766688 Ext. 134"/>
    <n v="89"/>
    <s v="B189"/>
    <s v="C18"/>
    <s v="D36"/>
    <s v="E212"/>
    <s v="F57"/>
    <s v="G61"/>
    <s v="H105"/>
    <m/>
    <m/>
  </r>
  <r>
    <n v="1379"/>
    <s v="Phinisindo Zamrud Nusantara "/>
    <s v="BANK MEGA"/>
    <s v="Jl. Margonda Raya No. 56 Pancoran Mas Depok 16431"/>
    <x v="0"/>
    <s v="DC Menara Bank Mega &amp; DRC Bank Mega Bogor"/>
    <s v="ITC Depok Jl. Margonda Raya No. 56 Depok 16431"/>
    <s v="Sewa Tahunan"/>
    <s v="Colocation"/>
    <s v="ICON-00/ACT/1706/0466"/>
    <m/>
    <m/>
    <m/>
    <m/>
    <m/>
    <n v="34800000"/>
    <m/>
    <m/>
    <n v="1900000"/>
    <m/>
    <d v="2024-01-08T00:00:00"/>
    <d v="2025-01-07T00:00:00"/>
    <x v="0"/>
    <m/>
    <d v="2025-12-24T00:00:00"/>
    <n v="-351"/>
    <n v="1"/>
    <n v="2025"/>
    <s v="07672/SPP/008/PUSAT/ICON+/2017 | 4500010975 | 09467/SPP/008/PUSAT/ICON+/2018 | 4500012015 | 12455/SPP/008/PUSAT/ICON+/2019 | 4500013766 | 15091/SPP/008/PUSAT/ICON+/2021 | 4500015663 | 4500017487 | 20991 | 4500019867"/>
    <n v="2466"/>
    <n v="4500022236"/>
    <s v="Fajar Paramita"/>
    <s v="Tyaz Dewi"/>
    <s v="021-7775333"/>
    <s v="-"/>
    <n v="140"/>
    <s v="B276"/>
    <s v="D21"/>
    <s v="E124"/>
    <s v="F21"/>
    <s v="G34"/>
    <s v="H61"/>
    <m/>
    <s v="deposite sewa sebesar 1.000.000"/>
  </r>
  <r>
    <n v="1380"/>
    <s v="Phinisindo Zamrud Nusantara "/>
    <s v="PT Trans Retail Indonesia"/>
    <s v="Jl. Margonda Raya No. 56 Pancoran Mas Depok 16431"/>
    <x v="0"/>
    <m/>
    <s v="ITC Depok Jl. Margonda Raya No. 56 Pancoran Mas Depok 16431 (dr ruko ke PT Trans Retail Indonesia/Carrefour))"/>
    <s v="Sewa Tahunan"/>
    <s v="Colocation"/>
    <s v="ICON-00/SOP/1404/0010"/>
    <m/>
    <m/>
    <m/>
    <m/>
    <m/>
    <n v="60000000"/>
    <m/>
    <m/>
    <n v="15300000"/>
    <m/>
    <d v="2022-09-12T00:00:00"/>
    <d v="2023-09-11T00:00:00"/>
    <x v="2"/>
    <m/>
    <d v="2025-12-24T00:00:00"/>
    <n v="-835"/>
    <n v="9"/>
    <n v="2023"/>
    <s v="4500009673 |Addendum Pertama No. 010-A/PKS/PZN-ICON/ITC-Depok/IX/2016 | 07229/SPP/008/PUSAT/ICON+/2017 |4500010670 | 08661/SPP/008/PUSAT/ICON+/2018 | 4500011540 |11337/SPP/008/PUSAT/ICON+/2019 | 4500013193 | 14001/SPP/008/PUSAT/ICON+/2020 | 4500014892| 16291/SPP/008/PUSAT/ICON+/2021 | 4500016497"/>
    <s v="19776/SPP/008/PUSAT/ICON+/2022"/>
    <n v="4500019049"/>
    <s v="Fajar Paramita"/>
    <s v="Tyaz Dewi"/>
    <s v="021-7775333"/>
    <n v="82"/>
    <s v="B100"/>
    <s v="C184"/>
    <s v="D182"/>
    <s v="E196"/>
    <s v="F356"/>
    <m/>
    <m/>
    <m/>
    <s v="1. Sewa Shaft Kabel Rp62.000/mtr_x000a_ 2. Jaminan Sewa Rp2.000.000_x000a_ 3. Jaminan Renovasi Rp1.500.000,-_x000a_ 4. Biaya Supervisi 3 hari Rp547.500"/>
  </r>
  <r>
    <n v="1381"/>
    <s v="Phinisindo Zamrud Nusantara "/>
    <s v="PT. OTO Multiartha"/>
    <s v="Jl. Margonda Raya No. 56 Pancoran Mas Depok 16431"/>
    <x v="0"/>
    <m/>
    <s v="(OTO Depok) Ruko ITC Depok No. 40 &amp; 41, Jl. Margonda Raya"/>
    <s v="Sewa Tahunan"/>
    <s v="Colocation"/>
    <s v="PA/ACT/2304/1755/TER"/>
    <m/>
    <m/>
    <m/>
    <m/>
    <m/>
    <n v="33000000"/>
    <m/>
    <m/>
    <n v="22680000"/>
    <m/>
    <d v="2024-09-01T00:00:00"/>
    <d v="2025-08-31T00:00:00"/>
    <x v="0"/>
    <m/>
    <d v="2025-12-24T00:00:00"/>
    <n v="-115"/>
    <n v="8"/>
    <n v="2025"/>
    <s v="936/SPP/SBU/ICON+/2023 | 4500021037"/>
    <s v="4293/SPP/SBU/PLNICONPLUS/2024"/>
    <n v="4500023588"/>
    <s v="Livia Indraswati"/>
    <s v="Puji"/>
    <s v="+62 878-8300-0201"/>
    <m/>
    <m/>
    <m/>
    <m/>
    <m/>
    <m/>
    <s v="G156"/>
    <s v="H378"/>
    <m/>
    <s v="1.Biaya Sewa @ 1 tahun  Rp.22.680.000"/>
  </r>
  <r>
    <n v="1382"/>
    <s v="Phinisindo Zamrud Nusantara "/>
    <s v="PT. SMART MULTI FINANCE"/>
    <s v="Jl. Margonda Raya No. 56 Pancoran Mas Depok 16431"/>
    <x v="0"/>
    <m/>
    <s v="PERTOKOAN ITC DEPOK NO. 48 JL. MARGONDA RAYA NO. 56 DESA DEPOK KEC. PANCORAN MAS KAB. DEPOK JAWA BARAT."/>
    <s v="Sewa Tahunan"/>
    <s v="Colocation"/>
    <s v="R111401000262_x000a_A821401000624_x000a_A821401000625_x000a_A821401000625_x000a_A821401000625"/>
    <m/>
    <m/>
    <m/>
    <m/>
    <m/>
    <n v="51000000"/>
    <m/>
    <m/>
    <n v="9000000"/>
    <m/>
    <d v="2023-11-20T00:00:00"/>
    <d v="2024-11-19T00:00:00"/>
    <x v="0"/>
    <m/>
    <d v="2025-12-24T00:00:00"/>
    <n v="-400"/>
    <n v="11"/>
    <n v="2024"/>
    <s v="baru"/>
    <s v="1938/SPP/SBU/ICON+/2023"/>
    <n v="4500021656"/>
    <s v="Fajar Paramita"/>
    <s v="Tyaz Dewi"/>
    <s v="021-7775333"/>
    <m/>
    <m/>
    <m/>
    <m/>
    <m/>
    <m/>
    <s v="G301"/>
    <m/>
    <m/>
    <s v="1.Sewa Lahan Sebesar Rp.9.000.000"/>
  </r>
  <r>
    <n v="1383"/>
    <s v="Plaza Adika Lestari "/>
    <s v="Bank Mega"/>
    <s v="Gedung Graha Atrium Lt.2 Jl. Senen Raya No. 35 Jakarta Pusat 10410"/>
    <x v="0"/>
    <m/>
    <s v="Lahan Segitiga Senen/Plaza Atrium/Ruko Atrium Jakarta Pusat Unit 0010-AT (Bank Mega Kompl. Pertokoan Segitiga Senen Blok C.8 Jl. Senen Raya No.135 Jakarta 10140)"/>
    <s v="Sewa Tahunan"/>
    <s v="Colocation"/>
    <s v="ICON-00/ACT/1310/0150"/>
    <m/>
    <m/>
    <m/>
    <m/>
    <m/>
    <n v="32400000"/>
    <m/>
    <m/>
    <n v="21450000"/>
    <m/>
    <d v="2022-11-25T00:00:00"/>
    <d v="2023-11-24T00:00:00"/>
    <x v="0"/>
    <m/>
    <d v="2025-12-24T00:00:00"/>
    <n v="-761"/>
    <n v="11"/>
    <n v="2023"/>
    <s v="4500009709_x000a_ 092731/MI/004/PUSAT/ICON+/2016_x000a_ 0336/PAL/RK-PSM/IX/2016 07269/SPP/008/PUSAT/ICON+/2017 4500010694 | 08669/SPP/008/PUSAT/ICON+/2018 | 4500011543 | 11641/SPP/008/PUSAT/ICON+/2019 | 4500013291| 16791/SPP/008/PUSAT/ICON+/2021 | 4500017280"/>
    <s v="16791/SPP/008/PUSAT/ICON+/2021"/>
    <n v="4500018970"/>
    <s v="Fajar Paramita"/>
    <s v="Retta"/>
    <s v="3853985 ext.554"/>
    <n v="79"/>
    <s v="B85"/>
    <s v="C197"/>
    <m/>
    <s v="E414"/>
    <s v="F344"/>
    <m/>
    <m/>
    <m/>
    <s v="1. Sewa Pemasangan Jaringan Telekomunikasi - Kabel Fiber Optik Bank Mega Rp12.250.000/Tarikan Kabel/Tahun (update harga terbaru untuk tahun 2016 Rp15.600.000/tarikan kabel/ Tahun)_x000a_ 2.Biaya Supervisi Rp150.000/One Time Charged jika diluar jam kerja Rp300.000_x000a_ 3. Jaminan sewa senilai 3 bulan masa sewa_x000a_ 4. Jaminan Kerja Rp2.000.000,-"/>
  </r>
  <r>
    <n v="1384"/>
    <s v="Plaza Adika Lestari "/>
    <s v="PT Bank Central Asia"/>
    <s v="Gedung Graha Atrium Lt.2 Jl. Senen Raya No. 35 Jakarta Pusat 10410"/>
    <x v="0"/>
    <m/>
    <s v="Lahan Segitiga Senen/Plaza Atrium/Ruko Atrium Jakarta Pusat-Area Luar Plaza Atrium Lt. Basement 1 Komplek Ruko Atrium Blok A dan C Menuju Ruko Atrium Blok E No. 12-13 Unit 0008-AT (Kantor BCA)"/>
    <s v="Sewa Tahunan"/>
    <s v="Colocation"/>
    <s v="ICON-00/SBC/1801/0213"/>
    <m/>
    <m/>
    <m/>
    <m/>
    <m/>
    <n v="60610000"/>
    <m/>
    <m/>
    <n v="25000000"/>
    <m/>
    <d v="2023-03-25T00:00:00"/>
    <d v="2024-03-24T00:00:00"/>
    <x v="2"/>
    <m/>
    <d v="2025-12-24T00:00:00"/>
    <n v="-640"/>
    <n v="3"/>
    <n v="2024"/>
    <s v="4500009360_x000a_ 0635/PAL/PA-PSM/XI/15 | 06775/SPP/008/PUSAT/ICON+/2017_x000a_ 051920/MI/004/PUSAT/ICON+/2016 | 4500010412 | 09900/SPP/008/PUSAT/ICON+/2018 | 4500012326| 15160/SPP/008/PUSAT/ICON+/2021| 4500015760 | 18234/SPP/008/PUSAT/ICON+/2022 | 4500017899"/>
    <s v="21055/SPP/008/PUSAT/ICON+/2023"/>
    <n v="4500019961"/>
    <s v="Fajar Paramita"/>
    <s v="Retta"/>
    <s v="021-3853985 ext.554"/>
    <n v="40"/>
    <n v="159"/>
    <s v="B252"/>
    <m/>
    <s v="E215"/>
    <s v="F241"/>
    <s v="G48"/>
    <m/>
    <m/>
    <s v="1.Sewa Pemasangan Jaringan Telekomunikasi - Kabel Fiber Optik Bank Central Asia Rp13.000.000/Tarikan Kabel/Tahun_x000a_ 2. Biaya Supervisi Rp150.000/One Time Charged jika diluar jam kerja Rp300.000,-_x000a_ 3. Jaminan Sewa senilai 3 bulan masa sewa update tahun 2014 selain ada jaminan sewa terdapat pula jaminan kerja Rp2.000.000,-"/>
  </r>
  <r>
    <n v="1385"/>
    <s v="Plaza Adika Lestari "/>
    <s v="PT. APLIKANUSA LINTASARTA qq PT Anugerah Pharmindo Lestari"/>
    <s v="Gedung Graha Atrium Lt.2 Jl. Senen Raya No. 35 Jakarta Pusat 10410"/>
    <x v="0"/>
    <m/>
    <s v="PT Anugerah Pharmindo Lestari, Tower 10th Floor Cowell Tower, Jl. Senen Raya No.135, Senen, -, Jakarta Pusat, DKI Jakarta, Indonesia, 10410"/>
    <s v="Sewa Tahunan"/>
    <s v="Colocation"/>
    <s v="PA/ACT/2109/2089/TER"/>
    <m/>
    <m/>
    <m/>
    <m/>
    <m/>
    <n v="73920000"/>
    <m/>
    <m/>
    <n v="33000000"/>
    <m/>
    <d v="2021-12-15T00:00:00"/>
    <d v="2024-12-14T00:00:00"/>
    <x v="2"/>
    <m/>
    <d v="2025-12-24T00:00:00"/>
    <n v="-375"/>
    <n v="12"/>
    <n v="2024"/>
    <s v="baru"/>
    <s v="17160/SPP/008/PUSAT/ICON+/2021"/>
    <n v="4500017111"/>
    <s v="Fajar Paramita"/>
    <s v="Erika"/>
    <s v="021-3853985 ext.554"/>
    <m/>
    <m/>
    <m/>
    <m/>
    <s v="E337"/>
    <m/>
    <m/>
    <m/>
    <m/>
    <s v="1.Sewa Fiber optik tahun pertama dan kedua Rp.10.000.000,- | tahun ketiga Rp.13.000.000.-"/>
  </r>
  <r>
    <n v="1386"/>
    <s v="PLN (Persero) Dist JAYA AP Bandengan"/>
    <s v="01000172327 Metro P2MP PT. Kereta Commuter Indonesia Stasiun Kampung Bandan - Ancol_x000a_01000116273 PEMPROV DKI_x000a_01000131105_ Kereta Api Logistik_x000a_01000142253-Hipernet-Puskemas.Kec.Sawah.Besar_x000a_01000116179_Kelurahan Mangga Besar [01000140192]_x000a_01000051867 Altra Multi Sandang Toko 3 Sakura Jakarta_x000a_01000116285 PEMPROV DKI KEL TANGKI_x000a_01000142273-Hipernet-Puskemas.Kec.Taman.Sari_x000a_01000078389_04000078391_BCA_Mall_Serpong"/>
    <s v="Jl Bandengan Utara No.79"/>
    <x v="1"/>
    <m/>
    <s v="Jl Bandengan Utara Raya No. 79 Kel. Penjaringan Kec. Penjaringan Jakarta Utara."/>
    <s v="Sewa Tahunan"/>
    <s v="Colocation"/>
    <s v="-"/>
    <m/>
    <m/>
    <m/>
    <m/>
    <m/>
    <s v="-"/>
    <m/>
    <m/>
    <n v="75590640"/>
    <m/>
    <d v="2022-03-01T00:00:00"/>
    <d v="2027-02-28T00:00:00"/>
    <x v="1"/>
    <m/>
    <d v="2025-12-24T00:00:00"/>
    <n v="431"/>
    <n v="2"/>
    <n v="2027"/>
    <s v="baru"/>
    <s v="18672/SPP/008/PUSAT/ICON+/2022"/>
    <n v="4500018120"/>
    <s v="Fajar Paramita"/>
    <m/>
    <m/>
    <m/>
    <m/>
    <m/>
    <m/>
    <m/>
    <s v="F167"/>
    <m/>
    <m/>
    <m/>
    <s v="1.Sewa Lahan Rp.75.590.640"/>
  </r>
  <r>
    <n v="1387"/>
    <s v="PLN (Persero) Dist JAYA AP Bulungan"/>
    <s v=" 01000042003_MVP_Kby_Baru _x000a_ 01000044050_PEMPROV.DKI Kec Kebayoran Baru _x000a_ 01000134602 _ESDM PUSDATIN _x000a_ 01000154023_PERTAMINA_BINA.MEDIKA _x000a_ 543100023592-Achmad chaerul _x000a_ 543100024504_ Ir.Denny.Pranoto _x000a_ 01000190604-Cyberindo Aditama _x000a_ Kel.Gunung_01000116511 _x000a_ 01000154031_ Petamina Bina Medika _x000a_ 543104219709 Pandu Perkasa _x000a_ 543105592681-MUHAMMAD JAUHADI _x000a_ 01000015426_Metro_Gemilang_Sarana_Mandiri _x000a_ 01000139805-Kel.Kramat.Pela _x000a_ 04000142386-Rumah DIRUT PLN(backup) _x000a_ 01000154095 IPVPN PT Bank Syariah Indonesia BSI KCP Jakarta _x000a_ 543105224822 - Jiddan Alfriandi _x000a_ 543101199501-RIO OCTOGI SIREGAR _x000a_ 04000176196 Internet Yayasan Baitul Maal PLN Pusat Jl. Gandaria II no 13 _x000a_ 04000183960 IBBC 100Mbps _x000a_ 01000069034_IPVPN_PLNBATAM _x000a_ 01000116503 PemprovDKI KEL Gandaria Selatan _x000a_ 01000125642_BRIS _x000a_ 04000090344_Taman_Sambas _x000a_ 01000116871.PEMPROV.DKI-Kel.Kebayoran Baru _x000a_ 01000151485_Astra.D215 _x000a_ 543103668297 Dadan Supriyatna _x000a_ 543101107713-Fauzi Setyaji _x000a_ 543100811336-Muhammad Arif Budiman _x000a_ 04000030216 _Adi _Sarana Armada _x000a_ 04000131357_Tanah_Kusir_II _x000a_ 543104436771-Zulfikar _x000a_ 01000163149 PT. CYBERINDO ADITAMA Smartfren QQ SGMW Sales Indonesia _x000a_ 01000003481_IPVPN_PRODIA.ARTERI _x000a_ 01000163892_JL.MADRASAH _x000a_ 01000139801_Kel.Kebayoran.Lama.Utara _x000a_ 04000180062 Internet Corporate PT. Koka Indonesia _x000a_ 04000178815 Internet PT Dekoruma Niaga Sejahtera _x000a_ 543105499777-Rizka Mardha _x000a_ 543104568468-Andjar Pramudiya _x000a_ 04000027675_Lotte_Fatmawati _x000a_ 01000140678-Kec Kebayoran Lama _x000a_ 01000049492_Mitra Visioner Pratama _x000a_ 01000051254_BTN_Gandaria _x000a_ 01000050160_Lotte_Fatmawati _x000a_ 01000073048_Jala_Lintas_Gandaria _x000a_ 01000116457_kel.Cilandak _x000a_ 01000140061-Hipernet.Puskesmas.Kec.Kebayoran.Lama _x000a_ 543103817127-Harry.S. _x000a_ 0990000320520108 IPVPN MITRA VISIONER PRATAMA _x000a_ 04000013099_Sumber_Sarana_era_abadi_Jl.Ciputat _x000a_ 01000049903 Metro Kosmetika Tama Super Indah _x000a_ Djoko R Abumanan_535596310546 _x000a_ 543100579030_Bobby rashid _x000a_ 01000117403 Kel Pondok Pinang _x000a_01000114483 BCA_x000a_543104556195-Iwan Tirtha_x000a_04000160720_Internet_Rumah_DIRAGA_x000a_543101730258-Deni Salim_x000a_04000160806 Internet PLN Kantor Pusat Rumah Dinas Direksi PLN BPK Syamsul Huda Link Backup_x000a_04000188757 Internet Corporate PT. PLN (PERSERO) KANTOR PUSAT_x000a_01000163903 Metro P2MP PT.XL AXIATA MUHI.12_x000a_01000163904 Metro P2MP PT.XL AXIATA MUHI.8_x000a_543100336111-Muhammad agil_x000a_543100471441-Wina Aprianti_x000a_543105735968-Toni.Istanto"/>
    <s v="Jl.Sisingamangaraja No. 1"/>
    <x v="1"/>
    <m/>
    <s v="Jl Sisingamangaraja No. 1 Kel. Gunung, Kec. Kebayoran Baru, Jakarta Selatan."/>
    <s v="Sewa Tahunan"/>
    <s v="Colocation"/>
    <s v="-"/>
    <m/>
    <m/>
    <m/>
    <m/>
    <m/>
    <m/>
    <m/>
    <m/>
    <n v="93555000"/>
    <m/>
    <d v="2022-03-01T00:00:00"/>
    <d v="2027-02-28T00:00:00"/>
    <x v="1"/>
    <m/>
    <d v="2025-12-24T00:00:00"/>
    <n v="431"/>
    <n v="2"/>
    <n v="2027"/>
    <s v="baru"/>
    <s v="18674/SPP/008/PUSAT/ICON+/2022"/>
    <n v="4500018121"/>
    <s v="Fajar Paramita"/>
    <m/>
    <m/>
    <m/>
    <m/>
    <m/>
    <m/>
    <m/>
    <s v="F168"/>
    <m/>
    <m/>
    <m/>
    <s v="1.Sewa Lahan Rp.93.555.000"/>
  </r>
  <r>
    <n v="1388"/>
    <s v="Perhimpunan Penghuni Crown Court Executive Condominium"/>
    <s v="PT.HANASTA DAKARA"/>
    <s v="Jl. Pajajaran Lippo Cikarang Bekasi 17550"/>
    <x v="0"/>
    <m/>
    <s v="Apartemen Crown Court Lippo Cikarang"/>
    <s v="Sewa Tahunan"/>
    <s v="Colocation"/>
    <n v="1000029813"/>
    <m/>
    <m/>
    <m/>
    <m/>
    <m/>
    <n v="26400000"/>
    <m/>
    <m/>
    <n v="25080000"/>
    <m/>
    <d v="2023-10-01T00:00:00"/>
    <d v="2024-09-30T00:00:00"/>
    <x v="0"/>
    <m/>
    <d v="2025-12-24T00:00:00"/>
    <n v="-450"/>
    <n v="9"/>
    <n v="2024"/>
    <s v="07371/SPP/008/PUSAT/ICON+/2017 4500010778 | 09082/SPP/008/PUSAT/ICON+/2018 | 4500011792 | 11769/SPP/008/PUSAT/ICON+/2019 | 4500013482 | 14093/SPP/008/PUSAT/ICON+/2020 | 4500015007| 16511/SPP/008/PUSAT/ICON+/2021|4500016708 | 19627/SPP/008/PUSAT/ICON+/2022 | 4500018953"/>
    <s v="1410/SPP/SBU/ICON+/2023"/>
    <n v="4500021457"/>
    <s v="Fajar Paramita"/>
    <m/>
    <m/>
    <n v="122"/>
    <s v="B176"/>
    <s v="C301"/>
    <s v="D196"/>
    <s v="E298"/>
    <s v="F342"/>
    <s v="G350"/>
    <m/>
    <m/>
    <s v="Sewa Penempatan perangkat sebesar Rp.25.080.000"/>
  </r>
  <r>
    <n v="1389"/>
    <s v="Praja Puri Indah Real Estate "/>
    <s v="PT. BANK CENTRAL ASIA, TBK"/>
    <s v="Gedung Pusat Grosir Pasar Pagi Mangga Dua Lt.7 Blok D Jl. Arteri Mangga Dua Raya Jakarta Utara 14430 Indonesia"/>
    <x v="0"/>
    <m/>
    <s v="Bank BCA lantai III blok D 004 dari lantai dasar gedung Pasar Pagi Mangga dua"/>
    <s v="Sewa Tahunan"/>
    <s v="Colocation"/>
    <s v="ICON-00/SBC/1605/0306"/>
    <m/>
    <m/>
    <m/>
    <m/>
    <m/>
    <n v="35636364"/>
    <m/>
    <m/>
    <n v="6363636"/>
    <m/>
    <d v="2022-04-15T00:00:00"/>
    <d v="2023-04-14T00:00:00"/>
    <x v="0"/>
    <m/>
    <d v="2025-12-24T00:00:00"/>
    <n v="-985"/>
    <n v="4"/>
    <n v="2023"/>
    <s v="04279_MI_dan_033013_SPR_Pmbyrn_Sewa_Shaft_di_PT_Praja_Puri_Indah (4) |07870/SPP/008/PUSAT/ICON+/2017 | 4500011129|4500011395|08472/SPP/008/PUSAT/ICON+/2018 | 10109/SPP/008/PUSAT/ICON+/2019 | 4500012435 | 4500014887| 15563/SPP/008/PUSAT/ICON+/2021| 4500017357"/>
    <s v="18315/SPP/008/PUSAT/ICON+/2022        "/>
    <n v="4500017917"/>
    <s v="Fajar Paramita"/>
    <s v="Hardjono Gunawan"/>
    <s v="021-6004840_x000a_ 021-6599450"/>
    <s v="B7"/>
    <s v="B103"/>
    <s v="C26"/>
    <s v="D181"/>
    <s v="E387"/>
    <s v="F140"/>
    <m/>
    <m/>
    <m/>
    <m/>
  </r>
  <r>
    <n v="1390"/>
    <s v="Praja Puri Indah Real Estate "/>
    <s v="PT TELINDO NUSANTARA"/>
    <s v="Gedung Pusat Grosir Pasar Pagi Mangga Dua Lt.7 Blok D Jl. Arteri Mangga Dua Raya Jakarta Utara 14430 Indonesia"/>
    <x v="0"/>
    <m/>
    <s v="Gedung Pusat Grosir Pasar Pagi Mangga Dua (PT Bank Agris di Lt. 2 Blok KA No. 003 dr lt dasar Gedung Pelanggan PT Telindo Nusantara SO No. ICON-00/ACT/1611/0760)"/>
    <s v="Sewa Tahunan"/>
    <s v="Colocation"/>
    <s v="ICON-00/SBC/1710/0976"/>
    <m/>
    <m/>
    <m/>
    <m/>
    <m/>
    <n v="16905000"/>
    <m/>
    <m/>
    <n v="6363636"/>
    <m/>
    <d v="2020-02-25T00:00:00"/>
    <d v="2021-02-24T00:00:00"/>
    <x v="2"/>
    <m/>
    <d v="2025-12-24T00:00:00"/>
    <n v="-1764"/>
    <n v="2"/>
    <n v="2021"/>
    <s v="0470317/SPR/008/PUSAT/ICON+/2017 |345/eks-psm/leg-ppi/II/2017 | 07945/SPP/008/PUSAT/ICON+/2018 | 4500011159 | 10050/SPP/008/PUSAT/ICON+/2019 | 4500012389"/>
    <s v="12702/SPP/008/PUSAT/ICON+/2020"/>
    <n v="4500014898"/>
    <s v="Fajar Paramita"/>
    <s v="Hardjono Gunawan"/>
    <s v="021-6004840_x000a_ 021-6599450"/>
    <s v="-"/>
    <s v="B24"/>
    <s v="C7"/>
    <s v="D269"/>
    <m/>
    <m/>
    <m/>
    <m/>
    <m/>
    <m/>
  </r>
  <r>
    <n v="1391"/>
    <s v="Praja Puri Indah Real Estate "/>
    <s v="PT Bank Multiarta Sentosa"/>
    <s v="Gedung Pusat Grosir Pasar Pagi Mangga Dua Lt.7 Blok D Jl. Arteri Mangga Dua Raya Jakarta Utara 14430 Indonesia"/>
    <x v="0"/>
    <m/>
    <s v="Gedung Pusat Grosir Pasar Pagi Mangga Dua (PT Bank Multiarta Sentosa di Lt. 2 Blok KA No. 004 dr lt dasar Gedung SONo. ICON-00/ACT/1610/0187)"/>
    <s v="Sewa Tahunan"/>
    <s v="Colocation"/>
    <s v="ICON-00/SBC/1711/0434"/>
    <m/>
    <m/>
    <m/>
    <m/>
    <m/>
    <n v="17400000"/>
    <m/>
    <m/>
    <n v="6363636"/>
    <m/>
    <d v="2019-02-14T00:00:00"/>
    <d v="2020-02-12T00:00:00"/>
    <x v="2"/>
    <m/>
    <d v="2025-12-24T00:00:00"/>
    <n v="-2142"/>
    <n v="2"/>
    <n v="2020"/>
    <s v="0910217/SPR/008/PUSAT/ICON+/2017 _x000a_ 345/eks-psm/leg-ppi/II/2017 | 07942/SPP/008/PUSAT/ICON+/2018 | 4500011160"/>
    <s v="10036/SPP/008/PUSAT/ICON+/2019"/>
    <n v="4500012380"/>
    <s v="Fajar Paramita"/>
    <s v="Hardjono Gunawan"/>
    <s v="021-6004840_x000a_ 021-6599450"/>
    <s v="-"/>
    <s v="B25"/>
    <s v="B286"/>
    <m/>
    <m/>
    <m/>
    <m/>
    <m/>
    <m/>
    <m/>
  </r>
  <r>
    <n v="1392"/>
    <s v="Praja Puri Indah Real Estate "/>
    <s v="PT Bank Mandiri Tbk"/>
    <s v="Gedung Pusat Grosir Pasar Pagi Mangga Dua Lt.7 Blok D Jl. Arteri Mangga Dua Raya Jakarta Utara 14430 Indonesia"/>
    <x v="0"/>
    <m/>
    <s v="Pasar Pagi Mangga Dua, Gedung Pusat Perdagangan Grosir Mangga Dua Blok Ka No.12A-14Jl. Mangga Dua Raya, RT.11/RW.5, Kota Tua, Jakarta Utara, DKI Jakarta,"/>
    <s v="Sewa Tahunan"/>
    <s v="Colocation"/>
    <s v="PA/UPG/1907/0071"/>
    <m/>
    <m/>
    <m/>
    <m/>
    <m/>
    <n v="23760000"/>
    <m/>
    <m/>
    <n v="6363636"/>
    <m/>
    <d v="2021-10-20T00:00:00"/>
    <d v="2022-10-19T00:00:00"/>
    <x v="0"/>
    <m/>
    <d v="2025-12-24T00:00:00"/>
    <n v="-1162"/>
    <n v="10"/>
    <n v="2022"/>
    <s v="09457/SPP/008/PUSAT/ICON+/2018 | 4500012016 | 11863/SPP/008/PUSAT/ICON+/2019| 4500013484 | 14052/SPP/008/PUSAT/ICON+/2020 | 4500014924"/>
    <m/>
    <n v="4500017359"/>
    <s v="Fajar Paramita"/>
    <s v="Hardjono Gunawan"/>
    <s v="021-6004840_x000a_ 021-6599450"/>
    <m/>
    <m/>
    <s v="C219"/>
    <s v="D188"/>
    <s v="E402"/>
    <m/>
    <m/>
    <m/>
    <m/>
    <s v="1.Biaya PKB Rp.7.759.434,- 2.Biaya Sewa Tahunan Rp.6.363.636,-"/>
  </r>
  <r>
    <n v="1393"/>
    <s v="Prima Wira Utama "/>
    <s v="PT LINK NET"/>
    <s v="BeritaSatu Plaza Lt Sub Ground Jl. Jend. Gatot Subroto Kav 35-36_x000a_Jakarta 12950 atau_x000a_Lippo Cyber Park_x000a_Jl. Boulevard Gajah Mada No.B2058 Lippo Karawaci – Tangerang 15811"/>
    <x v="0"/>
    <m/>
    <s v="Berita Satu Plaza (Gedung parkir,lantai SG ke lantai 3) (4 lantai)_x000a_  Jl. Jend. Gatot Subroto Kav. 35-36_x000a_  Jakarta 12950"/>
    <s v="Sewa Tahunan"/>
    <s v="Colocation"/>
    <s v="ICON-00/SOP/1310/0022"/>
    <m/>
    <m/>
    <m/>
    <m/>
    <m/>
    <n v="3600000000"/>
    <m/>
    <m/>
    <n v="46250000"/>
    <m/>
    <d v="2020-09-02T00:00:00"/>
    <d v="2021-09-01T00:00:00"/>
    <x v="2"/>
    <m/>
    <d v="2025-12-24T00:00:00"/>
    <n v="-1575"/>
    <n v="9"/>
    <n v="2021"/>
    <s v="4500009742 |07297/SPP/008/PUSAT/ICON+/2017 | 4500010695 | 08930/SPP/008/PUSAT/ICON+/2018 | 4500011699 | 4500013232"/>
    <s v="14142/SPP/008/PUSAT/ICON+/2020"/>
    <s v="4500015116"/>
    <s v="Fajar Paramita"/>
    <s v="Harmon Surya beralih ke _x000a_ Mela Hera beralih ke Tiffany"/>
    <s v="021-5200202_x000a_ 021-557933253"/>
    <n v="80"/>
    <s v="B153"/>
    <s v="C190"/>
    <s v="D332"/>
    <m/>
    <m/>
    <m/>
    <m/>
    <m/>
    <s v="1. Sewa Shaft Kabel untuk Area Parkir Rp500.000/bulan update tahun 2016 Rp20.700.000,-/tahun_x000a_ 2. Sewa Shaft Perlantai Rp250.000/lantai/bulan update tahun 2016 Rp20.700.000,-/tahun_x000a_ 3. Jaminan Pekerjaan Rp5.000.000,-_x000a_ 4. Jaminan Sewa Rp3.000.000"/>
  </r>
  <r>
    <n v="1394"/>
    <s v="Prima Wira Utama "/>
    <s v="PT TRANS RETAIL INDONESIA"/>
    <s v="BeritaSatu Plaza Lt 7 Jl. Jend. Gatot Subroto Kav 35-36 Jakarta 12950"/>
    <x v="0"/>
    <m/>
    <s v="Lahan Indoor Mega Mall Pluit/Pluit Village Mall Jl. Pluit Indah No. 1_x000a_ Pluit Jakarta Utara, 14450 (Trans Retail Indonesia)"/>
    <s v="Sewa Tahunan"/>
    <s v="Colocation"/>
    <s v="ICON-00/SOP/1404/0004"/>
    <m/>
    <m/>
    <m/>
    <m/>
    <m/>
    <n v="54000000"/>
    <m/>
    <m/>
    <n v="40625000"/>
    <m/>
    <d v="2021-09-24T00:00:00"/>
    <d v="2022-09-23T00:00:00"/>
    <x v="2"/>
    <m/>
    <d v="2025-12-24T00:00:00"/>
    <n v="-1188"/>
    <n v="9"/>
    <n v="2022"/>
    <s v="4500009743 |07316/SPP/008/PUSAT/ICON+/2017 | 4500010769 | 09032/SPP/008/PUSAT/ICON+/2018 | 4500011747 | 11385/SPP/008/PUSAT/ICON+/2019 | 4500013233 | 450001512214141/SPP/008/PUSAT/ICON+/2020"/>
    <s v="16195/SPP/008/PUSAT/ICON+/2021"/>
    <s v="4500016473"/>
    <s v="Fajar Paramita"/>
    <s v="Tiffany (Prima Wira Utama PT)"/>
    <s v="021-557933253 (PT Prima Wira Utama)"/>
    <m/>
    <s v="B188"/>
    <s v="C191"/>
    <s v="D337"/>
    <s v="E193"/>
    <m/>
    <m/>
    <m/>
    <m/>
    <s v="1. Sewa Shaft Rp16.675.000,-/tahun dengan PT Prima Wira Utama indoor mall_x000a_ 2. Jaminan Indoor Rp10.000.000,- dengan PPRS CBD Pluit dengan rincian :_x000a_ a. &lt; 100 m2 = Rp2.500.000,-_x000a_ b. 101 - 250 m2 = Rp5.000.000,-_x000a_ c. 251 - 500 m2 = Rp7.500.000,-_x000a_ d. &gt; 501 m2 = Rp15.000/m2 maks Rp50.000.000,-_x000a_ 3.Jaminan Outdoor Rp5.000.000,- dengan PT Multi Nusantara Karya Lahan outdoor mall_x000a_ 4. Ijin OTC Rp2.756.000,- dengan PT Multi Nusantara Karya Lahan outdoor mall"/>
  </r>
  <r>
    <n v="1395"/>
    <s v="Princeton Digital Group Data Centre"/>
    <s v="PT. LIMA MENARA BINTANG qq Detasemen Khusus 88"/>
    <s v="Jl.Prof Satrio Kav 3-5 Jakarta Selatan 12940"/>
    <x v="0"/>
    <m/>
    <s v="DC XL Cibitung, Jl. Sumbawa Blok AB No. 1, Mekarwangi,  Cikarang Barat,  Bekasi,  Jawa Barat,  Indonesia,  17530"/>
    <s v="Sewa Tahunan"/>
    <s v="Cross Connect"/>
    <s v="PA/ACT/2111/1334/TER"/>
    <m/>
    <m/>
    <m/>
    <m/>
    <m/>
    <n v="24000000"/>
    <m/>
    <m/>
    <n v="225000000"/>
    <m/>
    <d v="2022-01-18T00:00:00"/>
    <d v="2025-01-17T00:00:00"/>
    <x v="0"/>
    <m/>
    <d v="2025-12-24T00:00:00"/>
    <n v="-341"/>
    <n v="1"/>
    <n v="2025"/>
    <s v="baru"/>
    <s v="17629/SPP/008/PUSAT/ICON+/2022"/>
    <n v="4500017589"/>
    <s v="Fajar Paramita"/>
    <m/>
    <m/>
    <m/>
    <m/>
    <m/>
    <m/>
    <m/>
    <s v="F25"/>
    <m/>
    <m/>
    <m/>
    <s v="1.Sewa MRC Tahun 1 Rp.42.000.000_x0009__x0009__x000a_2.Sewa MRC Tahun 2 dan  3 Rp. 81.000.000 _x000a__x0009__x000a_3. Cross Connect 2 Unit Tahun ke 1 Rp.21.000.000_x0009_"/>
  </r>
  <r>
    <n v="1396"/>
    <s v=" Akses Prima Indonesia"/>
    <s v="PT Bank Mandiri (Persero) Tbk"/>
    <s v="Menara MTH 11 Th Floor Jl. Letjen M.T haryono Kav 23 Jakarta 12820"/>
    <x v="0"/>
    <m/>
    <s v="13319 Bogor Sentul City, Jl. MH Thamrin Kav. 8 Sentul City Bogor,  Kec. Babakan Madang,  Kabupaten Bogor,  Jawa Barat,  Indonesia,  16810"/>
    <s v="Sewa Bulanan"/>
    <s v="Interkoneksi"/>
    <s v="PA/ACT/2206/16523"/>
    <s v="01000283859"/>
    <n v="0.99"/>
    <s v="IPVPN"/>
    <s v="10 Mbps"/>
    <m/>
    <n v="135818184"/>
    <m/>
    <m/>
    <n v="90000000"/>
    <m/>
    <d v="2023-08-18T00:00:00"/>
    <d v="2024-08-17T00:00:00"/>
    <x v="0"/>
    <m/>
    <d v="2025-12-24T00:00:00"/>
    <n v="-494"/>
    <n v="8"/>
    <n v="2024"/>
    <n v="4500018499"/>
    <s v="937/SPP/SBU/ICON+/2023"/>
    <n v="4500021052"/>
    <s v="Syifa Artianingsih"/>
    <s v="Fauziah"/>
    <s v="0813-6246-8039"/>
    <m/>
    <m/>
    <m/>
    <m/>
    <m/>
    <m/>
    <n v="241"/>
    <m/>
    <m/>
    <s v="Konfirmasi Harga Sewa ke Rekanan Akses Prima"/>
  </r>
  <r>
    <n v="1397"/>
    <s v="Aplikanusa Lintasarta "/>
    <s v="PT. JATELINDO PERKASA ABADI"/>
    <s v="Gedung Menara Thamrin Lt. 19_x000a_Jl. MH Thamrin kav. 3 Jakarta Pusat"/>
    <x v="0"/>
    <m/>
    <s v="LINTASARTA TECHNOPARK DATA CENTER, KOMPLEK PERGUDANGAN TAMAN TEKNO BLOK D NO.8"/>
    <s v="Sewa Tahunan"/>
    <s v="Cross Connect"/>
    <s v="R111202000635_x000a_R111202000650"/>
    <m/>
    <m/>
    <m/>
    <m/>
    <m/>
    <n v="216000000"/>
    <m/>
    <m/>
    <n v="24000000"/>
    <m/>
    <d v="2024-09-12T00:00:00"/>
    <d v="2025-09-11T00:00:00"/>
    <x v="0"/>
    <m/>
    <d v="2025-12-24T00:00:00"/>
    <n v="-104"/>
    <n v="9"/>
    <n v="2025"/>
    <m/>
    <s v="3936/SPP/SBU/PLNICONPLUS/2024"/>
    <n v="4500023190"/>
    <s v="Livia Indraswati"/>
    <m/>
    <m/>
    <m/>
    <m/>
    <m/>
    <m/>
    <m/>
    <m/>
    <m/>
    <s v="H271"/>
    <m/>
    <m/>
  </r>
  <r>
    <n v="1398"/>
    <s v="Aplikanusa Lintasarta "/>
    <s v="PT Jala Lintas Media"/>
    <s v="Menara Thamrin Lt. 19 Jl. MH Thamrin Kav. 3 Jakarta Pusat"/>
    <x v="0"/>
    <m/>
    <s v="PT Permodalan Nasional Madani, DC Lintasarta TB Simatupang Jakarta Selatan "/>
    <s v="Sewa Bulanan"/>
    <s v="Interkoneksi"/>
    <s v="AR/DOW/1804/0075"/>
    <n v="990000320523937"/>
    <n v="0.995"/>
    <s v="Metronet"/>
    <s v="100 Mbps"/>
    <m/>
    <n v="189600000"/>
    <m/>
    <m/>
    <n v="9000000"/>
    <m/>
    <d v="2021-07-01T00:00:00"/>
    <d v="2022-06-30T00:00:00"/>
    <x v="2"/>
    <m/>
    <d v="2025-12-24T00:00:00"/>
    <n v="-1273"/>
    <n v="6"/>
    <n v="2022"/>
    <n v="4500014494"/>
    <s v="-"/>
    <n v="4500016424"/>
    <s v="Syifa Artianingsih"/>
    <m/>
    <m/>
    <m/>
    <m/>
    <m/>
    <m/>
    <m/>
    <m/>
    <n v="121"/>
    <m/>
    <m/>
    <s v="DEACTIVASI"/>
  </r>
  <r>
    <n v="1399"/>
    <s v="Aplikanusa Lintasarta "/>
    <s v="PT Indosat"/>
    <s v="Lintasarta Building , Jl.TB Simatupang Kav 10. Jakarta Selatan 12430"/>
    <x v="0"/>
    <s v="Lintasarta Tb Simatupang,- ,- ,- ,Indonesia ,- "/>
    <s v=" Komatsu Jl Raya Cakung Cilincing Jakarta Utara ,- ,- ,- ,Indonesia "/>
    <s v="Sewa Bulanan"/>
    <s v="Interkoneksi"/>
    <s v="ICON-00/SBC/1707/0137 "/>
    <s v="0990000320511772"/>
    <n v="0.995"/>
    <s v="Metronet"/>
    <s v="4 Mbps"/>
    <m/>
    <n v="285600000"/>
    <m/>
    <m/>
    <n v="78000000"/>
    <m/>
    <d v="2022-07-01T00:00:00"/>
    <d v="2023-06-30T00:00:00"/>
    <x v="2"/>
    <m/>
    <d v="2025-12-24T00:00:00"/>
    <n v="-908"/>
    <n v="6"/>
    <n v="2023"/>
    <n v="4500016424"/>
    <n v="18842"/>
    <n v="4500018180"/>
    <s v="Syifa Artianingsih"/>
    <m/>
    <m/>
    <m/>
    <m/>
    <m/>
    <m/>
    <m/>
    <m/>
    <n v="179"/>
    <m/>
    <m/>
    <m/>
  </r>
  <r>
    <n v="1400"/>
    <s v="Aplikanusa Lintasarta "/>
    <s v="PT Trakindo Utama"/>
    <s v="Lintasarta Building , Jl.TB Simatupang Kav 10. Jakarta Selatan 12430"/>
    <x v="0"/>
    <s v="-"/>
    <s v="[BSD Java Office] Kavling Komersial Taman Tekno, Blok B no. 1 Sektor XI, BSD City, Tangerang Selatan, Banten, Indonesia, 15317"/>
    <s v="Sewa Bulanan"/>
    <s v="Interkoneksi"/>
    <s v="PA/ACT/2209/2584/TER"/>
    <s v="04000310259"/>
    <n v="0.995"/>
    <s v="Internet Corporate"/>
    <s v="30 Mbps"/>
    <m/>
    <n v="51000000"/>
    <m/>
    <m/>
    <n v="42000000"/>
    <m/>
    <d v="2023-10-10T00:00:00"/>
    <d v="2024-10-09T00:00:00"/>
    <x v="0"/>
    <m/>
    <d v="2025-12-24T00:00:00"/>
    <n v="-441"/>
    <n v="10"/>
    <n v="2024"/>
    <s v="4500019013 | 19992/SPP/008/PUSAT/ICON+/2022"/>
    <s v="1903/SPP/SBU/ICON+/2024"/>
    <n v="4500022416"/>
    <s v="Syifa Artianingsih"/>
    <s v="Ilham"/>
    <s v="0823-6997-0039"/>
    <m/>
    <m/>
    <m/>
    <m/>
    <m/>
    <n v="329"/>
    <s v="G424"/>
    <m/>
    <m/>
    <m/>
  </r>
  <r>
    <n v="1401"/>
    <s v="Aplikanusa Lintasarta "/>
    <s v="Kementrerian ESDM"/>
    <s v="Lintasarta Building , Jl.TB Simatupang Kav 10. Jakarta Selatan 12430"/>
    <x v="0"/>
    <s v="'Backhaul ESDM Pusdatin - ICON+ Gandul Jl. Damai No. 100,  -,  Kota Depok,  Jawa Barat,  Indonesia"/>
    <s v="Lintasarta Technopark Data Center - Komplek Pergudangan Taman Tekno Blok D, BSD, Setu,    Kec. Setu Kota Tanggerang Selatan,  -,  Kota Tangerang Selatan, "/>
    <s v="Sewa Bulanan"/>
    <s v="Interkoneksi"/>
    <s v="PA/ACT/2204/0271"/>
    <s v="01000169892"/>
    <n v="0.995"/>
    <s v="Metro QinQ"/>
    <s v="50 Mbps"/>
    <m/>
    <n v="85945944"/>
    <m/>
    <m/>
    <n v="66000020"/>
    <m/>
    <d v="2023-12-13T00:00:00"/>
    <d v="2024-12-12T00:00:00"/>
    <x v="0"/>
    <m/>
    <d v="2025-12-24T00:00:00"/>
    <n v="-377"/>
    <n v="12"/>
    <n v="2024"/>
    <s v="4500019240|20258/SPP/008/PUSAT/ICON+/2022"/>
    <s v="3092/SPP/SBU/PLNICONPLUS/2024"/>
    <n v="4500022570"/>
    <s v="Syifa Artianingsih"/>
    <s v="Ilham"/>
    <s v="0823-6997-0039"/>
    <m/>
    <m/>
    <m/>
    <m/>
    <m/>
    <n v="372"/>
    <n v="134"/>
    <m/>
    <m/>
    <m/>
  </r>
  <r>
    <n v="1402"/>
    <s v="Aplikanusa Lintasarta "/>
    <s v="PT Shenhua Guohua Pembangkit Jawa Bali"/>
    <s v="Lintasarta Building , Jl.TB Simatupang Kav 10. Jakarta Selatan 12430"/>
    <x v="0"/>
    <s v="Proyek PLTU Terate Bojonegara Samping Jababeka, Jl. Bojonegara-Serdang, Bojonegara, Serang, Banten 42454 (Pindah Jalur Tiang Listrik)"/>
    <s v="APL Office Tower Central Park, Lt.39, Unit T1 Jl. Letjen S. Parman, Kav.28 Jakarta Barat"/>
    <s v="Sewa Bulanan"/>
    <s v="Interkoneksi"/>
    <s v="PA/UPG/2010/0056"/>
    <s v="0990000320516390"/>
    <n v="0.995"/>
    <s v="Metronet"/>
    <s v="50 Mbps"/>
    <m/>
    <n v="372000000"/>
    <m/>
    <m/>
    <n v="196560000"/>
    <m/>
    <d v="2022-11-20T00:00:00"/>
    <d v="2023-11-19T00:00:00"/>
    <x v="2"/>
    <m/>
    <d v="2025-12-24T00:00:00"/>
    <n v="-766"/>
    <n v="11"/>
    <n v="2023"/>
    <n v="4500015337"/>
    <n v="20284"/>
    <n v="4500019208"/>
    <s v="Syifa Artianingsih"/>
    <m/>
    <m/>
    <m/>
    <m/>
    <m/>
    <m/>
    <m/>
    <m/>
    <n v="367"/>
    <m/>
    <m/>
    <m/>
  </r>
  <r>
    <n v="1403"/>
    <s v="Aplikanusa Lintasarta "/>
    <s v="Bank Sinarmas"/>
    <s v="Lintasarta Building , Jl.TB Simatupang Kav 10. Jakarta Selatan 12430"/>
    <x v="0"/>
    <s v="PLAZA SINARMAS JL. FACHRUDIN 18 LT.6 JAKARTA PUSAT 10250,  -,  Jakarta Pusat,  DKI Jakarta,  Indonesia, "/>
    <s v="DC BEPS - Lintasarta Pusat Data Stasiun Bumi Indosat Jl. Lurah Kawi Jatiluhur, Purwakarta, Jawa Barat 41152,- ,- ,- ,Indonesia ,- "/>
    <s v="Sewa Bulanan"/>
    <s v="Interkoneksi"/>
    <s v="ICON-99/SBC/1811/0007"/>
    <s v="0990000320395523"/>
    <s v="99,50%"/>
    <s v="Metronet"/>
    <s v="10 Mbps"/>
    <m/>
    <n v="162000000"/>
    <m/>
    <m/>
    <n v="60000000"/>
    <m/>
    <d v="2024-07-01T00:00:00"/>
    <d v="2025-06-30T00:00:00"/>
    <x v="0"/>
    <m/>
    <d v="2025-12-24T00:00:00"/>
    <n v="-177"/>
    <n v="6"/>
    <n v="2025"/>
    <s v="678/SPP/SBU/ICON+/2023 | 4500020866 "/>
    <s v="2906/SPP/SBU/ICON+/2024"/>
    <n v="4500022414"/>
    <s v="Syifa Artianingsih"/>
    <s v="Ilham"/>
    <s v="0823-6997-0039"/>
    <m/>
    <m/>
    <m/>
    <m/>
    <m/>
    <m/>
    <n v="293"/>
    <n v="184"/>
    <m/>
    <m/>
  </r>
  <r>
    <n v="1404"/>
    <s v="Arka Data Primatama "/>
    <s v="Central Sentosa Finance"/>
    <m/>
    <x v="0"/>
    <m/>
    <m/>
    <s v="Sewa Bulanan"/>
    <s v="Interkoneksi"/>
    <m/>
    <m/>
    <m/>
    <s v="Metronet"/>
    <s v="10 Mbps"/>
    <m/>
    <m/>
    <m/>
    <m/>
    <n v="15948387"/>
    <m/>
    <d v="2019-05-23T00:00:00"/>
    <d v="2020-06-30T00:00:00"/>
    <x v="2"/>
    <m/>
    <d v="2025-12-24T00:00:00"/>
    <n v="-2003"/>
    <n v="6"/>
    <n v="2020"/>
    <m/>
    <n v="13137"/>
    <n v="4500012705"/>
    <s v="Syifa Artianingsih"/>
    <m/>
    <m/>
    <m/>
    <m/>
    <m/>
    <m/>
    <m/>
    <m/>
    <m/>
    <m/>
    <m/>
    <s v="Sudah proses perpanjangan dan naik iSPP"/>
  </r>
  <r>
    <n v="1405"/>
    <s v="Arka Data Primatama "/>
    <s v="Central Sentosa Finance"/>
    <m/>
    <x v="0"/>
    <m/>
    <m/>
    <s v="Sewa Bulanan"/>
    <s v="Interkoneksi"/>
    <m/>
    <s v="990000320500640"/>
    <n v="0.99"/>
    <s v="Metronet"/>
    <s v="10 Mbps"/>
    <m/>
    <m/>
    <m/>
    <m/>
    <m/>
    <m/>
    <d v="2020-07-01T00:00:00"/>
    <d v="2021-06-30T00:00:00"/>
    <x v="2"/>
    <m/>
    <d v="2025-12-24T00:00:00"/>
    <n v="-1638"/>
    <n v="6"/>
    <n v="2021"/>
    <s v="DEACTIVASI"/>
    <m/>
    <n v="4500014381"/>
    <s v="Syifa Artianingsih"/>
    <m/>
    <m/>
    <m/>
    <m/>
    <m/>
    <m/>
    <m/>
    <m/>
    <m/>
    <m/>
    <m/>
    <m/>
  </r>
  <r>
    <n v="1406"/>
    <s v="Artha Telekomindo  "/>
    <s v="PT Fermentech Indonesia"/>
    <s v="Jl. Jend.Sudirman 52-53"/>
    <x v="0"/>
    <m/>
    <s v="Jl. Gatot Subroto Menara Global Kav.27 Lt.21 Jakarta Selatan"/>
    <s v="Sewa Bulanan"/>
    <s v="Interkoneksi"/>
    <s v="PA/UPG/1902/0043"/>
    <s v="990000320455734"/>
    <n v="0.995"/>
    <s v="Internet Corporate"/>
    <s v="2 Mbps"/>
    <m/>
    <n v="96000000"/>
    <m/>
    <m/>
    <n v="11709677"/>
    <m/>
    <d v="2023-07-01T00:00:00"/>
    <d v="2023-08-13T00:00:00"/>
    <x v="2"/>
    <m/>
    <d v="2025-12-24T00:00:00"/>
    <n v="-864"/>
    <n v="8"/>
    <n v="2023"/>
    <n v="4500018211"/>
    <n v="341"/>
    <n v="4500020736"/>
    <s v="Syifa Artianingsih"/>
    <m/>
    <m/>
    <m/>
    <m/>
    <m/>
    <m/>
    <m/>
    <m/>
    <n v="154"/>
    <m/>
    <m/>
    <s v="DEACTIVASI"/>
  </r>
  <r>
    <n v="1407"/>
    <s v="Artha Telekomindo  "/>
    <s v="PT Bank Fama International"/>
    <s v="Jl. Jend.Sudirman 52-53"/>
    <x v="0"/>
    <s v="Kantor Pusat - Jalan Asia Afrika 115 Bandung, Indonesia, Sumur Bandung, BANDUNG, Jawa Barat, Indonesia"/>
    <s v="KCP SCBD - Revenue Tower Lt. 6, Lot 13 District 8, Jl. Jend. Sudirman Kav. 52-53, Senayan, Jakarta_x000a_Selatan, DKI Jakarta, Indonesia, 12190"/>
    <s v="Sewa Bulanan"/>
    <s v="Interkoneksi"/>
    <s v="PA/ACT/2209/4092"/>
    <s v="01000312142"/>
    <s v="99,50%"/>
    <s v="IPVPN"/>
    <s v="5 Mbps"/>
    <m/>
    <n v="468000000"/>
    <m/>
    <m/>
    <n v="258000000"/>
    <m/>
    <d v="2023-10-04T00:00:00"/>
    <d v="2024-10-03T00:00:00"/>
    <x v="2"/>
    <m/>
    <d v="2025-12-24T00:00:00"/>
    <n v="-447"/>
    <n v="10"/>
    <n v="2024"/>
    <n v="4500019012"/>
    <n v="1399"/>
    <n v="4500021327"/>
    <s v="Syifa Artianingsih"/>
    <m/>
    <m/>
    <m/>
    <m/>
    <m/>
    <m/>
    <m/>
    <m/>
    <n v="283"/>
    <m/>
    <m/>
    <m/>
  </r>
  <r>
    <n v="1408"/>
    <s v="Arthamas Cipta"/>
    <s v="Bank Negara Indonesia"/>
    <s v="Jl Jend Sudirman No.1, Babakan Tangerang 15118"/>
    <x v="0"/>
    <m/>
    <s v="Ruko Bussiness Park Tangerang City Blok A No.6 RT.005/RW.005 Babakan, Kec Tangerang Kota Tangerang Banten 15118"/>
    <s v="Sewa Bulanan"/>
    <s v="Interkoneksi"/>
    <s v="PA/ACT/2301/0826"/>
    <s v="04000334576"/>
    <n v="0.995"/>
    <s v="Internet Broadband"/>
    <s v="50 Mbps"/>
    <m/>
    <n v="20329428"/>
    <m/>
    <n v="2000000"/>
    <n v="14000000"/>
    <m/>
    <d v="2023-11-01T00:00:00"/>
    <d v="2024-10-31T00:00:00"/>
    <x v="0"/>
    <m/>
    <d v="2025-12-24T00:00:00"/>
    <n v="-419"/>
    <n v="10"/>
    <n v="2024"/>
    <m/>
    <s v="1547/SPP/SBU/ICON+/2023"/>
    <n v="4500021440"/>
    <s v="Syifa Artianingsih"/>
    <m/>
    <m/>
    <m/>
    <m/>
    <m/>
    <m/>
    <m/>
    <m/>
    <n v="290"/>
    <m/>
    <m/>
    <m/>
  </r>
  <r>
    <n v="1409"/>
    <s v="BIT Teknologi Nusantara "/>
    <s v="PT Serasi Autoraya (MMR - Cyber)"/>
    <s v="Komp. Rukan Permata Senayan Blok C1 Jl. Tentara Pelajar Kebayoran Lama, Jakarta Selatan 12210"/>
    <x v="0"/>
    <s v="Backhaul jalan Mitra Sunter Boulevard Blok C2 Kav 9 Sunter Jaya Jakarta Utara"/>
    <s v="Menara Astra lt 12 Jl Jend Sudirman no 5-6 Karet Tengsin Jakarta Pusat"/>
    <s v="Sewa Bulanan"/>
    <s v="Interkoneksi"/>
    <s v="PA/ACT/1907/1761"/>
    <s v="'01000064805"/>
    <n v="0.995"/>
    <s v="Metronet"/>
    <s v="4 Mbps"/>
    <m/>
    <n v="99120000"/>
    <m/>
    <m/>
    <n v="24000000"/>
    <m/>
    <d v="2022-07-29T00:00:00"/>
    <d v="2023-07-28T00:00:00"/>
    <x v="2"/>
    <m/>
    <d v="2025-12-24T00:00:00"/>
    <n v="-880"/>
    <n v="7"/>
    <n v="2023"/>
    <n v="4500016426"/>
    <n v="19189"/>
    <n v="4500018421"/>
    <s v="Syifa Artianingsih"/>
    <m/>
    <m/>
    <m/>
    <m/>
    <m/>
    <m/>
    <m/>
    <m/>
    <n v="225"/>
    <m/>
    <m/>
    <m/>
  </r>
  <r>
    <n v="1410"/>
    <s v="BIT Teknologi Nusantara "/>
    <s v="PT Serasi Autoraya (MMR - Tenant)"/>
    <s v="Komp. Rukan Permata Senayan Blok C1 Jl. Tentara Pelajar Kebayoran Lama, Jakarta Selatan 12210"/>
    <x v="0"/>
    <s v="Backhaul jalan Mitra Sunter Boulevard Blok C2 Kav 9 Sunter Jaya Jakarta Utara"/>
    <s v="Menara Astra lt 12 Jl Jend Sudirman no 5-6 Karet Tengsin Jakarta Pusat"/>
    <s v="Sewa Bulanan"/>
    <s v="Interkoneksi"/>
    <s v="PA/ACT/1907/1761"/>
    <s v="'01000064805"/>
    <n v="0.995"/>
    <s v="Metronet"/>
    <s v="4 Mbps"/>
    <m/>
    <n v="99120000"/>
    <m/>
    <m/>
    <n v="15120000"/>
    <m/>
    <d v="2022-07-29T00:00:00"/>
    <d v="2023-07-28T00:00:00"/>
    <x v="2"/>
    <m/>
    <d v="2025-12-24T00:00:00"/>
    <n v="-880"/>
    <n v="7"/>
    <n v="2023"/>
    <n v="4500013136"/>
    <n v="19186"/>
    <n v="4500018420"/>
    <s v="Syifa Artianingsih"/>
    <m/>
    <m/>
    <m/>
    <m/>
    <m/>
    <m/>
    <m/>
    <m/>
    <n v="226"/>
    <m/>
    <m/>
    <m/>
  </r>
  <r>
    <n v="1411"/>
    <s v="BIT Teknologi Nusantara "/>
    <s v="Astra international Tbk"/>
    <s v="Komp. Rukan Permata Senayan Blok C1 Jl. Tentara Pelajar Kebayoran Lama, Jakarta Selatan 12210"/>
    <x v="0"/>
    <s v="pt. astra international Gd. Amdi A Jl. Gaya motor raya no.8 sunter II (Backhaul), Indonesia"/>
    <s v="T152 - TSO sudirman menara astra, gedung astra tower, lt 01-02, jl. Jend. Sudirman Kav 5-6, sudirman jakarta pusat"/>
    <s v="Sewa Bulanan"/>
    <s v="Interkoneksi"/>
    <s v="PA/UPG/2209/0126"/>
    <s v="'01000045514"/>
    <n v="0.995"/>
    <s v="Metronet"/>
    <s v="3 Mbps"/>
    <m/>
    <n v="57600000"/>
    <m/>
    <m/>
    <n v="11340000"/>
    <m/>
    <d v="2023-10-01T00:00:00"/>
    <d v="2024-09-30T00:00:00"/>
    <x v="0"/>
    <m/>
    <d v="2025-12-24T00:00:00"/>
    <n v="-450"/>
    <n v="9"/>
    <n v="2024"/>
    <s v="4500019005|20018/SPP/008/PUSAT/ICON+/2022"/>
    <s v="1602/SPP/SBU/ICON+/2023"/>
    <n v="4500021536"/>
    <s v="Syifa Artianingsih"/>
    <s v="Fenny"/>
    <s v="0838-7383-8967"/>
    <m/>
    <m/>
    <m/>
    <m/>
    <m/>
    <m/>
    <n v="297"/>
    <m/>
    <m/>
    <s v="Upgrade MMR - Tenant "/>
  </r>
  <r>
    <n v="1412"/>
    <s v="BIT Teknologi Nusantara "/>
    <s v="PT Data Sinergitama Jaya QQ Prima Sarana Jaya"/>
    <s v="Komp. Rukan Permata Senayan Blok C1 Jl. Tentara Pelajar Kebayoran Lama, Jakarta Selatan 12210"/>
    <x v="0"/>
    <s v="APJII - BIT, Jl. Kuningan Barat Raya No.8, RT.1/RW.3, Kuningan Barat, Kec. Mampang Prapatan, Jakarta Selatan"/>
    <s v="PT Prima Sarana Jaya - AD Premier Office Park, Jl. TB Simatupang No.5, RW.7, Ragunan, Kec. Pasar Minggu, Jakarta Selatan"/>
    <s v="Sewa Bulanan"/>
    <s v="Interkoneksi"/>
    <s v="AL/2203/70050 "/>
    <s v="01000104273"/>
    <n v="0.995"/>
    <s v="Metronet"/>
    <s v="25 mbps"/>
    <m/>
    <n v="72000000"/>
    <m/>
    <m/>
    <n v="18000000"/>
    <m/>
    <d v="2023-03-09T00:00:00"/>
    <d v="2024-03-08T00:00:00"/>
    <x v="2"/>
    <m/>
    <d v="2025-12-24T00:00:00"/>
    <n v="-656"/>
    <n v="3"/>
    <n v="2024"/>
    <n v="4500017680"/>
    <n v="21245"/>
    <n v="4500020007"/>
    <s v="Syifa Artianingsih"/>
    <m/>
    <m/>
    <m/>
    <m/>
    <m/>
    <m/>
    <m/>
    <m/>
    <n v="46"/>
    <m/>
    <m/>
    <s v="DEACTIVASI per 15 Februari 2024"/>
  </r>
  <r>
    <n v="1413"/>
    <s v="BIT Teknologi Nusantara "/>
    <s v="PT Astra International Tbk"/>
    <s v="Komp. Rukan Permata Senayan Blok C1 Jl. Tentara Pelajar Kebayoran Lama, Jakarta Selatan 12210"/>
    <x v="0"/>
    <s v="-"/>
    <s v="L002, LSO - Showcase, Menara Astra 1st Floor, Jl.  Jend. Sudirman No.Kav. 5 - 6, RT.10/RW.11, Karet  Tengsin,,Tanah Abang ,Jakarta Pusat ,DKI Jakarta ,Indonesia ,10220"/>
    <s v="Sewa Bulanan"/>
    <s v="Interkoneksi"/>
    <s v="PA/ACT/2202/0907"/>
    <s v="01000191518"/>
    <n v="0.995"/>
    <s v="Metronet"/>
    <s v="5 Mbps"/>
    <m/>
    <n v="359100000"/>
    <m/>
    <m/>
    <n v="47700037"/>
    <m/>
    <d v="2024-03-08T00:00:00"/>
    <d v="2025-03-07T00:00:00"/>
    <x v="0"/>
    <m/>
    <d v="2025-12-24T00:00:00"/>
    <n v="-292"/>
    <n v="3"/>
    <n v="2025"/>
    <n v="4500020084"/>
    <n v="2676"/>
    <n v="4500022731"/>
    <s v="Syifa Artianingsih"/>
    <m/>
    <m/>
    <m/>
    <m/>
    <m/>
    <m/>
    <m/>
    <m/>
    <n v="70"/>
    <n v="140"/>
    <m/>
    <m/>
  </r>
  <r>
    <n v="1414"/>
    <s v="BIT Teknologi Nusantara "/>
    <s v="PT NTT Indonesia qq Bank Mizuho (MMR - Tenant) "/>
    <s v="Jl. MH Thamrin No. 1 Menara BCA Lt 43"/>
    <x v="0"/>
    <s v="NTT Nexcenter jl Kuningan Barat no 8 Jakarta"/>
    <s v="Bank Mizuho Menara Astra Jl Jend Sudirman Gondangdia Menteng Sudirman "/>
    <s v="Sewa Bulanan"/>
    <s v="Interkoneksi"/>
    <s v="PA/RLK/2201/0094"/>
    <s v="01000190070"/>
    <n v="0.995"/>
    <s v="Metronet"/>
    <s v="150 Mbps"/>
    <m/>
    <n v="556800000"/>
    <m/>
    <m/>
    <n v="352800000"/>
    <m/>
    <d v="2023-07-22T00:00:00"/>
    <d v="2024-07-21T00:00:00"/>
    <x v="0"/>
    <m/>
    <d v="2025-12-24T00:00:00"/>
    <n v="-521"/>
    <n v="7"/>
    <n v="2024"/>
    <n v="4500018448"/>
    <n v="805"/>
    <n v="4500021129"/>
    <s v="Syifa Artianingsih"/>
    <m/>
    <m/>
    <m/>
    <m/>
    <m/>
    <m/>
    <m/>
    <m/>
    <n v="255"/>
    <m/>
    <m/>
    <s v="Proses SPP"/>
  </r>
  <r>
    <n v="1415"/>
    <s v="BIT Teknologi Nusantara "/>
    <s v="PT NTT Indonesia qq Bank Mizuho (MMR - Cyber) "/>
    <s v="Jl. MH Thamrin No. 1 Menara BCA Lt 43"/>
    <x v="0"/>
    <s v="NTT Nexcenter jl Kuningan Barat no 8 Jakarta"/>
    <s v="Bank Mizuho Menara Astra Jl Jend Sudirman Gondangdia Menteng Sudirman "/>
    <s v="Sewa Bulanan"/>
    <s v="Interkoneksi"/>
    <s v="PA/RLK/2201/0094"/>
    <s v="01000190070"/>
    <n v="0.995"/>
    <s v="Metronet"/>
    <s v="150 Mbps"/>
    <m/>
    <m/>
    <m/>
    <m/>
    <n v="120000000"/>
    <m/>
    <d v="2023-07-22T00:00:00"/>
    <d v="2024-07-21T00:00:00"/>
    <x v="0"/>
    <m/>
    <d v="2025-12-24T00:00:00"/>
    <n v="-521"/>
    <n v="7"/>
    <n v="2024"/>
    <n v="4500018443"/>
    <n v="803"/>
    <n v="4500021107"/>
    <s v="Syifa Artianingsih"/>
    <m/>
    <m/>
    <m/>
    <m/>
    <m/>
    <m/>
    <m/>
    <m/>
    <n v="256"/>
    <m/>
    <m/>
    <s v="PO Sudah di Perpanjang"/>
  </r>
  <r>
    <n v="1416"/>
    <s v="BIT Teknologi Nusantara "/>
    <s v="PT Tanjungenim Lestari Pulp and Paper (MMR - Tenant)"/>
    <s v="Jl. MH Thamrin No. 1 Menara BCA Lt 43"/>
    <x v="0"/>
    <m/>
    <s v="MENARA ASTRA LT. 20. L. JENDERAL SUDIRMAN NO.KAVLING 5, RW.6, KARET TENGSIN, KECAMATAN TANAH ABANG, KOTA JAKARTA PUSAT, DAERAH KHUSUS"/>
    <s v="Sewa Bulanan"/>
    <s v="Interkoneksi"/>
    <s v=" R211205000011 "/>
    <s v="09000020321805"/>
    <n v="0.995"/>
    <s v="IPVPN"/>
    <s v="15 Mbps"/>
    <m/>
    <n v="372000000"/>
    <m/>
    <m/>
    <n v="103800000"/>
    <m/>
    <d v="2023-08-12T00:00:00"/>
    <d v="2025-08-11T00:00:00"/>
    <x v="0"/>
    <m/>
    <d v="2025-12-24T00:00:00"/>
    <n v="-135"/>
    <n v="8"/>
    <n v="2025"/>
    <s v="Baru"/>
    <s v="813/SPP/SBU/ICON+/2023"/>
    <n v="4500020944"/>
    <s v="Syifa Artianingsih"/>
    <m/>
    <m/>
    <m/>
    <m/>
    <m/>
    <m/>
    <m/>
    <m/>
    <n v="191"/>
    <m/>
    <m/>
    <s v="Biaya OTC Rp 3,000,000"/>
  </r>
  <r>
    <n v="1417"/>
    <s v="BIT Teknologi Nusantara "/>
    <s v="PT Tanjungenim Lestari Pulp and Paper (MMR - Tenant)"/>
    <s v="Jl. MH Thamrin No. 1 Menara BCA Lt 43"/>
    <x v="0"/>
    <m/>
    <s v="MENARA ASTRA LT. 20. L. JENDERAL SUDIRMAN NO.KAVLING 5, RW.6, KARET TENGSIN, KECAMATAN TANAH ABANG, KOTA JAKARTA PUSAT, DAERAH KHUSUS"/>
    <s v="Sewa Bulanan"/>
    <s v="Interkoneksi"/>
    <s v="U211205000043"/>
    <s v="09000020321805"/>
    <n v="0.995"/>
    <s v="IPVPN"/>
    <s v="25 mbps"/>
    <m/>
    <n v="703000000"/>
    <m/>
    <m/>
    <n v="43418375"/>
    <m/>
    <d v="2023-09-25T00:00:00"/>
    <d v="2025-08-11T00:00:00"/>
    <x v="0"/>
    <m/>
    <d v="2025-12-24T00:00:00"/>
    <n v="-135"/>
    <n v="8"/>
    <n v="2025"/>
    <n v="4500020944"/>
    <s v="1554/SPP/SBU/ICON+/2023_x0009_"/>
    <n v="4500021520"/>
    <s v="Syifa Artianingsih"/>
    <m/>
    <m/>
    <m/>
    <m/>
    <m/>
    <m/>
    <m/>
    <m/>
    <n v="298"/>
    <m/>
    <m/>
    <s v="Upgrade MMR - Tenant "/>
  </r>
  <r>
    <n v="1418"/>
    <s v="BIT Teknologi Nusantara "/>
    <s v="PT Tanjungenim Lestari Pulp and Paper (MMR - Cyber)"/>
    <s v="Jl. MH Thamrin No. 1 Menara BCA Lt 43"/>
    <x v="0"/>
    <m/>
    <s v="MENARA ASTRA LT. 20. L. JENDERAL SUDIRMAN NO.KAVLING 5, RW.6, KARET TENGSIN, KECAMATAN TANAH ABANG, KOTA JAKARTA PUSAT, DAERAH KHUSUS"/>
    <s v="Sewa Bulanan"/>
    <s v="Interkoneksi"/>
    <s v=" R211205000011 "/>
    <s v="09000020321805"/>
    <n v="0.995"/>
    <s v="IPVPN"/>
    <s v="25 mbps"/>
    <m/>
    <n v="372000000"/>
    <m/>
    <m/>
    <n v="147000000"/>
    <m/>
    <d v="2023-09-25T00:00:00"/>
    <d v="2025-08-11T00:00:00"/>
    <x v="0"/>
    <m/>
    <d v="2025-12-24T00:00:00"/>
    <n v="-135"/>
    <n v="8"/>
    <n v="2025"/>
    <s v="Baru"/>
    <s v="931/SPP/SBU/ICON+/2023"/>
    <n v="4500021130"/>
    <s v="Syifa Artianingsih"/>
    <m/>
    <m/>
    <m/>
    <m/>
    <m/>
    <m/>
    <m/>
    <m/>
    <n v="299"/>
    <m/>
    <m/>
    <s v="PO Upgrade dengan Harga yang sama"/>
  </r>
  <r>
    <n v="1419"/>
    <s v="BIT Teknologi Nusantara "/>
    <s v="Astra international Tbk"/>
    <s v="Jl. MH Thamrin No. 1 Menara BCA Lt 43"/>
    <x v="0"/>
    <s v="PT. Astra International Gd. Amdi A Jl. Gaya Motor Raya No.8 Sunter II (Backhaul)"/>
    <s v="T152 - TSO Sudirman Menara Astra, Gedung Astra Tower, Lt 01-02, Jln. Jend. Sudirman Kav 5-6, Sudirman, Jakarta Pusat, DKI Jakarta, Indonesia"/>
    <s v="Sewa Bulanan"/>
    <s v="Interkoneksi"/>
    <s v="PA/UPG/2209/0126"/>
    <s v="01000045514"/>
    <n v="0.995"/>
    <s v="Metronet"/>
    <s v="3 Mbps"/>
    <m/>
    <n v="57600000"/>
    <m/>
    <m/>
    <n v="4620000"/>
    <m/>
    <d v="2023-10-10T00:00:00"/>
    <d v="2024-10-09T00:00:00"/>
    <x v="0"/>
    <m/>
    <d v="2025-12-24T00:00:00"/>
    <n v="-441"/>
    <n v="10"/>
    <n v="2024"/>
    <s v="4500018778|19724/SPP/008/PUSAT/ICON+/2022"/>
    <s v="1749/SPP/SBU/ICON+/2023"/>
    <n v="4500021654"/>
    <s v="Syifa Artianingsih"/>
    <s v="Fenny"/>
    <s v="0838-7383-8967"/>
    <m/>
    <m/>
    <m/>
    <m/>
    <m/>
    <m/>
    <n v="370"/>
    <m/>
    <m/>
    <m/>
  </r>
  <r>
    <n v="1420"/>
    <s v="Cablenet Fiber Data "/>
    <s v="PT NTT Indonesia Solutions"/>
    <s v="Jl Simprug Garden 1 Blok W No.11 RT.07/RW.03, Grogol Selatan, Kebayoran Lama, Jakarta Selatan, DKI Jakarta, 12220"/>
    <x v="0"/>
    <s v="Graha Pertamina Persero, Gambir Jakarta Pusat, DKI Jakarta, Indonesia"/>
    <s v="Menara Standard Chartered Jl. Prof. DR. Satrio No.164, RT.3/RW.4, Karet Semanggi, Kecamatan Setiabudi, Kota Jakarta Selatan, Daerah Khusus Ibukota Jakarta"/>
    <s v="Sewa Bulanan"/>
    <s v="Interkoneksi"/>
    <s v="PA/ACT/2109/0828 ; PA/ACT/2203/0725"/>
    <s v="01000164208"/>
    <n v="0.995"/>
    <s v="Metronet"/>
    <s v="10 Gbps"/>
    <m/>
    <n v="870000000"/>
    <m/>
    <m/>
    <n v="240000000"/>
    <m/>
    <d v="2023-10-20T00:00:00"/>
    <d v="2024-01-19T00:00:00"/>
    <x v="2"/>
    <m/>
    <d v="2025-12-24T00:00:00"/>
    <n v="-705"/>
    <n v="1"/>
    <n v="2024"/>
    <n v="4500020865"/>
    <n v="1952"/>
    <n v="4500022126"/>
    <s v="Syifa Artianingsih"/>
    <s v="Cindy"/>
    <s v="0857-2207-8712"/>
    <m/>
    <m/>
    <m/>
    <m/>
    <m/>
    <s v="F152"/>
    <s v="G414"/>
    <m/>
    <m/>
    <s v="DEACTIVASI sesuai masa berakhir PO"/>
  </r>
  <r>
    <n v="1421"/>
    <s v="Cablenet Fiber Data "/>
    <s v="PT Pertamina EP "/>
    <s v="Jl Simprug Garden 1 Blok W No.11 RT.07/RW.03, Grogol Selatan, Kebayoran Lama, Jakarta Selatan, DKI Jakarta, 12220"/>
    <x v="0"/>
    <s v="-"/>
    <s v="Menara Standard Chartered Jl. Prof. DR. Satrio No.26 Setiabudi, Jakarta Selatan, DKI Jakarta, Indonesia"/>
    <s v="Sewa Bulanan"/>
    <s v="Interkoneksi"/>
    <s v="PA/ACT/2207/0177/TER"/>
    <s v="04000297324"/>
    <n v="0.995"/>
    <s v="Internet Corporate"/>
    <s v="500 Mbps"/>
    <m/>
    <n v="384057600"/>
    <m/>
    <m/>
    <n v="210000027"/>
    <m/>
    <d v="2023-08-22T00:00:00"/>
    <d v="2024-08-21T00:00:00"/>
    <x v="0"/>
    <m/>
    <d v="2025-12-24T00:00:00"/>
    <n v="-490"/>
    <n v="8"/>
    <n v="2024"/>
    <n v="4500018763"/>
    <s v="848/SPP/SBU/ICON+/2023"/>
    <n v="4500021171"/>
    <s v="Syifa Artianingsih"/>
    <m/>
    <m/>
    <m/>
    <m/>
    <m/>
    <m/>
    <m/>
    <m/>
    <n v="207"/>
    <m/>
    <m/>
    <s v="Proses SPP"/>
  </r>
  <r>
    <n v="1422"/>
    <s v="Centrin Online Prima "/>
    <s v="PT GH-EMM Indonesia"/>
    <s v="Plaza Central Lt. 22 Jl. Jend Sudirman Kav. 47 - 48"/>
    <x v="0"/>
    <s v="Dusun II Gunung Raja Kel. Rambang Dangku Muara Enim, Sumatera Selatan, Indonesia"/>
    <s v="PT.GH EMM Indonesia, APL Tower 39 floor T1, Jalan Letnan Jendral S. Parman Kav. 28 Jakarta Barat, DKI Jakarta, Indonesia"/>
    <s v="Sewa Bulanan"/>
    <s v="Interkoneksi"/>
    <s v="PA/UPG/2001/0203"/>
    <s v="0990000320336400"/>
    <n v="0.995"/>
    <s v="Metronet"/>
    <s v="50 Mbps"/>
    <m/>
    <n v="420000000"/>
    <m/>
    <m/>
    <n v="150000000"/>
    <m/>
    <d v="2024-06-16T00:00:00"/>
    <d v="2025-06-15T00:00:00"/>
    <x v="0"/>
    <m/>
    <d v="2025-12-24T00:00:00"/>
    <n v="-192"/>
    <n v="6"/>
    <n v="2025"/>
    <n v="4500020613"/>
    <s v="2909/SPP/SBU/ICON+/2024"/>
    <n v="4500022442"/>
    <s v="Syifa Artianingsih"/>
    <s v="Windy"/>
    <s v="0822-7378-3630"/>
    <m/>
    <m/>
    <m/>
    <m/>
    <m/>
    <m/>
    <n v="140"/>
    <n v="130"/>
    <m/>
    <m/>
  </r>
  <r>
    <n v="1423"/>
    <s v="Circlecom Nusantara Indonesia "/>
    <s v="Bank Neo Commerce"/>
    <s v="Indonesia Stock Exchange Building Tower 2, Lt 28 #2804 Jl. Jend Sudirman Kav. 52-53 Jakarta 12190"/>
    <x v="0"/>
    <m/>
    <s v="Gedung Treasury lt 60 Distric 8 SCBD Jl Jendral Sudirman Kav 52-58 Jakarta Selatan"/>
    <s v="Sewa Bulanan"/>
    <s v="Interkoneksi"/>
    <m/>
    <m/>
    <n v="0.98"/>
    <s v="Internet Corporate "/>
    <s v="30 Mbps"/>
    <m/>
    <n v="1018500000"/>
    <m/>
    <m/>
    <n v="545000000"/>
    <m/>
    <d v="2021-04-01T00:00:00"/>
    <d v="2024-03-31T00:00:00"/>
    <x v="2"/>
    <m/>
    <d v="2025-12-24T00:00:00"/>
    <n v="-633"/>
    <n v="3"/>
    <n v="2024"/>
    <m/>
    <m/>
    <n v="4500015965"/>
    <s v="Syifa Artianingsih"/>
    <s v="Rian"/>
    <s v="0822-6190-6240"/>
    <m/>
    <m/>
    <m/>
    <m/>
    <m/>
    <m/>
    <n v="26"/>
    <m/>
    <m/>
    <s v="DEACTIVASI per 29 Februari 2024"/>
  </r>
  <r>
    <n v="1424"/>
    <s v="Circlecom Nusantara Indonesia "/>
    <s v="PT Sumber Segara Primadaya"/>
    <s v="Indonesia Stock Exchange Building Tower 2, Lt 28 #2804 Jl. Jend Sudirman Kav. 52-53 Jakarta 12190"/>
    <x v="0"/>
    <s v=" Jl. Lingkar Timur karang Kandri Kecamatan Kesugihan Cilacap Jawa Tengah (Relokasi Jalur Baru)"/>
    <s v="TREASURY TOWER, Lt. 39 Jln. Jend. Sudirman Kav 52-53 SCBD Jakarta Selatan - 12190,- ,Jakarta Selatan ,DKI Jakarta"/>
    <s v="Sewa Bulanan"/>
    <s v="Interkoneksi"/>
    <s v="PA/UPG/2111/0035"/>
    <s v="01000030570/ 130120200737"/>
    <n v="0.99"/>
    <s v="Metronet"/>
    <s v="15 Mbps"/>
    <m/>
    <n v="297000000"/>
    <m/>
    <m/>
    <n v="180000000"/>
    <m/>
    <d v="2024-01-01T00:00:00"/>
    <d v="2024-12-31T00:00:00"/>
    <x v="0"/>
    <m/>
    <d v="2025-12-24T00:00:00"/>
    <n v="-358"/>
    <n v="12"/>
    <n v="2024"/>
    <n v="4500019148"/>
    <n v="2223"/>
    <n v="4500022108"/>
    <s v="Syifa Artianingsih"/>
    <s v="Rian"/>
    <s v="0822-6190-6240"/>
    <m/>
    <m/>
    <m/>
    <m/>
    <m/>
    <s v="F358"/>
    <s v=" "/>
    <m/>
    <m/>
    <m/>
  </r>
  <r>
    <n v="1425"/>
    <s v="Circlecom Nusantara Indonesia "/>
    <s v="PT Prodia Widyahusada"/>
    <s v="Indonesia Stock Exchange Building Tower 2, Lt 28 #2804 Jl. Jend Sudirman Kav. 52-53 Jakarta 12190"/>
    <x v="0"/>
    <m/>
    <s v="Ruko Gold Cost B No 2-3, Pantai Indah Kapuk, Jakarta Utara, DKI Jakarta, Indonesia"/>
    <s v="Sewa Bulanan"/>
    <s v="Interkoneksi"/>
    <s v="PA/ACT/2201/3558"/>
    <s v="01000187262"/>
    <s v="98%"/>
    <s v="IPVPN "/>
    <s v="4 Mbps"/>
    <m/>
    <n v="4923600000"/>
    <m/>
    <m/>
    <n v="48000000"/>
    <m/>
    <d v="2024-04-21T00:00:00"/>
    <d v="2025-04-20T00:00:00"/>
    <x v="0"/>
    <m/>
    <d v="2025-12-24T00:00:00"/>
    <n v="-248"/>
    <n v="4"/>
    <n v="2025"/>
    <n v="4500020357"/>
    <s v="3089/SPP/SBU/PLNICONPLUS/2024"/>
    <n v="4500022571"/>
    <s v="Syifa Artianingsih"/>
    <s v="Halley"/>
    <s v="0856-9800-999"/>
    <m/>
    <m/>
    <m/>
    <m/>
    <m/>
    <m/>
    <n v="106"/>
    <n v="132"/>
    <m/>
    <m/>
  </r>
  <r>
    <n v="1426"/>
    <s v="Circlecom Nusantara Indonesia "/>
    <s v="Bank Woori Saudara"/>
    <s v="Indonesia Stock Exchange Building Tower 2, Lt 28 #2804 Jl. Jend Sudirman Kav. 52-53 Jakarta 12190"/>
    <x v="0"/>
    <m/>
    <s v="Kantor Pusat Bank Woori Saudara Treasury Tower - District 8 lt 26 - 27 Jl. Jenderal Sudirman Kav. 52 - 53 Kelurahan Senayan, Kebayoran Baru, Jakarta Selatan. DKI Jakarta, 12190"/>
    <s v="Sewa Bulanan"/>
    <s v="Interkoneksi"/>
    <s v="PA/ACT/1809/1782"/>
    <s v="04000028182"/>
    <n v="0.99"/>
    <s v="Internet Corporate"/>
    <s v="20 Mbps"/>
    <m/>
    <n v="156000000"/>
    <m/>
    <m/>
    <n v="168000000"/>
    <m/>
    <d v="2023-07-01T00:00:00"/>
    <d v="2024-06-30T00:00:00"/>
    <x v="0"/>
    <m/>
    <d v="2025-12-24T00:00:00"/>
    <n v="-542"/>
    <n v="6"/>
    <n v="2024"/>
    <s v="19011/SPP/008/PUSAT/ICON+/2022 | 4500018287"/>
    <s v="547/SPP/SBU/ICON+/2023"/>
    <n v="4500020786"/>
    <s v="Syifa Artianingsih"/>
    <s v="Rian"/>
    <s v="0822-6190-6240"/>
    <m/>
    <m/>
    <m/>
    <m/>
    <m/>
    <m/>
    <n v="166"/>
    <m/>
    <m/>
    <m/>
  </r>
  <r>
    <n v="1427"/>
    <s v="Circlecom Nusantara Indonesia "/>
    <s v="Bank Woori Saudara"/>
    <s v="Indonesia Stock Exchange Building Tower 2, Lt 28 #2804 Jl. Jend Sudirman Kav. 52-53 Jakarta 12190"/>
    <x v="0"/>
    <m/>
    <s v="Kantor Pusat Bank Woori Saudara Treasury Tower - District 8 lt 26 - 27 Jl. Jenderal Sudirman Kav. 52 - 53 Kelurahan Senayan, Kebayoran Baru, Jakarta Selatan. DKI Jakarta, 12190"/>
    <s v="Sewa Bulanan"/>
    <s v="Interkoneksi"/>
    <s v="PA/ACT/1809/1782"/>
    <s v="04000028182"/>
    <n v="0.99"/>
    <s v="Internet Corporate"/>
    <s v="20 Mbps"/>
    <m/>
    <n v="156000000"/>
    <m/>
    <m/>
    <n v="168000000"/>
    <m/>
    <d v="2024-07-01T00:00:00"/>
    <d v="2025-06-30T00:00:00"/>
    <x v="0"/>
    <m/>
    <d v="2025-12-24T00:00:00"/>
    <n v="-177"/>
    <n v="6"/>
    <n v="2025"/>
    <s v="547/SPP/SBU/ICON+/2023 | 4500020786"/>
    <s v="_x0009_3565/SPP/SBU/PLNICONPLUS/2024"/>
    <n v="4500022924"/>
    <s v="Syifa Artianingsih"/>
    <s v="Rian"/>
    <s v="0822-6190-6240"/>
    <m/>
    <m/>
    <m/>
    <m/>
    <m/>
    <m/>
    <m/>
    <n v="237"/>
    <m/>
    <m/>
  </r>
  <r>
    <n v="1428"/>
    <s v="Circlecom Nusantara Indonesia "/>
    <s v="PT Bank Central Asia KCP EBony"/>
    <s v="Indonesia Stock Exchange Building Tower 2, Lt 28 #2804 Jl. Jend Sudirman Kav. 52-53 Jakarta 12190"/>
    <x v="0"/>
    <m/>
    <s v="BCA KCP Ebony, Jl Laksamana Yos Sudarso, Ruko Ebony Blok B2 No.30"/>
    <s v="Sewa Bulanan"/>
    <s v="Interkoneksi"/>
    <s v="A821202000562; A82240100319"/>
    <s v="111202018001"/>
    <n v="0.99"/>
    <s v="Metronet"/>
    <s v="6 Mbps"/>
    <m/>
    <n v="91900000"/>
    <m/>
    <m/>
    <n v="47000000"/>
    <m/>
    <d v="2023-10-10T00:00:00"/>
    <d v="2024-10-09T00:00:00"/>
    <x v="0"/>
    <m/>
    <d v="2025-12-24T00:00:00"/>
    <n v="-441"/>
    <n v="10"/>
    <n v="2024"/>
    <m/>
    <n v="1607"/>
    <n v="4500021519"/>
    <s v="Syifa Artianingsih"/>
    <s v="Halley"/>
    <s v="+62 856-9800-999"/>
    <m/>
    <m/>
    <m/>
    <m/>
    <m/>
    <m/>
    <n v="295"/>
    <m/>
    <m/>
    <s v="Biaya OTC Rp 5,000,000"/>
  </r>
  <r>
    <n v="1429"/>
    <s v="Circlecom Nusantara Indonesia "/>
    <s v="PT Bank Central Asia"/>
    <s v="Indonesia Stock Exchange Building Tower 2, Lt 28 #2804 Jl. Jend Sudirman Kav. 52-53 Jakarta 12190"/>
    <x v="0"/>
    <s v="Link Backup Backhaul KCP Menara BCA, Jl. M.H. Thamrin No.1, Menteng, Jakarta Pusat, DKI Jakarta, Indonesia, 10230"/>
    <s v="BCA KCP Golf Island; Jl. Golf Island Boulevard Blok RGIG No.20 Penjaringan Jakarta Utara, DKI Jakarta, Indonesia, 14470"/>
    <s v="Sewa Bulanan"/>
    <s v="Interkoneksi"/>
    <s v="A821202000184"/>
    <s v="111202017280"/>
    <n v="0.99"/>
    <s v="Metronet"/>
    <s v="6 Mbps"/>
    <m/>
    <n v="274800000"/>
    <m/>
    <m/>
    <n v="72000000"/>
    <m/>
    <d v="2023-10-16T00:00:00"/>
    <d v="2024-10-15T00:00:00"/>
    <x v="0"/>
    <m/>
    <d v="2025-12-24T00:00:00"/>
    <n v="-435"/>
    <n v="10"/>
    <n v="2024"/>
    <n v="4500019004"/>
    <n v="1605"/>
    <n v="4500021623"/>
    <s v="Syifa Artianingsih"/>
    <s v="Halley"/>
    <s v="+62 856-9800-999"/>
    <m/>
    <m/>
    <m/>
    <m/>
    <m/>
    <m/>
    <n v="381"/>
    <m/>
    <m/>
    <m/>
  </r>
  <r>
    <n v="1430"/>
    <s v="Cyberindo Aditama "/>
    <s v="PT Evoluzione Tyres"/>
    <s v="Gedung Cyber 2 Tower, Lt 33 Jl. HP Rasuna Said Blok X-5 No. 13 Kuningan Timur Setiabudi Jakarta Selatan 12950"/>
    <x v="0"/>
    <m/>
    <m/>
    <s v="Sewa Bulanan"/>
    <s v="Interkoneksi"/>
    <m/>
    <m/>
    <m/>
    <s v="Metronet"/>
    <s v="2 Mbps"/>
    <m/>
    <m/>
    <m/>
    <m/>
    <n v="10800000"/>
    <m/>
    <d v="2021-01-01T00:00:00"/>
    <d v="2021-12-31T00:00:00"/>
    <x v="2"/>
    <m/>
    <d v="2025-12-24T00:00:00"/>
    <n v="-1454"/>
    <n v="12"/>
    <n v="2021"/>
    <m/>
    <m/>
    <n v="4500015492"/>
    <s v="Syifa Artianingsih"/>
    <m/>
    <m/>
    <m/>
    <m/>
    <m/>
    <m/>
    <m/>
    <m/>
    <n v="367"/>
    <m/>
    <m/>
    <m/>
  </r>
  <r>
    <n v="1431"/>
    <s v="Cyberindo Aditama "/>
    <s v="Kalimantan Sanggar Pustaka"/>
    <s v="Gedung Cyber 2 Tower, Lt 33 Jl. HP Rasuna Said Blok X-5 No. 13 Kuningan Timur Setiabudi Jakarta Selatan 12950"/>
    <x v="0"/>
    <s v="IFC Tower 2 Jl Jend Sudirman No Kav 22-23 RT 10/1 Setiabudi Jakarta Selatan "/>
    <s v="Lyman Wisma William Satya Jl Adi Sucipto Bangka Belitung Laut Pontianak Kalimantan "/>
    <s v="Sewa Bulanan"/>
    <s v="Interkoneksi"/>
    <m/>
    <s v="01000037957"/>
    <m/>
    <s v="Metronet"/>
    <s v="4 Mbps"/>
    <m/>
    <m/>
    <m/>
    <m/>
    <n v="21600000"/>
    <m/>
    <d v="2021-01-01T00:00:00"/>
    <d v="2021-12-31T00:00:00"/>
    <x v="2"/>
    <m/>
    <d v="2025-12-24T00:00:00"/>
    <n v="-1454"/>
    <n v="12"/>
    <n v="2021"/>
    <m/>
    <s v="-"/>
    <n v="4500015617"/>
    <s v="Syifa Artianingsih"/>
    <m/>
    <m/>
    <m/>
    <m/>
    <m/>
    <m/>
    <m/>
    <m/>
    <n v="206"/>
    <m/>
    <m/>
    <s v="-"/>
  </r>
  <r>
    <n v="1432"/>
    <s v="Cyberindo Aditama "/>
    <s v="Olam Indonesia"/>
    <s v="Gedung Cyber 2 Tower, Lt 33 Jl. HP Rasuna Said Blok X-5 No. 13 Kuningan Timur Setiabudi Jakarta Selatan 12950"/>
    <x v="0"/>
    <m/>
    <s v="South Quarter Tower lt 21 RA Kartini No 8 Cilandak Barat Jakarta Selatan"/>
    <s v="Sewa Bulanan"/>
    <s v="Interkoneksi"/>
    <m/>
    <s v="04000128124"/>
    <m/>
    <s v="Internet Corporate "/>
    <s v="100 Mbps"/>
    <m/>
    <m/>
    <m/>
    <m/>
    <n v="1500000"/>
    <m/>
    <d v="2021-06-29T00:00:00"/>
    <d v="2021-06-30T00:00:00"/>
    <x v="2"/>
    <m/>
    <d v="2025-12-24T00:00:00"/>
    <n v="-1638"/>
    <n v="6"/>
    <n v="2021"/>
    <m/>
    <m/>
    <n v="4500016357"/>
    <s v="Syifa Artianingsih"/>
    <m/>
    <m/>
    <m/>
    <m/>
    <m/>
    <m/>
    <m/>
    <m/>
    <n v="105"/>
    <m/>
    <m/>
    <m/>
  </r>
  <r>
    <n v="1433"/>
    <s v=" Cyberindo Aditama"/>
    <s v="PT Pertamina EP"/>
    <s v="Gedung Cyber 2 Tower, Lt 33 Jl. HP Rasuna Said Blok X-5 No. 13 Kuningan Timur Setiabudi Jakarta Selatan 12950"/>
    <x v="0"/>
    <s v="Graha Pertamina (PSDC)- No. 6, RT.6/RW.1, Gambir, Central Jakarta City, Jakarta,  Gambir,  Jakarta Pusat,  DKI Jakarta,"/>
    <s v="Menara Standard Chartered, No, Jl. Prof. DR. Satrio No.26, RT.4/RW.4, Karet Semanggi, Kecamatan Setiabudi, Kota Jakarta Selatan, Daerah Khusus Ibukota Jakarta,  Setiabudi,  Jakarta Selatan,  DKI Jakarta, "/>
    <s v="Sewa Bulanan"/>
    <s v="Interkoneksi"/>
    <s v="PA/ACT/2111/3391"/>
    <s v="01000178894"/>
    <n v="0.995"/>
    <s v="Metronet"/>
    <s v="250 Mbps"/>
    <m/>
    <n v="345088000"/>
    <m/>
    <m/>
    <n v="113000000"/>
    <m/>
    <d v="2022-01-01T00:00:00"/>
    <d v="2022-06-30T00:00:00"/>
    <x v="2"/>
    <m/>
    <d v="2025-12-24T00:00:00"/>
    <n v="-1273"/>
    <n v="6"/>
    <n v="2022"/>
    <m/>
    <n v="17319"/>
    <n v="4500017259"/>
    <s v="Syifa Artianingsih"/>
    <m/>
    <m/>
    <m/>
    <m/>
    <m/>
    <m/>
    <m/>
    <m/>
    <n v="323"/>
    <m/>
    <m/>
    <m/>
  </r>
  <r>
    <n v="1434"/>
    <s v="Cyberindo Aditama "/>
    <s v="Bank BCA Central Park"/>
    <s v="Gedung Cyber 2 Tower, Lt 33 Jl. HP Rasuna Said Blok X-5 No. 13 Kuningan Timur Setiabudi Jakarta Selatan 12950"/>
    <x v="0"/>
    <m/>
    <s v="BCA KCP Central Park, Kawasan Superblok Podomoro City (Central Park) Ruko Garden Shopping Arcade Blok B/08/CB.cc.cd Jl. S Parman"/>
    <s v="Sewa Bulanan"/>
    <s v="Interkoneksi"/>
    <s v="PA/ACT/2204/4125"/>
    <s v="01000203544"/>
    <n v="0.995"/>
    <s v="IPVPN"/>
    <s v="6 Mbps"/>
    <m/>
    <n v="110500000"/>
    <m/>
    <m/>
    <n v="86000000"/>
    <m/>
    <d v="2022-08-12T00:00:00"/>
    <d v="2024-08-11T00:00:00"/>
    <x v="0"/>
    <m/>
    <d v="2025-12-24T00:00:00"/>
    <n v="-500"/>
    <n v="8"/>
    <n v="2024"/>
    <m/>
    <s v="18800/SPP/008/PUSAT/ICON+/2022"/>
    <n v="4500018182"/>
    <s v="Syifa Artianingsih"/>
    <m/>
    <m/>
    <m/>
    <m/>
    <m/>
    <m/>
    <m/>
    <m/>
    <n v="174"/>
    <m/>
    <m/>
    <m/>
  </r>
  <r>
    <n v="1435"/>
    <s v="Cyberindo Aditama "/>
    <s v="PT Mulia Inti Pelangi "/>
    <s v="Gedung Cyber 2 Tower, Lt 33 Jl. HP Rasuna Said Blok X-5 No. 13 Kuningan Timur Setiabudi Jakarta Selatan 12950"/>
    <x v="0"/>
    <s v="(H2H) Plaza Bank Mandiri Jl. Gatot Subroto Kav 36-38 RT 7/RW 1 Senayan Jakarta Selatan DKI Jakarta 12190"/>
    <s v="(H2H) Mall Taman Anggrek Jl Letjen S Parman No 28 RT 9 RW 1, Tomang, Kec. Grogol Petamburan, Kota Jakarta Barat, Daerah Khusus Ibu Kota Jakarta 11440"/>
    <s v="Sewa Bulanan"/>
    <s v="Interkoneksi"/>
    <s v="_x0009_PA/ACT/2001/3225"/>
    <s v="01000100102"/>
    <n v="0.995"/>
    <s v="IPVPN"/>
    <s v="512 Kbps"/>
    <m/>
    <n v="36000000"/>
    <m/>
    <m/>
    <n v="14400000"/>
    <m/>
    <d v="2023-07-01T00:00:00"/>
    <d v="2024-06-30T00:00:00"/>
    <x v="0"/>
    <m/>
    <d v="2025-12-24T00:00:00"/>
    <n v="-542"/>
    <n v="6"/>
    <n v="2024"/>
    <s v="8764/SPP/008/PUSAT/ICON+/2022 | 4500018132"/>
    <s v="_x0009_226/SPP/SBU/ICON+/2023"/>
    <s v="4500020618"/>
    <s v="Syifa Artianingsih"/>
    <m/>
    <m/>
    <m/>
    <m/>
    <m/>
    <m/>
    <m/>
    <m/>
    <n v="141"/>
    <m/>
    <m/>
    <m/>
  </r>
  <r>
    <n v="1436"/>
    <s v="Cyberindo Aditama "/>
    <s v="PT Bank Bukopin Tbk"/>
    <s v="Gedung Cyber 2 Tower, Lt 33 Jl. HP Rasuna Said Blok X-5 No. 13 Kuningan Timur Setiabudi Jakarta Selatan 12950"/>
    <x v="0"/>
    <m/>
    <s v="KCP Sky Line Jl. M.H. Thamrin No.9, RT.2/RW.1, Kb. Sirih,,  Kec. Menteng,  Jakarta Pusat,  DKI Jakarta"/>
    <s v="Sewa Bulanan"/>
    <s v="Interkoneksi"/>
    <s v="PA/RLK/2203/0007"/>
    <s v="01000195154"/>
    <n v="0.995"/>
    <s v="IPVPN"/>
    <s v="2 Mbps"/>
    <m/>
    <n v="86500000"/>
    <m/>
    <m/>
    <n v="27200000"/>
    <m/>
    <d v="2023-06-01T00:00:00"/>
    <d v="2024-05-31T00:00:00"/>
    <x v="2"/>
    <m/>
    <d v="2025-12-24T00:00:00"/>
    <n v="-572"/>
    <n v="5"/>
    <n v="2024"/>
    <m/>
    <n v="21669"/>
    <n v="4500020151"/>
    <s v="Syifa Artianingsih"/>
    <m/>
    <m/>
    <m/>
    <m/>
    <m/>
    <m/>
    <m/>
    <m/>
    <n v="189"/>
    <m/>
    <m/>
    <s v="DEACTIVASI Per 31 Maret 2024"/>
  </r>
  <r>
    <n v="1437"/>
    <s v="Cyberindo Aditama "/>
    <s v="Bank Mandiri"/>
    <s v="Gedung Cyber 2 Tower, Lt 33 Jl. HP Rasuna Said Blok X-5 No. 13 Kuningan Timur Setiabudi Jakarta Selatan 12950"/>
    <x v="0"/>
    <m/>
    <s v="Bidakara Jl Jend Gatot Subroto Kav 71-73 JakSel"/>
    <s v="Sewa Bulanan"/>
    <s v="Interkoneksi"/>
    <s v="PA/UPG/1906/0029"/>
    <s v="990000320452408"/>
    <n v="0.995"/>
    <s v="IPVPN"/>
    <s v="2 Mbps"/>
    <m/>
    <n v="112745460"/>
    <m/>
    <m/>
    <n v="111548412"/>
    <m/>
    <d v="2023-07-01T00:00:00"/>
    <d v="2024-06-30T00:00:00"/>
    <x v="0"/>
    <m/>
    <d v="2025-12-24T00:00:00"/>
    <n v="-542"/>
    <n v="6"/>
    <n v="2024"/>
    <n v="4500018114"/>
    <n v="539"/>
    <n v="4500021003"/>
    <s v="Syifa Artianingsih"/>
    <m/>
    <m/>
    <m/>
    <m/>
    <m/>
    <m/>
    <m/>
    <m/>
    <n v="202"/>
    <m/>
    <m/>
    <s v="Proses SPP"/>
  </r>
  <r>
    <n v="1438"/>
    <s v="Cyberindo Aditama "/>
    <s v="Asuransi Umum BCA"/>
    <s v="Gedung Cyber 2 Tower, Lt 33 Jl. HP Rasuna Said Blok X-5 No. 13 Kuningan Timur Setiabudi Jakarta Selatan 12950"/>
    <x v="0"/>
    <m/>
    <s v="Gedung Sahid Sudirman Center Lt 10 Jl Jendral Sudirman no 86 Jakarta"/>
    <s v="Sewa Bulanan"/>
    <s v="Interkoneksi"/>
    <s v="ICON-00/SBC/1711/0683"/>
    <s v="990000320517045"/>
    <n v="0.995"/>
    <s v="Metronet"/>
    <s v="10 Mbps"/>
    <m/>
    <n v="112745460"/>
    <m/>
    <m/>
    <n v="111548412"/>
    <m/>
    <d v="2023-07-01T00:00:00"/>
    <d v="2024-06-30T00:00:00"/>
    <x v="0"/>
    <m/>
    <d v="2025-12-24T00:00:00"/>
    <n v="-542"/>
    <n v="6"/>
    <n v="2024"/>
    <n v="4500018114"/>
    <n v="539"/>
    <n v="4500021003"/>
    <s v="Syifa Artianingsih"/>
    <m/>
    <m/>
    <m/>
    <m/>
    <m/>
    <m/>
    <m/>
    <m/>
    <n v="202"/>
    <m/>
    <m/>
    <m/>
  </r>
  <r>
    <n v="1439"/>
    <s v="Cyberindo Aditama "/>
    <s v="PT Indosat Tbk"/>
    <s v="Gedung Cyber 2 Tower, Lt 33 Jl. HP Rasuna Said Blok X-5 No. 13 Kuningan Timur Setiabudi Jakarta Selatan 12950"/>
    <x v="0"/>
    <m/>
    <s v="Marketing Office Citra Towers Kemayoran, Jl Benyamin Suaeb, RT.13/RW.06, Kebon Kosong, Kamayoran, Kota Jakarta Pusat, Jakarta, Indonesia"/>
    <s v="Sewa Bulanan"/>
    <s v="Interkoneksi"/>
    <s v="A821202000241"/>
    <s v="111202017399"/>
    <s v="99,50%"/>
    <s v="Metronet"/>
    <s v="2 Mbps"/>
    <m/>
    <n v="57152000"/>
    <m/>
    <m/>
    <n v="20000000"/>
    <m/>
    <d v="2023-08-22T00:00:00"/>
    <d v="2024-08-21T00:00:00"/>
    <x v="0"/>
    <m/>
    <d v="2025-12-24T00:00:00"/>
    <n v="-490"/>
    <n v="8"/>
    <n v="2024"/>
    <s v="baru"/>
    <n v="906"/>
    <n v="4500020994"/>
    <s v="Syifa Artianingsih"/>
    <m/>
    <m/>
    <m/>
    <m/>
    <m/>
    <m/>
    <m/>
    <m/>
    <n v="282"/>
    <m/>
    <m/>
    <s v="PO Sudah di Perpanjang"/>
  </r>
  <r>
    <n v="1440"/>
    <s v="Cyberindo Aditama "/>
    <s v="PT Olam Indonesia"/>
    <s v="Gedung Cyber 2 Tower, Lt 33 Jl. HP Rasuna Said Blok X-5 No. 13 Kuningan Timur Setiabudi Jakarta Selatan 12950"/>
    <x v="0"/>
    <m/>
    <s v="South Quarter Tower A, LT. 21 Jl. R.A.Kartini No.Kav. 8, RT.10/RW.4, Cilandak Barat,  Kec. Cilandak,  Jakarta Selatan,  DKI Jakarta,  Indonesia,  12430"/>
    <s v="Sewa Bulanan"/>
    <s v="Interkoneksi"/>
    <s v="PA/UPG/2208/0213; PA/UPG/2208/0214"/>
    <s v="01000127809 dan '04000128124"/>
    <s v="99,50%"/>
    <s v="IPVPN dan Internet Corporate"/>
    <s v="70 Mbps"/>
    <m/>
    <n v="474000000"/>
    <m/>
    <m/>
    <n v="96000000"/>
    <m/>
    <d v="2023-10-01T00:00:00"/>
    <d v="2024-09-30T00:00:00"/>
    <x v="0"/>
    <m/>
    <d v="2025-12-24T00:00:00"/>
    <n v="-450"/>
    <n v="9"/>
    <n v="2024"/>
    <s v="4500018772; 4500018504"/>
    <n v="1092"/>
    <n v="4500021199"/>
    <s v="Syifa Artianingsih"/>
    <m/>
    <m/>
    <m/>
    <m/>
    <m/>
    <m/>
    <m/>
    <m/>
    <n v="239"/>
    <m/>
    <m/>
    <s v="PO Upgrade   "/>
  </r>
  <r>
    <n v="1441"/>
    <s v="Cyberindo Aditama "/>
    <s v="Bank Danamon Indonesia"/>
    <s v="Gedung Cyber 2 Tower, Lt 33 Jl. HP Rasuna Said Blok X-5 No. 13 Kuningan Timur Setiabudi Jakarta Selatan 12950"/>
    <x v="0"/>
    <m/>
    <s v="Mall Taman Anggrek Ground Floor G-42, Jl S Parman Kav.21 RT 12/RW 1 Tanjung Duren Selatan, Grogol Petamburan. "/>
    <s v="Sewa Bulanan"/>
    <s v="Interkoneksi"/>
    <s v="A821205000170"/>
    <n v="111205023926"/>
    <n v="0.995"/>
    <s v="IPVPN"/>
    <s v="2 Mbps"/>
    <m/>
    <n v="45700000"/>
    <m/>
    <m/>
    <n v="21000000"/>
    <m/>
    <d v="2023-09-25T00:00:00"/>
    <d v="2024-09-24T00:00:00"/>
    <x v="0"/>
    <m/>
    <d v="2025-12-24T00:00:00"/>
    <n v="-456"/>
    <n v="9"/>
    <n v="2024"/>
    <s v="baru"/>
    <s v="1286/SPP/SBU/ICON+/2023"/>
    <s v="4500021421"/>
    <s v="Syifa Artianingsih"/>
    <m/>
    <m/>
    <m/>
    <m/>
    <m/>
    <m/>
    <m/>
    <m/>
    <n v="279"/>
    <m/>
    <m/>
    <s v="Biaya OTC Rp 3,000,000"/>
  </r>
  <r>
    <n v="1442"/>
    <s v="Cyberindo Aditama "/>
    <s v="PT Kaldu Sari Nabati"/>
    <s v="Gedung Cyber 2 Tower, Lt 33 Jl. HP Rasuna Said Blok X-5 No. 13 Kuningan Timur Setiabudi Jakarta Selatan 12950"/>
    <x v="0"/>
    <m/>
    <s v="Gedung Cyber 2 lt2 HR Rasuna Said no 13, Indonesia, Kuningan, Kota Administrasi Jakarta Selatan, DKI Jakarta, Indonesia"/>
    <s v="Sewa Bulanan"/>
    <s v="Interkoneksi"/>
    <s v="U121303000028"/>
    <s v="120130300301/04000021906"/>
    <n v="0.995"/>
    <s v="Internet Corporate"/>
    <s v="50 Mbps"/>
    <m/>
    <n v="115200000"/>
    <m/>
    <m/>
    <n v="105153000"/>
    <m/>
    <d v="2023-07-09T00:00:00"/>
    <d v="2024-07-08T00:00:00"/>
    <x v="0"/>
    <m/>
    <d v="2025-12-24T00:00:00"/>
    <n v="-534"/>
    <n v="7"/>
    <n v="2024"/>
    <n v="4500018399"/>
    <n v="756"/>
    <n v="4500021106"/>
    <s v="Syifa Artianingsih"/>
    <m/>
    <m/>
    <m/>
    <m/>
    <m/>
    <m/>
    <m/>
    <m/>
    <n v="373"/>
    <m/>
    <m/>
    <m/>
  </r>
  <r>
    <n v="1443"/>
    <s v="Detik Ini Juga "/>
    <s v="PT Trans Rekreasindo Cibubur"/>
    <s v="Gedung Transmedia Lt 3A, Jl. Kapt Tendean Kav. 12 – 14A, Jakarta 12790"/>
    <x v="0"/>
    <s v="-"/>
    <s v="Kid City Transpark Cibubur lt.3 Jl. Alternatif Cibubur No.230, Harjamukti, Cimanggis, Kota Depok, Jawa Barat, Indonesia, 16454"/>
    <s v="Sewa Bulanan"/>
    <s v="Interkoneksi"/>
    <s v=" PA/ACT/1903/1573"/>
    <s v="04000049510"/>
    <n v="0.995"/>
    <s v="Internet dan IPVPN"/>
    <s v="3 Mbps"/>
    <m/>
    <n v="109200000"/>
    <m/>
    <m/>
    <n v="38400000"/>
    <m/>
    <d v="2024-01-01T00:00:00"/>
    <d v="2024-12-31T00:00:00"/>
    <x v="0"/>
    <s v="SPP"/>
    <d v="2025-12-24T00:00:00"/>
    <n v="-358"/>
    <n v="12"/>
    <n v="2024"/>
    <n v="4500019777"/>
    <n v="2417"/>
    <n v="4500022180"/>
    <s v="Syifa Artianingsih"/>
    <s v="Nadia"/>
    <s v="0858-8117-7234"/>
    <m/>
    <m/>
    <m/>
    <m/>
    <m/>
    <s v="F41"/>
    <s v="G48"/>
    <m/>
    <m/>
    <m/>
  </r>
  <r>
    <n v="1444"/>
    <s v="Detik Ini Juga"/>
    <s v="PT Trans Retail Cibubur"/>
    <s v="Gedung Transmedia Lt 3A, Jl. Kapt Tendean Kav. 12 – 14A, Jakarta 12790"/>
    <x v="0"/>
    <m/>
    <s v="Transmart Cibubur Jl Alternatif Cibubur No 230 Harjamukri Cimanggis Depok Jawa Barat"/>
    <s v="Sewa Bulanan"/>
    <s v="Interkoneksi"/>
    <s v="PA/UPG/1910/0010"/>
    <s v="01000039747"/>
    <n v="0.995"/>
    <s v="IPVPN"/>
    <s v="10 Mbps"/>
    <m/>
    <n v="107274240"/>
    <m/>
    <m/>
    <n v="81600000"/>
    <m/>
    <d v="2023-03-01T00:00:00"/>
    <d v="2024-02-29T00:00:00"/>
    <x v="2"/>
    <m/>
    <d v="2025-12-24T00:00:00"/>
    <n v="-664"/>
    <n v="2"/>
    <n v="2024"/>
    <n v="4500017681"/>
    <n v="21045"/>
    <n v="4500019916"/>
    <s v="Syifa Artianingsih"/>
    <m/>
    <m/>
    <m/>
    <m/>
    <m/>
    <m/>
    <m/>
    <m/>
    <n v="19"/>
    <m/>
    <m/>
    <m/>
  </r>
  <r>
    <n v="1445"/>
    <s v="Detik Ini Juga"/>
    <s v="PT Alfa Retailindo"/>
    <s v="Gedung Transmedia Lt 3A, Jl. Kapt Tendean Kav. 12 – 14A, Jakarta 12790"/>
    <x v="0"/>
    <m/>
    <s v="(Interkoneksi via Detik) Transmart Juanda, Jl. IR Juanda 180 margahayu Bekasi Timur Bekasi"/>
    <s v="Sewa Bulanan"/>
    <s v="Interkoneksi"/>
    <s v="PA/RLK/2112/0100 ; PA/RLK/2112/0099"/>
    <s v="'01000184752"/>
    <n v="0.995"/>
    <s v="IPVPN"/>
    <s v="2 Mbps"/>
    <m/>
    <n v="48600000"/>
    <m/>
    <m/>
    <n v="42000000"/>
    <m/>
    <d v="2023-02-04T00:00:00"/>
    <d v="2024-02-03T00:00:00"/>
    <x v="2"/>
    <m/>
    <d v="2025-12-24T00:00:00"/>
    <n v="-690"/>
    <n v="2"/>
    <n v="2024"/>
    <n v="4500017527"/>
    <n v="21054"/>
    <n v="4500019915"/>
    <s v="Syifa Artianingsih"/>
    <m/>
    <m/>
    <m/>
    <m/>
    <m/>
    <m/>
    <m/>
    <m/>
    <n v="16"/>
    <m/>
    <m/>
    <m/>
  </r>
  <r>
    <n v="1446"/>
    <s v="Detik Ini Juga "/>
    <s v="PT Trans Rekreasindo Surabaya"/>
    <s v="Gedung Transmedia Lt 3A, Jl. Kapt Tendean Kav. 12 – 14A, Jakarta 12790"/>
    <x v="0"/>
    <s v="Menara Bank Mega lt.8 Jl. Kapten Tendean No.12-14A, RT.2/RW.2, Mampang Prapatan,  -,  Jakarta Selatan,  DKI Jakarta,  Indonesia,  12790"/>
    <s v="(interkoneksi dengan Detik di Cyber) Trans ICON Surabaya, Jl. Ahmad Yani No.260, Siwalankerto,  Wonocolo,  Surabaya,  Jawa Timur,  Indonesia,  60235"/>
    <s v="Sewa Bulanan"/>
    <s v="Interkoneksi"/>
    <s v="PA/ACT/2207/3855"/>
    <s v="01000301813"/>
    <n v="0.995"/>
    <s v="IPVPN"/>
    <s v="1 Mbps"/>
    <m/>
    <n v="56400000"/>
    <m/>
    <m/>
    <n v="42000023"/>
    <m/>
    <d v="2023-08-02T00:00:00"/>
    <d v="2024-08-01T00:00:00"/>
    <x v="0"/>
    <m/>
    <d v="2025-12-24T00:00:00"/>
    <n v="-510"/>
    <n v="8"/>
    <n v="2024"/>
    <n v="4500018575"/>
    <s v="1027/SPP/SBU/ICON+/2023"/>
    <n v="4500021377"/>
    <s v="Syifa Artianingsih"/>
    <m/>
    <m/>
    <m/>
    <m/>
    <m/>
    <m/>
    <m/>
    <m/>
    <n v="289"/>
    <m/>
    <m/>
    <m/>
  </r>
  <r>
    <n v="1447"/>
    <s v="Detik Ini Juga "/>
    <s v="PT Trans Rekreasindo Kidcity Bintaro"/>
    <s v="Gedung Transmedia Lt 3A, Jl. Kapt Tendean Kav. 12 – 14A, Jakarta 12790"/>
    <x v="0"/>
    <m/>
    <s v="KID City Transmart Bintaro CBD Sektor VII CBD Blok B7/A3 No. 9, Jl. Professor Doktor Satrio No.5, Pondok Aren Bintaro Jaya, PD Jaya, Pondok Aren, Kota Tangerang Selatan, Banten, Indonesia, 15224"/>
    <s v="Sewa Bulanan"/>
    <s v="Interkoneksi"/>
    <s v="PA/ACT/2002/2153"/>
    <s v="010000106070"/>
    <n v="0.995"/>
    <s v="IPVPN"/>
    <s v="1 Mbps"/>
    <m/>
    <n v="31200000"/>
    <m/>
    <m/>
    <n v="18000000"/>
    <m/>
    <d v="2023-09-02T00:00:00"/>
    <d v="2024-09-01T00:00:00"/>
    <x v="0"/>
    <m/>
    <d v="2025-12-24T00:00:00"/>
    <n v="-479"/>
    <n v="9"/>
    <n v="2024"/>
    <n v="4500018651"/>
    <s v="1298/SPP/SBU/ICON+/2023"/>
    <n v="4500021334"/>
    <s v="Syifa Artianingsih"/>
    <m/>
    <m/>
    <m/>
    <m/>
    <m/>
    <m/>
    <m/>
    <m/>
    <n v="288"/>
    <m/>
    <m/>
    <m/>
  </r>
  <r>
    <n v="1448"/>
    <s v="Envision "/>
    <s v="PT Bank Mandiri (Persero) Tbk"/>
    <s v="Gandaria 8 Office Tower, Lantai 6 - Unit H Jl. Sultan Iskandar Muda, Kebayoran Lama Utara, Jakarta Selatan 12240"/>
    <x v="0"/>
    <m/>
    <s v="10124 Jakarta Gandaria City, UG M-U 35 Jl. Sultan Iskandar Muda. RT.10/RW.6, Kebayoran Lama Utara,Kec. Kebayoran Lama ,Jakarta Selatan ,DKI Jakarta ,Indonesia ,12240"/>
    <s v="Sewa Bulanan"/>
    <s v="Interkoneksi"/>
    <s v="PA/ACT/2206/16524"/>
    <s v="01000283861"/>
    <s v="99,8%"/>
    <s v="Metronet/Local Loop"/>
    <s v="8 Mbps"/>
    <m/>
    <n v="86618184"/>
    <m/>
    <m/>
    <n v="40800020"/>
    <m/>
    <d v="2023-09-09T00:00:00"/>
    <d v="2024-09-08T00:00:00"/>
    <x v="0"/>
    <m/>
    <d v="2025-12-24T00:00:00"/>
    <n v="-472"/>
    <n v="9"/>
    <n v="2024"/>
    <n v="4500018454"/>
    <s v="1328/SPP/SBU/ICON+/2023"/>
    <n v="4500021249"/>
    <s v="Syifa Artianingsih"/>
    <s v="Merry"/>
    <s v="0815-8445-0387"/>
    <m/>
    <m/>
    <m/>
    <m/>
    <m/>
    <m/>
    <n v="248"/>
    <m/>
    <m/>
    <m/>
  </r>
  <r>
    <n v="1449"/>
    <s v=" Fastel Sarana Indonesia"/>
    <s v="PT Pertamina (Persero)"/>
    <s v="Gedung TCC Batavia Tower One Lt 16 Jl. KH Mas Mansyur Kav 126 Jakarta Pusat 10220"/>
    <x v="0"/>
    <s v="Kantor Pusat Pertamina Jakarta, Jl. Medan Merdeka Tim. No.1A, RT.2/RW.1, Kel. Gambir, Kec. Gambir, Jakarta Pusat"/>
    <s v="Gedung Sopo Del, Lt. 50, Jl. Mega Kuningan Barat III, RT.4/RW.5, Kel. Kuningan Timur, Kec. Setiabudi, Jakarta Selatan"/>
    <s v="Sewa Bulanan"/>
    <s v="Interkoneksi"/>
    <s v="AL/2009/41591"/>
    <s v="01000077502"/>
    <n v="0.995"/>
    <s v="Metronet"/>
    <s v="100 Mbps"/>
    <m/>
    <n v="172200000"/>
    <m/>
    <m/>
    <n v="132600000"/>
    <m/>
    <d v="2022-10-30T00:00:00"/>
    <d v="2023-10-29T00:00:00"/>
    <x v="2"/>
    <m/>
    <d v="2025-12-24T00:00:00"/>
    <n v="-787"/>
    <n v="10"/>
    <n v="2023"/>
    <n v="4500017076"/>
    <n v="19601"/>
    <n v="4500018695"/>
    <s v="Syifa Artianingsih"/>
    <m/>
    <m/>
    <m/>
    <m/>
    <m/>
    <m/>
    <m/>
    <m/>
    <n v="282"/>
    <m/>
    <m/>
    <m/>
  </r>
  <r>
    <n v="1450"/>
    <s v="Fastel Sarana Indonesia "/>
    <s v="PT Bank Central Asia"/>
    <s v="Gedung TCC Batavia Tower One Lt 16 Jl. KH Mas Mansyur Kav 126 Jakarta Pusat 10220"/>
    <x v="0"/>
    <m/>
    <s v="KCP Sopodel (SOO), Jl. Mega kuningan Barat III No. 23, Kuningan, Setiabudi, Jakarta Selatan, DKI Jakarta, Indonesia, 12950"/>
    <s v="Sewa Bulanan"/>
    <s v="Interkoneksi"/>
    <s v="AL/2206/83115"/>
    <s v="01000057869"/>
    <n v="0.995"/>
    <s v="IPVPN"/>
    <s v="6 Mbps"/>
    <m/>
    <n v="60000000"/>
    <m/>
    <m/>
    <n v="48000000"/>
    <m/>
    <d v="2023-10-10T00:00:00"/>
    <d v="2024-10-09T00:00:00"/>
    <x v="0"/>
    <m/>
    <d v="2025-12-24T00:00:00"/>
    <n v="-441"/>
    <n v="10"/>
    <n v="2024"/>
    <n v="4500018777"/>
    <n v="1750"/>
    <n v="4500022016"/>
    <s v="Syifa Artianingsih"/>
    <s v="Kiki"/>
    <s v="0878-6921-9000"/>
    <m/>
    <m/>
    <m/>
    <m/>
    <m/>
    <s v="F294"/>
    <s v="G404"/>
    <m/>
    <m/>
    <m/>
  </r>
  <r>
    <n v="1451"/>
    <s v="Fastel Sarana Indonesia "/>
    <s v="PT Djarum"/>
    <s v="Gedung TCC Batavia Tower One Lt 16 Jl. KH Mas Mansyur Kav 126 Jakarta Pusat 10220"/>
    <x v="0"/>
    <s v="Jl. Aipda KS Tubun 2c/57 Jakarta"/>
    <s v="Sopo Del Tower B Jl. Mega Kuningan Barat III, Lot 10. 1-6 Kawasan Mega Kuningan. Jakarta 12950"/>
    <s v="Sewa Bulanan"/>
    <s v="Interkoneksi"/>
    <s v="PA/ACT/2304/0270"/>
    <s v="01000358111"/>
    <n v="0.995"/>
    <s v="QinQ Metro Ethernet"/>
    <s v="50 Mbps"/>
    <m/>
    <n v="264000000"/>
    <m/>
    <m/>
    <n v="210000000"/>
    <m/>
    <d v="2023-09-03T00:00:00"/>
    <d v="2024-09-02T00:00:00"/>
    <x v="0"/>
    <m/>
    <d v="2025-12-24T00:00:00"/>
    <n v="-478"/>
    <n v="9"/>
    <n v="2024"/>
    <s v="4500018498 dan 4500020596"/>
    <n v="1253"/>
    <n v="4500021248"/>
    <s v="Syifa Artianingsih"/>
    <m/>
    <m/>
    <m/>
    <m/>
    <m/>
    <m/>
    <m/>
    <m/>
    <n v="250"/>
    <m/>
    <m/>
    <s v="PO Upgrade"/>
  </r>
  <r>
    <n v="1452"/>
    <s v="Global Teknologi Teraindo "/>
    <s v="PT Infomedia Nusantara"/>
    <s v="Gedung Cyber 1 Lantai 6 Jl. Kuningan Barat Raya No. 8 Jakarta Selatan 12710"/>
    <x v="0"/>
    <s v="Gedung Cyber APJII , Jl. Kuningan Barat Raya No.8, RT.1/RW.3, Kuningan Bar. Mampang Prpt, Jakarta Selatan, DKI Jakarta, Indonesia, 12710"/>
    <s v="DC Infomedia Jatinegara Jl. DI. Panjaitan No.42, Rawa Bunga, Jatinegara, DC Telkom Jatinegara, Jakarta Timur, DKI Jakarta, Indonesia"/>
    <s v="Sewa Bulanan"/>
    <s v="Interkoneksi"/>
    <s v=" PA/ACT/2211/1972"/>
    <s v="01000320539"/>
    <n v="0.995"/>
    <s v="Metronet"/>
    <s v="5 Mbps"/>
    <m/>
    <n v="54000000"/>
    <m/>
    <m/>
    <n v="24000008"/>
    <m/>
    <d v="2023-12-20T00:00:00"/>
    <d v="2024-12-19T00:00:00"/>
    <x v="0"/>
    <m/>
    <d v="2025-12-24T00:00:00"/>
    <n v="-370"/>
    <n v="12"/>
    <n v="2024"/>
    <n v="4500019474"/>
    <n v="2214"/>
    <n v="4500022119"/>
    <s v="Syifa Artianingsih"/>
    <s v="Akmal"/>
    <s v="0853-1210-7138"/>
    <m/>
    <m/>
    <m/>
    <m/>
    <m/>
    <s v="F459"/>
    <s v="G415"/>
    <m/>
    <m/>
    <m/>
  </r>
  <r>
    <n v="1453"/>
    <s v="Graha Telekomunikasi Indonesia "/>
    <s v="PT Toyota Motor Manufacturing Indonesia"/>
    <s v="Ruko 53A, Jl. KH Abdullah Syafei No. 53 A RT 005 RW 002 Kelurahan Manggarai Selatan Kecamatan Tebet Jakarta Selatan 12860"/>
    <x v="0"/>
    <s v="Jalan Yos Sudarso, Sunter Jaya, Tj. Priok, Jakarta Utara, DKI Jakarta, Indonesia"/>
    <s v="Gedung Permata Kuningan Jl. Kuningan Mulia Kav 9C Lantai 9 Guntur, Setiabudi, Jakarta Selatan, DKI Jakarta, Indonesia,"/>
    <s v="Sewa Bulanan"/>
    <s v="Interkoneksi"/>
    <s v="PA/ACT/2202/1469       "/>
    <s v="01000192190"/>
    <s v="99,50%"/>
    <s v="Metronet"/>
    <s v="50 Mbps"/>
    <m/>
    <n v="222000000"/>
    <m/>
    <m/>
    <n v="126000000"/>
    <m/>
    <d v="2023-09-09T00:00:00"/>
    <d v="2024-09-08T00:00:00"/>
    <x v="0"/>
    <m/>
    <d v="2025-12-24T00:00:00"/>
    <n v="-472"/>
    <n v="9"/>
    <n v="2024"/>
    <n v="4500017711"/>
    <s v="1091/SPP/SBU/ICON+/2023"/>
    <n v="4500021200"/>
    <s v="Syifa Artianingsih"/>
    <s v="Norman"/>
    <s v="0813-2398-2041"/>
    <m/>
    <m/>
    <m/>
    <m/>
    <m/>
    <m/>
    <n v="240"/>
    <m/>
    <m/>
    <m/>
  </r>
  <r>
    <n v="1454"/>
    <s v="Hipernet Indodata "/>
    <s v="Morinaga Kino Indonesia"/>
    <m/>
    <x v="0"/>
    <m/>
    <s v="Kino Tower building jl jalur Suter Boulevar no 1 Alam Sutera Kota Tangerang "/>
    <s v="Sewa Bulanan"/>
    <s v="Interkoneksi"/>
    <m/>
    <n v="1000024892"/>
    <m/>
    <s v="Radio"/>
    <s v="6 Mbps"/>
    <m/>
    <m/>
    <m/>
    <m/>
    <n v="1370982"/>
    <m/>
    <d v="2021-01-01T00:00:00"/>
    <d v="2021-01-17T00:00:00"/>
    <x v="2"/>
    <m/>
    <d v="2025-12-24T00:00:00"/>
    <n v="-1802"/>
    <n v="1"/>
    <n v="2021"/>
    <m/>
    <m/>
    <n v="4500015922"/>
    <s v="Syifa Artianingsih"/>
    <m/>
    <m/>
    <m/>
    <m/>
    <m/>
    <m/>
    <m/>
    <m/>
    <n v="170"/>
    <m/>
    <m/>
    <m/>
  </r>
  <r>
    <n v="1455"/>
    <s v="Hipernet Indodata "/>
    <s v="Badan Riset dan Inovasi Nasional"/>
    <s v="Graha Hyper Jl. Makaliwe Raya No. 24 - 24A grogol Petamburan Jakarta 11450"/>
    <x v="0"/>
    <s v="Jalan Raya PLN EHP Gandul Limo,  Cinere,  Depok,  Jawa Barat,  Indonesia,  16514"/>
    <s v="Rawamangun 1 LAPAN Pusat Jl. Pemuda Persil No.1 Rawamangun 13220,  -,  Jakarta Timur,  DKI Jakarta,"/>
    <s v="Sewa Bulanan"/>
    <s v="Interkoneksi"/>
    <s v="PA/ACT/2112/3236"/>
    <s v="04000184286"/>
    <n v="0.95"/>
    <s v="Fion Internet Dedicated"/>
    <s v="80 Mbps"/>
    <m/>
    <n v="818181"/>
    <m/>
    <m/>
    <n v="13727273"/>
    <m/>
    <d v="2022-02-01T00:00:00"/>
    <d v="2022-02-28T00:00:00"/>
    <x v="2"/>
    <m/>
    <d v="2025-12-24T00:00:00"/>
    <n v="-1395"/>
    <n v="2"/>
    <n v="2022"/>
    <m/>
    <n v="17840"/>
    <n v="4500017628"/>
    <s v="Syifa Artianingsih"/>
    <m/>
    <m/>
    <m/>
    <m/>
    <m/>
    <m/>
    <m/>
    <m/>
    <n v="40"/>
    <m/>
    <m/>
    <s v="PROJECT TIM SDA"/>
  </r>
  <r>
    <n v="1456"/>
    <s v="Hipernet Indodata "/>
    <s v="Badan Riset dan Inovasi Nasional"/>
    <s v="Graha Hyper Jl. Makaliwe Raya No. 24 - 24A grogol Petamburan Jakarta 11450"/>
    <x v="0"/>
    <s v="Jalan Raya PLN EHP Gandul Limo,  Cinere,  Depok,  Jawa Barat,  Indonesia,  16514"/>
    <m/>
    <s v="Sewa Bulanan"/>
    <s v="Interkoneksi"/>
    <m/>
    <m/>
    <n v="0.95"/>
    <s v="Fion Internet Dedicated"/>
    <m/>
    <m/>
    <n v="10940905"/>
    <m/>
    <m/>
    <n v="36954546"/>
    <m/>
    <d v="2022-01-01T00:00:00"/>
    <d v="2022-01-31T00:00:00"/>
    <x v="2"/>
    <m/>
    <d v="2025-12-24T00:00:00"/>
    <n v="-1423"/>
    <n v="1"/>
    <n v="2022"/>
    <m/>
    <n v="17639"/>
    <n v="4500017570"/>
    <s v="Syifa Artianingsih"/>
    <m/>
    <m/>
    <m/>
    <m/>
    <m/>
    <m/>
    <m/>
    <m/>
    <n v="41"/>
    <m/>
    <m/>
    <s v="PROJECT TIM SDA"/>
  </r>
  <r>
    <n v="1457"/>
    <s v="Hipernet Indodata "/>
    <s v="Badan Riset dan Inovasi Nasional"/>
    <s v="Graha Hyper Jl. Makaliwe Raya No. 24 - 24A grogol Petamburan Jakarta 11450"/>
    <x v="0"/>
    <s v="Jalan Raya PLN EHP Gandul Limo,  Cinere,  Depok,  Jawa Barat,  Indonesia,  16514"/>
    <m/>
    <s v="Sewa Bulanan"/>
    <s v="Interkoneksi"/>
    <m/>
    <m/>
    <n v="0.95"/>
    <s v="Fion Internet Dedicated"/>
    <m/>
    <m/>
    <n v="154344727"/>
    <m/>
    <m/>
    <n v="99372728"/>
    <m/>
    <d v="2022-01-01T00:00:00"/>
    <d v="2022-01-31T00:00:00"/>
    <x v="2"/>
    <m/>
    <d v="2025-12-24T00:00:00"/>
    <n v="-1423"/>
    <n v="1"/>
    <n v="2022"/>
    <m/>
    <n v="17562"/>
    <n v="4500017364"/>
    <s v="Syifa Artianingsih"/>
    <m/>
    <m/>
    <m/>
    <m/>
    <m/>
    <m/>
    <m/>
    <m/>
    <n v="42"/>
    <m/>
    <m/>
    <s v="PROJECT TIM SDA"/>
  </r>
  <r>
    <n v="1458"/>
    <s v="Hipernet Indodata "/>
    <s v="PT Prodia Widyahusada"/>
    <s v="Graha Hyper Jl. Makaliwe Raya No. 24 - 24A grogol Petamburan Jakarta 11450"/>
    <x v="0"/>
    <m/>
    <s v="Gd. Prodia Tower, Jl. Kramat Raya No. 150, Jakarta,KANTOR PUSAT JAKARTA ,Jakarta Pusat ,DKI Jakarta ,Indonesia ,   "/>
    <s v="Sewa Bulanan"/>
    <s v="Interkoneksi"/>
    <s v="PA/ACT/1911/0379/TER ; PA/ACT/1803/0181"/>
    <s v="01000089398"/>
    <n v="0.995"/>
    <s v="IPVPN"/>
    <s v="50 Mbps"/>
    <m/>
    <n v="96744000"/>
    <m/>
    <m/>
    <n v="54000000"/>
    <m/>
    <d v="2024-03-10T00:00:00"/>
    <d v="2025-03-09T00:00:00"/>
    <x v="0"/>
    <m/>
    <d v="2025-12-24T00:00:00"/>
    <n v="-290"/>
    <n v="3"/>
    <n v="2025"/>
    <n v="4500020127"/>
    <s v="2899/SPP/SBU/ICON+/2024"/>
    <n v="4500022401"/>
    <s v="Syifa Artianingsih"/>
    <s v="Ibu Diah"/>
    <s v="0819-3381-8777"/>
    <m/>
    <m/>
    <m/>
    <m/>
    <m/>
    <m/>
    <s v="G71"/>
    <s v="H123"/>
    <m/>
    <m/>
  </r>
  <r>
    <n v="1459"/>
    <s v="Hipernet Indodata "/>
    <s v="PT Bank Commonwealth "/>
    <s v="Graha Hyper Jl. Makaliwe Raya No. 24 - 24A grogol Petamburan Jakarta 11450"/>
    <x v="0"/>
    <s v="Graha Inti Fauzi Lt. 5, Jl. warung Jata Barat No.22, Pejaten Barat, Pasar Minggu, Jakarta Selatan, DKI Jakarta, Indonesia 12510"/>
    <s v="Cabang PIK The Gallery Metro Broadway Blok 8 No. CB, CC, CD PIK Jl. Pantai Indah Utara 2 jakarta 14460, Indonesia"/>
    <s v="Sewa Bulanan"/>
    <s v="Interkoneksi"/>
    <s v="U111202000999"/>
    <s v="110120201012/0990000320517378"/>
    <n v="0.995"/>
    <s v="Metronet"/>
    <s v="15 Mbps"/>
    <m/>
    <n v="80400000"/>
    <m/>
    <m/>
    <n v="42000000"/>
    <m/>
    <d v="2024-07-01T00:00:00"/>
    <d v="2025-06-30T00:00:00"/>
    <x v="2"/>
    <m/>
    <d v="2025-12-24T00:00:00"/>
    <n v="-177"/>
    <n v="6"/>
    <n v="2025"/>
    <n v="4500020616"/>
    <n v="3216"/>
    <n v="4500022678"/>
    <s v="Syifa Artianingsih"/>
    <s v="Ibu Diah"/>
    <s v="0819-3381-8777"/>
    <m/>
    <m/>
    <m/>
    <m/>
    <m/>
    <m/>
    <n v="142"/>
    <n v="141"/>
    <m/>
    <m/>
  </r>
  <r>
    <n v="1460"/>
    <s v="Iforte Solusi Infotek "/>
    <s v="Bank Commonwealth"/>
    <s v="Jl. MH Thamrin No. 1"/>
    <x v="0"/>
    <m/>
    <s v="Cabang Pondok Indah ANZ Pondok Indah (samping Houbii adventure park) jl Metro pondok indah kav III B Jakarta Selatan, DKI Jakarta, Indonesia, 12310"/>
    <s v="Sewa Bulanan"/>
    <s v="Interkoneksi"/>
    <s v="PA/ACT/2006/1647"/>
    <s v="01000119045"/>
    <n v="0.995"/>
    <s v="Metronet"/>
    <s v="50 Mbps"/>
    <m/>
    <n v="180000000"/>
    <m/>
    <m/>
    <n v="96000000"/>
    <m/>
    <d v="2024-06-22T00:00:00"/>
    <d v="2025-06-21T00:00:00"/>
    <x v="1"/>
    <m/>
    <d v="2025-12-24T00:00:00"/>
    <n v="-186"/>
    <n v="6"/>
    <n v="2025"/>
    <n v="4500020615"/>
    <n v="2911"/>
    <n v="4500022407"/>
    <s v="Syifa Artianingsih"/>
    <s v="Firdio"/>
    <s v="0815-9489-484"/>
    <m/>
    <m/>
    <m/>
    <m/>
    <m/>
    <m/>
    <n v="145"/>
    <s v="H131"/>
    <m/>
    <m/>
  </r>
  <r>
    <n v="1461"/>
    <s v="Iforte Solusi Infotek "/>
    <s v="PT Prodia Widyahusada"/>
    <s v="Jl. MH Thamrin No. 1"/>
    <x v="0"/>
    <s v="Kramat Raya 150 jakarta"/>
    <s v="Ruko Kebayoran Arcade 2 sektor 7, Blok B No.33-35 Bintaro Tangerang, Jawa Barat, Indonesia"/>
    <s v="Sewa Bulanan"/>
    <s v="Interkoneksi"/>
    <s v="PA/UPG/2201/0520"/>
    <s v="01000003493"/>
    <n v="0.995"/>
    <s v="IPVPN"/>
    <s v="5 Mbps"/>
    <m/>
    <n v="30000000"/>
    <m/>
    <m/>
    <n v="78000000"/>
    <m/>
    <d v="2023-11-01T00:00:00"/>
    <d v="2024-10-31T00:00:00"/>
    <x v="0"/>
    <m/>
    <d v="2025-12-24T00:00:00"/>
    <n v="-419"/>
    <n v="10"/>
    <n v="2024"/>
    <n v="4500018817"/>
    <s v="1954/SPP/SBU/ICON+/2023"/>
    <n v="4500021653"/>
    <s v="Syifa Artianingsih"/>
    <s v="Firdio Iksan"/>
    <s v="+62 815-9489-484"/>
    <m/>
    <m/>
    <m/>
    <m/>
    <m/>
    <s v="F298"/>
    <s v="G382"/>
    <m/>
    <m/>
    <m/>
  </r>
  <r>
    <n v="1462"/>
    <s v="Indointernet "/>
    <s v="PT Hitachi Construction Machinery Indonesia"/>
    <s v="Jl. Rempoa Raya 11"/>
    <x v="0"/>
    <m/>
    <s v="PT HCMI Cibitung 2 kawasan industri MM2100 Jl. Selayar II Kav K-1 Cikarang Barat Bekasi (Interkoneksi dengan Indonet)"/>
    <s v="Sewa Bulanan"/>
    <s v="Interkoneksi"/>
    <s v="ICON-00/SBC/1710/2154"/>
    <s v="990000320511766"/>
    <s v="99.5%"/>
    <s v="Metronet"/>
    <s v="10 Mbps"/>
    <m/>
    <n v="120000000"/>
    <m/>
    <m/>
    <n v="90000000"/>
    <m/>
    <d v="2022-08-01T00:00:00"/>
    <d v="2023-07-31T00:00:00"/>
    <x v="2"/>
    <m/>
    <d v="2025-12-24T00:00:00"/>
    <n v="-877"/>
    <n v="7"/>
    <n v="2023"/>
    <n v="4500016433"/>
    <n v="19191"/>
    <n v="4500018422"/>
    <s v="Syifa Artianingsih"/>
    <m/>
    <m/>
    <m/>
    <m/>
    <m/>
    <m/>
    <m/>
    <m/>
    <n v="227"/>
    <m/>
    <m/>
    <m/>
  </r>
  <r>
    <n v="1463"/>
    <s v="Indointernet"/>
    <s v="PT Lotte Data Communication"/>
    <s v="Jl. Rempoa Raya 11"/>
    <x v="0"/>
    <m/>
    <s v="Gedung Cyber Lantai 1 (Kuningan City Jl Prof DR Satrio Kav 18 Unit LG 18 - 01) "/>
    <s v="Sewa Bulanan"/>
    <s v="Interkoneksi"/>
    <s v="PA/UPG/1906/0052"/>
    <s v="01000045931"/>
    <n v="0.995"/>
    <s v="Local Loop"/>
    <s v="4 Mbps"/>
    <m/>
    <n v="66000000"/>
    <m/>
    <m/>
    <n v="30000000"/>
    <m/>
    <d v="2021-01-01T00:00:00"/>
    <d v="2021-04-30T00:00:00"/>
    <x v="2"/>
    <m/>
    <d v="2025-12-24T00:00:00"/>
    <n v="-1699"/>
    <n v="4"/>
    <n v="2021"/>
    <n v="4500012201"/>
    <n v="19588"/>
    <n v="4500018686"/>
    <s v="Syifa Artianingsih"/>
    <m/>
    <m/>
    <m/>
    <m/>
    <m/>
    <m/>
    <m/>
    <m/>
    <n v="285"/>
    <m/>
    <m/>
    <s v="PO bersama dengan Collocation Rp 5,000,000/Bulan"/>
  </r>
  <r>
    <n v="1464"/>
    <s v="Indointernet "/>
    <s v="PT Ungaran Sari Garment"/>
    <s v="Rumah Indonet. Jl.Rempoa Raya No. 11 Ciputat. Tangerang Selatan – Banten 15412"/>
    <x v="0"/>
    <s v="PT USG UNGARAN Jl. Diponegoro No 235 Ungaran,- ,- ,- ,Indonesia"/>
    <s v="AXA Tower Lt 43 Jl. Prof. Dr. Satrio Kec. Setiabudi Jakarta Selatan,- ,- ,- ,Indonesia ,-"/>
    <s v="Sewa Bulanan"/>
    <s v="Interkoneksi"/>
    <s v="PA/UPG/2008/0002"/>
    <s v="0990000320458219"/>
    <n v="0.995"/>
    <s v="Metronet"/>
    <s v="20 Mbps"/>
    <m/>
    <n v="120000000"/>
    <m/>
    <m/>
    <n v="144000000"/>
    <m/>
    <d v="2023-12-06T00:00:00"/>
    <d v="2024-12-05T00:00:00"/>
    <x v="0"/>
    <m/>
    <d v="2025-12-24T00:00:00"/>
    <n v="-384"/>
    <n v="12"/>
    <n v="2024"/>
    <m/>
    <s v="2101/SPP/SBU/ICON+/2023"/>
    <n v="4500021849"/>
    <s v="Syifa Artianingsih"/>
    <s v="Asep "/>
    <s v="+62 857-7177-7685"/>
    <m/>
    <m/>
    <m/>
    <m/>
    <m/>
    <s v="F366"/>
    <s v="G405"/>
    <m/>
    <m/>
    <m/>
  </r>
  <r>
    <n v="1465"/>
    <s v="Indointernet "/>
    <s v="PT Nutrifood Indonesia"/>
    <s v="Rumah Indonet. Jl.Rempoa Raya No. 11 Ciputat. Tangerang Selatan – Banten 15412"/>
    <x v="0"/>
    <m/>
    <s v="Jl. Selayar II Blok H7, Kawasan Industri MM2100, Cikarang Barat, Bekasi, 17845, Indonesia"/>
    <s v="Sewa Bulanan"/>
    <s v="Interkoneksi"/>
    <s v="PA/UPG/1810/0084"/>
    <s v="0990000320655291"/>
    <n v="0.995"/>
    <s v="Metronet"/>
    <s v="5 Mbps"/>
    <m/>
    <n v="78000000"/>
    <m/>
    <m/>
    <n v="51666670"/>
    <m/>
    <d v="2024-01-26T00:00:00"/>
    <d v="2025-01-31T00:00:00"/>
    <x v="2"/>
    <m/>
    <d v="2025-12-24T00:00:00"/>
    <n v="-327"/>
    <n v="1"/>
    <n v="2025"/>
    <n v="4500019931"/>
    <s v="2502/SPP/SBU/PLNICONPLUS/2024"/>
    <n v="4500022622"/>
    <s v="Syifa Artianingsih"/>
    <s v="Asep "/>
    <s v="0857-7177-7685"/>
    <m/>
    <m/>
    <m/>
    <m/>
    <m/>
    <m/>
    <n v="18"/>
    <n v="139"/>
    <m/>
    <s v="Dismantle per 31 Agustus 2024"/>
  </r>
  <r>
    <n v="1466"/>
    <s v="Indointernet "/>
    <s v="BCA Kota Baru Parahyangan "/>
    <s v="Rumah Indonet. Jl.Rempoa Raya No. 11 Ciputat. Tangerang Selatan – Banten 15412"/>
    <x v="0"/>
    <m/>
    <s v="KCP Kota Baru Parahyangan (KBP), Jl Panyawangan Kav 6 No.6, Kota Baru Parahyangan,- ,- ,- ,Indonesia ,-   "/>
    <s v="Sewa Bulanan"/>
    <s v="Interkoneksi"/>
    <s v="AL/2205/80572"/>
    <s v="0990000320472425"/>
    <n v="0.995"/>
    <s v="IPVPN"/>
    <s v="6 Mbps"/>
    <m/>
    <n v="120000000"/>
    <m/>
    <m/>
    <n v="54000000"/>
    <m/>
    <d v="2024-02-22T00:00:00"/>
    <d v="2025-02-21T00:00:00"/>
    <x v="2"/>
    <m/>
    <d v="2025-12-24T00:00:00"/>
    <n v="-306"/>
    <n v="2"/>
    <n v="2025"/>
    <n v="4500020059"/>
    <n v="2472"/>
    <n v="4500022242"/>
    <s v="Syifa Artianingsih"/>
    <s v="Asep "/>
    <s v="0857-7177-7685"/>
    <m/>
    <m/>
    <m/>
    <m/>
    <m/>
    <m/>
    <n v="84"/>
    <s v="H58"/>
    <m/>
    <s v="Dismantle per tanggal 31 Des 2024"/>
  </r>
  <r>
    <n v="1467"/>
    <s v="Indointernet "/>
    <s v="PT Toyota Astra Motor TTC"/>
    <s v="Rumah Indonet. Jl.Rempoa Raya No. 11 Ciputat. Tangerang Selatan – Banten 15412"/>
    <x v="0"/>
    <s v="-"/>
    <s v=" Toyota Astra Motor new Site 2, Jl. Selayar Kav. B10 Kawasan Industri MM2100 (TTC) Interkoneksi Indonet, Indonesia"/>
    <s v="Sewa Bulanan"/>
    <s v="Interkoneksi"/>
    <s v="PA/UPG/2207/0061"/>
    <s v="'0990000320655320"/>
    <n v="0.995"/>
    <s v="Internet Corporate"/>
    <s v="85 Mbps"/>
    <m/>
    <n v="576000000"/>
    <m/>
    <m/>
    <n v="300000000"/>
    <m/>
    <d v="2024-07-01T00:00:00"/>
    <d v="2025-06-30T00:00:00"/>
    <x v="2"/>
    <m/>
    <d v="2025-12-24T00:00:00"/>
    <n v="-177"/>
    <n v="6"/>
    <n v="2025"/>
    <n v="4500020642"/>
    <n v="3218"/>
    <n v="4500022679"/>
    <s v="Syifa Artianingsih"/>
    <s v="Asep "/>
    <s v="0857-7177-7685"/>
    <m/>
    <m/>
    <m/>
    <m/>
    <m/>
    <m/>
    <n v="14"/>
    <n v="136"/>
    <m/>
    <s v="Dismantle per 31 Agustus 2024"/>
  </r>
  <r>
    <n v="1468"/>
    <s v="Indointernet "/>
    <s v="PT Astra Daihatsu Motor"/>
    <s v="Rumah Indonet. Jl.Rempoa Raya No. 11 Ciputat. Tangerang Selatan – Banten 15412"/>
    <x v="0"/>
    <s v="'PT. ASTRA DAIHATSU MOTOR, JL. GAYA MOTOR 3 NO.5 SUNTER II, JAKARTA UTARA"/>
    <s v="JL. SELAYAR BLOK A-6 KAWASAN MM2100 IDUSTRIAL ESTATE CIBITUNG (Interkoneksi Indonet)"/>
    <s v="Sewa Bulanan"/>
    <s v="Interkoneksi"/>
    <s v="PA/UPG/2303/1063"/>
    <s v="'0990000320512190"/>
    <n v="0.995"/>
    <s v="Metronet"/>
    <s v="100 Mbps"/>
    <m/>
    <n v="785400000"/>
    <m/>
    <m/>
    <n v="202666684"/>
    <m/>
    <d v="2023-04-10T00:00:00"/>
    <d v="2024-04-09T00:00:00"/>
    <x v="2"/>
    <m/>
    <d v="2025-12-24T00:00:00"/>
    <n v="-624"/>
    <n v="4"/>
    <n v="2024"/>
    <n v="4500019380"/>
    <n v="21886"/>
    <n v="4500020481"/>
    <s v="Syifa Artianingsih"/>
    <m/>
    <m/>
    <m/>
    <m/>
    <m/>
    <m/>
    <m/>
    <m/>
    <n v="144"/>
    <m/>
    <m/>
    <s v="Upgrade"/>
  </r>
  <r>
    <n v="1469"/>
    <s v="Indointernet "/>
    <s v="PT Astra Daihatsu Motor"/>
    <s v="Rumah Indonet. Jl.Rempoa Raya No. 11 Ciputat. Tangerang Selatan – Banten 15412"/>
    <x v="0"/>
    <s v="Jl Selayar Blok A-6 Kawasan MM2100 Industrial Estate Cibitung (Interkoneksi Indonet)"/>
    <s v="Jl Selayar Blok A-6 Kawasan MM2100 Industrial Estate Cibitung (Interkoneksi Indonet)"/>
    <s v="Sewa Bulanan"/>
    <s v="Interkoneksi"/>
    <s v="PA/ACT/2302/1496/TER"/>
    <s v="111205023533"/>
    <n v="0.995"/>
    <s v="IPVPN"/>
    <s v="100 Mbps"/>
    <m/>
    <n v="499000000"/>
    <m/>
    <n v="2500000"/>
    <n v="362500000"/>
    <m/>
    <d v="2023-06-14T00:00:00"/>
    <d v="2024-08-13T00:00:00"/>
    <x v="0"/>
    <m/>
    <d v="2025-12-24T00:00:00"/>
    <n v="-498"/>
    <n v="8"/>
    <n v="2024"/>
    <s v="Baru"/>
    <s v="21558/SPP/008/PUSAT/ICON+/202321558"/>
    <n v="4500020213"/>
    <s v="Syifa Artianingsih"/>
    <m/>
    <m/>
    <m/>
    <m/>
    <m/>
    <m/>
    <m/>
    <m/>
    <n v="324"/>
    <m/>
    <m/>
    <m/>
  </r>
  <r>
    <n v="1470"/>
    <s v="Indointernet "/>
    <s v="PT Fumira"/>
    <s v="Rumah Indonet. Jl.Rempoa Raya No. 11 Ciputat. Tangerang Selatan – Banten 15412"/>
    <x v="0"/>
    <m/>
    <s v="Bekasi Fajar Industrial Estate, Jalan jawa Kav. A1, Kawasan Industri MM2100, Mekarwangi, Cikarang Barat, Mekarwangi,  Cikarang,  Kota Bekasi,  Jawa Barat, Indonesia,17520"/>
    <s v="Sewa Bulanan"/>
    <s v="Interkoneksi"/>
    <s v="PA/ACT/1908/4529"/>
    <s v="01000073731"/>
    <n v="0.995"/>
    <s v="IPVPN"/>
    <s v="5 Mbps"/>
    <m/>
    <n v="162000000"/>
    <m/>
    <m/>
    <n v="102000014"/>
    <m/>
    <d v="2023-10-16T00:00:00"/>
    <d v="2024-10-15T00:00:00"/>
    <x v="0"/>
    <m/>
    <d v="2025-12-24T00:00:00"/>
    <n v="-435"/>
    <n v="10"/>
    <n v="2024"/>
    <n v="4500018886"/>
    <n v="1682"/>
    <n v="4500021534"/>
    <s v="Syifa Artianingsih"/>
    <m/>
    <m/>
    <m/>
    <m/>
    <m/>
    <m/>
    <m/>
    <m/>
    <n v="294"/>
    <m/>
    <m/>
    <m/>
  </r>
  <r>
    <n v="1471"/>
    <s v="Indointernet "/>
    <s v="PT Toyota Astra Motor"/>
    <s v="Rumah Indonet. Jl.Rempoa Raya No. 11 Ciputat. Tangerang Selatan – Banten 15412"/>
    <x v="0"/>
    <s v="Toyota Astra Motor new Site 2, Jl. Selayar Kav. B10 Kawasan Industri MM2100 (TTC) Interkoneksi Indonet"/>
    <s v="Jl. Proklamasi No. 53 Menteng Jakarta Pusat"/>
    <s v="Sewa Bulanan"/>
    <s v="Interkoneksi"/>
    <s v="ICON-00/SBC/1809/0003"/>
    <s v="0990000320655959"/>
    <n v="0.995"/>
    <s v="Metronet"/>
    <s v="10 Mbps"/>
    <m/>
    <n v="168000000"/>
    <m/>
    <m/>
    <n v="90000000"/>
    <m/>
    <d v="2024-01-01T00:00:00"/>
    <d v="2024-12-31T00:00:00"/>
    <x v="2"/>
    <m/>
    <d v="2025-12-24T00:00:00"/>
    <n v="-358"/>
    <n v="12"/>
    <n v="2024"/>
    <n v="4500019445"/>
    <n v="2102"/>
    <n v="4500021835"/>
    <s v="Syifa Artianingsih"/>
    <m/>
    <m/>
    <m/>
    <m/>
    <m/>
    <m/>
    <m/>
    <m/>
    <m/>
    <m/>
    <m/>
    <s v="Dismantle per 31 Agustus 2024"/>
  </r>
  <r>
    <n v="1472"/>
    <s v="Indointernet "/>
    <s v="PT Data Sinergitama Jaya"/>
    <s v="Rumah Indonet. Jl.Rempoa Raya No. 11 Ciputat. Tangerang Selatan – Banten 15412"/>
    <x v="0"/>
    <s v="Elitery Data Center, Jl Raya Pajajaran no 17 Bogor, Kab Bogor, Jawa Barat, Indonesia, 16143"/>
    <s v="Toyota Astra Motor New Site 2, Jl. Selayar Kav. B10 Kawasan Industri MM 2100 (TTC) (Interkoneksi dg indonet), Indonesia"/>
    <s v="Sewa Bulanan"/>
    <s v="Interkoneksi"/>
    <s v="ICON-00/SBC/1801/0589"/>
    <s v="0990000320514810"/>
    <n v="0.995"/>
    <s v="Metronet"/>
    <s v="100 Mbps"/>
    <m/>
    <n v="354000000"/>
    <m/>
    <m/>
    <n v="180000000"/>
    <m/>
    <d v="2023-12-10T00:00:00"/>
    <d v="2024-12-09T00:00:00"/>
    <x v="0"/>
    <m/>
    <d v="2025-12-24T00:00:00"/>
    <n v="-380"/>
    <n v="12"/>
    <n v="2024"/>
    <n v="4500019393"/>
    <n v="2099"/>
    <n v="4500021798"/>
    <s v="Syifa Artianingsih"/>
    <m/>
    <m/>
    <m/>
    <m/>
    <m/>
    <m/>
    <m/>
    <m/>
    <m/>
    <m/>
    <m/>
    <m/>
  </r>
  <r>
    <n v="1473"/>
    <s v="Indointernet "/>
    <s v="PT Toyota Astra Motor SPLD "/>
    <s v="Rumah Indonet. Jl.Rempoa Raya No. 11 Ciputat. Tangerang Selatan – Banten 15412"/>
    <x v="0"/>
    <s v="Toyota Astra Motor HO (existing) Jl. Yos Sudarso Sunter II Jakarta (existing)"/>
    <s v="Toyota Astra Motor SPLD, Kawasan Industri MM 2100 BI A1-1/A1-2 Cibitung (existing)"/>
    <s v="Sewa Bulanan"/>
    <s v="Interkoneksi"/>
    <s v="ICON-00/SBC/1309/0467"/>
    <s v="0990000320322484"/>
    <n v="0.995"/>
    <s v="Metronet"/>
    <s v="50 Mbps"/>
    <m/>
    <n v="378000000"/>
    <m/>
    <m/>
    <n v="120000000"/>
    <m/>
    <d v="2024-01-01T00:00:00"/>
    <d v="2024-12-31T00:00:00"/>
    <x v="0"/>
    <m/>
    <d v="2025-12-24T00:00:00"/>
    <n v="-358"/>
    <n v="12"/>
    <n v="2024"/>
    <n v="4500019389"/>
    <s v="2103/SPP/SBU/ICON+/2023"/>
    <n v="4500021837"/>
    <s v="Syifa Artianingsih"/>
    <m/>
    <m/>
    <m/>
    <m/>
    <m/>
    <m/>
    <m/>
    <m/>
    <m/>
    <m/>
    <m/>
    <s v="Dismantle per 31 Agustus 2024"/>
  </r>
  <r>
    <n v="1474"/>
    <s v="Indosat Tbk "/>
    <s v="Trans Retail Di Bintaro &amp; Kupang "/>
    <s v="Jl.Medan Merdeka Selatan No.12"/>
    <x v="0"/>
    <m/>
    <m/>
    <s v="Sewa Bulanan"/>
    <s v="Interkoneksi"/>
    <s v="ICON-00/ACT/1711/1474; ICON-00/ACT/1705/1419"/>
    <s v="'0990000320512227; 0990000320664612"/>
    <n v="0.999"/>
    <s v="IPVPN"/>
    <s v="1 Mbps"/>
    <m/>
    <n v="87480000"/>
    <m/>
    <m/>
    <n v="74400000"/>
    <m/>
    <d v="2023-01-01T00:00:00"/>
    <d v="2023-12-31T00:00:00"/>
    <x v="2"/>
    <m/>
    <d v="2025-12-24T00:00:00"/>
    <n v="-724"/>
    <n v="12"/>
    <n v="2023"/>
    <n v="4500019430"/>
    <n v="20889"/>
    <n v="4500019778"/>
    <s v="Syifa Artianingsih"/>
    <m/>
    <m/>
    <m/>
    <m/>
    <m/>
    <m/>
    <m/>
    <m/>
    <n v="107"/>
    <m/>
    <m/>
    <m/>
  </r>
  <r>
    <n v="1475"/>
    <s v="Infrastruktur Bisnis Sejahtera"/>
    <s v="BRI Syariah"/>
    <s v="Jl. Cikini Raya NO. 12 - 14 Cikini Menteng Jakarta Pusat 10330"/>
    <x v="0"/>
    <s v="menara jamsosktek selatan lt.2, jl. Jend. Gatot subroto no. 38"/>
    <s v="kcp cikarang, ruko roxy blok d 19, kab. Bekasi-cikarang-jawa barat"/>
    <s v="Sewa Bulanan"/>
    <s v="Interkoneksi"/>
    <s v="ICON-00/SBC/1303/0431"/>
    <m/>
    <m/>
    <s v="IPVPN"/>
    <s v="1 Mbps"/>
    <m/>
    <n v="27000000"/>
    <m/>
    <m/>
    <n v="18000000"/>
    <m/>
    <d v="2021-11-01T00:00:00"/>
    <d v="2022-10-31T00:00:00"/>
    <x v="2"/>
    <m/>
    <d v="2025-12-24T00:00:00"/>
    <n v="-1150"/>
    <n v="10"/>
    <n v="2022"/>
    <n v="4500015208"/>
    <m/>
    <n v="4500016841"/>
    <s v="Syifa Artianingsih"/>
    <m/>
    <m/>
    <m/>
    <m/>
    <m/>
    <m/>
    <m/>
    <m/>
    <n v="314"/>
    <m/>
    <m/>
    <s v="DEACTIVASI sesuai masa habis PO"/>
  </r>
  <r>
    <n v="1476"/>
    <s v=" Integra Kreasitama Solusindo"/>
    <s v="Bank Mandiri"/>
    <s v="Graha Tirtadi Lt. 303 Jl. Pangeran Antasari No. 18A"/>
    <x v="0"/>
    <m/>
    <s v="7010 KCP Gd. Patrajasa, Jl.Jend.Gatot Subroto Kav.32-34 Jaksel"/>
    <s v="Sewa Bulanan"/>
    <s v="Interkoneksi"/>
    <s v="PA/UPG/2204/0451"/>
    <s v="0990000320542404 "/>
    <n v="0.995"/>
    <s v="IPVPN"/>
    <s v="8 Mbps"/>
    <m/>
    <n v="45818184"/>
    <m/>
    <m/>
    <n v="60000000"/>
    <m/>
    <d v="2022-09-21T00:00:00"/>
    <d v="2023-09-20T00:00:00"/>
    <x v="2"/>
    <m/>
    <d v="2025-12-24T00:00:00"/>
    <n v="-826"/>
    <n v="9"/>
    <n v="2023"/>
    <n v="4500016774"/>
    <n v="19743"/>
    <n v="4500018820"/>
    <s v="Syifa Artianingsih"/>
    <m/>
    <m/>
    <m/>
    <m/>
    <m/>
    <m/>
    <m/>
    <m/>
    <n v="299"/>
    <m/>
    <m/>
    <m/>
  </r>
  <r>
    <n v="1477"/>
    <s v=" Internetwork Komunikasi Indonesia"/>
    <s v="PT Bank Mandiri Taspen"/>
    <s v="Podomoro City Ruko GSA 8DH Lantai 4, Jl. S.Parman - Jakarta Barat, RT.15/RW.5, Tj. Duren Sel., Grogol petamburan, Jakarta, Indonesia"/>
    <x v="0"/>
    <m/>
    <s v="DRC Rempoa Jl. Ir. H. Juanda, Rempoa"/>
    <s v="Sewa Bulanan"/>
    <s v="Interkoneksi"/>
    <s v="PA/ACT/2106/2407 "/>
    <s v="01000158008"/>
    <n v="0.99"/>
    <s v="IPVPN"/>
    <s v="512 Kbps"/>
    <m/>
    <m/>
    <m/>
    <m/>
    <n v="4050000"/>
    <m/>
    <d v="2021-10-01T00:00:00"/>
    <d v="2021-12-31T00:00:00"/>
    <x v="2"/>
    <m/>
    <d v="2025-12-24T00:00:00"/>
    <n v="-1454"/>
    <n v="12"/>
    <n v="2021"/>
    <m/>
    <n v="17432"/>
    <n v="4500017292"/>
    <s v="Syifa Artianingsih"/>
    <m/>
    <m/>
    <m/>
    <m/>
    <m/>
    <m/>
    <m/>
    <m/>
    <m/>
    <m/>
    <m/>
    <s v="Tidak diperpanjang di SBU Jakban"/>
  </r>
  <r>
    <n v="1478"/>
    <s v=" Internetwork Komunikasi Indonesia"/>
    <s v="PT Bank Mandiri Taspen"/>
    <s v="Podomoro City Ruko GSA 8DH Lantai 4, Jl. S.Parman - Jakarta Barat, RT.15/RW.5, Tj. Duren Sel., Grogol petamburan, Jakarta, Indonesia"/>
    <x v="0"/>
    <m/>
    <s v="Jl. Dewi Sartika No.83, RT.6/RW.13, Cawang"/>
    <s v="Sewa Bulanan"/>
    <s v="Interkoneksi"/>
    <s v="PA/ACT/2106/2404 "/>
    <s v="01000157994"/>
    <n v="0.99"/>
    <s v="IPVPN"/>
    <s v="512 Kbps"/>
    <m/>
    <m/>
    <m/>
    <m/>
    <n v="4050000"/>
    <m/>
    <d v="2021-10-01T00:00:00"/>
    <d v="2021-12-31T00:00:00"/>
    <x v="2"/>
    <m/>
    <d v="2025-12-24T00:00:00"/>
    <n v="-1454"/>
    <n v="12"/>
    <n v="2021"/>
    <m/>
    <n v="17431"/>
    <n v="4500017291"/>
    <s v="Syifa Artianingsih"/>
    <m/>
    <m/>
    <m/>
    <m/>
    <m/>
    <m/>
    <m/>
    <m/>
    <m/>
    <m/>
    <m/>
    <s v="Tidak diperpanjang di SBU Jakban"/>
  </r>
  <r>
    <n v="1479"/>
    <s v="Inti Bangun Sejahtera"/>
    <s v="PT Diamond Cold Storage"/>
    <s v="Jl. Riau 23"/>
    <x v="0"/>
    <m/>
    <s v="Jl Pasar Putih Raya Kav 1 Ancol Kec. Pademangan Jakarta Utara DKI jakarta, Indonesia"/>
    <s v="Sewa Bulanan"/>
    <s v="Interkoneksi"/>
    <s v="U111302000049"/>
    <s v="110130200131/04000301037"/>
    <n v="0.995"/>
    <s v="Internet IIX"/>
    <s v="60 Mbps"/>
    <m/>
    <n v="84000000"/>
    <m/>
    <m/>
    <n v="54000000"/>
    <m/>
    <d v="2023-12-15T00:00:00"/>
    <d v="2024-12-14T00:00:00"/>
    <x v="0"/>
    <m/>
    <d v="2025-12-24T00:00:00"/>
    <n v="-375"/>
    <n v="12"/>
    <n v="2024"/>
    <n v="4500019209"/>
    <s v="2098/SPP/SBU/ICON+/2023"/>
    <n v="4500021797"/>
    <s v="Syifa Artianingsih"/>
    <s v="Annisa"/>
    <s v="0888-1389-976"/>
    <m/>
    <m/>
    <m/>
    <m/>
    <m/>
    <n v="368"/>
    <n v="407"/>
    <m/>
    <m/>
    <m/>
  </r>
  <r>
    <n v="1480"/>
    <s v="Jala Lintas Media  "/>
    <s v="Inoac Polytechno"/>
    <s v="Jl. Mayor Oking No. 89 KM 2, Cibinong Bogor 16819_x000a_"/>
    <x v="0"/>
    <s v="Kawasan Industri Bintang Puspita Dwikarya, Kampung Baregbeg, Desa Wanasari, Kec. Teluk Jambe Barat, Karawang 41361 (Backhaul),- ,- ,- ,Indonesia,KEC. TELUK JAMBE VARAT ,Kabupaten Karawang ,Jawa Barat ,Indonesia ,41361   "/>
    <s v=": Jl. Bhumimas II No.2, Talaga, Kec. Cikupa, Tangerang, Banten 15710, Indonesia,CIKUPA ,Kabupaten Tangerang ,Banten ,Indonesia ,15710   "/>
    <s v="Sewa Bulanan"/>
    <s v="Interkoneksi"/>
    <s v="PA/ACT/2103/0900"/>
    <s v="'01000146804"/>
    <n v="0.995"/>
    <s v="Metronet"/>
    <s v="4 Mbps"/>
    <m/>
    <n v="72000000"/>
    <m/>
    <m/>
    <n v="36000000"/>
    <m/>
    <d v="2024-05-20T00:00:00"/>
    <d v="2025-05-19T00:00:00"/>
    <x v="0"/>
    <m/>
    <d v="2025-12-24T00:00:00"/>
    <n v="-219"/>
    <n v="5"/>
    <n v="2025"/>
    <n v="4500020480"/>
    <s v="_x0009_2574/SPP/SBU/ICON+/2024"/>
    <n v="4500022241"/>
    <s v="Syifa Artianingsih"/>
    <s v="Bayu"/>
    <s v="0857-1160-7721"/>
    <m/>
    <m/>
    <m/>
    <m/>
    <m/>
    <m/>
    <m/>
    <s v="H59"/>
    <m/>
    <m/>
  </r>
  <r>
    <n v="1481"/>
    <s v=" Link Net"/>
    <s v="Data Center PT ICON+"/>
    <s v="Citra Graha Lantai 4, Suite 403"/>
    <x v="0"/>
    <s v="Kantor ICON_ DC Gandul JL PLN Ehave"/>
    <s v="Data Center GTN "/>
    <s v="Sewa Bulanan"/>
    <s v="Interkoneksi"/>
    <s v="PA/UPG/2104/0301"/>
    <s v="100230/024"/>
    <m/>
    <s v="Metro (local loop)"/>
    <s v="100 Mbps"/>
    <m/>
    <n v="265200000"/>
    <m/>
    <m/>
    <n v="225000000"/>
    <m/>
    <d v="2021-07-01T00:00:00"/>
    <d v="2022-03-31T00:00:00"/>
    <x v="2"/>
    <m/>
    <d v="2025-12-24T00:00:00"/>
    <n v="-1364"/>
    <n v="3"/>
    <n v="2022"/>
    <n v="4500014943"/>
    <n v="16173"/>
    <n v="4500016471"/>
    <s v="Syifa Artianingsih"/>
    <m/>
    <m/>
    <m/>
    <m/>
    <m/>
    <m/>
    <m/>
    <m/>
    <n v="231"/>
    <m/>
    <m/>
    <m/>
  </r>
  <r>
    <n v="1482"/>
    <s v=" Link Net"/>
    <s v="ICON+ DC Gandul"/>
    <s v="Citra Graha Lantai 4, Suite 403"/>
    <x v="0"/>
    <s v="Kantor ICON_ DC Gandul JL PLN Ehave"/>
    <s v="Data Center GTN"/>
    <s v="Sewa Bulanan"/>
    <s v="Interkoneksi"/>
    <m/>
    <s v="I00230/024"/>
    <m/>
    <s v="Metro (local loop)"/>
    <s v="1 Gbps"/>
    <m/>
    <m/>
    <m/>
    <m/>
    <n v="225000000"/>
    <m/>
    <d v="2021-07-01T00:00:00"/>
    <d v="2022-03-31T00:00:00"/>
    <x v="2"/>
    <m/>
    <d v="2025-12-24T00:00:00"/>
    <n v="-1364"/>
    <n v="3"/>
    <n v="2022"/>
    <m/>
    <n v="16173"/>
    <n v="4500016471"/>
    <s v="Syifa Artianingsih"/>
    <m/>
    <m/>
    <m/>
    <m/>
    <m/>
    <m/>
    <m/>
    <m/>
    <n v="231"/>
    <m/>
    <m/>
    <m/>
  </r>
  <r>
    <n v="1483"/>
    <s v=" Link Net"/>
    <s v="Badan Riset dan Inovasi Nasional"/>
    <s v="centennial Tower 26th Floor, Unit D Jl. Gatot Subroto Kav 24-25 Jakarta 12950"/>
    <x v="0"/>
    <m/>
    <m/>
    <s v="Sewa Bulanan"/>
    <s v="Interkoneksi"/>
    <s v="PA/ACT/2112/2143"/>
    <s v="01000182738"/>
    <n v="0.995"/>
    <s v="Internet Dedicated"/>
    <s v="500 Mbps"/>
    <m/>
    <n v="54545454"/>
    <m/>
    <m/>
    <n v="608240000"/>
    <m/>
    <d v="2022-01-01T00:00:00"/>
    <d v="2022-02-28T00:00:00"/>
    <x v="2"/>
    <m/>
    <d v="2025-12-24T00:00:00"/>
    <n v="-1395"/>
    <n v="2"/>
    <n v="2022"/>
    <m/>
    <n v="17601"/>
    <n v="4500017488"/>
    <s v="Syifa Artianingsih"/>
    <m/>
    <m/>
    <m/>
    <m/>
    <m/>
    <m/>
    <m/>
    <m/>
    <n v="51"/>
    <m/>
    <m/>
    <s v="PROJECT TIM SDA"/>
  </r>
  <r>
    <n v="1484"/>
    <s v="Link Net "/>
    <s v="PT Bumimulia Indah Lestari"/>
    <s v="centennial Tower 26th Floor, Unit D Jl. Gatot Subroto Kav 24-25 Jakarta 12950"/>
    <x v="0"/>
    <s v="-"/>
    <s v="PT. Bumimulia Indah Lestari Kawasan Industri, Jl. Kawasan Marunda Center No.1, Pantai makmur,  Tarumajaya,  Bekasi,  Jawa Barat, Indonesia, 17212"/>
    <s v="Sewa Bulanan"/>
    <s v="Interkoneksi"/>
    <s v="PA/ACT/2111/4084"/>
    <s v="110120202451"/>
    <n v="0.995"/>
    <s v="Metronet"/>
    <s v="10 Mbps"/>
    <m/>
    <n v="126000000"/>
    <m/>
    <m/>
    <n v="92400000"/>
    <m/>
    <d v="2024-06-20T00:00:00"/>
    <d v="2025-06-19T00:00:00"/>
    <x v="0"/>
    <m/>
    <d v="2025-12-24T00:00:00"/>
    <n v="-188"/>
    <n v="6"/>
    <n v="2025"/>
    <n v="4500018070"/>
    <s v="3098/SPP/SBU/PLNICONPLUS/2024"/>
    <n v="4500022572"/>
    <s v="Syifa Artianingsih"/>
    <s v="Bunga"/>
    <s v="0812-8990-0771"/>
    <m/>
    <m/>
    <m/>
    <m/>
    <m/>
    <m/>
    <n v="135"/>
    <n v="133"/>
    <m/>
    <m/>
  </r>
  <r>
    <n v="1485"/>
    <s v="Link Net "/>
    <s v="PT Inoac Polytechno"/>
    <s v="centennial Tower 26th Floor, Unit D Jl. Gatot Subroto Kav 24-25 Jakarta 12950"/>
    <x v="0"/>
    <s v="Kawasan Industri Bintang Puspita Dwikarya, Kampung Baregbeg, Desa Wanasari, Kec. Teluk Jambe Barat, Karawang 41361 "/>
    <s v="Delta Silicon 3 Jalan Rotan 1 Blok F27 No.19A-B Lippo, Cicau,  Kec. Cikarang Pusat,  Bekasi,  Jawa Barat,"/>
    <s v="Sewa Bulanan"/>
    <s v="Interkoneksi"/>
    <s v="AL/2112/140373"/>
    <s v="'01000176754"/>
    <n v="0.995"/>
    <s v="Metronet"/>
    <s v="2 Mbps"/>
    <m/>
    <n v="84000000"/>
    <m/>
    <m/>
    <n v="36000000"/>
    <m/>
    <d v="2022-12-01T00:00:00"/>
    <d v="2023-11-30T00:00:00"/>
    <x v="2"/>
    <m/>
    <d v="2025-12-24T00:00:00"/>
    <n v="-755"/>
    <n v="11"/>
    <n v="2023"/>
    <n v="4500017175"/>
    <n v="19940"/>
    <n v="4500018893"/>
    <s v="Syifa Artianingsih"/>
    <m/>
    <m/>
    <m/>
    <m/>
    <m/>
    <m/>
    <m/>
    <m/>
    <n v="316"/>
    <m/>
    <m/>
    <m/>
  </r>
  <r>
    <n v="1486"/>
    <s v=" Link Net"/>
    <s v="Bank Woori Saudara"/>
    <s v="centennial Tower 26th Floor, Unit D Jl. Gatot Subroto Kav 24-25 Jakarta 12950"/>
    <x v="0"/>
    <s v="Gedung Bank Woori Saudara Jalan Diponegoro No 28  Bandung "/>
    <s v="KCP Union Square Cikarang Ruko Union Square A6 Lippo Cikarang Cibatu"/>
    <s v="Sewa Bulanan"/>
    <s v="Interkoneksi"/>
    <s v="PA/UPG/1909/0258; PA/UPG/1911/0048"/>
    <s v="990000320493866/ 990000320493868"/>
    <n v="0.99"/>
    <s v="IPVPN"/>
    <s v="2 Mbps"/>
    <m/>
    <n v="8100000"/>
    <m/>
    <m/>
    <n v="4574000"/>
    <m/>
    <d v="2022-04-14T00:00:00"/>
    <d v="2022-05-13T00:00:00"/>
    <x v="2"/>
    <m/>
    <d v="2025-12-24T00:00:00"/>
    <n v="-1321"/>
    <n v="5"/>
    <n v="2022"/>
    <n v="4500015653"/>
    <n v="19712"/>
    <n v="4500018776"/>
    <s v="Syifa Artianingsih"/>
    <m/>
    <m/>
    <m/>
    <m/>
    <m/>
    <m/>
    <m/>
    <m/>
    <n v="295"/>
    <m/>
    <m/>
    <m/>
  </r>
  <r>
    <n v="1487"/>
    <s v="Link Net "/>
    <s v="Pertamina Bina Medika"/>
    <s v="centennial Tower 26th Floor, Unit D Jl. Gatot Subroto Kav 24-25 Jakarta 12950"/>
    <x v="0"/>
    <m/>
    <s v="Pertamedika IHC, Menara Sentraya Lt.26, Jl. Iskandarsyah Raya No.1A, RT.3/RW.1, Kantor Pusat, Gedung Wisma Mulia Jl Gatot Subroto no 42, Jakarta 12710"/>
    <s v="Sewa Bulanan"/>
    <s v="Interkoneksi"/>
    <s v="PA/RLK/2211/0006 - AL/2302/9801"/>
    <s v="01000319538"/>
    <n v="0.995"/>
    <s v="Metronet"/>
    <s v="100 Mbps"/>
    <m/>
    <n v="404700000"/>
    <m/>
    <m/>
    <n v="369200000"/>
    <m/>
    <d v="2023-09-28T00:00:00"/>
    <d v="2024-04-30T00:00:00"/>
    <x v="0"/>
    <m/>
    <d v="2025-12-24T00:00:00"/>
    <n v="-603"/>
    <n v="4"/>
    <n v="2024"/>
    <m/>
    <s v="1600/SPP/SBU/ICON+/2024"/>
    <n v="4500022107"/>
    <s v="Syifa Artianingsih"/>
    <s v="Bunga"/>
    <s v="0812-8990-0771"/>
    <m/>
    <m/>
    <m/>
    <m/>
    <m/>
    <n v="231"/>
    <n v="411"/>
    <m/>
    <m/>
    <s v="PO sudah di Upgrade"/>
  </r>
  <r>
    <n v="1488"/>
    <s v="Link Net "/>
    <s v="Komisi Aparatur Sipil Negara"/>
    <s v="centennial Tower 26th Floor, Unit D Jl. Gatot Subroto Kav 24-25 Jakarta 12950"/>
    <x v="0"/>
    <m/>
    <s v="KASN , Gedung Smesco Lantai 14,Jl. Gatot Subroto No.kav. 94,  Pancoran,  Jakarta Selatan,  DKI Jakarta,  Indonesia,  "/>
    <s v="Sewa Bulanan"/>
    <s v="Interkoneksi"/>
    <s v="PA/ACT/2001/1498"/>
    <s v="04000099341"/>
    <n v="0.995"/>
    <s v="Internet Corporate"/>
    <s v="30 Mbps"/>
    <m/>
    <n v="264000000"/>
    <m/>
    <m/>
    <n v="96000000"/>
    <m/>
    <d v="2023-01-01T00:00:00"/>
    <d v="2023-12-31T00:00:00"/>
    <x v="2"/>
    <m/>
    <d v="2025-12-24T00:00:00"/>
    <n v="-724"/>
    <n v="12"/>
    <n v="2023"/>
    <n v="4500017999"/>
    <n v="20946"/>
    <n v="4500019854"/>
    <s v="Syifa Artianingsih"/>
    <m/>
    <m/>
    <m/>
    <m/>
    <m/>
    <m/>
    <m/>
    <m/>
    <s v="G1"/>
    <m/>
    <m/>
    <m/>
  </r>
  <r>
    <n v="1489"/>
    <s v="Link Net "/>
    <s v="Bank Riau Kepri"/>
    <s v="centennial Tower 26th Floor, Unit D Jl. Gatot Subroto Kav 24-25 Jakarta 12950"/>
    <x v="0"/>
    <s v="Lippo Cikarang, Jl. Mataram No.6A, Cibatu, Cikarang Sel., Bekasi, Jawa Barat 17530,- ,Bekasi ,Jawa Barat "/>
    <s v="'DC GTN Lippo Cikarang, Jl. Mataram No.6A, Cibatu, Cikarang Sel., Bekasi, Jawa Barat 17530,- ,Bekasi ,Jawa Barat "/>
    <s v="Sewa Bulanan"/>
    <s v="Interkoneksi"/>
    <s v="PA/UPG/2112/0336"/>
    <s v="01000101672/ 220120500197"/>
    <n v="0.995"/>
    <s v="IPVPN"/>
    <s v="5 Mbps"/>
    <m/>
    <n v="204000000"/>
    <m/>
    <m/>
    <n v="72000000"/>
    <m/>
    <d v="2024-01-06T00:00:00"/>
    <d v="2025-01-05T00:00:00"/>
    <x v="0"/>
    <m/>
    <d v="2025-12-24T00:00:00"/>
    <n v="-353"/>
    <n v="1"/>
    <n v="2025"/>
    <n v="4500019860"/>
    <s v="2376/SPP/SBU/ICON+/2023"/>
    <n v="4500022111"/>
    <s v="Syifa Artianingsih"/>
    <s v="Bunga"/>
    <s v="0812-8990-0771"/>
    <m/>
    <m/>
    <m/>
    <m/>
    <m/>
    <m/>
    <s v="G2"/>
    <s v="H18"/>
    <m/>
    <m/>
  </r>
  <r>
    <n v="1490"/>
    <s v="Link Net "/>
    <s v="PT Supreme Energi Rantau Dedap"/>
    <s v="Centennial Tower 26th Floor, Unit D, Jl. Gatot Subroto Kav 24-25, Jakarta 12930"/>
    <x v="0"/>
    <s v="-"/>
    <s v="PT. Supreme Energi Rantau Dedap, Menara Sentraraya 23 Jl. Iskandarsyah Raya No. 1 A_x000a_Kebayoran Baru,Kecamatan Kebayoran Baru ,Jakarta Selatan ,DKI Jakarta ,Indonesia ,"/>
    <s v="Sewa Bulanan"/>
    <s v="Interkoneksi"/>
    <s v="PA/ACT/2110/0011"/>
    <s v="08000168864/210000003377"/>
    <n v="0.995"/>
    <s v="Internet Corporate &amp; IPVPN"/>
    <s v="10 Mbps"/>
    <m/>
    <n v="600000000"/>
    <m/>
    <m/>
    <n v="138000000"/>
    <m/>
    <d v="2024-01-18T00:00:00"/>
    <d v="2025-01-17T00:00:00"/>
    <x v="2"/>
    <m/>
    <d v="2025-12-24T00:00:00"/>
    <n v="-341"/>
    <n v="1"/>
    <n v="2025"/>
    <n v="4500019861"/>
    <n v="2360"/>
    <n v="4500022182"/>
    <s v="Syifa Artianingsih"/>
    <s v="Bunga"/>
    <s v="0812-8990-0771"/>
    <m/>
    <m/>
    <m/>
    <m/>
    <m/>
    <m/>
    <s v="G3"/>
    <s v="H55"/>
    <m/>
    <m/>
  </r>
  <r>
    <n v="1491"/>
    <s v="Link Net"/>
    <s v="PT Supreme Energy Muara Laboh"/>
    <s v="centennial Tower 26th Floor, Unit D Jl. Gatot Subroto Kav 24-25 Jakarta 12950"/>
    <x v="0"/>
    <m/>
    <s v="Menara Sentraya 23 Jl Iskandarsyah Raya Kebayoran Baru, Jakarta Selatan, DKI Jakarta, Indonesia"/>
    <s v="Sewa Bulanan"/>
    <s v="Interkoneksi"/>
    <s v="PA/ACT/1911/3416"/>
    <s v="08000090393"/>
    <n v="0.995"/>
    <s v="Point to Point"/>
    <s v="10 Mbps"/>
    <m/>
    <n v="420000000"/>
    <m/>
    <m/>
    <n v="120000000"/>
    <m/>
    <d v="2024-02-01T00:00:00"/>
    <d v="2025-01-31T00:00:00"/>
    <x v="2"/>
    <m/>
    <d v="2025-12-24T00:00:00"/>
    <n v="-327"/>
    <n v="1"/>
    <n v="2025"/>
    <n v="4500019956"/>
    <n v="2503"/>
    <n v="4500022412"/>
    <s v="Syifa Artianingsih"/>
    <s v="Bunga"/>
    <s v="0812-8990-0771"/>
    <m/>
    <m/>
    <m/>
    <m/>
    <m/>
    <m/>
    <s v="G38"/>
    <s v="H124"/>
    <m/>
    <m/>
  </r>
  <r>
    <n v="1492"/>
    <s v="Link Net"/>
    <s v="PT Supreme Energy Muara Laboh"/>
    <s v="centennial Tower 26th Floor, Unit D Jl. Gatot Subroto Kav 24-25 Jakarta 12950"/>
    <x v="0"/>
    <m/>
    <s v="Menara Sentraya 23 Jl Iskandarsyah Raya Kebayoran Baru, Jakarta Selatan, DKI Jakarta, Indonesia"/>
    <s v="Sewa Tahunan"/>
    <s v="Colocation"/>
    <s v="PA/ACT/1911/3416"/>
    <m/>
    <m/>
    <m/>
    <m/>
    <m/>
    <n v="420000000"/>
    <m/>
    <m/>
    <n v="5000000"/>
    <m/>
    <d v="2024-02-01T00:00:00"/>
    <d v="2025-01-31T00:00:00"/>
    <x v="2"/>
    <m/>
    <d v="2025-12-24T00:00:00"/>
    <n v="-327"/>
    <n v="1"/>
    <n v="2025"/>
    <n v="4500019956"/>
    <n v="2503"/>
    <n v="4500022413"/>
    <s v="Fajar Paramita"/>
    <s v="Bunga"/>
    <s v="0812-8990-0771"/>
    <m/>
    <m/>
    <m/>
    <m/>
    <m/>
    <m/>
    <s v="G38"/>
    <s v="H128"/>
    <m/>
    <m/>
  </r>
  <r>
    <n v="1493"/>
    <s v="Link Net "/>
    <s v="PT Garuda Nusantara Steel"/>
    <s v="centennial Tower 26th Floor, Unit D Jl. Gatot Subroto Kav 24-25 Jakarta 12950"/>
    <x v="0"/>
    <m/>
    <s v="Kawasan Pergudangan Marunda Center Blok I 10, Sagara Makmur, Bekasi Utara Kabupaten Bekasi, Jawa Barat 17211"/>
    <s v="Sewa Bulanan"/>
    <s v="Interkoneksi"/>
    <s v="PA/ACT/2303/1608"/>
    <s v="01000354685"/>
    <n v="0.995"/>
    <s v="IPVPN"/>
    <s v="5 Mbps"/>
    <m/>
    <n v="72000000"/>
    <m/>
    <m/>
    <n v="54000000"/>
    <m/>
    <d v="2024-05-24T00:00:00"/>
    <d v="2025-05-23T00:00:00"/>
    <x v="0"/>
    <m/>
    <d v="2025-12-24T00:00:00"/>
    <n v="-215"/>
    <n v="5"/>
    <n v="2025"/>
    <n v="4500020207"/>
    <n v="2506"/>
    <n v="4500022211"/>
    <s v="Syifa Artianingsih"/>
    <s v="Bunga"/>
    <s v="0812-8990-0771"/>
    <m/>
    <m/>
    <m/>
    <m/>
    <m/>
    <m/>
    <s v="G120"/>
    <s v="H56"/>
    <m/>
    <m/>
  </r>
  <r>
    <n v="1494"/>
    <s v="Link Net "/>
    <s v="PT PLN Unit Induk Distribusi Jawa Barat (PLN Rayon Cikarang)"/>
    <s v="centennial Tower 26th Floor, Unit D Jl. Gatot Subroto Kav 24-25 Jakarta 12950"/>
    <x v="0"/>
    <s v="[UID JABAR] Bandung Kota Bandung jawa Barat"/>
    <s v="ULP Cikarang"/>
    <s v="Sewa Bulanan"/>
    <s v="Interkoneksi"/>
    <s v="ICON-00/SBC/1712/0380"/>
    <s v="0990000320501693"/>
    <n v="0.995"/>
    <s v="IPVPN"/>
    <s v="1 Mbps"/>
    <m/>
    <n v="37207200"/>
    <m/>
    <m/>
    <n v="25200000"/>
    <m/>
    <d v="2024-07-01T00:00:00"/>
    <d v="2025-06-30T00:00:00"/>
    <x v="2"/>
    <m/>
    <d v="2025-12-24T00:00:00"/>
    <n v="-177"/>
    <n v="6"/>
    <n v="2025"/>
    <n v="4500020800"/>
    <n v="2902"/>
    <n v="4500022443"/>
    <s v="Syifa Artianingsih"/>
    <s v="Bunga"/>
    <s v="0812-8990-0771"/>
    <m/>
    <m/>
    <m/>
    <m/>
    <m/>
    <m/>
    <s v="G167"/>
    <s v="H129"/>
    <m/>
    <m/>
  </r>
  <r>
    <n v="1495"/>
    <s v="Link Net "/>
    <s v="PT Valeo AC Indonesia"/>
    <s v="Centennial Tower 26th Floor, Unit D Jl. Gatot Subroto Kav 24-25 Jakarta 12950"/>
    <x v="0"/>
    <m/>
    <s v="Penguin Bisnis Park, Jl Sungkai 1 Blok F26 No.1D-E Delta Silikon III, Kel Cicau, Cikarang Selatan, Bekasi Regency, West Java 17530"/>
    <s v="Sewa Bulanan"/>
    <s v="Interkoneksi"/>
    <s v="A121303000521"/>
    <s v="121303000931"/>
    <n v="0.995"/>
    <s v="Internet Corporate  "/>
    <s v="10 Mbps"/>
    <m/>
    <n v="73200000"/>
    <m/>
    <n v="4000000"/>
    <n v="58000000"/>
    <m/>
    <d v="2023-10-02T00:00:00"/>
    <d v="2024-10-01T00:00:00"/>
    <x v="2"/>
    <m/>
    <d v="2025-12-24T00:00:00"/>
    <n v="-449"/>
    <n v="10"/>
    <n v="2024"/>
    <m/>
    <n v="1434"/>
    <n v="4500021343"/>
    <s v="Syifa Artianingsih"/>
    <m/>
    <m/>
    <m/>
    <m/>
    <m/>
    <m/>
    <m/>
    <m/>
    <s v="G280"/>
    <m/>
    <m/>
    <s v="Deactive per tanggal 30 September 2024"/>
  </r>
  <r>
    <n v="1496"/>
    <s v="Link Net "/>
    <s v="PT Valeo AC Indonesia"/>
    <s v="Centennial Tower 26th Floor, Unit D Jl. Gatot Subroto Kav 24-25 Jakarta 12950"/>
    <x v="0"/>
    <s v="-"/>
    <s v="Penguin Bisnis Park, Jl Sungkai 1 Blok F26 No.1D-E Delta Silikon III, Kel Cicau, Cikarang Selatan, Bekasi Regency, West Java 17530"/>
    <s v="Sewa Bulanan"/>
    <s v="Interkoneksi"/>
    <s v="A121303000522"/>
    <s v="121303000932"/>
    <n v="0.995"/>
    <s v="Internet Corporate  "/>
    <s v="50 Mbps"/>
    <m/>
    <n v="154200000"/>
    <m/>
    <n v="4000000"/>
    <n v="106000000"/>
    <m/>
    <d v="2023-09-27T00:00:00"/>
    <d v="2024-09-26T00:00:00"/>
    <x v="0"/>
    <m/>
    <d v="2025-12-24T00:00:00"/>
    <n v="-454"/>
    <n v="9"/>
    <n v="2024"/>
    <m/>
    <s v="1436/SPP/SBU/ICON+/2023"/>
    <n v="4500021344"/>
    <s v="Syifa Artianingsih"/>
    <m/>
    <m/>
    <m/>
    <m/>
    <m/>
    <m/>
    <m/>
    <m/>
    <s v="G281"/>
    <m/>
    <m/>
    <s v="Perpanjang 4 Hari"/>
  </r>
  <r>
    <n v="1497"/>
    <s v="Mega Akses Persada "/>
    <s v="PT Indomarco Prismatama"/>
    <s v="Jl. HR. Rasuna Said x-5 Kav 2-3"/>
    <x v="0"/>
    <m/>
    <s v=" Indomaret Tower, RT. 6/RW. 2, Kamal Muara, Kec. Penjaringan, Lt.9 (Interkoneksi Fiberstar)"/>
    <s v="Sewa Bulanan"/>
    <s v="Interkoneksi"/>
    <s v="A821303000036"/>
    <s v="111303010467"/>
    <n v="0.995"/>
    <s v="Internet Corporate "/>
    <s v="5 Mbps"/>
    <m/>
    <n v="0"/>
    <m/>
    <m/>
    <n v="24000000"/>
    <m/>
    <d v="2024-04-01T00:00:00"/>
    <d v="2025-03-31T00:00:00"/>
    <x v="0"/>
    <m/>
    <d v="2025-12-24T00:00:00"/>
    <n v="-268"/>
    <n v="3"/>
    <n v="2025"/>
    <n v="4500020089"/>
    <s v="2677/SPP/SBU/ICON+/2024"/>
    <n v="4500022406"/>
    <s v="Syifa Artianingsih"/>
    <s v="Adi"/>
    <s v="0812-8611-4490"/>
    <m/>
    <m/>
    <m/>
    <m/>
    <m/>
    <m/>
    <n v="109"/>
    <n v="185"/>
    <m/>
    <m/>
  </r>
  <r>
    <n v="1498"/>
    <s v="Mega Akses Persada "/>
    <s v="PT Indomarco Prismatama"/>
    <s v="Jl. HR. Rasuna Said x-5 Kav 2-3"/>
    <x v="0"/>
    <m/>
    <s v="Indomaret Tower, RT. 6/RW. 2, Kamal Muara, Kec. Penjaringan (Interkoneksi Fiberstar),  -,  Jakarta Utara,  DKI Jakarta,  Indonesia,  14470"/>
    <s v="Sewa Bulanan"/>
    <s v="Interkoneksi"/>
    <s v="PA/UPG/2107/0003"/>
    <s v="01000135261"/>
    <s v="99,50%"/>
    <s v="IPVPN"/>
    <s v="100 Mbps"/>
    <m/>
    <n v="492000000"/>
    <m/>
    <m/>
    <n v="120000003"/>
    <m/>
    <d v="2023-07-09T00:00:00"/>
    <d v="2024-07-08T00:00:00"/>
    <x v="0"/>
    <m/>
    <d v="2025-12-24T00:00:00"/>
    <n v="-534"/>
    <n v="7"/>
    <n v="2024"/>
    <s v="19036/SPP/008/PUSAT/ICON+/2022 | 4500018323"/>
    <s v="718/SPP/SBU/ICON+/2023"/>
    <n v="4500020920"/>
    <s v="Syifa Artianingsih"/>
    <s v="Adi"/>
    <s v="0812-8611-4490"/>
    <m/>
    <m/>
    <m/>
    <m/>
    <m/>
    <m/>
    <n v="151"/>
    <m/>
    <m/>
    <m/>
  </r>
  <r>
    <n v="1499"/>
    <s v="MNC Kabel Mediacom "/>
    <s v="PT Santos Jaya Abadi"/>
    <m/>
    <x v="0"/>
    <m/>
    <s v="PT Santos Jaya Abadi MNC land Tower MNC Center Complex Jalan Kebon Sirih No 17 19 Lt 7 Menteng Jakarta Pusat DKI Jakarta"/>
    <s v="Sewa Bulanan"/>
    <s v="Interkoneksi"/>
    <s v="PA/UPG/2104/0197"/>
    <s v="''01000029940"/>
    <n v="0.995"/>
    <s v="IPVPN"/>
    <s v="30 Mbps"/>
    <m/>
    <n v="120000000"/>
    <m/>
    <m/>
    <n v="61800000"/>
    <m/>
    <d v="2023-09-01T00:00:00"/>
    <d v="2024-08-31T00:00:00"/>
    <x v="2"/>
    <m/>
    <d v="2025-12-24T00:00:00"/>
    <n v="-480"/>
    <n v="8"/>
    <n v="2024"/>
    <n v="4500018424"/>
    <n v="847"/>
    <n v="4500020921"/>
    <s v="Syifa Artianingsih"/>
    <m/>
    <m/>
    <m/>
    <m/>
    <m/>
    <m/>
    <m/>
    <m/>
    <n v="155"/>
    <m/>
    <m/>
    <m/>
  </r>
  <r>
    <n v="1500"/>
    <s v="Mora Telematika Indonesia "/>
    <s v="PT Gemilang Sarana Mandiri"/>
    <s v="Grha 9 Lt 6 Jl. Penataran No. 9 Proklamasi Jakarta Pusat 10320"/>
    <x v="0"/>
    <s v="IDC Durentiga, Jl Durentiga Raya No.7 Warung Buncit-, Jakarta Selatan, DKI Jakarta, Indonesia, 12760"/>
    <s v="PT. Gemilang Sarana Mandiri, Jl. Raya Jatinegara Barat No. 44, RT 001 / RW 005, Kp. Melayu, Jatinegara, Jakarta Timur, DKI Jakarta, Indonesia, 13320"/>
    <s v="Sewa Bulanan"/>
    <s v="Interkoneksi"/>
    <s v="PA/ACT/2210/3361"/>
    <s v="01000317249"/>
    <n v="0.995"/>
    <s v="IPVPN"/>
    <s v="30 Mbps"/>
    <m/>
    <n v="37200000"/>
    <m/>
    <m/>
    <n v="12000000"/>
    <m/>
    <d v="2023-11-17T00:00:00"/>
    <d v="2024-11-16T00:00:00"/>
    <x v="2"/>
    <m/>
    <d v="2025-12-24T00:00:00"/>
    <n v="-403"/>
    <n v="11"/>
    <n v="2024"/>
    <n v="4500019444"/>
    <n v="2217"/>
    <n v="4500021924"/>
    <s v="Syifa Artianingsih"/>
    <s v="Reza "/>
    <s v="0812-9411-8417"/>
    <m/>
    <m/>
    <m/>
    <m/>
    <m/>
    <s v="F454"/>
    <s v="G408"/>
    <m/>
    <m/>
    <m/>
  </r>
  <r>
    <n v="1501"/>
    <s v="Mora Telematika Indonesia "/>
    <s v="PT Bank Bukopin "/>
    <s v="Grha 9 Lt 6 Jl. Penataran No. 9 Proklamasi Jakarta Pusat 10320"/>
    <x v="0"/>
    <m/>
    <s v="KCP Menara Sentraya, Menara Sentraya Lantai UG &amp; MZ, Jl Iskandarsyah No 1A, Kebayoran Baru,    Jakarta Selatan, -, Jakarta Selatan, DKI Jakarta, Indonesia, '-"/>
    <s v="Sewa Bulanan"/>
    <s v="Interkoneksi"/>
    <s v="PA/UPG/1810/0006"/>
    <s v="0990000320500608"/>
    <n v="0.995"/>
    <s v="IPVPN"/>
    <s v="2 Mbps"/>
    <m/>
    <n v="72000000"/>
    <m/>
    <m/>
    <n v="36000000"/>
    <m/>
    <d v="2023-07-01T00:00:00"/>
    <d v="2024-06-30T00:00:00"/>
    <x v="2"/>
    <m/>
    <d v="2025-12-24T00:00:00"/>
    <n v="-542"/>
    <n v="6"/>
    <n v="2024"/>
    <n v="4500018213"/>
    <n v="235"/>
    <n v="4500020617"/>
    <s v="Syifa Artianingsih"/>
    <s v="Reza "/>
    <s v="0812-9411-8417"/>
    <m/>
    <m/>
    <m/>
    <m/>
    <m/>
    <m/>
    <n v="266"/>
    <m/>
    <m/>
    <s v="DEACTIVASI per 4 April 2024"/>
  </r>
  <r>
    <n v="1502"/>
    <s v="Mora Telematika Indonesia "/>
    <s v="PT Mitsubishi Electric Indonesia"/>
    <s v="Grha 9 Lt 6 Jl. Penataran No. 9 Proklamasi Jakarta Pusat 10320"/>
    <x v="0"/>
    <s v="(Backhaul) Gedung Jaya Lantai 8, Jl.Mh. Thamrin No.12 Jakarta Pusat 10340, Indonesia  "/>
    <s v="Lippo Cikarang, Delta Silicon 5, Jl Kenari Raya No.7A Sukamahi, Kec.Cikarang Pusat, Kabupaten Bekasi, Jawa Barat, 17530"/>
    <s v="Sewa Bulanan"/>
    <s v="Interkoneksi"/>
    <s v="A821205000047"/>
    <s v="111205023466"/>
    <n v="0.995"/>
    <s v="IPVPN "/>
    <s v="40 Mbps"/>
    <m/>
    <n v="171500000"/>
    <m/>
    <n v="7000000"/>
    <n v="121000012"/>
    <m/>
    <d v="2023-10-30T00:00:00"/>
    <d v="2024-10-29T00:00:00"/>
    <x v="0"/>
    <m/>
    <d v="2025-12-24T00:00:00"/>
    <n v="-421"/>
    <n v="10"/>
    <n v="2024"/>
    <m/>
    <s v="_x0009_968/SPP/SBU/ICON+/2023"/>
    <n v="4500021050"/>
    <s v="Syifa Artianingsih"/>
    <s v="Reza "/>
    <s v="0812-9411-8417"/>
    <m/>
    <m/>
    <m/>
    <m/>
    <m/>
    <m/>
    <n v="380"/>
    <m/>
    <m/>
    <m/>
  </r>
  <r>
    <n v="1503"/>
    <s v="Muklis"/>
    <s v="PT EDMI Indonesia"/>
    <s v="Tendean Square RT.16/RW.2, Petogogan,Kec. Kebayoran Baru, Jakarta Selatan, DKI Jakarta, Indonesia, 12170"/>
    <x v="0"/>
    <m/>
    <s v="Tendean Square RT.16/RW.2, Petogogan,Kec. Kebayoran Baru, Jakarta Selatan, DKI Jakarta, Indonesia, 12170 "/>
    <s v="Sewa Tahunan"/>
    <s v="Colocation"/>
    <s v="PA/ACT/2207/0445/TER"/>
    <m/>
    <m/>
    <m/>
    <m/>
    <n v="3500000"/>
    <n v="30000000"/>
    <m/>
    <m/>
    <n v="5000000"/>
    <m/>
    <d v="2024-08-19T00:00:00"/>
    <d v="2025-08-18T00:00:00"/>
    <x v="0"/>
    <m/>
    <d v="2025-12-24T00:00:00"/>
    <n v="-128"/>
    <n v="8"/>
    <n v="2025"/>
    <m/>
    <s v="4092/SPP/SBU/PLNICONPLUS/2024"/>
    <n v="4500021050"/>
    <s v="Livia Indraswati"/>
    <s v="Muklis"/>
    <s v="0878-7518-3837"/>
    <m/>
    <m/>
    <m/>
    <m/>
    <m/>
    <m/>
    <m/>
    <s v="H334"/>
    <m/>
    <m/>
  </r>
  <r>
    <n v="1504"/>
    <s v="Multi Kontrol Nusantara "/>
    <s v="Pelanggan PT Hipernet Indodata"/>
    <s v="Gedung Wisma Bakrie 1 Lt. 2, Jl. Rasuna Said kav. B-1, Jakarta Selatan"/>
    <x v="0"/>
    <m/>
    <s v="Gedung Teknis Kuningan (Epicentrum Mall PTSP), JL. HR Rasuna Said Kav C / 21, Kuningan, Jakarta Selatan, DKI Jakarta"/>
    <s v="Sewa Bulanan"/>
    <s v="Interkoneksi"/>
    <s v="AL/2209/286463"/>
    <s v="01000139802"/>
    <n v="0.995"/>
    <s v="Metronet"/>
    <s v="50 Mbps"/>
    <m/>
    <n v="29400000"/>
    <m/>
    <m/>
    <n v="120000000"/>
    <m/>
    <d v="2023-01-01T00:00:00"/>
    <d v="2023-12-31T00:00:00"/>
    <x v="2"/>
    <m/>
    <d v="2025-12-24T00:00:00"/>
    <n v="-724"/>
    <n v="12"/>
    <n v="2023"/>
    <n v="4500017748"/>
    <n v="12001"/>
    <n v="4500019896"/>
    <s v="Syifa Artianingsih"/>
    <m/>
    <m/>
    <m/>
    <m/>
    <m/>
    <m/>
    <m/>
    <m/>
    <n v="4"/>
    <m/>
    <m/>
    <s v="Perubahan nama Vendor Menjadi Graha Multimedia Nusantara"/>
  </r>
  <r>
    <n v="1505"/>
    <s v="Multi Kontrol Nusantara "/>
    <s v="Pelanggan PT Hipernet Indodata"/>
    <s v="Gedung Wisma Bakrie 1 Lt. 2, Jl. Rasuna Said kav. B-1, Jakarta Selatan"/>
    <x v="0"/>
    <m/>
    <s v="Gedung Teknis Kuningan (Epicentrum Mall PTSP), JL. HR Rasuna Said Kav C / 21, Kuningan, Jakarta Selatan, DKI Jakarta"/>
    <s v="Sewa Bulanan"/>
    <s v="Interkoneksi"/>
    <s v="J111202000942"/>
    <s v="01000192946"/>
    <n v="0.995"/>
    <s v="Metronet"/>
    <s v="100 Mbps"/>
    <m/>
    <n v="49500000"/>
    <m/>
    <m/>
    <n v="12000000"/>
    <m/>
    <d v="2023-11-01T00:00:00"/>
    <d v="2023-12-31T00:00:00"/>
    <x v="2"/>
    <m/>
    <d v="2025-12-24T00:00:00"/>
    <n v="-724"/>
    <n v="12"/>
    <n v="2023"/>
    <n v="4500019896"/>
    <n v="1548"/>
    <n v="4500021578"/>
    <s v="Syifa Artianingsih"/>
    <m/>
    <m/>
    <m/>
    <m/>
    <m/>
    <m/>
    <m/>
    <m/>
    <n v="371"/>
    <m/>
    <m/>
    <s v="Perubahan nama Vendor Menjadi Graha Multimedia Nusantara"/>
  </r>
  <r>
    <n v="1506"/>
    <s v=" Nettocyber Indonesia"/>
    <s v="PT Bentoel Prima"/>
    <s v="The Manhattan Square Mid Tower 2nd Floor Jl. TB Simatupang 15 Cilandak Timur Jakarta 12560"/>
    <x v="0"/>
    <m/>
    <s v="capital place office, jl. Gatot subroto no. kav 18, rt 6/rw 1 jakarta selatan"/>
    <s v="Sewa Bulanan"/>
    <s v="Interkoneksi"/>
    <s v="PA/UPG/2110/0092"/>
    <s v="04000130969"/>
    <m/>
    <s v="Internet Corporate "/>
    <s v="100 Mbps"/>
    <m/>
    <m/>
    <m/>
    <m/>
    <n v="103000000"/>
    <m/>
    <d v="2021-12-01T00:00:00"/>
    <d v="2022-11-30T00:00:00"/>
    <x v="2"/>
    <m/>
    <d v="2025-12-24T00:00:00"/>
    <n v="-1120"/>
    <n v="11"/>
    <n v="2022"/>
    <m/>
    <n v="17250"/>
    <n v="4500017257"/>
    <s v="Syifa Artianingsih"/>
    <m/>
    <m/>
    <m/>
    <m/>
    <m/>
    <m/>
    <m/>
    <m/>
    <n v="334"/>
    <m/>
    <m/>
    <s v="DEACTIVASI sesuai masa habis PO "/>
  </r>
  <r>
    <n v="1507"/>
    <s v=" Nettocyber Indonesia"/>
    <s v="PT Bentoel Prima"/>
    <s v="The Manhattan Square Mid Tower 2nd Floor Jl. TB Simatupang 15 Cilandak Timur Jakarta 12560"/>
    <x v="0"/>
    <m/>
    <s v="CAPITAL PLACE - LANTAI 6 Jl. Gatot subroto kav 18"/>
    <s v="Sewa Bulanan"/>
    <s v="Interkoneksi"/>
    <s v="PA/ACT/2203/1954"/>
    <s v="01000197917"/>
    <n v="0.995"/>
    <s v="Metronet"/>
    <s v="25 mbps"/>
    <m/>
    <n v="114000000"/>
    <m/>
    <m/>
    <n v="66000000"/>
    <m/>
    <d v="2021-04-07T00:00:00"/>
    <d v="2022-04-06T00:00:00"/>
    <x v="2"/>
    <m/>
    <d v="2025-12-24T00:00:00"/>
    <n v="-1358"/>
    <n v="4"/>
    <n v="2022"/>
    <m/>
    <n v="18289"/>
    <n v="4500017818"/>
    <s v="Syifa Artianingsih"/>
    <m/>
    <m/>
    <m/>
    <m/>
    <m/>
    <m/>
    <m/>
    <m/>
    <n v="116"/>
    <m/>
    <m/>
    <m/>
  </r>
  <r>
    <n v="1508"/>
    <s v=" Nettocyber Indonesia"/>
    <s v="PT Bentoel Prima"/>
    <s v="The Manhattan Square Mid Tower 2nd Floor Jl. TB Simatupang 15 Cilandak Timur Jakarta 12560"/>
    <x v="0"/>
    <m/>
    <s v="CAPITAL PLACE - LANTAI 6 Jl. Gatot subroto kav 18"/>
    <s v="Sewa Bulanan"/>
    <s v="Interkoneksi"/>
    <s v="AL/2204/74715"/>
    <s v="01000174648"/>
    <n v="0.995"/>
    <s v="Metronet"/>
    <s v="2 Mbps"/>
    <m/>
    <n v="108750000"/>
    <m/>
    <m/>
    <n v="54000000"/>
    <m/>
    <d v="2022-07-01T00:00:00"/>
    <d v="2023-06-30T00:00:00"/>
    <x v="2"/>
    <m/>
    <d v="2025-12-24T00:00:00"/>
    <n v="-908"/>
    <n v="6"/>
    <n v="2023"/>
    <n v="4500016496"/>
    <n v="19052"/>
    <n v="4500018322"/>
    <s v="Syifa Artianingsih"/>
    <m/>
    <m/>
    <m/>
    <m/>
    <m/>
    <m/>
    <m/>
    <m/>
    <n v="189"/>
    <m/>
    <m/>
    <m/>
  </r>
  <r>
    <n v="1509"/>
    <s v=" Nettocyber Indonesia"/>
    <s v="PT Bentoel Prima"/>
    <s v="The Manhattan Square Mid Tower 2nd Floor Jl. TB Simatupang 15 Cilandak Timur Jakarta 12560"/>
    <x v="0"/>
    <m/>
    <s v="CAPITAL PLACE - LANTAI 6 Jl. Gatot subroto kav 18"/>
    <s v="Sewa Bulanan"/>
    <s v="Interkoneksi"/>
    <s v="AL/2204/74715"/>
    <s v="990000320517615"/>
    <n v="0.995"/>
    <s v="IPVPN"/>
    <s v="8 Mbps"/>
    <m/>
    <n v="108750000"/>
    <m/>
    <m/>
    <n v="54000000"/>
    <m/>
    <d v="2022-07-01T00:00:00"/>
    <d v="2022-07-31T00:00:00"/>
    <x v="2"/>
    <m/>
    <d v="2025-12-24T00:00:00"/>
    <n v="-1242"/>
    <n v="7"/>
    <n v="2022"/>
    <n v="4500016496"/>
    <n v="19052"/>
    <n v="4500018322"/>
    <s v="Syifa Artianingsih"/>
    <m/>
    <m/>
    <m/>
    <m/>
    <m/>
    <m/>
    <m/>
    <m/>
    <n v="189"/>
    <m/>
    <m/>
    <m/>
  </r>
  <r>
    <n v="1510"/>
    <s v=" Nettocyber Indonesia"/>
    <s v="PT Bentoel Prima"/>
    <s v="The Manhattan Square Mid Tower 2nd Floor Jl. TB Simatupang 15 Cilandak Timur Jakarta 12560"/>
    <x v="0"/>
    <m/>
    <s v="CAPITAL PLACE - LANTAI 6 Jl. Gatot subroto kav 18"/>
    <s v="Sewa Bulanan"/>
    <s v="Interkoneksi"/>
    <s v="AL/2204/74715"/>
    <s v="01000174649"/>
    <n v="0.995"/>
    <s v="Metronet"/>
    <s v="60 Mbps "/>
    <m/>
    <n v="108750000"/>
    <m/>
    <m/>
    <n v="54000000"/>
    <m/>
    <d v="2022-07-01T00:00:00"/>
    <d v="2022-07-31T00:00:00"/>
    <x v="2"/>
    <m/>
    <d v="2025-12-24T00:00:00"/>
    <n v="-1242"/>
    <n v="7"/>
    <n v="2022"/>
    <n v="4500016496"/>
    <n v="19052"/>
    <n v="4500018322"/>
    <s v="Syifa Artianingsih"/>
    <m/>
    <m/>
    <m/>
    <m/>
    <m/>
    <m/>
    <m/>
    <m/>
    <n v="189"/>
    <m/>
    <m/>
    <m/>
  </r>
  <r>
    <n v="1511"/>
    <s v="PC 24 Telekomunikasi Indonesia"/>
    <s v="PT Bank Rakyat Indonesia Syariah"/>
    <s v="Ruko Kebayoran Centre Blok A No. 5"/>
    <x v="0"/>
    <m/>
    <s v="Klinik Putra Medika Jl. Raya Cibarusah, Perumahan Villa Mutiara Cikarang, Sukaresmi, Bekasi, Jawa Barat"/>
    <s v="Sewa Bulanan"/>
    <s v="Interkoneksi"/>
    <s v="PA/ACT/2009/0322/TER"/>
    <m/>
    <m/>
    <s v="IPVPN"/>
    <s v="64 Kbps"/>
    <m/>
    <n v="16909088"/>
    <m/>
    <m/>
    <n v="12000000"/>
    <m/>
    <d v="2021-09-17T00:00:00"/>
    <d v="2022-09-16T00:00:00"/>
    <x v="2"/>
    <m/>
    <d v="2025-12-24T00:00:00"/>
    <n v="-1195"/>
    <n v="9"/>
    <n v="2022"/>
    <n v="4500016559"/>
    <m/>
    <n v="4500016840"/>
    <s v="Syifa Artianingsih"/>
    <m/>
    <m/>
    <m/>
    <m/>
    <m/>
    <m/>
    <m/>
    <m/>
    <n v="313"/>
    <m/>
    <m/>
    <m/>
  </r>
  <r>
    <n v="1512"/>
    <s v="PC 24 Telekomunikasi Indonesia"/>
    <s v="PT Bank Syariah Indonesia Tbk"/>
    <s v="Ruko Kebayoran Centre Blok A No. 5"/>
    <x v="0"/>
    <m/>
    <s v="KCP Bekasi Grand Wisata Ruko Boulevard Grand Wisata Blok AA 11 No 19 dan 20, kel. Lambang Jaya"/>
    <s v="Sewa Bulanan"/>
    <s v="Interkoneksi"/>
    <s v="PA/ACT/2110/4223"/>
    <s v="01000173466"/>
    <n v="0.995"/>
    <s v="IPVPN"/>
    <s v="512 Kbps"/>
    <m/>
    <m/>
    <m/>
    <m/>
    <n v="22000000"/>
    <m/>
    <d v="2021-12-07T00:00:00"/>
    <d v="2022-12-06T00:00:00"/>
    <x v="2"/>
    <m/>
    <d v="2025-12-24T00:00:00"/>
    <n v="-1114"/>
    <n v="12"/>
    <n v="2022"/>
    <m/>
    <n v="17345"/>
    <n v="4500017225"/>
    <s v="Syifa Artianingsih"/>
    <m/>
    <m/>
    <m/>
    <m/>
    <m/>
    <m/>
    <m/>
    <m/>
    <n v="335"/>
    <m/>
    <m/>
    <s v="DEACTIVASI sesuai masa habis PO "/>
  </r>
  <r>
    <n v="1513"/>
    <s v="PC 24 Telekomunikasi Indonesia"/>
    <s v="PT Bank Raya Indonesia"/>
    <s v="Ruko Kebayoran Centre Blok A No. 5"/>
    <x v="0"/>
    <m/>
    <s v="Cabang Kuningan, Plaza Agro Jl HR Rasuna Said No.1 RT.7/RW.4, Kuningan Tim.,Kecamatan Setiabudi, Kota Jakarta Selatam, Daerah Khusus Ibukota Jakarta, 12950, "/>
    <s v="Sewa Bulanan"/>
    <s v="Interkoneksi"/>
    <s v="AL/2203/68142"/>
    <s v="01000130161"/>
    <n v="0.995"/>
    <s v="Metronet"/>
    <s v="1 Mbps"/>
    <m/>
    <n v="36000000"/>
    <m/>
    <m/>
    <n v="18000000"/>
    <m/>
    <d v="2022-09-15T00:00:00"/>
    <d v="2023-09-14T00:00:00"/>
    <x v="2"/>
    <m/>
    <d v="2025-12-24T00:00:00"/>
    <n v="-832"/>
    <n v="9"/>
    <n v="2023"/>
    <n v="4500017606"/>
    <n v="19386"/>
    <n v="4500018653"/>
    <s v="Syifa Artianingsih"/>
    <m/>
    <m/>
    <m/>
    <m/>
    <m/>
    <m/>
    <m/>
    <m/>
    <n v="278"/>
    <m/>
    <m/>
    <m/>
  </r>
  <r>
    <n v="1514"/>
    <s v="PC 24 Telekomunikasi Indonesia"/>
    <s v="Bank Sinarmas"/>
    <s v="Ruko Kebayoran Centre Blok A No. 5"/>
    <x v="0"/>
    <m/>
    <s v="(Bank Sinarmas Kemenag Jaktim) Jl. Terusan I Gusti Ngurah Rai, RT.5/RW.11, Pd. Kopi, Kec. Duren Sawit, Kota Jakarta Timur, Daerah Khusus Ibukota Jakarta 17134"/>
    <s v="Sewa Bulanan"/>
    <s v="Interkoneksi"/>
    <s v="PA/ACT/2112/0041"/>
    <s v="01000175690"/>
    <n v="0.995"/>
    <s v="IPVPN"/>
    <s v="128 Kbps"/>
    <m/>
    <n v="34560000"/>
    <m/>
    <m/>
    <n v="12000000"/>
    <m/>
    <d v="2023-12-09T00:00:00"/>
    <d v="2024-12-08T00:00:00"/>
    <x v="2"/>
    <m/>
    <d v="2025-12-24T00:00:00"/>
    <n v="-381"/>
    <n v="12"/>
    <n v="2024"/>
    <n v="4500019147"/>
    <n v="2358"/>
    <n v="4500022036"/>
    <s v="Syifa Artianingsih"/>
    <s v="Airlin"/>
    <s v="0815-7224-2424"/>
    <m/>
    <m/>
    <m/>
    <m/>
    <m/>
    <s v="F357"/>
    <s v="G397"/>
    <m/>
    <m/>
    <s v="Dismantel Konfirm dari sales tanggal 30 October 2024"/>
  </r>
  <r>
    <n v="1515"/>
    <s v="PC 24 Telekomunikasi Indonesia"/>
    <s v="PT Bank Bukopin Tbk"/>
    <s v="Ruko Kebayoran Centre Blok A No. 5"/>
    <x v="0"/>
    <m/>
    <s v="KCP Sky Line Jl. M.H. Thamrin No.9, RT.2/RW.1, Kb. Sirih,,  Kec. Menteng,  Jakarta Pusat,  DKI Jakarta"/>
    <s v="Sewa Bulanan"/>
    <s v="Interkoneksi"/>
    <s v="PA/RLK/2203/0007"/>
    <s v="'01000195154"/>
    <n v="0.995"/>
    <s v="IPVPN"/>
    <s v="1 Mbps"/>
    <m/>
    <n v="84000000"/>
    <m/>
    <m/>
    <n v="14400000"/>
    <m/>
    <d v="2023-03-29T00:00:00"/>
    <d v="2024-03-28T00:00:00"/>
    <x v="2"/>
    <m/>
    <d v="2025-12-24T00:00:00"/>
    <n v="-636"/>
    <n v="3"/>
    <n v="2024"/>
    <n v="4500017906"/>
    <n v="21790"/>
    <n v="4500020206"/>
    <s v="Syifa Artianingsih"/>
    <m/>
    <m/>
    <m/>
    <m/>
    <m/>
    <m/>
    <m/>
    <m/>
    <n v="92"/>
    <m/>
    <m/>
    <s v="Pertanggal 30 Sept'23"/>
  </r>
  <r>
    <n v="1516"/>
    <s v=" Power Telecom"/>
    <s v="Artha Asia Finance"/>
    <s v="Jl. Tomang Raya Raya No. 43 Jakarta 11440"/>
    <x v="0"/>
    <s v="KENCANA TOWER LT.5 DAN 6 BUSINESS PARK JL RAYA MERUYA ILIR NO 88 KECAMATAN KEBON JERUK KELURAHAN KEBON JERUK JAKARTA BARAT"/>
    <m/>
    <s v="Sewa Bulanan"/>
    <s v="Interkoneksi"/>
    <s v="PA/ACT/1807/0999"/>
    <s v="'020000023242/01000023241"/>
    <n v="0.995"/>
    <s v="Trunk"/>
    <s v="10 Mbps"/>
    <m/>
    <n v="186000000"/>
    <m/>
    <m/>
    <n v="66000000"/>
    <m/>
    <d v="2022-11-01T00:00:00"/>
    <d v="2023-10-31T00:00:00"/>
    <x v="2"/>
    <m/>
    <d v="2025-12-24T00:00:00"/>
    <n v="-785"/>
    <n v="10"/>
    <n v="2023"/>
    <n v="4500017316"/>
    <n v="19926"/>
    <n v="4500018896"/>
    <s v="Syifa Artianingsih"/>
    <m/>
    <m/>
    <m/>
    <m/>
    <m/>
    <m/>
    <m/>
    <m/>
    <n v="317"/>
    <m/>
    <m/>
    <m/>
  </r>
  <r>
    <n v="1517"/>
    <s v=" Prestasi Piranti Informasi"/>
    <s v="Bank Woori- PIK &amp;Bank Woori Central Park"/>
    <s v="Menara Kadin 11th Floor Unit E-G Jl. HR Rasuna Said Blok X-5 kav. 2-3 Jakarta 12950"/>
    <x v="0"/>
    <s v="Kantor Pusat BWS Jalan Diponegoro No.28 Bandung"/>
    <s v="KCP-B Pantai Indah Kapuk Ruko Cordoba Blok A-11 Pantai Indah Kapuk, Kamal Muara, Kec.Penjaringan, Jakarta Utara, DKI Jakarta, Indonesia, 14470 ; KCP-B Central Park Ruko Garden Shopping Arcade No. 9 Ac podomoro City Central Park Grogol Jakarta Barat"/>
    <s v="Sewa Bulanan"/>
    <s v="Interkoneksi"/>
    <s v="PA/UPG/1909/0260; PA/UPG/1909/0264"/>
    <s v="990000320653754; '990000320653753"/>
    <n v="0.995"/>
    <s v="Local Loop"/>
    <s v="2 Mbps"/>
    <m/>
    <n v="101250000"/>
    <m/>
    <m/>
    <n v="6833333.333333333"/>
    <m/>
    <d v="2022-01-01T00:00:00"/>
    <d v="2022-12-31T00:00:00"/>
    <x v="2"/>
    <m/>
    <d v="2025-12-24T00:00:00"/>
    <n v="-1089"/>
    <n v="12"/>
    <n v="2022"/>
    <n v="4500015487"/>
    <n v="16939"/>
    <n v="4500017463"/>
    <s v="Syifa Artianingsih"/>
    <m/>
    <m/>
    <m/>
    <m/>
    <m/>
    <m/>
    <m/>
    <m/>
    <n v="91"/>
    <m/>
    <m/>
    <m/>
  </r>
  <r>
    <n v="1518"/>
    <s v=" Prestasi Piranti Informasi"/>
    <s v="Bank Woori- Garden Shopping "/>
    <s v="Menara Kadin 11th Floor Unit E-G Jl. HR Rasuna Said Blok X-5 kav. 2-3 Jakarta 12950"/>
    <x v="0"/>
    <s v="Kantor Pusat BWS Jalan Diponegoro No.28 Bandung"/>
    <s v="KCP-B Central Park Ruko Garden Shopping Arcade no 9 AC Podomoro City Central Park Grogol Jakarta Barat"/>
    <s v="Sewa Bulanan"/>
    <s v="Interkoneksi"/>
    <s v="PA/UPG/1909/0264"/>
    <s v="990000320653753"/>
    <m/>
    <s v="Local Loop"/>
    <s v="2 Mbps"/>
    <m/>
    <n v="101250000"/>
    <m/>
    <m/>
    <n v="82000000"/>
    <m/>
    <d v="2021-12-01T00:00:00"/>
    <d v="2022-12-31T00:00:00"/>
    <x v="2"/>
    <m/>
    <d v="2025-12-24T00:00:00"/>
    <n v="-1089"/>
    <n v="12"/>
    <n v="2022"/>
    <n v="4500015361"/>
    <n v="16939"/>
    <n v="4500017463"/>
    <s v="Syifa Artianingsih"/>
    <m/>
    <m/>
    <m/>
    <m/>
    <m/>
    <m/>
    <m/>
    <m/>
    <m/>
    <m/>
    <m/>
    <m/>
  </r>
  <r>
    <n v="1519"/>
    <s v="Prestasi Piranti Informasi "/>
    <s v="Lotte Chemical Titan Nusantara"/>
    <s v="Menara Kadin 11th Floor Unit E-G Jl. HR Rasuna Said Blok X-5 kav. 2-3 Jakarta 12950"/>
    <x v="0"/>
    <s v="Raya Merak KM 116 Desa Rawa Arum Pulomerak Gerem Cilegon Kota Cilegon Banten"/>
    <s v="(Interkoneksi Neuvis) Gedung Cyber Jl Kuningan Barat Raya No  8 RT1 /3 Kuningan Barat Mampang Prapatan Jakarta Selatan "/>
    <s v="Sewa Bulanan"/>
    <s v="Interkoneksi"/>
    <s v="AL/2107/53240"/>
    <s v="01000095652"/>
    <n v="0.995"/>
    <s v="Metronet "/>
    <s v="10 Mbps"/>
    <m/>
    <n v="120000000"/>
    <m/>
    <m/>
    <n v="66000000"/>
    <m/>
    <d v="2023-04-13T00:00:00"/>
    <d v="2024-04-12T00:00:00"/>
    <x v="2"/>
    <m/>
    <d v="2025-12-24T00:00:00"/>
    <n v="-621"/>
    <n v="4"/>
    <n v="2024"/>
    <n v="4500017846"/>
    <n v="21833"/>
    <n v="4500020214"/>
    <s v="Syifa Artianingsih"/>
    <m/>
    <m/>
    <m/>
    <m/>
    <m/>
    <m/>
    <m/>
    <m/>
    <n v="86"/>
    <m/>
    <m/>
    <s v="SPP Hold @Pusat, karena Prestasi Piranti Informasi  Sebagai Costumer ICON PLUS  memiliki outstading Tagihan "/>
  </r>
  <r>
    <n v="1520"/>
    <s v=" Rekajasa Akses"/>
    <s v="Trans Retail Transmart Pasaraya"/>
    <m/>
    <x v="0"/>
    <m/>
    <m/>
    <s v="Sewa Bulanan"/>
    <s v="Interkoneksi"/>
    <m/>
    <n v="990000320321199"/>
    <m/>
    <s v="Local loop "/>
    <s v="2 Mbps"/>
    <m/>
    <n v="792000"/>
    <m/>
    <m/>
    <n v="55200000"/>
    <m/>
    <d v="2021-01-01T00:00:00"/>
    <d v="2021-12-31T00:00:00"/>
    <x v="2"/>
    <m/>
    <d v="2025-12-24T00:00:00"/>
    <n v="-1454"/>
    <n v="12"/>
    <n v="2021"/>
    <m/>
    <s v="-"/>
    <n v="4500015654"/>
    <s v="Syifa Artianingsih"/>
    <m/>
    <m/>
    <m/>
    <m/>
    <m/>
    <m/>
    <m/>
    <m/>
    <n v="167"/>
    <m/>
    <m/>
    <s v="-"/>
  </r>
  <r>
    <n v="1521"/>
    <s v=" Rekajasa Akses"/>
    <s v="Food Baverages Indonesia"/>
    <m/>
    <x v="0"/>
    <m/>
    <s v="Pasaraya Blok M Jalan Iskandarsyah II Kebayoran Baru Jakarta Selatan"/>
    <s v="Sewa Bulanan"/>
    <s v="Interkoneksi"/>
    <m/>
    <s v="04000039423"/>
    <m/>
    <s v="Internet Dedicated"/>
    <s v="2 Mbps"/>
    <m/>
    <m/>
    <m/>
    <m/>
    <n v="21120000"/>
    <m/>
    <d v="2021-01-01T00:00:00"/>
    <d v="2021-12-31T00:00:00"/>
    <x v="2"/>
    <m/>
    <d v="2025-12-24T00:00:00"/>
    <n v="-1454"/>
    <n v="12"/>
    <n v="2021"/>
    <m/>
    <s v="-"/>
    <n v="4500015605"/>
    <s v="Syifa Artianingsih"/>
    <m/>
    <m/>
    <m/>
    <m/>
    <m/>
    <m/>
    <m/>
    <m/>
    <n v="201"/>
    <m/>
    <m/>
    <s v="-"/>
  </r>
  <r>
    <n v="1522"/>
    <s v=" Smartfren Telecom TBK"/>
    <s v="Bank Woori Saudara"/>
    <s v="Jl. H Agus Salim No 45"/>
    <x v="0"/>
    <s v="Kantor Pusat BWS Jalan Diponegoro No.28 Bandung"/>
    <s v="Ruko Palais De Paris Blok D No. 11 Sukamahi, Cikarang Pusat Kabupaten Bekasi Jawa barat"/>
    <s v="Sewa Bulanan"/>
    <s v="Interkoneksi"/>
    <s v="PA/ACT/1907/3735"/>
    <s v="'01000007911"/>
    <n v="0.995"/>
    <s v="IPVPN"/>
    <s v="2 Mbps"/>
    <m/>
    <n v="6442419"/>
    <m/>
    <m/>
    <n v="18270975"/>
    <m/>
    <d v="2021-12-16T00:00:00"/>
    <d v="2022-04-10T00:00:00"/>
    <x v="2"/>
    <m/>
    <d v="2025-12-24T00:00:00"/>
    <n v="-1354"/>
    <n v="4"/>
    <n v="2022"/>
    <n v="4500015652"/>
    <n v="17691"/>
    <n v="4500017860"/>
    <s v="Syifa Artianingsih"/>
    <m/>
    <m/>
    <m/>
    <m/>
    <m/>
    <m/>
    <m/>
    <m/>
    <n v="113"/>
    <m/>
    <m/>
    <m/>
  </r>
  <r>
    <n v="1523"/>
    <s v=" Sunvone Communication"/>
    <s v="PT Moda Integrasi Transportasi Jabodetabek"/>
    <s v="Gd plaza Sentral Lt 20"/>
    <x v="0"/>
    <m/>
    <s v="wisma nusantara lt.3, Jl. M.H. Thamrin No. 59, Rt 9/RW5, Gondangdia, kec. Menteng, Jakarta Pusat"/>
    <s v="Sewa Bulanan"/>
    <s v="Interkoneksi"/>
    <s v="PA/ACT/2004/1165/TER"/>
    <m/>
    <m/>
    <s v="Internet Corporate "/>
    <s v="10 Mbps"/>
    <m/>
    <n v="12100000"/>
    <m/>
    <m/>
    <n v="3300557"/>
    <m/>
    <d v="2021-06-24T00:00:00"/>
    <d v="2022-07-22T00:00:00"/>
    <x v="2"/>
    <m/>
    <d v="2025-12-24T00:00:00"/>
    <n v="-1251"/>
    <n v="7"/>
    <n v="2022"/>
    <n v="4500014626"/>
    <n v="16338"/>
    <n v="4500016712"/>
    <s v="Syifa Artianingsih"/>
    <m/>
    <m/>
    <m/>
    <m/>
    <m/>
    <m/>
    <m/>
    <m/>
    <n v="286"/>
    <m/>
    <m/>
    <m/>
  </r>
  <r>
    <n v="1524"/>
    <s v="Supra Primatama Nusantara (Biznet Networks) "/>
    <s v="PT Jakarta Lingko Indonesia"/>
    <s v="MidPlaza 2 Lantai 8 Jl. Jend Sudirman Kav 10 -11"/>
    <x v="0"/>
    <s v="Wisma Nusantara, Lantai 23, Jl. M.H. Thamrin"/>
    <s v="Wisma Nusantara, Lantai 23, Jl. M.H. Thamrin"/>
    <s v="Sewa Bulanan"/>
    <s v="Interkoneksi"/>
    <s v="PA/ACT/2203/1163"/>
    <s v="'0400019731"/>
    <n v="0.995"/>
    <s v="Internet Corporate"/>
    <s v="30 Mbps"/>
    <m/>
    <n v="57600000"/>
    <m/>
    <m/>
    <n v="162000000"/>
    <m/>
    <d v="2023-04-18T00:00:00"/>
    <d v="2024-04-17T00:00:00"/>
    <x v="2"/>
    <m/>
    <d v="2025-12-24T00:00:00"/>
    <n v="-616"/>
    <n v="4"/>
    <n v="2024"/>
    <n v="4500017961"/>
    <m/>
    <n v="4500020479"/>
    <s v="Syifa Artianingsih"/>
    <m/>
    <m/>
    <m/>
    <m/>
    <m/>
    <m/>
    <m/>
    <m/>
    <n v="118"/>
    <m/>
    <m/>
    <s v="DEACTIVASI Per 31 Mart 2024"/>
  </r>
  <r>
    <n v="1525"/>
    <s v="Supra Primatama Nusantara (Biznet Networks)"/>
    <s v="PT Polytama Propindo"/>
    <s v="MidPlaza 2 Lantai 8 Jl. Jend Sudirman Kav 10 -11"/>
    <x v="0"/>
    <s v="Head Office PT Polytama Propindo - Gedung Mid Plaza 2, Jl. Jenderal Sudrman, Jakarta Pusat"/>
    <s v="Jl. Juntinyuat KM. 13, Desa Limbangan Kab. Indramayu, Balongan, Kab Indramayu, Jawa Barat, Indonesia, 45282"/>
    <s v="Sewa Bulanan"/>
    <s v="Interkoneksi"/>
    <s v="PA/ACT/2201/2967"/>
    <s v="01000189276"/>
    <s v="99,50%"/>
    <s v="Metronet"/>
    <s v="30 Mbps"/>
    <m/>
    <n v="144000000"/>
    <m/>
    <m/>
    <n v="111825000"/>
    <m/>
    <d v="2023-06-10T00:00:00"/>
    <d v="2024-06-09T00:00:00"/>
    <x v="0"/>
    <m/>
    <d v="2025-12-24T00:00:00"/>
    <n v="-563"/>
    <n v="6"/>
    <n v="2024"/>
    <n v="4500017931"/>
    <n v="469"/>
    <n v="4500021036"/>
    <s v="Syifa Artianingsih"/>
    <m/>
    <m/>
    <m/>
    <m/>
    <m/>
    <m/>
    <m/>
    <m/>
    <n v="246"/>
    <m/>
    <m/>
    <m/>
  </r>
  <r>
    <n v="1526"/>
    <s v="Telkom Indonesia "/>
    <s v="PT Pertamina Retail"/>
    <s v="Jl.Kebon Sirih No.12, 10110 Jakarta Pusat"/>
    <x v="0"/>
    <m/>
    <s v="SPBU-Cikupa Citra Raya"/>
    <s v="Sewa Bulanan"/>
    <s v="Interkoneksi"/>
    <s v="PA/ACT/2205/2040"/>
    <s v="04000206699"/>
    <n v="0.99"/>
    <s v="Internet Broadband"/>
    <s v="10 Mbps"/>
    <m/>
    <n v="24000000"/>
    <m/>
    <m/>
    <n v="15360000"/>
    <m/>
    <d v="2023-08-15T00:00:00"/>
    <d v="2024-08-14T00:00:00"/>
    <x v="0"/>
    <m/>
    <d v="2025-12-24T00:00:00"/>
    <n v="-497"/>
    <n v="8"/>
    <n v="2024"/>
    <n v="4500018513"/>
    <s v="1121/SPP/SBU/ICON+/2023"/>
    <n v="4500021340"/>
    <s v="Syifa Artianingsih"/>
    <m/>
    <m/>
    <m/>
    <m/>
    <m/>
    <m/>
    <m/>
    <m/>
    <n v="287"/>
    <m/>
    <m/>
    <s v="Proses SPP"/>
  </r>
  <r>
    <n v="1527"/>
    <s v="Telkom Indonesia "/>
    <s v="PT Prodia Widyahusada Boulevard"/>
    <s v="Business Service Telkom lt. 3 Kav. semper Jl. Yos Sudarso, Kav. 23-24, Jakarta Utara, Indonesia"/>
    <x v="0"/>
    <m/>
    <s v="Jl Celebration Boulevard Kav 1 Blok AA No.9"/>
    <s v="Sewa Bulanan"/>
    <s v="Interkoneksi"/>
    <s v="PA/ACT/2211/5293"/>
    <s v="01000320982"/>
    <n v="0.98"/>
    <s v="Metro P2P"/>
    <s v="4 Mbps"/>
    <m/>
    <n v="25200000"/>
    <m/>
    <m/>
    <n v="43920000"/>
    <m/>
    <d v="2024-08-02T00:00:00"/>
    <d v="2025-08-01T00:00:00"/>
    <x v="0"/>
    <m/>
    <d v="2025-12-24T00:00:00"/>
    <n v="-145"/>
    <n v="8"/>
    <n v="2025"/>
    <s v="21202/SPP/008/PUSAT/ICON+/2023 | 4500020057"/>
    <s v="3375/SPP/SBU/PLNICONPLUS/2024"/>
    <n v="4500022820"/>
    <s v="Syifa Artianingsih"/>
    <s v="Rosdiana"/>
    <s v="0813-6147-5293"/>
    <m/>
    <m/>
    <m/>
    <m/>
    <m/>
    <m/>
    <n v="72"/>
    <n v="143"/>
    <m/>
    <m/>
  </r>
  <r>
    <n v="1528"/>
    <s v=" Telkom Indonesia"/>
    <s v="PT Pertamina EP"/>
    <s v="Jl Kebon Sirih No.10"/>
    <x v="0"/>
    <s v="Menara Standart Chartered"/>
    <s v="Jl Prof DR Satrio No. 164, Rt.4/Rw.4, Karet Semanggi, Kecamatan Setia Budi, Kota Jakarta Selatan, DKI Jakarta"/>
    <s v="Sewa Bulanan"/>
    <s v="Interkoneksi"/>
    <s v="A811205000011"/>
    <n v="111205023251"/>
    <n v="0.995"/>
    <s v="IPVPN"/>
    <s v="100 Mbps"/>
    <m/>
    <n v="175167000"/>
    <m/>
    <m/>
    <n v="152293600"/>
    <m/>
    <d v="2023-06-01T00:00:00"/>
    <d v="2023-07-31T00:00:00"/>
    <x v="2"/>
    <m/>
    <d v="2025-12-24T00:00:00"/>
    <n v="-877"/>
    <n v="7"/>
    <n v="2023"/>
    <m/>
    <n v="449"/>
    <n v="4500020787"/>
    <s v="Syifa Artianingsih"/>
    <m/>
    <m/>
    <m/>
    <m/>
    <m/>
    <m/>
    <m/>
    <m/>
    <n v="201"/>
    <m/>
    <m/>
    <s v="Biaya OTC Rp 2,000,000"/>
  </r>
  <r>
    <n v="1529"/>
    <s v="Telkom Indonesia"/>
    <s v="PT Prodia Widyahusada Sudirman"/>
    <s v="Jl. Yos Sudarso Kav 23-24 Jakarta Utara"/>
    <x v="0"/>
    <m/>
    <s v="Jl. Jend. Sudirman Blok A Babakan, Tangerang, Jawa Barat, Indonesia"/>
    <s v="Sewa Bulanan"/>
    <s v="Interkoneksi"/>
    <s v="PA/ACT/2201/3546"/>
    <s v="01000187282"/>
    <n v="0.98"/>
    <s v="IPVPN"/>
    <s v="4 Mbps"/>
    <m/>
    <n v="25200000"/>
    <m/>
    <m/>
    <n v="43920000"/>
    <m/>
    <d v="2024-06-08T00:00:00"/>
    <d v="2025-06-07T00:00:00"/>
    <x v="0"/>
    <m/>
    <d v="2025-12-24T00:00:00"/>
    <n v="-200"/>
    <n v="6"/>
    <n v="2025"/>
    <s v="214/SPP/SBU/ICON+/2023 | 4500020735"/>
    <s v="3395/SPP/SBU/PLNICONPLUS/2024"/>
    <n v="4500022845"/>
    <s v="Syifa Artianingsih"/>
    <s v="Rosdiana"/>
    <s v="0813-6147-5293"/>
    <m/>
    <m/>
    <m/>
    <m/>
    <m/>
    <m/>
    <n v="157"/>
    <n v="142"/>
    <m/>
    <m/>
  </r>
  <r>
    <n v="1530"/>
    <s v="Telkom Indonesia"/>
    <s v="PT PLN (Persero) Kantor Pusat"/>
    <s v="Jl. Sisingamangaraja Kav 4 - 6 Kebayoran Baru Jakarta selatan"/>
    <x v="0"/>
    <s v="[PLN KANTOR PUSAT] ICON+ SERVER GANDUL,Cinere gandul ,Depok ,Jawa Barat ,Indonesia ,   "/>
    <s v="TRUNOJOYO - CYBER TELKOM (DUKCAPIL VIA NNI TELKOMSEL),Gd Cyber Telkom, Gedung Cyber 1 Lt.6, Jl. Kuningan Barat Raya No.8, RT.1/RW.3, Kuningan Bar., Kec. M ,Jakarta Selatan ,DKI Jakarta ,Indonesia ,   "/>
    <s v="Sewa Bulanan"/>
    <s v="Interkoneksi"/>
    <s v="PA/ACT/2110/0120"/>
    <s v="01000163092"/>
    <n v="0.99"/>
    <s v="IPVPN"/>
    <s v="512 Kbps"/>
    <m/>
    <n v="72088704"/>
    <m/>
    <m/>
    <n v="65280020"/>
    <m/>
    <d v="2023-08-30T00:00:00"/>
    <d v="2024-09-29T00:00:00"/>
    <x v="0"/>
    <m/>
    <d v="2025-12-24T00:00:00"/>
    <n v="-451"/>
    <n v="9"/>
    <n v="2024"/>
    <n v="4500018574"/>
    <n v="1180"/>
    <n v="4500021246"/>
    <s v="Syifa Artianingsih"/>
    <m/>
    <m/>
    <m/>
    <m/>
    <m/>
    <m/>
    <m/>
    <m/>
    <n v="249"/>
    <m/>
    <m/>
    <m/>
  </r>
  <r>
    <n v="1531"/>
    <s v="Trans Hybrid Communication "/>
    <s v="Bank Central Asia"/>
    <s v="Graha Trans Hybrid Margonda raya Jl. Salak No. 520 Ruko B-C Depok Jawa Barat"/>
    <x v="0"/>
    <m/>
    <s v="BCA KCP Pondok Gede Plaza (PGP) Ruko Pondok Gede Plaza, Blok H no 3 dan 5"/>
    <s v="Sewa Bulanan"/>
    <s v="Interkoneksi"/>
    <s v="PA/ACT/2302/1399"/>
    <s v="01000343332"/>
    <n v="0.995"/>
    <s v="Metronet"/>
    <s v="6 Mbps"/>
    <m/>
    <n v="94800000"/>
    <m/>
    <m/>
    <n v="33600000"/>
    <m/>
    <d v="2024-03-01T00:00:00"/>
    <d v="2025-02-28T00:00:00"/>
    <x v="0"/>
    <m/>
    <d v="2025-12-24T00:00:00"/>
    <n v="-299"/>
    <n v="2"/>
    <n v="2025"/>
    <n v="450002092"/>
    <s v="2361/SPP/SBU/ICON+/2023"/>
    <n v="4500022183"/>
    <s v="Syifa Artianingsih"/>
    <s v="Pak Adi"/>
    <s v="0812-2090-9395"/>
    <m/>
    <m/>
    <m/>
    <m/>
    <m/>
    <m/>
    <n v="69"/>
    <s v="H21"/>
    <m/>
    <m/>
  </r>
  <r>
    <n v="1532"/>
    <s v=" Trans Indonesia Sueprkoridor"/>
    <s v="PT Jasa Jejaring Wasantara"/>
    <s v="Artha Gading Niaga Blok E11 - 12 Jakarta"/>
    <x v="0"/>
    <m/>
    <s v="Komplek Artha Gading Niaga Blok G Jakarta Utara DKI Jakarta"/>
    <s v="Sewa Bulanan"/>
    <s v="Interkoneksi"/>
    <s v="PA/ACT/2008/2000"/>
    <s v="01000128383"/>
    <n v="0.99"/>
    <s v="Metronet"/>
    <s v="50 Mbps"/>
    <m/>
    <m/>
    <m/>
    <m/>
    <n v="70000000"/>
    <m/>
    <d v="2021-11-17T00:00:00"/>
    <d v="2022-11-16T00:00:00"/>
    <x v="2"/>
    <m/>
    <d v="2025-12-24T00:00:00"/>
    <n v="-1134"/>
    <n v="11"/>
    <n v="2022"/>
    <m/>
    <n v="17120"/>
    <n v="4500017074"/>
    <s v="Syifa Artianingsih"/>
    <m/>
    <m/>
    <m/>
    <m/>
    <m/>
    <m/>
    <m/>
    <m/>
    <n v="329"/>
    <m/>
    <m/>
    <m/>
  </r>
  <r>
    <n v="1533"/>
    <s v=" Trimitra Usaha Sejahtera"/>
    <s v="Badan Riset dan Inovasi Nasional"/>
    <s v="Gedung Office 8 Lt. 18A Jl. Jend Sudirman Kav 52-53 Jakarta 12190"/>
    <x v="0"/>
    <m/>
    <m/>
    <s v="Sewa Bulanan"/>
    <s v="Interkoneksi"/>
    <s v="PA/ACT/2112/2157"/>
    <s v="01000183025"/>
    <n v="0.995"/>
    <s v="Metronet"/>
    <s v="20 Mbps"/>
    <m/>
    <n v="30576000"/>
    <m/>
    <m/>
    <n v="65000000"/>
    <m/>
    <d v="2022-01-18T00:00:00"/>
    <d v="2023-01-17T00:00:00"/>
    <x v="2"/>
    <m/>
    <d v="2025-12-24T00:00:00"/>
    <n v="-1072"/>
    <n v="1"/>
    <n v="2023"/>
    <n v="4500017383"/>
    <n v="17517"/>
    <n v="4500017383"/>
    <s v="Syifa Artianingsih"/>
    <m/>
    <m/>
    <m/>
    <m/>
    <m/>
    <m/>
    <m/>
    <m/>
    <n v="39"/>
    <m/>
    <m/>
    <s v="DEACTIVASI sesuai masa habis PO"/>
  </r>
  <r>
    <n v="1534"/>
    <s v=" Wifiku Indonesia"/>
    <s v="PT Lotte Chemical Titan Nusantara"/>
    <m/>
    <x v="0"/>
    <m/>
    <m/>
    <s v="Sewa Bulanan"/>
    <s v="Interkoneksi"/>
    <m/>
    <m/>
    <m/>
    <s v="Radio"/>
    <s v="4 Mbps"/>
    <m/>
    <m/>
    <m/>
    <m/>
    <n v="21600000"/>
    <m/>
    <d v="2019-07-01T00:00:00"/>
    <d v="2020-06-30T00:00:00"/>
    <x v="2"/>
    <m/>
    <d v="2025-12-24T00:00:00"/>
    <n v="-2003"/>
    <n v="6"/>
    <n v="2020"/>
    <m/>
    <m/>
    <n v="4500012884"/>
    <s v="Syifa Artianingsih"/>
    <m/>
    <m/>
    <m/>
    <m/>
    <m/>
    <m/>
    <m/>
    <m/>
    <m/>
    <m/>
    <m/>
    <s v="Sudah proses perpanjangan dan naik iSPP"/>
  </r>
  <r>
    <n v="1535"/>
    <s v="XL Axiata"/>
    <s v="Pelanggan Komisi Pemberantasan Korupsi"/>
    <s v="XL Axiata Tower, JL. HR Rasuna Said X5 Kav. 11 – 12, Kuningan Timur Setiabudi Jaksel 12950"/>
    <x v="0"/>
    <s v="DC KPK BSD Graha TelkomSigma BSD,  Lantai 5, Wing A (Gedung Sisi Barat), Bumi Serpong Damai, Jalan Kapt. Subijanto Dj, Lengkong Gudang, Kec. Serpong, Kota Tangerang Selatan, Banten,  BSD Tangsel,  Jakarta Selatan,  DKI Jakarta,  Indonesia,  15321"/>
    <s v="PT. XL Axiata. Tbk (Inbuilding JNB 2) Building di Jl. Sumba Blok A-B MM2100 , Cibitung, Bekasi (Rak KPK),- ,- ,- ,Indonesia ,-    "/>
    <s v="Sewa Bulanan"/>
    <s v="Interkoneksi"/>
    <s v="PA/ACT/2012/0459  "/>
    <s v="01000136989"/>
    <n v="0.999"/>
    <s v="Metronet"/>
    <s v="10 Mbps"/>
    <m/>
    <n v="102000000"/>
    <m/>
    <m/>
    <n v="70200000"/>
    <m/>
    <d v="2024-01-28T00:00:00"/>
    <d v="2025-01-27T00:00:00"/>
    <x v="0"/>
    <m/>
    <d v="2025-12-24T00:00:00"/>
    <n v="-331"/>
    <n v="1"/>
    <n v="2025"/>
    <n v="4500019779"/>
    <s v="2500/SPP/SBU/ICON+/2024"/>
    <n v="4500022179"/>
    <s v="Syifa Artianingsih"/>
    <s v="Ibu Egie"/>
    <s v="0877-9210-1961"/>
    <m/>
    <m/>
    <m/>
    <m/>
    <m/>
    <m/>
    <n v="42"/>
    <s v="H57"/>
    <m/>
    <m/>
  </r>
  <r>
    <n v="1536"/>
    <s v="KAI Commuter Jabodetabek "/>
    <s v="PT. Prodia Widyahusada_x000a_PT. BANK SYARIAH BRI KC Bogor _x000a_GIS 150 KV BOGOR BARU II (TAJUR), -, -, -, Indonesia - GI 150 KV CIANJUR_x000a_Bank BJB KCP Suryakencana No.315 Bogor_x000a_Maybank Kim Eng Sekuritas Ruko Mega Mall Pluit_x000a_PT. NAP INFO LINTASNUSA PLAZA KUNINGAN - StanChart Elitery Bogor_x000a_BCA H2H Elitery Data Center_x000a_PT Maybank Kim Eng Securities Indonesia Elitery Recovery Data Center_x000a_Data Sinergi H2H Bank Mandiri_x000a_Aplikanusa Lintasarta Unilever Indonesia_x000a_FUJITSU INDONESIA _x000a_BT Communications Indonesia Graha Unilever_x000a_DATA SINERGITAMA JAYA _x000a_CBN Cyber 2 P2MP QinQ"/>
    <s v="JL.Ir H.Djuanda I"/>
    <x v="0"/>
    <m/>
    <s v="Elitery Data Center; Jl. Raya Pajajaran No.61, RT.06/RW.13, Baranangsiang"/>
    <s v="Sewa Tahunan"/>
    <s v="Colocation"/>
    <s v="1000008128_x000a_990000320370121_x000a_990000320520509_x000a_990000320409433_x000a_1000058903_x000a_990000320368897_x000a_1000135933_x000a_'0990000320470177 _x000a_1000076136_x000a_1000127778_x000a_990000320452699_x000a_990000320478376_x000a_990000320514810_x000a_990000320433457"/>
    <m/>
    <m/>
    <m/>
    <m/>
    <m/>
    <n v="1668963600"/>
    <m/>
    <m/>
    <n v="90000000"/>
    <m/>
    <d v="2023-01-01T00:00:00"/>
    <d v="2023-12-31T00:00:00"/>
    <x v="0"/>
    <m/>
    <d v="2025-12-24T00:00:00"/>
    <n v="-724"/>
    <n v="12"/>
    <n v="2023"/>
    <s v="19055/SPP/008/PUSAT/ICON+/2022 | 4500018320"/>
    <s v="19055/SPP/008/PUSAT/ICON+/2022"/>
    <n v="4500020531"/>
    <s v="Fajar Paramita"/>
    <m/>
    <m/>
    <m/>
    <m/>
    <m/>
    <m/>
    <m/>
    <s v="F184"/>
    <s v="G216"/>
    <m/>
    <m/>
    <s v="1.Biaya Sewa pertahun Rp.90.000.000"/>
  </r>
  <r>
    <n v="1537"/>
    <s v="KAI Commuter Jabodetabek "/>
    <s v="PT. Prodia Widyahusada_x000a_ PT. BANK SYARIAH BRI KC Bogor _x000a_ GIS 150 KV BOGOR BARU II (TAJUR), -, -, -, Indonesia - GI 150 KV CIANJUR_x000a_ Bank BJB KCP Suryakencana No.315 Bogor_x000a_ Maybank Kim Eng Sekuritas Ruko Mega Mall Pluit_x000a_ PT. NAP INFO LINTASNUSA PLAZA KUNINGAN - StanChart Elitery Bogor_x000a_ BCA H2H Elitery Data Center_x000a_ PT Maybank Kim Eng Securities Indonesia Elitery Recovery Data Center_x000a_ Data Sinergi H2H Bank Mandiri_x000a_ Aplikanusa Lintasarta Unilever Indonesia_x000a_ FUJITSU INDONESIA _x000a_ BT Communications Indonesia Graha Unilever_x000a_ DATA SINERGITAMA JAYA _x000a_ CBN Cyber 2 P2MP QinQ"/>
    <s v="Jl. Angkasa (Eks Gedung ADPEL Kemayoran Jakarta 10611"/>
    <x v="0"/>
    <m/>
    <s v="Jl. Jend. Sudirman No. 38-B, Bogor_x000a_ Jl. Jend. Ahmad Yani Bogor_x000a_ Jl. Kapten Muslihat No.25 Central Bogor Bogor West Java 16124 Indonesia_x000a_ Elitery Recovery Data Center, Jalan Padjajaran No.17 Sanggar Ksatria 5 Lantai 5_x000a_ Elitery Recovery Data Center, Jalan Padjajaran No.17 Sanggar Ksatria 5 Lantai 5_x000a_ H2H BCA Elitery Data Center; Jl. Raya Pajajaran No.61, RT.06/RW.13, Baranangsiang_x000a_ Elitery Data Center; Jl. Raya Pajajaran No.61, RT.06/RW.13, Baranangsiang"/>
    <s v="Sewa Tahunan"/>
    <s v="Colocation"/>
    <s v="1000008128_x000a_ 990000320370121_x000a_ 990000320520509_x000a_ 990000320409433_x000a_ 1000058903_x000a_ 990000320368897_x000a_ 1000135933_x000a_ '0990000320470177 _x000a_ 1000076136_x000a_ 1000127778_x000a_ 990000320452699_x000a_ 990000320478376_x000a_ 990000320514810_x000a_ 990000320433457"/>
    <m/>
    <m/>
    <m/>
    <m/>
    <m/>
    <n v="1668963600"/>
    <m/>
    <m/>
    <n v="105010000"/>
    <m/>
    <d v="2021-10-21T00:00:00"/>
    <d v="2024-10-20T00:00:00"/>
    <x v="2"/>
    <m/>
    <d v="2025-12-24T00:00:00"/>
    <n v="-430"/>
    <n v="10"/>
    <n v="2024"/>
    <s v="baru"/>
    <s v="18034/SPP/008/PUSAT/ICON+/2022"/>
    <n v="4500017708"/>
    <s v="Fajar Paramita"/>
    <s v="Febri"/>
    <s v="021-4207689"/>
    <m/>
    <m/>
    <m/>
    <m/>
    <m/>
    <s v="F54"/>
    <m/>
    <m/>
    <m/>
    <s v="1.Biaya sewa tahunan Rp.105.010.000"/>
  </r>
  <r>
    <n v="1538"/>
    <s v="Pusat Pengelolaan Komplek Gelora Bung Karno"/>
    <s v="KOMITE OLIMPIADE INDONESIA"/>
    <s v="Jl.Pintu Satu Selatan Jakarta Pusat"/>
    <x v="0"/>
    <m/>
    <s v="FX Officer Tower Flr. 17 Jl. Pintu Senayan 1 Jakarta 10270 INDONESIA"/>
    <s v="Sewa Tahunan"/>
    <s v="Colocation"/>
    <s v="PA/ACT/2204/4275"/>
    <m/>
    <m/>
    <m/>
    <m/>
    <m/>
    <n v="375000000"/>
    <m/>
    <m/>
    <n v="89400000"/>
    <m/>
    <d v="2023-02-01T00:00:00"/>
    <d v="2024-01-31T00:00:00"/>
    <x v="0"/>
    <m/>
    <d v="2025-12-24T00:00:00"/>
    <n v="-693"/>
    <n v="1"/>
    <n v="2024"/>
    <s v="baru"/>
    <s v="21297/SPP/008/PUSAT/ICON+/2023"/>
    <n v="4500020009"/>
    <s v="Fajar Paramita"/>
    <m/>
    <m/>
    <m/>
    <m/>
    <m/>
    <m/>
    <m/>
    <m/>
    <s v="G44"/>
    <m/>
    <m/>
    <s v="1.Sewa Lahan Utilitas PPKGBK selama 1 tahun Rp.89.400.000"/>
  </r>
  <r>
    <n v="1539"/>
    <s v="Reksa Griya Antam "/>
    <s v="PT ANTAM TBK - Unit Bisnis Pertambangan Emas"/>
    <s v="Jl.Letjen TB Simatupang No. 1 Tanjung Barat"/>
    <x v="0"/>
    <m/>
    <s v="Gedung Aneka Tambang (Antam)"/>
    <s v="Sewa Tahunan"/>
    <s v="Colocation"/>
    <s v="ICON-00/SBC/1801/0538"/>
    <m/>
    <m/>
    <m/>
    <m/>
    <m/>
    <n v="192000000"/>
    <m/>
    <m/>
    <n v="28760500"/>
    <m/>
    <d v="2020-01-01T00:00:00"/>
    <d v="2020-12-31T00:00:00"/>
    <x v="0"/>
    <m/>
    <d v="2025-12-24T00:00:00"/>
    <n v="-1819"/>
    <n v="12"/>
    <n v="2020"/>
    <s v="65/AMD/RGA-COMNET+/XII/2015_x000a_ 12171/AMDVIII/061/ICON+/2015_x000a_ 45000082336 |08016/SPP/008/PUSAT/ICON+/2018|4500011169 | 09703/SPP/008/PUSAT/ICON+/2018 | 4500012194 | 12339/SPP/008/PUSAT/ICON+/2019 | 4500014599"/>
    <s v="12339/SPP/008/PUSAT/ICON+/2019"/>
    <s v="4500014599"/>
    <s v="Fajar Paramita"/>
    <s v="Jauhari"/>
    <s v="021-7891234"/>
    <s v="-"/>
    <s v="B11"/>
    <s v="B274"/>
    <s v="D218"/>
    <m/>
    <m/>
    <m/>
    <m/>
    <m/>
    <s v="1. Sewa Shaft Kabel Rp4.247.100/tahun _x000a_ 2. Sewa Collo Rp12.741.300/tahun_x000a_ 3. Jaminan Rp36.035.655,-_x000a_ 4. Listrik Rp85.000,-/bulan atau Rp1.020.000,-/tahun"/>
  </r>
  <r>
    <n v="1540"/>
    <s v="Restyle Development "/>
    <s v="[PLN KANTOR PUSAT] - DIVISI BISNIS NIAGA DAN PEMASARAN (RECAPITAL BUILDING) , Lt. 8"/>
    <s v="Recapital Building Lt. 10 Jl. Adityawarman Kav. 9 Jakarta 12161"/>
    <x v="0"/>
    <m/>
    <s v="[PLN KANTOR PUSAT] DIVISI BISNIS NIAGA DAN PEMASARAN / RECAPITAL BUILDING lantai 8, Jln.Adityawarman"/>
    <s v="Sewa Tahunan"/>
    <s v="Colocation"/>
    <s v="PA/ACT/1901/2849_x000a_ PA/ACT/1901/2848 PA/ACT/1901/2850 _x000a_ PA/ACT/1902/0213 _x000a_ PA/ACT/1902/0214_x000a_ PA/ACT/1902/0215_x000a_ PA/ACT/1902/0216_x000a_ PA/ACT/1902/0217_x000a_ PA/ACT/1902/0218_x000a_ PA/ACT/1902/0219"/>
    <m/>
    <m/>
    <m/>
    <m/>
    <m/>
    <n v="180120000"/>
    <m/>
    <m/>
    <n v="10000000"/>
    <m/>
    <d v="2019-02-12T00:00:00"/>
    <d v="2020-02-11T00:00:00"/>
    <x v="0"/>
    <m/>
    <d v="2025-12-24T00:00:00"/>
    <n v="-2143"/>
    <n v="2"/>
    <n v="2020"/>
    <s v="baru"/>
    <s v="10269/SPP/008/PUSAT/ICON+/2019"/>
    <n v="4500012498"/>
    <s v="Fajar Paramita"/>
    <s v="Hery Sosiawan"/>
    <s v="021-72794177 Ext.553"/>
    <m/>
    <m/>
    <s v="C24"/>
    <m/>
    <m/>
    <m/>
    <m/>
    <m/>
    <m/>
    <s v="1.Biaya sewa tahunan Rp.10.000.001"/>
  </r>
  <r>
    <n v="1541"/>
    <s v="Restyle Development "/>
    <s v="PT PLN SC"/>
    <s v="Recapital Building Lt. 10 Jl. Adityawarman Kav. 9 Jakarta 12160"/>
    <x v="0"/>
    <m/>
    <s v="PT PJB GEDUNG RECAPITAL Lt.3, Jl. Adityawarman No.55, RT.3/RW.2, Melawai, Kby. Baru, Kota Jakarta Selatan"/>
    <s v="Sewa Tahunan"/>
    <s v="Colocation"/>
    <s v="ICON-00/ACT/1709/1245"/>
    <m/>
    <m/>
    <m/>
    <m/>
    <m/>
    <n v="120000000"/>
    <m/>
    <m/>
    <n v="10000000"/>
    <m/>
    <d v="2021-11-01T00:00:00"/>
    <d v="2024-10-31T00:00:00"/>
    <x v="1"/>
    <m/>
    <d v="2025-12-24T00:00:00"/>
    <n v="-419"/>
    <n v="10"/>
    <n v="2024"/>
    <s v="07731/SPP/008/PUSAT/ICON+/2017 4500011023 | 09375/SPP/008/PUSAT/ICON+/2018 | 4500011967 | 14408/SPP/008/PUSAT/ICON+/2020 | 4500015121"/>
    <s v="1695/SPP/SBU/ICON+/2023"/>
    <n v="4500021700"/>
    <s v="Fajar Paramita"/>
    <s v="Hery Sosiawan"/>
    <s v="021-72794177 Ext.552"/>
    <m/>
    <m/>
    <m/>
    <s v="G323"/>
    <m/>
    <m/>
    <s v="G375"/>
    <m/>
    <m/>
    <s v="1.Biaya sewa tahunan Rp.10.000.000"/>
  </r>
  <r>
    <n v="1542"/>
    <s v="Restyle Development "/>
    <s v="DANA PENSIUN PLN"/>
    <s v="Recapital Building Lt. 10 Jl. Adityawarman Kav. 9 Jakarta 12162"/>
    <x v="0"/>
    <m/>
    <s v="RECAPITAL BUILDING JL. ADITIYAWARMAN NO.55, RT.3/RW.2, MELAWAI, KEC. KBY. BARU, KOTA JAKARTA SELATAN, DAERAH KHUSUS IBUKOTA JAKARTA 12160 "/>
    <s v="Sewa Tahunan"/>
    <s v="Colocation"/>
    <s v="A111303000039"/>
    <m/>
    <m/>
    <m/>
    <m/>
    <m/>
    <n v="102000000"/>
    <m/>
    <m/>
    <n v="5000000"/>
    <m/>
    <d v="2023-04-06T00:00:00"/>
    <d v="2023-10-06T00:00:00"/>
    <x v="0"/>
    <m/>
    <d v="2025-12-24T00:00:00"/>
    <n v="-810"/>
    <n v="10"/>
    <n v="2023"/>
    <s v="baru"/>
    <s v="77/SPP/SBU/ICON+/2023"/>
    <n v="4500020509"/>
    <s v="Fajar Paramita"/>
    <s v="Hery Sosiawan"/>
    <s v="021-72794177 Ext.554"/>
    <m/>
    <m/>
    <m/>
    <m/>
    <m/>
    <m/>
    <m/>
    <m/>
    <m/>
    <s v="1.Biaya sewa 6 bulan Rp.5.000.000,-"/>
  </r>
  <r>
    <n v="1543"/>
    <s v="Restyle Development "/>
    <s v="PTPLN /Geo Dipa"/>
    <s v="Recapital Building Lt. 10 Jl. Adityawarman Kav. 9 Jakarta 12160"/>
    <x v="0"/>
    <m/>
    <s v="Recapital Building Jl. Adityawarman Kav. 55 Jakarta 12160"/>
    <s v="Sewa Tahunan"/>
    <s v="Colocation"/>
    <s v="ICON-00/ACT/1708/0050"/>
    <m/>
    <m/>
    <m/>
    <m/>
    <m/>
    <n v="55000000"/>
    <m/>
    <m/>
    <n v="10000000"/>
    <m/>
    <d v="2020-02-12T00:00:00"/>
    <d v="2021-02-11T00:00:00"/>
    <x v="0"/>
    <m/>
    <d v="2025-12-24T00:00:00"/>
    <n v="-1777"/>
    <n v="2"/>
    <n v="2021"/>
    <s v="3720117/SPR/ICON+/2017 | 08295/SPP/008/PUSAT/ICON+/2018 | 4500011314 "/>
    <s v="12700/SPP/008/PUSAT/ICON+/2020"/>
    <n v="4500015158"/>
    <s v="Fajar Paramita"/>
    <s v="Hery Sosiawan"/>
    <s v="021-72794177 Ext.552"/>
    <m/>
    <m/>
    <m/>
    <s v="D335"/>
    <m/>
    <m/>
    <m/>
    <m/>
    <m/>
    <s v="Sewa Shaft Kabel Fo menuju server PT Geo Dipa Rp10.000.000/tahun"/>
  </r>
  <r>
    <n v="1544"/>
    <s v="Restyle Development "/>
    <s v="PT PLN (Persero) Kantor Pusat"/>
    <s v="Recapital Building Lt. 10 Jl. Adityawarman Kav. 9 Jakarta 12160"/>
    <x v="0"/>
    <m/>
    <s v="Recapital Building Jl. Adityawarman Kav. 55 Jakarta 12160"/>
    <s v="Sewa Tahunan"/>
    <s v="Colocation"/>
    <s v="4000030308_x000a_ 4000030172_x000a_ 4000030171_x000a_ 4000030170_x000a_ 4000030169_x000a_ 1000030613"/>
    <m/>
    <m/>
    <m/>
    <m/>
    <m/>
    <n v="119674980"/>
    <m/>
    <m/>
    <n v="10000000"/>
    <m/>
    <d v="2023-08-07T00:00:00"/>
    <d v="2024-08-06T00:00:00"/>
    <x v="1"/>
    <m/>
    <d v="2025-12-24T00:00:00"/>
    <n v="-505"/>
    <n v="8"/>
    <n v="2024"/>
    <s v="07407/SPP/008/PUSAT/ICON+/2017 | 4500010815 | 08965/SPP/008/PUSAT/ICON+/2018 | 4500011757 | 11113/SPP/008/PUSAT/ICON+/2019 | 4500013263 | 13936/SPP/008/PUSAT/ICON+/2020 | 4500015154| 16292/SPP/008/PUSAT/ICON+/2021| 4500016856 | 18851/SPP/008/PUSAT/ICON+/2022 | 4500018969"/>
    <s v="748/SPP/SBU/ICON+/2023"/>
    <n v="4500021198"/>
    <s v="Fajar Paramita"/>
    <s v="Hery Sosiawan"/>
    <s v="021-72794177 Ext.552"/>
    <m/>
    <s v="B261"/>
    <s v="C192"/>
    <s v="D331"/>
    <s v="E305"/>
    <s v="F339"/>
    <s v="G242"/>
    <m/>
    <m/>
    <s v="Biaya Instalasi Rp.5.000.000,- dan Perizinan Rp.10.000.000,-"/>
  </r>
  <r>
    <n v="1545"/>
    <s v="Restyle Development "/>
    <s v="PT PLN (Persero) Kantor Pusat"/>
    <s v="Recapital Building Lt. 5 Jl. Adityawarman Kav. 9 Jakarta 12160"/>
    <x v="0"/>
    <s v="-"/>
    <s v="Kantor SPI Lantai 5, Jl. Adityawarman No.55, Jakarta Selatan, Kebayoran Baru, Jakarta Selatan, DKI Jakarta"/>
    <s v="Sewa Tahunan"/>
    <s v="Colocation"/>
    <s v="PA/UPG/2304/0281"/>
    <m/>
    <m/>
    <m/>
    <m/>
    <m/>
    <n v="51046800"/>
    <m/>
    <m/>
    <n v="10000000"/>
    <m/>
    <d v="2023-11-15T00:00:00"/>
    <d v="2024-11-14T00:00:00"/>
    <x v="1"/>
    <m/>
    <d v="2025-12-24T00:00:00"/>
    <n v="-405"/>
    <n v="11"/>
    <n v="2024"/>
    <s v="baru"/>
    <s v="2146/SPP/SBU/ICON+/2023"/>
    <n v="4500021820"/>
    <s v="Fajar Paramita"/>
    <s v="Hery Sosiawan"/>
    <s v="021-72794177 Ext.552"/>
    <m/>
    <m/>
    <m/>
    <m/>
    <m/>
    <m/>
    <s v="G366"/>
    <m/>
    <m/>
    <s v="1.Biaya sewa tahunan Rp.10.000.000"/>
  </r>
  <r>
    <n v="1546"/>
    <s v="Restyle Development "/>
    <s v="PT PLN (Persero) Kantor Pusat"/>
    <s v="Recapital Building Lt. 1 dan Lt. GF Jl. Adityawarman Kav. 9 Jakarta 12160"/>
    <x v="0"/>
    <s v="-"/>
    <s v="Lantai 1 dan GF, Jl. Adityawarman No.55, Jakarta Selatan, Kebayoran Baru, Jakarta Selatan, DKI Jakarta"/>
    <s v="Sewa Tahunan"/>
    <s v="Colocation"/>
    <s v="A831303000035"/>
    <m/>
    <m/>
    <m/>
    <m/>
    <m/>
    <n v="55231200"/>
    <m/>
    <m/>
    <n v="10000000"/>
    <m/>
    <d v="2024-11-15T00:00:00"/>
    <d v="2025-11-14T00:00:00"/>
    <x v="1"/>
    <m/>
    <d v="2025-12-24T00:00:00"/>
    <n v="-40"/>
    <n v="11"/>
    <n v="2025"/>
    <s v="2147/SPP/SBU/ICON+/2023 | 4500021819"/>
    <s v="4091/SPP/SBU/PLNICONPLUS/2024"/>
    <n v="4500023382"/>
    <s v="Livia Indraswati"/>
    <s v="Hery Sosiawan"/>
    <s v="021-72794177 Ext.552"/>
    <m/>
    <m/>
    <m/>
    <m/>
    <m/>
    <m/>
    <s v="G365"/>
    <s v="H373"/>
    <m/>
    <s v="1.Biaya sewa tahunan Rp.10.000.000"/>
  </r>
  <r>
    <n v="1547"/>
    <s v="Royal Oriental "/>
    <s v="PT. SMART, TBK"/>
    <s v="Sinar Mas Land Plaza Menara 2 Basement 1_x000a_Jl. MH. Thamrin No. 51 Jakarta 10350"/>
    <x v="0"/>
    <m/>
    <s v="Jl. Tarjun, Kecamatan Kalumpang Hilir, Kabupaten Kotabaru, Kalimantan Selatan, Indonesia, 72161"/>
    <s v="Sewa Tahunan"/>
    <s v="Colocation"/>
    <s v="PA/ACT/2005/0486"/>
    <m/>
    <m/>
    <m/>
    <m/>
    <m/>
    <n v="90000000"/>
    <m/>
    <m/>
    <n v="96000000"/>
    <m/>
    <d v="2022-07-30T00:00:00"/>
    <d v="2024-07-29T00:00:00"/>
    <x v="0"/>
    <m/>
    <d v="2025-12-24T00:00:00"/>
    <n v="-513"/>
    <n v="7"/>
    <n v="2024"/>
    <s v="13938/SPP/008/PUSAT/ICON+/2020| 4500014791"/>
    <s v="19215/SPP/008/PUSAT/ICON+/2022"/>
    <n v="4500018528"/>
    <s v="Fajar Paramita"/>
    <m/>
    <m/>
    <m/>
    <m/>
    <m/>
    <s v="D165"/>
    <m/>
    <s v="F304"/>
    <m/>
    <m/>
    <m/>
    <s v="Biaya Sewa Pertahun 96.000.000"/>
  </r>
  <r>
    <n v="1548"/>
    <s v="Royal Oriental "/>
    <s v="PT. SMART, TBK"/>
    <s v="Sinar Mas Land Plaza Menara 2 Basement 1_x000a_Jl. MH. Thamrin No. 51 Jakarta 10350"/>
    <x v="1"/>
    <m/>
    <s v="Jl. Tarjun, Kecamatan Kalumpang Hilir, Kabupaten Kotabaru, Kalimantan Selatan, Indonesia, 72161"/>
    <s v="Sewa Tahunan"/>
    <s v="Colocation"/>
    <s v="PA/ACT/2005/0486"/>
    <m/>
    <m/>
    <m/>
    <m/>
    <m/>
    <n v="90000000"/>
    <m/>
    <m/>
    <n v="50400000"/>
    <m/>
    <d v="2024-07-30T00:00:00"/>
    <d v="2026-07-29T00:00:00"/>
    <x v="1"/>
    <m/>
    <d v="2025-12-24T00:00:00"/>
    <n v="217"/>
    <n v="7"/>
    <n v="2026"/>
    <m/>
    <s v="3869/SPP/SBU/PLNICONPLUS/2024"/>
    <n v="4500023194"/>
    <s v="Fajar Paramita"/>
    <m/>
    <m/>
    <m/>
    <m/>
    <m/>
    <m/>
    <m/>
    <m/>
    <m/>
    <s v="H321"/>
    <m/>
    <m/>
  </r>
  <r>
    <n v="1549"/>
    <s v="Royal Oriental "/>
    <s v="PT NTT Indonesia"/>
    <s v="Sinar Mas Land Plaza Menara 2 Basement 1_x000a_Jl. MH. Thamrin No. 51 Jakarta 10350"/>
    <x v="0"/>
    <m/>
    <s v="Plaza BII Tower II Jl. MH Thamrin No. 51 Jakarta Pusat (Bank Mizuho Indonesia Level 24 - Pelanggan PT NTT Indonesia SO No. ICON-00/ACT/1605/0716)"/>
    <s v="Sewa Tahunan"/>
    <s v="Colocation"/>
    <s v="ICON-00/ACT/1605/0716"/>
    <m/>
    <m/>
    <m/>
    <m/>
    <m/>
    <n v="480000000"/>
    <m/>
    <m/>
    <n v="84207600"/>
    <m/>
    <d v="2019-08-29T00:00:00"/>
    <d v="2020-08-28T00:00:00"/>
    <x v="0"/>
    <m/>
    <d v="2025-12-24T00:00:00"/>
    <n v="-1944"/>
    <n v="8"/>
    <n v="2020"/>
    <s v="091503/MI/004/PUSAT/ICON+/2016 | 4500009872 | 450000987 |07489/SPP/008/PUSAT/ICON+/2017 | 4500010869 | 08827/SPP/008/PUSAT/ICON+/2018 | 4500011677"/>
    <s v="11175/SPP/008/PUSAT/ICON+/2019"/>
    <n v="4500013093"/>
    <s v="Fajar Paramita"/>
    <s v="Dorotia"/>
    <s v="021-2301441_x000a_ 021-3910807"/>
    <n v="125"/>
    <s v="B167"/>
    <s v="C173"/>
    <m/>
    <m/>
    <m/>
    <m/>
    <m/>
    <m/>
    <s v="1. Pembayaran Sewa Penempatan Kabel FO u 226 m dan lebar 0,1 m Rp.84.207.600 ,-/tahun_x000a_ 2. Jaminan Rp6.000.000,-"/>
  </r>
  <r>
    <n v="1550"/>
    <s v="Royal Oriental "/>
    <s v="PT. MORA TELEMATIKA INDONESIA"/>
    <s v="Sinar Mas Land Plaza Menara 2 Basement 1_x000a_Jl. MH. Thamrin No. 51 Jakarta 10350"/>
    <x v="0"/>
    <m/>
    <s v="Plaza BII, Jl. MH Thamrin, Jakarta Pusat"/>
    <s v="Sewa Tahunan"/>
    <s v="Colocation"/>
    <s v="PA/ACT/1908/4438"/>
    <m/>
    <m/>
    <m/>
    <m/>
    <m/>
    <n v="90000000"/>
    <m/>
    <m/>
    <n v="31752000"/>
    <m/>
    <d v="2020-10-21T00:00:00"/>
    <d v="2021-10-20T00:00:00"/>
    <x v="2"/>
    <m/>
    <d v="2025-12-24T00:00:00"/>
    <n v="-1526"/>
    <n v="10"/>
    <n v="2021"/>
    <s v="13938/SPP/008/PUSAT/ICON+/2020 | 4500013431"/>
    <s v="14603/SPP/008/PUSAT/ICON+/2020"/>
    <n v="4500015224"/>
    <s v="Fajar Paramita"/>
    <m/>
    <m/>
    <m/>
    <m/>
    <s v="C230"/>
    <s v="D317"/>
    <m/>
    <m/>
    <m/>
    <m/>
    <m/>
    <m/>
  </r>
  <r>
    <n v="1551"/>
    <s v="SAMADISTA KARYA, PT"/>
    <s v="PT. ASTRA GRAPHIA INFORMASI TECHNOLOGY_x000a_ PT. ASTRA INTERNATIONAL_x000a_ PT. TOYOTA ASTRA FINANCIAL SERVICES"/>
    <s v="Jl Tb Simatupang RT 004 RW 001 KAV.15 Jakarta Selatan"/>
    <x v="0"/>
    <m/>
    <s v="Menara FIF, lantai 1st on Jalan TB Simatupang kav.15 Cilandak Barat Jakarta 12430 (DRC)-(relokasi ruang server), Cilandak, Jakarta Selatan, DKI Jakarta, Indonesia."/>
    <s v="Sewa Tahunan"/>
    <s v="Colocation"/>
    <s v="&quot;PA/ACT/1806/0079_x000a_ &quot;ICON-00/SBC/1509/0095_x000a_ AL/1805/2823_x000a_ ICON-00/SBC/1211/0462"/>
    <m/>
    <m/>
    <m/>
    <m/>
    <m/>
    <n v="23850000"/>
    <m/>
    <m/>
    <n v="50000000"/>
    <m/>
    <d v="2024-01-01T00:00:00"/>
    <d v="2024-12-31T00:00:00"/>
    <x v="0"/>
    <m/>
    <d v="2025-12-24T00:00:00"/>
    <n v="-358"/>
    <n v="12"/>
    <n v="2024"/>
    <s v="12412/SPP/008/PUSAT/ICON+/2019 | 4500013729 | 14935/SPP/008/PUSAT/ICON+/2020 | 4500015692 | 17081/SPP/008/PUSAT/ICON+/2021 | 4500017141 | 20629/SPP/008/PUSAT/ICON+/2022 | 4500019626"/>
    <s v="2463/SPP/SBU/ICON+/2024"/>
    <n v="4500023005"/>
    <s v="Fajar Paramita"/>
    <m/>
    <m/>
    <m/>
    <m/>
    <s v="C266"/>
    <m/>
    <s v="E39"/>
    <s v="E401"/>
    <s v="F461"/>
    <s v="H247"/>
    <m/>
    <s v="1.Biaya Sewa Shaft Rp.20.000.000,- 2.Biaya Sewa Rack Rp.30.000.000,-"/>
  </r>
  <r>
    <n v="1552"/>
    <s v="Sampoerna Land "/>
    <s v="PT AEK TARUM_x000a_ PT. BINASAWIT MAKMUR"/>
    <s v="Jl Jend Sudirman Kav 45-46 Lever Mezzanine Jakarta Selatan 12930"/>
    <x v="0"/>
    <m/>
    <s v="Sampoerna Strategic Square Tower A Lantai 19, Jalan Jenderal Sudirman Kav. 45-46, RT.3/RW.4, Karet Semanggi, Jakarta"/>
    <s v="Sewa Tahunan"/>
    <s v="Colocation"/>
    <s v="PA/ACT/1901/1720_x000a_ PA/ACT/1901/1721"/>
    <m/>
    <m/>
    <m/>
    <m/>
    <m/>
    <n v="180000000"/>
    <m/>
    <m/>
    <n v="63525000"/>
    <m/>
    <d v="2023-05-01T00:00:00"/>
    <d v="2024-04-30T00:00:00"/>
    <x v="0"/>
    <m/>
    <d v="2025-12-24T00:00:00"/>
    <n v="-603"/>
    <n v="4"/>
    <n v="2024"/>
    <s v="10744/SPP/008/PUSAT/ICON+/2019 | 4500012754 | 12491/SPP/008/PUSAT/ICON+/2020 | 4500013808| 15415/SPP/008/PUSAT/ICON+/2021| 4500015992 | 17858/SPP/008/PUSAT/ICON+/2022 | 4500017828"/>
    <m/>
    <s v="4500020368"/>
    <s v="Fajar Paramita"/>
    <s v="Tri Sunarti"/>
    <s v="021-5770001-4"/>
    <m/>
    <m/>
    <s v="C86"/>
    <s v="D17"/>
    <s v="E129"/>
    <s v="F274"/>
    <s v="G100"/>
    <m/>
    <m/>
    <s v="sewa jalur kabel sebesar Rp.60.500.000,-"/>
  </r>
  <r>
    <n v="1553"/>
    <s v="Samudera Data Indonesia"/>
    <s v="PT. TELEKOMUNIKASI INDONESIA INTERNATIONAL"/>
    <s v="Gedung Cyber 1 No.8"/>
    <x v="0"/>
    <m/>
    <s v="DC TELIN, Jalan Medan Merdeka Timur No.5 Gedung Perhubungan Lantai 1"/>
    <s v="Sewa Tahunan"/>
    <s v="Cross Connect"/>
    <s v="PA/ACT/2210/1177"/>
    <m/>
    <m/>
    <m/>
    <m/>
    <m/>
    <n v="348000000"/>
    <m/>
    <m/>
    <n v="18000000"/>
    <m/>
    <d v="2022-11-01T00:00:00"/>
    <d v="2023-10-31T00:00:00"/>
    <x v="2"/>
    <m/>
    <d v="2025-12-24T00:00:00"/>
    <n v="-785"/>
    <n v="10"/>
    <n v="2023"/>
    <s v="baru"/>
    <n v="20313"/>
    <n v="4500019279"/>
    <s v="Fajar Paramita"/>
    <m/>
    <m/>
    <m/>
    <m/>
    <m/>
    <m/>
    <m/>
    <s v="F369"/>
    <m/>
    <m/>
    <m/>
    <m/>
  </r>
  <r>
    <n v="1554"/>
    <s v="Samudera Data Indonesia"/>
    <s v="PT. NOSAIRIS TEKNOLOGI SOLUTIONS"/>
    <s v="Gedung Cyber 1 No.8"/>
    <x v="0"/>
    <m/>
    <s v="DCI Cibitung Gd. JK 1 Jl. Halmahera Blok. F1 No. 1, Danau Indah, Cikarang Barat, Bekasi, Kawasan Industri MM2100 Cibitung DCI Gd. JK 1, Cikarang, Jawa Barat, Indonesia,"/>
    <s v="Sewa Tahunan"/>
    <s v="Cross Connect"/>
    <s v="PA/ACT/2201/1485"/>
    <m/>
    <m/>
    <m/>
    <m/>
    <m/>
    <n v="38568000"/>
    <m/>
    <m/>
    <n v="12000000"/>
    <m/>
    <d v="2024-02-01T00:00:00"/>
    <d v="2025-01-31T00:00:00"/>
    <x v="0"/>
    <m/>
    <d v="2025-12-24T00:00:00"/>
    <n v="-327"/>
    <n v="1"/>
    <n v="2025"/>
    <s v="17759/SPP/008/PUSAT/ICON+/2022 | 4500017597 | 21652 | 4500020355"/>
    <n v="2638"/>
    <n v="4500022313"/>
    <s v="Fajar Paramita"/>
    <m/>
    <m/>
    <m/>
    <m/>
    <m/>
    <m/>
    <m/>
    <s v="F50"/>
    <s v="G215"/>
    <s v="H108"/>
    <m/>
    <m/>
  </r>
  <r>
    <n v="1555"/>
    <s v="Samudera Data Indonesia"/>
    <s v="PT China Telecom Indonesia"/>
    <s v="Gedung Cyber 1 No.8"/>
    <x v="0"/>
    <m/>
    <s v="DRC PT Satata Neka Tama Cyber Building 3rd Floor Jl. Kuningan Barat No.8,  Cyber,  Jakarta Selatan,  DKI Jakarta,  Indonesia,  12710"/>
    <s v="Sewa Tahunan"/>
    <s v="Cross Connect"/>
    <s v="PA/ACT/2005/0852"/>
    <m/>
    <m/>
    <m/>
    <m/>
    <m/>
    <n v="84000000"/>
    <m/>
    <m/>
    <n v="22874201"/>
    <m/>
    <d v="2023-10-01T00:00:00"/>
    <d v="2024-09-30T00:00:00"/>
    <x v="2"/>
    <m/>
    <d v="2025-12-24T00:00:00"/>
    <n v="-450"/>
    <n v="9"/>
    <n v="2024"/>
    <s v="17791/SPP/008/PUSAT/ICON+/20223"/>
    <s v="2133/SPP/SBU/ICON+/2023"/>
    <n v="4500021834"/>
    <s v="Fajar Paramita"/>
    <m/>
    <m/>
    <m/>
    <m/>
    <m/>
    <m/>
    <m/>
    <s v="F147"/>
    <m/>
    <m/>
    <m/>
    <m/>
  </r>
  <r>
    <n v="1556"/>
    <s v="Samudera Data Indonesia"/>
    <s v="PT. ABADI TAMBAH MULIA INTERNASIONAL (ATMI)_x000a_ PT. BANK PERKREDITAN RAKYAT KARYAJATNIKA SADAYA"/>
    <s v="Gedung Cyber 1 No.8"/>
    <x v="0"/>
    <m/>
    <s v="Gedung Cyber Lantai 3 Jl. Kuningan Barat Raya No.8, Mampang Prapatan, jakarta Selatan"/>
    <s v="Sewa Tahunan"/>
    <s v="Colocation"/>
    <s v="PA/ACT/1908/2157_x000a_ ICON-00/ACT/1708/0193"/>
    <m/>
    <m/>
    <m/>
    <m/>
    <m/>
    <n v="25200000"/>
    <m/>
    <m/>
    <n v="25200000"/>
    <m/>
    <d v="2023-09-01T00:00:00"/>
    <d v="2024-08-31T00:00:00"/>
    <x v="0"/>
    <m/>
    <d v="2025-12-24T00:00:00"/>
    <n v="-480"/>
    <n v="8"/>
    <n v="2024"/>
    <s v="13765/SPP/008/PUSAT/ICON+/2020 | 4500016253"/>
    <n v="2100"/>
    <n v="4500021699"/>
    <s v="Fajar Paramita"/>
    <m/>
    <m/>
    <m/>
    <m/>
    <s v="C249"/>
    <s v="E197"/>
    <m/>
    <m/>
    <s v="G374"/>
    <m/>
    <m/>
    <m/>
  </r>
  <r>
    <n v="1557"/>
    <s v="Samudera Data Indonesia"/>
    <s v="PT. ABADI TAMBAH MULIA INTERNASIONAL (ATMI)"/>
    <s v="Gedung Cyber 1 No.8"/>
    <x v="0"/>
    <m/>
    <s v="Gedung Cyber1, Lantai 3, Jalan No.8 RT.1/RW.3 (RAK 35 PT. SMS), Kuningan Barat, Mampang Prapatan, Jakarta Selatan, DKI Jakarta, Indonesia, 13450."/>
    <s v="Sewa Tahunan"/>
    <s v="Cross Connect"/>
    <s v="PA/ACT/1908/2157_x000a_ PA/ACT/1908/2158_x000a_ PA/ACT/1908/2160"/>
    <m/>
    <m/>
    <m/>
    <m/>
    <m/>
    <n v="46800000"/>
    <m/>
    <m/>
    <n v="8400000"/>
    <m/>
    <d v="2021-10-01T00:00:00"/>
    <d v="2021-09-23T00:00:00"/>
    <x v="2"/>
    <m/>
    <d v="2025-12-24T00:00:00"/>
    <n v="-1553"/>
    <n v="9"/>
    <n v="2021"/>
    <s v="11665/SPP/008/PUSAT/ICON+/2019 | 4500013277 | 16077/SPP/008/PUSAT/ICON+/2021 | 4500016329"/>
    <n v="16077"/>
    <n v="4500016329"/>
    <s v="Fajar Paramita"/>
    <m/>
    <m/>
    <m/>
    <m/>
    <s v="C194"/>
    <m/>
    <s v="E161"/>
    <m/>
    <m/>
    <m/>
    <m/>
    <m/>
  </r>
  <r>
    <n v="1558"/>
    <s v="Sanggar Mustika Indah "/>
    <s v="PT. HUTCHISON 3 INDONESIA"/>
    <s v="Menara Mulia Jl. Jendral Gatot Subroto Kav. 9-11 Karet Semanggi, Setiabudi Jakarta 12930"/>
    <x v="0"/>
    <m/>
    <s v="Menara Mulia Jl. Jend. Gatot Subroto Kav. 9-11 Jakarta 12930"/>
    <s v="Sewa Tahunan"/>
    <s v="Colocation"/>
    <s v="990000320511959_x000a_ 990000320477676_x000a_ 990000320477674_x000a_ 990000320477671_x000a_ 990000320477669_x000a_ 990000320477668_x000a_ 990000320477667_x000a_ 990000320477649_x000a_ 990000320477648_x000a_ 990000320477647_x000a_ 990000320477666_x000a_ 990000320477664_x000a_ 990000320477660_x000a_ 990000320477657_x000a_ 990000320477652"/>
    <m/>
    <m/>
    <m/>
    <m/>
    <m/>
    <n v="2479200000"/>
    <m/>
    <m/>
    <n v="2760000"/>
    <m/>
    <d v="2022-01-01T00:00:00"/>
    <d v="2022-01-09T00:00:00"/>
    <x v="0"/>
    <m/>
    <d v="2025-12-24T00:00:00"/>
    <n v="-1445"/>
    <n v="1"/>
    <n v="2022"/>
    <s v="4500009544 |4500010557 |07039/SPP/008/PUSAT/ICON+/2017 | 08517/SPP/008/PUSAT/ICON+/2018 | 4500011510 | 11094/SPP/008/PUSAT/ICON+/2019 | 4500012981 | 13600/SPP/008/PUSAT/ICON+/2020 | 4500014650 | 16252/SPP/008/PUSAT/ICON+/2021 | 4500016454"/>
    <s v="17353/SPP/008/PUSAT/ICON+/2021"/>
    <s v="4500017283"/>
    <s v="Fajar Paramita"/>
    <s v="Indiera"/>
    <s v="021-5222579"/>
    <m/>
    <s v="B94"/>
    <s v="C140"/>
    <s v="D207"/>
    <s v="E245"/>
    <s v="E406"/>
    <m/>
    <m/>
    <m/>
    <s v="1. Sewa Collo 2 m2 Rp100.000.000,-_x000a_ 2. Biaya Jaminan senilai 3 bulan masa sewa USD 1725_x000a_ 3. Biaya Supervisi Rp50.000/jam total 7 jam_x000a_ 4. Biaya reinstate Rp100.000/lot total 13 lot (dr lt.4 ke lt.19)"/>
  </r>
  <r>
    <n v="1559"/>
    <s v="Sanggarcipta Kreasitama "/>
    <s v="SKK Migas_x000a_ Bank ICBC"/>
    <s v="Wisma Mulia Jalan Gatot Subroto No. 42 Kuningan Barat Mampang Prapatan Jakarta 12710"/>
    <x v="0"/>
    <m/>
    <s v="Wisma Mulia Jl. Jend. Gatot Subroto No. 42 Jakarta"/>
    <s v="Sewa Tahunan"/>
    <s v="Colocation"/>
    <s v="PA/ACT/1903/2071 _x000a_ PA/ACT/1903/2070_x000a_ AL/1809/9776_x000a_ ICON-00/SBC/1505/0486_x000a_ ICON-00/SBC/1302/0405_x000a_ ICON-00/SBC/1302/0406"/>
    <m/>
    <m/>
    <m/>
    <m/>
    <m/>
    <n v="957188496"/>
    <m/>
    <m/>
    <n v="300000000"/>
    <m/>
    <d v="2019-08-18T00:00:00"/>
    <d v="2020-08-17T00:00:00"/>
    <x v="2"/>
    <m/>
    <d v="2025-12-24T00:00:00"/>
    <n v="-1955"/>
    <n v="8"/>
    <n v="2020"/>
    <s v="4500009750 | 34/ICON/NETLA-06/16/00 | 092729/MI/004/PUSAT/ICON+/2016 |5271016/SPR/ICON+/2016 | 07228/SPP/008/PUSAT/ICON+/2017 | 4500010664 | 08921/SPP/008/PUSAT/ICON+/2018 | 4500011704"/>
    <s v="11390/SPP/008/PUSAT/ICON+/2019"/>
    <n v="4500013138"/>
    <s v="Fajar Paramita"/>
    <s v="Metty"/>
    <s v="021-30002008"/>
    <m/>
    <s v="B165"/>
    <s v="C159"/>
    <m/>
    <m/>
    <m/>
    <m/>
    <m/>
    <m/>
    <s v="1. Sewa Shaft Cable USD 13,800/tahun update 2016 Rp23.000.000,-/bulan atau total Rp276.000.000,-_x000a_ 2. Jaminan Sewa senilai 3 bulan masa sewa USD 3,450 update tahun 2016 Rp69.000.000,-_x000a_ 3. Perbaikan lantai 41 lt Rp40.000,-/lt total Rp1.640.000,-_x000a_ 4. Biaya Supervisi Rp70.000,-/jam total untuk 15 jam Rp1.050.000,-"/>
  </r>
  <r>
    <n v="1560"/>
    <s v="Sanggarcipta Kreasitama "/>
    <s v="SATUAN KERJA KHUSUS PELAKSANA KEGIATAN USAHA HULU MINYAK DAN GAS BUMI "/>
    <s v="Wisma Mulia Jalan Gatot Subroto No. 42 Kuningan Barat Mampang Prapatan Jakarta 12710"/>
    <x v="0"/>
    <m/>
    <s v="Wisma Mulia Jl. Jend. Gatot Subroto No. 42 Jakarta"/>
    <s v="Sewa Tahunan"/>
    <s v="Colocation"/>
    <s v="PA/ACT/2202/1029"/>
    <m/>
    <m/>
    <m/>
    <m/>
    <m/>
    <n v="98400000"/>
    <m/>
    <m/>
    <n v="155150000"/>
    <m/>
    <d v="2023-08-01T00:00:00"/>
    <d v="2024-07-31T00:00:00"/>
    <x v="0"/>
    <m/>
    <d v="2025-12-24T00:00:00"/>
    <n v="-511"/>
    <n v="7"/>
    <n v="2024"/>
    <s v="19470/SPP/008/PUSAT/ICON+/2022 | 4500018667"/>
    <s v="768/SPP/SBU/ICON+/2023"/>
    <n v="4500020975"/>
    <s v="Fajar Paramita"/>
    <s v="Metty"/>
    <s v="021-30002008"/>
    <m/>
    <m/>
    <m/>
    <m/>
    <m/>
    <s v="F268"/>
    <s v="G206"/>
    <m/>
    <m/>
    <s v="1.Biaya Sewa Tahunan Rp.145.000.000"/>
  </r>
  <r>
    <n v="1561"/>
    <s v="Sarana Titan Manunggal "/>
    <s v="PT Cyberindo Aditama"/>
    <s v="Gedung Titan Center_x000a_Jl. Boulevard Bintaro Blok B7/B1 Nomor 5_x000a_Bintaro Jaya Sektor 7 Tangerang"/>
    <x v="0"/>
    <m/>
    <s v="Gedung Sarana Titan/Titan Center_x000a_ Ruang Control Room Engineering Basement (PT Cyberindo Aditama SO No. ICON-00/ACT/1609/0615)"/>
    <s v="Sewa Tahunan"/>
    <s v="Colocation"/>
    <s v="ICON-00/ACT/1609/0615"/>
    <m/>
    <m/>
    <m/>
    <m/>
    <m/>
    <n v="90000000"/>
    <m/>
    <m/>
    <n v="33000000"/>
    <m/>
    <d v="2020-11-03T00:00:00"/>
    <d v="2021-11-02T00:00:00"/>
    <x v="2"/>
    <m/>
    <d v="2025-12-24T00:00:00"/>
    <n v="-1513"/>
    <n v="11"/>
    <n v="2021"/>
    <s v="86/Titan/19/12/16_x000a_ 3981216/SPR/ICON+/2016 06625/SPP/008/_x000a_ PUSAT/ICON+/2017 4500010291 08460/SPP/008/PUSAT/ICON+/2018 4500011388 | 09473/SPP/008/PUSAT/ICON+/2018 | 4500012025 | 11984/SPP/008/PUSAT/ICON+/2019 | 4500013602"/>
    <s v="14683/SPP/008/PUSAT/ICON+/2020"/>
    <n v="4500015895"/>
    <s v="Fajar Paramita"/>
    <s v="Bimo Yulianto"/>
    <s v="021-7451777 ext 1025"/>
    <m/>
    <m/>
    <s v="D318"/>
    <s v="E48"/>
    <m/>
    <m/>
    <m/>
    <m/>
    <m/>
    <s v="Sewa Collo"/>
  </r>
  <r>
    <n v="1562"/>
    <s v="Pusat Pengelolaan Komplek Kemayoran"/>
    <s v="Angkasa Pura Logistik"/>
    <s v="Jl. Angkasa (Eks Gedung ADPEL Kemayoran Jakarta 10610"/>
    <x v="0"/>
    <m/>
    <s v="Gedung Datascrip Kemayoran"/>
    <s v="Sewa Tahunan"/>
    <s v="Colocation"/>
    <s v="PA/RLK/2206/0019"/>
    <m/>
    <m/>
    <m/>
    <m/>
    <m/>
    <n v="112800000"/>
    <m/>
    <m/>
    <n v="4700000"/>
    <m/>
    <d v="2022-11-18T00:00:00"/>
    <d v="2024-11-17T00:00:00"/>
    <x v="0"/>
    <m/>
    <d v="2025-12-24T00:00:00"/>
    <n v="-402"/>
    <n v="11"/>
    <n v="2024"/>
    <s v="09507/SPP/008/PUSAT/ICON+/2018 | 4500012038 | 12095/SPP/008/PUSAT/ICON+/2019 | 4500013879 | 14684/SPP/008/PUSAT/ICON+/2020 | 4500015363"/>
    <s v="2484/SPP/SBU/PLNICONPLUS/2024"/>
    <n v="4500022932"/>
    <s v="Fajar Paramita"/>
    <s v="Febri"/>
    <s v="021-4207688"/>
    <m/>
    <s v="B226"/>
    <m/>
    <s v="D87"/>
    <s v="E148"/>
    <s v="F5"/>
    <m/>
    <s v="H229"/>
    <m/>
    <s v="1.Jaminan Sewa Rp.4.950.000 2.Biaya Sewa 1 tahun datascript Rp.7.636.363 3.Biaya Sewa ke pengelola Lahan Rp.9.900.000 4.Biaya instalasi Data Script Rp.10.000.000 5.Biaya PKB Rp.32.469.337"/>
  </r>
  <r>
    <n v="1563"/>
    <s v="Pusat Pengelolaan Komplek Kemayoran"/>
    <s v="PT. HIJAU SOLUSI UTAMA"/>
    <s v="Jl. Angkasa (Eks Gedung ADPEL Kemayoran Jakarta 10610"/>
    <x v="0"/>
    <m/>
    <s v="JL TABING KOMPLEK KEMAYORAN B 16 NO 2 GUNUNG SAHARI UTARA, KEMAYORAN, Jakarta Pusat, DKI Jakarta, Indonesia, 10720"/>
    <s v="Sewa Tahunan"/>
    <s v="Colocation"/>
    <s v="PA/ACT/2109/2254/TER"/>
    <m/>
    <m/>
    <m/>
    <m/>
    <m/>
    <n v="42000000"/>
    <m/>
    <m/>
    <n v="14680000"/>
    <m/>
    <d v="2023-12-17T00:00:00"/>
    <d v="2024-12-16T00:00:00"/>
    <x v="0"/>
    <m/>
    <d v="2025-12-24T00:00:00"/>
    <n v="-373"/>
    <n v="12"/>
    <n v="2024"/>
    <s v="17563/SPP/008/PUSAT/ICON+/2021 | 4500017399 I  20468/SPP/008/PUSAT/ICON+/2022 I 4500019619"/>
    <s v="2499/SPP/SBU/ICON+/2023"/>
    <n v="4500022314"/>
    <s v="Fajar Paramita"/>
    <s v="Febri"/>
    <s v="021-4207688"/>
    <m/>
    <m/>
    <m/>
    <m/>
    <s v="F10"/>
    <s v="F462"/>
    <s v="H249"/>
    <m/>
    <m/>
    <s v="1. Penempatan Kabel Rp.14.280.000 | 2.Handhole Rp.400.000"/>
  </r>
  <r>
    <n v="1564"/>
    <s v="Pusat Pengelolaan Komplek Kemayoran"/>
    <s v="PT Angkasa Pura 1 (Persero)"/>
    <s v="Jl. Angkasa (Eks Gedung ADPEL Kemayoran Jakarta 10612"/>
    <x v="0"/>
    <m/>
    <s v="Kantor Pusat Angksa Pura 1, Jalan Kota Bandar Baru Blok B. 12 Kav 2, Lantai 3, Kemayoran, Jakarta Pusat, DKI Jakarta, Indonesia, 10610"/>
    <s v="Sewa Tahunan"/>
    <s v="Colocation"/>
    <s v="PA/ACT/1901/0235_x000a_ PA/ACT/1901/0236"/>
    <m/>
    <m/>
    <m/>
    <m/>
    <m/>
    <n v="456000000"/>
    <m/>
    <m/>
    <n v="20604000"/>
    <m/>
    <d v="2022-05-16T00:00:00"/>
    <d v="2023-05-15T00:00:00"/>
    <x v="2"/>
    <m/>
    <d v="2025-12-24T00:00:00"/>
    <n v="-954"/>
    <n v="5"/>
    <n v="2023"/>
    <s v="10964/SPP/008/PUSAT/ICON+/2019| 4500012892"/>
    <s v="18585/SPP/008/PUSAT/ICON+/2022"/>
    <n v="4500018014"/>
    <s v="Fajar Paramita"/>
    <s v="Febri"/>
    <s v="021-4207690"/>
    <m/>
    <m/>
    <s v="C60"/>
    <m/>
    <m/>
    <s v="F202"/>
    <m/>
    <m/>
    <m/>
    <s v="1.Biaya sewa tahunan sebesar 45.876.600"/>
  </r>
  <r>
    <n v="1565"/>
    <s v="Pusat Pengelolaan Komplek Kemayoran"/>
    <s v="Badan Nasional Pencarian dan Pertolongan (BASARNAS)"/>
    <s v="Jl. Angkasa (Eks Gedung ADPEL Kemayoran Jakarta 10610"/>
    <x v="0"/>
    <m/>
    <s v="Kantor Pusat Basarnas - Jl. Angkasa No.2-3, RW.10, South Gunung Sahari, Kemayoran, Central Jakarta City, Jakarta 10610, Kemayoran, Jakarta Pusat, DKI Jakarta, Indonesia, 10610"/>
    <s v="Sewa Tahunan"/>
    <s v="Colocation"/>
    <s v="PA/ACT/2111/3315/TER"/>
    <m/>
    <m/>
    <m/>
    <m/>
    <m/>
    <n v="131784000"/>
    <m/>
    <m/>
    <n v="59044000"/>
    <m/>
    <d v="2023-12-27T00:00:00"/>
    <d v="2024-12-26T00:00:00"/>
    <x v="1"/>
    <m/>
    <d v="2025-12-24T00:00:00"/>
    <n v="-363"/>
    <n v="12"/>
    <n v="2024"/>
    <s v="17628/SPP/008/PUSAT/ICON+/2022 | 4500017450 | 20466/SPP/008/PUSAT/ICON+2022 | 4500019635"/>
    <s v="3298/SPP/SBU/PLNICONPLUS/2024"/>
    <m/>
    <s v="Fajar Paramita"/>
    <s v="Febri"/>
    <s v="021-4207688"/>
    <m/>
    <m/>
    <m/>
    <m/>
    <m/>
    <s v="F1"/>
    <s v="F463"/>
    <m/>
    <m/>
    <s v="1.Biaya Sewa Tahunan Rp.45.612.000"/>
  </r>
  <r>
    <n v="1566"/>
    <s v="Pusat Pengelolaan Komplek Kemayoran"/>
    <s v="PT INDOMARCO PRISMATAMA"/>
    <s v="Jl. Angkasa (Eks Gedung ADPEL Kemayoran Jakarta 10610"/>
    <x v="0"/>
    <m/>
    <s v="Lahan Komplek Kemayoran (Gedung Indogrosir Jl. Terusan Angkasa B2 kav.1 , Gunung Sahari Selatan, Jakarta Pusat(seberang MGK, masih di tepi jl Benyamin Sueb- PT Indomarco Prismatama)"/>
    <s v="Sewa Tahunan"/>
    <s v="Colocation"/>
    <s v="PA/UOD/1905/0010"/>
    <m/>
    <m/>
    <m/>
    <m/>
    <m/>
    <n v="501600000"/>
    <m/>
    <m/>
    <n v="14520000"/>
    <m/>
    <d v="2021-07-08T00:00:00"/>
    <d v="2022-07-07T00:00:00"/>
    <x v="2"/>
    <m/>
    <d v="2025-12-24T00:00:00"/>
    <n v="-1266"/>
    <n v="7"/>
    <n v="2022"/>
    <s v="100230/MI/004/PUSAT/ICON+/2013 | 08859/SPP/008/PUSAT/ICON+/2018_x000a_ 09275/SPR/008/PUSAT/ICON+/2013_x000a_ 4500009598 07689/SPP/008/PUSAT/ICON+/2017 4500011007 } 4500011683 | 11097/SPP/008/PUSAT/ICON+/2019 | 4500013586 | 13679/SPP/008/PUSAT/ICON+/2020 | 4500014776"/>
    <s v="16297/SPP/008/PUSAT/ICON+/2021"/>
    <n v="4500016698"/>
    <s v="Fajar Paramita"/>
    <s v="Febri"/>
    <s v="021-4207688"/>
    <n v="154"/>
    <s v="B185"/>
    <s v="C287"/>
    <s v="D322"/>
    <s v="E357"/>
    <m/>
    <m/>
    <m/>
    <m/>
    <s v="1. Jaminan bervariasi mulai dari Rp20.000.000,- s/d Rp50.000.000,-_x000a_ 2. Biaya One Time Charged Rp7.468.000 terdiri dari :_x000a_ a. Ijin galian Rp2.500/m' total 242 m'_x000a_ b. Biaya penyempurnaan bekas galian (pemeliharaan) Rp1.500/m' total 242 m'_x000a_ c. Ijin pembuatan bak kontrol Rp2000.000/titik total 1 titik_x000a_ d. Ijin penggunaan box utilitas Rp100.000/m total 30m_x000a_ e. Ijin boring/duct selam Rp1.500.000/titik total 1 titik_x000a_ 3. Biaya sewa Rp5000/m'/bulan total untuk 242 m' selama 3 (tiga) tahun Rp43.560.000"/>
  </r>
  <r>
    <n v="1567"/>
    <s v="Pusat Pengelolaan Komplek Kemayoran"/>
    <s v="PT PENJAMINAN JAMKRINDO SYARIAH"/>
    <s v="Jl. Angkasa (Eks Gedung ADPEL Kemayoran Jakarta 10610"/>
    <x v="0"/>
    <m/>
    <s v="Lahan Komplek Kemayoran (Jl. Angkasa Blok B-9 Kav. 6 Kota Baru Bandar Kemayoran Central Jakarta 10610 _x000a_ (Jl. Angkasa s/d Jamkrindo)."/>
    <s v="Sewa Tahunan"/>
    <s v="Colocation"/>
    <s v="ICON-00/ACT/1605/0659"/>
    <m/>
    <m/>
    <m/>
    <m/>
    <m/>
    <n v="26400000"/>
    <m/>
    <m/>
    <n v="30640000"/>
    <m/>
    <d v="2022-09-03T00:00:00"/>
    <d v="2023-09-02T00:00:00"/>
    <x v="2"/>
    <m/>
    <d v="2025-12-24T00:00:00"/>
    <n v="-844"/>
    <n v="9"/>
    <n v="2023"/>
    <s v="4500009721 | 07667/SPP/008/PUSAT/ICON+/2017 | 4500011006 | 09029/SPP/008/PUSAT/ICON+/2018 | 4500011865 | 11651/SPP/008/PUSAT/ICON+/2019 | 4500013342 | 14143/SPP/008/PUSAT/ICON+/2020 | 4500015277 | 16559/SPP/008/PUSAT/ICON+/2021 | 4500016635"/>
    <s v="19686/SPP/008/PUSAT/ICON+/2022"/>
    <n v="4500018968"/>
    <s v="Fajar Paramita"/>
    <s v="Febri"/>
    <s v="021-4207688"/>
    <n v="156"/>
    <s v="B179"/>
    <s v="C231"/>
    <s v="D323"/>
    <s v="E392"/>
    <s v="F336"/>
    <m/>
    <m/>
    <m/>
    <s v="1. Jaminan bervariasi mulai dari Rp20.000.000,- s/d Rp50.000.000,-_x000a_ 2. Biaya One Time Charged Rp29.500.000,- terdiri dari :_x000a_ a. Ijin galian Rp2.500/m' total 750 m'_x000a_ b. Biaya penyempurnaan bekas galian (pemeliharaan) Rp1.500/m' total 750 m'_x000a_ c. Ijin penggunaan box utilitas Rp100.000/m total 20m'_x000a_ d. Ijin boring/duct selam Rp1.500.000/titik total 11 titik_x000a_ c. Mainhole Rp2.000.000/buah total 4 buah_x000a_ Udate Tahun 2015, terdapat Peraturan Mentri Keuangan No. 138/PMK.05/2014 . Dimana terdapat biaya sewa dengan rincian sebagai berikut :_x000a_ a. Penggunaan Tanah utk penempatan kabel Rp5.000/m/bulan total untuk 360 m'_x000a_ b. Instalasi Pipa diameter sd 300 mm Rp1.000/m/bulan_x000a_ c. Instalasi Pipa diameter 301 mm sd 500 mm Rp2.500/m/bulan_x000a_ d. Instalasi Pipa diameter 501 mm sd 1000 mm Rp5000/m/bulan_x000a_ e. Instalasi Pipa diameter &gt; 1000 mm Rp10.000/m/bulan"/>
  </r>
  <r>
    <n v="1568"/>
    <s v="Pusat Pengelolaan Komplek Kemayoran"/>
    <s v="PT PLN (Persero) Kantor Pusat"/>
    <s v="Jl. Angkasa (Eks Gedung ADPEL Kemayoran Jakarta 10610"/>
    <x v="0"/>
    <m/>
    <s v="PPKK, Jl. Merpati B-14 No. 2, Kota Baru Bandar Kemayoran, Jakarta Pusat 10720"/>
    <s v="Sewa Tahunan"/>
    <s v="Colocation"/>
    <s v="PA/ACT/1805/0063"/>
    <m/>
    <m/>
    <m/>
    <m/>
    <m/>
    <n v="17268957"/>
    <m/>
    <m/>
    <n v="2856000"/>
    <m/>
    <d v="2023-09-24T00:00:00"/>
    <d v="2024-09-23T00:00:00"/>
    <x v="0"/>
    <m/>
    <d v="2025-12-24T00:00:00"/>
    <n v="-457"/>
    <n v="9"/>
    <n v="2024"/>
    <s v="09034/SPP/008/PUSAT/ICON+/2018 | 4500011751 | 11527/SPP/008/PUSAT/ICON+/2019 | 4500013585 | 16066/SPP/008/PUSAT/ICON+/2021 | 4500016699 | 19708/SPP/008/PUSAT/ICON+/2022 | 4500018841"/>
    <s v="704/SPP/SBU/ICON+/2023"/>
    <n v="4500020940"/>
    <s v="Fajar Paramita"/>
    <s v="Febri"/>
    <s v="021-4207688"/>
    <m/>
    <m/>
    <m/>
    <s v="D84"/>
    <s v="E300"/>
    <s v="F424"/>
    <s v="G193"/>
    <m/>
    <m/>
    <s v="1.Biaya OTC Rp 5.000.000,- 3.Biaya Jaminan Sewa sebesar Rp.1.020.000,- 4.Biaya PKB sebesar Rp.14.208.957,-"/>
  </r>
  <r>
    <n v="1569"/>
    <s v="Senayan Trikarya Sempana"/>
    <s v="PT. SEAMLESS PIPE INDONESIA JAYA_x000a_ PT. BERLIAN SISTEM INFORMASI_x000a_ PT. MAYBANK KIM ENG SEKURITAS"/>
    <s v="Jl.Asia Afrika No.8 Jakarta 10270"/>
    <x v="0"/>
    <s v="-"/>
    <s v="1.F11 Sentral Senayan II, JL. Asia Afrika Gelora Bung Karno, No. 8, Gelora, Tanah Abang, 10270 Jakarta Pusat, Indonesia, RT.1/RW.3, Gelora, Tanah Abang, Central Jakarta City, Jakarta 10270, Tanah Abang, Jakarta Pusat, DKI Jakarta, Indonesia, 10270 | _x000a_ 2.PT. Berlian Sistem Informasi Gedung Sentral Senayan 2 lt. 21, Jl. Asia Afrika No. 8, Jakarta, 10270,- ,- ,- ,Indonesia ,- |_x000a_ 3.PT Dipo Star Finance HO Sentral Senayan, Gedung Sentral Senayan II, Lt.3 Jl. Asia Afrika No.8, -, Jakarta Selatan, DKI Jakarta, Indonesia, 10270 |_x000a_ 4.Ruko Mega Mall Pluit/Lippo Village No. 48 Jalan Pluit indah no. 1, Pluit, Jakarta Utara, DKI Jakarta, Indonesia, 14450 |_x000a_ 5.Spazio Office Building 3rd Floor Unit 305 Jl.mayjend Yono Soewoyo Kav 3 Surabaya 60226, surabaya, Surabaya, Jawa Timur, Indonesia |"/>
    <s v="Sewa Tahunan"/>
    <s v="Cross Connect"/>
    <s v="PA/ACT/2108/0103_x000a_ PA/UPG/2004/0026_x000a_ PA/ACT/1903/0697_x000a_ PA/ACT/1905/2963_x000a_ PA/ACT/1801/2387"/>
    <m/>
    <m/>
    <m/>
    <m/>
    <m/>
    <n v="1021200000"/>
    <m/>
    <m/>
    <n v="110000000"/>
    <m/>
    <d v="2023-10-05T00:00:00"/>
    <d v="2024-10-04T00:00:00"/>
    <x v="0"/>
    <m/>
    <d v="2025-12-24T00:00:00"/>
    <n v="-446"/>
    <n v="10"/>
    <n v="2024"/>
    <s v="16691/SPP/008/PUSAT/ICON+/2021 | 4500016890 | 19951 | 4500019201"/>
    <n v="2154"/>
    <n v="4500021979"/>
    <s v="Fajar Paramita"/>
    <s v="Denis"/>
    <m/>
    <m/>
    <m/>
    <m/>
    <m/>
    <s v="E260"/>
    <s v="F465"/>
    <s v="G423"/>
    <m/>
    <m/>
    <s v="-"/>
  </r>
  <r>
    <n v="1570"/>
    <s v="Serpong Mas Telematika"/>
    <s v="PT PLN Unit Induk Distribusi Banten GH 611"/>
    <s v="MyRepublik plaza lt 2 Wing A"/>
    <x v="0"/>
    <s v="[UID BANTEN- UP2D] DCC UP2D BANTEN"/>
    <s v="GH 611"/>
    <s v="Sewa Bulanan"/>
    <s v="Interkoneksi"/>
    <s v="PA/ACT/2210/3414"/>
    <s v="01000318708"/>
    <n v="0.995"/>
    <s v="IPVPN"/>
    <s v="3 Mbps"/>
    <m/>
    <n v="76042800"/>
    <m/>
    <m/>
    <n v="33436800"/>
    <m/>
    <d v="2024-01-27T00:00:00"/>
    <d v="2025-01-26T00:00:00"/>
    <x v="0"/>
    <m/>
    <d v="2025-12-24T00:00:00"/>
    <n v="-332"/>
    <n v="1"/>
    <n v="2025"/>
    <n v="4500019690"/>
    <s v="2444/SPP/SBU/ICON+/2024"/>
    <n v="4500022181"/>
    <s v="Syifa Artianingsih"/>
    <s v="Masrukhan"/>
    <s v="+62 812-9844-8648"/>
    <m/>
    <m/>
    <m/>
    <m/>
    <m/>
    <m/>
    <n v="79"/>
    <s v="H49"/>
    <m/>
    <m/>
  </r>
  <r>
    <n v="1571"/>
    <s v="Serpong Mas Telematika "/>
    <s v="PT Lulu Group Retail"/>
    <s v="MyRepublik plaza lt 2 Wing A"/>
    <x v="0"/>
    <s v="-"/>
    <s v="Lulu Hypermarket Q-BIG MALL-Blok A Jl. BSD Raya Utama BSD City Tangerang 15345, Indonesia"/>
    <s v="Sewa Bulanan"/>
    <s v="Interkoneksi"/>
    <s v="ICON-00/SBC/1711/0550 "/>
    <s v="990000320522154"/>
    <n v="0.995"/>
    <s v="Internet Corporate "/>
    <s v="2 Mbps"/>
    <m/>
    <n v="52800000"/>
    <m/>
    <m/>
    <n v="25200000"/>
    <m/>
    <d v="2024-07-01T00:00:00"/>
    <d v="2025-06-30T00:00:00"/>
    <x v="2"/>
    <m/>
    <d v="2025-12-24T00:00:00"/>
    <n v="-177"/>
    <n v="6"/>
    <n v="2025"/>
    <s v="684/SPP/SBU/ICON+/2023 | 4500020919"/>
    <s v="3219/SPP/SBU/PLNICONPLUS/2024"/>
    <n v="4500022619"/>
    <s v="Syifa Artianingsih"/>
    <s v="Masrukhan"/>
    <s v="+62 812-9844-8648"/>
    <m/>
    <m/>
    <m/>
    <m/>
    <m/>
    <m/>
    <n v="153"/>
    <n v="137"/>
    <m/>
    <m/>
  </r>
  <r>
    <n v="1572"/>
    <s v="Serpong Mas Telematika "/>
    <s v="PT Asuransi Astra Buana"/>
    <s v="MyRepublik plaza lt 2 Wing A"/>
    <x v="0"/>
    <s v="-"/>
    <s v="AAB Astra Biz Center BSD, Bumi Serpong Damai, Lengkong Kulon, Pagedangan, Tangerang, Banten, 15331, Indonesia"/>
    <s v="Sewa Bulanan"/>
    <s v="Interkoneksi"/>
    <s v="AL/1910/46824"/>
    <s v="0990000320510452"/>
    <n v="0.995"/>
    <s v="Metronet"/>
    <s v="1 Mbps"/>
    <m/>
    <n v="26400000"/>
    <m/>
    <m/>
    <n v="13200000"/>
    <m/>
    <d v="2024-07-01T00:00:00"/>
    <d v="2025-06-30T00:00:00"/>
    <x v="0"/>
    <m/>
    <d v="2025-12-24T00:00:00"/>
    <n v="-177"/>
    <n v="6"/>
    <n v="2025"/>
    <s v="684/SPP/SBU/ICON+/2023 | 4500020919"/>
    <s v="3219/SPP/SBU/PLNICONPLUS/2024"/>
    <n v="4500022619"/>
    <s v="Syifa Artianingsih"/>
    <s v="Masrukhan"/>
    <s v="+62 812-9844-8648"/>
    <m/>
    <m/>
    <m/>
    <m/>
    <m/>
    <m/>
    <n v="153"/>
    <n v="137"/>
    <m/>
    <m/>
  </r>
  <r>
    <n v="1573"/>
    <s v="Serpong Mas Telematika "/>
    <s v="PT Agriculture Indonesia"/>
    <s v="MyRepublik plaza lt 2 Wing A"/>
    <x v="0"/>
    <s v="-"/>
    <s v="Green Office Park 6 Wing A, 3rd Floor, Zone 6 Jl. Grand Boulevard BSD Green Office Park BSD City - Tangerang 15345 INDONESIA"/>
    <s v="Sewa Bulanan"/>
    <s v="Interkoneksi"/>
    <s v="ICON-00/SBC/1708/1420"/>
    <s v="0990000320514382"/>
    <n v="0.995"/>
    <s v="Internet Corporate "/>
    <s v="3 Mbps"/>
    <m/>
    <n v="72000000"/>
    <m/>
    <m/>
    <n v="27900000"/>
    <m/>
    <d v="2024-07-01T00:00:00"/>
    <d v="2025-06-30T00:00:00"/>
    <x v="0"/>
    <m/>
    <d v="2025-12-24T00:00:00"/>
    <n v="-177"/>
    <n v="6"/>
    <n v="2025"/>
    <s v="684/SPP/SBU/ICON+/2023 | 4500020919"/>
    <s v="3219/SPP/SBU/PLNICONPLUS/2024"/>
    <n v="4500022619"/>
    <s v="Syifa Artianingsih"/>
    <s v="Masrukhan"/>
    <s v="+62 812-9844-8648"/>
    <m/>
    <m/>
    <m/>
    <m/>
    <m/>
    <m/>
    <n v="153"/>
    <n v="137"/>
    <m/>
    <m/>
  </r>
  <r>
    <n v="1574"/>
    <s v="Serpong Mas Telematika "/>
    <s v="PT Federal Internanational Finance BSD Green Park"/>
    <s v="MyRepublik plaza lt 2 Wing A"/>
    <x v="0"/>
    <s v="-"/>
    <s v="FIF Ruko The Icon A1-A2 West BSD"/>
    <s v="Sewa Bulanan"/>
    <s v="Interkoneksi"/>
    <s v="PA/ACT/1805/0412"/>
    <s v="01000014517"/>
    <n v="0.995"/>
    <s v="IPVPN"/>
    <s v="2 Mbps"/>
    <m/>
    <n v="50400000"/>
    <m/>
    <m/>
    <n v="25200000"/>
    <m/>
    <d v="2024-07-01T00:00:00"/>
    <d v="2025-06-30T00:00:00"/>
    <x v="0"/>
    <m/>
    <d v="2025-12-24T00:00:00"/>
    <n v="-177"/>
    <n v="6"/>
    <n v="2025"/>
    <s v="684/SPP/SBU/ICON+/2023 | 4500020919"/>
    <s v="3219/SPP/SBU/PLNICONPLUS/2024"/>
    <n v="4500022619"/>
    <s v="Syifa Artianingsih"/>
    <s v="Masrukhan"/>
    <s v="+62 812-9844-8648"/>
    <m/>
    <m/>
    <m/>
    <m/>
    <m/>
    <m/>
    <n v="153"/>
    <n v="137"/>
    <m/>
    <m/>
  </r>
  <r>
    <n v="1575"/>
    <s v="Serpong Mas Telematika "/>
    <s v="PT Toyota Astra Financial Service"/>
    <s v="MyRepublik plaza lt 2 Wing A"/>
    <x v="0"/>
    <s v="-"/>
    <s v="Jl. A. Yani, Wua-WUA, Kota Kendari Sulawesi Tenggara, Indonesia 93117"/>
    <s v="Sewa Bulanan"/>
    <s v="Interkoneksi"/>
    <s v="AL/2204/74288"/>
    <s v="01000187625"/>
    <n v="0.995"/>
    <s v="Metronet"/>
    <s v="1 Mbps"/>
    <m/>
    <n v="15600000"/>
    <m/>
    <m/>
    <n v="13200000"/>
    <m/>
    <d v="2024-07-01T00:00:00"/>
    <d v="2025-06-30T00:00:00"/>
    <x v="0"/>
    <m/>
    <d v="2025-12-24T00:00:00"/>
    <n v="-177"/>
    <n v="6"/>
    <n v="2025"/>
    <s v="684/SPP/SBU/ICON+/2023 | 4500020919"/>
    <s v="3219/SPP/SBU/PLNICONPLUS/2024"/>
    <n v="4500022619"/>
    <s v="Syifa Artianingsih"/>
    <s v="Masrukhan"/>
    <s v="+62 812-9844-8648"/>
    <m/>
    <m/>
    <m/>
    <m/>
    <m/>
    <m/>
    <n v="153"/>
    <n v="137"/>
    <m/>
    <m/>
  </r>
  <r>
    <n v="1576"/>
    <s v="Serpong Mas Telematika "/>
    <s v="PT Astra Sedaya Finance"/>
    <s v="MyRepublik plaza lt 2 Wing A"/>
    <x v="0"/>
    <s v="-"/>
    <s v="ACC, BSD di ruko No. 7 dan No. 8 kawasan AFFCO Center, Asia Biz Center, BSD Indonesia"/>
    <s v="Sewa Bulanan"/>
    <s v="Interkoneksi"/>
    <s v="PA/UPG/2101/0503"/>
    <s v="0990000320514168"/>
    <n v="0.995"/>
    <s v="Metronet"/>
    <s v="2 Mbps"/>
    <m/>
    <n v="33600000"/>
    <m/>
    <m/>
    <n v="25200000"/>
    <m/>
    <d v="2024-07-01T00:00:00"/>
    <d v="2025-06-30T00:00:00"/>
    <x v="0"/>
    <m/>
    <d v="2025-12-24T00:00:00"/>
    <n v="-177"/>
    <n v="6"/>
    <n v="2025"/>
    <s v="684/SPP/SBU/ICON+/2023 | 4500020919"/>
    <s v="3219/SPP/SBU/PLNICONPLUS/2024"/>
    <n v="4500022619"/>
    <s v="Syifa Artianingsih"/>
    <s v="Masrukhan"/>
    <s v="+62 812-9844-8648"/>
    <m/>
    <m/>
    <m/>
    <m/>
    <m/>
    <m/>
    <n v="153"/>
    <n v="137"/>
    <m/>
    <m/>
  </r>
  <r>
    <n v="1577"/>
    <s v="Serpong Mas Telematika "/>
    <s v="PT Federal internastional Finance Astra Biz Center"/>
    <s v="MyRepublik plaza lt 2 Wing A"/>
    <x v="0"/>
    <s v="-"/>
    <s v="Astra Biz Center BSD, Lengkong Kulon, Pagedangan, Tangerang Banten, 15331"/>
    <s v="Sewa Bulanan"/>
    <s v="Interkoneksi"/>
    <s v="AR/CHT/1809/1926"/>
    <s v="0990000320519038 "/>
    <n v="0.995"/>
    <s v="IPVPN "/>
    <s v="2 Mbps"/>
    <m/>
    <n v="69600000"/>
    <m/>
    <m/>
    <n v="25200000"/>
    <m/>
    <d v="2024-07-01T00:00:00"/>
    <d v="2025-06-30T00:00:00"/>
    <x v="0"/>
    <m/>
    <d v="2025-12-24T00:00:00"/>
    <n v="-177"/>
    <n v="6"/>
    <n v="2025"/>
    <s v="684/SPP/SBU/ICON+/2023 | 4500020919"/>
    <s v="3219/SPP/SBU/PLNICONPLUS/2024"/>
    <n v="4500022619"/>
    <s v="Syifa Artianingsih"/>
    <s v="Masrukhan"/>
    <s v="+62 812-9844-8648"/>
    <m/>
    <m/>
    <m/>
    <m/>
    <m/>
    <m/>
    <n v="153"/>
    <n v="137"/>
    <m/>
    <m/>
  </r>
  <r>
    <n v="1578"/>
    <s v="Serpong Mas Telematika "/>
    <s v="PT Cyberindo Aditama qq PT Grab Teknologi Indonesia"/>
    <s v="MyRepublik plaza lt 2 Wing A"/>
    <x v="0"/>
    <m/>
    <s v="PT. GRAB TEKNOLOGI INDONESIA (Netsentia Private Limited) Jl Perum Astek No. 11, Lengkong Gudang Timur,_x000a_Tangsel, Kota Tangerang Selatan, Banten, Indonesia"/>
    <s v="Sewa Bulanan"/>
    <s v="Interkoneksi"/>
    <s v="PA/ACT/2203/4071"/>
    <s v="01000199398"/>
    <s v="99,50%"/>
    <s v="Metronet"/>
    <s v="35 Mbps"/>
    <m/>
    <n v="129000000"/>
    <m/>
    <m/>
    <n v="95760000"/>
    <m/>
    <d v="2023-07-20T00:00:00"/>
    <d v="2024-07-19T00:00:00"/>
    <x v="0"/>
    <m/>
    <d v="2025-12-24T00:00:00"/>
    <n v="-523"/>
    <n v="7"/>
    <n v="2024"/>
    <n v="4500018282"/>
    <s v="757/SPP/SBU/ICON+/2023"/>
    <n v="4500021118"/>
    <s v="Syifa Artianingsih"/>
    <s v="Masrukhan"/>
    <s v="+62 812-9844-8648"/>
    <m/>
    <m/>
    <m/>
    <m/>
    <m/>
    <m/>
    <n v="267"/>
    <m/>
    <m/>
    <m/>
  </r>
  <r>
    <n v="1579"/>
    <s v="Serpong Mas Telematika "/>
    <s v="PT Bank HSBC Indonesia"/>
    <s v="MyRepublik plaza lt 2 Wing A"/>
    <x v="0"/>
    <m/>
    <s v="Ruko Perkantoran, Jl. BSD Raya Utama No.31, Pagedangan, Kec Pagedangan, Kabupaten Tangerang, Banten 15339 (Foresta Business Loft 2)"/>
    <s v="Sewa Bulanan"/>
    <s v="Interkoneksi"/>
    <s v="A821202000196"/>
    <s v="111202017283"/>
    <s v="99,50%"/>
    <s v="Metro P2P"/>
    <s v="10 Mbps"/>
    <m/>
    <n v="248780000"/>
    <m/>
    <n v="3000000"/>
    <n v="63480000"/>
    <m/>
    <d v="2023-08-09T00:00:00"/>
    <d v="2024-08-08T00:00:00"/>
    <x v="0"/>
    <m/>
    <d v="2025-12-24T00:00:00"/>
    <n v="-503"/>
    <n v="8"/>
    <n v="2024"/>
    <s v="Baru"/>
    <s v="534/SPP/SBU/ICON+/2023"/>
    <n v="4500020783"/>
    <s v="Syifa Artianingsih"/>
    <s v="Masrukhan"/>
    <s v="+62 812-9844-8648"/>
    <m/>
    <m/>
    <m/>
    <m/>
    <m/>
    <m/>
    <n v="190"/>
    <m/>
    <m/>
    <m/>
  </r>
  <r>
    <n v="1580"/>
    <s v="Serpong Mas Telematika "/>
    <s v="PT Prodia Widyahusada"/>
    <s v="MyRepublik plaza lt 2 Wing A"/>
    <x v="0"/>
    <m/>
    <s v="Ruko Golden Madrid II Blok A 1-2,Bumi Serpong Damai ,Kota Tangerang Selatan ,Banten ,Indonesia ,15311   "/>
    <s v="Sewa Bulanan"/>
    <s v="Interkoneksi"/>
    <s v="PA/ACT/2202/1626"/>
    <s v="01000191767"/>
    <s v="99,50%"/>
    <s v="IPVPN"/>
    <s v="5 Mbps"/>
    <m/>
    <n v="30000000"/>
    <m/>
    <m/>
    <n v="86400000"/>
    <m/>
    <d v="2023-09-01T00:00:00"/>
    <d v="2024-08-31T00:00:00"/>
    <x v="0"/>
    <m/>
    <d v="2025-12-24T00:00:00"/>
    <n v="-480"/>
    <n v="8"/>
    <n v="2024"/>
    <s v="18593/SPP/008/PUSAT/ICON+/2022 | 4500018085"/>
    <s v="868/SPP/SBU/ICON+/2023"/>
    <n v="4500021029"/>
    <s v="Syifa Artianingsih"/>
    <s v="Masrukhan"/>
    <s v="+62 812-9844-8648"/>
    <m/>
    <m/>
    <m/>
    <m/>
    <m/>
    <m/>
    <n v="278"/>
    <m/>
    <m/>
    <m/>
  </r>
  <r>
    <n v="1581"/>
    <s v="Serpong Mas Telematika "/>
    <s v="PT PLN Kantor Pusat (Rumah Dirut PLN)"/>
    <s v="MyRepublik plaza lt 2 Wing A"/>
    <x v="0"/>
    <s v="PLN Kantor Pusat"/>
    <s v="Rumah Dirut PLN (BPK Darmawan P), The Green BSD, Clustur Grand Canyon Blok i-2 No.25, Kota Tangerang, Banten, Indonesia, 15310"/>
    <s v="Sewa Bulanan"/>
    <s v="Interkoneksi"/>
    <s v="PA/UPG/2009/0134"/>
    <s v="04000099114"/>
    <n v="0.995"/>
    <s v="Internet Corporate"/>
    <s v="50 Mbps"/>
    <m/>
    <n v="150586800"/>
    <m/>
    <m/>
    <n v="147000000"/>
    <m/>
    <d v="2023-09-29T00:00:00"/>
    <d v="2024-09-28T00:00:00"/>
    <x v="0"/>
    <m/>
    <d v="2025-12-24T00:00:00"/>
    <n v="-452"/>
    <n v="9"/>
    <n v="2024"/>
    <n v="4500018573"/>
    <n v="1598"/>
    <n v="4500021441"/>
    <s v="Syifa Artianingsih"/>
    <s v="Masrukhan"/>
    <s v="+62 812-9844-8648"/>
    <m/>
    <m/>
    <m/>
    <m/>
    <m/>
    <m/>
    <n v="286"/>
    <m/>
    <m/>
    <s v="Menunggu PO Kembali"/>
  </r>
  <r>
    <n v="1582"/>
    <s v="Serpong Mas Telematika "/>
    <s v="PT AEON Indonesia"/>
    <s v="MyRepublik plaza lt 2 Wing A"/>
    <x v="0"/>
    <m/>
    <s v="PT. ÆON INDONESIA Jl. BSD Raya Utama Unit M-02, Mezzanine Floor Desa Pagedangan, Pagedangan, Kabupaten Tangerang, Banten, Indonesia, 15820"/>
    <s v="Sewa Bulanan"/>
    <s v="Interkoneksi"/>
    <s v="PA/ACT/2207/2501"/>
    <s v="04000300722"/>
    <n v="0.995"/>
    <s v="Internet Corporate"/>
    <s v="20 Mbps"/>
    <m/>
    <n v="114000000"/>
    <m/>
    <m/>
    <n v="73710001"/>
    <m/>
    <d v="2023-09-21T00:00:00"/>
    <d v="2024-09-20T00:00:00"/>
    <x v="0"/>
    <m/>
    <d v="2025-12-24T00:00:00"/>
    <n v="-460"/>
    <n v="9"/>
    <n v="2024"/>
    <n v="4500018568"/>
    <n v="1164"/>
    <n v="4500021243"/>
    <s v="Syifa Artianingsih"/>
    <s v="Masrukhan"/>
    <s v="+62 812-9844-8648"/>
    <m/>
    <m/>
    <m/>
    <m/>
    <m/>
    <m/>
    <n v="251"/>
    <m/>
    <m/>
    <m/>
  </r>
  <r>
    <n v="1583"/>
    <s v="Serpong Mas Telematika"/>
    <s v="PT Aplikanusa Lintasarta (Backhaul Jabodetabek)"/>
    <s v="MyRepublik plaza lt 2 Wing A"/>
    <x v="0"/>
    <m/>
    <s v="Backhaul Jabodetabek Gd Unilever BSD Tangerang Selatan"/>
    <s v="Sewa Bulanan"/>
    <s v="Interkoneksi"/>
    <s v="PA/ACT/2007/0105"/>
    <s v="0990000320476823"/>
    <n v="0.995"/>
    <s v="IPVPN"/>
    <s v="4 Mbps"/>
    <m/>
    <n v="1443846000"/>
    <m/>
    <m/>
    <n v="4320000"/>
    <m/>
    <d v="2022-11-01T00:00:00"/>
    <d v="2023-10-31T00:00:00"/>
    <x v="2"/>
    <m/>
    <d v="2025-12-24T00:00:00"/>
    <n v="-785"/>
    <n v="10"/>
    <n v="2023"/>
    <n v="4500017491"/>
    <n v="19786"/>
    <n v="4500019221"/>
    <s v="Syifa Artianingsih"/>
    <s v="Masrukhan"/>
    <s v="+62 812-9844-8648"/>
    <m/>
    <m/>
    <m/>
    <m/>
    <m/>
    <m/>
    <n v="456"/>
    <m/>
    <m/>
    <m/>
  </r>
  <r>
    <n v="1584"/>
    <s v="Serpong Mas Telematika"/>
    <s v="PT Aplikanusa Lintasarta (Gd German Center)"/>
    <s v="MyRepublik plaza lt 2 Wing A"/>
    <x v="0"/>
    <m/>
    <s v="German Center jl Pahlawan Seribu BSD Tangerang"/>
    <s v="Sewa Bulanan"/>
    <s v="Interkoneksi"/>
    <s v="PA/ACT/2007/0051"/>
    <s v="0990000320497487"/>
    <n v="0.995"/>
    <s v="Internet Corporate "/>
    <s v="200 Mbps"/>
    <m/>
    <m/>
    <m/>
    <m/>
    <n v="216000000"/>
    <m/>
    <d v="2022-11-01T00:00:00"/>
    <d v="2023-10-31T00:00:00"/>
    <x v="2"/>
    <m/>
    <d v="2025-12-24T00:00:00"/>
    <n v="-785"/>
    <n v="10"/>
    <n v="2023"/>
    <n v="4500017491"/>
    <n v="19786"/>
    <n v="4500019221"/>
    <s v="Syifa Artianingsih"/>
    <s v="Masrukhan"/>
    <s v="+62 812-9844-8648"/>
    <m/>
    <m/>
    <m/>
    <m/>
    <m/>
    <m/>
    <n v="456"/>
    <m/>
    <m/>
    <m/>
  </r>
  <r>
    <n v="1585"/>
    <s v="Serpong Mas Telematika"/>
    <s v="PT Aplikanusa Lintasarta (Jl Padjajaran Bogor)"/>
    <s v="MyRepublik plaza lt 2 Wing A"/>
    <x v="0"/>
    <s v="Gedung Unilever BSD Kota Tangerang Banten "/>
    <s v="Relokasi Ruangan di Unilever Indonesia Jakarta Head Office DRC Faasri Jl Pajajjaran Bogor Jawa Barat"/>
    <s v="Sewa Bulanan"/>
    <s v="Interkoneksi"/>
    <s v="PA/RLK/2008/0034"/>
    <s v="0990000320490000"/>
    <n v="0.995"/>
    <s v="Metronet"/>
    <s v="260 Mbps "/>
    <m/>
    <m/>
    <m/>
    <m/>
    <n v="280800000"/>
    <m/>
    <d v="2022-11-01T00:00:00"/>
    <d v="2023-10-31T00:00:00"/>
    <x v="2"/>
    <m/>
    <d v="2025-12-24T00:00:00"/>
    <n v="-785"/>
    <n v="10"/>
    <n v="2023"/>
    <n v="4500017491"/>
    <n v="19786"/>
    <n v="4500019221"/>
    <s v="Syifa Artianingsih"/>
    <s v="Masrukhan"/>
    <s v="+62 812-9844-8648"/>
    <m/>
    <m/>
    <m/>
    <m/>
    <m/>
    <m/>
    <n v="456"/>
    <m/>
    <m/>
    <m/>
  </r>
  <r>
    <n v="1586"/>
    <s v="Serpong Mas Telematika "/>
    <s v="PT Lulu Group Retail_x000a_PT Asuransi Astra Buana_x000a_PT BD Agriculture Indonesia_x000a_PT Federal International Finance di BSD Green Office Park_x000a_PT Toyota Astra Financial Service_x000a_PT Astra Sedaya Finance_x000a_PT Federal International Finance di Astra Biz Center"/>
    <s v="MyRepublik plaza lt 2 Wing A"/>
    <x v="0"/>
    <s v="Serpong BSD"/>
    <s v="Serpong BSD"/>
    <s v="Sewa Tahunan"/>
    <s v="Colocation"/>
    <s v="ICON-00/SBC/1711/0550 _x000a_AL/1910/46824_x000a_ICON-00/SBC/1708/1420_x000a_PA/ACT/1805/0412_x000a_AL/ 2204/ 74288_x000a_PA/UPG/2101/0503_x000a_AR/CHT/1809/1926"/>
    <m/>
    <s v="-"/>
    <s v="-"/>
    <s v="-"/>
    <m/>
    <n v="326400000"/>
    <m/>
    <m/>
    <n v="120000000"/>
    <m/>
    <d v="2022-07-01T00:00:00"/>
    <d v="2024-06-30T00:00:00"/>
    <x v="1"/>
    <s v="PO 4500023723"/>
    <d v="2025-12-24T00:00:00"/>
    <n v="-542"/>
    <n v="6"/>
    <n v="2024"/>
    <n v="4500016843"/>
    <n v="2175"/>
    <n v="4500021833"/>
    <s v="Fajar Paramita"/>
    <s v="Masrukhan"/>
    <s v="+62 812-9844-8648"/>
    <m/>
    <m/>
    <m/>
    <m/>
    <m/>
    <m/>
    <s v="G420"/>
    <m/>
    <m/>
    <m/>
  </r>
  <r>
    <n v="1587"/>
    <s v="Arthamas Solusindo"/>
    <s v="PT. Bank Sinarmas"/>
    <s v="Plaza BII Tower 1 Lt.9 Jl. MH. Thamrin No. 51 Gondangdia Menteng Jakarta Pusat"/>
    <x v="0"/>
    <s v="BACKHAUL BANK SINARMAS (DRC PRIMARY) Jl. Pahlawan Seribu, Gd Smart Telecom, CBD BSD Lot 12.A Lengkong Wetan,Serpong ,Kota Tangerang Selatan ,Banten ,Indonesia ,15310"/>
    <m/>
    <s v="Sewa Tahunan"/>
    <s v="Colocation"/>
    <s v="AL/1911/55163"/>
    <m/>
    <m/>
    <m/>
    <m/>
    <m/>
    <n v="582000000"/>
    <m/>
    <m/>
    <n v="48000000"/>
    <m/>
    <d v="2024-01-01T00:00:00"/>
    <d v="2024-12-31T00:00:00"/>
    <x v="0"/>
    <m/>
    <d v="2025-12-24T00:00:00"/>
    <n v="-358"/>
    <n v="12"/>
    <n v="2024"/>
    <s v="4500010013 | 07859/SPP/008/PUSAT/ICON+/2017 | 4500011120 | 09732/SPP/008/PUSAT/ICON+/2018 | 4500012363 | 2338/SPP/008/PUSAT/ICON+/2019 | 4500013898 | 4500015429"/>
    <n v="3002"/>
    <n v="4500022522"/>
    <s v="Fajar Paramita"/>
    <s v="Aperiyeni"/>
    <s v="021-31902888"/>
    <m/>
    <s v="B21"/>
    <s v="C33"/>
    <s v="D40"/>
    <s v="D386"/>
    <m/>
    <m/>
    <s v="G145"/>
    <m/>
    <s v="-"/>
  </r>
  <r>
    <n v="1588"/>
    <s v="Sokka Tama Fiber "/>
    <s v="PT Indosat Tbk qq PT Lord Indonesia"/>
    <s v="Gedung Graha Persada III Bekasi"/>
    <x v="0"/>
    <m/>
    <s v="LORD INDONESIA - MTX09741069, Graha Persada 2, Lt. 5 Jl. KH. Noer Alie 89A Kayuringin Jaya,  Kec. Bekasi Selatan,  Kota Bekasi,"/>
    <s v="Sewa Tahunan"/>
    <s v="Cross Connect"/>
    <s v="PA/ACT/2112/2390"/>
    <m/>
    <m/>
    <m/>
    <m/>
    <m/>
    <n v="25800000"/>
    <m/>
    <m/>
    <n v="3600000"/>
    <m/>
    <d v="2022-06-08T00:00:00"/>
    <d v="2023-06-07T00:00:00"/>
    <x v="2"/>
    <m/>
    <d v="2025-12-24T00:00:00"/>
    <n v="-931"/>
    <n v="6"/>
    <n v="2023"/>
    <s v="baru"/>
    <s v="18719/SPP/008/PUSAT/ICON+/2022"/>
    <n v="4500018075"/>
    <s v="Fajar Paramita"/>
    <m/>
    <m/>
    <m/>
    <m/>
    <m/>
    <m/>
    <m/>
    <s v="F191"/>
    <m/>
    <m/>
    <m/>
    <s v="1.Biaya Instalasi OTC Rp.1.500.000 | 2.Biaya Sewa Link per tahun Rp.11.250.000 | 3.Biaya Cross Connect Per tahun Rp.3.600.000"/>
  </r>
  <r>
    <n v="1589"/>
    <s v="Solusi Data Cepat "/>
    <s v="PT. FAHASA TRI DATA"/>
    <s v="Gedung cyber lt.8 Jakarta Selatan"/>
    <x v="0"/>
    <m/>
    <s v="Gedung cyber lt.8 Jakarta Selatan"/>
    <s v="Sewa Tahunan"/>
    <s v="Colocation"/>
    <s v="PA/ACT/2302/7776"/>
    <m/>
    <m/>
    <m/>
    <m/>
    <m/>
    <n v="192000000"/>
    <m/>
    <m/>
    <n v="18000000"/>
    <m/>
    <d v="2023-04-01T00:00:00"/>
    <d v="2024-03-31T00:00:00"/>
    <x v="1"/>
    <m/>
    <d v="2025-12-24T00:00:00"/>
    <n v="-633"/>
    <n v="3"/>
    <n v="2024"/>
    <s v="baru"/>
    <s v="21743/SPP/008/PUSAT/ICON+/2023"/>
    <n v="4500020198"/>
    <s v="Fajar Paramita"/>
    <m/>
    <m/>
    <m/>
    <m/>
    <m/>
    <m/>
    <m/>
    <m/>
    <s v="G59"/>
    <m/>
    <m/>
    <s v="Biaya Tahunan Sewa Collo 1U_x0009_Rp.12.000.000_x000a_Instalasi Collo Rp.1.000.000_x000a_Biaya Tahunan Crossconnect MMR To Rack PT Fahasa Tri Data_x0009_Rp.1.000.000_x000a_Instalasi Crossconnect_x0009_Rp.1.000.000_x000a_Biaya Tahunan Crossconnect MMR To APJII Rack S Icon Rp.2.000.000_x000a_Instalasi Crossconnect Rp.1.000.000"/>
  </r>
  <r>
    <n v="1590"/>
    <s v="Solusi Data Cepat "/>
    <s v="PT Fahasa Tri Data"/>
    <s v="Jl. Kuningan Barat Raya RT 6 /RW 3 Kuningan Barat Mampang Prapatan Jakarta Selatan DKI Jakarta 12710"/>
    <x v="0"/>
    <s v="Gedung Cyber Lt. 1, Jl. Kuningan Barat Raya No.8, RT.1/RW.3, Kuningan Barat, Mampang Prapatan, Jakarta Selatan, DKI Jakarta"/>
    <s v="Jl. Nggulon, RT.02/RW.02, Krajan, Gemiring Lor, Jepara, Jawa Tengah"/>
    <s v="Sewa Bulanan"/>
    <s v="Interkoneksi"/>
    <s v="PA/UPG/2211/0071/ORI"/>
    <s v="01000296894"/>
    <n v="0.995"/>
    <s v="Metronet"/>
    <s v="2 Gbps"/>
    <m/>
    <n v="408000000"/>
    <m/>
    <m/>
    <n v="10290323"/>
    <m/>
    <d v="2022-12-01T00:00:00"/>
    <d v="2023-11-30T00:00:00"/>
    <x v="0"/>
    <m/>
    <d v="2025-12-24T00:00:00"/>
    <n v="-755"/>
    <n v="11"/>
    <n v="2023"/>
    <n v="4500018546"/>
    <s v="20661/SPP/008/PUSAT/ICON+/2022"/>
    <n v="4500019515"/>
    <s v="Syifa Artianingsih"/>
    <s v="Septi"/>
    <s v="0819-3405-2389"/>
    <m/>
    <m/>
    <m/>
    <m/>
    <m/>
    <n v="269"/>
    <m/>
    <m/>
    <m/>
    <m/>
  </r>
  <r>
    <n v="1591"/>
    <s v="Solusi Data Cepat "/>
    <s v="PT Fahasa Tri Data"/>
    <s v="Jl. Kuningan Barat Raya RT 6 /RW 3 Kuningan Barat Mampang Prapatan Jakarta Selatan DKI Jakarta 12710"/>
    <x v="0"/>
    <s v="Gedung Cyber Lt. 1, Jl. Kuningan Barat Raya No.8, RT.1/RW.3, Kuningan Barat, Mampang Prapatan, Jakarta Selatan, DKI Jakarta"/>
    <s v="Jl. Nggulon, RT.02/RW.02, Krajan, Gemiring Lor, Jepara, Jawa Tengah"/>
    <s v="Sewa Bulanan"/>
    <s v="Interkoneksi"/>
    <s v="A821204000005"/>
    <s v="111204000010"/>
    <n v="0.995"/>
    <s v="P2P Kapasitas Besar"/>
    <s v="3 Gbps"/>
    <m/>
    <n v="408000000"/>
    <m/>
    <m/>
    <n v="16300010"/>
    <m/>
    <d v="2023-06-27T00:00:00"/>
    <d v="2024-06-26T00:00:00"/>
    <x v="0"/>
    <m/>
    <d v="2025-12-24T00:00:00"/>
    <n v="-546"/>
    <n v="6"/>
    <n v="2024"/>
    <n v="4500019515"/>
    <s v="647/SPP/SBU/ICON+/2023"/>
    <n v="4500020849"/>
    <s v="Galuh Rizki"/>
    <s v="Septi"/>
    <s v="0819-3405-2389"/>
    <m/>
    <m/>
    <m/>
    <m/>
    <m/>
    <m/>
    <n v="163"/>
    <m/>
    <m/>
    <m/>
  </r>
  <r>
    <n v="1592"/>
    <s v="Solusi Data Cepat "/>
    <s v="PT Fahasa Tri Data"/>
    <s v="Jl. Kuningan Barat Raya RT 6 /RW 3 Kuningan Barat Mampang Prapatan Jakarta Selatan DKI Jakarta 12710"/>
    <x v="0"/>
    <s v="Gedung Cyber Lt. 1, Jl. Kuningan Barat Raya No.8, RT.1/RW.3, Kuningan Barat, Mampang Prapatan, Jakarta Selatan, DKI Jakarta"/>
    <s v="Jl. Nggulon, RT.02/RW.02, Krajan, Gemiring Lor, Jepara, Jawa Tengah"/>
    <s v="Sewa Bulanan"/>
    <s v="Interkoneksi"/>
    <s v="D111204000058"/>
    <s v="111204000058"/>
    <n v="0.995"/>
    <s v="Metro P2P"/>
    <s v="2 Gbps"/>
    <m/>
    <n v="408000000"/>
    <m/>
    <m/>
    <n v="18000000"/>
    <m/>
    <d v="2024-06-27T00:00:00"/>
    <d v="2025-06-26T00:00:00"/>
    <x v="1"/>
    <m/>
    <d v="2025-12-24T00:00:00"/>
    <n v="-181"/>
    <n v="6"/>
    <n v="2025"/>
    <n v="4500020849"/>
    <s v="3566/SPP/SBU/PLNICONPLUS/2024"/>
    <n v="4500022925"/>
    <s v="Syifa Artianingsih"/>
    <s v="Septi"/>
    <s v="0819-3405-2389"/>
    <m/>
    <m/>
    <m/>
    <m/>
    <m/>
    <m/>
    <m/>
    <n v="194"/>
    <m/>
    <m/>
  </r>
  <r>
    <n v="1593"/>
    <s v="Solusi Data Cepat "/>
    <s v="PT Indo Telemedia Solusi"/>
    <s v="Jl. Kuningan Barat Raya RT 6 /RW 3 Kuningan Barat Mampang Prapatan Jakarta Selatan DKI Jakarta 12710"/>
    <x v="0"/>
    <s v="Jl. Kuningan Barat Raya No.8, RT.1/RW.3, Kuningan Bar.,  Kec. Mampang Prpt.,  Jakarta Selatan,  DKI Jakarta,  Indonesia,  12710"/>
    <s v="CBN Bali Istana Kuta Galeria  Blok PM 3 No. 7 Jl. Patih Jelantik,  Kuta,  Kabupaten Badung,  Bali,  Indonesia,  80361"/>
    <s v="Sewa Tahunan"/>
    <s v="Cross Connect"/>
    <s v="A111202001917"/>
    <m/>
    <m/>
    <m/>
    <m/>
    <m/>
    <n v="30000000"/>
    <m/>
    <m/>
    <n v="1000000"/>
    <m/>
    <d v="2023-12-05T00:00:00"/>
    <d v="2024-12-04T00:00:00"/>
    <x v="0"/>
    <m/>
    <d v="2025-12-24T00:00:00"/>
    <n v="-385"/>
    <n v="12"/>
    <n v="2024"/>
    <s v="baru"/>
    <n v="1915"/>
    <n v="4500021661"/>
    <s v="Fajar Paramita"/>
    <m/>
    <m/>
    <m/>
    <m/>
    <m/>
    <m/>
    <m/>
    <m/>
    <s v="G310"/>
    <m/>
    <m/>
    <m/>
  </r>
  <r>
    <n v="1594"/>
    <s v="Solusi Jasa Teknologi "/>
    <s v="PT Sarana Yukti Bandhana"/>
    <s v="Gedung sanggar kesatria Liema ,Jalan Raya Pajajaran No.17 Baranangsiang Bogor timur"/>
    <x v="0"/>
    <s v="-"/>
    <s v="Gedung Elitery Lt. 5 Rack SYB Jl. Raya Padjajaran"/>
    <s v="Sewa Tahunan"/>
    <s v="Cross Connect"/>
    <s v="PA/ACT/2022/2483"/>
    <m/>
    <m/>
    <m/>
    <m/>
    <m/>
    <n v="132000000"/>
    <m/>
    <m/>
    <n v="12000000"/>
    <m/>
    <d v="2024-03-21T00:00:00"/>
    <d v="2025-03-20T00:00:00"/>
    <x v="0"/>
    <m/>
    <d v="2025-12-24T00:00:00"/>
    <n v="-279"/>
    <n v="3"/>
    <n v="2025"/>
    <s v="18233/SPP/008/PUSAT/ICON+/2022 | 4500017773 | 21626 | 4500020258"/>
    <n v="2563"/>
    <n v="4500022243"/>
    <s v="Fajar Paramita"/>
    <s v="Anggi"/>
    <s v="0877-7040-4299"/>
    <m/>
    <m/>
    <m/>
    <m/>
    <m/>
    <s v="F52"/>
    <s v="G99"/>
    <s v="H64"/>
    <m/>
    <s v="1.Biaya instalasi Rp.2.500.000 "/>
  </r>
  <r>
    <n v="1595"/>
    <s v="Solusi Jasa Teknologi "/>
    <s v="PT BAHANA PEMBINAAN USAHA INDONESIA"/>
    <s v="Gedung sanggar kesatria Liema ,Jalan Raya Pajajaran No.17 Baranangsiang Bogor timur"/>
    <x v="0"/>
    <s v="(DCI) JL. HALMAHERA NO.1, DANAU INDAH, KEC. CIKARANG BAR., KABUPATEN BEKASI, JAWA BARAT 17530"/>
    <s v="Elitery Jl. Raya Pajajaran No. 17, RT.06/RW.13, Baranangsiang, Kec. Bogor Tim, Kota Bogor, Jawa Barat"/>
    <s v="Sewa Tahunan"/>
    <s v="Cross Connect"/>
    <s v="A821202000636"/>
    <m/>
    <m/>
    <m/>
    <m/>
    <m/>
    <n v="148800000"/>
    <m/>
    <m/>
    <n v="12000000"/>
    <m/>
    <d v="2023-11-15T00:00:00"/>
    <d v="2024-11-14T00:00:00"/>
    <x v="0"/>
    <m/>
    <d v="2025-12-24T00:00:00"/>
    <n v="-405"/>
    <n v="11"/>
    <n v="2024"/>
    <s v="baru"/>
    <s v="2088/SPP/SBU/ICON+/2023"/>
    <n v="4500021704"/>
    <s v="Fajar Paramita"/>
    <s v="Anggi"/>
    <s v="0877-7040-4299"/>
    <m/>
    <m/>
    <m/>
    <m/>
    <m/>
    <m/>
    <s v="G311"/>
    <m/>
    <m/>
    <s v="1. Biaya Sewa Rp 12.000.000, 2. Biaya Instalasi Rp 2.500.000"/>
  </r>
  <r>
    <n v="1596"/>
    <s v="Sucofindo  (Persero)"/>
    <s v="PT TELEKOMUNIKASI INDONESIA, TBK"/>
    <s v="Graha Sucofindo Jl. Raya Pasar Minggu Kav. 34 Jakarta"/>
    <x v="0"/>
    <m/>
    <s v="Gedung Sucofindo Graha Sucofindo Jl. Raya Pasar Minggu Kav. 34 Jakarta Nestle - PT Wyeth Nutrition Sduaenam (dari luar menuju lt. 10) (PT Telekomunikasi Indonesia SO No. ICON-00/ACT/1609/0621)"/>
    <s v="Sewa Tahunan"/>
    <s v="Colocation"/>
    <s v="ICON-00/ACT/1609/0621"/>
    <m/>
    <m/>
    <m/>
    <m/>
    <m/>
    <n v="116298000"/>
    <m/>
    <m/>
    <n v="6600000"/>
    <m/>
    <d v="2021-12-13T00:00:00"/>
    <d v="2022-12-12T00:00:00"/>
    <x v="2"/>
    <m/>
    <d v="2025-12-24T00:00:00"/>
    <n v="-1108"/>
    <n v="12"/>
    <n v="2022"/>
    <s v="2641216/SPR/ICON+/2016 | _x000a_ 2651216/SPR/ICON+/2016 07810/SPP/008/PUSAT/ICON+/2017 4500011084 | 09551/SPP/008/PUSAT/ICON+/2018 | 4500012062 | 12096/SPP/008/PUSAT/ICON+/2019 | 4500013592| 14759/SPP/008/PUSAT/ICON+/2020| 4500015424"/>
    <s v="17177/SPP/008/PUSAT/ICON+/2021"/>
    <n v="4500017226"/>
    <s v="Fajar Paramita"/>
    <s v="Amina"/>
    <s v="021-7990633"/>
    <n v="22"/>
    <s v="B249"/>
    <s v="C302"/>
    <s v="D299"/>
    <s v="E394"/>
    <m/>
    <m/>
    <m/>
    <m/>
    <s v="1.Biaya Sewa Pertahun sebesar Rp.5.400.000,-"/>
  </r>
  <r>
    <n v="1597"/>
    <s v="Sucofindo  (Persero)"/>
    <s v="PT KOPI BINTANG INDONESIA"/>
    <s v="Graha Sucofindo Jl. Raya Pasar Minggu Kav. 34 Jakarta"/>
    <x v="0"/>
    <m/>
    <s v="LANTAI 1 - Graha Sucofindo, Jl. Raya Pasar Minggu, RT.4/RW.1, Pancoran, Kec. Pancoran, Kota Jakarta Selatan, Daerah Khusus Ibukota Jakarta 12780 "/>
    <s v="Sewa Tahunan"/>
    <s v="Colocation"/>
    <s v="A111303000043"/>
    <m/>
    <m/>
    <m/>
    <m/>
    <m/>
    <n v="30000000"/>
    <m/>
    <m/>
    <n v="7590000"/>
    <m/>
    <d v="2023-08-01T00:00:00"/>
    <d v="2024-07-31T00:00:00"/>
    <x v="2"/>
    <m/>
    <d v="2025-12-24T00:00:00"/>
    <n v="-511"/>
    <n v="7"/>
    <n v="2024"/>
    <s v="baru"/>
    <s v="733/SPP/SBU/ICON+/2023"/>
    <n v="4500020888"/>
    <s v="Fajar Paramita"/>
    <s v="Amina"/>
    <s v="021-7990633"/>
    <m/>
    <m/>
    <m/>
    <m/>
    <m/>
    <m/>
    <s v="G128"/>
    <m/>
    <m/>
    <s v="1.Biaya Sewa Pertahun sebesar Rp.7.590.000,-"/>
  </r>
  <r>
    <n v="1598"/>
    <s v="Sukses Kelola Persada "/>
    <s v="PT. SUMBER MENTARI ELEKTRINDO_x000a_ PT. MITRA ERA GLOBAL"/>
    <s v="Jalan Gunung Sahari raya no 1 Jakarta"/>
    <x v="0"/>
    <m/>
    <s v="Komplek Mangga Dua Square Blok C No. 22, Jakarta Utara"/>
    <s v="Sewa Tahunan"/>
    <s v="Cross Connect"/>
    <s v="PA/ACT/2106/2946/TER _x000a_ PA/ACT/2106/2945/TER"/>
    <m/>
    <m/>
    <m/>
    <m/>
    <m/>
    <n v="86400000"/>
    <m/>
    <m/>
    <n v="45300000"/>
    <m/>
    <d v="2021-07-23T00:00:00"/>
    <d v="2022-07-22T00:00:00"/>
    <x v="0"/>
    <m/>
    <d v="2025-12-24T00:00:00"/>
    <n v="-1251"/>
    <n v="7"/>
    <n v="2022"/>
    <s v="baru"/>
    <s v="16250/SPP/008/PUSAT/ICON+/2021"/>
    <n v="4500016483"/>
    <s v="Fajar Paramita"/>
    <m/>
    <m/>
    <m/>
    <m/>
    <m/>
    <m/>
    <s v="E181"/>
    <m/>
    <m/>
    <m/>
    <m/>
    <s v="Sewa tray kabel Mangga Dua Square Rp.45.300.000"/>
  </r>
  <r>
    <n v="1599"/>
    <s v="Supermal Karawaci "/>
    <s v="PT Trans Retail Indonesia"/>
    <s v="105 Bulevar Diponegoro Lippo Karawaci Bencongan Curug Tangerang"/>
    <x v="0"/>
    <m/>
    <s v="Supermall Karawaci Jl. Bulevard Diponegoro 105 Lippo Karawaci 1200 Tangerang (PT Trans Retail Indonesia)"/>
    <s v="Sewa Tahunan"/>
    <s v="Colocation"/>
    <s v="ICON-00/SOP/1404/0013"/>
    <m/>
    <m/>
    <m/>
    <m/>
    <m/>
    <n v="60000000"/>
    <m/>
    <m/>
    <n v="13200000"/>
    <m/>
    <d v="2019-11-05T00:00:00"/>
    <d v="2020-11-04T00:00:00"/>
    <x v="2"/>
    <m/>
    <d v="2025-12-24T00:00:00"/>
    <n v="-1876"/>
    <n v="11"/>
    <n v="2020"/>
    <s v="0811016/SPR/ICON+/2016 07419/SPP/008/PUSAT/ICON+/2017 |4500010813 |08996/SPP/008/PUSAT/ICON+/2018"/>
    <s v="11725/SPP/008/PUSAT/ICON+/2019"/>
    <n v="4500013336"/>
    <s v="Fajar Paramita"/>
    <s v="Mulyadi Gunawan"/>
    <s v="021-5466666_x000a_ 021-5467777"/>
    <n v="104"/>
    <s v="B145"/>
    <s v="C206"/>
    <m/>
    <m/>
    <m/>
    <m/>
    <m/>
    <m/>
    <s v="1. Sewa penempatan OTB US83/m2/bulan atw Rp9.312.600/tahun_x000a_ 2. Legal Fee Rp181.818_x000a_ 3. Jaminan Rp12.000.000 dengan rincian :_x000a_ a. &lt; 50 m = Rp2.000.000_x000a_ b. 51 - 100 m = Rp4.000.000_x000a_ c. 101 - 500 m = Rp6.000.000_x000a_ d. 501- 1000 m = Rp8.000.000_x000a_ e. &gt; 1000 m = Rp12.000.000_x000a_ 4. Biaya sampah fit out dengan rincian :_x000a_ a. &lt; 50 m = Rp268.000_x000a_ b. 51-100 m = Rp570.000_x000a_ c. 101 - 500 m = Rp2.900.000_x000a_ d. 501 - 1000 m =Rp5.700.000_x000a_ e. &gt; 1000 m"/>
  </r>
  <r>
    <n v="1600"/>
    <s v="Swadaya Panduartha  - Belantik Prodjo CV "/>
    <s v="PLN (PERSERO) KANTOR PUSAT"/>
    <s v="Rukan Artha Gading Niaga Blok C No. 31-32 Lahan Sentra Bisnis Artha Gading Jakarta 14240_x000a__x000a_Jalan Rs. Fatmawati No. 50 Pondok Labu Jakarta Selatan"/>
    <x v="0"/>
    <m/>
    <s v="Outdoor Lahan Artha Gading (Allure Alluminio) Jl Teuku Umar KM 44 Cibitung"/>
    <s v="Sewa Tahunan"/>
    <s v="Colocation"/>
    <s v="PA/ACT/2203/0584"/>
    <m/>
    <m/>
    <m/>
    <m/>
    <m/>
    <n v="76200000"/>
    <m/>
    <m/>
    <n v="78000000"/>
    <m/>
    <d v="2024-03-06T00:00:00"/>
    <d v="2025-03-05T00:00:00"/>
    <x v="2"/>
    <m/>
    <d v="2025-12-24T00:00:00"/>
    <n v="-294"/>
    <n v="3"/>
    <n v="2025"/>
    <s v="450000936 | 4500010225 | 08280/SPP/008/PUSAT/ICON+/2018 | 4500011316 | 10586/SPP/008/PUSAT/ICON+/2019 | 4500012623| 15467/SPP/008/PUSAT/ICON+/2021| 4500016059| 18365/SPP/008/PUSAT/ICON+/2022 | 4500017915 | 4500021236 | 1354"/>
    <n v="2858"/>
    <n v="4500022409"/>
    <s v="Fajar Paramita"/>
    <s v="Tati_x000a_ Hendra Saputra (GM Estate)_x000a_ _x000a_ Sartono"/>
    <s v="021-45850888_x000a_ _x000a_ 021-75915344"/>
    <m/>
    <s v="B81"/>
    <s v="C84"/>
    <m/>
    <s v="E90"/>
    <s v="F139"/>
    <s v="G243"/>
    <s v="H111"/>
    <m/>
    <s v="1. Jaminan Rp20.000.000,- untuk Lahan Artha Gading (outdoor)_x000a_ 2.Perijinan Supervisi Penarikan/Penggalian Kabel Fiber Optik untuk Mall Artha Gading (Indoor) One Time Charged Rp25.000.000_x000a_ 3.Jaminan Rp10.000.000 untuk Mall Artha Gading (+ Jaminan Lahan)_x000a_ 4.Biaya supervise Penarikan/Penggalian Kabel Fiber Optik Rp1.100.000 s/d Rp1.350.000 untuk Lahan Artha Gading (non Resmi)_x000a_ 5. Jasa Man Hour Rp3.000.000_x000a_ 6. Sewa Jalur penempatan kabel fiber optik Outdoor - Lahan Rp42.000.000/tahun (All In)"/>
  </r>
  <r>
    <n v="1601"/>
    <s v="Teknovatus Solusi Sejahtera "/>
    <s v="PT. ARRANET INDONESIA SEJAHTERA"/>
    <s v="Jl Pahlawan Seribu Lot 12A"/>
    <x v="0"/>
    <m/>
    <s v="Backhaul H2H PT. Teknovatus Solusi Sejahtera, Jl. Pahlawan Seribu lot 12 A Lt. 3 BSD City, Lengkong Gudang, Tangerang, Banten"/>
    <s v="Sewa Tahunan"/>
    <s v="Cross Connect"/>
    <s v="PA/ACT/2008/1896"/>
    <m/>
    <m/>
    <m/>
    <m/>
    <m/>
    <n v="78000000"/>
    <m/>
    <m/>
    <n v="4800000"/>
    <m/>
    <d v="2020-08-26T00:00:00"/>
    <d v="2021-08-25T00:00:00"/>
    <x v="0"/>
    <m/>
    <d v="2025-12-24T00:00:00"/>
    <n v="-1582"/>
    <n v="8"/>
    <n v="2021"/>
    <s v="baru"/>
    <s v="14077/SPP/008/PUSAT/ICON+/2020"/>
    <n v="4500015170"/>
    <s v="Fajar Paramita"/>
    <m/>
    <m/>
    <m/>
    <m/>
    <m/>
    <s v="D267"/>
    <m/>
    <m/>
    <m/>
    <m/>
    <m/>
    <s v="1.Biaya Set up Teknovatus rp.1.500.000,- | 2.Biaya Sewa Teknovatus Rp.4.800.000,-"/>
  </r>
  <r>
    <n v="1602"/>
    <s v="Teknovatus Solusi Sejahtera "/>
    <s v="PT. BANK SYARIAH BUKOPIN"/>
    <s v="Jl Pahlawan Seribu Lot 12A"/>
    <x v="0"/>
    <m/>
    <s v="H2H PT. Teknovatus Solusi Sejahtera, Jl Pahlawan Seribu lot 12 A lt 3 BSD City Tangerang Selatan"/>
    <s v="Sewa Tahunan"/>
    <s v="Cross Connect"/>
    <s v="PA/ACT/2007/0099/ORI"/>
    <m/>
    <m/>
    <m/>
    <m/>
    <m/>
    <n v="45600000"/>
    <m/>
    <m/>
    <n v="4800000"/>
    <m/>
    <d v="2020-07-06T00:00:00"/>
    <d v="2021-07-05T00:00:00"/>
    <x v="0"/>
    <m/>
    <d v="2025-12-24T00:00:00"/>
    <n v="-1633"/>
    <n v="7"/>
    <n v="2021"/>
    <s v="baru"/>
    <s v="13880/SPP/008/PUSAT/ICON+/2020"/>
    <n v="4500014812"/>
    <s v="Fajar Paramita"/>
    <m/>
    <m/>
    <m/>
    <m/>
    <m/>
    <s v="D174"/>
    <m/>
    <m/>
    <m/>
    <m/>
    <m/>
    <s v="biaya sewa cross connect sebesar Rp.4.800.000"/>
  </r>
  <r>
    <n v="1603"/>
    <s v="Teknovatus Solusi Sejahtera "/>
    <s v="PT. SMART TELECOM"/>
    <s v="Jl Pahlawan Seribu Lot 12A"/>
    <x v="0"/>
    <m/>
    <s v="Jl. Pahlawan Seribu Lot.12A, Gedung Smartfren BSD2 Lantai 2, Ruang Vault PT. SMART, Rack Network 16, Rack Unit 47, Lengkong Gudang"/>
    <s v="Sewa Tahunan"/>
    <s v="Cross Connect"/>
    <s v="PA/ACT/2206/16564 "/>
    <m/>
    <m/>
    <m/>
    <m/>
    <m/>
    <s v="-"/>
    <m/>
    <m/>
    <n v="4800000"/>
    <m/>
    <d v="2022-07-07T00:00:00"/>
    <d v="2023-07-06T00:00:00"/>
    <x v="0"/>
    <m/>
    <d v="2025-12-24T00:00:00"/>
    <n v="-902"/>
    <n v="7"/>
    <n v="2023"/>
    <s v="19382/SPP/008/PUSAT/ICON+/2022"/>
    <s v="19382/SPP/008/PUSAT/ICON+/2022"/>
    <n v="4500018509"/>
    <s v="Fajar Paramita"/>
    <m/>
    <m/>
    <m/>
    <m/>
    <m/>
    <m/>
    <m/>
    <s v="F248"/>
    <m/>
    <m/>
    <m/>
    <s v="1.Sewa Rack Unit 47 (1 Tahun) Rp.4.800.000 | 2.Biaya Setup Fee @ Rack Unit 47 Rp.1.500.000,-"/>
  </r>
  <r>
    <n v="1604"/>
    <s v="Teknovatus Solusi Sejahtera "/>
    <s v="PT. SMART TELECOM"/>
    <s v="Jl Pahlawan Seribu Lot 12A"/>
    <x v="0"/>
    <m/>
    <s v="Jl. Pahlawan Seribu Lot.12A, Gedung Smartfren BSD2 Lantai 2, Ruang Vault PT. SMART, Rack Network 16, Rack Unit 47, Lengkong Gudang"/>
    <s v="Sewa Tahunan"/>
    <s v="Cross Connect"/>
    <s v="PA/ACT/2206/16564 "/>
    <m/>
    <m/>
    <m/>
    <m/>
    <m/>
    <m/>
    <m/>
    <m/>
    <n v="4800000"/>
    <m/>
    <d v="2023-07-07T00:00:00"/>
    <d v="2025-07-06T00:00:00"/>
    <x v="1"/>
    <m/>
    <d v="2025-12-24T00:00:00"/>
    <n v="-171"/>
    <n v="7"/>
    <n v="2025"/>
    <m/>
    <s v=" 3933/SPP/SBU/PLNICONPLUS/2024"/>
    <n v="4500023148"/>
    <s v="Livia Indraswati"/>
    <m/>
    <m/>
    <m/>
    <m/>
    <m/>
    <m/>
    <m/>
    <m/>
    <m/>
    <s v="H266"/>
    <m/>
    <m/>
  </r>
  <r>
    <n v="1605"/>
    <s v="Teknovatus Solusi Sejahtera "/>
    <s v="PT. SMART TELECOM"/>
    <s v="Jl Pahlawan Seribu Lot 12A"/>
    <x v="0"/>
    <m/>
    <s v="Jl. Pahlawan Seribu Lot.12A, Gedung Smartfren BSD2 Lantai 2, Ruang Vault PT. SMART, Rack Network 16, Rack Unit 47, Lengkong Gudang"/>
    <s v="Sewa Tahunan"/>
    <s v="Cross Connect"/>
    <s v="PA/ACT/2206/16564 "/>
    <m/>
    <m/>
    <m/>
    <m/>
    <m/>
    <s v="-"/>
    <m/>
    <m/>
    <n v="4800000"/>
    <m/>
    <d v="2022-07-07T00:00:00"/>
    <d v="2023-07-06T00:00:00"/>
    <x v="0"/>
    <m/>
    <d v="2025-12-24T00:00:00"/>
    <n v="-902"/>
    <n v="7"/>
    <n v="2023"/>
    <s v="19384/SPP/008/PUSAT/ICON+/2022 "/>
    <s v="19384/SPP/008/PUSAT/ICON+/2022 "/>
    <n v="4500018510"/>
    <s v="Fajar Paramita"/>
    <m/>
    <m/>
    <m/>
    <m/>
    <m/>
    <m/>
    <m/>
    <s v="F249"/>
    <m/>
    <m/>
    <m/>
    <s v="1.Sewa Rack Unit 47 (1 Tahun) Rp.4.800.000 | 2.Biaya Setup Fee @ Rack Unit 47 Rp.1.500.000,-"/>
  </r>
  <r>
    <n v="1606"/>
    <s v="Teknovatus Solusi Sejahtera "/>
    <s v="PT. SMART TELECOM"/>
    <s v="Jl Pahlawan Seribu Lot 12A"/>
    <x v="0"/>
    <m/>
    <s v="Jl. Pahlawan Seribu Lot.12A, Gedung Smartfren BSD2 Lantai 2, Ruang Vault PT. SMART, Rack Network 16, Rack Unit 47, Lengkong Gudang"/>
    <s v="Sewa Tahunan"/>
    <s v="Cross Connect"/>
    <s v="PA/ACT/2206/16564 "/>
    <m/>
    <m/>
    <m/>
    <m/>
    <m/>
    <m/>
    <m/>
    <m/>
    <n v="4800000"/>
    <m/>
    <d v="2023-07-07T00:00:00"/>
    <d v="2025-07-06T00:00:00"/>
    <x v="1"/>
    <m/>
    <d v="2025-12-24T00:00:00"/>
    <n v="-171"/>
    <n v="7"/>
    <n v="2025"/>
    <m/>
    <s v="3934/SPP/SBU/PLNICONPLUS/2024"/>
    <n v="4500023149"/>
    <s v="Livia Indraswati"/>
    <m/>
    <m/>
    <m/>
    <m/>
    <m/>
    <m/>
    <m/>
    <m/>
    <m/>
    <s v="H267"/>
    <m/>
    <m/>
  </r>
  <r>
    <n v="1607"/>
    <s v="Teknovatus Solusi Sejahtera "/>
    <s v="PT. NTT INDONESIA"/>
    <s v="Jl Pahlawan Seribu Lot 12A"/>
    <x v="0"/>
    <s v="NTT Nextdatacenter (CSF MMR) Kuningan Barat No 1 Jakarta"/>
    <s v="PT Teknovatus SS, Jl. Pahlawan Seribu Lot 12 A BSD CBD Serpong, Tangerang 15322"/>
    <s v="Sewa Tahunan"/>
    <s v="Colocation"/>
    <s v="PA/ACT/2010/1221"/>
    <m/>
    <m/>
    <m/>
    <m/>
    <m/>
    <n v="162000000"/>
    <m/>
    <m/>
    <n v="18000000"/>
    <m/>
    <d v="2023-11-23T00:00:00"/>
    <d v="2024-11-22T00:00:00"/>
    <x v="1"/>
    <s v="SPP"/>
    <d v="2025-12-24T00:00:00"/>
    <n v="-397"/>
    <n v="11"/>
    <n v="2024"/>
    <s v="14606/SPP/008/PUSAT/ICON+/2020 | 4500015284 | 17226/SPP/008/PUSAT/ICON+/2021 | 4500017416 | 4500019976"/>
    <s v="3479/SPP/SBU/PLNICONPLUS/2024"/>
    <n v="4500022978"/>
    <s v="Fajar Paramita"/>
    <m/>
    <m/>
    <m/>
    <m/>
    <m/>
    <s v="D268"/>
    <m/>
    <s v="F81"/>
    <m/>
    <s v="H246"/>
    <m/>
    <s v="1.Biaya Sewa Crossconnect DC Teknovatus Rp.3.900.000 | 2.Biaya Instalasi Crossconnect DC Teknovatus Rp.1.500.000 | 3.Biaya Sewa Collocation 1U MMR DC Teknovatus Rp.18.000.000"/>
  </r>
  <r>
    <n v="1608"/>
    <s v="Teknovatus Solusi Sejahtera "/>
    <s v="PT. BANK MESTIKA DHARMA TBK"/>
    <s v="Jl Pahlawan Seribu Lot 12A"/>
    <x v="0"/>
    <m/>
    <m/>
    <s v="Sewa Tahunan"/>
    <s v="Cross Connect"/>
    <s v="PA/ACT/1911/3857"/>
    <m/>
    <m/>
    <m/>
    <m/>
    <m/>
    <n v="42000000"/>
    <m/>
    <m/>
    <n v="3600000"/>
    <m/>
    <d v="2024-02-05T00:00:00"/>
    <d v="2025-02-04T00:00:00"/>
    <x v="1"/>
    <m/>
    <d v="2025-12-24T00:00:00"/>
    <n v="-323"/>
    <n v="2"/>
    <n v="2025"/>
    <s v="baru"/>
    <s v="12509/SPP/008/PUSAT/ICON+/2020"/>
    <n v="4500013854"/>
    <s v="Fajar Paramita"/>
    <m/>
    <m/>
    <m/>
    <m/>
    <m/>
    <s v="D52"/>
    <m/>
    <m/>
    <m/>
    <m/>
    <m/>
    <s v="1.Biaya Instalasi TER (xconnect di DC Teknovatus) Rp.1.500.000,- 2.Biaya Sewa TER (xconnect di DC Teknovatus) Rp.3.600.000,- 3.Biaya PKB ORI Rp.7.396.463,-"/>
  </r>
  <r>
    <n v="1609"/>
    <s v="Telekomunikasi Indonesia "/>
    <s v="DINAS KOMUNIKASI INFORMATIKA DAN PERSANDIAN ACEH"/>
    <s v="Graha Merah Putih Jl.Gatot Subroto Kav.52 Jakarta Selatan 12070"/>
    <x v="0"/>
    <m/>
    <s v="NEU CENTRIC DATA CENTER, Jl. K.H Mas Mansyur"/>
    <s v="Sewa Tahunan"/>
    <s v="Cross Connect"/>
    <s v="PA/RLK/2205/0047/TER"/>
    <m/>
    <m/>
    <m/>
    <m/>
    <m/>
    <n v="66600024"/>
    <m/>
    <m/>
    <n v="62900000"/>
    <m/>
    <d v="2022-07-29T00:00:00"/>
    <d v="2023-07-28T00:00:00"/>
    <x v="0"/>
    <m/>
    <d v="2025-12-24T00:00:00"/>
    <n v="-880"/>
    <n v="7"/>
    <n v="2023"/>
    <s v="baru"/>
    <s v="19115/SPP/008/PUSAT/ICON+/2022"/>
    <n v="4500018401"/>
    <s v="Fajar Paramita"/>
    <m/>
    <m/>
    <m/>
    <m/>
    <m/>
    <m/>
    <m/>
    <s v="F188"/>
    <m/>
    <m/>
    <m/>
    <s v="1.1.Biaya Collo @ IT Hall (Tier II) /1 Tahun  Rp.18.000.000 | 2.Biaya OTC Intalasi collo Rp.1.500.000 | 3. Biaya Collo @ NER  /1 Tahun  Rp.18.000.000 | 4.Biaya OTC Intalasi collo Rp.1.500.000 | 5.Biaya Sewa Jalur Cable /1tahun Rp.3.600.000 | 6.Biaya Penyedian Power 2Amp Rp.10.200.000 | 7.Biaya OTC Penyedian Power 2 Amp Rp.400.000 | 8.Biaya Sewa  Cross Connect (Fiber)  /1 tahun Rp.6.000.000 | 9.Biaya Cross Connect (Fiber)  Rp.1.500.000 | 10.Biaya Sewa  Cross Connect (UTP)  Rp.1.200.000 | 11.Biaya Cross Connect (UTP)  Rp.1.000.000"/>
  </r>
  <r>
    <n v="1610"/>
    <s v="Telekomunikasi Indonesia "/>
    <s v="PT. PERTAMINA RETAIL"/>
    <s v="Jl.Kebon Sirih No.12 Jakarta Pusat 10110"/>
    <x v="0"/>
    <m/>
    <s v="SPBU-CIKUPA CITRA RAYA"/>
    <s v="Sewa Tahunan"/>
    <s v="Cross Connect"/>
    <s v="PA/ACT/2205/2040"/>
    <m/>
    <m/>
    <m/>
    <m/>
    <m/>
    <n v="24000000"/>
    <m/>
    <m/>
    <n v="17360000"/>
    <m/>
    <d v="2022-08-15T00:00:00"/>
    <d v="2023-08-14T00:00:00"/>
    <x v="2"/>
    <m/>
    <d v="2025-12-24T00:00:00"/>
    <n v="-863"/>
    <n v="8"/>
    <n v="2023"/>
    <s v="baru"/>
    <s v="19359/SPP/008/PUSAT/ICON+/2022"/>
    <n v="4500018513"/>
    <s v="Fajar Paramita"/>
    <m/>
    <m/>
    <m/>
    <m/>
    <m/>
    <m/>
    <m/>
    <s v="F245"/>
    <m/>
    <m/>
    <m/>
    <s v="biaya sewa tahunan sebesar 15.360.000 | OTC Rp.2.000.000. Skema Kerjasama berubah menjadi Interkoneksi"/>
  </r>
  <r>
    <n v="1611"/>
    <s v="Telkom Data Ekosistem "/>
    <s v="PT. KERETA COMMUTER INDONESIA"/>
    <s v="Gedung Graha Telkomsigma Lt.5 Tangerang selatan 15321"/>
    <x v="0"/>
    <m/>
    <s v="Data Center Telkomsigma Sentul - Cijayanti_x000a_Menara Sentraya Lt. 20 (IP VPN)"/>
    <s v="Sewa Tahunan"/>
    <s v="Colocation"/>
    <s v="PA/ACT/2212/6029"/>
    <m/>
    <m/>
    <m/>
    <m/>
    <m/>
    <n v="294000000"/>
    <m/>
    <m/>
    <n v="30000000"/>
    <m/>
    <d v="2023-01-17T00:00:00"/>
    <d v="2024-01-16T00:00:00"/>
    <x v="0"/>
    <m/>
    <d v="2025-12-24T00:00:00"/>
    <n v="-708"/>
    <n v="1"/>
    <n v="2024"/>
    <s v="baru"/>
    <s v="21056/SPP/008/PUSAT/ICON+/2023"/>
    <n v="4500019908"/>
    <s v="Fajar Paramita"/>
    <s v="Edhi"/>
    <m/>
    <m/>
    <m/>
    <m/>
    <m/>
    <m/>
    <m/>
    <s v="G7"/>
    <m/>
    <m/>
    <s v="1.Biaya Instalasi Rp.5.000.000 ,- | 2.Biaya Sewa Tahunan Rp.14.400.000,-"/>
  </r>
  <r>
    <n v="1612"/>
    <s v="Telkom Data Ekosistem "/>
    <s v="PT. KERETA COMMUTER INDONESIA"/>
    <s v="Gedung Graha Telkomsigma Lt.5 Tangerang selatan 15322"/>
    <x v="0"/>
    <m/>
    <s v="Graha Telkomsigma d/h German Centre, 7th Floor - Jl. Kapten Soebijanto Djojohadikoesoemo, Bumi Serpong Damai_x000a_Menara Sentraya Lt. 20 (IP VPN)"/>
    <s v="Sewa Tahunan"/>
    <s v="Colocation"/>
    <s v="PA/ACT/2212/6028 "/>
    <m/>
    <m/>
    <m/>
    <m/>
    <m/>
    <n v="294000000"/>
    <m/>
    <m/>
    <n v="30000000"/>
    <m/>
    <d v="2023-01-30T00:00:00"/>
    <d v="2024-01-29T00:00:00"/>
    <x v="0"/>
    <m/>
    <d v="2025-12-24T00:00:00"/>
    <n v="-695"/>
    <n v="1"/>
    <n v="2024"/>
    <s v="baru"/>
    <s v="21030/SPP/008/PUSAT/ICON+/2023"/>
    <n v="4500019899"/>
    <s v="Fajar Paramita"/>
    <s v="Edhi"/>
    <m/>
    <m/>
    <m/>
    <m/>
    <m/>
    <m/>
    <m/>
    <s v="G5"/>
    <m/>
    <m/>
    <s v="1.Biaya Instalasi Rp.600.000 ,- | 2.Biaya Sewa Tahunan Rp.30.000.000,-"/>
  </r>
  <r>
    <n v="1613"/>
    <s v="Telkom Data Ekosistem "/>
    <s v="PT. BANK RAKYAT INDONESIA (PERSERO) TBK"/>
    <s v="Gedung Graha Telkomsigma Lt.5 Tangerang selatan 15322"/>
    <x v="0"/>
    <m/>
    <s v="(ODC BACKUP BRI SIGMA SENTUL H2H) JL. CIJAYANTI, KEC. BABAKAN MADANG, KABUPATEN BOGOR, JAWA BARAT 16810"/>
    <s v="Sewa Tahunan"/>
    <s v="Colocation"/>
    <s v="_x000a_A821205000077_x000a_A821205000076_x000a_A821205000074_x000a_A821205000075_x000a_"/>
    <m/>
    <m/>
    <m/>
    <m/>
    <m/>
    <n v="653081088"/>
    <m/>
    <m/>
    <n v="36000000"/>
    <m/>
    <d v="2023-08-22T00:00:00"/>
    <d v="2024-08-21T00:00:00"/>
    <x v="0"/>
    <m/>
    <d v="2025-12-24T00:00:00"/>
    <n v="-490"/>
    <n v="8"/>
    <n v="2024"/>
    <s v="baru"/>
    <s v="1154/SPP/SBU/ICON+/2023_x0009_"/>
    <n v="4500021196"/>
    <s v="Fajar Paramita"/>
    <s v="Edhi"/>
    <m/>
    <m/>
    <m/>
    <m/>
    <m/>
    <m/>
    <m/>
    <s v="G187"/>
    <m/>
    <m/>
    <s v="1.biaya Xconnect FO Core  @1 tahun  Rp.12.000.000 | 2.Biaya Intalasi FO Core Rp.6.000.000 | 3.biaya Xconnect Cable UTP  @1 tahun  Rp.12.000.000 | 4.Biaya Intalasi Cable UTP Rp.6.000.000"/>
  </r>
  <r>
    <n v="1614"/>
    <s v="Telkom Data Ekosistem "/>
    <s v="BANK WOORI SAUDARA"/>
    <s v="Gedung Graha Telkomsigma Lt.5 Tangerang selatan 15322"/>
    <x v="0"/>
    <m/>
    <s v="Gedung Sigma German Center - BSD Tanggerang Lantai 6"/>
    <s v="Sewa Tahunan"/>
    <s v="Colocation"/>
    <s v="PA/ACT/2212/1831"/>
    <m/>
    <m/>
    <m/>
    <m/>
    <m/>
    <s v="-"/>
    <m/>
    <m/>
    <n v="12000000"/>
    <m/>
    <d v="2023-05-24T00:00:00"/>
    <d v="2024-05-23T00:00:00"/>
    <x v="0"/>
    <m/>
    <d v="2025-12-24T00:00:00"/>
    <n v="-580"/>
    <n v="5"/>
    <n v="2024"/>
    <s v="baru"/>
    <s v="21331/SPP/008/PUSAT/ICON+/2023"/>
    <n v="4500020164"/>
    <s v="Fajar Paramita"/>
    <s v="Edhi"/>
    <m/>
    <m/>
    <m/>
    <m/>
    <m/>
    <m/>
    <m/>
    <s v="G45"/>
    <m/>
    <m/>
    <s v="1.biaya Xconnect FO Core  @1 tahun  Rp.12.000.000 | 2.Biaya Intalasi FO Core Rp.3.000.000"/>
  </r>
  <r>
    <n v="1615"/>
    <s v="Telkom Data Ekosistem "/>
    <s v="PT BCA Finance"/>
    <s v="Gedung Graha Telkomsigma Lt.5 Tangerang selatan 15322"/>
    <x v="0"/>
    <s v="BCA WISMA ASIA 2 JL. BRIGJEN KATAMSO NO.1, RT.4/RW.9, KOTA BAMBU SEL., KEC. PALMERAH, KOTA JAKARTA BARAT, DAERAH KHUSUS IBUKOTA JAKARTA 11420"/>
    <s v="TELKOM SIGMA DJ, BUMI SERPONG DAMAI, JALAN KAPTEN SUBIJANTO, LENGKONG GUDANG, KEC. SERPONG, KOTA TANGERANG SELATAN, BANTEN 15321"/>
    <s v="Sewa Tahunan"/>
    <s v="Colocation"/>
    <s v="A821205000168 - 8223081600003"/>
    <m/>
    <m/>
    <m/>
    <m/>
    <m/>
    <n v="50400000"/>
    <m/>
    <m/>
    <n v="6000000"/>
    <m/>
    <d v="2023-09-15T00:00:00"/>
    <d v="2024-09-14T00:00:00"/>
    <x v="0"/>
    <m/>
    <d v="2025-12-24T00:00:00"/>
    <n v="-466"/>
    <n v="9"/>
    <n v="2024"/>
    <s v="baru"/>
    <s v="1323/SPP/SBU/ICON+/2023"/>
    <n v="4500021323"/>
    <s v="Fajar Paramita"/>
    <s v="Edhi"/>
    <m/>
    <m/>
    <m/>
    <m/>
    <m/>
    <m/>
    <m/>
    <s v="G231"/>
    <m/>
    <m/>
    <s v="1.biaya Xconnect FO Core  @1 tahun  Rp.6.000.000 | 2.Biaya Intalasi FO Core Rp.3.000.000"/>
  </r>
  <r>
    <n v="1616"/>
    <s v="Telkom Data Ekosistem "/>
    <s v="PT. BANK NEO COMMERCE TBK"/>
    <s v="German Centre Building 3rd and 5th floor Jl. Kapt. Subijanto DJ Bumi Serpong Damai"/>
    <x v="0"/>
    <s v="Data Center Telkomsigma, Jl. Ir. Hj Juanda Cijayanti, Sentul City,  Kec. Babakan Madang,  Kabupaten Bogor,  Jawa Barat,  Indonesia"/>
    <s v="(Relokasi Perangkat) BNC HQ Gozco Pancoran, Jl. Raya Pasar Minggu Kav. 3, Pancoran, Jakarta Selatan, DKI Jakarta, Indonesia"/>
    <s v="Sewa Tahunan"/>
    <s v="Cross Connect"/>
    <s v="PA/RLK/2108/0043_x000a_ PA/RLK/2108/0042_x000a_ PA/RLK/2108/0041"/>
    <m/>
    <m/>
    <m/>
    <m/>
    <m/>
    <n v="726000000"/>
    <m/>
    <m/>
    <n v="18000000"/>
    <m/>
    <d v="2021-09-13T00:00:00"/>
    <d v="2022-09-12T00:00:00"/>
    <x v="0"/>
    <m/>
    <d v="2025-12-24T00:00:00"/>
    <n v="-1199"/>
    <n v="9"/>
    <n v="2022"/>
    <s v="16554/SPP/008/PUSAT/ICON+/2021"/>
    <m/>
    <n v="4500016638"/>
    <s v="Fajar Paramita"/>
    <s v="yudi Sukma "/>
    <s v="+62 852-6603-5574"/>
    <m/>
    <m/>
    <m/>
    <m/>
    <s v="E263"/>
    <m/>
    <m/>
    <m/>
    <m/>
    <s v="1.Biaya Instalasi Cross connect DC Telkomsigma Rp.18.000.000"/>
  </r>
  <r>
    <n v="1617"/>
    <s v="Telkom Data Ekosistem "/>
    <s v="BADAN PENGELOLA PENDAPATAN DAERAH PROVINSI JAWA TENGAH"/>
    <s v="German Centre Building 3rd and 5th floor Jl. Kapt. Subijanto DJ Bumi Serpong Damai"/>
    <x v="0"/>
    <s v="-"/>
    <s v="(Relokasi Pisah Port) Telkom sigma Bumi Serpong Damai, Jalan Kapt. Subijanto Dj, Lengkong Gudang"/>
    <s v="Sewa Tahunan"/>
    <s v="Cross Connect"/>
    <s v="PA/RLK/2112/0084/TER"/>
    <m/>
    <m/>
    <m/>
    <m/>
    <m/>
    <n v="77558916"/>
    <m/>
    <m/>
    <n v="6000000"/>
    <m/>
    <d v="2022-12-23T00:00:00"/>
    <d v="2024-12-22T00:00:00"/>
    <x v="1"/>
    <s v="Konfirmasi Sales"/>
    <d v="2025-12-24T00:00:00"/>
    <n v="-367"/>
    <n v="12"/>
    <n v="2024"/>
    <s v="17589/SPP/008/PUSAT/ICON+/2021 | 4500017398"/>
    <s v="3149/SPP/SBU/PLNICONPLUS/2024"/>
    <n v="4500022658"/>
    <s v="Fajar Paramita"/>
    <s v="Yudhi Sukma"/>
    <m/>
    <m/>
    <m/>
    <m/>
    <m/>
    <m/>
    <s v="F3"/>
    <m/>
    <s v="H101"/>
    <m/>
    <s v="Biaya Cross Connect Rp.6.000.000 | Biaya OTC Rp.3.000.000"/>
  </r>
  <r>
    <n v="1618"/>
    <s v="Telkom Data Ekosistem "/>
    <s v="PT. SINERGI INSANI PRIMALINK"/>
    <s v="German Centre Building 3rd and 5th floor Jl. Kapt. Subijanto DJ Bumi Serpong Damai"/>
    <x v="0"/>
    <s v="-"/>
    <s v="Backhaul BTN IPVPN Sinergi Insani Primalink Sigma Sentul Lt.2 Btn Enclosure Rack No.21"/>
    <s v="Sewa Tahunan"/>
    <s v="Cross Connect"/>
    <s v="PA/RLK/2112/0076/ORI"/>
    <m/>
    <m/>
    <m/>
    <m/>
    <m/>
    <n v="30000000"/>
    <m/>
    <m/>
    <n v="6000000"/>
    <m/>
    <d v="2022-01-14T00:00:00"/>
    <d v="2023-01-13T00:00:00"/>
    <x v="2"/>
    <m/>
    <d v="2025-12-24T00:00:00"/>
    <n v="-1076"/>
    <n v="1"/>
    <n v="2023"/>
    <s v="baru"/>
    <s v="17611/SPP/008/PUSAT/ICON+/2022"/>
    <n v="4500017495"/>
    <s v="Fajar Paramita"/>
    <s v="Edhi"/>
    <m/>
    <m/>
    <m/>
    <m/>
    <m/>
    <m/>
    <s v="F29"/>
    <m/>
    <m/>
    <m/>
    <s v="1. Biaya Instalasi Cross Connect Data Center Telkomsigma – (Sentul)_x0009_ Rp.3.000.000_x000a_2.Biaya Sewa Cross Connect Data Center Telkomsigma – (Sentul) 1 tahun Rp.6.000.000"/>
  </r>
  <r>
    <n v="1619"/>
    <s v="Telkom Data Ekosistem "/>
    <s v="PT. TILAR NETINDO PERKASA"/>
    <s v="German Centre Building 3rd and 5th floor Jl. Kapt. Subijanto DJ Bumi Serpong Damai"/>
    <x v="0"/>
    <s v="Backhaul German Centre, Jalan Arteri Golf, Lantai 6 Timur, Pakulonan Barat, Serpong Utara, Tangerang, Banten"/>
    <s v="Backhaul German Centre, Jalan Arteri Golf, Lantai 6 Timur, Pakulonan Barat, Serpong Utara,Tangerang, Banten."/>
    <s v="Sewa Tahunan"/>
    <s v="Cross Connect"/>
    <s v="PA/ACT/1908/0062"/>
    <m/>
    <m/>
    <m/>
    <m/>
    <m/>
    <n v="36000000"/>
    <m/>
    <m/>
    <n v="9000000"/>
    <m/>
    <d v="2019-09-06T00:00:00"/>
    <d v="2020-09-05T00:00:00"/>
    <x v="0"/>
    <m/>
    <d v="2025-12-24T00:00:00"/>
    <n v="-1936"/>
    <n v="9"/>
    <n v="2020"/>
    <s v="baru"/>
    <s v="11465/SPP/008/PUSAT/ICON+/2019"/>
    <n v="4500013158"/>
    <s v="Fajar Paramita"/>
    <s v="Edhi"/>
    <s v="0811-9561-704"/>
    <m/>
    <m/>
    <s v="C168"/>
    <m/>
    <m/>
    <m/>
    <m/>
    <m/>
    <m/>
    <s v="1.Biaya Sewa tahunan Rp.9.000.000,-"/>
  </r>
  <r>
    <n v="1620"/>
    <s v="Telkom Data Ekosistem "/>
    <s v="PT. TILAR NETINDO PERKASA"/>
    <s v="German Centre Building 3rd and 5th floor Jl. Kapt. Subijanto DJ Bumi Serpong Damai"/>
    <x v="0"/>
    <s v="Backhaul German Centre, Jalan Arteri Golf, Lantai 6 Timur, Pakulonan Barat, Serpong Utara, Tangerang, Banten"/>
    <s v="Backhaul German Centre, Jalan Arteri Golf, Lantai 6 Timur, Pakulonan Barat, Serpong Utara,Tangerang, Banten."/>
    <s v="Sewa Tahunan"/>
    <s v="Cross Connect"/>
    <s v="PA/ACT/1908/0062"/>
    <m/>
    <m/>
    <m/>
    <m/>
    <m/>
    <n v="36000000"/>
    <m/>
    <m/>
    <n v="9000000"/>
    <m/>
    <d v="2019-09-06T00:00:00"/>
    <d v="2020-09-05T00:00:00"/>
    <x v="0"/>
    <m/>
    <d v="2025-12-24T00:00:00"/>
    <n v="-1936"/>
    <n v="9"/>
    <n v="2020"/>
    <s v="baru"/>
    <s v="11465/SPP/008/PUSAT/ICON+/201"/>
    <n v="4500013158"/>
    <s v="Fajar Paramita"/>
    <s v="Edhi"/>
    <m/>
    <m/>
    <m/>
    <s v="C168"/>
    <m/>
    <m/>
    <m/>
    <m/>
    <m/>
    <m/>
    <s v="1.Biaya Cross Connect Rp.9.000.000"/>
  </r>
  <r>
    <n v="1621"/>
    <s v="Telkom Data Ekosistem "/>
    <s v="PT. BANK PEMBANGUNAN DAERAH KALIMANTAN BARAT"/>
    <s v="German Centre Building 3rd and 5th floor Jl. Kapt. Subijanto DJ Bumi Serpong Damai"/>
    <x v="0"/>
    <s v="Bumi Serpong Damai, Jalan Kapt. Subijanto Dj, Lengkong Gudang, Kec. Serpong, Kota Tangerang Selatan, Banten 15321"/>
    <s v="Bank Kalbar Kubu Raya Jl.Jenderal Ahmad Yani, Tlk Kapuas, Sungai Raya, Kabupaten Kubu Raya, Kalimantan Barat 78121"/>
    <s v="Sewa Tahunan"/>
    <s v="Cross Connect"/>
    <s v="PA/TRL/1909/0277/ORI_x000a_ ICON-00/SBC/1708/0178"/>
    <m/>
    <m/>
    <m/>
    <m/>
    <m/>
    <n v="90000000"/>
    <m/>
    <m/>
    <n v="6000000"/>
    <m/>
    <d v="2020-10-21T00:00:00"/>
    <d v="2021-10-20T00:00:00"/>
    <x v="0"/>
    <m/>
    <d v="2025-12-24T00:00:00"/>
    <n v="-1526"/>
    <n v="10"/>
    <n v="2021"/>
    <s v="11790/SPP/008/PUSAT/ICON+/2019 | 4500013426"/>
    <s v="14163/SPP/008/PUSAT/ICON+/2020"/>
    <n v="4500013426"/>
    <s v="Fajar Paramita"/>
    <s v="Edhi"/>
    <m/>
    <m/>
    <m/>
    <s v="C215"/>
    <s v="D307"/>
    <m/>
    <m/>
    <m/>
    <m/>
    <m/>
    <s v="1.biaya sewa pertahun sebesar 9.000.000"/>
  </r>
  <r>
    <n v="1622"/>
    <s v="Telkom Data Ekosistem "/>
    <s v="PT. BANK PEMBANGUNAN DAERAH KALIMANTAN BARAT"/>
    <s v="German Centre Building 3rd and 5th floor Jl. Kapt. Subijanto DJ Bumi Serpong Damai"/>
    <x v="0"/>
    <s v="Bumi Serpong Damai, Jalan Kapt. Subijanto Dj, Lengkong Gudang, Kec. Serpong, Kota Tangerang Selatan, Banten 15321"/>
    <s v="Bank Kalbar Kubu Raya Jl.Jenderal Ahmad Yani, Tlk Kapuas, Sungai Raya, Kabupaten Kubu Raya, Kalimantan Barat 78121"/>
    <s v="Sewa Tahunan"/>
    <s v="Cross Connect"/>
    <s v="PA/TRL/1909/0277/ORI_x000a_ ICON-00/SBC/1708/0178"/>
    <m/>
    <m/>
    <m/>
    <m/>
    <m/>
    <n v="90000000"/>
    <m/>
    <m/>
    <n v="6000000"/>
    <m/>
    <d v="2020-10-21T00:00:00"/>
    <d v="2021-10-20T00:00:00"/>
    <x v="0"/>
    <m/>
    <d v="2025-12-24T00:00:00"/>
    <n v="-1526"/>
    <n v="10"/>
    <n v="2021"/>
    <s v="baru"/>
    <s v="14163/SPP/008/PUSAT/ICON+/2020"/>
    <n v="4500015040"/>
    <s v="Fajar Paramita"/>
    <s v="Edhi"/>
    <m/>
    <m/>
    <m/>
    <m/>
    <m/>
    <s v="-"/>
    <m/>
    <m/>
    <m/>
    <m/>
    <s v="Biaya Sewa Cross Connect di Telkomsima (Rack Icon+ to Rack BPD Kalbar) Rp.6.000.000"/>
  </r>
  <r>
    <n v="1623"/>
    <s v="Telkom Data Ekosistem "/>
    <s v="PT. BANK PEMBANGUNAN DAERAH KALIMANTAN BARAT"/>
    <s v="German Centre Building 3rd and 5th floor Jl. Kapt. Subijanto DJ Bumi Serpong Damai"/>
    <x v="0"/>
    <s v="Bumi Serpong Damai, Jalan Kapt. Subijanto Dj, Lengkong Gudang, Kec. Serpong, Kota Tangerang Selatan, Banten 15321"/>
    <s v="Bank Kalbar Kubu Raya Jl.Jenderal Ahmad Yani, Tlk Kapuas, Sungai Raya, Kabupaten Kubu Raya, Kalimantan Barat 78121."/>
    <s v="Sewa Tahunan"/>
    <s v="Cross Connect"/>
    <s v="PA/TRL/1909/0277/ORI_x000a_ ICON-00/SBC/1708/0178"/>
    <m/>
    <m/>
    <m/>
    <m/>
    <m/>
    <n v="90000000"/>
    <m/>
    <m/>
    <n v="6000000"/>
    <m/>
    <d v="2020-12-03T00:00:00"/>
    <d v="2021-12-02T00:00:00"/>
    <x v="0"/>
    <m/>
    <d v="2025-12-24T00:00:00"/>
    <n v="-1483"/>
    <n v="12"/>
    <n v="2021"/>
    <s v="11790/SPP/008/PUSAT/ICON+/2019 | 4500013741"/>
    <s v="14850/SPP/008/PUSAT/ICON+/2020"/>
    <n v="4500015484"/>
    <s v="Fajar Paramita"/>
    <s v="Edhi"/>
    <m/>
    <m/>
    <m/>
    <s v="C257"/>
    <s v="D369"/>
    <m/>
    <m/>
    <m/>
    <m/>
    <m/>
    <s v="1.Biaya Instalasi Cross Connect di Telkomsima (Rack Icon+ to Rack BPD Kalbar) sebesar Rp.3.000.000,- 2.Biaya Sewa Cross Connect di Telkomsima (Rack Icon+ to Rack BPD Kalbar) sebesar Rp.6.000.000,-"/>
  </r>
  <r>
    <n v="1624"/>
    <s v="Telkom Data Ekosistem "/>
    <s v="PT. SARANA YUKTI BANDHANA"/>
    <s v="German Centre Building 3rd and 5th floor Jl. Kapt. Subijanto DJ Bumi Serpong Damai"/>
    <x v="0"/>
    <s v="-"/>
    <s v="Bumi Serpong Damai, Jalan Kapt. Subijanto Dj, Lengkong Gudang, Kec. Serpong, Kota Tangerang Selatan, Banten 15321, Kota Tangerang Selatan, Banten, Indonesia."/>
    <s v="Sewa Tahunan"/>
    <s v="Cross Connect"/>
    <s v="PA/ACT/1908/4473/TER"/>
    <m/>
    <m/>
    <s v="IP VPN"/>
    <s v="64 Kbps"/>
    <m/>
    <n v="26400000"/>
    <m/>
    <m/>
    <n v="1100000"/>
    <m/>
    <d v="2023-01-23T00:00:00"/>
    <d v="2025-01-22T00:00:00"/>
    <x v="0"/>
    <m/>
    <d v="2025-12-24T00:00:00"/>
    <n v="-336"/>
    <n v="1"/>
    <n v="2025"/>
    <s v="baru"/>
    <s v="3141/SPP/SBU/PLNICONPLUS/2024"/>
    <n v="4500022590"/>
    <s v="Fajar Paramita"/>
    <s v="Edhi"/>
    <m/>
    <m/>
    <m/>
    <s v="C180"/>
    <m/>
    <m/>
    <m/>
    <m/>
    <m/>
    <m/>
    <s v="1.Biaya Cross Connect Rp.9.000.000"/>
  </r>
  <r>
    <n v="1625"/>
    <s v="Telkom Data Ekosistem "/>
    <s v="KOMISI PEMBERANTASAN KORUPSI (KPK)"/>
    <s v="German Centre Building 3rd and 5th floor Jl. Kapt. Subijanto DJ Bumi Serpong Damai"/>
    <x v="0"/>
    <s v="DC KPK BSD Graha TelkomSigma BSD,  Lantai 5, Wing A (Gedung Sisi Barat), Bumi Serpong Damai, Jalan Kapt. Subijanto Dj, Lengkong Gudang, Kec. Serpong, Kota Tangerang Selatan, Banten,  BSD Tangsel,  Jakarta Selatan,  DKI Jakarta,  Indonesia,  15321"/>
    <s v="Cyber 2 Tower, Jl. H. R. Rasuna Said No.13, RT.7/RW.2, Kuningan, Kuningan Timur, Setiabudi, Jakarta Selatan"/>
    <s v="Sewa Tahunan"/>
    <s v="Cross Connect"/>
    <s v="PA/ACT/2012/0399/ORI_x000a_ PA/ACT/2012/0459/ORI"/>
    <m/>
    <m/>
    <m/>
    <m/>
    <m/>
    <n v="210336000"/>
    <m/>
    <m/>
    <n v="18000000"/>
    <m/>
    <d v="2020-12-21T00:00:00"/>
    <d v="2021-12-20T00:00:00"/>
    <x v="0"/>
    <m/>
    <d v="2025-12-24T00:00:00"/>
    <n v="-1465"/>
    <n v="12"/>
    <n v="2021"/>
    <s v="baru"/>
    <s v="14988/SPP/008/PUSAT/ICON+/2020"/>
    <n v="4500015511"/>
    <s v="Fajar Paramita"/>
    <s v="Yudhi Sukma"/>
    <s v="+62 852-6603-5574"/>
    <m/>
    <m/>
    <m/>
    <s v="D344"/>
    <m/>
    <m/>
    <m/>
    <m/>
    <m/>
    <s v="1.Biaya Sewa Cross Connect di Telkomsigma Rp.18.000.000"/>
  </r>
  <r>
    <n v="1626"/>
    <s v="Telkom Data Ekosistem "/>
    <s v="PT Federal International Finance"/>
    <s v="German Centre Building 3rd and 5th floor Jl. Kapt. Subijanto DJ Bumi Serpong Damai"/>
    <x v="0"/>
    <s v="Data Center FIF, German Center Lt. 5, Jl. Kapt. Subijanto No.1 Bumi Serpong Damai, Tangerang,  Tangerang Selatan,  Jakarta,  .Banten - salah,  Indonesia,  15321"/>
    <s v="DRC FIF Lantai 2,Telkom Sigma JL. Bukit Bali Lakarsantri - Citraland Blok 3/2,  Citraland,  Surabaya,  Jawa Timur,  Indonesia,  60211"/>
    <s v="Sewa Tahunan"/>
    <s v="Cross Connect"/>
    <s v="PA/ACT/1812/0388"/>
    <m/>
    <m/>
    <s v="Metronet"/>
    <s v="1 Gbps"/>
    <m/>
    <n v="480000000"/>
    <m/>
    <m/>
    <n v="6000000"/>
    <m/>
    <d v="2023-04-16T00:00:00"/>
    <d v="2025-04-15T00:00:00"/>
    <x v="0"/>
    <m/>
    <d v="2025-12-24T00:00:00"/>
    <n v="-253"/>
    <n v="4"/>
    <n v="2025"/>
    <s v="10753/SPP/008/PUSAT/ICON+/2019 | 4500012748 | 12976/SPP/008/PUSAT/ICON+/2020 | 4500014235| 15605/SPP/008/PUSAT/ICON+/2021| 4500016097 | 18324 | 4500017852 | 102"/>
    <s v="3134/SPP/SBU/PLNICONPLUS/2024"/>
    <n v="4500022574"/>
    <s v="Fajar Paramita"/>
    <s v="Yudhi Sukma"/>
    <m/>
    <m/>
    <m/>
    <s v="C42"/>
    <s v="D121"/>
    <s v="E191"/>
    <s v="F111"/>
    <s v="G47"/>
    <s v="H94"/>
    <m/>
    <s v="1. Biaya Sewa Rp 500.000/bln"/>
  </r>
  <r>
    <n v="1627"/>
    <s v="Telkom Data Ekosistem "/>
    <s v="PT. BANK NEO COMMERCE TBK"/>
    <s v="German Centre Building 3rd and 5th floor Jl. Kapt. Subijanto DJ Bumi Serpong Damai"/>
    <x v="0"/>
    <s v="Data Center Graha Telkom Sigma BSD, Jl. Kapt. Subianto DJ, BSD,  -,  Kota Tangerang Selatan,  Banten,  Indonesia, "/>
    <s v="Data Center Telkomsigma, Jl. Ir. Hj Juanda Cijayanti, Sentul City,  Kec. Babakan Madang,  Kabupaten Bogor,  Jawa Barat,  Indonesia"/>
    <s v="Sewa Tahunan"/>
    <s v="Cross Connect"/>
    <s v="PA/ACT/2105/0645"/>
    <m/>
    <m/>
    <m/>
    <m/>
    <m/>
    <n v="216000000"/>
    <m/>
    <m/>
    <n v="12000000"/>
    <m/>
    <d v="2021-06-07T00:00:00"/>
    <d v="2022-06-06T00:00:00"/>
    <x v="0"/>
    <m/>
    <d v="2025-12-24T00:00:00"/>
    <n v="-1297"/>
    <n v="6"/>
    <n v="2022"/>
    <m/>
    <s v="15979/SPP/008/PUSAT/ICON+/2021"/>
    <n v="4500016294"/>
    <s v="Fajar Paramita"/>
    <s v="yudi Sukma "/>
    <s v="+62 852-6603-5574"/>
    <m/>
    <m/>
    <m/>
    <m/>
    <s v="E100"/>
    <m/>
    <m/>
    <m/>
    <m/>
    <s v="Pelanggan tidak lanjut berlangganan "/>
  </r>
  <r>
    <n v="1628"/>
    <s v="Telkom Data Ekosistem "/>
    <s v="BANK MEGA"/>
    <s v="German Centre Building 3rd and 5th floor Jl. Kapt. Subijanto DJ Bumi Serpong Damai"/>
    <x v="0"/>
    <s v="-"/>
    <s v="Data Center on Telkom Sigma (German Center), Lantai 6 Timur Ruang 6460-1-2 Jl. Kapten Subijanto Dj, BSD, Tangerang, Banten"/>
    <s v="Sewa Tahunan"/>
    <s v="Cross Connect"/>
    <s v="PA/RLK/2001/0008/TER"/>
    <m/>
    <m/>
    <m/>
    <m/>
    <m/>
    <n v="13200000"/>
    <m/>
    <m/>
    <n v="6000000"/>
    <m/>
    <d v="2021-01-23T00:00:00"/>
    <d v="2022-01-22T00:00:00"/>
    <x v="0"/>
    <m/>
    <d v="2025-12-24T00:00:00"/>
    <n v="-1432"/>
    <n v="1"/>
    <n v="2022"/>
    <s v="12489/SPP/008/PUSAT/ICON+/2020 | 4500013806| 15094/SPP/008/PUSAT/ICON+/2021| 4500015665"/>
    <s v="17741/SPP/008/PUSAT/ICON+/2022"/>
    <n v="4500018119"/>
    <s v="Fajar Paramita"/>
    <s v="Edhi"/>
    <m/>
    <m/>
    <m/>
    <m/>
    <s v="D1"/>
    <s v="E87"/>
    <s v="F194"/>
    <m/>
    <m/>
    <m/>
    <s v="1.Biaya Instalasi Interkoneksi Telkomsigma Serpong Rp.3.000.000,- 2.Biaya Sewa Interkoneksi Telkomsigma Serpong Rp.6.000.000,-"/>
  </r>
  <r>
    <n v="1629"/>
    <s v="Telkom Data Ekosistem "/>
    <s v="PT. SIERAD PRODUCE, TBK_x000a_ PT. ASTRA INTERNATIONAL TBK_x000a_ PT. BANK PEMBANGUNAN DAERAH JAWA TIMUR, TBK_x000a_ PT. PRIMACOM INTERBUANA_x000a_ PT. CIMB NIAGA AUTO FINANCE_x000a_ PT. BANK DKI"/>
    <s v="German Centre Building 3rd and 5th floor Jl. Kapt. Subijanto DJ Bumi Serpong Damai"/>
    <x v="0"/>
    <s v="-"/>
    <s v="Data Center Sigma German Centre _x000a_ German Center Building"/>
    <s v="Sewa Tahunan"/>
    <s v="Colocation"/>
    <s v="0990000320656939_x000a_ 0990000320656941_x000a_ 0990000320656942_x000a_ 0990000320656943_x000a_ 0990000320656944_x000a_ 0990000320656945_x000a_ 0990000320656964_x000a_ 0990000320656946_x000a_ 0990000320656965_x000a_ 0990000320656966_x000a_ 0990000320656967_x000a_ 0990000020265541_x000a_ 0990000320298920_x000a_ 0990000320299095_x000a_ 0990000020265672_x000a_ 0990000020267907_x000a_ 0990000020265669_x000a_ 0990000020268127_x000a_ 0990000020264876_x000a_ 0990000020265679_x000a_ 0990000020278183_x000a_ 0990000020265543_x000a_ 0990000020268125_x000a_ 0990000020268124_x000a_ 0990000020268123_x000a_ 0990000020268122_x000a_ 0990000320514381_x000a_ 0990000020261191_x000a_ 0990000020268090_x000a_ 0990000020268087_x000a_ 0990000020268031_x000a_ 0990000020268030_x000a_ 0990000020265671_x000a_ 0990000320272773_x000a_ 0990000020267996_x000a_ 0990000020267923_x000a_ 0990000020270029_x000a_ 0990000320298524_x000a_ 0990000020265677_x000a_ 0990000020265675_x000a_ 0990000320410752_x000a_ 990000320523942_x000a_ 0990000320363372_x000a_ 0990000320424354_x000a_ 0990000320410411_x000a_ 0990000320410410_x000a_ 0990000320410407_x000a_ 0990000320410403_x000a_ 0990000320498364_x000a_ 0990000320508367_x000a_ 0990000320484431_x000a_ 0990000320410412_x000a_ 0990000320296489_x000a_ 0990000020271782"/>
    <m/>
    <m/>
    <m/>
    <m/>
    <m/>
    <n v="7048087276"/>
    <m/>
    <m/>
    <n v="112140000"/>
    <m/>
    <d v="2022-01-01T00:00:00"/>
    <d v="2022-12-31T00:00:00"/>
    <x v="0"/>
    <m/>
    <d v="2025-12-24T00:00:00"/>
    <n v="-1089"/>
    <n v="12"/>
    <n v="2022"/>
    <s v="07828/SPP/008/PUSAT/ICON+/2017 | 10141/SPP/008/PUSAT/ICON+/2019 | 4500011085 | 4500012444 | 12168/SPP/008/PUSAT/ICON+/2019 | 4500013983 | 4500015480"/>
    <s v="14873/SPP/008/PUSAT/ICON+/2020"/>
    <n v="4500017489"/>
    <s v="Fajar Paramita"/>
    <s v="Edhi"/>
    <m/>
    <m/>
    <s v="B03"/>
    <s v="C34"/>
    <s v="D101"/>
    <s v="D362"/>
    <m/>
    <m/>
    <m/>
    <m/>
    <m/>
  </r>
  <r>
    <n v="1630"/>
    <s v="Telkom Data Ekosistem "/>
    <s v="PT. ASTRA SEDAYA FINANCE"/>
    <s v="German Centre Building 3rd and 5th floor Jl. Kapt. Subijanto DJ Bumi Serpong Damai"/>
    <x v="0"/>
    <s v="Jl. RS. Fatmawati Raya No.9 1 5, RT.1/RW.5, Gandaria Sel., Kec. Cilandak, Kota Jakarta Selatan, Daerah Khusus Ibukota Jakarta,  Cilandak,  Jakarta Selatan,  DKI Jakarta,  Indonesia,  12430"/>
    <s v="Data Center Telkom Sigma South Tangerang, Lengkong Gudang, Serpong Sub-District, South Tangerang City, Banten, Serpong, Kota Tangerang, Banten, Indonesia, 15310"/>
    <s v="Sewa Tahunan"/>
    <s v="Cross Connect"/>
    <s v="AL/2004/13572"/>
    <m/>
    <m/>
    <m/>
    <m/>
    <m/>
    <n v="24000000"/>
    <m/>
    <m/>
    <n v="6000000"/>
    <m/>
    <d v="2023-03-16T00:00:00"/>
    <d v="2025-03-15T00:00:00"/>
    <x v="0"/>
    <m/>
    <d v="2025-12-24T00:00:00"/>
    <n v="-284"/>
    <n v="3"/>
    <n v="2025"/>
    <s v="12892/SPP/008/PUSAT/ICON+/2020 | 4500014044 | 15518/SPP/008/PUSAT/ICON+/2021 | 4500015890 | 4500018099"/>
    <s v="3228/SPP/SBU/PLNICONPLUS/2024"/>
    <n v="4500022662"/>
    <s v="Fajar Paramita"/>
    <s v="Yudhi Sukma"/>
    <m/>
    <m/>
    <m/>
    <m/>
    <s v="D49"/>
    <s v="E274"/>
    <m/>
    <m/>
    <s v="H98"/>
    <m/>
    <s v="Biaya Instalasi Cross Connect di TelkomsigmaRp.3.000.000"/>
  </r>
  <r>
    <n v="1631"/>
    <s v="Telkom Data Ekosistem "/>
    <s v="PT. BANK NEO COMMERCE TBK"/>
    <s v="German Centre Building 3rd and 5th floor Jl. Kapt. Subijanto DJ Bumi Serpong Damai"/>
    <x v="0"/>
    <s v="Data Center Graha Telkom Sigma BSD, Jl. Kapt. Subianto DJ, BSD,  -,  Kota Tangerang Selatan,  Banten,  Indonesia, "/>
    <s v="Data Center Telkomsigma, Jl. Ir. Hj Juanda Cijayanti, Sentul City, Kec. Babakan Madang, Kabupaten Bogor, Jawa Barat, Indonesia"/>
    <s v="Sewa Tahunan"/>
    <s v="Cross Connect"/>
    <s v="PA/ACT/2105/0645"/>
    <m/>
    <m/>
    <m/>
    <m/>
    <m/>
    <n v="216000000"/>
    <m/>
    <m/>
    <n v="12000000"/>
    <m/>
    <d v="2021-05-25T00:00:00"/>
    <d v="2022-05-24T00:00:00"/>
    <x v="0"/>
    <m/>
    <d v="2025-12-24T00:00:00"/>
    <n v="-1310"/>
    <n v="5"/>
    <n v="2022"/>
    <m/>
    <s v="15864/SPP/008/PUSAT/ICON+/2021"/>
    <n v="4500016202"/>
    <s v="Fajar Paramita"/>
    <s v="yudi Sukma "/>
    <s v="+62 852-6603-5574"/>
    <m/>
    <m/>
    <m/>
    <m/>
    <s v="E95"/>
    <m/>
    <m/>
    <m/>
    <m/>
    <s v="Pelanggan tidak lanjut berlangganan "/>
  </r>
  <r>
    <n v="1632"/>
    <s v="Telkom Data Ekosistem "/>
    <s v="PT. BANK NEO COMMERCE TBK"/>
    <s v="German Centre Building 3rd and 5th floor Jl. Kapt. Subijanto DJ Bumi Serpong Damai"/>
    <x v="0"/>
    <s v="Data Center Telkomsigma, Jl. Ir. Hj Juanda Cijayanti, Sentul City,  Kec. Babakan Madang,  Kabupaten Bogor,  Jawa Barat,  Indonesia"/>
    <s v="Data Center Telkomsigma, Jl. Ir. Hj Juanda Cijayanti, Sentul City, Kec. Babakan Madang, Kabupaten Bogor, Jawa Barat, Indonesia"/>
    <s v="Sewa Tahunan"/>
    <s v="Cross Connect"/>
    <s v="PA/ACT/2104/2393_x000a_ PA/ACT/2105/0644_x000a_ PA/ACT/2105/0645_x000a_ PA/ACT/2104/2395"/>
    <m/>
    <m/>
    <m/>
    <m/>
    <m/>
    <n v="816000000"/>
    <m/>
    <m/>
    <n v="24000000"/>
    <m/>
    <d v="2021-06-02T00:00:00"/>
    <d v="2022-06-01T00:00:00"/>
    <x v="0"/>
    <m/>
    <d v="2025-12-24T00:00:00"/>
    <n v="-1302"/>
    <n v="6"/>
    <n v="2022"/>
    <s v="15980/SPP/008/PUSAT/ICON+/2021 4500016293"/>
    <m/>
    <m/>
    <s v="Fajar Paramita"/>
    <s v="yudi Sukma "/>
    <s v="+62 852-6603-5574"/>
    <m/>
    <m/>
    <m/>
    <m/>
    <s v="E99"/>
    <m/>
    <m/>
    <m/>
    <m/>
    <s v="1.Biaya Instalasi Cross connect DC Telkomsigma Rp.12.000.000"/>
  </r>
  <r>
    <n v="1633"/>
    <s v="Telkom Data Ekosistem "/>
    <s v="KOMISI PEMBERANTASAN KORUPSI (KPK)"/>
    <s v="German Centre Building 3rd and 5th floor Jl. Kapt. Subijanto DJ Bumi Serpong Damai"/>
    <x v="0"/>
    <s v="DC KPK BSD Graha TelkomSigma BSD, Lantai 5, Wing A (Gedung Sisi Barat), Bumi Serpong Damai, Jalan Kapt. Subijanto Dj, Lengkong Gudang, Kec. Serpong, Kota Tangerang Selatan, Banten"/>
    <s v="DC KPK BSD Graha TelkomSigma BSD, Lantai 5, Wing A (Gedung Sisi Barat), Bumi Serpong Damai, Jalan Kapt. Subijanto Dj, Lengkong Gudang, Kec. Serpong, Kota Tangerang Selatan, Banten"/>
    <s v="Sewa Tahunan"/>
    <s v="Cross Connect"/>
    <s v="PA/ACT/1907/2014/TER_x000a_ PA/ACT/1907/2013/TER_x000a_ PA/ACT/1907/2012/TER_x000a_ PA/ACT/1907/2010/TER_x000a_ PA/ACT/1907/2009/TER_x000a_ PA/ACT/1907/2007/TER"/>
    <m/>
    <m/>
    <m/>
    <m/>
    <m/>
    <n v="1067040000"/>
    <m/>
    <m/>
    <n v="36000000"/>
    <m/>
    <d v="2021-09-06T00:00:00"/>
    <d v="2022-09-05T00:00:00"/>
    <x v="0"/>
    <m/>
    <d v="2025-12-24T00:00:00"/>
    <n v="-1206"/>
    <n v="9"/>
    <n v="2022"/>
    <s v="11474/SPP/008/PUSAT/ICON+/2019 | 4500013154 | 14160/SPP/008/PUSAT/ICON+/2020 | 4500015026"/>
    <s v="16545/SPP/008/PUSAT/ICON+/2021"/>
    <n v="4500016631"/>
    <s v="Fajar Paramita"/>
    <s v="Yudhi Sukma"/>
    <s v="+62 852-6603-5574"/>
    <m/>
    <m/>
    <s v="C170"/>
    <s v="D258"/>
    <s v="E270"/>
    <m/>
    <m/>
    <m/>
    <m/>
    <s v="1.Biaya sewa cross connect sebesar Rp.54.000.000/thn"/>
  </r>
  <r>
    <n v="1634"/>
    <s v="Telkom Data Ekosistem "/>
    <s v="KOMISI PEMBERANTASAN KORUPSI (KPK)"/>
    <s v="German Centre Building 3rd and 5th floor Jl. Kapt. Subijanto DJ Bumi Serpong Damai"/>
    <x v="0"/>
    <s v="DC KPK BSD Graha TelkomSigma BSD, Lantai 5, Wing A (Gedung Sisi Barat), Bumi Serpong Damai, Jalan Kapt. Subijanto Dj, Lengkong Gudang, Kec. Serpong, Kota Tangerang Selatan, Banten_x000a__x000a__x000a__x000a__x000a__x000a_"/>
    <s v="DC KPK BSD Graha TelkomSigma BSD, Lantai 5, Wing A (Gedung Sisi Barat), Bumi Serpong Damai, Jalan Kapt. Subijanto Dj, Lengkong Gudang, Kec. Serpong, Kota Tangerang Selatan, Banten"/>
    <s v="Sewa Tahunan"/>
    <s v="Colocation"/>
    <s v="PA/ACT/1907/2014/TER_x000a_ PA/ACT/1907/2013/TER_x000a_ PA/ACT/1907/2012/TER_x000a_ PA/ACT/1907/2010/TER_x000a_ PA/ACT/1907/2009/TER_x000a_ PA/ACT/1907/2007/TER"/>
    <m/>
    <m/>
    <m/>
    <m/>
    <m/>
    <n v="858000000"/>
    <m/>
    <m/>
    <n v="276000000"/>
    <m/>
    <d v="2023-09-06T00:00:00"/>
    <d v="2024-09-05T00:00:00"/>
    <x v="0"/>
    <m/>
    <d v="2025-12-24T00:00:00"/>
    <n v="-475"/>
    <n v="9"/>
    <n v="2024"/>
    <s v="| 17398/SPP/008/PUSAT/ICON+/2021 | 4500017228  | 19739/SPP/008/PUSAT/ICON+/2022  | 4500018961"/>
    <s v="3300/SPP/SBU/PLNICONPLUS/2024"/>
    <n v="4500022985"/>
    <s v="Fajar Paramita"/>
    <s v="Yudhi Sukma"/>
    <s v="+62 852-6603-5574"/>
    <m/>
    <m/>
    <s v="C169"/>
    <s v="D255"/>
    <s v="E395"/>
    <s v="F334"/>
    <m/>
    <m/>
    <m/>
    <m/>
  </r>
  <r>
    <n v="1635"/>
    <s v="Telkom Data Ekosistem "/>
    <s v="PT. BANK PEMBANGUNAN DAERAH KALIMANTAN TENGAH"/>
    <s v="German Centre Building 3rd and 5th floor Jl. Kapt. Subijanto DJ Bumi Serpong Damai"/>
    <x v="0"/>
    <s v="Jalan Tjilik Riwut Km 89,  Cempaga Hulu,  Kabupaten Kotawaringin Timur,  Kalimantan Tengah,  Indonesia,  74354"/>
    <s v="DC Sentul Cijayanti, Kecamatan Babakan Madang, Kabupaten Bogor, Jawa Barat, Indonesia, 16810"/>
    <s v="Sewa Tahunan"/>
    <s v="Cross Connect"/>
    <s v="PA/TRL/2101/0017/TER"/>
    <m/>
    <m/>
    <m/>
    <m/>
    <m/>
    <n v="84000000"/>
    <m/>
    <m/>
    <n v="24000000"/>
    <m/>
    <d v="2021-03-16T00:00:00"/>
    <d v="2022-03-15T00:00:00"/>
    <x v="0"/>
    <m/>
    <d v="2025-12-24T00:00:00"/>
    <n v="-1380"/>
    <n v="3"/>
    <n v="2022"/>
    <s v="baru"/>
    <s v="15484/SPP/008/PUSAT/ICON+/2021"/>
    <n v="4500015925"/>
    <s v="Fajar Paramita"/>
    <s v="Edhi"/>
    <m/>
    <m/>
    <m/>
    <m/>
    <m/>
    <s v="E21"/>
    <m/>
    <m/>
    <m/>
    <m/>
    <s v="1.Biaya Instalasi Telkomsigma Rp. 4.000.000 | Biaya Sewa Telkomsigma Rp.24.000.000"/>
  </r>
  <r>
    <n v="1636"/>
    <s v="Telkom Data Ekosistem "/>
    <s v="PT. BANK MANDIRI TASPEN - JAKARTA"/>
    <s v="German Centre Building 3rd and 5th floor Jl. Kapt. Subijanto DJ Bumi Serpong Damai"/>
    <x v="0"/>
    <m/>
    <s v="DC Sigma Sentul Lt. 1 Jl. Ir. H Djuanda No.F7 Sentul City, Kab. Bogor, Jawa Barat"/>
    <s v="Sewa Tahunan"/>
    <s v="Cross Connect"/>
    <s v="PA/ACT/2003/1096"/>
    <m/>
    <m/>
    <m/>
    <m/>
    <m/>
    <n v="102600000"/>
    <m/>
    <m/>
    <n v="26400000"/>
    <m/>
    <d v="2023-06-05T00:00:00"/>
    <d v="2025-06-04T00:00:00"/>
    <x v="1"/>
    <m/>
    <d v="2025-12-24T00:00:00"/>
    <n v="-203"/>
    <n v="6"/>
    <n v="2025"/>
    <s v="13267/SPP/008/PUSAT/ICON+/2020 | 4500014282  | 16023/SPP/008/PUSAT/ICON+/2021 | 4500016336"/>
    <s v="3142/SPP/SBU/ICONPLUS/2024"/>
    <m/>
    <s v="Fajar Paramita"/>
    <s v="Edhi"/>
    <m/>
    <m/>
    <m/>
    <m/>
    <s v="D136"/>
    <s v="E251"/>
    <m/>
    <m/>
    <m/>
    <m/>
    <s v="1.Biaya Port Switch Per Tahun Rp.18.000.000 | 2.Biaya Sewa UTP Per Tahun Rp.6.000.000 | 3.Biaya UTP (OTC) Rp.3.000.000 | 4.Biaya Port Switch (OTC) Rp.1.000.000"/>
  </r>
  <r>
    <n v="1637"/>
    <s v="Telkom Data Ekosistem "/>
    <s v="PT. BANK PEMBANGUNAN DAERAH KALIMANTAN TENGAH_x000a_PT BANK MANDIRI TASPEN - JAKARTA_x000a_PT BANK NTB SYARIAH_x000a_PT XL AXIATA TBK"/>
    <s v="German Centre Building 3rd and 5th floor Jl. Kapt. Subijanto DJ Bumi Serpong Damai"/>
    <x v="0"/>
    <s v="-"/>
    <s v="DC Sigma Sentul Lt. 1 Jl. Ir. H Djuanda No.F7 Sentul City, Kabupaten Bogor,  Sentul,  Kabupaten Bogor,  Jawa Barat,"/>
    <s v="Sewa Tahunan"/>
    <s v="Colocation"/>
    <s v="PA/ACT/2103/1983/ORI_x000a_PA/ACT/2003/1096/TER_x000a_PA/ACT/2106/3300_x000a_PA/ACT/2005/0446"/>
    <m/>
    <m/>
    <m/>
    <m/>
    <m/>
    <n v="349200000"/>
    <m/>
    <m/>
    <n v="168000000"/>
    <m/>
    <d v="2022-06-17T00:00:00"/>
    <d v="2023-06-16T00:00:00"/>
    <x v="0"/>
    <m/>
    <d v="2025-12-24T00:00:00"/>
    <n v="-922"/>
    <n v="6"/>
    <n v="2023"/>
    <s v="baru"/>
    <s v="18928/SPP/008/PUSAT/ICON+/2022"/>
    <n v="4500018188"/>
    <s v="Fajar Paramita"/>
    <s v="Edhi"/>
    <m/>
    <m/>
    <m/>
    <m/>
    <m/>
    <m/>
    <s v="F172"/>
    <m/>
    <m/>
    <m/>
    <s v="1.Biaya Instalasi Collocation DC Sentul – (Sentul) Rp.25.000.000 | 2.Biaya Sewa Collocation DC Sentul– (Sentul) 1 tahun Rp.168.000.000"/>
  </r>
  <r>
    <n v="1638"/>
    <s v="Telkom Data Ekosistem "/>
    <s v="PT. TOKOPEDIA"/>
    <s v="German Centre Building 3rd and 5th floor Jl. Kapt. Subijanto DJ Bumi Serpong Damai"/>
    <x v="0"/>
    <s v="H2H, (Backhaul) DCI data Center Jl. Halmahera Blok F1 No. 1 danau indah, Kec. Cikarang Barat, bekasi_x000a_"/>
    <s v="DC Telkomsigma BSD - PT Sarana Yukti Bandhana, Jl.Pahlawan Seribu No.1, Lengkong Wetan,,  Kec. Serpong,  Kota Tangerang Selatan"/>
    <s v="Sewa Tahunan"/>
    <s v="Cross Connect"/>
    <s v=" PA/ACT/2203/0817 "/>
    <m/>
    <m/>
    <m/>
    <m/>
    <m/>
    <n v="72000000"/>
    <m/>
    <m/>
    <n v="6000000"/>
    <m/>
    <d v="2022-04-05T00:00:00"/>
    <d v="2023-04-04T00:00:00"/>
    <x v="0"/>
    <m/>
    <d v="2025-12-24T00:00:00"/>
    <n v="-995"/>
    <n v="4"/>
    <n v="2023"/>
    <s v="baru"/>
    <s v="18218/SPP/008/PUSAT/ICON+/2022"/>
    <n v="4500017772"/>
    <s v="Fajar Paramita"/>
    <s v="Edhi"/>
    <m/>
    <m/>
    <m/>
    <m/>
    <m/>
    <m/>
    <s v="F85"/>
    <m/>
    <m/>
    <m/>
    <s v="1. Biaya Instalasi Cross Connect Data Center Telkomsigma – (Sentul)_x0009_ Rp.3.000.000_x000a_2.Biaya Sewa Cross Connect Data Center Telkomsigma – (Sentul) 1 tahun Rp.6.000.000"/>
  </r>
  <r>
    <n v="1639"/>
    <s v="Telkom Data Ekosistem "/>
    <s v="Bank BJB Syariah"/>
    <s v="German Centre Building 3rd and 5th floor Jl. Kapt. Subijanto DJ Bumi Serpong Damai"/>
    <x v="0"/>
    <s v="-"/>
    <s v="DC Telkomsigma Sentul Jl.Ir.H DJuanda No.F7 Sentul City, Kab Bogor, Babakan Madang 16810"/>
    <s v="Sewa Tahunan"/>
    <s v="Colocation"/>
    <s v="PA/RLK/1910/0015/TER"/>
    <m/>
    <m/>
    <m/>
    <m/>
    <m/>
    <m/>
    <m/>
    <m/>
    <n v="159600000"/>
    <m/>
    <d v="2021-04-09T00:00:00"/>
    <d v="2022-04-08T00:00:00"/>
    <x v="2"/>
    <m/>
    <d v="2025-12-24T00:00:00"/>
    <n v="-1356"/>
    <n v="4"/>
    <n v="2022"/>
    <s v="12817/SPP/008/PUSAT/ICON+/2020 | 4500014029"/>
    <s v="15794/SPP/008/PUSAT/ICON+/2021"/>
    <n v="4500016176"/>
    <s v="Fajar Paramita"/>
    <s v="Edhi"/>
    <m/>
    <m/>
    <m/>
    <m/>
    <s v="D71"/>
    <s v="E396"/>
    <m/>
    <m/>
    <m/>
    <m/>
    <s v="Biaya Sewa Collocation sebesar Rp.166.600.100"/>
  </r>
  <r>
    <n v="1640"/>
    <s v="Telkom Data Ekosistem "/>
    <s v="PT. KERETA COMMUTER INDONESIA"/>
    <s v="German Centre Building 3rd and 5th floor Jl. Kapt. Subijanto DJ Bumi Serpong Damai"/>
    <x v="0"/>
    <s v="-"/>
    <s v="DC Telkomsigma, Jl. Ir H Juanda, Kab. Bogor, Jawa Barat"/>
    <s v="Sewa Tahunan"/>
    <s v="Cross Connect"/>
    <s v="PA/ACT/2102/0657"/>
    <m/>
    <m/>
    <m/>
    <m/>
    <m/>
    <n v="144000000"/>
    <m/>
    <m/>
    <n v="6000000"/>
    <m/>
    <d v="2021-02-18T00:00:00"/>
    <d v="2022-02-17T00:00:00"/>
    <x v="0"/>
    <m/>
    <d v="2025-12-24T00:00:00"/>
    <n v="-1406"/>
    <n v="2"/>
    <n v="2022"/>
    <s v="baru"/>
    <s v="15277/SPP/008/PUSAT/ICON+/2021"/>
    <n v="4500015833"/>
    <s v="Fajar Paramita"/>
    <s v="Edhi"/>
    <m/>
    <m/>
    <m/>
    <m/>
    <m/>
    <s v="E8"/>
    <m/>
    <m/>
    <m/>
    <m/>
    <s v="1.Biaya Sewa Cross Connect di Telkomsigma Rp.6.000.000,- | 3.Biaya Instalasi Cross Connect di Telkomsigma Rp.3.000.000"/>
  </r>
  <r>
    <n v="1641"/>
    <s v="Telkom Data Ekosistem "/>
    <s v="PT. BANK NEO COMMERCE TBK"/>
    <s v="German Centre Building 3rd and 5th floor Jl. Kapt. Subijanto DJ Bumi Serpong Damai"/>
    <x v="0"/>
    <s v="Data Center Graha Telkom Sigma BSD, Jl. Kapt. Subianto DJ, BSD,  -,  Kota Tangerang,  Banten,  Indonesia,  "/>
    <s v="DC Telkomsigma, Jl. Ir H Juanda, Kab. Bogor, Jawa Barat"/>
    <s v="Sewa Tahunan"/>
    <s v="Cross Connect"/>
    <s v="PA/ACT/2104/2391"/>
    <m/>
    <m/>
    <m/>
    <m/>
    <m/>
    <n v="210000000"/>
    <m/>
    <m/>
    <n v="12000000"/>
    <m/>
    <d v="2023-05-25T00:00:00"/>
    <d v="2025-05-24T00:00:00"/>
    <x v="0"/>
    <m/>
    <d v="2025-12-24T00:00:00"/>
    <n v="-214"/>
    <n v="5"/>
    <n v="2025"/>
    <s v="15850/SPP/008/PUSAT/ICON+/2021 |4500016204  | 18788/SPP/008/PUSAT/ICON+/2022 | 4500019621"/>
    <s v="3335/SPP/SBU/PLNICONPLUS/2024"/>
    <m/>
    <s v="Fajar Paramita"/>
    <s v="yudi Sukma "/>
    <s v="+62 852-6603-5574"/>
    <m/>
    <m/>
    <m/>
    <m/>
    <s v="E96"/>
    <m/>
    <m/>
    <m/>
    <m/>
    <s v="1.Biaya Sewa Cross Connect di Telkomsigma Rp.12.000.000,- | 3.Biaya Instalasi Cross Connect di Telkomsigma Rp.6.000.000"/>
  </r>
  <r>
    <n v="1642"/>
    <s v="Telkom Data Ekosistem "/>
    <s v="PT. KIDECO JAYA AGUNG"/>
    <s v="German Centre Building 3rd and 5th floor Jl. Kapt. Subijanto DJ Bumi Serpong Damai"/>
    <x v="0"/>
    <s v="Site Kideco KM 40, Desa Batu Kajang,  Kecamtan Batu Sopang,  Kabupaten Paser,  Kalimantan Timur,  Indonesia"/>
    <s v="German Centre, DC Telkom Sigma, Bumi Serpong Damai, Jalan Kapt. Subijanto Dj, Lengkong Gudang,, Kecamatan Serpong, Kota Tangerang Selatan, Banten, Indonesia, 15321"/>
    <s v="Sewa Tahunan"/>
    <s v="Cross Connect"/>
    <s v="PA/ACT/2107/0545"/>
    <m/>
    <m/>
    <m/>
    <m/>
    <m/>
    <n v="720000000"/>
    <m/>
    <m/>
    <n v="12000000"/>
    <m/>
    <d v="2022-07-22T00:00:00"/>
    <d v="2024-07-21T00:00:00"/>
    <x v="0"/>
    <m/>
    <d v="2025-12-24T00:00:00"/>
    <n v="-521"/>
    <n v="7"/>
    <n v="2024"/>
    <s v="16311/SPP/008/PUSAT/ICON+/2021 | 4500016590"/>
    <s v="3135/SPP/SBU/PLNICONPLUS/2024"/>
    <n v="4500022620"/>
    <s v="Fajar Paramita"/>
    <s v="Yudhi Sukma"/>
    <m/>
    <m/>
    <m/>
    <m/>
    <m/>
    <s v="E107"/>
    <m/>
    <m/>
    <s v="H95"/>
    <m/>
    <s v="1.Biaya Sewa Cross connect DC Telkomsigma Rp. 12.000.000"/>
  </r>
  <r>
    <n v="1643"/>
    <s v="Telkom Data Ekosistem "/>
    <s v="PT. KIDECO JAYA AGUNG"/>
    <s v="German Centre Building 3rd and 5th floor Jl. Kapt. Subijanto DJ Bumi Serpong Damai"/>
    <x v="0"/>
    <s v="Site Kideco KM 40, Desa Batu Kajang,  Kecamtan Batu Sopang,  Kabupaten Paser,  Kalimantan Timur,  Indonesia"/>
    <s v="German Centre, DC Telkom Sigma, Bumi Serpong Damai, Jalan Kapt. Subijanto Dj, Lengkong Gudang,, Kecamatan Serpong, Kota Tangerang Selatan, Banten, Indonesia, 15321"/>
    <s v="Sewa Tahunan"/>
    <s v="Cross Connect"/>
    <s v="PA/ACT/2107/0545"/>
    <m/>
    <m/>
    <m/>
    <m/>
    <m/>
    <s v="-"/>
    <m/>
    <m/>
    <n v="54000000"/>
    <m/>
    <d v="2021-08-31T00:00:00"/>
    <d v="2022-08-30T00:00:00"/>
    <x v="0"/>
    <m/>
    <d v="2025-12-24T00:00:00"/>
    <n v="-1212"/>
    <n v="8"/>
    <n v="2022"/>
    <s v="baru"/>
    <s v="16488/SPP/008/PUSAT/ICON+/2021"/>
    <n v="4500016647"/>
    <s v="Fajar Paramita"/>
    <s v="Edhi"/>
    <m/>
    <m/>
    <m/>
    <m/>
    <m/>
    <s v="E255"/>
    <m/>
    <m/>
    <m/>
    <m/>
    <s v="1.Biaya Instalasi Cross connect DC Telkomsigma Rp.27.000.000"/>
  </r>
  <r>
    <n v="1644"/>
    <s v="Telkom Data Ekosistem "/>
    <s v="PT. BANK RAKYAT INDONESIA (PERSERO) TBK"/>
    <s v="German Centre Building 3rd and 5th floor Jl. Kapt. Subijanto DJ Bumi Serpong Damai"/>
    <x v="0"/>
    <s v="-"/>
    <s v="H2H SYB, DC Sigma, BSD LT 6 Timur, Jl. Kapten Subijanto Dj, Lengkong Gudang, Serpong, Tangerang Selatan, Banten"/>
    <s v="Sewa Tahunan"/>
    <s v="Cross Connect"/>
    <s v="AL/2008/35375"/>
    <m/>
    <m/>
    <m/>
    <m/>
    <m/>
    <n v="27272724"/>
    <m/>
    <m/>
    <n v="6000000"/>
    <m/>
    <d v="2023-03-16T00:00:00"/>
    <d v="2025-03-15T00:00:00"/>
    <x v="0"/>
    <m/>
    <d v="2025-12-24T00:00:00"/>
    <n v="-284"/>
    <n v="3"/>
    <n v="2025"/>
    <s v="12893/SPP/008/PUSAT/ICON+/2020 | 4500014045 | 15550/SPP/008/PUSAT/ICON+/2021 | 4500015891 | 4500018100"/>
    <s v="3243/SPP/SBU/PLNICONPLUS/2024"/>
    <n v="4500022725"/>
    <s v="Fajar Paramita"/>
    <s v="Yudhi Sukma"/>
    <m/>
    <m/>
    <m/>
    <m/>
    <s v="D48"/>
    <s v="E89"/>
    <m/>
    <m/>
    <s v="H100"/>
    <m/>
    <s v="1.Biaya Instalasi Interkoneksi Telkomsigma Serpong Rp.3.000.000,- 2.Biaya Sewa Interkoneksi Telkomsigma Serpong Rp.6.000.000,-"/>
  </r>
  <r>
    <n v="1645"/>
    <s v="Telkom Data Ekosistem "/>
    <s v="COMMONWEALTH BANK"/>
    <s v="German Centre Building 3rd and 5th floor Jl. Kapt. Subijanto DJ Bumi Serpong Damai"/>
    <x v="0"/>
    <s v="-"/>
    <s v="Internet - Graha Telkom Sigma Lt. 5; Jl. Kapt. Subijanto Dj. Bumi Serpong Damai, Lengkong Gudang, Serpong, Kota Tangerang Selatan, Banten, Indonesia, 15321"/>
    <s v="Sewa Tahunan"/>
    <s v="Cross Connect"/>
    <s v="PA/RLK/2009/0142/TER"/>
    <m/>
    <m/>
    <m/>
    <m/>
    <m/>
    <n v="228000000"/>
    <m/>
    <m/>
    <n v="6000000"/>
    <m/>
    <d v="2020-10-14T00:00:00"/>
    <d v="2021-10-13T00:00:00"/>
    <x v="0"/>
    <m/>
    <d v="2025-12-24T00:00:00"/>
    <n v="-1533"/>
    <n v="10"/>
    <n v="2021"/>
    <s v="baru"/>
    <s v="14386/SPP/008/PUSAT/ICON+/2020"/>
    <n v="4500015135"/>
    <s v="Fajar Paramita"/>
    <s v="Edhi"/>
    <m/>
    <m/>
    <m/>
    <m/>
    <s v="D225"/>
    <m/>
    <m/>
    <m/>
    <m/>
    <m/>
    <s v="1.Biaya Sewa Cross Connect di Telkomsigma Rp.6.000.000,- | 3.Biaya Instalasi Cross Connect di Telkomsigma Rp.3.000.000"/>
  </r>
  <r>
    <n v="1646"/>
    <s v="Telkom Data Ekosistem "/>
    <s v="LEMBAGA ILMU PENGETAHUAN INDONESIA (LIPI)"/>
    <s v="German Centre Building 3rd and 5th floor Jl. Kapt. Subijanto DJ Bumi Serpong Damai"/>
    <x v="0"/>
    <s v="-"/>
    <s v="Jalan Raya PLN EHP Gandul Limo, Cinere, Kota Depok, Jawa Barat, Indonesia, 16514"/>
    <s v="Sewa Tahunan"/>
    <s v="Cross Connect"/>
    <s v="PA/ACT/2104/2657"/>
    <m/>
    <m/>
    <m/>
    <m/>
    <m/>
    <s v="-"/>
    <m/>
    <m/>
    <n v="6000000"/>
    <m/>
    <d v="2021-04-26T00:00:00"/>
    <d v="2022-04-25T00:00:00"/>
    <x v="0"/>
    <m/>
    <d v="2025-12-24T00:00:00"/>
    <n v="-1339"/>
    <n v="4"/>
    <n v="2022"/>
    <s v="baru"/>
    <s v="15783/SPP/008/PUSAT/ICON+/2021"/>
    <n v="4500016102"/>
    <s v="Fajar Paramita"/>
    <s v="Edhi"/>
    <m/>
    <m/>
    <m/>
    <m/>
    <m/>
    <s v="E32"/>
    <m/>
    <m/>
    <m/>
    <m/>
    <s v="1.Biaya Instalasi Cross connect DC Telkomsigma Rp.6.000.000"/>
  </r>
  <r>
    <n v="1647"/>
    <s v="Telkom Data Ekosistem "/>
    <s v="PT. AEON CREDIT SERVICES INDONESIA"/>
    <s v="German Centre Building 3rd and 5th floor Jl. Kapt. Subijanto DJ Bumi Serpong Damai"/>
    <x v="0"/>
    <s v="-"/>
    <s v="Lengkong Gudang, Kec. Serpong, Kota Tangerang Selatan, Banten, Indonesia, 15321"/>
    <s v="Sewa Tahunan"/>
    <s v="Cross Connect"/>
    <s v="PA/ACT/2001/3966/TER"/>
    <m/>
    <m/>
    <m/>
    <m/>
    <m/>
    <n v="63360000"/>
    <m/>
    <m/>
    <n v="6000000"/>
    <m/>
    <d v="2024-03-04T00:00:00"/>
    <d v="2025-03-03T00:00:00"/>
    <x v="0"/>
    <m/>
    <d v="2025-12-24T00:00:00"/>
    <n v="-296"/>
    <n v="3"/>
    <n v="2025"/>
    <s v="12652/SPP/008/PUSAT/ICON+/2020 | 4500014025 | 15508/SPP/008/PUSAT/ICON+/2021 | 4500015887 | 21627/SPP/008/PUSAT/ICON+/2023 | 4500022404 |"/>
    <s v="3229/SPP/SBU/PLNICONPLUS/2024"/>
    <n v="4500022727"/>
    <s v="Livia Indraswati"/>
    <s v="Yudhi Sukma"/>
    <m/>
    <m/>
    <m/>
    <m/>
    <s v="D53"/>
    <s v="E88"/>
    <m/>
    <s v="H333"/>
    <s v="H97"/>
    <m/>
    <s v="1.Biaya Instalasi (crossconnect Telkomsigma BSD) Rp.3.000.000,- 2.Biaya Sewa (crossconnect Telkomsigma BSD) Rp.6.000.000,-"/>
  </r>
  <r>
    <n v="1648"/>
    <s v="Telkom Data Ekosistem "/>
    <s v="PT. XL AXIATA TBK"/>
    <s v="German Centre Building 3rd and 5th floor Jl. Kapt. Subijanto DJ Bumi Serpong Damai"/>
    <x v="0"/>
    <s v="NNI XL GD Cyber Lt 5 Jl. Kuningan Barat No. 8, Jakarta Selatan"/>
    <s v="PT Arthatech Selaras, [007C1177L30] DC Telkomsigma Sentul Lt. 1, Cijayanti, Kab. Bogor, Jawa Barat"/>
    <s v="Sewa Tahunan"/>
    <s v="Cross Connect"/>
    <s v="PA/ACT/2005/0446"/>
    <m/>
    <m/>
    <m/>
    <m/>
    <m/>
    <n v="54000000"/>
    <m/>
    <m/>
    <n v="24000000"/>
    <m/>
    <d v="2023-06-26T00:00:00"/>
    <d v="2025-06-25T00:00:00"/>
    <x v="0"/>
    <m/>
    <d v="2025-12-24T00:00:00"/>
    <n v="-182"/>
    <n v="6"/>
    <n v="2025"/>
    <s v="13468/SPP/008/PUSAT/ICON+/2020 | 4500014447 | 16024/SPP/008/PUSAT/ICON+/2021 | 4500016337 | 4500019624"/>
    <s v="3214/SPP/SBU/PLNICONPLUS/2024"/>
    <n v="4500023468"/>
    <s v="Livia Indraswati"/>
    <s v="Yudhi Sukma"/>
    <m/>
    <m/>
    <m/>
    <m/>
    <s v="D114"/>
    <s v="E250"/>
    <m/>
    <m/>
    <s v="H365"/>
    <m/>
    <s v="Biaya sewa perbulan Rp.24.000.000"/>
  </r>
  <r>
    <n v="1649"/>
    <s v="Telkom Data Ekosistem "/>
    <s v="PT. CYBER NETWORK INDONESIA"/>
    <s v="Jl Kapt Subijanto"/>
    <x v="0"/>
    <s v="-"/>
    <s v="PT Kereta Commuter Indonesia, DC Telkomsigma Jl. Cijayanti, Babakan Madang, Bogor, Jawa Barat"/>
    <s v="Sewa Tahunan"/>
    <s v="Cross Connect"/>
    <s v="PA/ACT/2001/1658/TER"/>
    <m/>
    <m/>
    <m/>
    <m/>
    <m/>
    <n v="43200000"/>
    <m/>
    <m/>
    <n v="6000000"/>
    <m/>
    <d v="2020-02-17T00:00:00"/>
    <d v="2021-02-16T00:00:00"/>
    <x v="0"/>
    <m/>
    <d v="2025-12-24T00:00:00"/>
    <n v="-1772"/>
    <n v="2"/>
    <n v="2021"/>
    <s v="Baru"/>
    <s v="12640/SPP/008/PUSAT/ICON+/2020"/>
    <n v="4500013949"/>
    <s v="Fajar Paramita"/>
    <s v="Edhi"/>
    <m/>
    <m/>
    <m/>
    <m/>
    <s v="D24"/>
    <m/>
    <m/>
    <m/>
    <m/>
    <m/>
    <s v="1.Biaya Instalasi (crossconnect Telkomsigma Sentul) Rp.3.000.000,-"/>
  </r>
  <r>
    <n v="1650"/>
    <s v="Telkom Data Ekosistem "/>
    <s v="PT. MITRA VISIONER PRATAMA"/>
    <s v="German Centre Building 3rd and 5th floor Jl. Kapt. Subijanto DJ Bumi Serpong Damai"/>
    <x v="0"/>
    <s v="-"/>
    <s v="PT. Kliring Penjaminan Efek Indonesia, Site Mvnet German Centre, Jl. Arteri Golf, Pakulonan Barat, Serpong Utara, Lengkong Gudang, Tangerang Selatan, Banten"/>
    <s v="Sewa Tahunan"/>
    <s v="Cross Connect"/>
    <s v="PA/ACT/2001/0546/TER"/>
    <m/>
    <m/>
    <m/>
    <m/>
    <m/>
    <n v="50400000"/>
    <m/>
    <m/>
    <n v="12000000"/>
    <m/>
    <d v="2023-02-03T00:00:00"/>
    <d v="2025-02-02T00:00:00"/>
    <x v="0"/>
    <m/>
    <d v="2025-12-24T00:00:00"/>
    <n v="-325"/>
    <n v="2"/>
    <n v="2025"/>
    <s v="12572/SPP/008/PUSAT/ICON+/2020 | 4500013872 | 15240/SPP/008/PUSAT/ICON+/2021 | 4500015776 | 4500018908"/>
    <s v="3150/SPP/SBU/PLNICONPLUS/2024"/>
    <n v="4500022659"/>
    <s v="Livia Indraswati"/>
    <s v="Yudhi Sukma"/>
    <m/>
    <m/>
    <m/>
    <m/>
    <s v="D19"/>
    <s v="E84"/>
    <m/>
    <m/>
    <s v="H102"/>
    <m/>
    <s v="1.Biaya Instalasi TER (cross connect Telkomsigma) Rp.6.000.000,-"/>
  </r>
  <r>
    <n v="1651"/>
    <s v="Telkom Data Ekosistem "/>
    <s v="PT BANK BTPN SYARIAH &amp; Bank Bukopin"/>
    <s v="German Centre Building 3rd and 5th floor Jl. Kapt. Subijanto DJ Bumi Serpong Damai"/>
    <x v="0"/>
    <s v="-"/>
    <s v="PT. Telkom Sigma, DC Sentul, Jl. Ir. H. Juanda No. F7, Lantai Ground, Sentul City, Kabupaten Bogor, Jawa Barat, Indonesia,"/>
    <s v="Sewa Tahunan"/>
    <s v="Cross Connect"/>
    <s v="PA/RLK/1901/0064 _x000a_ PA/ACT/1902/0567_x000a_ PA/ACT/1902/0568 _x000a_ PA/ACT/1902/0569 _x000a_ PA/ACT/1902/0571_x000a_ PA/ACT/1902/0572"/>
    <m/>
    <m/>
    <m/>
    <m/>
    <m/>
    <n v="409800000"/>
    <m/>
    <m/>
    <n v="48000000"/>
    <m/>
    <d v="2022-04-15T00:00:00"/>
    <d v="2025-04-14T00:00:00"/>
    <x v="1"/>
    <s v="SPP di Hold"/>
    <d v="2025-12-24T00:00:00"/>
    <n v="-254"/>
    <n v="4"/>
    <n v="2025"/>
    <s v="10642/SPP/008/PUSAT/ICON+/2019 | 4500012656 | 13157/SPP/008/PUSAT/ICON+/2020 | 4500014237| 15795/SPP/008/PUSAT/ICON+/2021| 4500016175 | 18320/SPP/008/PUSAT/ICON+/2022 | 4500017853"/>
    <s v="3371/SPP/SBU/PLNICONPLUS/2024"/>
    <n v="4500023001"/>
    <s v="Livia Indraswati"/>
    <s v="Yudhi Sukma"/>
    <m/>
    <m/>
    <m/>
    <s v="C64"/>
    <s v="D120"/>
    <s v="E227"/>
    <s v="F112"/>
    <m/>
    <s v="H151"/>
    <m/>
    <s v="1.Biaya Sewa 1 tahun Sebesar 48.000.000"/>
  </r>
  <r>
    <n v="1652"/>
    <s v="Telkom Data Ekosistem "/>
    <s v="PT BANK BTPN SYARIAH &amp; Bank Bukopin"/>
    <s v="German Centre Building 3rd and 5th floor Jl. Kapt. Subijanto DJ Bumi Serpong Damai"/>
    <x v="0"/>
    <s v="-"/>
    <s v="PT. Telkom Sigma, DC Sentul, Jl. Ir. H. Juanda No. F7, Lantai Ground, Sentul City, Kabupaten Bogor, Jawa Barat, Indonesia,"/>
    <s v="Sewa Tahunan"/>
    <s v="Colocation"/>
    <s v="ICON-00/ACT/1511/0021_x000a_ PA/ACT/1902/0567_x000a_ PA/ACT/1902/0568 _x000a_ PA/ACT/1902/0569 _x000a_ PA/ACT/1902/0571_x000a_ PA/ACT/1902/0572"/>
    <m/>
    <m/>
    <m/>
    <m/>
    <m/>
    <n v="439800000"/>
    <m/>
    <m/>
    <n v="120000000"/>
    <m/>
    <d v="2021-04-15T00:00:00"/>
    <d v="2022-04-14T00:00:00"/>
    <x v="0"/>
    <m/>
    <d v="2025-12-24T00:00:00"/>
    <n v="-1350"/>
    <n v="4"/>
    <n v="2022"/>
    <s v="10416/SPP/008/PUSAT/ICON+/2019 | 4500012519 | 13156/SPP/008/PUSAT/ICON+/2020 | 4500014236"/>
    <s v="15577/SPP/008/PUSAT/ICON+/2021"/>
    <n v="4500016096"/>
    <s v="Fajar Paramita"/>
    <s v="Edhi"/>
    <m/>
    <m/>
    <m/>
    <s v="C39"/>
    <s v="D119"/>
    <s v="E408"/>
    <m/>
    <m/>
    <m/>
    <m/>
    <s v="1.Biaya Sewa 1 tahun Sebesar 120.000.000"/>
  </r>
  <r>
    <n v="1653"/>
    <s v="Telkom Data Ekosistem "/>
    <s v="KOMISI PEMBERANTASAN KORUPSI (KPK)"/>
    <s v="German Centre Building 3rd and 5th floor Jl. Kapt. Subijanto DJ Bumi Serpong Damai"/>
    <x v="0"/>
    <s v="DC KPK BSD Graha TelkomSigma BSD, Lantai 5, Wing A (Gedung Sisi Barat), Bumi Serpong Damai, Jalan Kapt. Subijanto Dj, Lengkong Gudang, Kec. Serpong, Kota Tangerang Selatan, Banten"/>
    <s v="PT. XL Axiata. Tbk (Inbuilding JNB 2) Building di Jl. Sumba Blok A-B MM2100 , Cibitung, Bekasi (Rak KPK), Indonesia"/>
    <s v="Sewa Tahunan"/>
    <s v="Cross Connect"/>
    <s v="PA/ACT/1907/2014/TER_x000a_ PA/ACT/1907/2013/TER_x000a_ PA/ACT/1907/2012/TER_x000a_ PA/ACT/1907/2010/TER_x000a_ PA/ACT/1907/2009/TER_x000a_ PA/ACT/1907/2007/TER"/>
    <m/>
    <m/>
    <m/>
    <m/>
    <m/>
    <m/>
    <m/>
    <m/>
    <n v="6000000"/>
    <m/>
    <d v="2023-09-09T00:00:00"/>
    <d v="2024-09-08T00:00:00"/>
    <x v="0"/>
    <m/>
    <d v="2025-12-24T00:00:00"/>
    <n v="-472"/>
    <n v="9"/>
    <n v="2024"/>
    <s v="11614/SPP/008/PUSAT/ICON+/2019 | 4500013247 | 14161/SPP/008/PUSAT/ICON+/2020 | 4500015027| 16548/SPP/008/PUSAT/ICON+/2021| 4500016632 | 19740/SPP/008/PUSAT/ICON+/2022 | 4500018959"/>
    <s v="3326/SPP/SBU/PLNICONPLUS/2024"/>
    <m/>
    <s v="Fajar Paramita"/>
    <s v="Yudhi Sukma"/>
    <s v="+62 852-6603-5574"/>
    <m/>
    <m/>
    <s v="C188"/>
    <s v="D257"/>
    <s v="E268"/>
    <m/>
    <m/>
    <m/>
    <m/>
    <s v="Biaya Revenue masuk ke SPP 3300"/>
  </r>
  <r>
    <n v="1654"/>
    <s v="Telkom Data Ekosistem "/>
    <s v="KOMISI PEMBERANTASAN KORUPSI (KPK)"/>
    <s v="German Centre Building 3rd and 5th floor Jl. Kapt. Subijanto DJ Bumi Serpong Damai"/>
    <x v="0"/>
    <s v="DC KPK BSD Graha TelkomSigma BSD, Lantai 5, Wing A (Gedung Sisi Barat), Bumi Serpong Damai, Jalan Kapt. Subijanto Dj, Lengkong Gudang, Kec. Serpong, Kota Tangerang Selatan, Banten"/>
    <s v="PT. XL Axiata. Tbk (Inbuilding JNB 2) Building di Jl. Sumba Blok A-B MM2100 , Cibitung, Bekasi (Rak KPK), Indonesia"/>
    <s v="Sewa Tahunan"/>
    <s v="Cross Connect"/>
    <s v="PA/ACT/1907/2014/TER_x000a_ PA/ACT/1907/2013/TER_x000a_ PA/ACT/1907/2012/TER_x000a_ PA/ACT/1907/2010/TER_x000a_ PA/ACT/1907/2009/TER_x000a_ PA/ACT/1907/2007/TER"/>
    <m/>
    <m/>
    <m/>
    <m/>
    <m/>
    <m/>
    <m/>
    <m/>
    <n v="18000000"/>
    <m/>
    <d v="2023-09-09T00:00:00"/>
    <d v="2024-09-08T00:00:00"/>
    <x v="0"/>
    <m/>
    <d v="2025-12-24T00:00:00"/>
    <n v="-472"/>
    <n v="9"/>
    <n v="2024"/>
    <s v="11614/SPP/008/PUSAT/ICON+/2019 | 4500013247 | 14159/SPP/008/PUSAT/ICON+/2020 | 4500013249 | 4500015024| 16547/SPP/008/PUSAT/ICON+/2021| 4500016633 | 19738/SPP/008/PUSAT/ICON+/2022 | 4500018960"/>
    <s v="3327/SPP/SBU/PLNICONPLUS/2024"/>
    <m/>
    <s v="Fajar Paramita"/>
    <s v="Yudhi Sukma"/>
    <s v="+62 852-6603-5574"/>
    <m/>
    <m/>
    <s v="C189"/>
    <s v="D256"/>
    <s v="E267"/>
    <s v="F333"/>
    <m/>
    <m/>
    <m/>
    <s v="Biaya Revenue masuk ke SPP 3300"/>
  </r>
  <r>
    <n v="1655"/>
    <s v="Telkom Data Ekosistem "/>
    <s v="PT. BANK VICTORIA INTERNATIONAL TBK"/>
    <s v="German Centre Building 3rd and 5th floor Jl. Kapt. Subijanto DJ Bumi Serpong Damai"/>
    <x v="0"/>
    <s v="-"/>
    <s v="Ruang Server DC BSD Lt.6 Wing Timur"/>
    <s v="Sewa Tahunan"/>
    <s v="Cross Connect"/>
    <s v="PA/ACT/2109/3044/TER"/>
    <m/>
    <m/>
    <m/>
    <m/>
    <m/>
    <n v="37250000"/>
    <m/>
    <m/>
    <n v="6000000"/>
    <m/>
    <d v="2023-02-14T00:00:00"/>
    <d v="2025-02-13T00:00:00"/>
    <x v="0"/>
    <m/>
    <d v="2025-12-24T00:00:00"/>
    <n v="-314"/>
    <n v="2"/>
    <n v="2025"/>
    <s v="17688/SPP/008/PUSAT/ICON+/2022 | 4500017502"/>
    <s v="3244/SPP/SBU/PLNICONPLUS/2024"/>
    <n v="4500023002"/>
    <s v="Livia Indraswati"/>
    <s v="Yudhi Sukma"/>
    <m/>
    <m/>
    <m/>
    <m/>
    <m/>
    <m/>
    <s v="F38"/>
    <m/>
    <s v="H99"/>
    <m/>
    <s v="Biaya OTC 3.000.000 | Biaya Sewa pertahun 6.000.000"/>
  </r>
  <r>
    <n v="1656"/>
    <s v="Telkom Data Ekosistem "/>
    <s v="Bank Nagari"/>
    <s v="German Centre Building 3rd and 5th floor Jl. Kapt. Subijanto DJ Bumi Serpong Damai"/>
    <x v="0"/>
    <s v="DC Telkom Sigma, Cijayanti,,  Kec. Babakan Madang,  Kabupaten Bogor,  Jawa Barat,  Indonesia,  "/>
    <s v="Server Bank Nagari DC Telkom Sigma Sentul,  Kec. Babakan Madang,  Kabupaten Bogor,  Jawa Barat,  Indonesia, "/>
    <s v="Sewa Tahunan"/>
    <s v="Cross Connect"/>
    <s v="PA/TRL/2208/0040"/>
    <m/>
    <m/>
    <m/>
    <m/>
    <m/>
    <n v="31200000"/>
    <m/>
    <m/>
    <n v="6000000"/>
    <m/>
    <d v="2022-09-20T00:00:00"/>
    <d v="2023-09-19T00:00:00"/>
    <x v="0"/>
    <m/>
    <d v="2025-12-24T00:00:00"/>
    <n v="-827"/>
    <n v="9"/>
    <n v="2023"/>
    <s v="baru"/>
    <s v="19702/SPP/008/PUSAT/ICON+/2022"/>
    <n v="4500018745"/>
    <s v="Fajar Paramita"/>
    <s v="Edhi"/>
    <m/>
    <m/>
    <m/>
    <m/>
    <m/>
    <m/>
    <s v="F283"/>
    <m/>
    <m/>
    <m/>
    <s v="Biaya Intslasi 3.000.000"/>
  </r>
  <r>
    <n v="1657"/>
    <s v="Telkom Data Ekosistem "/>
    <s v="PT. SEMEN INDONESIA (PERSERO)TBK"/>
    <s v="German Centre Building 3rd and 5th floor Jl. Kapt. Subijanto DJ Bumi Serpong Damai"/>
    <x v="0"/>
    <s v="-"/>
    <s v="SIGMA Serpong Kapt. Subijanto Dj. Bumi Serpong Damai Tangerang (Lantai 5)"/>
    <s v="Sewa Tahunan"/>
    <s v="Cross Connect"/>
    <s v="PA/ACT/1906/1841/TER"/>
    <m/>
    <m/>
    <m/>
    <m/>
    <m/>
    <n v="168000000"/>
    <m/>
    <m/>
    <n v="6000000"/>
    <m/>
    <d v="2023-06-30T00:00:00"/>
    <d v="2024-06-29T00:00:00"/>
    <x v="2"/>
    <m/>
    <d v="2025-12-24T00:00:00"/>
    <n v="-543"/>
    <n v="6"/>
    <n v="2024"/>
    <s v="11153/SPP/008/PUSAT/ICON+/2019 | 4500012976 | 13592/SPP/008/PUSAT/ICON+/2020 | 4500014656| 16146/SPP/008/PUSAT/ICON+/2021| 4500016600 | 18847/SPP/008/PUSAT/ICON+/2022 | 4500018223 "/>
    <s v="107/SPP/SBU/ICON+/2023"/>
    <n v="4500020429"/>
    <s v="Fajar Paramita"/>
    <s v="Edhi"/>
    <m/>
    <m/>
    <m/>
    <s v="C137"/>
    <s v="D200"/>
    <s v="E412"/>
    <s v="F195"/>
    <s v="G171"/>
    <m/>
    <m/>
    <s v="Collocation 1U OTB dan Splicing 24 Core di NER CDCI Basement Rak 0F0310"/>
  </r>
  <r>
    <n v="1658"/>
    <s v="Telkom Data Ekosistem "/>
    <s v="KEMENTERIAN ENERGI DAN SUMBER DAYA MINERAL"/>
    <s v="German Centre Building 3rd and 5th floor Jl. Kapt. Subijanto DJ Bumi Serpong Damai"/>
    <x v="0"/>
    <s v="-"/>
    <s v="Telkom Sigma (German Centre Jalan Arteri Golf, Pakulonan Barat, Serpong Utara, Lengkong Gudang, Serpong, Kota Tangerang Selatan)"/>
    <s v="Sewa Tahunan"/>
    <s v="Colocation"/>
    <s v="PA/ACT/2102/0766/TER_x000a_ PA/ACT/2102/0781/TER_x000a_ PA/ACT/2102/0767/TER"/>
    <m/>
    <m/>
    <m/>
    <m/>
    <m/>
    <n v="72000000"/>
    <m/>
    <m/>
    <n v="46000000"/>
    <m/>
    <d v="2021-03-29T00:00:00"/>
    <d v="2022-03-28T00:00:00"/>
    <x v="0"/>
    <m/>
    <d v="2025-12-24T00:00:00"/>
    <n v="-1367"/>
    <n v="3"/>
    <n v="2022"/>
    <s v="baru"/>
    <s v="15483/SPP/008/PUSAT/ICON+/2021"/>
    <n v="4500015915"/>
    <s v="Fajar Paramita"/>
    <s v="Edhi"/>
    <m/>
    <m/>
    <m/>
    <m/>
    <m/>
    <s v="E15"/>
    <m/>
    <m/>
    <m/>
    <m/>
    <s v="1.Biaya Sewa Cross Connect di Telkomsigma Rp.6.000.000,- | 3.Biaya Collocation Rp.40.000.000"/>
  </r>
  <r>
    <n v="1659"/>
    <s v="Telkom Data Ekosistem "/>
    <s v="BADAN PENGELOLA PENDAPATAN DAERAH PROVINSI JAWA TENGAH"/>
    <s v="German Centre Building 3rd and 5th floor Jl. Kapt. Subijanto DJ Bumi Serpong Damai"/>
    <x v="0"/>
    <s v="-"/>
    <s v="Telkom sigma Bumi Serpong Damai, Jalan Kapt. Subijanto Dj, Lengkong Gudang, Kec. Serpong, Tangerang, Banten"/>
    <s v="Sewa Tahunan"/>
    <s v="Cross Connect"/>
    <s v="PA/ACT/2001/3141/TER_x000a_ PA/ACT/2001/3142"/>
    <m/>
    <m/>
    <m/>
    <m/>
    <m/>
    <n v="238909080"/>
    <m/>
    <m/>
    <n v="6000000"/>
    <m/>
    <d v="2023-02-07T00:00:00"/>
    <d v="2024-02-06T00:00:00"/>
    <x v="1"/>
    <s v="Konfirmasi Sales"/>
    <d v="2025-12-24T00:00:00"/>
    <n v="-687"/>
    <n v="2"/>
    <n v="2024"/>
    <s v="12573/SPP/008/PUSAT/ICON+/2020 | 4500013871 | 4500015878 | 17831/SPP/008/PUSAT/ICON+/2022"/>
    <s v="21412/SPP/008/PUSAT/ICON+/2023"/>
    <n v="4500021994"/>
    <s v="Fajar Paramita"/>
    <s v="Edhi"/>
    <m/>
    <m/>
    <m/>
    <m/>
    <s v="D18"/>
    <s v="E190"/>
    <m/>
    <s v="G422"/>
    <m/>
    <m/>
    <s v="1.Biaya Sewa TER (cross connect Telkomsigma) Rp.6.000.000"/>
  </r>
  <r>
    <n v="1660"/>
    <s v="Telkom Data Ekosistem "/>
    <s v="BADAN PENGELOLA PENDAPATAN DAERAH PROVINSI JAWA TENGAH"/>
    <s v="German Centre Building 3rd and 5th floor Jl. Kapt. Subijanto DJ Bumi Serpong Damai"/>
    <x v="0"/>
    <m/>
    <s v="Telkom sigma Bumi Serpong Damai, Jalan Kapt. Subijanto Dj, Lengkong Gudang, Kec. Serpong, Tangerang, Banten"/>
    <s v="Sewa Tahunan"/>
    <s v="Cross Connect"/>
    <s v="PA/ACT/1912/2339/TER"/>
    <m/>
    <m/>
    <m/>
    <m/>
    <m/>
    <n v="5467500"/>
    <m/>
    <m/>
    <n v="6000000"/>
    <m/>
    <d v="2022-01-10T00:00:00"/>
    <d v="2023-01-09T00:00:00"/>
    <x v="0"/>
    <m/>
    <d v="2025-12-24T00:00:00"/>
    <n v="-1080"/>
    <n v="1"/>
    <n v="2023"/>
    <s v="12437/SPP/008/PUSAT/ICON+/2019 | 4500013730| 15321/SPP/008/PUSAT/ICON+/2021| 4500015664"/>
    <s v="15321/SPP/008/PUSAT/ICON+/2021"/>
    <n v="4500018966"/>
    <s v="Fajar Paramita"/>
    <s v="Edhi"/>
    <m/>
    <m/>
    <m/>
    <s v="C268"/>
    <m/>
    <s v="E86"/>
    <m/>
    <m/>
    <m/>
    <m/>
    <s v="1.Biaya Instalasi Telkomsigma Rp.3.000.000 2.Biaya Sewa Telkomsigma Rp.6.000.000"/>
  </r>
  <r>
    <n v="1661"/>
    <s v="Telkom Data Ekosistem "/>
    <s v="BADAN PENGELOLA PENDAPATAN DAERAH PROVINSI JAWA TENGAH"/>
    <s v="German Centre Building 3rd and 5th floor Jl. Kapt. Subijanto DJ Bumi Serpong Damai"/>
    <x v="0"/>
    <m/>
    <s v="Telkom sigma Bumi Serpong Damai, Jalan Kapt. Subijanto Dj, Lengkong Gudang, Kec. Serpong, Tangerang, Banten"/>
    <s v="Sewa Tahunan"/>
    <s v="Cross Connect"/>
    <s v="PA/ACT/1912/2339/TER"/>
    <m/>
    <m/>
    <m/>
    <m/>
    <m/>
    <n v="82719996"/>
    <m/>
    <m/>
    <n v="6000000"/>
    <m/>
    <d v="2023-01-10T00:00:00"/>
    <d v="2025-01-09T00:00:00"/>
    <x v="1"/>
    <s v="Konfirmasi Sales"/>
    <d v="2025-12-24T00:00:00"/>
    <n v="-349"/>
    <n v="1"/>
    <n v="2025"/>
    <s v="15321/SPP/008/PUSAT/ICON+/2021"/>
    <s v="3332/SPP/SBU/PLNICONPLUS/2024"/>
    <n v="4500023384"/>
    <s v="Livia Indraswati"/>
    <s v="Yudhi Sukma"/>
    <m/>
    <m/>
    <m/>
    <m/>
    <m/>
    <m/>
    <m/>
    <m/>
    <s v="H332"/>
    <m/>
    <m/>
  </r>
  <r>
    <n v="1662"/>
    <s v="Telkom Data Ekosistem "/>
    <s v="PT. TELEKOMUNIKASI INDONESIA INTERNATIONAL"/>
    <s v="German Centre Building 3rd and 5th floor Jl. Kapt. Subijanto DJ Bumi Serpong Damai"/>
    <x v="0"/>
    <m/>
    <s v="Telkom Sigma Serpong, Lengkong Gudang, Kec. Serpong, Tangerang, Banten"/>
    <s v="Sewa Tahunan"/>
    <s v="Cross Connect"/>
    <s v="PA/ACT/1911/2073_x000a_ PA/ACT/1911/2700"/>
    <m/>
    <m/>
    <m/>
    <m/>
    <m/>
    <n v="184800000"/>
    <m/>
    <m/>
    <n v="6000000"/>
    <m/>
    <d v="2020-12-03T00:00:00"/>
    <d v="2021-12-02T00:00:00"/>
    <x v="0"/>
    <m/>
    <d v="2025-12-24T00:00:00"/>
    <n v="-1483"/>
    <n v="12"/>
    <n v="2021"/>
    <s v="11975/SPP/008/PUSAT/ICON+/2019 | 4500013540"/>
    <s v="14889/SPP/008/PUSAT/ICON+/2020"/>
    <n v="4500015485"/>
    <s v="Fajar Paramita"/>
    <s v="Edhi"/>
    <m/>
    <m/>
    <m/>
    <s v="C241"/>
    <s v="D388"/>
    <m/>
    <m/>
    <m/>
    <m/>
    <m/>
    <s v="1.Biaya Sewa Crossconnect ORI sebesar Rp.6.000.000,- 2.Biaya Instalasi Crossconnect ORI sebesar Rp.3.000.000,-"/>
  </r>
  <r>
    <n v="1663"/>
    <s v="Telkom Data Ekosistem "/>
    <s v="PT. TELEKOMUNIKASI INDONESIA INTERNATIONAL"/>
    <s v="German Centre Building 3rd and 5th floor Jl. Kapt. Subijanto DJ Bumi Serpong Damai"/>
    <x v="0"/>
    <m/>
    <s v="TELKOMSIGMA BSD, German Center Sigma West Wing lantai 3 Rack number : DC/R04-0069 Perangkat : SW14 HRB sigma, Tangerang, Banten"/>
    <s v="Sewa Tahunan"/>
    <s v="Cross Connect"/>
    <s v="PA/ACT/1911/2073_x000a_ PA/ACT/1911/2700"/>
    <m/>
    <m/>
    <m/>
    <m/>
    <m/>
    <n v="11650000"/>
    <m/>
    <m/>
    <n v="12000000"/>
    <m/>
    <d v="2020-12-11T00:00:00"/>
    <d v="2021-12-10T00:00:00"/>
    <x v="0"/>
    <m/>
    <d v="2025-12-24T00:00:00"/>
    <n v="-1475"/>
    <n v="12"/>
    <n v="2021"/>
    <s v="12170/SPP/008/PUSAT/ICON+/2019 | 4500013631"/>
    <s v="14888/SPP/008/PUSAT/ICON+/2020"/>
    <n v="4500015494"/>
    <s v="Fajar Paramita"/>
    <s v="Edhi"/>
    <m/>
    <m/>
    <m/>
    <s v="C260"/>
    <s v="D361"/>
    <m/>
    <m/>
    <m/>
    <m/>
    <m/>
    <s v="1.Biaya Instalasi Xconnect Telkomsigma 2 tarikan Rp.6.000.000,- 2.Biaya Sewa Xconnect Telkomsigma 2 tarikan Rp.12.000.000,-"/>
  </r>
  <r>
    <n v="1664"/>
    <s v="Telkom Data Ekosistem "/>
    <s v="PT. KIDECO JAYA AGUNG"/>
    <s v="German Centre Building 3rd and 5th floor Jl. Kapt. Subijanto DJ Bumi Serpong Damai"/>
    <x v="0"/>
    <m/>
    <s v="Telkomsigma BSD, Jl. Kapt. Subijanto Dj, Lengkong Gudang, Serpong, Tangerang, Banten"/>
    <s v="Sewa Tahunan"/>
    <s v="Cross Connect"/>
    <s v="PA/ACT/2003/0160"/>
    <m/>
    <m/>
    <m/>
    <m/>
    <m/>
    <n v="240000000"/>
    <m/>
    <m/>
    <n v="18000000"/>
    <m/>
    <d v="2020-03-23T00:00:00"/>
    <d v="2021-03-22T00:00:00"/>
    <x v="2"/>
    <m/>
    <d v="2025-12-24T00:00:00"/>
    <n v="-1738"/>
    <n v="3"/>
    <n v="2021"/>
    <s v="baru"/>
    <s v="12926/SPP/008/PUSAT/ICON+/2020"/>
    <n v="4500014093"/>
    <s v="Fajar Paramita"/>
    <s v="Edhi"/>
    <m/>
    <m/>
    <m/>
    <m/>
    <s v="D51"/>
    <m/>
    <m/>
    <m/>
    <m/>
    <m/>
    <s v="1.Biaya Instalasi Crossconnect FO Telkomsigma Serpong Rp.6.000.000,- 2.Biaya Sewa Crossconnect FO Telkomsigma Serpong Rp.12.000.000,-"/>
  </r>
  <r>
    <n v="1665"/>
    <s v="Telkom Data Ekosistem "/>
    <s v="PT. BANK NTB SYARIAH"/>
    <s v="German Centre Building 3rd and 5th floor Jl. Kapt. Subijanto DJ Bumi Serpong Damai"/>
    <x v="0"/>
    <m/>
    <s v="Telkomsigma Sentul, Cijayanti, Kec. Babakan Madang, Bogor, Jawa Barat 16810"/>
    <s v="Sewa Tahunan"/>
    <s v="Cross Connect"/>
    <s v="PA/ACT/2106/3300"/>
    <m/>
    <m/>
    <m/>
    <m/>
    <m/>
    <n v="60000000"/>
    <m/>
    <m/>
    <n v="18000000"/>
    <m/>
    <d v="2021-09-13T00:00:00"/>
    <d v="2022-09-12T00:00:00"/>
    <x v="2"/>
    <m/>
    <d v="2025-12-24T00:00:00"/>
    <n v="-1199"/>
    <n v="9"/>
    <n v="2022"/>
    <s v="baru"/>
    <s v="16500/SPP/008/PUSAT/ICON+/2021"/>
    <n v="4500016616"/>
    <s v="Fajar Paramita"/>
    <s v="Edhi"/>
    <m/>
    <m/>
    <m/>
    <m/>
    <m/>
    <s v="E264"/>
    <m/>
    <m/>
    <m/>
    <m/>
    <s v="1.Biaya Sewa Port Switch Rp.18.000.000 | Biaya Sewa UTP Rp.6.000.000 | Biaya Instalasi Port Switch Rp.1.000.000 | Biaya Instalasi UTP Rp.3.000.000"/>
  </r>
  <r>
    <n v="1666"/>
    <s v="Telkom Data Ekosistem "/>
    <s v="PT. BANK HSBC INDONESIA"/>
    <s v="German Centre Building 3rd and 5th floor Jl. Kapt. Subijanto DJ Bumi Serpong Damai"/>
    <x v="0"/>
    <m/>
    <s v="Telkomsigma, Jl.Kapten Subijanto Dj Bumi Serpong Damai - Tangerang, Serpong, Tangerang, Banten"/>
    <s v="Sewa Tahunan"/>
    <s v="Cross Connect"/>
    <s v="AL/2201/6674"/>
    <m/>
    <m/>
    <s v="Metronet"/>
    <s v="30 Mbps"/>
    <m/>
    <n v="194400000"/>
    <m/>
    <m/>
    <n v="6000000"/>
    <m/>
    <d v="2023-03-09T00:00:00"/>
    <d v="2025-03-08T00:00:00"/>
    <x v="0"/>
    <m/>
    <d v="2025-12-24T00:00:00"/>
    <n v="-291"/>
    <n v="3"/>
    <n v="2025"/>
    <s v="12770/SPP/008/PUSAT/ICON+/2020 | 4500014036| 15550/SPP/008/PUSAT/ICON+/2021| 4500016256 | 18357/SPP/008/PUSAT/ICON+/2022 | 4500018102"/>
    <s v="3133/SPP/SBU/PLNICONPLUS/2024"/>
    <n v="4500022575"/>
    <s v="Fajar Paramita"/>
    <s v="Yudhi Sukma"/>
    <m/>
    <m/>
    <m/>
    <m/>
    <s v="D56"/>
    <s v="E208"/>
    <s v="F244"/>
    <m/>
    <s v="H93"/>
    <m/>
    <s v="1.Biaya Instalasi Crossconnect Telkomsigma Rp.3.000.000,- 2.Biaya Sewa Crossconnect Telkomsigma Rp.6.000.000"/>
  </r>
  <r>
    <n v="1667"/>
    <s v="Tempo Realty"/>
    <s v="PT B. BRAUN MEDICAL INDONESIA"/>
    <s v="Tempo Scan tower lantai 19"/>
    <x v="0"/>
    <m/>
    <s v="Tempo Scan Tower Lt. 30"/>
    <s v="Sewa Tahunan"/>
    <s v="Colocation"/>
    <s v="ICON-00/ACT/1707/0576"/>
    <m/>
    <m/>
    <m/>
    <m/>
    <m/>
    <n v="72000000"/>
    <m/>
    <m/>
    <n v="30000000"/>
    <m/>
    <d v="2019-09-20T00:00:00"/>
    <d v="2020-09-19T00:00:00"/>
    <x v="0"/>
    <m/>
    <d v="2025-12-24T00:00:00"/>
    <n v="-1922"/>
    <n v="9"/>
    <n v="2020"/>
    <s v="07515/SPP/008/PUSAT/ICON+/2017 |4500011015 | 08875/SPP/008/PUSAT/ICON+/2018 | 4500011680"/>
    <s v="11131/SPP/008/PUSAT/ICON+/2019"/>
    <n v="4500012980"/>
    <s v="Fajar Paramita"/>
    <s v="Sugeng"/>
    <m/>
    <n v="128"/>
    <s v="B158"/>
    <s v="C139"/>
    <m/>
    <m/>
    <m/>
    <m/>
    <m/>
    <m/>
    <s v="1.Sewa tahunan sebesar 30.000.000"/>
  </r>
  <r>
    <n v="1668"/>
    <s v="Tifa Arum Realty"/>
    <s v="PT Indonesia Comnets Plus qq Diskominfo Blitar"/>
    <s v="GD Tifa Lt 8 Jl.Kuningan Barat No.26"/>
    <x v="0"/>
    <m/>
    <s v="Gedung Tifa, Jl. Kuningan Barat 1 No. 26 RT.6/RW.1 Kuningan Barat Mampang Prapatan DKI Jakarta 12710"/>
    <s v="Sewa Tahunan"/>
    <s v="Colocation"/>
    <s v="PA/ACT/1901/0199"/>
    <m/>
    <m/>
    <m/>
    <m/>
    <m/>
    <n v="480000000"/>
    <m/>
    <m/>
    <n v="40000000"/>
    <m/>
    <d v="2019-02-01T00:00:00"/>
    <d v="2020-01-31T00:00:00"/>
    <x v="0"/>
    <m/>
    <d v="2025-12-24T00:00:00"/>
    <n v="-2154"/>
    <n v="1"/>
    <n v="2020"/>
    <s v="baru"/>
    <s v="10174/SPP/008/PUSAT/ICON+/2019"/>
    <n v="4500012447"/>
    <s v="Fajar Paramita"/>
    <s v="Riri (GM) | Tintin"/>
    <s v="813-1606-2654 | 818-0819-4502"/>
    <m/>
    <m/>
    <s v="C14"/>
    <m/>
    <m/>
    <m/>
    <m/>
    <m/>
    <m/>
    <s v="1.Biaya Sewa Tahunan sebesar 40.000.000"/>
  </r>
  <r>
    <n v="1669"/>
    <s v="Turun Temurun Makmur Sejahtera "/>
    <s v="Bank Mega"/>
    <s v="Gedung Graha Kapital 2 Lt.2_x000a_Jl. Kemang Raya I No. 7_x000a_Jakarta 12730"/>
    <x v="0"/>
    <m/>
    <s v="Wisma Bakrie CSU/Graha Kapital Lt. 1 Jl. Kemang Raya No. 4 Jakarta Selatan 12730 (Bank Mega)"/>
    <s v="Sewa Tahunan"/>
    <s v="Colocation"/>
    <s v="PA/ACT/1808/0376"/>
    <m/>
    <m/>
    <m/>
    <m/>
    <m/>
    <n v="26400000"/>
    <m/>
    <m/>
    <n v="12000000"/>
    <m/>
    <d v="2024-06-18T00:00:00"/>
    <d v="2025-06-17T00:00:00"/>
    <x v="0"/>
    <m/>
    <d v="2025-12-24T00:00:00"/>
    <n v="-190"/>
    <n v="6"/>
    <n v="2025"/>
    <s v="4500009511 |4500010501 | 4500011603 | 08730/SPP/008/PUSAT/ICON+/2018 | 10847/SPP/008/PUSAT/ICON+/2019 | 4500012963 | 13591/SPP/008/PUSAT/ICON+/2020 | 4500014749| 15947/SPP/008/PUSAT/ICON+/2021| 4500016468 | 4500018220 | 18909/SPP/008/PUSAT/ICON+/2022 | 4500018220 | 406/SPP/SBU/ICON+/2023 | 4500020668"/>
    <s v="3421/SPP/SBU/PLNICONPLUS/2024"/>
    <n v="4500022773"/>
    <s v="Fajar Paramita"/>
    <s v="Eri Priambodo"/>
    <s v="021-7198602"/>
    <s v="B122"/>
    <s v="B120"/>
    <s v="C135"/>
    <s v="D215"/>
    <s v="E246"/>
    <s v="F238"/>
    <s v="G132"/>
    <s v="H181"/>
    <m/>
    <s v="1. Uang Jaminan Rp3000.000,-_x000a_ 2. Sewa Shaft Rp12.000.000,-"/>
  </r>
  <r>
    <n v="1670"/>
    <s v="Visionet Data International"/>
    <s v="PT. VISIONET DATA INTERNASIONAL"/>
    <s v="Lippo Cyber Park. Jalan Boulevard Gajah Mada No. 2120, Lippo Karawaci, Tangerang 15811"/>
    <x v="0"/>
    <m/>
    <s v="Backhaul Data Center Visionet Gedung UPH Lantai 5 Gedung C, Curug, -, Kota Tangerang, Banten,"/>
    <s v="Sewa Tahunan"/>
    <s v="Colocation"/>
    <s v="PA/ACT/1812/1182"/>
    <m/>
    <m/>
    <m/>
    <m/>
    <m/>
    <n v="111720000"/>
    <m/>
    <m/>
    <n v="10093272"/>
    <m/>
    <d v="2020-07-01T00:00:00"/>
    <d v="2021-06-30T00:00:00"/>
    <x v="0"/>
    <m/>
    <d v="2025-12-24T00:00:00"/>
    <n v="-1638"/>
    <n v="6"/>
    <n v="2021"/>
    <s v="11082/SPP/008/PUSAT/ICON+/2019 | 4500012943"/>
    <s v="13597/SPP/008/PUSAT/ICON+/2020"/>
    <n v="4500014651"/>
    <s v="Fajar Paramita"/>
    <s v="Irpan Arlis"/>
    <n v="8129185971"/>
    <m/>
    <m/>
    <s v="C91"/>
    <s v="D300"/>
    <m/>
    <m/>
    <m/>
    <m/>
    <m/>
    <s v="Biaya Sewa tahunan sebesar Rp.10.093.272"/>
  </r>
  <r>
    <n v="1671"/>
    <s v="Wardono Asnim"/>
    <s v="Mangunreja,Puloampel,Mangunreja,Serang [Huawei 172.25.105.188/29]_x000a_ 0990000320470800 Metro PGAS TELEKOMUNIKASI NUSANTARA Ged.Cyber - PT Chandra Asri Merak Jl. Pulau Ampel Merak Banten_x000a_ 01000011533 IPVPN BRI PPD SALIRA-78 (Huawei 172.25.110.50/29)_x000a_ 01000022005 Metro Telemedia Dinamika Sarana PT. Indo Raya Tenaga, Pulomerak, Cilegon (BDCOM 172.25.110.51/29 vl14)_x000a_ 01000022005 Metro Telemedia Dinamika Sarana, Pulomerak, Banten (BDCOM 172.25.110.52 vl14)_x000a_ 04000004161 Internet Nufarm Indonesia Jalur Merak-Serdang, Mangunreja, Puloampel, Serang [172.25.105.187/29]"/>
    <s v="Pluit Timur Blok I Selatan 2 RT.03/RW 09 Kelurahan Pluit Kecamatan Pejaringan Jakarta Utara"/>
    <x v="0"/>
    <m/>
    <s v="Desa Lebak Gede Kecamatan Pulo Merak Kabupaten Cilegon Propinsi Baten"/>
    <s v="Sewa Tahunan"/>
    <s v="Colocation"/>
    <m/>
    <m/>
    <m/>
    <m/>
    <m/>
    <m/>
    <n v="342000000"/>
    <m/>
    <m/>
    <n v="136296312"/>
    <m/>
    <d v="2018-09-22T00:00:00"/>
    <d v="2020-09-21T00:00:00"/>
    <x v="0"/>
    <m/>
    <d v="2025-12-24T00:00:00"/>
    <n v="-1920"/>
    <n v="9"/>
    <n v="2020"/>
    <s v="4500009843 |_x000a_ 101301.PJ/001/PUSAT/ICON+/2016"/>
    <s v="10597/SPP/008/PUSAT/ICON+/2019"/>
    <n v="4500012663"/>
    <s v="Fajar Paramita"/>
    <s v="Putri"/>
    <s v="021-6910382"/>
    <m/>
    <m/>
    <s v="C71"/>
    <m/>
    <m/>
    <m/>
    <m/>
    <m/>
    <m/>
    <s v="Sewa Lahan 225 m2 Rp68.148.148/tahun"/>
  </r>
  <r>
    <n v="1672"/>
    <s v="Wiratara Prima"/>
    <s v="PT. PRIMACOM INTERBUANA"/>
    <s v="Jl. Dr. Ide Anak Agung Gde Agung Blok 6.2 Kuningan Timur Setiabudi Jakarta Selatan 12950"/>
    <x v="0"/>
    <s v="MENARA PRIMA LANTAI 29, JL. LINGKAR MEGA KUNINGAN,- ,- ,- ,Indonesia ,-   "/>
    <s v="Gedung Menara Prima (rack Colocation di ruang electrical )_x000a_ Jalan Lingkar Mega Kuningan Kav. E 3.2 No. 3 &amp; 4_x000a_ Kompleks Mega Kuningan_x000a_ Jakarta Selatan"/>
    <s v="Sewa Tahunan"/>
    <s v="Colocation"/>
    <s v="ICON-00/SBC/1608/0499"/>
    <m/>
    <m/>
    <m/>
    <m/>
    <m/>
    <n v="32400000"/>
    <m/>
    <m/>
    <n v="21300000"/>
    <m/>
    <d v="2023-12-10T00:00:00"/>
    <d v="2024-12-09T00:00:00"/>
    <x v="0"/>
    <m/>
    <d v="2025-12-24T00:00:00"/>
    <n v="-380"/>
    <n v="12"/>
    <n v="2024"/>
    <s v="1630117/SPR/ICON+/2017 | 011819_MI_1630117_SPR | 07538/SPP/008/PUSAT/ICON+/2017 | 4500010872 | 09759/SPP/008/PUSAT/ICON+/2018 | 4500012277 | 12341/SPP/008/PUSAT/ICON+/2019 | 4500013798 | 14777/SPP/008/PUSAT/ICON+/2020 | 4500015422 | 16994 | 4500017140"/>
    <n v="2087"/>
    <n v="4500022133"/>
    <s v="Fajar Paramita"/>
    <s v="Theo"/>
    <s v="021-5794 8000 ext. 120"/>
    <n v="108"/>
    <s v="B285"/>
    <s v="D60"/>
    <m/>
    <s v="E132"/>
    <s v="E411"/>
    <s v="H22"/>
    <m/>
    <m/>
    <s v="-"/>
  </r>
  <r>
    <n v="1673"/>
    <s v="Yayasan Pendidikan Islam_x000a_ Al - Isti'aanah"/>
    <s v="All Pelanggan Shelter cileungsi"/>
    <s v="Jl. Blok Pandai RT.01/17 Desa Cileungsi Kecamatan Cileungsi Kabupaten Bogor"/>
    <x v="1"/>
    <m/>
    <s v="Desa Cileungsi Bogor"/>
    <s v="Sewa Tahunan"/>
    <s v="Colocation"/>
    <m/>
    <m/>
    <m/>
    <m/>
    <m/>
    <m/>
    <n v="0"/>
    <m/>
    <m/>
    <n v="123059078"/>
    <m/>
    <d v="2024-03-14T00:00:00"/>
    <d v="2029-03-13T00:00:00"/>
    <x v="1"/>
    <m/>
    <d v="2025-12-24T00:00:00"/>
    <n v="1175"/>
    <n v="3"/>
    <n v="2029"/>
    <s v="4500007024 | 10364 | 4500012510"/>
    <s v="-"/>
    <n v="4500022408"/>
    <s v="Fajar Paramita"/>
    <s v="H. Asep Saepudin"/>
    <m/>
    <m/>
    <s v="C58"/>
    <m/>
    <m/>
    <m/>
    <m/>
    <m/>
    <s v="H103"/>
    <m/>
    <s v="Sewa lahan Rp100.000/meter/bulan dan biaya ijin Rp10.000.000,- (OTC)"/>
  </r>
  <r>
    <n v="1674"/>
    <s v="Zainal Johamsa"/>
    <s v="PT. Sumber Mentari Elektrindo"/>
    <s v="Jln Dwikora II 1238"/>
    <x v="0"/>
    <m/>
    <s v="Jl. Pangeran Jayakarta 8 Komplek Artha Center Blok I No.6 /Jl. Pangeran Jayakarta 8 Komplek Artha Center Blok I No.6, Tamansari, Pinangsia, Jakarta"/>
    <s v="Sewa Tahunan"/>
    <s v="Colocation"/>
    <s v="PA/ACT/1911/000485/TER"/>
    <m/>
    <m/>
    <m/>
    <m/>
    <m/>
    <n v="86400000"/>
    <m/>
    <m/>
    <n v="7200000"/>
    <m/>
    <d v="2024-03-16T00:00:00"/>
    <d v="2025-03-15T00:00:00"/>
    <x v="1"/>
    <m/>
    <d v="2025-12-24T00:00:00"/>
    <n v="-284"/>
    <n v="3"/>
    <n v="2025"/>
    <s v="12645/SPP/008/PUSAT/ICON+/2020 | 4500013955| 15536/SPP/008/PUSAT/ICON+/2021| 4500015913 | 18281/SPP/008/PUSAT/ICON+/2022 | 4500017850"/>
    <s v="3079/SPP/SBU/PLNICONPLUS/2024"/>
    <n v="4500022592"/>
    <s v="Fajar Paramita"/>
    <m/>
    <m/>
    <m/>
    <m/>
    <m/>
    <s v="D42"/>
    <s v="E131"/>
    <s v="F129"/>
    <s v="G208"/>
    <s v="H224"/>
    <m/>
    <s v="1.Biaya Sewa Pertahun sebesar Rp.3.000.000,-"/>
  </r>
  <r>
    <n v="1675"/>
    <s v="Zota Indonesia"/>
    <s v="PT. Landmark Conccurent Solusi Indonesia"/>
    <s v="Tebet Raya RT 09/05 45D"/>
    <x v="0"/>
    <m/>
    <s v="Graha Pertamina No 6 RT.6/RW.1, Gambir, Jakarta Pusat, DKI Jakarta, Indonesia, 10110"/>
    <s v="Sewa Tahunan"/>
    <s v="Colocation"/>
    <s v="PA/RLK/2107/0057"/>
    <m/>
    <m/>
    <m/>
    <m/>
    <m/>
    <n v="240000000"/>
    <m/>
    <m/>
    <n v="79200000"/>
    <m/>
    <d v="2023-09-10T00:00:00"/>
    <d v="2024-09-08T00:00:00"/>
    <x v="0"/>
    <m/>
    <d v="2025-12-24T00:00:00"/>
    <n v="-472"/>
    <n v="9"/>
    <n v="2024"/>
    <s v="16627/SPP/008/PUSAT/ICON+/2021|4500016710 | 19562/SPP/008/PUSAT/ICON+/2022 | 4500018692"/>
    <s v="869/SPP/SBU/ICON+/2023_x0009_"/>
    <n v="4500021140"/>
    <s v="Fajar Paramita"/>
    <m/>
    <m/>
    <m/>
    <m/>
    <m/>
    <m/>
    <s v="E265"/>
    <s v="F300"/>
    <s v="G234"/>
    <m/>
    <m/>
    <s v="1.Pembayaran sewa setahun Rp.96.000.000"/>
  </r>
  <r>
    <n v="1676"/>
    <s v="Zota Indonesia"/>
    <s v="PT. Mitra Pajakku"/>
    <s v="Tebet Raya RT 09/05 45D"/>
    <x v="0"/>
    <m/>
    <s v="JL. MEDAN MERDEKA TIM., RT.6/RW.1, GAMBIR, KECAMATAN GAMBIR, KOTA JAKARTA PUSAT, DAERAH KHUSUS IBUKOTA JAKARTA 10110"/>
    <s v="Sewa Tahunan"/>
    <s v="Colocation"/>
    <s v="A111202000736"/>
    <m/>
    <m/>
    <m/>
    <m/>
    <m/>
    <n v="67200000"/>
    <m/>
    <m/>
    <n v="24000000"/>
    <m/>
    <d v="2023-08-15T00:00:00"/>
    <d v="2024-08-14T00:00:00"/>
    <x v="0"/>
    <m/>
    <d v="2025-12-24T00:00:00"/>
    <n v="-497"/>
    <n v="8"/>
    <n v="2024"/>
    <s v="baru"/>
    <s v="1017/SPP/SBU/ICON+/2023"/>
    <n v="4500021040"/>
    <s v="Fajar Paramita"/>
    <m/>
    <m/>
    <m/>
    <m/>
    <m/>
    <m/>
    <m/>
    <m/>
    <s v="G161"/>
    <m/>
    <m/>
    <s v="1.Pembayaran sewa setahun Rp.24.000.000"/>
  </r>
  <r>
    <n v="1677"/>
    <s v="Zota Indonesia"/>
    <s v="PT NTT INDONESIA SOLUTIONS"/>
    <s v="Tebet Raya RT 09/05 45D"/>
    <x v="0"/>
    <m/>
    <s v=" _x000a_PSDC Graha Pertamina, Tower Fastron Lt. 3, MMR-A, Jl. Medan Merdeka Tim., RT.6/RW.1, Gambir"/>
    <s v="Sewa Tahunan"/>
    <s v="Colocation"/>
    <s v="PA/ACT/2302/11050"/>
    <m/>
    <m/>
    <m/>
    <s v="10 Gbps"/>
    <m/>
    <n v="2812500000"/>
    <m/>
    <m/>
    <n v="86400000"/>
    <m/>
    <d v="2023-03-17T00:00:00"/>
    <d v="2024-03-16T00:00:00"/>
    <x v="2"/>
    <m/>
    <d v="2025-12-24T00:00:00"/>
    <n v="-648"/>
    <n v="3"/>
    <n v="2024"/>
    <s v="baru"/>
    <s v="1148/SPP/SBU/ICON+/2023"/>
    <n v="4500021163"/>
    <s v="Fajar Paramita"/>
    <m/>
    <m/>
    <m/>
    <m/>
    <m/>
    <m/>
    <m/>
    <m/>
    <s v="G186"/>
    <m/>
    <m/>
    <s v="1.Pembayaran sewa shaft Rp.86.400.000"/>
  </r>
  <r>
    <n v="1678"/>
    <s v="Cyberindo Aditama "/>
    <s v="PT Bank Syariah Indonesia Tbk"/>
    <s v="Gedung Cyber 2 Tower, Lt 33 Jl. HP Rasuna Said Blok X-5 No. 13 Kuningan Timur Setiabudi Jakarta Selatan 12950"/>
    <x v="0"/>
    <m/>
    <s v="BSI Danareksa Lt.9, Jl Medan Merdeka Sel No.14, Rt.11/Rw.2, Gambir, Kecamatan Gambir, Kota Jakarta Pusat, DKI Jakarta, 10110"/>
    <s v="Sewa Bulanan"/>
    <s v="Interkoneksi"/>
    <s v="A821202000553"/>
    <s v="111202017988"/>
    <n v="0.995"/>
    <s v="Metronet"/>
    <s v="200 Mbps"/>
    <m/>
    <n v="165000000"/>
    <m/>
    <n v="3000000"/>
    <n v="13500000"/>
    <m/>
    <d v="2023-12-01T00:00:00"/>
    <d v="2024-11-30T00:00:00"/>
    <x v="0"/>
    <m/>
    <d v="2025-12-24T00:00:00"/>
    <n v="-389"/>
    <n v="11"/>
    <n v="2024"/>
    <m/>
    <s v="_x0009_1681/SPP/SBU/ICON+/2023"/>
    <n v="4500021535"/>
    <s v="Syifa Artianingsih"/>
    <s v="Candra Viktor"/>
    <s v="0823-6712-1323"/>
    <m/>
    <m/>
    <m/>
    <m/>
    <m/>
    <m/>
    <s v="G296"/>
    <m/>
    <m/>
    <s v="PO Di Upgrade hingga 31 Juli 2025"/>
  </r>
  <r>
    <n v="1679"/>
    <s v="Cablenet Fiber Data "/>
    <s v="PT Sigma Cipta Utama"/>
    <s v="Jl Simprug Garden 1 Blok W No.11 RT.07/RW.03, Grogol Selatan, Kebayoran Lama, Jakarta Selatan, DKI Jakarta, 12220"/>
    <x v="0"/>
    <s v="-"/>
    <s v="Permanent Jalur- Relokasi ke PHE Tower Jl Tb Simatupang No Kav.99 Rt.1/Rw.1, Kebagusan, Ps Minggu, Kota Jakarta Selatan, DKI Jakarta, 12520"/>
    <s v="Sewa Bulanan"/>
    <s v="Interkoneksi"/>
    <s v="R111205002068"/>
    <s v="111205023272/ 01000358131"/>
    <n v="0.995"/>
    <s v="IPVPN"/>
    <s v="50 Mbps"/>
    <m/>
    <n v="206460000"/>
    <m/>
    <m/>
    <n v="43800000"/>
    <m/>
    <d v="2023-12-22T00:00:00"/>
    <d v="2024-12-21T00:00:00"/>
    <x v="2"/>
    <m/>
    <d v="2025-12-24T00:00:00"/>
    <n v="-368"/>
    <n v="12"/>
    <n v="2024"/>
    <m/>
    <n v="2329"/>
    <n v="4500021947"/>
    <s v="Syifa Artianingsih"/>
    <s v=" Nadya"/>
    <s v="0899-6319-035"/>
    <m/>
    <m/>
    <m/>
    <m/>
    <m/>
    <m/>
    <s v="G401"/>
    <m/>
    <m/>
    <s v="Biaya OTC Rp 4.000.000"/>
  </r>
  <r>
    <n v="1680"/>
    <s v="Cablenet Fiber Data "/>
    <s v="PT Kideco Jaya Agung"/>
    <s v="Jl Simprug Garden 1 Blok W No.11 RT.07/RW.03, Grogol Selatan, Kebayoran Lama, Jakarta Selatan, DKI Jakarta, 12220"/>
    <x v="0"/>
    <s v="-"/>
    <s v="Gedung Graha Mitra Lt.1, Jl Jendral Gatot Subroto Kav 21, Karet, Semanggi, Jakarta Selatan, DKI Jakarta, Indonesia"/>
    <s v="Sewa Bulanan"/>
    <s v="Interkoneksi"/>
    <s v="R311303000291"/>
    <s v="310130300670/ 04000139224"/>
    <n v="0.995"/>
    <s v="Internet Corporate"/>
    <s v="50 Mbps"/>
    <m/>
    <n v="300000000"/>
    <m/>
    <m/>
    <n v="42000000"/>
    <m/>
    <d v="2023-12-02T00:00:00"/>
    <d v="2024-12-01T00:00:00"/>
    <x v="0"/>
    <m/>
    <d v="2025-12-24T00:00:00"/>
    <n v="-388"/>
    <n v="12"/>
    <n v="2024"/>
    <m/>
    <s v="2151/SPP/SBU/ICON+/2023"/>
    <n v="4500021840"/>
    <s v="Syifa Artianingsih"/>
    <s v=" Nadya"/>
    <s v="0899-6319-035"/>
    <m/>
    <m/>
    <m/>
    <m/>
    <m/>
    <m/>
    <s v="G402"/>
    <m/>
    <m/>
    <s v="-"/>
  </r>
  <r>
    <n v="1681"/>
    <s v="Cablenet Fiber Data "/>
    <s v="PT Kideco Jaya Agung"/>
    <s v="Jl Simprug Garden 1 Blok W No.11 RT.07/RW.03, Grogol Selatan, Kebayoran Lama, Jakarta Selatan, DKI Jakarta, 12220"/>
    <x v="0"/>
    <s v="-"/>
    <s v="Gedung Graha Mitra Lt.1, Jl Jendral Gatot Subroto Kav 22, Karet, Semanggi, Jakarta Selatan, DKI Jakarta, Indonesia"/>
    <s v="Sewa Bulanan"/>
    <s v="Interkoneksi"/>
    <s v="R311202000311"/>
    <s v="310120201248/ 01000139233"/>
    <n v="0.995"/>
    <s v="Metronet"/>
    <s v="30 Mbps"/>
    <m/>
    <n v="240000000"/>
    <m/>
    <m/>
    <n v="25800000"/>
    <m/>
    <d v="2023-12-02T00:00:00"/>
    <d v="2024-12-01T00:00:00"/>
    <x v="0"/>
    <m/>
    <d v="2025-12-24T00:00:00"/>
    <n v="-388"/>
    <n v="12"/>
    <n v="2024"/>
    <m/>
    <s v="2151/SPP/SBU/ICON+/2023"/>
    <n v="4500021840"/>
    <s v="Syifa Artianingsih"/>
    <m/>
    <m/>
    <m/>
    <m/>
    <m/>
    <m/>
    <m/>
    <m/>
    <m/>
    <m/>
    <m/>
    <s v="-"/>
  </r>
  <r>
    <n v="1682"/>
    <s v="Cablenet Fiber Data "/>
    <s v="PT Mastersystem Infotama"/>
    <s v="Jl Simprug Garden 1 Blok W No.11 RT.07/RW.03, Grogol Selatan, Kebayoran Lama, Jakarta Selatan, DKI Jakarta, 12220"/>
    <x v="0"/>
    <s v="-"/>
    <s v="Gedung PHE Tower, Jl Tb Simatupang No Kav 99, Kebagusan, Pasar Minggu, Jakarta Selatan"/>
    <s v="Sewa Bulanan"/>
    <s v="Interkoneksi"/>
    <s v="A811303000060"/>
    <s v="111303010621"/>
    <n v="0.995"/>
    <s v="Internet Corporate"/>
    <s v="300 Mbps"/>
    <m/>
    <n v="371679600"/>
    <m/>
    <m/>
    <n v="108000000"/>
    <m/>
    <d v="2023-11-29T00:00:00"/>
    <d v="2024-11-28T00:00:00"/>
    <x v="0"/>
    <m/>
    <d v="2025-12-24T00:00:00"/>
    <n v="-391"/>
    <n v="11"/>
    <n v="2024"/>
    <m/>
    <n v="1437"/>
    <n v="4500021342"/>
    <s v="Syifa Artianingsih"/>
    <s v=" Nadya"/>
    <s v="0899-6319-035"/>
    <m/>
    <m/>
    <m/>
    <m/>
    <m/>
    <m/>
    <s v="G403"/>
    <m/>
    <m/>
    <s v="Biaya OTC Rp 4.000.000"/>
  </r>
  <r>
    <n v="1683"/>
    <s v="Cablenet Fiber Data "/>
    <s v="PT Mastersystem Infotama"/>
    <s v="Jl Simprug Garden 1 Blok W No.11 RT.07/RW.03, Grogol Selatan, Kebayoran Lama, Jakarta Selatan, DKI Jakarta, 12220"/>
    <x v="0"/>
    <s v="-"/>
    <s v="Gedung RDTX, Jl Prof Dr Satrio Kav E-IV No.6, Jl Kuningan Barat Raya No.2, Rt.5, Kuningan, Kuningan Timur, Kec Setiabudi, Jakarta Selatan, DKI Jakarta "/>
    <s v="Sewa Bulanan"/>
    <s v="Interkoneksi"/>
    <s v="A811303000059"/>
    <s v="111303010622"/>
    <n v="0.995"/>
    <s v="Internet Corporate"/>
    <s v="50 Mbps"/>
    <m/>
    <n v="160377600"/>
    <m/>
    <n v="4000000"/>
    <n v="48000000"/>
    <m/>
    <d v="2023-12-14T00:00:00"/>
    <d v="2024-12-13T00:00:00"/>
    <x v="0"/>
    <m/>
    <d v="2025-12-24T00:00:00"/>
    <n v="-376"/>
    <n v="12"/>
    <n v="2024"/>
    <m/>
    <n v="1753"/>
    <n v="4500021579"/>
    <s v="Syifa Artianingsih"/>
    <s v=" Nadya"/>
    <s v="0899-6319-035"/>
    <m/>
    <m/>
    <m/>
    <m/>
    <m/>
    <m/>
    <s v="G413"/>
    <m/>
    <m/>
    <m/>
  </r>
  <r>
    <n v="1684"/>
    <s v="Cablenet Fiber Data "/>
    <s v="PT Mastersystem Infotama"/>
    <s v="Jl Simprug Garden 1 Blok W No.11 RT.07/RW.03, Grogol Selatan, Kebayoran Lama, Jakarta Selatan, DKI Jakarta, 12220"/>
    <x v="0"/>
    <m/>
    <s v="Gedung RDTX, Jl Prof Dr Satrio Kav E-IV No.6, Jl Kuningan Barat Raya No.2, Rt.5, Kuningan, Kuningan Timur, Kec Setiabudi, Jakarta Selatan, DKI Jakarta "/>
    <s v="Sewa Bulanan"/>
    <s v="Colocation"/>
    <s v="A811303000059"/>
    <s v="111303010622"/>
    <n v="0.995"/>
    <s v="Internet Corporate"/>
    <m/>
    <m/>
    <m/>
    <m/>
    <m/>
    <n v="36000000"/>
    <m/>
    <d v="2023-11-03T00:00:00"/>
    <d v="2024-11-02T00:00:00"/>
    <x v="0"/>
    <m/>
    <d v="2025-12-24T00:00:00"/>
    <n v="-417"/>
    <n v="11"/>
    <n v="2024"/>
    <m/>
    <n v="1753"/>
    <n v="4500021579"/>
    <s v="Fajar Paramita"/>
    <m/>
    <m/>
    <m/>
    <m/>
    <m/>
    <m/>
    <m/>
    <m/>
    <m/>
    <m/>
    <m/>
    <s v="Biaya Collocation"/>
  </r>
  <r>
    <n v="1685"/>
    <s v="PGAS Telekomunikasi Nusantara "/>
    <s v="PT Chandra Asri Petrochemical Tbk"/>
    <s v="Gedung B Lantai 3 Komplek PT. PGN (Persero) Tbk, Jl. KH Zainul Arifin, No 20, Jakarta Barat, 11140"/>
    <x v="0"/>
    <s v="Wisma Barito Pacific"/>
    <s v="PT Chandra Asri Petrochemical Anyer Cilegon"/>
    <s v="Sewa Bulanan"/>
    <s v="Interkoneksi"/>
    <s v="A821303000583"/>
    <s v="111202018274"/>
    <n v="0.99"/>
    <s v="Metronet"/>
    <s v="10 Mbps"/>
    <m/>
    <n v="63000000"/>
    <m/>
    <m/>
    <n v="36000000"/>
    <m/>
    <d v="2023-11-15T00:00:00"/>
    <d v="2024-11-14T00:00:00"/>
    <x v="0"/>
    <m/>
    <d v="2025-12-24T00:00:00"/>
    <n v="-405"/>
    <n v="11"/>
    <n v="2024"/>
    <m/>
    <s v="1987/SPP/SBU/ICON+/2023"/>
    <n v="4500021795"/>
    <s v="Syifa Artianingsih"/>
    <s v="Ivan"/>
    <s v="0812-8324-4480"/>
    <m/>
    <m/>
    <m/>
    <m/>
    <m/>
    <m/>
    <n v="398"/>
    <m/>
    <m/>
    <m/>
  </r>
  <r>
    <n v="1686"/>
    <s v="PGAS Telekomunikasi Nusantara "/>
    <s v="PT Chandra Asri Petrochemical Tbk"/>
    <s v="Gedung B Lantai 3 Komplek PT. PGN (Persero) Tbk, Jl. KH Zainul Arifin, No 20, Jakarta Barat, 11140"/>
    <x v="0"/>
    <s v="Wisma Barito Pacific"/>
    <s v="PT Chandra Asri Petrochemical Anyer Cilegon"/>
    <s v="Sewa Bulanan"/>
    <s v="Interkoneksi"/>
    <s v="A821303000582"/>
    <s v="111202018273"/>
    <n v="0.99"/>
    <s v="Metronet"/>
    <s v="30 Mbps"/>
    <m/>
    <n v="96000000"/>
    <m/>
    <m/>
    <n v="48000000"/>
    <m/>
    <d v="2023-11-15T00:00:00"/>
    <d v="2024-11-14T00:00:00"/>
    <x v="0"/>
    <m/>
    <d v="2025-12-24T00:00:00"/>
    <n v="-405"/>
    <n v="11"/>
    <n v="2024"/>
    <m/>
    <s v="1987/SPP/SBU/ICON+/2023"/>
    <n v="4500021795"/>
    <s v="Syifa Artianingsih"/>
    <s v="Ivan"/>
    <s v="0812-8324-4480"/>
    <m/>
    <m/>
    <m/>
    <m/>
    <m/>
    <m/>
    <n v="398"/>
    <m/>
    <m/>
    <m/>
  </r>
  <r>
    <n v="1687"/>
    <s v="PGAS Telekomunikasi Nusantara "/>
    <s v="PT Chandra Asri Petrochemical Tbk"/>
    <s v="Gedung B Lantai 3 Komplek PT. PGN (Persero) Tbk, Jl. KH Zainul Arifin, No 20, Jakarta Barat, 11140"/>
    <x v="0"/>
    <s v="Wisma Barito Pacific"/>
    <s v="PT Chandra Asri Petrochemical Anyer Cilegon"/>
    <s v="Sewa Bulanan"/>
    <s v="Interkoneksi"/>
    <s v="A821303000244"/>
    <s v="111303011048"/>
    <n v="0.99"/>
    <s v="Metronet"/>
    <s v="150 Mbps"/>
    <m/>
    <n v="148200000"/>
    <m/>
    <n v="10000000"/>
    <n v="84000000"/>
    <m/>
    <d v="2023-11-15T00:00:00"/>
    <d v="2024-11-14T00:00:00"/>
    <x v="0"/>
    <m/>
    <d v="2025-12-24T00:00:00"/>
    <n v="-405"/>
    <n v="11"/>
    <n v="2024"/>
    <m/>
    <s v="1987/SPP/SBU/ICON+/2023"/>
    <n v="4500021795"/>
    <s v="Syifa Artianingsih"/>
    <s v="Ivan"/>
    <s v="0812-8324-4480"/>
    <m/>
    <m/>
    <m/>
    <m/>
    <m/>
    <m/>
    <n v="398"/>
    <m/>
    <m/>
    <m/>
  </r>
  <r>
    <n v="1688"/>
    <s v="Link Net "/>
    <s v="PT Praweda Sarana Informatika"/>
    <s v="Centennial Tower 26th Floor, Unit D Jl. Gatot Subroto Kav 24-25 Jakarta 12950"/>
    <x v="0"/>
    <s v="IDC D3 NNI Link Net"/>
    <s v="PT Samudera Logistics Service, Jl Waru Blok F2 No.5 Lippo Cikarang, Cikarang, Indonesia"/>
    <s v="Sewa Bulanan"/>
    <s v="Interkoneksi"/>
    <s v="A821303000225"/>
    <s v="111303010977"/>
    <n v="0.995"/>
    <s v="Internet Corporate  "/>
    <s v="75 Mbps"/>
    <m/>
    <n v="149000000"/>
    <m/>
    <n v="5000000"/>
    <n v="114000000"/>
    <m/>
    <d v="2023-10-31T00:00:00"/>
    <d v="2024-10-30T00:00:00"/>
    <x v="0"/>
    <m/>
    <d v="2025-12-24T00:00:00"/>
    <n v="-420"/>
    <n v="10"/>
    <n v="2024"/>
    <m/>
    <s v="1608/SPP/SBU/ICON+/2023"/>
    <n v="4500021655"/>
    <s v="Syifa Artianingsih"/>
    <s v="Bunga"/>
    <s v="0812-8990-0771"/>
    <m/>
    <m/>
    <m/>
    <m/>
    <m/>
    <m/>
    <s v="G399"/>
    <m/>
    <m/>
    <m/>
  </r>
  <r>
    <n v="1689"/>
    <s v="Telnusa Intrakom "/>
    <s v="PT Mastersystem Infotama"/>
    <s v="Ruko Puri Sentra Niaga Blok B 40/50"/>
    <x v="0"/>
    <s v="-"/>
    <s v="Pulau Pabelokan PHE Offshore, Land Point Lontar CRS"/>
    <s v="Sewa Bulanan"/>
    <s v="Interkoneksi"/>
    <s v="A811303000117"/>
    <s v="111303010827"/>
    <n v="0.995"/>
    <s v="Internet Corporate  "/>
    <s v="50 Mbps"/>
    <n v="30000000"/>
    <n v="300000000"/>
    <m/>
    <n v="45000000"/>
    <n v="264000000"/>
    <m/>
    <d v="2023-11-07T00:00:00"/>
    <d v="2024-11-06T00:00:00"/>
    <x v="0"/>
    <m/>
    <d v="2025-12-24T00:00:00"/>
    <n v="-413"/>
    <n v="11"/>
    <n v="2024"/>
    <m/>
    <s v="1551/SPP/SBU/ICON+/2023"/>
    <n v="4500021777"/>
    <s v="Syifa Artianingsih"/>
    <s v="Hendra"/>
    <s v="0811-1805-557"/>
    <m/>
    <m/>
    <m/>
    <m/>
    <m/>
    <m/>
    <s v="G400"/>
    <m/>
    <m/>
    <s v="PO Upgrade"/>
  </r>
  <r>
    <n v="1690"/>
    <s v="Envision "/>
    <s v="PT Pelayaran Bahtera Adhiguna"/>
    <s v="Gandaria 8 Office Tower, Lantai 6 - Unit H Jl. Sultan Iskandar Muda, Kebayoran Lama Utara, Jakarta Selatan 12240"/>
    <x v="0"/>
    <s v="IDC 3D, Jl Duren Tiga Raya No.7, Rt.9/Rw.5, Duren Tiga"/>
    <s v="Gedung Prudential Center, Lt.11 Unit A B C D E, Kota Kasablanca"/>
    <s v="Sewa Bulanan"/>
    <s v="Interkoneksi"/>
    <s v="A831205000546"/>
    <s v="111205024274"/>
    <s v="99,8%"/>
    <s v="IPVPN"/>
    <s v="10 Mbps"/>
    <m/>
    <n v="54366126"/>
    <m/>
    <m/>
    <n v="46731300"/>
    <m/>
    <d v="2023-11-21T00:00:00"/>
    <d v="2024-11-20T00:00:00"/>
    <x v="0"/>
    <m/>
    <d v="2025-12-24T00:00:00"/>
    <n v="-399"/>
    <n v="11"/>
    <n v="2024"/>
    <m/>
    <s v="2095/SPP/SBU/ICON+/2023"/>
    <n v="4500022070"/>
    <s v="Syifa Artianingsih"/>
    <s v="Irvan"/>
    <s v="0822-9957-7830"/>
    <m/>
    <m/>
    <m/>
    <m/>
    <m/>
    <m/>
    <s v="G410"/>
    <m/>
    <m/>
    <m/>
  </r>
  <r>
    <n v="1691"/>
    <s v="Supra Primatama Nusantara "/>
    <s v="PT Global Infotech Solutions"/>
    <s v="MidPlaza 2 Lantai 8 Jl. Jend Sudirman Kav 10 -11"/>
    <x v="0"/>
    <s v="-"/>
    <s v="PT Autocomp System Indonesia Gd Mid Plaza 2 Lt.10. Jl Jend Sudirman Kav 10.11.Jakpus"/>
    <s v="Sewa Bulanan"/>
    <s v="Interkoneksi"/>
    <s v="A821205000242"/>
    <s v="111205024322"/>
    <n v="0.998"/>
    <s v="IPVPN"/>
    <s v="20 Mbps"/>
    <m/>
    <n v="192000000"/>
    <m/>
    <n v="5000000"/>
    <n v="120000000"/>
    <m/>
    <d v="2023-11-24T00:00:00"/>
    <d v="2024-11-23T00:00:00"/>
    <x v="0"/>
    <m/>
    <d v="2025-12-24T00:00:00"/>
    <n v="-396"/>
    <n v="11"/>
    <n v="2024"/>
    <m/>
    <s v="2096/SPP/SBU/ICON+/2023"/>
    <n v="4500021796"/>
    <s v="Syifa Artianingsih"/>
    <s v="Rurry"/>
    <s v="0878-7311-3027"/>
    <m/>
    <m/>
    <m/>
    <m/>
    <m/>
    <m/>
    <n v="409"/>
    <m/>
    <m/>
    <m/>
  </r>
  <r>
    <n v="1692"/>
    <s v="Pusat Pengelolaan Komplek Kemayoran"/>
    <s v="PT PLN (PERSERO) KANTOR PUSAT"/>
    <s v="Jl. Angkasa (Eks Gedung ADPEL Kemayoran Jakarta 10610"/>
    <x v="0"/>
    <s v="[UID JAYA - UP2D] [UP3 BANDENGAN]"/>
    <s v="GH0307"/>
    <s v="Sewa Tahunan"/>
    <s v="Colocation"/>
    <s v="A831205000113 / 8323070400011"/>
    <m/>
    <m/>
    <m/>
    <m/>
    <m/>
    <n v="35402400"/>
    <m/>
    <m/>
    <n v="21210000"/>
    <m/>
    <d v="2024-01-15T00:00:00"/>
    <d v="2024-07-14T00:00:00"/>
    <x v="0"/>
    <m/>
    <d v="2025-12-24T00:00:00"/>
    <n v="-528"/>
    <n v="7"/>
    <n v="2024"/>
    <n v="482629"/>
    <n v="2514"/>
    <n v="4500022195"/>
    <s v="Fajar Paramita"/>
    <s v="Febri"/>
    <s v="021-4207688"/>
    <m/>
    <m/>
    <m/>
    <m/>
    <m/>
    <m/>
    <m/>
    <s v="H3"/>
    <m/>
    <s v="Konfirmais sales "/>
  </r>
  <r>
    <n v="1693"/>
    <s v="CBN Nusantara "/>
    <s v="PT Transportasi Gas Indonesia"/>
    <s v="JL.Rasuna Said Blok X5 13 Jakarta"/>
    <x v="0"/>
    <s v="-"/>
    <s v="NEW BACKHAUL DC TGI- NEX NEX DC NOMOR NF3-01-03:, GED._x000a_CYBER 2 -JL. H. R. RASUNA SAID NO.13, RT.7/RW.2, KUNINGAN,_x000a_KECAMATAN SETIABUDI, KOTA JAKARTA"/>
    <s v="Sewa Tahunan"/>
    <s v="Cross Connect"/>
    <s v="R111202002315"/>
    <m/>
    <m/>
    <m/>
    <m/>
    <m/>
    <n v="96000000"/>
    <m/>
    <m/>
    <n v="8000000"/>
    <m/>
    <d v="2023-12-07T00:00:00"/>
    <d v="2024-12-06T00:00:00"/>
    <x v="0"/>
    <m/>
    <d v="2025-12-24T00:00:00"/>
    <n v="-383"/>
    <n v="12"/>
    <n v="2024"/>
    <s v="baru"/>
    <n v="2236"/>
    <n v="4500021978"/>
    <s v="Fajar Paramita"/>
    <s v="Erni Monalena / Helvi Susanti"/>
    <s v="0856-93221320 "/>
    <m/>
    <m/>
    <m/>
    <m/>
    <m/>
    <m/>
    <s v="G364"/>
    <m/>
    <m/>
    <m/>
  </r>
  <r>
    <n v="1694"/>
    <s v="Infrastruktur Cakrawala Telekomunikasi"/>
    <s v="PT. Genero Pharmaceuticals"/>
    <s v="WTP Building Jl.Jababeka IV Blok B No.12 Cikarang"/>
    <x v="0"/>
    <s v="-"/>
    <s v="Genero HH, Jl. Industri Selatan 1B Blok HH No. 1-4, Kawasan Industri Jababeka 2,_x000a_Cikarang - Bekasi 17550, -, -, -, Indonesia"/>
    <s v="Sewa Tahunan"/>
    <s v="Cross Connect"/>
    <s v="U111303001425"/>
    <m/>
    <m/>
    <m/>
    <m/>
    <m/>
    <n v="66000000"/>
    <m/>
    <m/>
    <n v="18777061"/>
    <m/>
    <d v="2023-10-05T00:00:00"/>
    <d v="2024-09-30T00:00:00"/>
    <x v="0"/>
    <m/>
    <d v="2025-12-24T00:00:00"/>
    <n v="-450"/>
    <n v="9"/>
    <n v="2024"/>
    <s v="baru"/>
    <n v="2239"/>
    <n v="4500022129"/>
    <s v="Fajar Paramita"/>
    <s v="anggun"/>
    <m/>
    <m/>
    <m/>
    <m/>
    <m/>
    <m/>
    <m/>
    <m/>
    <s v="H75"/>
    <m/>
    <m/>
  </r>
  <r>
    <n v="1695"/>
    <s v="Media Nusantara Data Global"/>
    <s v="PT. LINTAS JARINGAN NUSANTARA"/>
    <s v="Jl. Kuningan Barat No. 8 Cyber Building 1st &amp; 2nd Jakarta Selatan 12710"/>
    <x v="0"/>
    <s v="Cyber 1 Kuningan APJII "/>
    <s v="KP. WULANGSARI RT/RW 006/003 DESA MALINGPING UTARA_x000a_KEC. MALINGPING KAB. LEBAK PROV. BANTEN "/>
    <s v="Sewa Tahunan"/>
    <s v="Cross Connect"/>
    <s v="A821204000048"/>
    <m/>
    <m/>
    <m/>
    <m/>
    <m/>
    <n v="156000000"/>
    <m/>
    <m/>
    <n v="18000000"/>
    <m/>
    <d v="2023-12-28T00:00:00"/>
    <d v="2024-12-27T00:00:00"/>
    <x v="0"/>
    <m/>
    <d v="2025-12-24T00:00:00"/>
    <n v="-362"/>
    <n v="12"/>
    <n v="2024"/>
    <s v="baru"/>
    <n v="1984"/>
    <n v="4500022131"/>
    <s v="Fajar Paramita"/>
    <s v="ira"/>
    <s v="0819-3243-0596"/>
    <m/>
    <m/>
    <m/>
    <m/>
    <m/>
    <m/>
    <m/>
    <s v="H7"/>
    <m/>
    <s v="OTC Rp.1.500.000"/>
  </r>
  <r>
    <n v="1696"/>
    <s v="Samudera Data Indonesia"/>
    <s v="PT China Telecom Indonesia"/>
    <s v="Gedung Cyber 1 No.8"/>
    <x v="0"/>
    <s v="SDI DC, CYBER 1, LEVEL 3,_x000a_RACK 93, JAKARTA"/>
    <s v="PT CHINA TELECOM INDONESIA, WISMA 46 – KOTA BNI, LT_x000a_17, SUITE 1712-1713, JL JEND. SUDIRMAN KAV. 1, JAKARTA_x000a_10220"/>
    <s v="Sewa Tahunan"/>
    <s v="Cross Connect"/>
    <s v="A821202000812 "/>
    <m/>
    <m/>
    <m/>
    <m/>
    <m/>
    <n v="126108000"/>
    <m/>
    <m/>
    <n v="18000000"/>
    <m/>
    <d v="2024-01-11T00:00:00"/>
    <d v="2025-01-10T00:00:00"/>
    <x v="2"/>
    <m/>
    <d v="2025-12-24T00:00:00"/>
    <n v="-348"/>
    <n v="1"/>
    <n v="2025"/>
    <s v="baru"/>
    <n v="2453"/>
    <n v="4500022176"/>
    <s v="Livia Indraswati"/>
    <m/>
    <m/>
    <m/>
    <m/>
    <m/>
    <m/>
    <m/>
    <m/>
    <m/>
    <s v="H6"/>
    <m/>
    <m/>
  </r>
  <r>
    <n v="1697"/>
    <s v="Lahan Berikat Nusantara"/>
    <s v="PT Mastersystem Infotama "/>
    <s v="Lahan Berikat Nusantara SBU Lahan Tanjung Proik Marunda"/>
    <x v="0"/>
    <s v="-"/>
    <s v="MARUNDA JETTY, JL. MARUNDA 1 NO.5, RT.1/RW.7, CILINCING, KEC. CILINCING, JKT UTARA, DAERAH KHUSUS IBUKOTA_x000a_JAKARTA"/>
    <s v="Sewa Tahunan"/>
    <s v="Colocation"/>
    <s v="A811303000054"/>
    <m/>
    <m/>
    <m/>
    <m/>
    <m/>
    <n v="907551600"/>
    <m/>
    <m/>
    <n v="20671878"/>
    <m/>
    <d v="2024-01-22T00:00:00"/>
    <d v="2024-07-21T00:00:00"/>
    <x v="0"/>
    <m/>
    <d v="2025-12-24T00:00:00"/>
    <n v="-521"/>
    <n v="7"/>
    <n v="2024"/>
    <s v="baru"/>
    <n v="2330"/>
    <n v="4500022106"/>
    <s v="Livia Indraswati"/>
    <s v="Mulyana "/>
    <m/>
    <m/>
    <m/>
    <m/>
    <m/>
    <m/>
    <m/>
    <s v="G372"/>
    <m/>
    <m/>
    <m/>
  </r>
  <r>
    <n v="1698"/>
    <s v="Infrastruktur Cakrawala Telekomunikasi"/>
    <s v="PT Hipernet Indodata"/>
    <s v="WTP Building Jl.Jababeka IV Blok B No.12 Cikarang"/>
    <x v="0"/>
    <s v="-"/>
    <s v="PT Sika Indonesia Cikarang, Jl.Jababeka V Blok I/1 Cikarang_x000a_Industrial, Estate Bekasi 17530 Indonesia, Bekasi , Jawa_x000a_Barat"/>
    <s v="Sewa Tahunan"/>
    <s v="Cross Connect"/>
    <s v="A821202000604 "/>
    <m/>
    <m/>
    <m/>
    <m/>
    <m/>
    <n v="878400000"/>
    <m/>
    <m/>
    <n v="39523245"/>
    <m/>
    <d v="2023-11-08T00:00:00"/>
    <d v="2024-09-30T00:00:00"/>
    <x v="0"/>
    <m/>
    <d v="2025-12-24T00:00:00"/>
    <n v="-450"/>
    <n v="9"/>
    <n v="2024"/>
    <s v="baru"/>
    <n v="1431"/>
    <n v="45000217732"/>
    <s v="Fajar Paramita"/>
    <s v="anggun"/>
    <m/>
    <m/>
    <m/>
    <m/>
    <m/>
    <m/>
    <m/>
    <s v="G304"/>
    <m/>
    <m/>
    <m/>
  </r>
  <r>
    <n v="1699"/>
    <s v="Infrastruktur Cakrawala Telekomunikasi"/>
    <s v="PT Rudolf Chemicals Indonesia"/>
    <s v="WTP Building Jl.Jababeka IV Blok B No.12 Cikarang"/>
    <x v="0"/>
    <s v="-"/>
    <s v="PT. RUDOLF CHEMICALS INDONESIA JABABEKA 1, KAV.K2FGH,_x000a_WANGUNHARJA, CIKARANG UTARA, BEKASI REGENCY, WEST JAVA_x000a_17530"/>
    <s v="Sewa Tahunan"/>
    <s v="Cross Connect"/>
    <s v="R111303001609"/>
    <m/>
    <m/>
    <m/>
    <m/>
    <m/>
    <n v="108000000"/>
    <m/>
    <m/>
    <n v="25851406"/>
    <m/>
    <d v="2024-09-06T00:00:00"/>
    <d v="2024-09-30T00:00:00"/>
    <x v="0"/>
    <m/>
    <d v="2025-12-24T00:00:00"/>
    <n v="-450"/>
    <n v="9"/>
    <n v="2024"/>
    <s v="baru"/>
    <n v="1756"/>
    <n v="4500022095"/>
    <s v="Fajar Paramita"/>
    <s v="anggun"/>
    <m/>
    <m/>
    <m/>
    <m/>
    <m/>
    <m/>
    <m/>
    <s v="G305"/>
    <m/>
    <m/>
    <m/>
  </r>
  <r>
    <n v="1700"/>
    <s v="Infrastruktur Cakrawala Telekomunikasi"/>
    <s v="PT Kereta Api Indonesia"/>
    <s v="WTP Building Jl.Jababeka IV Blok B No.12 Cikarang"/>
    <x v="0"/>
    <s v="-"/>
    <s v="CIKARANG DRY PORT - Jl. Dry Port Raya, Tanjungsari, Kec. Cikarang_x000a_Utara, Kabupaten Bekasi, Jawa Barat 17550"/>
    <s v="Sewa Tahunan"/>
    <s v="Cross Connect"/>
    <s v="A121303000219"/>
    <m/>
    <m/>
    <m/>
    <m/>
    <m/>
    <n v="18600000"/>
    <m/>
    <m/>
    <n v="7284340"/>
    <m/>
    <d v="2023-12-20T00:00:00"/>
    <d v="2024-09-30T00:00:00"/>
    <x v="0"/>
    <m/>
    <d v="2025-12-24T00:00:00"/>
    <n v="-450"/>
    <n v="9"/>
    <n v="2024"/>
    <s v="baru"/>
    <n v="1872"/>
    <n v="4500022130"/>
    <s v="Fajar Paramita"/>
    <s v="anggun"/>
    <m/>
    <m/>
    <m/>
    <m/>
    <m/>
    <m/>
    <m/>
    <s v="G367"/>
    <m/>
    <m/>
    <m/>
  </r>
  <r>
    <n v="1701"/>
    <s v="Infrastruktur Cakrawala Telekomunikasi"/>
    <s v="PT Sumber Cipta Multiniaga"/>
    <s v="WTP Building Jl.Jababeka IV Blok B No.12 Cikarang"/>
    <x v="0"/>
    <s v="-"/>
    <s v="PT. SUMBER CIPTA MULTINIAGA - (RELOKASI ALAMAT DSO CIKARANG) JL. INDUSTRI UTAMA, KAWASAN INDUSTRI JABABEKA II"/>
    <s v="Sewa Tahunan"/>
    <s v="Cross Connect"/>
    <s v="U131202000306 / 1323082000037"/>
    <m/>
    <m/>
    <m/>
    <m/>
    <m/>
    <n v="56400000"/>
    <m/>
    <m/>
    <n v="1240978"/>
    <m/>
    <d v="2023-09-02T00:00:00"/>
    <d v="2023-09-30T00:00:00"/>
    <x v="0"/>
    <m/>
    <d v="2025-12-24T00:00:00"/>
    <n v="-816"/>
    <n v="9"/>
    <n v="2023"/>
    <s v="baru"/>
    <n v="1288"/>
    <n v="4500021284"/>
    <s v="Fajar Paramita"/>
    <s v="anggun"/>
    <m/>
    <m/>
    <m/>
    <m/>
    <m/>
    <m/>
    <m/>
    <s v="G265"/>
    <m/>
    <m/>
    <m/>
  </r>
  <r>
    <n v="1702"/>
    <s v="Duta Pertiwi "/>
    <s v="PT Trans Rekreasindo"/>
    <s v="ITC Cempaka Mas Mega Grosir Lt. 5 Jl. Letjen Suprapto kav. 1 Jakarta 10640"/>
    <x v="0"/>
    <m/>
    <s v="(Ruang Server) ITC Cempaka Mas, Jl. Cemp. Mas Tim No. 586, RW.8, Sumur Batu, Kemayoran, Jakpus, Indonesia"/>
    <s v="Sewa Tahunan"/>
    <s v="Colocation"/>
    <s v="A821205000242"/>
    <m/>
    <m/>
    <m/>
    <m/>
    <m/>
    <n v="142500000"/>
    <m/>
    <m/>
    <n v="40000000"/>
    <m/>
    <d v="2023-08-27T00:00:00"/>
    <d v="2024-08-26T00:00:00"/>
    <x v="0"/>
    <m/>
    <d v="2025-12-24T00:00:00"/>
    <n v="-485"/>
    <n v="8"/>
    <n v="2024"/>
    <s v="baru"/>
    <n v="2460"/>
    <n v="4500022149"/>
    <s v="Syifa Fauziyah"/>
    <m/>
    <m/>
    <m/>
    <m/>
    <m/>
    <m/>
    <m/>
    <m/>
    <s v="G368"/>
    <m/>
    <m/>
    <m/>
  </r>
  <r>
    <n v="1703"/>
    <s v="Agung Sedayu Propertindo / Badan Pengelola Harco Mangga Dua"/>
    <s v="PLN DISJAYA - [UP3 BANDENGAN] "/>
    <s v="Gedung Pusat Komputer dan Elektronik Lt. Basement Jl. Mangga Dua Raya Jakarta 10730"/>
    <x v="0"/>
    <s v="-"/>
    <s v="PLN DISJAYA - [UP3 BANDENGAN] GH0226 "/>
    <s v="Sewa Tahunan"/>
    <s v="Colocation"/>
    <s v="A831205000116"/>
    <m/>
    <m/>
    <m/>
    <m/>
    <m/>
    <n v="35402400"/>
    <m/>
    <m/>
    <n v="20000000"/>
    <m/>
    <d v="2024-02-01T00:00:00"/>
    <d v="2025-01-31T00:00:00"/>
    <x v="0"/>
    <m/>
    <d v="2025-12-24T00:00:00"/>
    <n v="-327"/>
    <n v="1"/>
    <n v="2025"/>
    <s v="baru"/>
    <n v="1759"/>
    <n v="4500021644"/>
    <s v="Fajar Paramita"/>
    <s v="Fika Ririn"/>
    <s v="021-6129329-30-31"/>
    <m/>
    <m/>
    <m/>
    <m/>
    <m/>
    <m/>
    <m/>
    <s v="H32"/>
    <m/>
    <m/>
  </r>
  <r>
    <n v="1704"/>
    <s v="Jekael Invesco "/>
    <s v="PT Indonesia Comnets Plus"/>
    <s v="Gedung menara Selatan Lt.9 Jl. Jend. Gatot Subroto No. 38 Jakarta 12712"/>
    <x v="0"/>
    <m/>
    <s v="Lantai Basement 1 ke Lantai 20 Menara Selatan (Link Backup Ruang Direksi)"/>
    <s v="Sewa Tahunan"/>
    <s v="Colocation"/>
    <s v="A911303000010"/>
    <m/>
    <m/>
    <m/>
    <m/>
    <m/>
    <s v="-"/>
    <m/>
    <m/>
    <n v="5000000"/>
    <m/>
    <d v="2024-02-25T00:00:00"/>
    <d v="2025-02-24T00:00:00"/>
    <x v="0"/>
    <m/>
    <d v="2025-12-24T00:00:00"/>
    <n v="-303"/>
    <n v="2"/>
    <n v="2025"/>
    <m/>
    <n v="2901"/>
    <n v="4500022368"/>
    <s v="Fajar Paramita"/>
    <s v="Puty"/>
    <s v="021-5279317_x000a_ 021-52961504_x000a_ 021-52961511"/>
    <m/>
    <m/>
    <m/>
    <m/>
    <m/>
    <m/>
    <m/>
    <s v="H76"/>
    <m/>
    <m/>
  </r>
  <r>
    <n v="1705"/>
    <s v="NTT Indonesia "/>
    <s v="Joint All Customer ICONNET "/>
    <s v="Wisma 46 Kota BNI Lt. 5, Jl. Jend. Sudirman, Tanah Abang, Kota Jak Pusat, Daerah Khusus Ibukota Jak 10250, Indonesia"/>
    <x v="0"/>
    <m/>
    <s v="-"/>
    <s v="Sewa Tahunan"/>
    <s v="Colocation"/>
    <s v="-"/>
    <m/>
    <m/>
    <m/>
    <m/>
    <m/>
    <s v="-"/>
    <m/>
    <m/>
    <n v="204000000"/>
    <m/>
    <d v="2024-02-05T00:00:00"/>
    <d v="2024-02-04T00:00:00"/>
    <x v="1"/>
    <s v="SPP"/>
    <d v="2025-12-24T00:00:00"/>
    <n v="-689"/>
    <n v="2"/>
    <n v="2024"/>
    <s v="baru"/>
    <n v="2626"/>
    <n v="4500022238"/>
    <s v="Livia Indraswati"/>
    <s v="Gite / Iffa (Finance"/>
    <s v="0856-1160-826 / 0856-8737-200"/>
    <m/>
    <m/>
    <m/>
    <m/>
    <m/>
    <m/>
    <m/>
    <s v="H53"/>
    <m/>
    <m/>
  </r>
  <r>
    <n v="1706"/>
    <s v="Telkom Data Ekosistem "/>
    <s v="Air Minum Surya Sembada Kota_x000a_Surabaya "/>
    <s v="German Centre Building 3rd and 5th floor Jl. Kapt. Subijanto DJ Bumi Serpong Damai"/>
    <x v="0"/>
    <m/>
    <s v="GERMAN CENTER LANTAI 3 TIMUR DATA CENTER TELKOM SIGMA_x000a_DJ, BUMI SERPONG DAMAI, JALAN KAPTEN SUBIJANTO,_x000a_LENGKONG GUDANG, KEC. SERPONG, KOTA TANGERANG_x000a_SELATAN BANTEN"/>
    <s v="Sewa Tahunan"/>
    <s v="Cross Connect"/>
    <s v="A141202000112"/>
    <m/>
    <m/>
    <m/>
    <m/>
    <m/>
    <n v="408000000"/>
    <m/>
    <m/>
    <n v="6000000"/>
    <m/>
    <d v="2023-11-08T00:00:00"/>
    <d v="2024-11-07T00:00:00"/>
    <x v="0"/>
    <m/>
    <d v="2025-12-24T00:00:00"/>
    <n v="-412"/>
    <n v="11"/>
    <n v="2024"/>
    <s v="baru"/>
    <n v="1848"/>
    <n v="4500022294"/>
    <s v="Livia Indraswati"/>
    <s v="Edhi"/>
    <m/>
    <m/>
    <m/>
    <m/>
    <m/>
    <m/>
    <m/>
    <s v="G119"/>
    <m/>
    <m/>
    <m/>
  </r>
  <r>
    <n v="1707"/>
    <s v="Media Nusantara Data Global "/>
    <s v="ICONNET"/>
    <s v="Jl. Kuningan Barat No. 8 Cyber Building 1st &amp; 2nd Jakarta Selatan 12710"/>
    <x v="0"/>
    <s v="-"/>
    <s v="Gedung Cyber. Joint All Customer ICONNET (Kebutuhan Upgrade PNI META 2X100)"/>
    <s v="Sewa Tahunan"/>
    <s v="Cross Connect"/>
    <s v="-"/>
    <m/>
    <m/>
    <m/>
    <m/>
    <m/>
    <n v="14078040000"/>
    <m/>
    <m/>
    <n v="36000000"/>
    <m/>
    <d v="2024-02-05T00:00:00"/>
    <d v="2025-02-04T00:00:00"/>
    <x v="0"/>
    <m/>
    <d v="2025-12-24T00:00:00"/>
    <n v="-323"/>
    <n v="2"/>
    <n v="2025"/>
    <s v="baru"/>
    <n v="2627"/>
    <n v="4500022329"/>
    <s v="Livia Indraswati"/>
    <s v="ira"/>
    <s v="0819-3243-0596"/>
    <m/>
    <m/>
    <m/>
    <m/>
    <m/>
    <m/>
    <m/>
    <s v="H52"/>
    <m/>
    <s v="-"/>
  </r>
  <r>
    <n v="1708"/>
    <s v="Telkom Data Ekosistem "/>
    <s v="PT. ANTAM TBK"/>
    <s v="German Centre Building 3rd and 5th floor Jl. Kapt. Subijanto DJ Bumi Serpong Damai"/>
    <x v="0"/>
    <m/>
    <s v="DC Sentul, Telkomsigma Sentul, Cijayanti,  Babakan Madang,  Kabupaten Bogor,  Jawa Barat,  Indonesia,  16810"/>
    <s v="Sewa Tahunan"/>
    <s v="Cross Connect"/>
    <s v="PA/ACT/2301/5705"/>
    <m/>
    <m/>
    <m/>
    <m/>
    <m/>
    <n v="118956000"/>
    <m/>
    <m/>
    <n v="14400000"/>
    <m/>
    <d v="2023-01-23T00:00:00"/>
    <d v="2024-01-22T00:00:00"/>
    <x v="0"/>
    <m/>
    <d v="2025-12-24T00:00:00"/>
    <n v="-702"/>
    <n v="1"/>
    <n v="2024"/>
    <s v="baru"/>
    <n v="21129"/>
    <n v="4500020010"/>
    <s v="Fajar Paramita"/>
    <s v="Edhi"/>
    <m/>
    <m/>
    <m/>
    <m/>
    <m/>
    <m/>
    <m/>
    <m/>
    <m/>
    <m/>
    <m/>
  </r>
  <r>
    <n v="1709"/>
    <s v="NTT Indonesia "/>
    <s v="PT KOPI BINTANG INDONESIA"/>
    <s v="Wisma 46 Kota BNI Lt. 5, Jl. Jend. Sudirman, Tanah Abang, Kota Jak Pusat, Daerah Khusus Ibukota Jak 10250, Indonesia"/>
    <x v="0"/>
    <m/>
    <s v="Landmark Pluit, B9, LT. 10, Jalan Pluit Selatan Raya No.2, RT. 4, RW. 10, Pluit Penjaringan"/>
    <s v="Sewa Tahunan"/>
    <s v="Cross Connect"/>
    <s v="A111303000068 / A112305030002"/>
    <m/>
    <m/>
    <m/>
    <m/>
    <m/>
    <n v="60000000"/>
    <m/>
    <m/>
    <n v="38400000"/>
    <m/>
    <d v="2023-07-07T00:00:00"/>
    <d v="2024-07-06T00:00:00"/>
    <x v="2"/>
    <m/>
    <d v="2025-12-24T00:00:00"/>
    <n v="-536"/>
    <n v="7"/>
    <n v="2024"/>
    <s v="baru"/>
    <n v="334"/>
    <n v="4500020640"/>
    <s v="Fajar Paramita"/>
    <s v="Gite / Iffa (Finance"/>
    <s v="0856-1160-826 / 0856-8737-200"/>
    <m/>
    <m/>
    <m/>
    <m/>
    <m/>
    <m/>
    <s v="H116"/>
    <m/>
    <m/>
    <m/>
  </r>
  <r>
    <n v="1710"/>
    <s v="Graha Multimedia Nusantara "/>
    <s v="PT Hipernet Indodata"/>
    <s v="Rasuna Office Park 3 Lt.4 Blok UO-11, Rasuna Epicentrum"/>
    <x v="0"/>
    <s v="Backhaul IDC D3"/>
    <s v="GEDUNG TEKNIS KUNINGAN (EPICENTRUM MALL PTSP), JL. HR RASUNA SAID KAV C / 21, KUNINGAN, JAKARTA SELATAN, DKI JAKARTA"/>
    <s v="Sewa Bulanan"/>
    <s v="Interkoneksi"/>
    <s v="D111202002713 "/>
    <s v="01000192946"/>
    <s v="99,50%"/>
    <s v="Metronet"/>
    <s v="50 Mbps"/>
    <m/>
    <n v="17340000"/>
    <m/>
    <m/>
    <n v="122500000"/>
    <m/>
    <d v="2024-01-01T00:00:00"/>
    <d v="2024-12-31T00:00:00"/>
    <x v="0"/>
    <m/>
    <d v="2025-12-24T00:00:00"/>
    <n v="-358"/>
    <n v="12"/>
    <n v="2024"/>
    <s v="Baru"/>
    <s v="2462/SPP/SBU/ICON+/2024"/>
    <n v="4500022210"/>
    <s v="Syifa Artianingsih"/>
    <s v="Andi"/>
    <s v="0878-7879-9501"/>
    <m/>
    <m/>
    <m/>
    <m/>
    <m/>
    <m/>
    <m/>
    <n v="50"/>
    <m/>
    <m/>
  </r>
  <r>
    <n v="1711"/>
    <s v="Jala Lintas Media  "/>
    <s v="BCA Finance"/>
    <s v="Jl. Mayor Oking No. 89 KM 2, Cibinong Bogor 16819_x000a_"/>
    <x v="0"/>
    <s v="WISMA ASIA II JL. BRIGJEN KATAMSO NO.1, RT.4/RW.9, KOTA BAMBU SEL., KEC. PALMERAH, KOTA JAKARTA BARAT, DAERAH KHUSUS IBUKOTA JAKARTA 11420"/>
    <s v="BCAF BEKASI JL. HARAPAN INDAH BOULEVARD-KOMPLEK MEGA OFFICE PARK BLOK P5 NO. 08, MEDAN SATRIA, KECAMATAN MEDAN SATRIA, KOTA BEKASI JAWA BARAT, 17132"/>
    <s v="Sewa Bulanan"/>
    <s v="Interkoneksi"/>
    <s v="A821205000254"/>
    <s v="111303011435"/>
    <s v="99,50%"/>
    <s v="Internet Corporate"/>
    <s v="5 Mbps"/>
    <m/>
    <n v="60000000"/>
    <m/>
    <m/>
    <n v="24000000"/>
    <m/>
    <d v="2024-01-01T00:00:00"/>
    <d v="2024-12-31T00:00:00"/>
    <x v="0"/>
    <m/>
    <d v="2025-12-24T00:00:00"/>
    <n v="-358"/>
    <n v="12"/>
    <n v="2024"/>
    <s v="Baru"/>
    <s v="2215/SPP/SBU/ICON+/2023"/>
    <n v="4500022080"/>
    <s v="Syifa Artianingsih"/>
    <s v="Bayu"/>
    <s v="0857-1160-7721"/>
    <m/>
    <m/>
    <m/>
    <m/>
    <m/>
    <m/>
    <m/>
    <s v="H20"/>
    <m/>
    <s v="Bandwith Upgrade 30 Mbps"/>
  </r>
  <r>
    <n v="1712"/>
    <s v="Jala Lintas Media "/>
    <s v="BCA Finance"/>
    <s v="Jl. Mayor Oking No. 89 KM 2, Cibinong Bogor 16819_x000a_"/>
    <x v="0"/>
    <s v="WISMA ASIA II JL. BRIGJEN KATAMSO NO.1, RT.4/RW.9, KOTA BAMBU SEL., KEC. PALMERAH, KOTA JAKARTA BARAT, DAERAH KHUSUS IBUKOTA JAKARTA 11420"/>
    <s v="BCAF BEKASI JL. HARAPAN INDAH BOULEVARD-KOMPLEK MEGA OFFICE PARK BLOK P5 NO. 08, MEDAN SATRIA, KECAMATAN MEDAN SATRIA, KOTA BEKASI JAWA BARAT, 17132"/>
    <s v="Sewa Bulanan"/>
    <s v="Interkoneksi"/>
    <s v="A821303000494 "/>
    <s v="111202018568"/>
    <s v="99,50%"/>
    <s v="Metronet"/>
    <s v="6 Mbps"/>
    <m/>
    <n v="62400000"/>
    <m/>
    <m/>
    <n v="27600000"/>
    <m/>
    <d v="2024-01-01T00:00:00"/>
    <d v="2024-12-31T00:00:00"/>
    <x v="0"/>
    <m/>
    <d v="2025-12-24T00:00:00"/>
    <n v="-358"/>
    <n v="12"/>
    <n v="2024"/>
    <s v="Baru"/>
    <s v="2215/SPP/SBU/ICON+/2023"/>
    <n v="4500022080"/>
    <s v="Syifa Artianingsih"/>
    <m/>
    <m/>
    <m/>
    <m/>
    <m/>
    <m/>
    <m/>
    <m/>
    <m/>
    <m/>
    <m/>
    <m/>
  </r>
  <r>
    <n v="1713"/>
    <s v="Trans Hybrid Communication "/>
    <s v="Bank Negara Indonesia"/>
    <s v="Graha Trans Hybrid Margonda raya Jl. Salak No. 520 Ruko B-C Depok Jawa Barat"/>
    <x v="0"/>
    <m/>
    <s v="BNI KCP PONDOK GEDE, KOMP, PLAZA PD. GEDE, JL. RAYA JATIWARINGIN BLK. H NO.1-2, RT.007/RW.009, JATICEMPAKA, KEC. PD. GEDE, KOTA BEKASI, JAWA BARAT, INDONESIA, 17411"/>
    <s v="Sewa Bulanan"/>
    <s v="Interkoneksi"/>
    <s v="A821401001039 "/>
    <s v="111401005678"/>
    <n v="0.995"/>
    <s v="Internet Broadband"/>
    <s v="30 Mbps"/>
    <m/>
    <n v="20329428"/>
    <m/>
    <n v="225225"/>
    <n v="2972976"/>
    <m/>
    <d v="2024-01-12T00:00:00"/>
    <d v="2025-01-11T00:00:00"/>
    <x v="0"/>
    <m/>
    <d v="2025-12-24T00:00:00"/>
    <n v="-347"/>
    <n v="1"/>
    <n v="2025"/>
    <s v="Baru"/>
    <s v="2352/SPP/SBU/ICON+/2023"/>
    <n v="4500022038"/>
    <s v="Syifa Artianingsih"/>
    <s v="Pak Adi"/>
    <s v="0812-2090-9395"/>
    <m/>
    <m/>
    <m/>
    <m/>
    <m/>
    <m/>
    <m/>
    <s v="H37"/>
    <m/>
    <s v="Biaya OTC Rp 225.225"/>
  </r>
  <r>
    <n v="1714"/>
    <s v="Tunas Perkasa Propertindo "/>
    <s v="PT Inti Idola Anugerah"/>
    <s v="Radio dalam Raya RT 003 RW 001 No 48 Kebayoran Baru"/>
    <x v="0"/>
    <s v="-"/>
    <s v="(Point Coffee Gedhe Km 42.5) Rest Area Km. 42, Tol Jakarta -_x000a_Cilegon No.5, Pabuaran, Kec. Jayanti, Kabupaten Tangerang,_x000a_Banten"/>
    <s v="Sewa Tahunan"/>
    <s v="Colocation"/>
    <s v="A111302000058"/>
    <m/>
    <m/>
    <m/>
    <m/>
    <m/>
    <n v="6000000"/>
    <m/>
    <m/>
    <n v="5000000"/>
    <m/>
    <d v="2024-02-28T00:00:00"/>
    <d v="2025-02-27T00:00:00"/>
    <x v="1"/>
    <m/>
    <d v="2025-12-24T00:00:00"/>
    <n v="-300"/>
    <n v="2"/>
    <n v="2025"/>
    <s v="Baru"/>
    <n v="2653"/>
    <n v="4500022292"/>
    <s v="Livia Indraswati"/>
    <s v="Chairul "/>
    <m/>
    <m/>
    <m/>
    <m/>
    <m/>
    <m/>
    <m/>
    <m/>
    <s v="G5"/>
    <m/>
    <m/>
  </r>
  <r>
    <n v="1715"/>
    <s v="Kawasan Lintas Biru Digital "/>
    <s v="Solusi Rekatama Makmur_x000a_"/>
    <s v="Kalimantan CA2 1&amp;2 Gandasari Kabupaten Bekasi 17842"/>
    <x v="0"/>
    <s v="-"/>
    <s v="PT. Solusi Rekatama Makmur MM2100, Jl. Kw. Industri No.1, Mekarwangi, Kec. Cikarang Barat, Kab. Bekasi, Jawa Barat 17530"/>
    <s v="Sewa Tahunan"/>
    <s v="Colocation"/>
    <s v="_x000a_A821202000185_x000a_"/>
    <m/>
    <m/>
    <m/>
    <m/>
    <m/>
    <n v="213600000"/>
    <m/>
    <m/>
    <n v="102000000"/>
    <m/>
    <d v="2024-03-15T00:00:00"/>
    <d v="2025-03-14T00:00:00"/>
    <x v="0"/>
    <m/>
    <d v="2025-12-24T00:00:00"/>
    <n v="-285"/>
    <n v="3"/>
    <n v="2025"/>
    <s v="baru "/>
    <n v="2184"/>
    <n v="4500022060"/>
    <s v="Syifa Fauziyah"/>
    <m/>
    <m/>
    <m/>
    <m/>
    <m/>
    <m/>
    <m/>
    <m/>
    <m/>
    <s v="G80"/>
    <m/>
    <s v="Biaya OTC Rp.1.500.000"/>
  </r>
  <r>
    <n v="1716"/>
    <s v="Fiber Media Indonesia "/>
    <s v="PT Pupuk Iskandar Muda"/>
    <s v="Jl.wibawa Mukti II no.3D, Jatiasih - kota Bekasi"/>
    <x v="0"/>
    <m/>
    <s v="JL. BANGKA RAYA, RT.11/RW.7, PELA MAMPANG, KEC. MAMPANG PRPT., KOTA JAKARTA SELATAN, DAERAH KHUSUS IBUKOTA JAKARTA 12720"/>
    <s v="Sewa Bulanan"/>
    <s v="Interkoneksi"/>
    <s v="A231303000175 "/>
    <s v="231303000918"/>
    <s v="99,5%"/>
    <s v="Interner Corporate"/>
    <s v="50 Mbps"/>
    <m/>
    <n v="203000000"/>
    <m/>
    <m/>
    <n v="39000000"/>
    <m/>
    <d v="2024-02-17T00:00:00"/>
    <d v="2025-02-16T00:00:00"/>
    <x v="0"/>
    <m/>
    <d v="2025-12-24T00:00:00"/>
    <n v="-311"/>
    <n v="2"/>
    <n v="2025"/>
    <s v="Baru"/>
    <s v="2218/SPP/SBU/ICON+/2023"/>
    <n v="4500021946"/>
    <s v="Syifa Artianingsih"/>
    <s v="Lutfia"/>
    <s v="0812-8230-2775"/>
    <m/>
    <m/>
    <m/>
    <m/>
    <m/>
    <m/>
    <m/>
    <n v="122"/>
    <m/>
    <s v="Biaya OTC Rp 5.000.000"/>
  </r>
  <r>
    <n v="1717"/>
    <s v="Kawasan Lintas Biru Digital "/>
    <s v="PT Ultrajaya Milk Industry _x000a_"/>
    <s v="Kalimantan CA2 1&amp;2 Gandasari Kabupaten Bekasi 17842"/>
    <x v="0"/>
    <s v="-"/>
    <s v="Bekasi Fajar (Befa Square) Bekasi "/>
    <s v="Sewa Tahunan"/>
    <s v="Colocation"/>
    <s v="A121202000015"/>
    <m/>
    <m/>
    <m/>
    <m/>
    <m/>
    <n v="102000000"/>
    <m/>
    <m/>
    <n v="24000000"/>
    <m/>
    <d v="2024-03-15T00:00:00"/>
    <d v="2025-03-14T00:00:00"/>
    <x v="0"/>
    <m/>
    <d v="2025-12-24T00:00:00"/>
    <n v="-285"/>
    <n v="3"/>
    <n v="2025"/>
    <s v="baru "/>
    <n v="2184"/>
    <n v="4500022060"/>
    <s v="Syifa Fauziyah"/>
    <m/>
    <m/>
    <m/>
    <m/>
    <m/>
    <m/>
    <m/>
    <m/>
    <m/>
    <s v="G74"/>
    <m/>
    <s v="Biaya OTC Rp.1.500.000"/>
  </r>
  <r>
    <n v="1718"/>
    <s v="Dinamika Raya Prima"/>
    <s v="BRI"/>
    <s v="MidPlaza 2 Lt. 8 Jl Jend. Sudirman 10-11 Jakarta 10220"/>
    <x v="0"/>
    <s v="-"/>
    <s v="H2H BRI - BPJS Kesehatan Jl.Biznet Technovillage"/>
    <s v="Sewa Tahunan"/>
    <s v="Cross Connect"/>
    <s v="R111205001840"/>
    <m/>
    <m/>
    <m/>
    <m/>
    <m/>
    <n v="54054060"/>
    <m/>
    <m/>
    <n v="24000000"/>
    <m/>
    <d v="2023-12-01T00:00:00"/>
    <d v="2024-11-30T00:00:00"/>
    <x v="0"/>
    <m/>
    <d v="2025-12-24T00:00:00"/>
    <n v="-389"/>
    <n v="11"/>
    <n v="2024"/>
    <s v="baru"/>
    <n v="2213"/>
    <n v="4500021977"/>
    <s v="Fajar Paramita"/>
    <s v="Marissa"/>
    <s v="021-57998891"/>
    <m/>
    <m/>
    <m/>
    <m/>
    <m/>
    <m/>
    <s v="G359"/>
    <m/>
    <m/>
    <s v="OTC Sebesar Rp.5.000.000"/>
  </r>
  <r>
    <n v="1719"/>
    <s v="IDC (Internetindo Data Centra Indonesia) "/>
    <s v="IFORTE SOLUSI INFOTEK, PT_x000a_IKHLAS CIPT TEKNOLOGI, PT_x000a_VICTORY NETWORK INDONESIA,PT_x000a_JALA LINTAS MEDIA, PT_x000a_PGAS TELEKOMUNIKASI NUSANTARA,PT _x000a_MEDIA LINTAS DATA, PT_x000a_DEWATA TELEMATIKA, PT_x000a_WIFIAN SOLUTIONS, PT_x000a_WIFIAN SOLUTIONS, PT_x000a_ALFATIH INDO TERKNOLOGI, PT_x000a_WIFIAN SOLUTIONS, PT_x000a_JALA LINTAS MEDIA, PT_x000a_BERKAH SOLUSI TEKNOLOGI INFORMASI, PT_x000a_TELEKOMUNIKASI INDONESIA, Tbk (EOS)_x000a_BERKAH SOLUSI TEKNOLOGI INFORMASI, PT_x000a_ANDALAS MEDIA INFORMATIKA, PT_x000a_GARAPAN TEKHNOLOGI INDONESIA, PT_x000a_MEGA ARTHA LINTAS DATA, PT_x000a_JURAGAN ONLINE SOLUSI, PT_x000a_ARSEN KUSUMA INDONESIA, PT_x000a_INTEGRASI JARINGAN EKOSISTEM, PT (WEAVE)_x000a_PT. WIFIAN SOLUTION, _x000a_TELEKOMUNIKASI INDONESIA, Tbk (Eos)_x000a_Wifian Solution_x000a_ALFATIH INDO TEKNOLOGI, PT_x000a_GLOBAL MEDIA DATA PRIMA, PT_x000a_LINTAS DATA PRIMA, PT_x000a_HIPERNET INDODATA, PT_x000a_ALFATIH INDO TEKNOLOGI, PT_x000a_SEWIWI INDONESIA, PT_x000a_LINTAS DATA PRIMA, PT_x000a_GLOBAL MEDIA DATA PRIMA, PT_x000a_LINTAS DATA PRIMA, PT_x000a_PUTRA LEBAK BANTEN, PT_x000a_IKHLAS CIPT TEKNOLOGI, PT_x000a_JALA LINTAS MEDIA, PT_x000a_MEDIA SARANA DATA, PT_x000a_JINOM NETWORK INDONESIA, PT_x000a_COMTRONICS SYSTEMS, PT_x000a_MEDIA LINTAS DATA, PT_x000a_LINTAS DATA PRIMA, PT_x000a_MEDIA CEPAT INDONESIA, PT_x000a_APLIKANUSA LINTASARTA, PT_x000a_WALUYA ISTANA NUSANTARA, PT_x000a_GLOBAL MEDIA INTI SEMESTA, PT_x000a_MEDIA CEPAT INDONESIA, PT_x000a_MEDIA CEPAT INDONESIA, PT_x000a_HIPERNET INDODATA, PT_x000a_ALIANSI TEKNOLOGI INDONESIA, PT_x000a_SEWIWI INDONESIA, PT_x000a_GLOBAL MEDIA DATA PRIMA, PT_x000a_MEDIA CEPAT INDONESIA, PT_x000a_LINTAS DATA PRIMA, PT_x000a_JALA LINTAS MEDIA, PT_x000a_PT. MEDIA JARINGAN INDONESIA_x000a_PARSAORAN GLOBAL DATATRANS, PT_x000a_LINTAS DATA PRIMA, PT_x000a_MAXINDO CONTENT SOLUTION, PT_x000a_MAXINDO CONTENT SOLUTION, PT_x000a_KUPANG INTERMEDIA, PT_x000a_PT COMTRONICS SYSTEMS, PT_x000a_IKHLAS CIPTA TEKNOLOGI, PT_x000a_IKHLAS CIPTA TEKNOLOGI, PT_x000a_IKHLAS CIPTA TEKNOLOGI, PT_x000a_IKHLAS CIPTA TEKNOLOGI, PT_x000a_IKHLAS CIPTA TEKNOLOGI, PT_x000a_JAVA DIGITAL NUSANTARA_x000a_JAVA DIGITAL NUSANTARA_x000a_MITRA VISIONER PRATAMA, PT_x000a_MITRA VISIONER PRATAMA, PT_x000a_MITRA VISIONER PRATAMA, PT_x000a_PT. LIMA MENARA BINTANG_x000a_PT. PC 24 TELEKOMUNIKASI INDONESIA_x000a_GLOBAL INTI CORPORATAMA, PT_x000a_GLOBAL MEDIA DATA PRIMA, PT_x000a_GLOBAL MEDIA DATA PRIMA, PT_x000a_GLOBAL MEDIA DATA PRIMA, PT_x000a_GLOBAL MEDIA DATA PRIMA, PT_x000a_GLOBAL MEDIA DATA PRIMA, PT_x000a_GLOBAL MEDIA DATA PRIMA, PT_x000a_GLOBAL MEDIA DATA PRIMA, PT_x000a_GLOBAL MEDIA DATA PRIMA, PT_x000a_GLOBAL MEDIA DATA PRIMA, PT_x000a_GLOBAL MEDIA DATA PRIMA, PT_x000a_GLOBAL MEDIA DATA PRIMA, PT_x000a_LINKNET INDONESIA, Tbk_x000a_LINKNET INDONESIA, Tbk_x000a_LINKNET INDONESIA, Tbk_x000a_LINKNET INDONESIA, Tbk_x000a_LINKNET INDONESIA, Tbk_x000a_LINKNET INDONESIA, Tbk_x000a_LINKNET INDONESIA, Tbk_x000a_PT LINTAS DATA PRIMA_x000a_PT LINTAS DATA PRIMA_x000a_PT LINTAS DATA PRIMA_x000a_PT LINTAS DATA PRIMA_x000a_PT LINTAS DATA PRIMA_x000a_PT LINTAS DATA PRIMA_x000a_PT LINTAS DATA PRIMA_x000a_PT LINTAS DATA PRIMA_x000a_MITRA AKSES GLOBALINDO, PT_x000a_PT. TELE GLOBE GLOBAL_x000a_BALI TOWERINDO SENTRA, Tbk_x000a_BALI TOWERINDO SENTRA, Tbk_x000a_ADI INTI MANDIRI SOLUSI_x000a_PT. DES TEKNOLOGI INFORMASI_x000a_PT. DES TEKNOLOGI INFORMASI_x000a_PT DWI TUNGGAL PUTRA_x000a_EKA MAS REPUBLIK, PT_x000a_EKA MAS REPUBLIK, PT_x000a_GLOBAL DIGITAL NIAGA_x000a_GLOBAL DIGITAL NIAGA_x000a_GLOBAL DIGITAL NIAGA_x000a_PT. HANASTA DAKARA_x000a_PT. HANASTA DAKARA_x000a_HIPERNET INDODATA, PT_x000a_HIPERNET INDODATA, PT_x000a_IFORTE SOLUSI INFOTEK, PT_x000a_IFORTE SOLUSI INFOTEK, PT_x000a_IFORTE SOLUSI INFOTEK, PT_x000a_IFORTE SOLUSI INFOTEK, PT_x000a_IFORTE SOLUSI INFOTEK, PT_x000a_IFORTE SOLUSI INFOTEK, PT_x000a_IFORTE SOLUSI INFOTEK, PT_x000a_IFORTE SOLUSI INFOTEK, PT_x000a_PT. INFOMEDIA GLOBAL NUSANTARA_x000a_PT JAYA KREASI PUTRA INDONESIA_x000a_MAXINDO MITRA SOLUSI, PT_x000a_MAXINDO MITRA SOLUSI, PT_x000a_PT. MEDIA JARINGAN INDONESIA_x000a_MEDIA LINTAS DATA, PT_x000a_MEGA AKSES PERSADA, PT_x000a_MEGA AKSES PERSADA, PT_x000a_PALAPA MEDIA INDONESIA, PT_x000a_PARSAORAN GLOBAL DATATRANS, PT_x000a_PT. PRIMACOM INTERBUANA_x000a_PT. PRIMACOM INTERBUANA_x000a_PT. PRIMACOM INTERBUANA_x000a_PT. PRIMACOM INTERBUANA_x000a_PT. SKYLINE SEMESTA_x000a_PT. SKYLINE SEMESTA_x000a_PT. SKYLINE SEMESTA_x000a_PT. SOLO JALA BUANA_x000a_PT. SOLO JALA BUANA_x000a_SOLUSINDO BINTANG PRATAMA, PT_x000a_PALAPA MEDIA INDONESIA, PT_x000a_PT. PARSAORAN GLOBAL DATATRANS_x000a_TELEKOMUNIKASI INDONESIA, Tbk (DWS)_x000a_PT. JINOM NETWORK INDONESIA_x000a_PT. INTERNETWORK KOMUNIKASI INDONESIA_x000a_KREASI SEJAHTERA TEKNOLOGI, PT_x000a_KREASI SEJAHTERA TEKNOLOGI, PT_x000a_PT. PERDANA CITRA KOMPUTER INDONESIA_x000a_PT. WEB DATA SOLUSINDO_x000a_PT. ARSENET GLOBAL SOLUSI_x000a_PT BUANA LINTAS MEDIA_x000a_PT. WEB DATA SOLUSINDO_x000a_PT Mandiri Telekomunikasi Indonesia_x000a_PT. INTERNETWORK KOMUNIKASI INDONESIA_x000a_PT. BANTANI MEDIA UTAMA_x000a_PT. BANTANI MEDIA UTAMA_x000a_PT. JALA LINTAS MEDIA_x000a_PT. VICTORY NETWORK INDONESIA_x000a_PT. IFORTE SOLUSI INFOTEK_x000a_PT. WIFIAN SOLUTION_x000a_PT. PADI INTERNET_x000a_YASMIN AMANAH MEDIA, PT_x000a_YASMIN AMANAH MEDIA, PT_x000a_YASMIN AMANAH MEDIA, PT_x000a_YASMIN AMANAH MEDIA, PT_x000a_YASMIN AMANAH MEDIA, PT_x000a_YASMIN AMANAH MEDIA, PT_x000a_FASTEL SARANA INDONESIA, PT_x000a_ANGKASA KOMUNIKASI GLOBAL UTAMA, PT_x000a_ANGKASA KOMUNIKASI GLOBAL UTAMA, PT_x000a_INDONESIAN CLOUD, PT_x000a_KINGS NETWORK INDONESIA, PT_x000a_INTI BANGUN SEJAHTERA, Tbk_x000a_TIME EXCELINDO, PT_x000a_GRAHA ANUGRAH SEJAHTERA, PT_x000a_OIXP/ All pelanggan_x000a_OIXP/ All pelanggan_x000a_OIXP/ All pelanggan_x000a_OIXP/ All pelanggan_x000a_PT. DIGITAL INTEGRASI INDONESIA_x000a_PT. MILENIAL INTI TELEKOMUNIKASI_x000a_PT. ASIA CENTRAL TELEMATIKA_x000a_GLOBAL MEDIA INTI SEMESTA, PT_x000a_GLOBAL MEDIA INTI SEMESTA, PT_x000a_GLOBAL MEDIA INTI SEMESTA, PT_x000a_HIPERNET INDODATA, PT_x000a_HIPERNET INDODATA, PT_x000a_ERUDEYE INDONESIA, PT_x000a_JINOM NETWORK INDONESIA, PT_x000a_YASMIN AMANAH MEDIA, PT_x000a_PT. KREASI SEJAHTERA TEKNOLOGI_x000a_INTERLINK TECHNOLOGY, PT_x000a_WIFIAN SOLUTIONS, PT_x000a_PT. ALIANSI TEKNOLOGI INDONESIA (DANA)_x000a_"/>
    <s v="Rukan Duren Tiga No. 7H_x000a_Jl. Duren Tiga Raya No. 7 Jakarta Selatan 12760"/>
    <x v="0"/>
    <m/>
    <s v="IDC D3"/>
    <s v="Sewa Tahunan"/>
    <s v="Cross Connect"/>
    <s v="PA/UPG/2111/0134/TER_x000a_PA/ACT/2112/0746_x000a_PA/ACT/2112/0640_x000a_PA/UPG/2202/0307_x000a_PA/ACT/2201/1525/ORI_x000a_PA/ACT/2112/4142_x000a_PA/ACT/2201/1469_x000a_PA/UPG/2111/0152_x000a_PA/ACT/2201/0640_x000a_PA/ACT/2201/0890_x000a_PA/ACT/2201/2229_x000a_PA/UPG/2202/0307_x000a_PA/ACT/2203/4651/ORI_x000a_PA/ACT/2110/3149/TER_x000a_PA/ACT/2203/3908/ORI_x000a_PA/ACT/2110/0734_x000a_PA/ACT/2203/2930/ORI_x000a_PA/ACT/2204/1743/ORI_x000a_PA/RLK/2203/0083_x000a_PA/ACT/2205/0838_x000a_PA/ACT/2204/3819/ORI_x000a_PA/ACT/2204/4009_x000a_PA/RLK/2205/0002_x000a_PA/ACT/2206/16999/ORI_x000a_PA/ACT/2206/16670_x000a_PA/ACT/2206/18096_x000a_PA/ACT/2207/2162_x000a_PA ACT/2207/1984_x000a_PA/ACT/2206/16670 _x000a_PA/ACT/2207/2391_x000a_PA/RLK/2207/0047_x000a_PA/ACT/2207/4700_x000a_PA/ACT/2208/1665_x000a_PA/UPG/2208/0126_x000a_PA/ACT/2208/2979_x000a_PA/ACT/2207/4402/ORI_x000a_PA/ACT/2208/1685/ORI_x000a_PA/ACT/2208/4216_x000a_PA/ACT/2208/4132/ORI _x000a_PA/ACT/2208/3948_x000a_PA/ACT/2208/4207_x000a_PA/ACT/2208/3222_x000a_PA/ACT/2209/0277/ORI_x000a_PA/ACT/2209/0994_x000a_PA/UPG/2210/0127/ORI_x000a_PA/ACT/2209/1733_x000a_ PA/ACT/2210/1957/ORI _x000a_ PA/RLK/2210/0008_x000a_PA/ACT/2209/5345_x000a_PA/UPG/2210/0060_x000a_PA/UPG/2210/0127_x000a_PA/ACT/2209/1733/ORI_x000a_PA/ACT/2208/4207 _x000a_PA/UPG/2211/0003/ORI_x000a_PA/ACT/1803/1584_x000a_PA/ACT/2212/0499 _x000a_PA/ACT/2212/0124/ORI _x000a_PA/ACT/2211/4794/TER_x000a_ PA/ACT/2211/4400/TER_x000a_PA/ACT/2211/5147/TER_x000a_PA/UPG/2007/0026_x000a_PA/ACT/2111/3294_x000a_PA/ACT/2112/0746_x000a_PA/ACT/2202/0869_x000a_PA/UPG/2202/0450_x000a_PA/ACT/2204/0939_x000a_PA/UPG/2203/0478_x000a_PA/ACT/2111/1600_x000a_PA/ACT/2203/1435_x000a_PA/ACT/2202/2688_x000a_PA/ACT/2203/3593_x000a_PA/ACT/2111/1334_x000a_PA/ACT/2210/1906_x000a_PA/ACT/1810/0517_x000a_PA/ACT/2102/2071_x000a_PA/ACT/2108/1898_x000a_PA/ACT/2108/2081_x000a_PA/ACT/2109/1648_x000a_PA/ACT/2108/2099_x000a_PA/ACT/2110/1654_x000a_PA/UPG/2201/0037_x000a_PA/ACT/2204/2348_x000a_PA/ACT/2206/15879_x000a_PA/ACT/2006/0341_x000a_PA/UPG/2209/0069_x000a_PA/ACT/2112/0044_x000a_PA/ACT/1806/0962_x000a_PA/ACT/1805/1409_x000a_PA/UPG/2104/0237_x000a_PA/ACT/2010/0776_x000a_PA/ACT/2012/2479_x000a_PA/ACT/2012/0376_x000a_PA/ACT/1903/1674_x000a_PA/ACT/2001/1220_x000a_PA/DOW/2008/0027_x000a_PA/ACT/2103/0330_x000a_PA/ACT/2007/0830_x000a_PA/UPG/2106/0182_x000a_PA/UPG/2205/0140_x000a_PA/UPG/2112/0134_x000a_ICON-00/SBC/1712/0689_x000a_PA/UPG/2011/0077_x000a_PA/ACT/2103/0201_x000a_PA/ACT/2208/1270_x000a_PA/ACT/1803/0619_x000a_PA/ACT/1808/0772_x000a_PA/ACT/1904/2171_x000a_PA/ACT/2212/0507_x000a_AL/2206/179404_x000a_PA/ACT/2106/0001_x000a_PA/UPG/2109/0091_x000a_PA/ACT/1910/0423_x000a_PA/ACT/1807/1320_x000a_PA/ACT/2103/2357_x000a_PA/RLK/2102/0057_x000a_PA/ACT/2108/1902_x000a_PA/UPG/1807/0060_x000a_AL/2009/47475_x000a_AL/2010/49834_x000a_AL/2010/49835_x000a_AL/2010/49837_x000a_AL/2010/54579_x000a_AL/2010/58867_x000a_AL/2011/66602_x000a_AL/2011/70711_x000a_PA/ACT/2008/2282_x000a_AL/1912/56465_x000a_PA/RLK/2102/0038_x000a_PA/ACT/2101/0735_x000a_PA/UPG/2002/0519_x000a_PA/RLK/1802/0059_x000a_PA/ACT/1906/2109_x000a_PA/ACT/1908/2194_x000a_PA/ACT/1910/0629_x000a_PA/RLK/2102/0024_x000a_PA/UPG/2108/0062_x000a_PA/ACT/2203/1917_x000a_AL/2109/86661_x000a_PA/UPG/2206/0022_x000a_0990000320425878_x000a_PA/UPG/2002/0525_x000a_0990000320272669_x000a_PA/DOW/2111/0033_x000a_PA/RLK/2104/0061_x000a_PA/RLK/2205/0012_x000a_PA/UPG/2008/0015_x000a_AR/RLK/2102/0153_x000a_PA/ACT/2011/1355_x000a_PA/ACT/2112/0239_x000a_AL/2207/196625_x000a_PA/ACT/2210/1740_x000a_PA/UPG/2212/0014_x000a_PA/ACT/2005/0993_x000a_PA/ACT/1803/0102_x000a_AL/2207/189657_x000a_PA/ACT/2008/1899_x000a_PA/ACT/1803/0102_x000a_PA/ACT/2004/1225_x000a_PA/ACT/2204/2769_x000a_PA/ACT/2206/16670_x000a_PA/UPG/2208/0126_x000a_PA/ACT/2112/2778_x000a_PA/ACT/2112/0640_x000a_PA/ACT/2110/2242_x000a_PA/ACT/2103/0778_x000a_PA/ACT/1903/2408_x000a_PA/UPG/2204/0443_x000a_PA/ACT/2101/0954_x000a_PA/ACT/2105/1575_x000a_PA/ACT/2105/1576_x000a_PA/ACT/2009/1452_x000a_PA/UPG/2208/0226_x000a_PA/ACT/1903/2565_x000a_PA/ACT/2003/0136_x000a_PA/ACT/2003/0135_x000a_PA/UPG/2204/0104_x000a_PA/ACT/1907/3900_x000a_PA/UPG/2212/0229_x000a_990000320653785/ICON-00/ACT/1710/0691_x000a_990000320495628_x000a_PA/ACT/2105/1816/ORI_x000a_PA/ACT/2106/0502/ORI_x000a_ PA/ACT/2209/5059/ORI_x000a_PA/UPG/2103/0257_x000a_PA/ACT/2108/0236_x000a_PA/ACT/2108/0237_x000a_PA/ACT/2109/0016_x000a_PA/ACT/2101/0113_x000a_PA/ACT/1808/0165_x000a_PA/RLK/2211/0006_x000a_PA/ACT/2301/6457_x000a_PA/ACT/2207/0007_x000a_ ICON-00/ACT/1308/0201_x000a_PA/ACT/2108/2163 _x000a_PA/ACT/2209/5345_x000a_"/>
    <m/>
    <m/>
    <m/>
    <m/>
    <m/>
    <m/>
    <m/>
    <m/>
    <n v="856800000"/>
    <m/>
    <d v="2024-01-01T00:00:00"/>
    <d v="2024-12-31T00:00:00"/>
    <x v="0"/>
    <m/>
    <d v="2025-12-24T00:00:00"/>
    <n v="-358"/>
    <n v="12"/>
    <n v="2024"/>
    <s v="-"/>
    <n v="3370"/>
    <n v="4500022774"/>
    <s v="Fajar Paramita"/>
    <s v="Rahmat_x000a_ Galih / Nopita"/>
    <m/>
    <m/>
    <m/>
    <m/>
    <m/>
    <m/>
    <m/>
    <s v="G68"/>
    <m/>
    <m/>
    <m/>
  </r>
  <r>
    <n v="1720"/>
    <s v="Media Nusantara Data Global"/>
    <s v="ICONNET"/>
    <s v="Jl. Kuningan Barat No. 8 Cyber Building 1st &amp; 2nd Jakarta Selatan 12710"/>
    <x v="0"/>
    <s v="-"/>
    <s v="Gedung Cyber. Joint All Customer"/>
    <s v="Sewa Tahunan"/>
    <s v="Cross Connect"/>
    <s v="-"/>
    <m/>
    <m/>
    <m/>
    <m/>
    <m/>
    <m/>
    <m/>
    <m/>
    <n v="36000000"/>
    <m/>
    <d v="2024-02-27T00:00:00"/>
    <d v="2025-02-26T00:00:00"/>
    <x v="1"/>
    <m/>
    <d v="2025-12-24T00:00:00"/>
    <n v="-301"/>
    <n v="2"/>
    <n v="2025"/>
    <s v="baru"/>
    <n v="2890"/>
    <n v="4500022457"/>
    <s v="Fajar Paramita"/>
    <s v="ira"/>
    <s v="0819-3243-0596"/>
    <m/>
    <m/>
    <m/>
    <m/>
    <m/>
    <m/>
    <m/>
    <s v="H87"/>
    <m/>
    <s v="-"/>
  </r>
  <r>
    <n v="1721"/>
    <s v="Indo Internet  "/>
    <s v="PT Pasifik Satelit Nusantara"/>
    <s v="Indonet Rempoa Jl Rempoa Raya no 11 Rempoa Ciputat Tangerang Selatan Banten Indonesia 15412"/>
    <x v="0"/>
    <s v="PSN Mega Kuningan 5th Floor Ged. Kantor Taman A9 Unit C3 &amp; C4 Jl Mega Kuningan Raya Lot 8/9 no 9 Jakarta 12950"/>
    <s v="Indonet Rempoa Jl Rempoa Raya no 11 Rempoa Ciputat Tangerang Selatan Banten Indonesia 15412"/>
    <s v="Sewa Tahunan"/>
    <s v="Colocation"/>
    <s v="AL/2006/19405"/>
    <m/>
    <m/>
    <m/>
    <s v="Metronet"/>
    <m/>
    <n v="64800000"/>
    <m/>
    <m/>
    <n v="5400000"/>
    <m/>
    <d v="2024-05-08T00:00:00"/>
    <d v="2025-05-07T00:00:00"/>
    <x v="0"/>
    <m/>
    <d v="2025-12-24T00:00:00"/>
    <n v="-231"/>
    <n v="5"/>
    <n v="2025"/>
    <n v="4500020669"/>
    <s v="3207/SPP/SBU/PLNICONPLUS/2024"/>
    <n v="4500022664"/>
    <s v="Fajar Paramita"/>
    <s v="Bapak Asep "/>
    <s v="0857-71777685"/>
    <m/>
    <m/>
    <m/>
    <m/>
    <m/>
    <m/>
    <m/>
    <s v="H115"/>
    <m/>
    <s v="Biaya sewa shaft Rp. 12.000.000"/>
  </r>
  <r>
    <n v="1722"/>
    <s v="DCI Indonesia"/>
    <s v="NTT Indonesia PT"/>
    <s v="Equity Tower 17th floor suiteF SCBD lot_x000a_Jl Jend Sudirman Kav 52-53 Jakarta 12193"/>
    <x v="0"/>
    <m/>
    <s v="Bank Mizuho Indonesia DCI (DRC) lt 1 Kawasan MM2100 Bekasi Cikarang Jawa Barat"/>
    <s v="Sewa Tahunan"/>
    <s v="Cross Connect"/>
    <s v="ICON-00/SBC/1611/0056"/>
    <m/>
    <m/>
    <s v="Metronet "/>
    <m/>
    <m/>
    <n v="168000000"/>
    <m/>
    <m/>
    <n v="14000000"/>
    <m/>
    <d v="2024-06-24T00:00:00"/>
    <d v="2025-06-23T00:00:00"/>
    <x v="0"/>
    <m/>
    <d v="2025-12-24T00:00:00"/>
    <n v="-184"/>
    <n v="6"/>
    <n v="2025"/>
    <n v="4500020592"/>
    <s v="3139/SPP/SBU/PLNICONPLUS/2024"/>
    <n v="4500022661"/>
    <s v="Fajar Paramita"/>
    <s v="Ibu Asima"/>
    <s v="0821-10851125"/>
    <m/>
    <m/>
    <m/>
    <m/>
    <m/>
    <m/>
    <m/>
    <s v="H161"/>
    <m/>
    <s v="Biaya sewa cross connect Rp 18.000.000"/>
  </r>
  <r>
    <n v="1723"/>
    <s v="DCI Indonesia"/>
    <s v="PT Bank Neo Commerce Tbk"/>
    <s v="Equity Tower 17th floor suiteF SCBD lot_x000a_Jl Jend Sudirman Kav 52-53 Jakarta 12193"/>
    <x v="0"/>
    <s v="Data Center Graha Telkom Sigma BSD Jl Kapt Subianto DJ BSD Kota Tangerang Banten Indonesia"/>
    <s v="DCI Cibitung Akulaku Alicloud Jl Irian GG 5-1 Kawasan Industri MM2100 Cikarang Barat Bekasi Jawa Barat 17530"/>
    <s v="Sewa Tahunan"/>
    <s v="Cross Connect"/>
    <n v="111202017685"/>
    <m/>
    <m/>
    <s v="Metronet"/>
    <s v="100 mbps"/>
    <m/>
    <n v="444000000"/>
    <m/>
    <m/>
    <n v="37000000"/>
    <m/>
    <d v="2024-06-11T00:00:00"/>
    <d v="2025-06-10T00:00:00"/>
    <x v="2"/>
    <m/>
    <d v="2025-12-24T00:00:00"/>
    <n v="-197"/>
    <n v="6"/>
    <n v="2025"/>
    <n v="4500020748"/>
    <s v="3140/SPP/SBU/PLNICONPLUS/2024"/>
    <n v="4500022663"/>
    <s v="Fajar Paramita"/>
    <s v="Ibu Asima"/>
    <s v="0821-10851125"/>
    <m/>
    <m/>
    <m/>
    <m/>
    <m/>
    <m/>
    <m/>
    <s v="H162"/>
    <m/>
    <s v="Biaya sewa cross connect Rp 18.000.000"/>
  </r>
  <r>
    <n v="1724"/>
    <s v="Sampoerna Land "/>
    <s v="PT AEK TARUM_x000a_ PT. BINASAWIT MAKMUR"/>
    <s v="Sampoerna Strategic Square Tower A Lantai 19 Jalan Jenderal Sudirman Kav 45-46 RT 3 RW 4 Karet Semanggi Jakarta"/>
    <x v="1"/>
    <s v="Sampoerna Strategic Square  Tower A Lantai 19 Jalan Jenderal Sudirman Kav 45-46 RT 3 RW 4 Karet Semanggi Jakarta "/>
    <s v="Kantor Grup Belida Desa Sumber Baru C1 Mesuji Raya Kab Ogan Komering Ilir Sulawesi 30681"/>
    <s v="Sewa Tahunan"/>
    <s v="Colocation"/>
    <s v="AL/1907/26735"/>
    <m/>
    <m/>
    <m/>
    <s v="Metronet "/>
    <m/>
    <n v="336720000"/>
    <m/>
    <m/>
    <n v="336720000"/>
    <m/>
    <d v="2024-05-01T00:00:00"/>
    <d v="2027-04-30T00:00:00"/>
    <x v="1"/>
    <m/>
    <d v="2025-12-24T00:00:00"/>
    <n v="492"/>
    <n v="4"/>
    <n v="2027"/>
    <m/>
    <m/>
    <n v="4500022591"/>
    <s v="Fajar Paramita"/>
    <s v="Tri Sunarti"/>
    <s v="0878-82030053"/>
    <m/>
    <m/>
    <m/>
    <m/>
    <m/>
    <m/>
    <m/>
    <n v="163"/>
    <m/>
    <s v="Biaya sewa jalur kabel 3th Rp. 203.280.000"/>
  </r>
  <r>
    <n v="1725"/>
    <s v="Telkom Data Ekosistem "/>
    <s v="PT. ANTAM TBK"/>
    <s v="German Centre Building 3rd and 5th floor Jl. Kapt. Subijanto DJ Bumi Serpong Damai"/>
    <x v="0"/>
    <m/>
    <s v="DC Sentul, Telkomsigma Sentul, Cijayanti,  Babakan Madang,  Kabupaten Bogor,  Jawa Barat,  Indonesia,  16810"/>
    <s v="Sewa Tahunan"/>
    <s v="Cross Connect"/>
    <s v="PA/ACT/2301/5705"/>
    <m/>
    <m/>
    <m/>
    <m/>
    <m/>
    <n v="118956000"/>
    <m/>
    <m/>
    <n v="14400000"/>
    <m/>
    <d v="2024-01-23T00:00:00"/>
    <d v="2025-01-22T00:00:00"/>
    <x v="0"/>
    <m/>
    <d v="2025-12-24T00:00:00"/>
    <n v="-336"/>
    <n v="1"/>
    <n v="2025"/>
    <m/>
    <s v="3153/SPP/SBU/PLNICONPLUS/2024"/>
    <n v="4500023313"/>
    <s v="Livia Indraswati"/>
    <s v="Yudhi Sukma"/>
    <m/>
    <m/>
    <m/>
    <m/>
    <m/>
    <m/>
    <m/>
    <m/>
    <s v="H310"/>
    <m/>
    <m/>
  </r>
  <r>
    <n v="1726"/>
    <s v="Telkom Data Ekosistem "/>
    <s v="Bank Mega "/>
    <s v="Jl. Kapt Subijanto Dj Bumi Serpong Damai Tangerang 15321"/>
    <x v="0"/>
    <m/>
    <s v="PLN SYB, SYB Data Center on Telkom Sigma (German Center) Lantai 6 Timur Ruang 6460 1-12 Jalan Kapten Subijanto DJ Bumi Serpong Damai Tangerang 15321"/>
    <s v="Sewa Tahunan"/>
    <s v="Cross Connect"/>
    <s v="AL/2002/5815"/>
    <m/>
    <m/>
    <m/>
    <s v="IPVPN 64 Kbps"/>
    <m/>
    <n v="14400000"/>
    <m/>
    <m/>
    <n v="14400000"/>
    <m/>
    <d v="2023-01-23T00:00:00"/>
    <d v="2025-01-22T00:00:00"/>
    <x v="0"/>
    <m/>
    <d v="2025-12-24T00:00:00"/>
    <n v="-336"/>
    <n v="1"/>
    <n v="2025"/>
    <s v="baru"/>
    <s v="3141/SPP/SBU/PLNICONPLUS/2024"/>
    <n v="4500022590"/>
    <s v="Fajar Paramita"/>
    <s v="Yudhi Sukma"/>
    <m/>
    <m/>
    <m/>
    <m/>
    <m/>
    <m/>
    <m/>
    <m/>
    <s v="H164"/>
    <m/>
    <s v="Biaya cross connect  Rp 12.000.000"/>
  </r>
  <r>
    <n v="1727"/>
    <s v="CBN Nusantara "/>
    <s v="PT Klik Indomaret Sukses"/>
    <s v="Cyber 2 Tower 2nd Floor Jl HR Rasuna Said Kav X-5 No 13 Jakarta 12950"/>
    <x v="0"/>
    <s v="PT KIS, Nex Datacenter Cyber 2 Tower 2nd Floor, Jl. HR Rasuna SAID X5 No. 13, Setiabudi, Jakarta Selatan"/>
    <m/>
    <s v="Sewa Tahunan"/>
    <s v="Cross Connect"/>
    <s v="PA/ACT/2108/2056"/>
    <m/>
    <m/>
    <m/>
    <m/>
    <m/>
    <n v="84000000"/>
    <m/>
    <m/>
    <n v="6000000"/>
    <m/>
    <d v="2023-03-01T00:00:00"/>
    <d v="2025-02-28T00:00:00"/>
    <x v="0"/>
    <m/>
    <d v="2025-12-24T00:00:00"/>
    <n v="-299"/>
    <n v="2"/>
    <n v="2025"/>
    <s v="cm_icon-indomarco03 | baru | 10570/SPP/008/PUSAT/ICON+/2019 | 4500012620 | 15119/SPP/008/PUSAT/ICON+/2021 | 4500015717 | 17656/SPP/008/PUSAT/ICON+/2022 | 4500019966"/>
    <s v="4394/SPP/SBU/PLNICONPLUS/2024"/>
    <n v="4500023493"/>
    <s v="Livia Indraswati"/>
    <s v="Erni Monalena / Helvi Susanti"/>
    <s v="0856-93221320 "/>
    <m/>
    <m/>
    <s v="C61"/>
    <s v="E218"/>
    <s v="E145"/>
    <s v="G49"/>
    <m/>
    <s v="H339"/>
    <m/>
    <m/>
  </r>
  <r>
    <n v="1728"/>
    <s v="CBN Nusantara "/>
    <s v="PT Kaldu Sari Nabati"/>
    <s v="Cyber 2 Tower 2nd Floor Jl HR Rasuna Said Kav X-5 No 13 Jakarta 12950"/>
    <x v="0"/>
    <m/>
    <s v="Gedung Cyber 2, Lt. 2 Jl. HR Rasuna Said No. 13, Kuningan"/>
    <s v="Sewa Tahunan"/>
    <s v="Cross Connect"/>
    <s v="PA/ACT/1806/1081"/>
    <m/>
    <m/>
    <m/>
    <m/>
    <m/>
    <n v="288000000"/>
    <m/>
    <m/>
    <n v="6000000"/>
    <m/>
    <d v="2023-04-01T00:00:00"/>
    <d v="2025-03-31T00:00:00"/>
    <x v="0"/>
    <m/>
    <d v="2025-12-24T00:00:00"/>
    <n v="-268"/>
    <n v="3"/>
    <n v="2025"/>
    <s v="08412/SPP/008/PUSAT/ICON+/2018 | 4500011354 | 10206/SPP/008/PUSAT/ICON+/2019 | 4500012451 | 15419/SPP/008/PUSAT/ICON+/2021 | 4500015888| 18350/SPP/008/PUSAT/ICON+/2022 |  4500020008"/>
    <s v="4399/SPP/SBU/PLNICONPLUS/2024"/>
    <n v="4500023494"/>
    <s v="Livia Indraswati"/>
    <s v="Erni Monalena / Helvi Susanti"/>
    <s v="0856-93221320 "/>
    <m/>
    <s v="B55"/>
    <s v="C29"/>
    <m/>
    <s v="E154"/>
    <s v="G180"/>
    <m/>
    <s v="H337"/>
    <m/>
    <m/>
  </r>
  <r>
    <n v="1729"/>
    <s v="CBN Nusantara "/>
    <s v="PT BCA Multi Finance"/>
    <s v="Cyber 2 Tower 2nd Floor Jl HR Rasuna Said Kav X-5 No 13 Jakarta 12950"/>
    <x v="0"/>
    <m/>
    <s v="BCA MF H2H Indomart PT Klik Indomaret Sukses (KIS) Data Center Indomaret Cyber 2 Tower "/>
    <s v="Sewa Tahunan"/>
    <s v="Cross Connect"/>
    <s v="R1112050003083"/>
    <m/>
    <m/>
    <m/>
    <m/>
    <m/>
    <n v="10660000"/>
    <m/>
    <m/>
    <n v="8000000"/>
    <m/>
    <d v="2024-04-29T00:00:00"/>
    <d v="2025-04-28T00:00:00"/>
    <x v="0"/>
    <m/>
    <d v="2025-12-24T00:00:00"/>
    <n v="-240"/>
    <n v="4"/>
    <n v="2025"/>
    <s v="baru"/>
    <s v="3204/SPP/SBU/PLNICONPLUS/2024_x0009_"/>
    <n v="4500022546"/>
    <s v="Fajar Paramita"/>
    <s v="Erni Monalena "/>
    <s v="0856-93221320 "/>
    <m/>
    <m/>
    <m/>
    <m/>
    <m/>
    <m/>
    <m/>
    <s v="H165"/>
    <m/>
    <s v="1. Biaya cross connect  Rp 8.000.000, 2. Biaya Instalasi Rp 2.000.000, 3. Biaya Material Rp 2.000.000"/>
  </r>
  <r>
    <n v="1730"/>
    <s v="Bumi Daya Plaza "/>
    <s v="Bank Syariah Indonesia"/>
    <s v="Graha Mandiri lantai 30 Jl Imam Bonjol no 61 Jakarta 10310"/>
    <x v="0"/>
    <s v="Backhaul Metronet Komplek Bank Mandiri Griya Rempoa Jl H Juanda np 27 Rempoa Ciputat Timur Tangerang Selatan Banten 15412"/>
    <s v="Graha Mandiri (BBD) Gedung Graha Mandiri Jl Imam Bonjol no 61 Menteng Jakarta Pusat 10310"/>
    <s v="Sewa Tahunan"/>
    <s v="Colocation"/>
    <s v="U111202002264"/>
    <m/>
    <m/>
    <m/>
    <s v="Metronet "/>
    <m/>
    <n v="1481082000"/>
    <m/>
    <m/>
    <n v="24684700"/>
    <m/>
    <d v="2019-12-01T00:00:00"/>
    <d v="2024-11-30T00:00:00"/>
    <x v="0"/>
    <m/>
    <d v="2025-12-24T00:00:00"/>
    <n v="-389"/>
    <n v="11"/>
    <n v="2024"/>
    <m/>
    <s v="3356/SPP/SBU/PLNICONPLUS/2024"/>
    <n v="4500022670"/>
    <s v="Fajar Paramita"/>
    <s v="Ibu Dinda"/>
    <s v="0812-85137756"/>
    <m/>
    <m/>
    <m/>
    <m/>
    <m/>
    <m/>
    <m/>
    <s v="H166"/>
    <m/>
    <s v="Biaya penempatan perangkat Rp 264.500.000"/>
  </r>
  <r>
    <n v="1731"/>
    <s v="Indo Internet  "/>
    <s v="Prodia Widyahusada"/>
    <s v="Indonet Rempoa Jl Rempoa Raya no 11 Rempoa Ciputat Tangerang Selatan Banten Indonesia 15412"/>
    <x v="0"/>
    <m/>
    <s v="Data center  indonet rempoa"/>
    <s v="Sewa Tahunan"/>
    <s v="Colocation"/>
    <s v="PA/ACT/1803/0184"/>
    <m/>
    <m/>
    <m/>
    <s v="IPVPN 50 mbps"/>
    <m/>
    <n v="69500000"/>
    <m/>
    <m/>
    <n v="2500000"/>
    <m/>
    <d v="2024-04-14T00:00:00"/>
    <d v="2025-04-13T00:00:00"/>
    <x v="0"/>
    <m/>
    <d v="2025-12-24T00:00:00"/>
    <n v="-255"/>
    <n v="4"/>
    <n v="2025"/>
    <m/>
    <s v="3094/SPP/SBU/PLNICONPLUS/2024"/>
    <n v="4500022686"/>
    <s v="Fajar Paramita"/>
    <s v="Bapak Asep "/>
    <s v="0857-71777685"/>
    <m/>
    <m/>
    <m/>
    <m/>
    <m/>
    <m/>
    <m/>
    <n v="167"/>
    <m/>
    <s v="Biaya Shaft Cable Rp. 2.500.000"/>
  </r>
  <r>
    <n v="1732"/>
    <s v="Badan Kerjasama Graha Pratama"/>
    <s v="Invonesia Solusi Data"/>
    <s v="Graha Pratama Building Jl MT Haryono Kav 15 Jakarta"/>
    <x v="0"/>
    <m/>
    <s v="Graha Pratama Building Jl MT Haryono Kav 15 Jakarta "/>
    <s v="Sewa Tahunan"/>
    <s v="Colocation"/>
    <s v="A111303002787"/>
    <m/>
    <m/>
    <m/>
    <s v="Internet Corporate 75 Mbps"/>
    <m/>
    <n v="51500000"/>
    <m/>
    <m/>
    <n v="4000000"/>
    <m/>
    <d v="2024-03-20T00:00:00"/>
    <d v="2025-03-19T00:00:00"/>
    <x v="2"/>
    <m/>
    <d v="2025-12-24T00:00:00"/>
    <n v="-280"/>
    <n v="3"/>
    <n v="2025"/>
    <m/>
    <s v="3137/SPP/SBU/PLNICONPLUS/2024"/>
    <n v="4500022543"/>
    <s v="Fajar Paramita"/>
    <m/>
    <m/>
    <m/>
    <m/>
    <m/>
    <m/>
    <m/>
    <m/>
    <m/>
    <s v="H90"/>
    <m/>
    <s v="Biaya sewa shaft Rp 7.000.000"/>
  </r>
  <r>
    <n v="1733"/>
    <s v="Arthamas Solusindo "/>
    <s v="PT Bank Sinarmas"/>
    <s v="ROXY SQUARE Lantai 1 Blok B08.2, Jl. Kyai Tapa No.1, RT.10/RW.10, Tomang, Kec. Grogol petamburan, Kota Jakarta Barat, Daerah Khusus Ibukota Jakarta 11440"/>
    <x v="0"/>
    <s v="Backhaul sinarmas DRC Primary jl. Pahlawan Seribu, gd smart telecom CBD CBD BSD lot 12 A Lengkong wetan serpong kota tangerang selatan Banten Indonesia"/>
    <m/>
    <s v="Sewa Tahunan"/>
    <s v="Colocation"/>
    <s v="PA/UPG/2204/0532"/>
    <m/>
    <m/>
    <m/>
    <s v="IPVPN "/>
    <m/>
    <n v="318000000"/>
    <m/>
    <m/>
    <n v="26500000"/>
    <m/>
    <d v="2024-01-01T00:00:00"/>
    <d v="2024-12-31T00:00:00"/>
    <x v="0"/>
    <m/>
    <d v="2025-12-24T00:00:00"/>
    <n v="-358"/>
    <n v="12"/>
    <n v="2024"/>
    <n v="4500020408"/>
    <s v="3002/SPP/SBU/PLNICONPLUS/2024"/>
    <n v="4500022522"/>
    <s v="Fajar Paramita"/>
    <m/>
    <m/>
    <m/>
    <m/>
    <m/>
    <m/>
    <m/>
    <m/>
    <m/>
    <s v="H145"/>
    <m/>
    <s v="Biaya sewa collo Rp 48.000.000"/>
  </r>
  <r>
    <n v="1734"/>
    <s v="Asosiasi penyelenggara Jasa Internet Indonesia (APJII)"/>
    <m/>
    <s v="Gedung Cyber Lt.11 Jl. Kuningan Barat No.8 Kuningan Barat Jakarta"/>
    <x v="0"/>
    <s v="Gedung Cyber Lt.1 (APJII), Jakarta Selatan"/>
    <m/>
    <s v="Sewa Tahunan"/>
    <s v="Colocation"/>
    <m/>
    <m/>
    <m/>
    <m/>
    <s v="Metronet "/>
    <m/>
    <n v="468000000"/>
    <m/>
    <m/>
    <n v="12000000"/>
    <m/>
    <d v="2024-05-15T00:00:00"/>
    <d v="2025-05-14T00:00:00"/>
    <x v="0"/>
    <m/>
    <d v="2025-12-24T00:00:00"/>
    <n v="-224"/>
    <n v="5"/>
    <n v="2025"/>
    <n v="4500020426"/>
    <s v="3288/SPP/SBU/PLNICONPLUS/2024"/>
    <n v="4500022601"/>
    <s v="Fajar Paramita"/>
    <s v="Ibu Dahlia "/>
    <s v="0858-92806821"/>
    <m/>
    <m/>
    <m/>
    <m/>
    <m/>
    <m/>
    <m/>
    <s v="H169"/>
    <m/>
    <s v="Biaya sewa OTB Rp 12.000.000"/>
  </r>
  <r>
    <n v="1735"/>
    <s v="Media Nusantara Data Global "/>
    <m/>
    <s v="Jl. Kuningan Barat No. 8 Cyber Building 1st &amp; 2nd Jakarta Selatan 12710"/>
    <x v="0"/>
    <m/>
    <m/>
    <s v="Sewa Tahunan"/>
    <s v="Colocation"/>
    <m/>
    <m/>
    <m/>
    <m/>
    <s v="Backhaul"/>
    <m/>
    <m/>
    <m/>
    <m/>
    <n v="1391000000"/>
    <m/>
    <d v="2024-02-01T00:00:00"/>
    <d v="2025-01-31T00:00:00"/>
    <x v="0"/>
    <m/>
    <d v="2025-12-24T00:00:00"/>
    <n v="-327"/>
    <n v="1"/>
    <n v="2025"/>
    <m/>
    <m/>
    <n v="4500019940"/>
    <s v="Fajar Paramita"/>
    <s v="Ira"/>
    <s v="+6281932430596"/>
    <m/>
    <m/>
    <m/>
    <m/>
    <m/>
    <m/>
    <m/>
    <n v="147"/>
    <m/>
    <s v="Private suite Rp 780.000.000 , OTB 2Y Rp 66.000.000, Mainhole CDCI Rp 35.000.000, Add electric Rp 510.000.000"/>
  </r>
  <r>
    <n v="1736"/>
    <s v="PT Mega Telekomunikasi Indonesia"/>
    <s v="BUKALAPAK.COM"/>
    <s v="Mega Telekomunikasi"/>
    <x v="0"/>
    <s v="Jl. RA Kartini No. Kav 14, Cilandak, Jakarta Selatan, DKI Jakarta, Indonesia, 12430"/>
    <s v="Jl. Ampera Raya No. 22, Pasar Minggu, Jakarta Selatan, DKI Jakarta, Indonesia 12560"/>
    <s v="BAGI HASIL"/>
    <s v="Revenue Sharing"/>
    <s v="PA/ACT/2112/2471 "/>
    <m/>
    <m/>
    <s v="Metronet"/>
    <m/>
    <m/>
    <n v="48000000"/>
    <m/>
    <m/>
    <m/>
    <n v="0.2"/>
    <d v="2022-02-08T00:00:00"/>
    <d v="2025-02-07T00:00:00"/>
    <x v="0"/>
    <m/>
    <d v="2025-12-24T00:00:00"/>
    <n v="-320"/>
    <n v="2"/>
    <n v="2025"/>
    <m/>
    <m/>
    <m/>
    <s v="Syifa Fauziyah"/>
    <s v="Sena Adimuhaimin"/>
    <s v="+6285210389232"/>
    <m/>
    <m/>
    <m/>
    <m/>
    <m/>
    <m/>
    <m/>
    <m/>
    <m/>
    <m/>
  </r>
  <r>
    <n v="1737"/>
    <s v="Solusi Jasa Teknologi "/>
    <s v="PT Toyota Motor Manufacturing Indonesia"/>
    <s v="Gedung sanggar kesatria Liema ,Jalan Raya Pajajaran No.17 Baranangsiang Bogor timur"/>
    <x v="0"/>
    <s v="Toyota Motor Manufacturing Indonesia, Jl. Laksda Yos Sudarso Sunter 1, Rt.2/Rw.9, Sunter Jaya, Kec. Tj. Priok, Jkt Utara, Daerah Khusus Ibukota Jakarta 14350"/>
    <s v="Gedung Elitery Data Center And Managed Services Lantai 3, Jl. Raya Pajajaran No.17, Rt.06/Rw.13, Baranangsiang, Kec. Bogor Tim., Kota Bogor, Jawa Barat 16143"/>
    <s v="Sewa Tahunan"/>
    <s v="Cross Connect"/>
    <s v="A111202004945"/>
    <m/>
    <m/>
    <m/>
    <m/>
    <n v="2500000"/>
    <n v="359904000"/>
    <m/>
    <n v="2500000"/>
    <n v="12000000"/>
    <m/>
    <d v="2024-07-19T00:00:00"/>
    <d v="2025-07-18T00:00:00"/>
    <x v="0"/>
    <m/>
    <d v="2025-12-24T00:00:00"/>
    <n v="-159"/>
    <n v="7"/>
    <n v="2025"/>
    <s v="baru"/>
    <s v="4046/SPP/SBU/PLNICONPLUS/2024"/>
    <n v="4500023380"/>
    <s v="Livia Indraswati"/>
    <s v="Anggi"/>
    <s v="0877-7040-4299"/>
    <m/>
    <m/>
    <m/>
    <m/>
    <m/>
    <m/>
    <m/>
    <s v="H336"/>
    <m/>
    <m/>
  </r>
  <r>
    <n v="1738"/>
    <s v="PT Solusi Jasa Teknologi"/>
    <s v="PT Cyberindo Aditama"/>
    <s v="Data Center Elitery Bogor-SOJATEK"/>
    <x v="0"/>
    <s v="-"/>
    <s v="Elitery (PT RHB OSK Securities Indonesia) Jl. Pajajaran no. 17 Bogor Indonesia"/>
    <s v="BAGI HASIL"/>
    <s v="Revenue Sharing"/>
    <m/>
    <s v="990000320429056"/>
    <m/>
    <s v="Metronet"/>
    <m/>
    <m/>
    <n v="114000000"/>
    <m/>
    <m/>
    <m/>
    <n v="0.15"/>
    <d v="2023-05-01T00:00:00"/>
    <d v="2025-04-30T00:00:00"/>
    <x v="0"/>
    <m/>
    <d v="2025-12-24T00:00:00"/>
    <n v="-238"/>
    <n v="4"/>
    <n v="2025"/>
    <m/>
    <m/>
    <m/>
    <s v="Syifa Fauziyah"/>
    <s v="Anggi, Danar"/>
    <s v="+62 877-7040-4299, +62 856-9456-6663"/>
    <m/>
    <m/>
    <m/>
    <m/>
    <m/>
    <m/>
    <m/>
    <m/>
    <m/>
    <m/>
  </r>
  <r>
    <n v="1739"/>
    <s v="PT Solusi Jasa Teknologi"/>
    <s v="PT Fujitsu Indonesia"/>
    <s v="Data Center Elitery Bogor-SOJATEK"/>
    <x v="0"/>
    <s v="-"/>
    <s v="PT. Fujitsu Indonesia Jl. Raya Pajajaran no 17 Bogor, Indonesia"/>
    <s v="BAGI HASIL"/>
    <s v="Revenue Sharing"/>
    <m/>
    <s v="990000320452699"/>
    <m/>
    <s v="IP Transit_x000a_"/>
    <m/>
    <m/>
    <n v="60000000"/>
    <m/>
    <m/>
    <m/>
    <n v="0.15"/>
    <d v="2023-05-01T00:00:00"/>
    <d v="2025-04-30T00:00:00"/>
    <x v="0"/>
    <m/>
    <d v="2025-12-24T00:00:00"/>
    <n v="-238"/>
    <n v="4"/>
    <n v="2025"/>
    <m/>
    <m/>
    <m/>
    <s v="Syifa Fauziyah"/>
    <m/>
    <m/>
    <m/>
    <m/>
    <m/>
    <m/>
    <m/>
    <m/>
    <m/>
    <m/>
    <m/>
    <m/>
  </r>
  <r>
    <n v="1740"/>
    <s v="PT Solusi Jasa Teknologi"/>
    <s v="PT MAYBANK KIM ENG SECURITIES INDONESIA"/>
    <s v="Data Center Elitery Bogor-SOJATEK"/>
    <x v="0"/>
    <s v="Elitery Recovery Data Center,Jalan Padjajaran No.17 Sanggar Ksatria 5 Lantai 5 Bogor Jawa Barat"/>
    <s v="Sentral Senayan III, Lantai 22, Jl. Asia Afrika No. 8  Gelora Bung Karno, Senayan Jakarta 10270"/>
    <s v="BAGI HASIL"/>
    <s v="Revenue Sharing"/>
    <m/>
    <s v="990000320470177"/>
    <m/>
    <s v="Metronet"/>
    <m/>
    <m/>
    <n v="90600000"/>
    <m/>
    <m/>
    <m/>
    <n v="0.15"/>
    <d v="2023-05-01T00:00:00"/>
    <d v="2025-04-30T00:00:00"/>
    <x v="0"/>
    <m/>
    <d v="2025-12-24T00:00:00"/>
    <n v="-238"/>
    <n v="4"/>
    <n v="2025"/>
    <m/>
    <m/>
    <m/>
    <s v="Syifa Fauziyah"/>
    <m/>
    <m/>
    <m/>
    <m/>
    <m/>
    <m/>
    <m/>
    <m/>
    <m/>
    <m/>
    <m/>
    <m/>
  </r>
  <r>
    <n v="1741"/>
    <s v="PT Solusi Jasa Teknologi"/>
    <s v="PT EKA MAS REPUBLIK"/>
    <s v="Data Center Elitery Bogor-SOJATEK"/>
    <x v="0"/>
    <s v="POP IDC Duren Tiga"/>
    <s v="PT. Sinarmas Sekuritas, Elitery Data Center, Jl. Pajajaran No. 17, Bogor"/>
    <s v="BAGI HASIL"/>
    <s v="Revenue Sharing"/>
    <m/>
    <m/>
    <m/>
    <s v="Metronet"/>
    <m/>
    <m/>
    <n v="75900000"/>
    <m/>
    <m/>
    <m/>
    <n v="0.15"/>
    <d v="2023-05-01T00:00:00"/>
    <d v="2025-04-30T00:00:00"/>
    <x v="0"/>
    <m/>
    <d v="2025-12-24T00:00:00"/>
    <n v="-238"/>
    <n v="4"/>
    <n v="2025"/>
    <m/>
    <m/>
    <m/>
    <s v="Syifa Fauziyah"/>
    <m/>
    <m/>
    <m/>
    <m/>
    <m/>
    <m/>
    <m/>
    <m/>
    <m/>
    <m/>
    <m/>
    <m/>
  </r>
  <r>
    <n v="1742"/>
    <s v="PT Solusi Jasa Teknologi"/>
    <s v="PT SARANA YUKTI BANDHANA"/>
    <s v="Data Center Elitery Bogor-SOJATEK"/>
    <x v="0"/>
    <s v="Gedung Elitery LT 4 Rack SYB Jl. Raya Padjajaran, Bogor, Kota Bogor, Jawa Barat, Indonesia, 16143"/>
    <s v="Kota Bogor, Jawa Barat, Indonesia"/>
    <s v="BAGI HASIL"/>
    <s v="Revenue Sharing"/>
    <m/>
    <s v="1000193597"/>
    <m/>
    <s v="IPVPN_x000a_"/>
    <m/>
    <m/>
    <n v="132000000"/>
    <m/>
    <m/>
    <m/>
    <n v="0.15"/>
    <d v="2023-05-01T00:00:00"/>
    <d v="2025-04-30T00:00:00"/>
    <x v="0"/>
    <m/>
    <d v="2025-12-24T00:00:00"/>
    <n v="-238"/>
    <n v="4"/>
    <n v="2025"/>
    <m/>
    <m/>
    <m/>
    <s v="Syifa Fauziyah"/>
    <m/>
    <m/>
    <m/>
    <m/>
    <m/>
    <m/>
    <m/>
    <m/>
    <m/>
    <m/>
    <m/>
    <m/>
  </r>
  <r>
    <n v="1763"/>
    <s v="PT Prospero Realty"/>
    <s v="PT Mitra Visioner Pratama"/>
    <s v="Gedung Sequis Center-PT Prospero"/>
    <x v="0"/>
    <m/>
    <s v="PT. PLN Distribusi Jakarta Raya dan Tangerang Gedung F Jl. M.I Ridwan Rais No.1 Jakarta 10110 Telp 021-3512444"/>
    <s v="BAGI HASIL"/>
    <s v="Revenue Sharing"/>
    <m/>
    <m/>
    <m/>
    <s v="Metronet"/>
    <m/>
    <m/>
    <n v="34800000"/>
    <m/>
    <m/>
    <m/>
    <n v="0.2"/>
    <d v="2023-10-16T00:00:00"/>
    <d v="2025-10-15T00:00:00"/>
    <x v="1"/>
    <m/>
    <d v="2025-12-24T00:00:00"/>
    <n v="-70"/>
    <n v="10"/>
    <n v="2025"/>
    <m/>
    <m/>
    <m/>
    <s v="Syifa Fauziyah"/>
    <s v="Nadia"/>
    <s v="62 895-3758-31182"/>
    <m/>
    <m/>
    <m/>
    <m/>
    <m/>
    <m/>
    <m/>
    <m/>
    <m/>
    <m/>
  </r>
  <r>
    <n v="1767"/>
    <s v="PT Netciti Persada"/>
    <s v="PT PRIMACOM INTERBUANA"/>
    <s v="Kawasan Alam Sutera- Netciti Persada"/>
    <x v="0"/>
    <m/>
    <s v="Primacom, Gedung Primacom Alam Sutera"/>
    <s v="BAGI HASIL"/>
    <s v="Revenue Sharing"/>
    <m/>
    <n v="1000010268"/>
    <m/>
    <s v="Metronet"/>
    <m/>
    <m/>
    <n v="84000000"/>
    <m/>
    <m/>
    <m/>
    <n v="0.35"/>
    <d v="2022-11-26T00:00:00"/>
    <d v="2025-11-25T00:00:00"/>
    <x v="1"/>
    <m/>
    <d v="2025-12-24T00:00:00"/>
    <n v="-29"/>
    <n v="11"/>
    <n v="2025"/>
    <m/>
    <m/>
    <m/>
    <s v="Syifa Fauziyah"/>
    <m/>
    <s v="Carolline, Bayu"/>
    <m/>
    <m/>
    <m/>
    <m/>
    <m/>
    <m/>
    <m/>
    <m/>
    <m/>
    <m/>
  </r>
  <r>
    <n v="1768"/>
    <s v="PT Netciti Persada"/>
    <s v="PT MEGADEPO INDONESIA"/>
    <s v="Kawasan Alam Sutera- Netciti Persada"/>
    <x v="0"/>
    <m/>
    <s v="Jl. Raya Serpong Km.2 Pakulonan Serpong Tangerang 15325"/>
    <s v="BAGI HASIL"/>
    <s v="Revenue Sharing"/>
    <s v="AL/2204/74975"/>
    <m/>
    <m/>
    <s v="Metronet"/>
    <m/>
    <m/>
    <n v="32400000"/>
    <m/>
    <m/>
    <m/>
    <n v="0.35"/>
    <d v="2022-11-26T00:00:00"/>
    <d v="2025-11-25T00:00:00"/>
    <x v="1"/>
    <m/>
    <d v="2025-12-24T00:00:00"/>
    <n v="-29"/>
    <n v="11"/>
    <n v="2025"/>
    <m/>
    <m/>
    <m/>
    <s v="Syifa Fauziyah"/>
    <m/>
    <s v="Carolline, Bayu"/>
    <m/>
    <m/>
    <m/>
    <m/>
    <m/>
    <m/>
    <m/>
    <m/>
    <m/>
    <m/>
  </r>
  <r>
    <n v="1769"/>
    <s v="PT Netciti Persada"/>
    <s v="PT CATURKARDA DEPO BANGUNAN"/>
    <s v="Kawasan Alam Sutera- Netciti Persada"/>
    <x v="0"/>
    <m/>
    <m/>
    <s v="BAGI HASIL"/>
    <s v="Revenue Sharing"/>
    <m/>
    <s v="110120202474 / 0990000320358255"/>
    <m/>
    <s v="Metronet"/>
    <m/>
    <m/>
    <n v="60000000"/>
    <m/>
    <m/>
    <m/>
    <n v="0.35"/>
    <d v="2022-11-26T00:00:00"/>
    <d v="2025-11-25T00:00:00"/>
    <x v="1"/>
    <m/>
    <d v="2025-12-24T00:00:00"/>
    <n v="-29"/>
    <n v="11"/>
    <n v="2025"/>
    <m/>
    <m/>
    <m/>
    <s v="Syifa Fauziyah"/>
    <m/>
    <s v="Carolline, Bayu"/>
    <m/>
    <m/>
    <m/>
    <m/>
    <m/>
    <m/>
    <m/>
    <m/>
    <m/>
    <m/>
  </r>
  <r>
    <n v="1770"/>
    <s v="PT Netciti Persada"/>
    <s v="PT Cyberindo Aditama"/>
    <s v="Kawasan Alam Sutera- Netciti Persada"/>
    <x v="0"/>
    <m/>
    <s v="PT INDROBUANA BULK TRANSPORT, The Prominence Office Tower 19 th Jln Sutra Barat Kav 15 Alam Sutra Tanggerang"/>
    <s v="BAGI HASIL"/>
    <s v="Revenue Sharing"/>
    <m/>
    <s v="0990000320501489"/>
    <m/>
    <s v="Metronet"/>
    <m/>
    <m/>
    <n v="72000000"/>
    <m/>
    <m/>
    <m/>
    <n v="0.35"/>
    <d v="2022-11-26T00:00:00"/>
    <d v="2025-11-25T00:00:00"/>
    <x v="1"/>
    <m/>
    <d v="2025-12-24T00:00:00"/>
    <n v="-29"/>
    <n v="11"/>
    <n v="2025"/>
    <m/>
    <m/>
    <m/>
    <s v="Syifa Fauziyah"/>
    <m/>
    <s v="Carolline, Bayu"/>
    <m/>
    <m/>
    <m/>
    <m/>
    <m/>
    <m/>
    <m/>
    <m/>
    <m/>
    <m/>
  </r>
  <r>
    <n v="1771"/>
    <s v="PT Netciti Persada"/>
    <s v="BANK SINARMAS"/>
    <s v="Kawasan Alam Sutera- Netciti Persada"/>
    <x v="0"/>
    <m/>
    <s v="KCP Tangerang - Alam Sutera Komp. Perumahan Alam Sutera, Jl. Jalur Sutera Kav. 29 D No. 25, Kel. Pakualam, Kec. Serpong, Tangerang"/>
    <s v="BAGI HASIL"/>
    <s v="Revenue Sharing"/>
    <s v="AL/2005/15042"/>
    <m/>
    <m/>
    <s v="Metronet"/>
    <m/>
    <m/>
    <n v="93600000"/>
    <m/>
    <m/>
    <m/>
    <n v="0.35"/>
    <d v="2022-11-26T00:00:00"/>
    <d v="2025-11-25T00:00:00"/>
    <x v="1"/>
    <m/>
    <d v="2025-12-24T00:00:00"/>
    <n v="-29"/>
    <n v="11"/>
    <n v="2025"/>
    <m/>
    <m/>
    <m/>
    <s v="Syifa Fauziyah"/>
    <m/>
    <s v="Carolline, Bayu"/>
    <m/>
    <m/>
    <m/>
    <m/>
    <m/>
    <m/>
    <m/>
    <m/>
    <m/>
    <m/>
  </r>
  <r>
    <n v="1772"/>
    <s v="PT Netciti Persada"/>
    <s v="BANK PANIN"/>
    <s v="Kawasan Alam Sutera- Netciti Persada"/>
    <x v="0"/>
    <m/>
    <s v="KCP ALAM SUTRA, RUKO JALUR ALAM SUTERA 29A NO.1 SERPONG, TANGERANG (INTERKONEKSI NETCITY)"/>
    <s v="BAGI HASIL"/>
    <s v="Revenue Sharing"/>
    <m/>
    <s v="0990000320510486"/>
    <m/>
    <s v="IPVPN"/>
    <m/>
    <m/>
    <n v="57600000"/>
    <m/>
    <m/>
    <m/>
    <n v="0.35"/>
    <d v="2022-11-26T00:00:00"/>
    <d v="2025-11-25T00:00:00"/>
    <x v="1"/>
    <m/>
    <d v="2025-12-24T00:00:00"/>
    <n v="-29"/>
    <n v="11"/>
    <n v="2025"/>
    <m/>
    <m/>
    <m/>
    <s v="Syifa Fauziyah"/>
    <m/>
    <s v="Carolline, Bayu"/>
    <m/>
    <m/>
    <m/>
    <m/>
    <m/>
    <m/>
    <m/>
    <m/>
    <m/>
    <m/>
  </r>
  <r>
    <n v="1773"/>
    <s v="PT Netciti Persada"/>
    <s v="PT SUMBER ALFARIA TRIJAYA TBK"/>
    <s v="Kawasan Alam Sutera- Netciti Persada"/>
    <x v="0"/>
    <m/>
    <s v="AC80 ALAM SUTERA 4 JL. JALUR SUTERA 10A NO. B 7 &amp; 8 KEL. KUNCIRAN, KEC. PINANG TANGERANG (Serpong)"/>
    <s v="BAGI HASIL"/>
    <s v="Revenue Sharing"/>
    <m/>
    <s v="01000168013"/>
    <m/>
    <s v="Full Manage Service Router + IP VPN Link"/>
    <m/>
    <m/>
    <n v="38160000"/>
    <m/>
    <m/>
    <m/>
    <n v="0.35"/>
    <d v="2022-11-26T00:00:00"/>
    <d v="2025-11-25T00:00:00"/>
    <x v="1"/>
    <m/>
    <d v="2025-12-24T00:00:00"/>
    <n v="-29"/>
    <n v="11"/>
    <n v="2025"/>
    <m/>
    <m/>
    <m/>
    <s v="Syifa Fauziyah"/>
    <m/>
    <s v="Carolline, Bayu"/>
    <m/>
    <m/>
    <m/>
    <m/>
    <m/>
    <m/>
    <m/>
    <m/>
    <m/>
    <m/>
  </r>
  <r>
    <n v="1774"/>
    <s v="PT Netciti Persada"/>
    <s v="PT PRIMACOM INTERBUANA"/>
    <s v="Kawasan Alam Sutera- Netciti Persada"/>
    <x v="0"/>
    <m/>
    <s v="PT Primacom Interbuana Gedung Prima Sejahtera Jl. Jalus Sutera Kav 5A, Kunciran Pinang, Kota Tangerang, Banten 15144"/>
    <s v="BAGI HASIL"/>
    <s v="Revenue Sharing"/>
    <s v="AL/1806/4799"/>
    <m/>
    <m/>
    <s v="Metronet"/>
    <m/>
    <m/>
    <n v="390000000"/>
    <m/>
    <m/>
    <m/>
    <n v="0.35"/>
    <d v="2022-11-26T00:00:00"/>
    <d v="2025-11-25T00:00:00"/>
    <x v="1"/>
    <m/>
    <d v="2025-12-24T00:00:00"/>
    <n v="-29"/>
    <n v="11"/>
    <n v="2025"/>
    <m/>
    <m/>
    <m/>
    <s v="Syifa Fauziyah"/>
    <m/>
    <s v="Carolline, Bayu"/>
    <m/>
    <m/>
    <m/>
    <m/>
    <m/>
    <m/>
    <m/>
    <m/>
    <m/>
    <m/>
  </r>
  <r>
    <n v="1775"/>
    <s v="PT Netciti Persada"/>
    <s v="PT BANK SYARIAH (KCP JAKARTA SERPONG)"/>
    <s v="Kawasan Alam Sutera- Netciti Persada"/>
    <x v="0"/>
    <m/>
    <s v="KCP Jakarta Serpong, Komplek Pertokoan Alam Sutra, jl. Jalur sutra Kav. 29A No. 3, pakualam, Serpong Utara, Kota tangerang Selatan, Banten Indonesia 15320"/>
    <s v="BAGI HASIL"/>
    <s v="Revenue Sharing"/>
    <s v="AL/2208/235843"/>
    <m/>
    <m/>
    <s v="Metronet"/>
    <m/>
    <m/>
    <n v="38181816"/>
    <m/>
    <m/>
    <m/>
    <n v="0.35"/>
    <d v="2022-11-26T00:00:00"/>
    <d v="2025-11-25T00:00:00"/>
    <x v="1"/>
    <m/>
    <d v="2025-12-24T00:00:00"/>
    <n v="-29"/>
    <n v="11"/>
    <n v="2025"/>
    <m/>
    <m/>
    <m/>
    <s v="Syifa Fauziyah"/>
    <m/>
    <s v="Carolline, Bayu"/>
    <m/>
    <m/>
    <m/>
    <m/>
    <m/>
    <m/>
    <m/>
    <m/>
    <m/>
    <m/>
  </r>
  <r>
    <n v="1776"/>
    <s v="PT Netciti Persada"/>
    <s v="PT SUMBER ALFARIA TRIJAYA"/>
    <s v="Kawasan Alam Sutera- Netciti Persada"/>
    <x v="0"/>
    <m/>
    <s v="AC80 ALAM SUTERA 4 JL. JALUR SUTERA 10A NO. B 7 &amp; 8 KEL. KUNCIRAN, KEC. PINANG TANGERANG (Serpong)"/>
    <s v="BAGI HASIL"/>
    <s v="Revenue Sharing"/>
    <s v="AL/2203/60802 "/>
    <s v="01000168013 "/>
    <m/>
    <s v="IPVPN"/>
    <m/>
    <m/>
    <n v="84000000"/>
    <m/>
    <m/>
    <m/>
    <n v="0.35"/>
    <d v="2022-11-26T00:00:00"/>
    <d v="2025-11-25T00:00:00"/>
    <x v="1"/>
    <m/>
    <d v="2025-12-24T00:00:00"/>
    <n v="-29"/>
    <n v="11"/>
    <n v="2025"/>
    <m/>
    <m/>
    <m/>
    <s v="Syifa Fauziyah"/>
    <m/>
    <s v="Carolline, Bayu"/>
    <m/>
    <m/>
    <m/>
    <m/>
    <m/>
    <m/>
    <m/>
    <m/>
    <m/>
    <m/>
  </r>
  <r>
    <n v="1777"/>
    <s v="PT Netciti Persada"/>
    <s v="PT MEGADEPO BANGUNAN"/>
    <s v="Kawasan Alam Sutera- Netciti Persada"/>
    <x v="0"/>
    <m/>
    <s v="(Node Serpong) Jl. Raya Serpong No.KM. 2, Pakulonan,  Kecamatan Serpong Utara,  Kota Tangerang Selatan,  Banten,  Indonesia,  15325"/>
    <s v="BAGI HASIL"/>
    <s v="Revenue Sharing"/>
    <s v="AL/2204/74975"/>
    <m/>
    <m/>
    <s v="Metronet"/>
    <m/>
    <m/>
    <n v="34800000"/>
    <m/>
    <m/>
    <m/>
    <n v="0.35"/>
    <d v="2022-11-26T00:00:00"/>
    <d v="2025-11-25T00:00:00"/>
    <x v="1"/>
    <m/>
    <d v="2025-12-24T00:00:00"/>
    <n v="-29"/>
    <n v="11"/>
    <n v="2025"/>
    <m/>
    <m/>
    <m/>
    <s v="Syifa Fauziyah"/>
    <m/>
    <s v="Carolline, Bayu"/>
    <m/>
    <m/>
    <m/>
    <m/>
    <m/>
    <m/>
    <m/>
    <m/>
    <m/>
    <m/>
  </r>
  <r>
    <n v="1778"/>
    <s v="PT Netciti Persada"/>
    <s v="PT DEKORUMA NIAGA SEJAHTERA"/>
    <s v="Kawasan Alam Sutera- Netciti Persada"/>
    <x v="0"/>
    <m/>
    <s v="Ruko De Mansion Blok A. 10-12 Jl. Jalur Sutera, Kunciran, Pakualam, Kecamatan Pinang, Tangerang, Kabupaten Tangerang, Banten, Indonesia, 15320"/>
    <s v="BAGI HASIL"/>
    <s v="Revenue Sharing"/>
    <s v="AL/2206/164499"/>
    <m/>
    <m/>
    <s v="Internet Corporate"/>
    <m/>
    <m/>
    <n v="110400000"/>
    <m/>
    <m/>
    <m/>
    <n v="0.35"/>
    <d v="2022-11-26T00:00:00"/>
    <d v="2025-11-25T00:00:00"/>
    <x v="1"/>
    <m/>
    <d v="2025-12-24T00:00:00"/>
    <n v="-29"/>
    <n v="11"/>
    <n v="2025"/>
    <m/>
    <m/>
    <m/>
    <s v="Syifa Fauziyah"/>
    <m/>
    <s v="Carolline, Bayu"/>
    <m/>
    <m/>
    <m/>
    <m/>
    <m/>
    <m/>
    <m/>
    <m/>
    <m/>
    <m/>
  </r>
  <r>
    <n v="1779"/>
    <s v="PT Netciti Persada"/>
    <s v="PT BANK MANDIRI (PERSERO)"/>
    <s v="Kawasan Alam Sutera- Netciti Persada"/>
    <x v="0"/>
    <m/>
    <s v="Bank Mandiri Tangerang Kunciran"/>
    <s v="BAGI HASIL"/>
    <s v="Revenue Sharing"/>
    <m/>
    <n v="1000331808"/>
    <m/>
    <s v="IPVPN"/>
    <m/>
    <m/>
    <n v="40200000"/>
    <m/>
    <m/>
    <m/>
    <n v="0.35"/>
    <d v="2022-11-26T00:00:00"/>
    <d v="2025-11-25T00:00:00"/>
    <x v="1"/>
    <m/>
    <d v="2025-12-24T00:00:00"/>
    <n v="-29"/>
    <n v="11"/>
    <n v="2025"/>
    <m/>
    <m/>
    <m/>
    <s v="Syifa Fauziyah"/>
    <m/>
    <s v="Carolline, Bayu"/>
    <m/>
    <m/>
    <m/>
    <m/>
    <m/>
    <m/>
    <m/>
    <m/>
    <m/>
    <m/>
  </r>
  <r>
    <n v="1781"/>
    <s v="PT Jasa Prima Anugrah Abadi"/>
    <s v="PT NAP INFO LINTASNUSA "/>
    <s v="Gedung Plaza Oleos"/>
    <x v="0"/>
    <m/>
    <s v="ASTELLAS PHARMA INC. 5th floor, Plaza Oleos Jl. TB Simatupang Kav. 53A, Jakarta Indonesia"/>
    <s v="BAGI HASIL"/>
    <s v="Revenue Sharing"/>
    <m/>
    <m/>
    <m/>
    <s v="Metronet"/>
    <m/>
    <m/>
    <n v="96000000"/>
    <m/>
    <m/>
    <m/>
    <n v="0.125"/>
    <d v="2022-09-13T00:00:00"/>
    <d v="2024-09-12T00:00:00"/>
    <x v="2"/>
    <m/>
    <d v="2025-12-24T00:00:00"/>
    <n v="-468"/>
    <n v="9"/>
    <n v="2024"/>
    <m/>
    <m/>
    <m/>
    <s v="Syifa Fauziyah"/>
    <m/>
    <s v="Cattleya Ayu P"/>
    <m/>
    <m/>
    <m/>
    <m/>
    <m/>
    <m/>
    <m/>
    <m/>
    <m/>
    <s v="Deaktivasi"/>
  </r>
  <r>
    <n v="1782"/>
    <s v="PT Puriampera Intipratama"/>
    <s v="PT Data Sinergitama Jaya"/>
    <s v="Gedung AD Premier-Puriampera"/>
    <x v="0"/>
    <m/>
    <s v="Gedung AD Premier Tb.Simatupang Jl.Tb.Simatupang No.5 Lantai 6 Jakarta Selatan"/>
    <s v="BAGI HASIL"/>
    <s v="Revenue Sharing"/>
    <m/>
    <s v="01000104273"/>
    <m/>
    <s v="Metronet"/>
    <m/>
    <m/>
    <n v="72000000"/>
    <m/>
    <m/>
    <m/>
    <n v="0.15"/>
    <d v="2022-09-16T00:00:00"/>
    <d v="2025-09-15T00:00:00"/>
    <x v="0"/>
    <m/>
    <d v="2025-12-24T00:00:00"/>
    <n v="-100"/>
    <n v="9"/>
    <n v="2025"/>
    <m/>
    <m/>
    <m/>
    <s v="Syifa Fauziyah"/>
    <m/>
    <s v="Dian"/>
    <m/>
    <m/>
    <m/>
    <m/>
    <m/>
    <m/>
    <m/>
    <m/>
    <m/>
    <m/>
  </r>
  <r>
    <n v="1783"/>
    <s v="PT Jejaring Ultra Prima"/>
    <s v="PT TOYOTA ASTRA FINANCIAL SERVICES"/>
    <s v="Kawasan Summarecon Bekasi- JJUP"/>
    <x v="0"/>
    <m/>
    <s v="Toyota Astra Finance Bekasi, Ruko Emerald Blok UA No. 12 Summarecon Bekasi,"/>
    <s v="BAGI HASIL"/>
    <s v="Revenue Sharing"/>
    <s v="AL/1809/9320"/>
    <m/>
    <m/>
    <s v="Metronet"/>
    <m/>
    <m/>
    <n v="15600000"/>
    <m/>
    <m/>
    <m/>
    <n v="0.12"/>
    <d v="2023-06-06T00:00:00"/>
    <d v="2024-06-05T00:00:00"/>
    <x v="0"/>
    <m/>
    <d v="2025-12-24T00:00:00"/>
    <n v="-567"/>
    <n v="6"/>
    <n v="2024"/>
    <m/>
    <m/>
    <m/>
    <s v="Syifa Fauziyah"/>
    <m/>
    <s v="Cynthia"/>
    <m/>
    <m/>
    <m/>
    <m/>
    <m/>
    <m/>
    <m/>
    <m/>
    <m/>
    <m/>
  </r>
  <r>
    <n v="1784"/>
    <s v="PT Jejaring Ultra Prima"/>
    <s v="PT BANK MANDIRI BEKASI "/>
    <s v="Kawasan Summarecon Bekasi- JJUP"/>
    <x v="0"/>
    <m/>
    <s v="Menara Mandiri Bekasi, Jl. Boulevard ahmad yani RT06/02 Marga mulya(lokasi persis Kantor Pemasaran Summarecon Bekasi). Kec. Bekasi Utara Kota Bekasi."/>
    <s v="BAGI HASIL"/>
    <s v="Revenue Sharing"/>
    <s v="AL/2012/78362"/>
    <m/>
    <m/>
    <s v="Metronet"/>
    <m/>
    <m/>
    <n v="163636368"/>
    <m/>
    <m/>
    <m/>
    <n v="0.25"/>
    <d v="2021-01-01T00:00:00"/>
    <d v="2022-01-02T00:00:00"/>
    <x v="0"/>
    <m/>
    <d v="2025-12-24T00:00:00"/>
    <n v="-1452"/>
    <n v="1"/>
    <n v="2022"/>
    <m/>
    <m/>
    <m/>
    <s v="Syifa Fauziyah"/>
    <m/>
    <s v="Cynthia"/>
    <m/>
    <m/>
    <m/>
    <m/>
    <m/>
    <m/>
    <m/>
    <m/>
    <m/>
    <m/>
  </r>
  <r>
    <n v="1785"/>
    <s v="PT Krakatau Information Technology"/>
    <s v="PT SENTRAL GRAIN TERMINAL"/>
    <s v="Kawasan Krakatau Steel- KIT"/>
    <x v="0"/>
    <m/>
    <s v="PT sentral grain terminal site Cilegon, tegalratu, ciwandan, kota cilegon, banten"/>
    <s v="BAGI HASIL"/>
    <s v="Revenue Sharing"/>
    <s v="AL/2009/45795"/>
    <m/>
    <m/>
    <s v="Internet Corporate"/>
    <s v="20 Mbps"/>
    <m/>
    <n v="97200000"/>
    <m/>
    <m/>
    <m/>
    <n v="0.35"/>
    <d v="2023-09-01T00:00:00"/>
    <d v="2024-08-31T00:00:00"/>
    <x v="0"/>
    <m/>
    <d v="2025-12-24T00:00:00"/>
    <n v="-480"/>
    <n v="8"/>
    <n v="2024"/>
    <m/>
    <m/>
    <m/>
    <s v="Syifa Fauziyah"/>
    <m/>
    <s v="Diki, Desy"/>
    <m/>
    <m/>
    <m/>
    <m/>
    <m/>
    <m/>
    <m/>
    <m/>
    <m/>
    <m/>
  </r>
  <r>
    <n v="1786"/>
    <s v="PT Krakatau Information Technology"/>
    <s v="PT KRAKATAU DAYA LISTRIK"/>
    <s v="Kawasan Krakatau Steel- KIT"/>
    <x v="0"/>
    <m/>
    <s v="JL. Amerika 1 kaw. Industri krakatau citangkil, kota cilegon, banten"/>
    <s v="BAGI HASIL"/>
    <s v="Revenue Sharing"/>
    <s v="AL/2008/39603"/>
    <m/>
    <m/>
    <s v="Internet Corporate"/>
    <s v="100 Mbps"/>
    <m/>
    <n v="171000000"/>
    <m/>
    <m/>
    <m/>
    <n v="0.35"/>
    <d v="2023-09-01T00:00:00"/>
    <d v="2024-08-31T00:00:00"/>
    <x v="0"/>
    <m/>
    <d v="2025-12-24T00:00:00"/>
    <n v="-480"/>
    <n v="8"/>
    <n v="2024"/>
    <m/>
    <m/>
    <m/>
    <s v="Syifa Fauziyah"/>
    <m/>
    <s v="Diki, Desy"/>
    <m/>
    <m/>
    <m/>
    <m/>
    <m/>
    <m/>
    <m/>
    <m/>
    <m/>
    <m/>
  </r>
  <r>
    <n v="1787"/>
    <s v="PT Krakatau Information Technology"/>
    <s v="PT. KNAUF PLASTERBOARD INDONESIA"/>
    <s v="Kawasan Krakatau Steel- KIT"/>
    <x v="0"/>
    <m/>
    <s v="Jl. Asia 1 Kav G3. Kawasan Industri Krakatau. Kel. Kotasari, Ramanuju, Kec. Purwakarta, Cilegon, Banten, Indonesia 42436"/>
    <s v="BAGI HASIL"/>
    <s v="Revenue Sharing"/>
    <s v="AL/2101/1531"/>
    <m/>
    <m/>
    <s v="Internet Corporate"/>
    <s v="5 Mbps"/>
    <m/>
    <n v="90000000"/>
    <m/>
    <m/>
    <m/>
    <n v="0.35"/>
    <d v="2023-09-01T00:00:00"/>
    <d v="2024-08-31T00:00:00"/>
    <x v="0"/>
    <m/>
    <d v="2025-12-24T00:00:00"/>
    <n v="-480"/>
    <n v="8"/>
    <n v="2024"/>
    <m/>
    <m/>
    <m/>
    <s v="Syifa Fauziyah"/>
    <m/>
    <s v="Diki, Desy"/>
    <m/>
    <m/>
    <m/>
    <m/>
    <m/>
    <m/>
    <m/>
    <m/>
    <m/>
    <m/>
  </r>
  <r>
    <n v="1788"/>
    <s v="PT Krakatau Information Technology"/>
    <s v="PT TOKKI ENGINEERING AND FABRICATION"/>
    <s v="Kawasan Krakatau Steel- KIT"/>
    <x v="0"/>
    <m/>
    <s v="PT. Tokki EF (Ex PT GSU) Kawasan IEC, Jl. Australia I, Warnasari, Kec. Citangkil, Kota Cilegon, Banten, Indonesia 42443"/>
    <s v="BAGI HASIL"/>
    <s v="Revenue Sharing"/>
    <s v="AL/2101/1531"/>
    <m/>
    <m/>
    <s v="Internet Corporate"/>
    <s v="50 mbps "/>
    <m/>
    <n v="96000000"/>
    <m/>
    <m/>
    <m/>
    <n v="0.35"/>
    <d v="2023-09-01T00:00:00"/>
    <d v="2024-08-31T00:00:00"/>
    <x v="0"/>
    <m/>
    <d v="2025-12-24T00:00:00"/>
    <n v="-480"/>
    <n v="8"/>
    <n v="2024"/>
    <m/>
    <m/>
    <m/>
    <s v="Syifa Fauziyah"/>
    <m/>
    <s v="Diki, Desy"/>
    <m/>
    <m/>
    <m/>
    <m/>
    <m/>
    <m/>
    <m/>
    <m/>
    <m/>
    <m/>
  </r>
  <r>
    <n v="1789"/>
    <s v="PT Krakatau Information Technology"/>
    <s v="PT SGC BARITO LOGISTICS"/>
    <s v="Kawasan Krakatau Steel- KIT"/>
    <x v="0"/>
    <m/>
    <s v="PT SCG Barito Logistics (Pergudangan Australia) Cilegon, Ramanuju, Kec. Purwakarta, Kota Cilegon Banten, Indonesia 42432"/>
    <s v="BAGI HASIL"/>
    <s v="Revenue Sharing"/>
    <s v="AL/2109/80801"/>
    <m/>
    <m/>
    <s v="Internet Corporate"/>
    <s v="30 Mbps"/>
    <m/>
    <n v="64800000"/>
    <m/>
    <m/>
    <m/>
    <n v="0.35"/>
    <d v="2023-09-01T00:00:00"/>
    <d v="2024-08-31T00:00:00"/>
    <x v="0"/>
    <m/>
    <d v="2025-12-24T00:00:00"/>
    <n v="-480"/>
    <n v="8"/>
    <n v="2024"/>
    <m/>
    <m/>
    <m/>
    <s v="Syifa Fauziyah"/>
    <m/>
    <s v="Diki, Desy"/>
    <m/>
    <m/>
    <m/>
    <m/>
    <m/>
    <m/>
    <m/>
    <m/>
    <m/>
    <m/>
  </r>
  <r>
    <n v="1790"/>
    <s v="PT Krakatau Information Technology"/>
    <s v="PT IX TELECOM qq"/>
    <s v="Kawasan Krakatau Steel- KIT"/>
    <x v="0"/>
    <m/>
    <s v="PT Rohm and Haas Indonesia  Jl. Eropa III Kav M2 Krakatau Industrial Estate Cilegon Warnasari,  Citangkil,  Kota Cilegon,  Banten"/>
    <s v="BAGI HASIL"/>
    <s v="Revenue Sharing"/>
    <s v="AL/2203/53992"/>
    <m/>
    <m/>
    <s v="Internet Corporate"/>
    <s v="5 Mbps"/>
    <m/>
    <n v="60000000"/>
    <m/>
    <m/>
    <m/>
    <n v="0.35"/>
    <d v="2023-09-01T00:00:00"/>
    <d v="2024-08-31T00:00:00"/>
    <x v="0"/>
    <m/>
    <d v="2025-12-24T00:00:00"/>
    <n v="-480"/>
    <n v="8"/>
    <n v="2024"/>
    <m/>
    <m/>
    <m/>
    <s v="Syifa Fauziyah"/>
    <m/>
    <s v="Diki, Desy"/>
    <m/>
    <m/>
    <m/>
    <m/>
    <m/>
    <m/>
    <m/>
    <m/>
    <m/>
    <m/>
  </r>
  <r>
    <n v="1791"/>
    <s v="PT Krakatau Information Technology"/>
    <s v="PT DAEKYUNG INDAH INDUSTRY"/>
    <s v="Kawasan Krakatau Steel- KIT"/>
    <x v="0"/>
    <m/>
    <s v="PT Daekyung Heavy Industry Kawasan KIEC Jalan Australia II Kavling 1, Kec. Citangkil, Kota Cilegon, Banten, Indonesia. 42443"/>
    <s v="BAGI HASIL"/>
    <s v="Revenue Sharing"/>
    <s v="AL/2112/144587"/>
    <m/>
    <m/>
    <s v="Internet Corporate"/>
    <s v="20 Mbps"/>
    <m/>
    <n v="117000000"/>
    <m/>
    <m/>
    <m/>
    <n v="0.35"/>
    <d v="2023-09-01T00:00:00"/>
    <d v="2024-08-31T00:00:00"/>
    <x v="0"/>
    <m/>
    <d v="2025-12-24T00:00:00"/>
    <n v="-480"/>
    <n v="8"/>
    <n v="2024"/>
    <m/>
    <m/>
    <m/>
    <s v="Syifa Fauziyah"/>
    <m/>
    <s v="Diki, Desy"/>
    <m/>
    <m/>
    <m/>
    <m/>
    <m/>
    <m/>
    <m/>
    <m/>
    <m/>
    <m/>
  </r>
  <r>
    <n v="1792"/>
    <s v="PT Krakatau Information Technology"/>
    <s v="PT. COMMUNICATION CABLE SYSTEMS INDONESIA TBK (JL. Eropa II)"/>
    <s v="Kawasan Krakatau Steel- KIT"/>
    <x v="0"/>
    <m/>
    <s v="Jl. Eropa II, Kav E3 KIEC. Cilegon - Banten, Cilegon, Banten, Indonesia, 42435"/>
    <s v="BAGI HASIL"/>
    <s v="Revenue Sharing"/>
    <s v="AL/2209/286295"/>
    <m/>
    <m/>
    <s v="Internet Corporate"/>
    <s v="50 Mbps dan Bronze Units"/>
    <m/>
    <n v="78000000"/>
    <m/>
    <m/>
    <m/>
    <n v="0.35"/>
    <d v="2023-09-01T00:00:00"/>
    <d v="2024-08-31T00:00:00"/>
    <x v="0"/>
    <m/>
    <d v="2025-12-24T00:00:00"/>
    <n v="-480"/>
    <n v="8"/>
    <n v="2024"/>
    <m/>
    <m/>
    <m/>
    <s v="Syifa Fauziyah"/>
    <m/>
    <s v="Diki, Desy"/>
    <m/>
    <m/>
    <m/>
    <m/>
    <m/>
    <m/>
    <m/>
    <m/>
    <m/>
    <m/>
  </r>
  <r>
    <n v="1793"/>
    <s v="PT Krakatau Information Technology"/>
    <s v="PT. LINK NET"/>
    <s v="Kawasan Krakatau Steel- KIT"/>
    <x v="0"/>
    <m/>
    <s v="PT Timah Industri Jl. Eropa 1 Kav A3 Kawasan Industrial Estate, Kotasari, Kec. Cilegon, Cilegon, Banten, Indonesia 42435"/>
    <s v="BAGI HASIL"/>
    <s v="Revenue Sharing"/>
    <s v="AL/2208/242322"/>
    <m/>
    <m/>
    <s v="Internet Corporate"/>
    <s v="50 Mbps"/>
    <m/>
    <n v="120000000"/>
    <m/>
    <m/>
    <m/>
    <n v="0.35"/>
    <d v="2023-09-01T00:00:00"/>
    <d v="2024-08-31T00:00:00"/>
    <x v="0"/>
    <m/>
    <d v="2025-12-24T00:00:00"/>
    <n v="-480"/>
    <n v="8"/>
    <n v="2024"/>
    <m/>
    <m/>
    <m/>
    <s v="Syifa Fauziyah"/>
    <m/>
    <s v="Diki, Desy"/>
    <m/>
    <m/>
    <m/>
    <m/>
    <m/>
    <m/>
    <m/>
    <m/>
    <m/>
    <m/>
  </r>
  <r>
    <n v="1794"/>
    <s v="PT Krakatau Information Technology"/>
    <s v="PT Thermax International Indonesia"/>
    <s v="Kawasan Krakatau Steel- KIT"/>
    <x v="0"/>
    <m/>
    <s v="Jl. Eropa 1 Kav P2 KOTASARI CILEGON Kawasan Industrial Estate, Kotasari, Kec. Cilegon, Cilegon, Banten, Indonesia 42435"/>
    <s v="BAGI HASIL"/>
    <s v="Revenue Sharing"/>
    <s v="AL/2208/244252"/>
    <m/>
    <m/>
    <s v="internet corporate"/>
    <s v="50 Mbps"/>
    <m/>
    <n v="162000000"/>
    <m/>
    <m/>
    <m/>
    <n v="0.35"/>
    <d v="2023-09-01T00:00:00"/>
    <d v="2024-08-31T00:00:00"/>
    <x v="0"/>
    <m/>
    <d v="2025-12-24T00:00:00"/>
    <n v="-480"/>
    <n v="8"/>
    <n v="2024"/>
    <m/>
    <m/>
    <m/>
    <s v="Syifa Fauziyah"/>
    <m/>
    <s v="Diki, Desy"/>
    <m/>
    <m/>
    <m/>
    <m/>
    <m/>
    <m/>
    <m/>
    <m/>
    <m/>
    <m/>
  </r>
  <r>
    <n v="1795"/>
    <s v="PT Centra Sarana Data"/>
    <s v="PT NIKOMAS GEMILANG"/>
    <s v="CENTRA SARANA DATA"/>
    <x v="0"/>
    <m/>
    <s v="Jakarta office UOB plaza, Lt.37, unit 2- jl. M.H. thamrin no. kav. 8-10, rt.14/rw.20, kb. Melati, kec. Tanah abang, jakarta pusat"/>
    <s v="BAGI HASIL"/>
    <s v="Revenue Sharing"/>
    <m/>
    <s v="1000118630"/>
    <m/>
    <s v="IPVPN"/>
    <m/>
    <m/>
    <n v="21427044"/>
    <m/>
    <m/>
    <m/>
    <n v="0.2"/>
    <d v="2022-07-29T00:00:00"/>
    <d v="2024-07-28T00:00:00"/>
    <x v="0"/>
    <m/>
    <d v="2025-12-24T00:00:00"/>
    <n v="-514"/>
    <n v="7"/>
    <n v="2024"/>
    <m/>
    <m/>
    <m/>
    <s v="Syifa Fauziyah"/>
    <m/>
    <s v="Reza, ella"/>
    <m/>
    <m/>
    <m/>
    <m/>
    <m/>
    <m/>
    <m/>
    <m/>
    <m/>
    <s v="Permintaan pic gedung sementara di hold dulu karena internal sedang ada proses perubahan akta,  setelah perubahan sudah selesai akan kami infokan kembali, addendum di backdate"/>
  </r>
  <r>
    <n v="1796"/>
    <s v="PT Patra Jasa"/>
    <s v="PT. BANK RAKYAT INDONESIA TBK"/>
    <s v="Gedung Graha Pertamina- Patra Jasa"/>
    <x v="0"/>
    <m/>
    <s v="H2H BRI Pertamina, PT. Patra Jasa Graha Pertamina Building Management, Ground Floor, JL. Medan Merdeka Timur Kav. 11-13, Gambir Jakarta Pusat, DKI Jakarta"/>
    <s v="BAGI HASIL"/>
    <s v="Revenue Sharing"/>
    <s v="AL/2109/82752"/>
    <m/>
    <m/>
    <s v="IPVPN"/>
    <m/>
    <m/>
    <n v="65454540"/>
    <m/>
    <m/>
    <m/>
    <n v="0.2"/>
    <d v="2021-03-04T00:00:00"/>
    <d v="2022-03-04T00:00:00"/>
    <x v="1"/>
    <m/>
    <d v="2025-12-24T00:00:00"/>
    <n v="-1391"/>
    <n v="3"/>
    <n v="2022"/>
    <m/>
    <m/>
    <m/>
    <s v="Syifa Fauziyah"/>
    <m/>
    <s v="Abel, Rudi"/>
    <m/>
    <m/>
    <m/>
    <m/>
    <m/>
    <m/>
    <m/>
    <m/>
    <m/>
    <m/>
  </r>
  <r>
    <n v="1797"/>
    <s v="PT Patra Jasa"/>
    <s v="PT. LANDMARK CONCURENT SOLUSI INDONESIA"/>
    <s v="Gedung Graha Pertamina- Patra Jasa"/>
    <x v="0"/>
    <m/>
    <s v="Graha pertamina, II, Jl. Medan Merdeka Timur No. 6, RT6/RW1, Gambir, Kec. Gambir, Jakarta Pusat."/>
    <s v="BAGI HASIL"/>
    <s v="Revenue Sharing"/>
    <s v="AL/2111/129144"/>
    <m/>
    <m/>
    <s v="Metronet"/>
    <m/>
    <m/>
    <n v="240000000"/>
    <m/>
    <m/>
    <m/>
    <n v="0.2"/>
    <d v="2021-03-04T00:00:00"/>
    <d v="2022-03-04T00:00:00"/>
    <x v="1"/>
    <m/>
    <d v="2025-12-24T00:00:00"/>
    <n v="-1391"/>
    <n v="3"/>
    <n v="2022"/>
    <m/>
    <m/>
    <m/>
    <s v="Syifa Fauziyah"/>
    <m/>
    <s v="Abel, Rudi"/>
    <m/>
    <m/>
    <m/>
    <m/>
    <m/>
    <m/>
    <m/>
    <m/>
    <m/>
    <m/>
  </r>
  <r>
    <n v="1798"/>
    <s v="PT Patra Jasa"/>
    <s v="PT. LANDMARK CONCURENT SOLUSI INDONESIA"/>
    <s v="Gedung Graha Pertamina- Patra Jasa"/>
    <x v="0"/>
    <m/>
    <s v="Graha pertamina, II, Jl. Medan Merdeka Timur No. 6, RT6/RW1, Gambir, Kec. Gambir, Jakarta Pusat."/>
    <s v="BAGI HASIL"/>
    <s v="Revenue Sharing"/>
    <s v="AL/2111/129154"/>
    <m/>
    <m/>
    <s v="Metronet"/>
    <m/>
    <m/>
    <n v="240000000"/>
    <m/>
    <m/>
    <m/>
    <n v="0.2"/>
    <d v="2021-03-04T00:00:00"/>
    <d v="2022-03-04T00:00:00"/>
    <x v="1"/>
    <m/>
    <d v="2025-12-24T00:00:00"/>
    <n v="-1391"/>
    <n v="3"/>
    <n v="2022"/>
    <m/>
    <m/>
    <m/>
    <s v="Syifa Fauziyah"/>
    <m/>
    <s v="Abel, Rudi"/>
    <m/>
    <m/>
    <m/>
    <m/>
    <m/>
    <m/>
    <m/>
    <m/>
    <m/>
    <m/>
  </r>
  <r>
    <n v="1799"/>
    <s v="PT Patra Jasa"/>
    <s v="PT. PERTAMINA (PERSERO)"/>
    <s v="Gedung Graha Pertamina- Patra Jasa"/>
    <x v="0"/>
    <m/>
    <s v="Graha Pertamina, II, JL. Medan Merdeka Timur No. 6, Rt6/RW1, Gambir, Kec. Gambar, Jakarta Pusat"/>
    <s v="BAGI HASIL"/>
    <s v="Revenue Sharing"/>
    <s v="AL/2109/80255"/>
    <m/>
    <m/>
    <s v="IPVPN"/>
    <m/>
    <m/>
    <n v="450000000"/>
    <m/>
    <m/>
    <m/>
    <n v="0.2"/>
    <d v="2021-03-04T00:00:00"/>
    <d v="2022-03-04T00:00:00"/>
    <x v="1"/>
    <m/>
    <d v="2025-12-24T00:00:00"/>
    <n v="-1391"/>
    <n v="3"/>
    <n v="2022"/>
    <m/>
    <m/>
    <m/>
    <s v="Syifa Fauziyah"/>
    <m/>
    <s v="Abel, Rudi"/>
    <m/>
    <m/>
    <m/>
    <m/>
    <m/>
    <m/>
    <m/>
    <m/>
    <m/>
    <m/>
  </r>
  <r>
    <n v="1800"/>
    <s v="PT Patra Jasa"/>
    <s v="PT. PERTAMINA (PERSERO)"/>
    <s v="Gedung Graha Pertamina- Patra Jasa"/>
    <x v="0"/>
    <m/>
    <s v="Graha Pertamina, II, JL. Medan Merdeka Timur No. 6, Rt6/RW1, Gambir, Kec. Gambar, Jakarta Pusat"/>
    <s v="BAGI HASIL"/>
    <s v="Revenue Sharing"/>
    <s v="AL/2104/23059"/>
    <m/>
    <m/>
    <s v="Metronet"/>
    <m/>
    <m/>
    <n v="172200000"/>
    <m/>
    <m/>
    <m/>
    <n v="0.2"/>
    <d v="2021-03-04T00:00:00"/>
    <d v="2022-03-04T00:00:00"/>
    <x v="1"/>
    <m/>
    <d v="2025-12-24T00:00:00"/>
    <n v="-1391"/>
    <n v="3"/>
    <n v="2022"/>
    <m/>
    <m/>
    <m/>
    <s v="Syifa Fauziyah"/>
    <m/>
    <s v="Abel, Rudi"/>
    <m/>
    <m/>
    <m/>
    <m/>
    <m/>
    <m/>
    <m/>
    <m/>
    <m/>
    <m/>
  </r>
  <r>
    <n v="1801"/>
    <s v="PT Patra Jasa"/>
    <s v="PT. PERTAMINA BINA MEDIKA "/>
    <s v="Gedung Graha Pertamina- Patra Jasa"/>
    <x v="0"/>
    <m/>
    <s v="Graha Pertamina, II, JL. Medan Merdeka Timur No. 6, Rt6/RW1, Gambir, Kec. Gambar, Jakarta Pusat"/>
    <s v="BAGI HASIL"/>
    <s v="Revenue Sharing"/>
    <s v="AL/2110/97886"/>
    <m/>
    <m/>
    <s v="IP Transit IX_x000a_"/>
    <m/>
    <m/>
    <n v="307200000"/>
    <m/>
    <m/>
    <m/>
    <n v="0.2"/>
    <d v="2021-03-04T00:00:00"/>
    <d v="2022-03-04T00:00:00"/>
    <x v="1"/>
    <m/>
    <d v="2025-12-24T00:00:00"/>
    <n v="-1391"/>
    <n v="3"/>
    <n v="2022"/>
    <m/>
    <m/>
    <m/>
    <s v="Syifa Fauziyah"/>
    <m/>
    <s v="Abel, Rudi"/>
    <m/>
    <m/>
    <m/>
    <m/>
    <m/>
    <m/>
    <m/>
    <m/>
    <m/>
    <m/>
  </r>
  <r>
    <n v="1802"/>
    <s v="PT Patra Jasa"/>
    <s v="PT. PERTAMINA GAS "/>
    <s v="Gedung Graha Pertamina- Patra Jasa"/>
    <x v="0"/>
    <m/>
    <s v="Graha Pertamina, II, JL. Medan Merdeka Timur No. 6, Rt6/RW1, Gambir, Kec. Gambar, Jakarta Pusat"/>
    <s v="BAGI HASIL"/>
    <s v="Revenue Sharing"/>
    <s v="AL/2211/326578"/>
    <m/>
    <m/>
    <s v="IPVPN"/>
    <m/>
    <m/>
    <n v="120000000"/>
    <m/>
    <m/>
    <m/>
    <n v="0.2"/>
    <d v="2021-03-04T00:00:00"/>
    <d v="2022-03-04T00:00:00"/>
    <x v="1"/>
    <m/>
    <d v="2025-12-24T00:00:00"/>
    <n v="-1391"/>
    <n v="3"/>
    <n v="2022"/>
    <m/>
    <m/>
    <m/>
    <s v="Syifa Fauziyah"/>
    <m/>
    <s v="Abel, Rudi"/>
    <m/>
    <m/>
    <m/>
    <m/>
    <m/>
    <m/>
    <m/>
    <m/>
    <m/>
    <m/>
  </r>
  <r>
    <n v="1803"/>
    <s v="PT CBN Nusantara"/>
    <s v="PT. BIMASAKTI MULTI SINERGI"/>
    <s v="Nex Data Center- CBN"/>
    <x v="0"/>
    <m/>
    <s v="NEX Data Center  (gedung Menara Tendean). Jl. Kapt Tendean no. 20C,,Kuningan Barat ,Jakarta Selatan ,DKI Jakarta ,Indonesia ,12710   "/>
    <s v="BAGI HASIL"/>
    <s v="Revenue Sharing"/>
    <s v="AL/2209/293807"/>
    <m/>
    <m/>
    <s v="IPVPN"/>
    <m/>
    <m/>
    <n v="36000000"/>
    <m/>
    <m/>
    <m/>
    <n v="0.15"/>
    <d v="2022-06-15T00:00:00"/>
    <d v="2023-06-14T00:00:00"/>
    <x v="0"/>
    <m/>
    <d v="2025-12-24T00:00:00"/>
    <n v="-924"/>
    <n v="6"/>
    <n v="2023"/>
    <m/>
    <m/>
    <m/>
    <s v="Syifa Fauziyah"/>
    <m/>
    <s v="Haryanto"/>
    <m/>
    <m/>
    <m/>
    <m/>
    <m/>
    <m/>
    <m/>
    <m/>
    <m/>
    <m/>
  </r>
  <r>
    <n v="1804"/>
    <s v="PT CBN Nusantara"/>
    <s v=" PT MITRA VISIONER PRATAMA"/>
    <s v="Nex Data Center- CBN"/>
    <x v="0"/>
    <m/>
    <s v="Perumahan puri krakatau hijau blok b3 no 12,  Gerogol,  Kota Cilegon,  Banten,  Indonesia,  "/>
    <s v="BAGI HASIL"/>
    <s v="Revenue Sharing"/>
    <s v="AL/2210/311086"/>
    <m/>
    <m/>
    <s v="Metronet"/>
    <m/>
    <m/>
    <n v="198000000"/>
    <m/>
    <m/>
    <m/>
    <n v="0.15"/>
    <d v="2022-06-15T00:00:00"/>
    <d v="2023-06-14T00:00:00"/>
    <x v="0"/>
    <m/>
    <d v="2025-12-24T00:00:00"/>
    <n v="-924"/>
    <n v="6"/>
    <n v="2023"/>
    <m/>
    <m/>
    <m/>
    <s v="Syifa Fauziyah"/>
    <m/>
    <s v="Haryanto"/>
    <m/>
    <m/>
    <m/>
    <m/>
    <m/>
    <m/>
    <m/>
    <m/>
    <m/>
    <m/>
  </r>
  <r>
    <n v="1805"/>
    <s v="PT CBN Nusantara"/>
    <s v="PT. ADHI PRADANA MAKAYASA"/>
    <s v="Nex Data Center- CBN"/>
    <x v="0"/>
    <m/>
    <s v="Desa Pasurenan RT 03/02 Pasurenan Batur, Banjarnegara 53456,  Batur,  Kabupaten Banjarnegara,  Jawa Tengah,  Indonesia,  53456"/>
    <s v="BAGI HASIL"/>
    <s v="Revenue Sharing"/>
    <s v="AL/2210/318170"/>
    <m/>
    <m/>
    <s v="Metronet"/>
    <m/>
    <m/>
    <n v="180000000"/>
    <m/>
    <m/>
    <m/>
    <n v="0.15"/>
    <d v="2022-06-15T00:00:00"/>
    <d v="2023-06-14T00:00:00"/>
    <x v="0"/>
    <m/>
    <d v="2025-12-24T00:00:00"/>
    <n v="-924"/>
    <n v="6"/>
    <n v="2023"/>
    <m/>
    <m/>
    <m/>
    <s v="Syifa Fauziyah"/>
    <m/>
    <s v="Haryanto"/>
    <m/>
    <m/>
    <m/>
    <m/>
    <m/>
    <m/>
    <m/>
    <m/>
    <m/>
    <m/>
  </r>
  <r>
    <n v="1806"/>
    <s v="PT CBN Nusantara"/>
    <s v="PT MARSILIAN AKUSARA LESTARI"/>
    <s v="Nex Data Center- CBN"/>
    <x v="0"/>
    <m/>
    <s v="NEX Data Center Menara Tendean Lt. 6, Jl. Kapten Tendean No.20C,  Mampang Prapatan,  Jakarta Selatan,  DKI Jakarta,  Indonesia,  12710"/>
    <s v="BAGI HASIL"/>
    <s v="Revenue Sharing"/>
    <s v="AL/2211/331356"/>
    <m/>
    <m/>
    <s v="Metronet"/>
    <m/>
    <m/>
    <n v="42000000"/>
    <m/>
    <m/>
    <m/>
    <n v="0.15"/>
    <d v="2022-06-15T00:00:00"/>
    <d v="2023-06-14T00:00:00"/>
    <x v="0"/>
    <m/>
    <d v="2025-12-24T00:00:00"/>
    <n v="-924"/>
    <n v="6"/>
    <n v="2023"/>
    <m/>
    <m/>
    <m/>
    <s v="Syifa Fauziyah"/>
    <m/>
    <s v="Haryanto"/>
    <m/>
    <m/>
    <m/>
    <m/>
    <m/>
    <m/>
    <m/>
    <m/>
    <m/>
    <m/>
  </r>
  <r>
    <n v="1807"/>
    <s v="PT Binapratama Sakatojaya"/>
    <s v="PT YETOYA SOLUSI INDONESIA"/>
    <s v="Gedung The Vida"/>
    <x v="0"/>
    <m/>
    <s v="PT Ingenico International Indonesia. Gedung The Vida Jl. Perjuangan No. 8 RT1/RW7. kb.Jeruk, Kebun Jeruk Jakarta Barat "/>
    <s v="BAGI HASIL"/>
    <s v="Revenue Sharing"/>
    <m/>
    <s v="01000309354"/>
    <m/>
    <s v="Metronet"/>
    <s v="15 Mbps"/>
    <m/>
    <n v="36000000"/>
    <m/>
    <m/>
    <m/>
    <n v="0.15"/>
    <d v="2023-11-01T00:00:00"/>
    <d v="2024-10-31T00:00:00"/>
    <x v="0"/>
    <m/>
    <d v="2025-12-24T00:00:00"/>
    <n v="-419"/>
    <n v="10"/>
    <n v="2024"/>
    <m/>
    <m/>
    <m/>
    <s v="Syifa Fauziyah"/>
    <m/>
    <s v="Bili Haksari, Nuni"/>
    <m/>
    <m/>
    <m/>
    <m/>
    <m/>
    <m/>
    <m/>
    <m/>
    <m/>
    <m/>
  </r>
  <r>
    <n v="1808"/>
    <s v="PT Binapratama Sakatojaya"/>
    <s v="PT SELAGO MAKMUR PLANTATION"/>
    <s v="Gedung The Vida"/>
    <x v="0"/>
    <m/>
    <s v="PT Selago Makmur Plantation Jl. Raya Perjuangan No. 8 Kebon Jeruk, Jakarta Barat 11530"/>
    <s v="BAGI HASIL"/>
    <s v="Revenue Sharing"/>
    <m/>
    <s v="04000006625"/>
    <m/>
    <s v="Akses internet"/>
    <s v="10 Mbps"/>
    <m/>
    <n v="54000000"/>
    <m/>
    <m/>
    <m/>
    <n v="0.15"/>
    <d v="2023-11-01T00:00:00"/>
    <d v="2024-10-31T00:00:00"/>
    <x v="0"/>
    <m/>
    <d v="2025-12-24T00:00:00"/>
    <n v="-419"/>
    <n v="10"/>
    <n v="2024"/>
    <m/>
    <m/>
    <m/>
    <s v="Syifa Fauziyah"/>
    <m/>
    <s v="Bili Haksari, Nuni"/>
    <m/>
    <m/>
    <m/>
    <m/>
    <m/>
    <m/>
    <m/>
    <m/>
    <m/>
    <m/>
  </r>
  <r>
    <n v="1809"/>
    <s v="PT AMSL INDONESIA"/>
    <s v="PT AMSL INDONESIA"/>
    <s v="AEON MALL"/>
    <x v="0"/>
    <m/>
    <s v="PT AEON INDONESIA Jl. BSD Raya Utama Unit M-02 Mezzanine Floor desa pagedangan, pagedangan, kabupaten tangerang, banten.15820"/>
    <s v="BAGI HASIL"/>
    <s v="Revenue Sharing"/>
    <m/>
    <s v="04000300722"/>
    <m/>
    <s v="Internet Corporate"/>
    <s v="20 Mbps"/>
    <m/>
    <n v="114000000"/>
    <m/>
    <m/>
    <m/>
    <n v="0.15"/>
    <d v="2024-09-02T00:00:00"/>
    <d v="2025-09-01T00:00:00"/>
    <x v="0"/>
    <m/>
    <d v="2025-12-24T00:00:00"/>
    <n v="-114"/>
    <n v="9"/>
    <n v="2025"/>
    <m/>
    <m/>
    <m/>
    <s v="Syifa Fauziyah"/>
    <m/>
    <s v="Riki"/>
    <m/>
    <m/>
    <m/>
    <m/>
    <m/>
    <m/>
    <m/>
    <m/>
    <m/>
    <s v="tahap reminder pengelola"/>
  </r>
  <r>
    <n v="1810"/>
    <s v="PT Kurnadi Abadi "/>
    <s v="Kemenkominfo Ditjen Aplikasi Informatika (Aptika)"/>
    <s v="Gd. Midpoint"/>
    <x v="0"/>
    <m/>
    <s v="Jl. H. Fachrudin No.26, RT.9/RW.5, Kp. Bali, Kecamatan Tanah Abang, Kota Jakarta Pusat, Daerah Khusus Ibukota Jakarta,- ,Jakarta Pusat ,DKI Jakarta ,Indonesia ,10250"/>
    <s v="BAGI HASIL"/>
    <s v="Revenue Sharing"/>
    <m/>
    <s v="111303010635"/>
    <m/>
    <s v="Metronet"/>
    <s v="100 Mbps"/>
    <m/>
    <n v="126600000"/>
    <m/>
    <m/>
    <m/>
    <n v="0.2"/>
    <d v="2024-03-01T00:00:00"/>
    <d v="2025-02-28T00:00:00"/>
    <x v="0"/>
    <m/>
    <d v="2025-12-24T00:00:00"/>
    <n v="-299"/>
    <n v="2"/>
    <n v="2025"/>
    <m/>
    <m/>
    <m/>
    <s v="Syifa Fauziyah"/>
    <m/>
    <s v="Hendro"/>
    <m/>
    <m/>
    <m/>
    <m/>
    <m/>
    <m/>
    <m/>
    <m/>
    <m/>
    <m/>
  </r>
  <r>
    <n v="1811"/>
    <s v="PT Kurnadi Abadi "/>
    <s v="Kemenkominfo Ditjen Aplikasi Informatika (Aptika)"/>
    <s v="Gd. Midpoint"/>
    <x v="0"/>
    <m/>
    <s v="Jl. H. Fachrudin No.26, RT.9/RW.5, Kp. Bali, Kecamatan Tanah Abang, Kota Jakarta Pusat, Daerah Khusus Ibukota Jakarta,- ,Jakarta Pusat ,DKI Jakarta ,Indonesia ,10250"/>
    <s v="BAGI HASIL"/>
    <s v="Revenue Sharing"/>
    <m/>
    <s v="111302003779"/>
    <m/>
    <s v="IIX "/>
    <s v="50 Mbps"/>
    <m/>
    <n v="48000000"/>
    <m/>
    <m/>
    <m/>
    <n v="0.2"/>
    <d v="2024-03-01T00:00:00"/>
    <d v="2025-02-28T00:00:00"/>
    <x v="0"/>
    <m/>
    <d v="2025-12-24T00:00:00"/>
    <n v="-299"/>
    <n v="2"/>
    <n v="2025"/>
    <m/>
    <m/>
    <m/>
    <s v="Syifa Fauziyah"/>
    <m/>
    <s v="Hendro"/>
    <m/>
    <m/>
    <m/>
    <m/>
    <m/>
    <m/>
    <m/>
    <m/>
    <m/>
    <m/>
  </r>
  <r>
    <n v="1812"/>
    <s v="PT Kurnadi Abadi "/>
    <s v="Kemenkominfo Ditjen Aplikasi Informatika (Aptika)"/>
    <s v="Gd. Midpoint"/>
    <x v="0"/>
    <m/>
    <s v="Jl. H. Fachrudin No.26, RT.9/RW.5, Kp. Bali, Kecamatan Tanah Abang, Kota Jakarta Pusat, Daerah Khusus Ibukota Jakarta,- ,Jakarta Pusat ,DKI Jakarta ,Indonesia ,10250"/>
    <s v="BAGI HASIL"/>
    <s v="Revenue Sharing"/>
    <m/>
    <s v="111601011652"/>
    <m/>
    <s v="Router Gold    (gold unit)"/>
    <m/>
    <m/>
    <n v="42000000"/>
    <m/>
    <m/>
    <m/>
    <n v="0.2"/>
    <d v="2024-03-01T00:00:00"/>
    <d v="2025-02-28T00:00:00"/>
    <x v="0"/>
    <m/>
    <d v="2025-12-24T00:00:00"/>
    <n v="-299"/>
    <n v="2"/>
    <n v="2025"/>
    <m/>
    <m/>
    <m/>
    <s v="Syifa Fauziyah"/>
    <m/>
    <s v="Hendro"/>
    <m/>
    <m/>
    <m/>
    <m/>
    <m/>
    <m/>
    <m/>
    <m/>
    <m/>
    <m/>
  </r>
  <r>
    <n v="1813"/>
    <s v="PT Kurnadi Abadi "/>
    <s v="Kemenkominfo Ditjen Aplikasi Informatika (Aptika)"/>
    <s v="Gd. Midpoint"/>
    <x v="0"/>
    <m/>
    <s v="Jl. H. Fachrudin No.26, RT.9/RW.5, Kp. Bali, Kecamatan Tanah Abang, Kota Jakarta Pusat, Daerah Khusus Ibukota Jakarta,- ,Jakarta Pusat ,DKI Jakarta ,Indonesia ,10251"/>
    <s v="BAGI HASIL"/>
    <s v="Revenue Sharing"/>
    <m/>
    <s v="111610001541"/>
    <m/>
    <s v="Internet corporate (access point)"/>
    <s v="1 Mbps"/>
    <m/>
    <n v="22800000"/>
    <m/>
    <m/>
    <m/>
    <n v="0.2"/>
    <d v="2024-03-01T00:00:00"/>
    <d v="2025-02-28T00:00:00"/>
    <x v="0"/>
    <m/>
    <d v="2025-12-24T00:00:00"/>
    <n v="-299"/>
    <n v="2"/>
    <n v="2025"/>
    <m/>
    <m/>
    <m/>
    <s v="Syifa Fauziyah"/>
    <m/>
    <s v="Hendro"/>
    <m/>
    <m/>
    <m/>
    <m/>
    <m/>
    <m/>
    <m/>
    <m/>
    <m/>
    <m/>
  </r>
  <r>
    <n v="1814"/>
    <s v="PT Kurnadi Abadi "/>
    <s v="Kemenkominfo Ditjen Aplikasi Informatika (Aptika)"/>
    <s v="Gd. Midpoint"/>
    <x v="0"/>
    <m/>
    <s v="Jl. H. Fachrudin No.26, RT.9/RW.5, Kp. Bali, Kecamatan Tanah Abang, Kota Jakarta Pusat, Daerah Khusus Ibukota Jakarta,- ,Jakarta Pusat ,DKI Jakarta ,Indonesia ,10252"/>
    <s v="BAGI HASIL"/>
    <s v="Revenue Sharing"/>
    <m/>
    <s v="111610001542"/>
    <m/>
    <s v="Internet corporate  (access point)"/>
    <s v="1 Mbps"/>
    <m/>
    <n v="22800000"/>
    <m/>
    <m/>
    <m/>
    <n v="0.2"/>
    <d v="2024-03-01T00:00:00"/>
    <d v="2025-02-28T00:00:00"/>
    <x v="0"/>
    <m/>
    <d v="2025-12-24T00:00:00"/>
    <n v="-299"/>
    <n v="2"/>
    <n v="2025"/>
    <m/>
    <m/>
    <m/>
    <s v="Syifa Fauziyah"/>
    <m/>
    <s v="Hendro"/>
    <m/>
    <m/>
    <m/>
    <m/>
    <m/>
    <m/>
    <m/>
    <m/>
    <m/>
    <m/>
  </r>
  <r>
    <n v="1815"/>
    <s v="PT Kurnadi Abadi "/>
    <s v="Kemenkominfo Ditjen Aplikasi Informatika (Aptika)"/>
    <s v="Gd. Midpoint"/>
    <x v="0"/>
    <m/>
    <s v="Jl. H. Fachrudin No.26, RT.9/RW.5, Kp. Bali, Kecamatan Tanah Abang, Kota Jakarta Pusat, Daerah Khusus Ibukota Jakarta,- ,Jakarta Pusat ,DKI Jakarta ,Indonesia ,10253"/>
    <s v="BAGI HASIL"/>
    <s v="Revenue Sharing"/>
    <m/>
    <s v="111610001543"/>
    <m/>
    <s v="Internet corporate  (access point)"/>
    <s v="1 Mbps"/>
    <m/>
    <n v="22800000"/>
    <m/>
    <m/>
    <m/>
    <n v="0.2"/>
    <d v="2024-03-01T00:00:00"/>
    <d v="2025-02-28T00:00:00"/>
    <x v="0"/>
    <m/>
    <d v="2025-12-24T00:00:00"/>
    <n v="-299"/>
    <n v="2"/>
    <n v="2025"/>
    <m/>
    <m/>
    <m/>
    <s v="Syifa Fauziyah"/>
    <m/>
    <s v="Hendro"/>
    <m/>
    <m/>
    <m/>
    <m/>
    <m/>
    <m/>
    <m/>
    <m/>
    <m/>
    <m/>
  </r>
  <r>
    <n v="1816"/>
    <s v="PT Kurnadi Abadi "/>
    <s v="Kemenkominfo Ditjen Aplikasi Informatika (Aptika)"/>
    <s v="Gd. Midpoint"/>
    <x v="0"/>
    <m/>
    <s v="Jl. H. Fachrudin No.26, RT.9/RW.5, Kp. Bali, Kecamatan Tanah Abang, Kota Jakarta Pusat, Daerah Khusus Ibukota Jakarta,- ,Jakarta Pusat ,DKI Jakarta ,Indonesia ,10254"/>
    <s v="BAGI HASIL"/>
    <s v="Revenue Sharing"/>
    <m/>
    <s v="110130308948 / 04000354168"/>
    <m/>
    <s v="Access internet "/>
    <s v="30 Mbps"/>
    <m/>
    <n v="54928644"/>
    <m/>
    <m/>
    <m/>
    <n v="0.2"/>
    <d v="2024-03-01T00:00:00"/>
    <d v="2025-02-28T00:00:00"/>
    <x v="0"/>
    <m/>
    <d v="2025-12-24T00:00:00"/>
    <n v="-299"/>
    <n v="2"/>
    <n v="2025"/>
    <m/>
    <m/>
    <m/>
    <s v="Syifa Fauziyah"/>
    <m/>
    <s v="Hendro"/>
    <m/>
    <m/>
    <m/>
    <m/>
    <m/>
    <m/>
    <m/>
    <m/>
    <m/>
    <m/>
  </r>
  <r>
    <n v="1817"/>
    <s v="PT Kurnadi Abadi "/>
    <s v="Kemenkominfo Ditjen Aplikasi Informatika (Aptika)"/>
    <s v="Gd. Midpoint"/>
    <x v="0"/>
    <m/>
    <s v="Jl. H. Fachrudin No.26, RT.9/RW.5, Kp. Bali, Kecamatan Tanah Abang, Kota Jakarta Pusat, Daerah Khusus Ibukota Jakarta,- ,Jakarta Pusat ,DKI Jakarta ,Indonesia ,10255"/>
    <s v="BAGI HASIL"/>
    <s v="Revenue Sharing"/>
    <m/>
    <s v="110130203277 / 04000355368"/>
    <m/>
    <s v="Access internet "/>
    <s v="80 Mbps"/>
    <m/>
    <n v="76012968"/>
    <m/>
    <m/>
    <m/>
    <n v="0.2"/>
    <d v="2024-03-01T00:00:00"/>
    <d v="2025-02-28T00:00:00"/>
    <x v="0"/>
    <m/>
    <d v="2025-12-24T00:00:00"/>
    <n v="-299"/>
    <n v="2"/>
    <n v="2025"/>
    <m/>
    <m/>
    <m/>
    <s v="Syifa Fauziyah"/>
    <m/>
    <s v="Hendro"/>
    <m/>
    <m/>
    <m/>
    <m/>
    <m/>
    <m/>
    <m/>
    <m/>
    <m/>
    <m/>
  </r>
  <r>
    <n v="1818"/>
    <s v="PT Kurnadi Abadi "/>
    <s v="Kemenkominfo Ditjen Aplikasi Informatika (Aptika)"/>
    <s v="Gd. Midpoint"/>
    <x v="0"/>
    <m/>
    <s v="Jl. H. Fachrudin No.26, RT.9/RW.5, Kp. Bali, Kecamatan Tanah Abang, Kota Jakarta Pusat, Daerah Khusus Ibukota Jakarta,- ,Jakarta Pusat ,DKI Jakarta ,Indonesia ,10256"/>
    <s v="BAGI HASIL"/>
    <s v="Revenue Sharing"/>
    <m/>
    <s v="110160109313 / 02000355372"/>
    <m/>
    <s v="GOLD"/>
    <m/>
    <m/>
    <n v="50793600"/>
    <m/>
    <m/>
    <m/>
    <n v="0.2"/>
    <d v="2024-03-01T00:00:00"/>
    <d v="2025-02-28T00:00:00"/>
    <x v="0"/>
    <m/>
    <d v="2025-12-24T00:00:00"/>
    <n v="-299"/>
    <n v="2"/>
    <n v="2025"/>
    <m/>
    <m/>
    <m/>
    <s v="Syifa Fauziyah"/>
    <m/>
    <s v="Hendro"/>
    <m/>
    <m/>
    <m/>
    <m/>
    <m/>
    <m/>
    <m/>
    <m/>
    <m/>
    <m/>
  </r>
  <r>
    <n v="1819"/>
    <s v="PT Higo Fitur Indonesia"/>
    <s v="PT HIGO FITUR INDONESIA"/>
    <s v="Kawasan Blessindo"/>
    <x v="0"/>
    <m/>
    <s v="Jl. Raya H. Tabrani No.228 Cirarab, Legok, Kabupaten Tangerang. Banten."/>
    <s v="BAGI HASIL"/>
    <s v="Revenue Sharing"/>
    <s v="AL/2302/9200"/>
    <s v="04000334582"/>
    <m/>
    <s v="Internet BB    "/>
    <s v="100 Mbps"/>
    <m/>
    <n v="42000000"/>
    <m/>
    <m/>
    <m/>
    <n v="0.15"/>
    <d v="2023-02-01T00:00:00"/>
    <d v="2023-12-31T00:00:00"/>
    <x v="0"/>
    <m/>
    <d v="2025-12-24T00:00:00"/>
    <n v="-724"/>
    <n v="12"/>
    <n v="2023"/>
    <m/>
    <m/>
    <m/>
    <s v="Syifa Fauziyah"/>
    <m/>
    <s v="Rivando"/>
    <m/>
    <m/>
    <m/>
    <m/>
    <m/>
    <m/>
    <m/>
    <m/>
    <m/>
    <s v="proses addendum perpanjangan"/>
  </r>
  <r>
    <n v="1820"/>
    <s v="PT Krakatau Information Technology"/>
    <s v="PT NS BLUESCOPE INDONESIA"/>
    <s v="Kawasan Krakatau Steel- KIT"/>
    <x v="0"/>
    <m/>
    <s v="Jl. Amerika kawasan industri krakatau"/>
    <s v="BAGI HASIL"/>
    <s v="Revenue Sharing"/>
    <m/>
    <s v="111303010377"/>
    <m/>
    <s v="internet corp"/>
    <s v="100 Mbps"/>
    <m/>
    <n v="29400000"/>
    <m/>
    <m/>
    <m/>
    <n v="0.35"/>
    <d v="2023-09-01T00:00:00"/>
    <d v="2025-08-31T00:00:00"/>
    <x v="0"/>
    <m/>
    <d v="2025-12-24T00:00:00"/>
    <n v="-115"/>
    <n v="8"/>
    <n v="2025"/>
    <m/>
    <m/>
    <m/>
    <s v="Syifa Fauziyah"/>
    <m/>
    <s v="Diki "/>
    <m/>
    <m/>
    <m/>
    <m/>
    <m/>
    <m/>
    <m/>
    <m/>
    <m/>
    <m/>
  </r>
  <r>
    <n v="1821"/>
    <s v="PT CBN Nusantara"/>
    <s v="BPH MIGAS 30 Mbps"/>
    <s v="Nex Data Center- CBN"/>
    <x v="1"/>
    <m/>
    <s v="Gd. Mten Jl. Kap. Tendean Jakarta selatan"/>
    <s v="BAGI HASIL"/>
    <s v="Revenue Sharing"/>
    <m/>
    <s v="111202017456"/>
    <m/>
    <s v="Metronet"/>
    <s v=" 30 Mbps"/>
    <m/>
    <n v="36216240"/>
    <m/>
    <m/>
    <m/>
    <n v="0.15"/>
    <d v="2022-06-15T00:00:00"/>
    <d v="2027-06-14T00:00:00"/>
    <x v="1"/>
    <m/>
    <d v="2025-12-24T00:00:00"/>
    <n v="537"/>
    <n v="6"/>
    <n v="2027"/>
    <m/>
    <m/>
    <m/>
    <s v="Syifa Fauziyah"/>
    <m/>
    <s v="Haryanto"/>
    <m/>
    <m/>
    <m/>
    <m/>
    <m/>
    <m/>
    <m/>
    <m/>
    <m/>
    <m/>
  </r>
  <r>
    <n v="1822"/>
    <s v="PT CBN Nusantara"/>
    <s v="BPH MIGAS MSR PLATINUM"/>
    <s v="Nex Data Center- CBN"/>
    <x v="1"/>
    <m/>
    <s v="Gd. Mten Jl. Kap. Tendean Jakarta selatan"/>
    <s v="BAGI HASIL"/>
    <s v="Revenue Sharing"/>
    <m/>
    <s v="111601011685"/>
    <m/>
    <s v="Metronet"/>
    <m/>
    <m/>
    <n v="75675672"/>
    <m/>
    <m/>
    <m/>
    <n v="0.15"/>
    <d v="2022-06-15T00:00:00"/>
    <d v="2027-06-14T00:00:00"/>
    <x v="1"/>
    <m/>
    <d v="2025-12-24T00:00:00"/>
    <n v="537"/>
    <n v="6"/>
    <n v="2027"/>
    <m/>
    <m/>
    <m/>
    <s v="Syifa Fauziyah"/>
    <m/>
    <s v="Haryanto"/>
    <m/>
    <m/>
    <m/>
    <m/>
    <m/>
    <m/>
    <m/>
    <m/>
    <m/>
    <m/>
  </r>
  <r>
    <n v="1823"/>
    <s v="PT Menara Thamrin"/>
    <s v="BADAN PENGAWAS PEMILIHAN UMUM SEKRETARIAT BADAN (BAWASLU)"/>
    <s v="Jl. MH. Thamrin Kav.3 Menara Thamrin Lt. 3 Kampung Bali Tanah Abang"/>
    <x v="3"/>
    <m/>
    <s v="Thamrin Menara Tower, Jl. M.H. Thamrin No.3, RT.10/RW.10, Kebon Sirih,, Kecamatan Menteng, Jakarta Pusat, DKI Jakarta, Indonesia, 10340, Lantai 25"/>
    <s v="BAGI HASIL"/>
    <s v="Revenue Sharing"/>
    <m/>
    <s v="01000323064"/>
    <m/>
    <s v="Metronet"/>
    <s v="300 Mbps"/>
    <m/>
    <n v="226712088"/>
    <m/>
    <m/>
    <m/>
    <s v="7,5%"/>
    <d v="2023-01-01T00:00:00"/>
    <d v="2025-12-31T00:00:00"/>
    <x v="1"/>
    <m/>
    <d v="2025-12-24T00:00:00"/>
    <n v="7"/>
    <n v="12"/>
    <n v="2025"/>
    <m/>
    <m/>
    <m/>
    <s v="Syifa Fauziyah"/>
    <m/>
    <s v="Tika"/>
    <m/>
    <m/>
    <m/>
    <m/>
    <m/>
    <m/>
    <m/>
    <m/>
    <m/>
    <m/>
  </r>
  <r>
    <n v="1824"/>
    <s v="Graha Multimedia Nusantara "/>
    <s v="PT Hipernet Indodata"/>
    <s v="Rasuna Office Park 3 Lt.4 Blok UO-11, Rasuna Epicentrum"/>
    <x v="0"/>
    <s v="Backhaul IDC D3"/>
    <s v="GEDUNG TEKNIS KUNINGAN (EPICENTRUM MALL PTSP), JL. HR RASUNA SAID KAV C / 21, KUNINGAN, JAKARTA SELATAN, DKI JAKARTA"/>
    <s v="Sewa Bulanan"/>
    <s v="Interkoneksi"/>
    <s v="U111202003388"/>
    <s v="01000192946"/>
    <s v="99,50%"/>
    <s v="Metronet"/>
    <s v="100 Mbps"/>
    <m/>
    <n v="198000000"/>
    <m/>
    <m/>
    <n v="117200000"/>
    <m/>
    <d v="2024-04-05T00:00:00"/>
    <d v="2025-04-30T00:00:00"/>
    <x v="0"/>
    <m/>
    <d v="2025-12-24T00:00:00"/>
    <n v="-238"/>
    <n v="4"/>
    <n v="2025"/>
    <s v="2462/SPP/SBU/ICON+/2024 | 4500022210"/>
    <s v="3412/SPP/SBU/PLNICONPLUS/2024"/>
    <n v="4500022819"/>
    <s v="Syifa Artianingsih"/>
    <m/>
    <s v="Andi"/>
    <m/>
    <m/>
    <m/>
    <m/>
    <m/>
    <m/>
    <m/>
    <n v="221"/>
    <m/>
    <s v="Upgrade untuk PO 4500022210"/>
  </r>
  <r>
    <n v="1825"/>
    <s v="Telkom Data Ekosistem "/>
    <s v="PT Pasifik Satelit Nusantara"/>
    <s v="German Centre Building 3rd and 5th floor Jl. Kapt. Subijanto DJ Bumi Serpong Damai"/>
    <x v="0"/>
    <s v="PSN Mega Kuningan, 5th Floor Ged. Kantor Taman A9 Unit C3 &amp; C4Jl. Mega Kuningan Ray"/>
    <s v="DC Graha Telkomsigma/German Center BSD, Jalan Arteri Golf, Pakulonan Barat, Serpong Utara, Lengkong, Gudang, Kec. Serpong, Kota Tangerang Selatan, Banten"/>
    <s v="Sewa Tahunan"/>
    <s v="Cross Connect"/>
    <s v="PA/ACT/2110/2788"/>
    <m/>
    <m/>
    <m/>
    <m/>
    <m/>
    <n v="85800000"/>
    <m/>
    <m/>
    <n v="12000000"/>
    <m/>
    <d v="2022-11-22T00:00:00"/>
    <d v="2024-11-21T00:00:00"/>
    <x v="0"/>
    <m/>
    <d v="2025-12-24T00:00:00"/>
    <n v="-398"/>
    <n v="11"/>
    <n v="2024"/>
    <s v="17118/SPP/008/PUSAT/ICON+/2021 | 4500017256"/>
    <s v="3136/SPP/SBU/PLNICONPLUS/2024 "/>
    <n v="4500022576"/>
    <s v="Livia Indraswati"/>
    <m/>
    <s v="Yudhi Sukma"/>
    <m/>
    <m/>
    <m/>
    <m/>
    <m/>
    <m/>
    <m/>
    <s v="H96"/>
    <m/>
    <s v="1. Biaya cross connect Rp 12.000.000/thn From : ICON+ Lt. 3 Wing Barat dan To : PSN Lt. 2 Tengah"/>
  </r>
  <r>
    <n v="1826"/>
    <s v="DCI Indonesia "/>
    <s v="PT Bank Syariah Indonesia"/>
    <s v="Equity Tower 17th floor suiteF SCBD lot_x000a_Jl Jend Sudirman Kav 52-53 Jakarta 12193"/>
    <x v="0"/>
    <s v="DCI CIBITUNG | JL. HALMAHERA NO.1 BLOK F1, DANAU INDAH, KEC. CIKARANG BAR., KABUPATEN BEKASI, JAWA BARAT 17530"/>
    <s v="DCI CIBITUNG | JL. HALMAHERA NO.1 BLOK F1, DANAU INDAH, KEC. CIKARANG BAR., KABUPATEN BEKASI, JAWA BARAT 17530"/>
    <s v="Sewa Tahunan"/>
    <s v="Cross Connect"/>
    <s v="A111303002994, A111202004236 dan A111205003981"/>
    <m/>
    <m/>
    <s v="Internet Corporate"/>
    <s v="500 Mbps"/>
    <m/>
    <n v="886800000"/>
    <m/>
    <m/>
    <n v="144000000"/>
    <m/>
    <d v="2024-05-21T00:00:00"/>
    <d v="2025-05-20T00:00:00"/>
    <x v="0"/>
    <m/>
    <d v="2025-12-24T00:00:00"/>
    <n v="-218"/>
    <n v="5"/>
    <n v="2025"/>
    <s v="baru"/>
    <s v="3468/SPP/SBU/PLNICONPLUS/2024"/>
    <n v="4500022817"/>
    <s v="Livia Indraswati"/>
    <m/>
    <s v="Ibu Asima"/>
    <m/>
    <m/>
    <m/>
    <m/>
    <m/>
    <m/>
    <m/>
    <s v="H156"/>
    <m/>
    <s v="1. Biaya Sewa Cross Connect Rp 12.000.000/thn 2. Biaya OTC Rp 16.000.000"/>
  </r>
  <r>
    <n v="1827"/>
    <s v="Cablenet Fiber Data "/>
    <s v="PT Pertamina Hulu Energi"/>
    <s v="Jl Simprug Garden 1 Blok W No.11 RT.07/RW.03, Grogol Selatan, Kebayoran Lama, Jakarta Selatan, DKI Jakarta, 12220"/>
    <x v="0"/>
    <m/>
    <s v="GEDUNG PHE TOWER, JL. LETJEN. TB SIMATUPANG KAV. 99, JAKARTA SELATAN"/>
    <s v="Sewa Tahunan"/>
    <s v="Colocation"/>
    <s v="A811202000064"/>
    <m/>
    <m/>
    <s v="Metro Qinq"/>
    <s v="10 Gbps"/>
    <m/>
    <n v="654586000"/>
    <m/>
    <m/>
    <n v="24000000"/>
    <m/>
    <d v="2024-04-03T00:00:00"/>
    <d v="2025-04-02T00:00:00"/>
    <x v="0"/>
    <m/>
    <d v="2025-12-24T00:00:00"/>
    <n v="-266"/>
    <n v="4"/>
    <n v="2025"/>
    <s v="baru"/>
    <s v="3075/SPP/SBU/PLNICONPLUS/2024"/>
    <n v="4500022613"/>
    <s v="Livia Indraswati"/>
    <s v="Cindy Pratiwi"/>
    <s v="0857-2207-8712"/>
    <m/>
    <m/>
    <m/>
    <m/>
    <m/>
    <m/>
    <m/>
    <m/>
    <m/>
    <m/>
  </r>
  <r>
    <n v="1828"/>
    <s v="PCDC Propco One "/>
    <s v="Bank Danamon"/>
    <s v="Komplek Nilai Alam Ruko 1 KM 19"/>
    <x v="0"/>
    <m/>
    <s v="Backhaul DC BDDC Atria - Jl. Daan Mogot Km. 18 No. 18, Kalideres, Jakarta Barat - 11840"/>
    <s v="Sewa Tahunan"/>
    <s v="Cross Connect"/>
    <s v="R111205004006"/>
    <m/>
    <m/>
    <s v="IPVPN"/>
    <s v="100 Mbps"/>
    <m/>
    <n v="43200000"/>
    <m/>
    <s v="2.000.000"/>
    <n v="12000000"/>
    <m/>
    <d v="2024-05-07T00:00:00"/>
    <d v="2025-05-06T00:00:00"/>
    <x v="0"/>
    <m/>
    <d v="2025-12-24T00:00:00"/>
    <n v="-232"/>
    <n v="5"/>
    <n v="2025"/>
    <s v="baru"/>
    <s v="3372/SPP/SBU/PLNICONPLUS/2024"/>
    <n v="4500022736"/>
    <s v="Livia Indraswati"/>
    <s v="Debbi"/>
    <m/>
    <m/>
    <m/>
    <m/>
    <m/>
    <m/>
    <m/>
    <m/>
    <s v="H152"/>
    <m/>
    <s v="1. Biaya Sewa 12.000.000 2. Biaya OTC Rp 2.000.000"/>
  </r>
  <r>
    <n v="1829"/>
    <s v="Karyagraha Nusantara "/>
    <s v="PT Jaringanku Sarana Nusantara"/>
    <s v="Gedung Cyber Jl. Kuningan Barat No.8 Kuningan Barat Jakarta"/>
    <x v="0"/>
    <m/>
    <s v="Gedung Cyber LT 1, DC PT. Multitech Infomedia Rack B-14, Jakarta Selatan, DKI Jakarta, Indonesia."/>
    <s v="Sewa Tahunan"/>
    <s v="Colocation"/>
    <s v="PA/ACT/2103/1762/ORI"/>
    <m/>
    <m/>
    <m/>
    <m/>
    <m/>
    <n v="869000000"/>
    <m/>
    <m/>
    <n v="17000000"/>
    <m/>
    <d v="2021-03-31T00:00:00"/>
    <d v="2024-03-30T00:00:00"/>
    <x v="0"/>
    <m/>
    <d v="2025-12-24T00:00:00"/>
    <n v="-634"/>
    <n v="3"/>
    <n v="2024"/>
    <s v="baru"/>
    <s v="2670/SPP/SBU/ICON+/2024"/>
    <n v="4500022418"/>
    <s v="Livia Indraswati"/>
    <s v="Tito"/>
    <m/>
    <m/>
    <m/>
    <m/>
    <m/>
    <m/>
    <m/>
    <m/>
    <s v="H10"/>
    <m/>
    <s v="1. Biaya sewa shaft Rp 17.000.000 (dari APJII ke Multitech di Lantai 1) untuk Perjanjian Kontrak 330/KN/Cable Shaft/III/2021"/>
  </r>
  <r>
    <n v="1830"/>
    <s v="Karyagraha Nusantara "/>
    <s v="PT Jaringanku Sarana Nusantara"/>
    <s v="Gedung Cyber Jl. Kuningan Barat No.8 Kuningan Barat Jakarta"/>
    <x v="0"/>
    <m/>
    <s v="Gedung Cyber LT 1, DC PT. Multitech Infomedia Rack B-14, Jakarta Selatan, DKI Jakarta, Indonesia."/>
    <s v="Sewa Tahunan"/>
    <s v="Colocation"/>
    <s v="PA/ACT/2103/1762/ORI"/>
    <m/>
    <m/>
    <m/>
    <m/>
    <m/>
    <n v="288000000"/>
    <m/>
    <m/>
    <n v="17000000"/>
    <m/>
    <d v="2024-03-31T00:00:00"/>
    <d v="2025-03-30T00:00:00"/>
    <x v="0"/>
    <m/>
    <d v="2025-12-24T00:00:00"/>
    <n v="-269"/>
    <n v="3"/>
    <n v="2024"/>
    <m/>
    <s v="3938/SPP/SBU/ICON+/2024"/>
    <n v="4500023153"/>
    <s v="Livia Indraswati"/>
    <s v="Tito"/>
    <m/>
    <m/>
    <m/>
    <m/>
    <m/>
    <m/>
    <m/>
    <m/>
    <s v="H269"/>
    <m/>
    <m/>
  </r>
  <r>
    <n v="1831"/>
    <s v="Media Nusantara Data Global"/>
    <s v="PT Lintas Jaringan Nusantara_x000a_PT Telemedia Dinamika Sarana"/>
    <s v="Jl. Kuningan Barat No. 8 Cyber Building 1st &amp; 2nd Jakarta Selatan 12710"/>
    <x v="0"/>
    <m/>
    <s v="Cyber 1"/>
    <s v="Sewa Tahunan"/>
    <s v="Cross Connect"/>
    <s v="U111204000146_x000a_A821202001175 "/>
    <m/>
    <m/>
    <s v="Kapasitas Besar"/>
    <s v="5000 Mbps"/>
    <m/>
    <n v="480000000"/>
    <m/>
    <m/>
    <n v="18000000"/>
    <m/>
    <d v="2024-05-29T00:00:00"/>
    <d v="2025-05-28T00:00:00"/>
    <x v="0"/>
    <m/>
    <d v="2025-12-24T00:00:00"/>
    <n v="-210"/>
    <n v="5"/>
    <n v="2025"/>
    <s v="baru"/>
    <s v="3571/SPP/SBU/PLNICONPLUS/2024"/>
    <n v="4500022844"/>
    <s v="Livia Indraswati"/>
    <s v="Ira"/>
    <m/>
    <m/>
    <m/>
    <m/>
    <m/>
    <m/>
    <m/>
    <m/>
    <s v="H171"/>
    <m/>
    <s v="1. Biaya Sewa 1.500.000/bln 2. Biaya OTC Rp 1.500.000"/>
  </r>
  <r>
    <n v="1832"/>
    <s v="Media Nusantara Data Global"/>
    <s v="PT Indonesia Comnets Plus"/>
    <s v="Jl. Kuningan Barat No. 8 Cyber Building 1st &amp; 2nd Jakarta Selatan 12710"/>
    <x v="0"/>
    <m/>
    <s v="Jl. Gatot Subroto No.Kav.38, Rt.6/Rw.1, Kuningan Bar., Kec. Mampang Prpt., Kota Jakarta Selatan, Daerah Khusus Ibukota Jakarta 12710. "/>
    <s v="Sewa Tahunan"/>
    <s v="Cross Connect"/>
    <s v="A911303000010"/>
    <m/>
    <m/>
    <s v="Internet Corporate"/>
    <s v="1 Gbps"/>
    <m/>
    <n v="0"/>
    <m/>
    <m/>
    <n v="18000000"/>
    <m/>
    <d v="2024-05-17T00:00:00"/>
    <d v="2025-05-16T00:00:00"/>
    <x v="0"/>
    <m/>
    <d v="2025-12-24T00:00:00"/>
    <n v="-222"/>
    <n v="5"/>
    <n v="2025"/>
    <s v="baru"/>
    <s v="3526/SPP/SBU/PLNICONPLUS/2024"/>
    <n v="4500022826"/>
    <s v="Livia Indraswati"/>
    <s v="Ira"/>
    <m/>
    <m/>
    <m/>
    <m/>
    <m/>
    <m/>
    <m/>
    <m/>
    <s v="H157"/>
    <m/>
    <s v="1. Biaya Sewa 1.500.000/bln 2. Biaya OTC Rp 1.500.000"/>
  </r>
  <r>
    <n v="1833"/>
    <s v="IDC (Internetindo Data Centra Indonesia) "/>
    <s v="all pelanggan di IDC "/>
    <s v="Rukan Duren Tiga No. 7H_x000a_Jl. Duren Tiga Raya No. 7 Jakarta Selatan 12760"/>
    <x v="0"/>
    <m/>
    <m/>
    <s v="Sewa Tahunan"/>
    <s v="Cross Connect"/>
    <m/>
    <m/>
    <m/>
    <m/>
    <m/>
    <m/>
    <n v="0"/>
    <m/>
    <m/>
    <n v="210000000"/>
    <m/>
    <d v="2024-01-01T00:00:00"/>
    <d v="2024-12-31T00:00:00"/>
    <x v="0"/>
    <m/>
    <d v="2025-12-24T00:00:00"/>
    <n v="-358"/>
    <n v="12"/>
    <n v="2024"/>
    <s v="baru"/>
    <s v="3369/SPP/SBU/PLNICONPLUS/2024"/>
    <n v="4500022782"/>
    <s v="Syifa Fauziyah"/>
    <m/>
    <m/>
    <m/>
    <m/>
    <m/>
    <m/>
    <m/>
    <m/>
    <m/>
    <s v="H218"/>
    <m/>
    <m/>
  </r>
  <r>
    <n v="1834"/>
    <s v="Rizki Lancar Sentosa"/>
    <s v="Bank Sinarmas"/>
    <s v="Roxy Square Lt. Basement Jl. Kyai Tapa No. 1 Jakarta Indonesia"/>
    <x v="0"/>
    <m/>
    <s v="ROXY SQUARE (Jl Kyai Tapa No 1 RT 010 RW010 Unit D3 Lower Ground) dan  ROXY SQUARE PRIMARY (Jl Kyai Tapa No 1 RT 010 RW010 Unit Lantai 3)"/>
    <s v="Sewa Tahunan"/>
    <s v="Colocation"/>
    <s v="A821303000668 _x000a_A821303000671"/>
    <m/>
    <m/>
    <s v="Internet Dedicated"/>
    <m/>
    <m/>
    <n v="667745556"/>
    <m/>
    <m/>
    <n v="52500000"/>
    <m/>
    <d v="2024-07-01T00:00:00"/>
    <d v="2025-06-30T00:00:00"/>
    <x v="0"/>
    <m/>
    <d v="2025-12-24T00:00:00"/>
    <n v="-177"/>
    <n v="7"/>
    <n v="2025"/>
    <s v="Baru"/>
    <s v="3467/SPP/SBU/PLNICONPLUS/2024"/>
    <n v="4500022816"/>
    <s v="Livia Indraswati"/>
    <s v="Rini"/>
    <m/>
    <m/>
    <m/>
    <m/>
    <m/>
    <m/>
    <m/>
    <m/>
    <s v="H154"/>
    <m/>
    <s v="1. Biaya Sewa Penempatan Perangkat Rp 52.500.000 untuk Lantai LG dan Lantai 3"/>
  </r>
  <r>
    <n v="1835"/>
    <s v="Telkom Data Ekosistem"/>
    <s v="PT Milenial Inti Telekomunikasi"/>
    <s v="German Centre Building 3rd and 5th floor Jl. Kapt. Subijanto DJ Bumi Serpong Damai"/>
    <x v="0"/>
    <m/>
    <s v="BTN DC Sentul, Jl. IR. Juanda F07, Sentul City Babakan Madang, Bogor"/>
    <s v="Sewa Tahunan"/>
    <s v="Cross Connect"/>
    <s v="A111202004460"/>
    <m/>
    <m/>
    <s v="Metronet"/>
    <s v="100 Mbps"/>
    <m/>
    <n v="47300000"/>
    <m/>
    <m/>
    <n v="6000000"/>
    <m/>
    <d v="2024-05-17T00:00:00"/>
    <d v="2025-05-16T00:00:00"/>
    <x v="0"/>
    <m/>
    <d v="2025-12-24T00:00:00"/>
    <n v="-222"/>
    <n v="5"/>
    <n v="2025"/>
    <s v="baru"/>
    <s v="3531/SPP/SBU/PLNICONPLUS/2024 "/>
    <n v="4500022869"/>
    <s v="Syifa Fauziyah"/>
    <s v="Yudhi Sukma"/>
    <m/>
    <m/>
    <m/>
    <m/>
    <m/>
    <m/>
    <m/>
    <m/>
    <s v="H150"/>
    <m/>
    <s v="1. Biaya Sewa cross connect Rp 500.000/bln 2. Biaya OTC Rp 3.000.000 From : Rack ICON+ L2 MMR B To : Rack BTN L2 Rack 19"/>
  </r>
  <r>
    <n v="1836"/>
    <s v="Telkom Data Ekosistem"/>
    <s v="PT Bangun Andalan Perkasa"/>
    <s v="German Centre Building 3rd and 5th floor Jl. Kapt. Subijanto DJ Bumi Serpong Damai"/>
    <x v="0"/>
    <m/>
    <s v="DC Telkomsigma Sentul Cijayanti"/>
    <s v="Sewa Tahunan"/>
    <s v="Cross Connect"/>
    <s v="A821202001153"/>
    <m/>
    <m/>
    <s v="Metronet"/>
    <s v="5 Mbps"/>
    <m/>
    <n v="63000000"/>
    <m/>
    <m/>
    <n v="6000000"/>
    <m/>
    <d v="2024-04-04T00:00:00"/>
    <d v="2025-03-04T00:00:00"/>
    <x v="0"/>
    <m/>
    <d v="2025-12-24T00:00:00"/>
    <n v="-295"/>
    <n v="4"/>
    <n v="2025"/>
    <s v="baru"/>
    <s v="3223/SPP/SBU/PLNICONPLUS/2024 "/>
    <n v="4500022735"/>
    <s v="Syifa Fauziyah"/>
    <s v="Yudhi Sukma"/>
    <m/>
    <m/>
    <m/>
    <m/>
    <m/>
    <m/>
    <m/>
    <m/>
    <s v="H149"/>
    <m/>
    <s v="1. Biaya Sewa cross connect Rp 500.000/bln 2. Biaya OTC Rp 3.000.000 From : Rack ICON+ L2 MMR B Rack STL01 To : Cage Jalin Rack 2 (End Customer - PT Bangun Andalan Perkasa)"/>
  </r>
  <r>
    <n v="1837"/>
    <s v="Kawasan Lintas Biru Digital "/>
    <s v="PT Trouw Nutrition Indonesia"/>
    <s v="Kalimantan CA2 1&amp;2 Gandasari Kabupaten Bekasi 17842"/>
    <x v="0"/>
    <m/>
    <s v="Bekasi Fajar (Befa Square) Bekasi "/>
    <s v="Sewa Tahunan"/>
    <s v="Colocation"/>
    <s v="A111202004487"/>
    <m/>
    <m/>
    <s v="Metronet"/>
    <s v="100 Mbps"/>
    <m/>
    <n v="210000000"/>
    <m/>
    <m/>
    <n v="132000000"/>
    <m/>
    <d v="2024-06-15T00:00:00"/>
    <d v="2025-06-14T00:00:00"/>
    <x v="0"/>
    <m/>
    <d v="2025-12-24T00:00:00"/>
    <n v="-193"/>
    <n v="6"/>
    <n v="2025"/>
    <s v="baru "/>
    <s v="3558/SPP/SBU/PLNICONPLUS/2024"/>
    <n v="4500022786"/>
    <s v="Syifa Fauziyah"/>
    <s v="Marissa"/>
    <m/>
    <m/>
    <m/>
    <m/>
    <m/>
    <m/>
    <m/>
    <m/>
    <s v="H170"/>
    <m/>
    <s v="1. Biaya OTC Rp 5.000.000"/>
  </r>
  <r>
    <n v="1838"/>
    <s v="IDC (Internetindo Data Centra Indonesia) "/>
    <s v="ALL Pelanggan di IDC"/>
    <s v="Rukan Duren Tiga No. 7H_x000a_Jl. Duren Tiga Raya No. 7 Jakarta Selatan 12760"/>
    <x v="0"/>
    <m/>
    <s v="Gedung IDC 3D Jl.Duren Tiga raya 7 Jakarta selatan (UTP dan FO)"/>
    <s v="Sewa Tahunan"/>
    <s v="Cross Connect"/>
    <s v="-"/>
    <m/>
    <m/>
    <s v="Metronet"/>
    <s v="500 Mbps"/>
    <m/>
    <n v="12938212596"/>
    <m/>
    <m/>
    <n v="235200000"/>
    <m/>
    <d v="2024-01-01T00:00:00"/>
    <d v="2024-12-31T00:00:00"/>
    <x v="0"/>
    <m/>
    <d v="2025-12-24T00:00:00"/>
    <n v="-358"/>
    <n v="12"/>
    <n v="2024"/>
    <s v="baru"/>
    <s v="3354/SPP/SBU/PLNICONPLUS/2024"/>
    <n v="4500022738"/>
    <s v="Fajar Paramita"/>
    <s v="Rahmat_x000a_ Galih / Nopita"/>
    <m/>
    <m/>
    <m/>
    <m/>
    <m/>
    <m/>
    <m/>
    <m/>
    <s v="H5"/>
    <m/>
    <s v="1.pembayaran sewa collocation Rp.235.200.000"/>
  </r>
  <r>
    <n v="1839"/>
    <s v="Kawasan Lintas Biru Digital "/>
    <s v="PT EHK (Energasindo Heksa Karya)"/>
    <s v="Kalimantan CA2 1&amp;2 Gandasari Kabupaten Bekasi 17842"/>
    <x v="0"/>
    <m/>
    <s v="Bekasi Fajar (Befa Square) Bekasi "/>
    <s v="Sewa Tahunan"/>
    <s v="Colocation"/>
    <s v="A811205000166"/>
    <m/>
    <m/>
    <s v="IPVPN"/>
    <s v="1 Mbps"/>
    <m/>
    <n v="64634000"/>
    <m/>
    <m/>
    <n v="24000000"/>
    <m/>
    <d v="2024-06-15T00:00:00"/>
    <d v="2025-06-14T00:00:00"/>
    <x v="0"/>
    <m/>
    <d v="2025-12-24T00:00:00"/>
    <n v="-193"/>
    <n v="6"/>
    <n v="2025"/>
    <s v="baru "/>
    <s v="3076/SPP/SBU/PLNICONPLUS/2024"/>
    <n v="4500022603"/>
    <s v="Syifa Fauziyah"/>
    <s v="Marissa"/>
    <m/>
    <m/>
    <m/>
    <m/>
    <m/>
    <m/>
    <m/>
    <m/>
    <s v="H46"/>
    <m/>
    <s v="1. Biaya OTC Rp 5.000.000"/>
  </r>
  <r>
    <n v="1840"/>
    <s v="Jakarta Industrial Estate Pulogadung (Persero) (JIEP) "/>
    <s v="PT Aica Indria"/>
    <s v="Jl. Pulokambing No. 1 Lahan Industri Pulogadung Jakarta Timur 13290"/>
    <x v="0"/>
    <m/>
    <s v="Lahan Industri Pulogadung, Jl. Pulogadung No. 22, RW. 9, Jatinegara, Kec. Pulogadung, Kota Jakarta Timur, DKI Jakarta 13920. "/>
    <s v="Sewa Tahunan"/>
    <s v="Colocation"/>
    <s v="A111303002393"/>
    <m/>
    <m/>
    <s v="Internet Corporate"/>
    <m/>
    <m/>
    <n v="65000000"/>
    <m/>
    <m/>
    <n v="20391750"/>
    <m/>
    <d v="2024-03-06T00:00:00"/>
    <d v="2025-03-05T00:00:00"/>
    <x v="0"/>
    <m/>
    <d v="2025-12-24T00:00:00"/>
    <n v="-294"/>
    <n v="3"/>
    <n v="2025"/>
    <s v="baru"/>
    <s v="2757/SPP/SBU/ICON+/2024"/>
    <n v="4500022376"/>
    <s v="Livia Indraswati"/>
    <s v="Dana"/>
    <m/>
    <m/>
    <m/>
    <m/>
    <m/>
    <m/>
    <m/>
    <m/>
    <s v="H77"/>
    <m/>
    <s v="-"/>
  </r>
  <r>
    <n v="1841"/>
    <s v="Wisma Benhil"/>
    <s v="PT Cipta Telekomunikasi Mandiri_x000a_PT Dharma Bakti Insani"/>
    <s v="Lahan Ruko Inkopal Kokan Plaza Kelapa Gading Jl.Boulevard Bar. Raya No. 16"/>
    <x v="0"/>
    <m/>
    <s v="Kokan Plaza Kelapa Gading, Lahan Inkopal Jl. Boulevard Barat Raya No. 16 Blok C RT. 2/RW.9, Klp. Gading Barat, Kec. Klp Gading Jkt Utara"/>
    <s v="Sewa Tahunan"/>
    <s v="Colocation"/>
    <s v="A111401000979_x000a_A111401001990"/>
    <m/>
    <m/>
    <s v="Internet Broadband Corporate"/>
    <s v="20 Mbps"/>
    <m/>
    <n v="441300000"/>
    <m/>
    <m/>
    <n v="50000000"/>
    <m/>
    <d v="2024-06-01T00:00:00"/>
    <d v="2025-05-31T00:00:00"/>
    <x v="1"/>
    <m/>
    <d v="2025-12-24T00:00:00"/>
    <n v="-207"/>
    <n v="5"/>
    <n v="2025"/>
    <s v="Baru"/>
    <s v="3261/SPP/SBU/PLNICONPLUS/2024"/>
    <n v="4500022682"/>
    <s v="Livia Indraswati"/>
    <s v="Dimas Yudhistira"/>
    <m/>
    <m/>
    <m/>
    <m/>
    <m/>
    <m/>
    <m/>
    <m/>
    <s v="H92"/>
    <m/>
    <s v="1. Biaya Sewa Lahan Rp 50.000.000/thn per titik. Untuk Kebutuhan di Lahan Inkopal Blok C"/>
  </r>
  <r>
    <n v="1842"/>
    <s v="DCI Indonesia "/>
    <s v="Bank Jambi"/>
    <s v="Equity Tower 17th floor suiteF SCBD lot_x000a_Jl Jend Sudirman Kav 52-53 Jakarta 12193"/>
    <x v="0"/>
    <m/>
    <s v="DCI Cibitung"/>
    <s v="Sewa Tahunan"/>
    <s v="Cross Connect"/>
    <s v="A211205000271"/>
    <m/>
    <m/>
    <s v="Internet Corporate"/>
    <s v="500 Mbps"/>
    <m/>
    <n v="35454000"/>
    <m/>
    <m/>
    <n v="18000000"/>
    <m/>
    <d v="2024-05-28T00:00:00"/>
    <d v="2025-05-27T00:00:00"/>
    <x v="0"/>
    <m/>
    <d v="2025-12-24T00:00:00"/>
    <n v="-211"/>
    <n v="5"/>
    <n v="2025"/>
    <s v="baru"/>
    <s v="3567/SPP/SBU/PLNICONPLUS/2024"/>
    <n v="4500022874"/>
    <s v="Livia Indraswati"/>
    <s v="Ibu Asima"/>
    <m/>
    <m/>
    <m/>
    <m/>
    <m/>
    <m/>
    <m/>
    <m/>
    <s v="H183"/>
    <m/>
    <s v="1. Biaya Sewa Cross Connect Rp 1.500.000/bln kalau setahun jadi Rp 18.000.000/thn  2. Biaya OTC Rp 1.500.000"/>
  </r>
  <r>
    <n v="1843"/>
    <s v="Cablenet Fiber Data"/>
    <s v="PT Pertamina Hulu Energi"/>
    <s v="Jl Simprug Garden 1 Blok W No.11 RT.07/RW.03, Grogol Selatan, Kebayoran Lama, Jakarta Selatan, DKI Jakarta, 12220"/>
    <x v="0"/>
    <s v="PSDC-Gedung Graha Pertamina, Tower Fastron (Graha), Jalan Medan Merdeka Timur No.11-12, Jakarta Pusat."/>
    <s v="PHE - Gedung PHE Tower, Jl. Letjen. Tb Simatupang Kav. 99, Jakarta Selatan – 12520"/>
    <s v="Sewa Bulanan"/>
    <s v="Interkoneksi"/>
    <s v="A811202000064"/>
    <s v="111202018857"/>
    <n v="0.995"/>
    <s v="Metro Qinq"/>
    <s v="2 Gbps"/>
    <m/>
    <n v="654586000"/>
    <m/>
    <m/>
    <n v="362800010"/>
    <m/>
    <d v="2024-04-03T00:00:00"/>
    <d v="2025-04-02T00:00:00"/>
    <x v="0"/>
    <m/>
    <d v="2025-12-24T00:00:00"/>
    <n v="-266"/>
    <n v="4"/>
    <n v="2025"/>
    <s v="Baru"/>
    <s v="3008/SPP/SBU/PLNICONPLUS/2024"/>
    <n v="4500022618"/>
    <s v="Syifa Artianingsih"/>
    <s v="Cindy Pratiwi"/>
    <s v="0857-2207-8712"/>
    <m/>
    <m/>
    <m/>
    <m/>
    <m/>
    <m/>
    <m/>
    <s v="H159"/>
    <m/>
    <s v="Biaya OTC Rp 4.000.000"/>
  </r>
  <r>
    <n v="1844"/>
    <s v="Link Net"/>
    <s v="Pertamina Bina Medika"/>
    <s v="Centennial Tower 26th Floor, Unit D Jl. Gatot Subroto Kav 24-25 Jakarta 12950"/>
    <x v="0"/>
    <s v="IDC Durentiga"/>
    <s v="Menara Sentraya 23 Jl Iskandarsyah Raya Kebayoran Baru, Jakarta Selatan, DKI Jakarta, Indonesia"/>
    <s v="Sewa Bulanan"/>
    <s v="Interkoneksi"/>
    <s v="U111202003214"/>
    <s v="110120204249"/>
    <n v="0.995"/>
    <s v="Metronet"/>
    <s v="150 Mbps"/>
    <m/>
    <n v="256200000"/>
    <m/>
    <m/>
    <n v="86097888"/>
    <m/>
    <d v="2024-02-06T00:00:00"/>
    <d v="2024-05-05T00:00:00"/>
    <x v="0"/>
    <m/>
    <d v="2025-12-24T00:00:00"/>
    <n v="-598"/>
    <n v="5"/>
    <n v="2024"/>
    <m/>
    <n v="3121"/>
    <n v="4500022891"/>
    <s v="Syifa Artianingsih"/>
    <s v="Bunga"/>
    <m/>
    <m/>
    <m/>
    <m/>
    <m/>
    <m/>
    <m/>
    <m/>
    <n v="231"/>
    <m/>
    <m/>
  </r>
  <r>
    <n v="1845"/>
    <s v="Cyberindo Aditama"/>
    <s v="PT Semen Baturaja"/>
    <s v="Gedung Cyber 2 Tower, Lt 33 Jl. HP Rasuna Said Blok X-5 No. 13 Kuningan Timur Setiabudi Jakarta Selatan 12950"/>
    <x v="0"/>
    <m/>
    <s v="Gedung Graha Irama Lt.9 Blok B dan C. Jl HR Rasuna Said Kav.10"/>
    <s v="Sewa Bulanan"/>
    <s v="Interkoneksi"/>
    <s v="A211303000495"/>
    <s v="111303011676"/>
    <n v="0.995"/>
    <s v="Internet Corporate"/>
    <s v="10 Mbps"/>
    <n v="208333"/>
    <n v="330000000"/>
    <m/>
    <n v="3000000"/>
    <n v="27600000"/>
    <m/>
    <d v="2024-04-01T00:00:00"/>
    <d v="2025-03-31T00:00:00"/>
    <x v="0"/>
    <m/>
    <d v="2025-12-24T00:00:00"/>
    <n v="-268"/>
    <n v="3"/>
    <n v="2025"/>
    <m/>
    <s v="2637/SPP/SBU/ICON+/2024"/>
    <n v="4500022503"/>
    <s v="Syifa Artianingsih"/>
    <s v="+62 812-9804-5188"/>
    <m/>
    <m/>
    <m/>
    <m/>
    <m/>
    <m/>
    <m/>
    <m/>
    <n v="192"/>
    <m/>
    <m/>
  </r>
  <r>
    <n v="1846"/>
    <s v="Aplikanusa Lintasarta"/>
    <s v="PT Telekomunikasi Indonesia International"/>
    <s v="Lintasarta Building , Jl.TB Simatupang Kav 10. Jakarta Selatan 12430"/>
    <x v="0"/>
    <s v="PRODUCTION - PLTU JAWA 7, JL. RAYA BOJONEGARA, DESA TERATE, KEC. KRAMATWATU, KAB.SERANG, BANTEN (-5.993661687479815, 106.08849158465594)"/>
    <s v="APL TOWER LT. 39 UNIT T9 PODOMORO CITY JL. LETJEN S. PARMAN KAV. 28 KEL. TANJUNG DUREN SELATAN, KEC. GROGOL PETAMBURAN JAKARTA BARAT -"/>
    <s v="Sewa Bulanan"/>
    <s v="Interkoneksi"/>
    <s v="A821202000679"/>
    <s v="111202018338"/>
    <s v="99,50%"/>
    <s v="Metronet"/>
    <s v="50 Mbps"/>
    <m/>
    <n v="372000000"/>
    <m/>
    <n v="10000000"/>
    <n v="196560000"/>
    <m/>
    <d v="2024-01-06T00:00:00"/>
    <d v="2025-01-05T00:00:00"/>
    <x v="0"/>
    <m/>
    <d v="2025-12-24T00:00:00"/>
    <n v="-353"/>
    <n v="1"/>
    <n v="2025"/>
    <m/>
    <s v="2497/SPP/SBU/ICON+/2024"/>
    <n v="4500022240"/>
    <s v="Syifa Artianingsih"/>
    <m/>
    <m/>
    <m/>
    <m/>
    <m/>
    <m/>
    <m/>
    <m/>
    <m/>
    <n v="17"/>
    <m/>
    <m/>
  </r>
  <r>
    <n v="1847"/>
    <s v="NTT Indonesia"/>
    <s v="PT China Telecom Indonesia Teknologi"/>
    <s v="Wisma 46 Kota BNI Lt. 5, Jl. Jend. Sudirman, Tanah Abang, Kota Jak Pusat, Daerah Khusus Ibukota Jak 10250, Indonesia"/>
    <x v="0"/>
    <s v="SDI DC, Cyber 1, Level 3, Rack 93, Jakarta"/>
    <s v="Wisma 46- Kota BNI, Lt.17, Suite 1712-1713, Jl Jend Sudirman Kav 1, Jakarta 10220"/>
    <s v="Sewa Bulanan"/>
    <s v="Interkoneksi"/>
    <s v="A821202000812"/>
    <m/>
    <s v="99,50%"/>
    <s v="Metronet"/>
    <s v="20 Mbps"/>
    <n v="11000000"/>
    <n v="126108000"/>
    <m/>
    <n v="5000000"/>
    <n v="57600000"/>
    <m/>
    <d v="2024-03-05T00:00:00"/>
    <d v="2025-03-04T00:00:00"/>
    <x v="2"/>
    <m/>
    <d v="2025-12-24T00:00:00"/>
    <n v="-295"/>
    <n v="3"/>
    <n v="2025"/>
    <s v="baru"/>
    <s v="2511/SPP/SBU/ICON+/2024"/>
    <n v="4500022193"/>
    <s v="Galuh Rizki"/>
    <s v="Iffa "/>
    <m/>
    <m/>
    <m/>
    <m/>
    <m/>
    <m/>
    <m/>
    <m/>
    <n v="121"/>
    <m/>
    <m/>
  </r>
  <r>
    <n v="1848"/>
    <s v="Victory Network Indonesia"/>
    <s v="PT Solusi Pembayaran Elektronik"/>
    <s v="Graha Matapel, Jl Arjuna Utara No.46, Jakarta Barat 11510"/>
    <x v="0"/>
    <m/>
    <s v="Ruko Great Wall, Jl Green Lake City Boulevard No.17-20, Rt.5/Rw.8, Petir, Cipondoh, Kota Tangerang, Banten, 15147"/>
    <s v="Sewa Bulanan"/>
    <s v="Interkoneksi"/>
    <s v="A821401001951"/>
    <s v="111401007217"/>
    <s v="99,50%"/>
    <s v="Internet BB Corporate"/>
    <s v="500 Mbps"/>
    <n v="3000000"/>
    <n v="130200000"/>
    <m/>
    <n v="3500000"/>
    <n v="60000000"/>
    <m/>
    <d v="2024-06-02T00:00:00"/>
    <d v="2025-06-01T00:00:00"/>
    <x v="0"/>
    <m/>
    <d v="2025-12-24T00:00:00"/>
    <n v="-206"/>
    <n v="6"/>
    <n v="2025"/>
    <s v="baru"/>
    <s v="3553/SPP/SBU/PLNICONPLUS/2024"/>
    <n v="4500022847"/>
    <s v="Syifa Artianingsih"/>
    <s v="Herwiko"/>
    <m/>
    <m/>
    <m/>
    <m/>
    <m/>
    <m/>
    <m/>
    <m/>
    <n v="193"/>
    <m/>
    <s v="Hardcopy PO Belum Kembali"/>
  </r>
  <r>
    <n v="1849"/>
    <s v="PT Krakatau Information Technology "/>
    <s v="Pertamina Gas"/>
    <s v="PT Krakatau Information Technology Jl. Anyer KM. 3 Cilegon 42441 Banten"/>
    <x v="1"/>
    <m/>
    <s v="Jl. Amerika I, Kawasan Industri Krakatau, Citangkil, Kota Cilegon, Banten, Indonesia, 42443"/>
    <s v="BAGI HASIL"/>
    <s v="Revenue Sharing"/>
    <m/>
    <s v="01000362396"/>
    <m/>
    <s v="IPVPN"/>
    <s v="1 Mbps"/>
    <m/>
    <n v="29400000"/>
    <m/>
    <m/>
    <m/>
    <n v="0.35"/>
    <d v="2018-09-01T00:00:00"/>
    <d v="2028-08-31T00:00:00"/>
    <x v="1"/>
    <m/>
    <d v="2025-12-24T00:00:00"/>
    <n v="981"/>
    <n v="8"/>
    <n v="2028"/>
    <m/>
    <m/>
    <m/>
    <s v="Syifa Fauziyah"/>
    <s v="Diki"/>
    <m/>
    <m/>
    <m/>
    <m/>
    <m/>
    <m/>
    <m/>
    <m/>
    <m/>
    <m/>
    <m/>
  </r>
  <r>
    <n v="1850"/>
    <s v="Aplikanusa Lintasarta"/>
    <s v="PT Gpay Digital Asia"/>
    <s v="Lintasarta Building , Jl.TB Simatupang Kav 10. Jakarta Selatan 12430"/>
    <x v="0"/>
    <s v="IDC Duren Tiga Rak AU 217, AU 218"/>
    <s v="BDX Taman Tekno (Lintasarta) Hall 2B Rack AK 23"/>
    <s v="Sewa Tahunan"/>
    <s v="Cross Connect"/>
    <s v="A111202004320"/>
    <m/>
    <m/>
    <m/>
    <m/>
    <n v="2702703"/>
    <n v="83783787"/>
    <m/>
    <n v="2702703"/>
    <n v="30000000"/>
    <m/>
    <d v="2024-05-30T00:00:00"/>
    <d v="2025-05-29T00:00:00"/>
    <x v="0"/>
    <m/>
    <d v="2025-12-24T00:00:00"/>
    <n v="-209"/>
    <n v="5"/>
    <n v="2025"/>
    <s v="baru"/>
    <s v="3536/SPP/SBU/PLNICONPLUS/2024"/>
    <n v="4500022970"/>
    <s v="Livia Indraswati"/>
    <s v="Ilham"/>
    <m/>
    <m/>
    <m/>
    <m/>
    <m/>
    <m/>
    <m/>
    <m/>
    <s v="H155"/>
    <m/>
    <m/>
  </r>
  <r>
    <n v="1851"/>
    <s v="Jakarta Industrial Estate Pulogadung (Persero) (JIEP) "/>
    <s v="PT PLN (PERSERO) KANTOR PUSAT (GH 0017)"/>
    <s v="Jl. Pulokambing No. 1 Lahan Industri Pulogadung Jakarta Timur 13290"/>
    <x v="0"/>
    <m/>
    <s v="Kawasan Industri Pulogadung GH 0017"/>
    <s v="Sewa Tahunan"/>
    <s v="Colocation"/>
    <s v="A831205000620"/>
    <m/>
    <m/>
    <s v="Internet Corporate"/>
    <m/>
    <n v="5000000"/>
    <n v="35402400"/>
    <m/>
    <m/>
    <n v="33533100"/>
    <m/>
    <d v="2024-03-06T00:00:00"/>
    <d v="2025-03-05T00:00:00"/>
    <x v="0"/>
    <m/>
    <d v="2025-12-24T00:00:00"/>
    <n v="-294"/>
    <n v="3"/>
    <n v="2025"/>
    <s v="baru"/>
    <s v="2767/SPP/SBU/ICON+/2024"/>
    <n v="4500022547"/>
    <s v="Syifa Fauziyah"/>
    <m/>
    <m/>
    <m/>
    <m/>
    <m/>
    <m/>
    <m/>
    <m/>
    <m/>
    <s v="H68"/>
    <m/>
    <m/>
  </r>
  <r>
    <n v="1852"/>
    <s v="Media Nusantara Data Global"/>
    <s v="PT Telemedia Dinamika Sarana"/>
    <s v="Jl. Kuningan Barat No. 8 Cyber Building 1st &amp; 2nd Jakarta Selatan 12710"/>
    <x v="0"/>
    <s v="Cyber 1 Jl. Kuningan Barat Raya No.9b 3, Rt.3/Rw.2, Kuningan Bar., Kec. Mampang Prpt., Kota Jakarta Selatan, Daerah Khusus Ibukota Jakarta 12710 "/>
    <s v="DSP Plumpang VV6X+PV3, Unnamed Road, Rt.1/Rw.4, Rawabadak Sel., Kec. Koja, Jkt Utara, Daerah Khusus Ibukota Jakarta 14230"/>
    <s v="Sewa Tahunan"/>
    <s v="Cross Connect"/>
    <s v="A821202001175"/>
    <m/>
    <m/>
    <s v="Metronet"/>
    <m/>
    <n v="5000000"/>
    <n v="41000000"/>
    <m/>
    <n v="1500000"/>
    <n v="18000000"/>
    <m/>
    <d v="2024-06-11T00:00:00"/>
    <d v="2025-06-10T00:00:00"/>
    <x v="1"/>
    <m/>
    <d v="2025-12-24T00:00:00"/>
    <n v="-197"/>
    <n v="6"/>
    <n v="2025"/>
    <s v="baru"/>
    <s v="3724/SPP/SBU/PLNICONPLUS/2024"/>
    <n v="4500022972"/>
    <s v="Livia Indraswati"/>
    <s v="Ira"/>
    <m/>
    <m/>
    <m/>
    <m/>
    <m/>
    <m/>
    <m/>
    <m/>
    <s v="H214"/>
    <m/>
    <s v="1. Biaya Sewa 1.500.000/bln 2. Biaya OTC Rp 1.500.000"/>
  </r>
  <r>
    <n v="1853"/>
    <s v="Media Nusantara Data Global"/>
    <s v="PT Yetoya Solusi Indonesia (CDC to APJII)"/>
    <s v="Jl. Kuningan Barat No. 8 Cyber Building 1st &amp; 2nd Jakarta Selatan 12710"/>
    <x v="0"/>
    <m/>
    <s v="Cyber 1 CDC"/>
    <s v="Sewa Tahunan"/>
    <s v="Cross Connect"/>
    <s v="A111204000149"/>
    <m/>
    <m/>
    <s v="Kapasitas Besar"/>
    <s v="70 Gbps"/>
    <m/>
    <n v="1704000000"/>
    <m/>
    <n v="1500000"/>
    <n v="18000000"/>
    <m/>
    <d v="2024-06-11T00:00:00"/>
    <d v="2025-06-10T00:00:00"/>
    <x v="1"/>
    <m/>
    <d v="2025-12-24T00:00:00"/>
    <n v="-197"/>
    <n v="6"/>
    <n v="2025"/>
    <s v="baru"/>
    <s v="3725/SPP/SBU/PLNICONPLUS/2024"/>
    <n v="4500022971"/>
    <s v="Livia Indraswati"/>
    <s v="Ira"/>
    <m/>
    <m/>
    <m/>
    <m/>
    <m/>
    <m/>
    <m/>
    <m/>
    <s v="H213"/>
    <m/>
    <s v="1. Biaya Sewa 1.500.000/bln 2. Biaya OTC Rp 1.500.000"/>
  </r>
  <r>
    <n v="1854"/>
    <s v="Kawasan Lintas Biru Digital"/>
    <s v="PT Toyota Astra Motor"/>
    <s v="Kalimantan CA2 1&amp;2 Gandasari Kabupaten Bekasi 17842"/>
    <x v="0"/>
    <m/>
    <s v="TOYOTA ASTRA MOTOR NEW SITE 2, JL. SELAYAR KAV. B10 KAWASAN INDUSTRI MM2100 (TTC)"/>
    <s v="Sewa Tahunan"/>
    <s v="Colocation"/>
    <s v="R111303003485 "/>
    <s v="990000320655320"/>
    <m/>
    <s v="INTERNET CORPORATE     "/>
    <s v="  200 Mbps "/>
    <m/>
    <n v="660000000"/>
    <m/>
    <n v="5000000"/>
    <n v="234000000"/>
    <m/>
    <d v="2024-07-20T00:00:00"/>
    <d v="2025-07-19T00:00:00"/>
    <x v="0"/>
    <m/>
    <d v="2025-12-24T00:00:00"/>
    <n v="-158"/>
    <n v="7"/>
    <n v="2025"/>
    <s v="baru"/>
    <s v="3822/SPP/SBU/PLNICONPLUS/2024"/>
    <n v="4500023022"/>
    <s v="Syifa Fauziyah"/>
    <s v="Marisa"/>
    <m/>
    <m/>
    <m/>
    <m/>
    <m/>
    <m/>
    <m/>
    <m/>
    <s v="H198"/>
    <m/>
    <m/>
  </r>
  <r>
    <n v="1855"/>
    <s v="Kawasan Lintas Biru Digital"/>
    <s v="PT Toyota Astra Motor"/>
    <s v="Kalimantan CA2 1&amp;2 Gandasari Kabupaten Bekasi 17842"/>
    <x v="0"/>
    <m/>
    <s v="TOYOTA ASTRA MOTOR NEW SITE 2, JL. SELAYAR KAV. B10 KAWASAN INDUSTRI MM2100 (TTC)"/>
    <s v="Sewa Tahunan"/>
    <s v="Colocation"/>
    <s v="R111202004861"/>
    <s v="0990000320330180"/>
    <m/>
    <s v="Metronet "/>
    <s v="4 MBPS"/>
    <m/>
    <n v="144000000"/>
    <m/>
    <n v="5000000"/>
    <n v="24000000"/>
    <m/>
    <d v="2024-07-20T00:00:00"/>
    <d v="2025-07-19T00:00:00"/>
    <x v="0"/>
    <m/>
    <d v="2025-12-24T00:00:00"/>
    <n v="-158"/>
    <n v="7"/>
    <n v="2025"/>
    <s v="baru"/>
    <s v=" 3825/SPP/SBU/PLNICONPLUS/2024"/>
    <n v="4500023023"/>
    <s v="Syifa Fauziyah"/>
    <s v="Marisa"/>
    <m/>
    <m/>
    <m/>
    <m/>
    <m/>
    <m/>
    <m/>
    <m/>
    <s v="H199"/>
    <m/>
    <m/>
  </r>
  <r>
    <n v="1856"/>
    <s v="Kawasan Lintas Biru Digital"/>
    <s v="PT Toyota Astra Motor"/>
    <s v="Kalimantan CA2 1&amp;2 Gandasari Kabupaten Bekasi 17842"/>
    <x v="0"/>
    <m/>
    <s v="TOYOTA ASTRA MOTOR NEW SITE 2, JL. SELAYAR KAV. B10 KAWASAN INDUSTRI MM2100 (TTC)"/>
    <s v="Sewa Tahunan"/>
    <s v="Colocation"/>
    <s v="R111202004860"/>
    <s v="0990000320655959"/>
    <m/>
    <s v="Metronet "/>
    <s v="50 MBPS"/>
    <m/>
    <n v="300000000"/>
    <m/>
    <n v="5000000"/>
    <n v="78000000"/>
    <m/>
    <d v="2024-07-10T00:00:00"/>
    <d v="2025-07-09T00:00:00"/>
    <x v="0"/>
    <m/>
    <d v="2025-12-24T00:00:00"/>
    <n v="-168"/>
    <n v="7"/>
    <n v="2025"/>
    <s v="baru"/>
    <s v="3826/SPP/SBU/PLNICONPLUS/2024"/>
    <n v="4500023024"/>
    <s v="Syifa Fauziyah"/>
    <s v="Marisa"/>
    <m/>
    <m/>
    <m/>
    <m/>
    <m/>
    <m/>
    <m/>
    <m/>
    <s v="H200"/>
    <m/>
    <m/>
  </r>
  <r>
    <n v="1857"/>
    <s v="Kawasan Lintas Biru Digital"/>
    <s v="PT Nutrifood Indonesia"/>
    <s v="Kalimantan CA2 1&amp;2 Gandasari Kabupaten Bekasi 17842"/>
    <x v="0"/>
    <m/>
    <s v="KAWASAN INDUSTRI MM2100 JALAN SELAYAR II BLOK. H7-H8, JATIWANGI, CIKARANG BARAT, BEKASI REGENCY, WEST JAVA 17530"/>
    <s v="Sewa Tahunan"/>
    <s v="Colocation"/>
    <s v="A821303001179 "/>
    <s v="111303012682"/>
    <m/>
    <s v="METRONET"/>
    <s v="50 Mbps"/>
    <m/>
    <n v="108000000"/>
    <m/>
    <n v="5000000"/>
    <n v="78000000"/>
    <m/>
    <d v="2024-07-20T00:00:00"/>
    <d v="2025-07-19T00:00:00"/>
    <x v="0"/>
    <m/>
    <d v="2025-12-24T00:00:00"/>
    <n v="-158"/>
    <n v="7"/>
    <n v="2025"/>
    <s v="baru"/>
    <s v="3821/SPP/SBU/PLNICONPLUS/2024"/>
    <n v="4500023020"/>
    <s v="Syifa Fauziyah"/>
    <s v="Marisa"/>
    <m/>
    <m/>
    <m/>
    <m/>
    <m/>
    <m/>
    <m/>
    <m/>
    <s v="H197"/>
    <m/>
    <m/>
  </r>
  <r>
    <n v="1858"/>
    <s v="Serpong Mas Telematika"/>
    <s v="PT PLN Kantor Pusat (Rumah Dirut PLN)"/>
    <s v="Komplek Ruko Golden Road Blok C26 No 100 - 108 Kota Taerang Selatan, Banten 15310"/>
    <x v="0"/>
    <s v="PLN Kantor Pusat"/>
    <s v="PT PLN Kantor Pusat Rumah Dirut PLN (Bapak Darmawan P), The Green BSD, Clustur Grand Canyon Blok i-2 No 25, Kota Tangerang 15310"/>
    <s v="Sewa Bulanan"/>
    <s v="Interkoneksi"/>
    <s v=" _x0009_PA/UPG/2009/0134"/>
    <s v="04000099114"/>
    <s v="99,50%"/>
    <s v="Internet Corporate"/>
    <s v="50 Mbps"/>
    <m/>
    <n v="150586800"/>
    <m/>
    <m/>
    <n v="147000000"/>
    <m/>
    <d v="2024-09-29T00:00:00"/>
    <d v="2025-09-28T00:00:00"/>
    <x v="0"/>
    <m/>
    <d v="2025-12-24T00:00:00"/>
    <n v="-87"/>
    <n v="9"/>
    <n v="2025"/>
    <s v="1598/SPP/SBU/ICON+/2023 | 4500021441"/>
    <s v="3848/SPP/SBU/PLNICONPLUS/2024"/>
    <s v="4500023083"/>
    <s v="Renata Simanjuntak"/>
    <s v="Masrukhan"/>
    <s v="+62 812-9844-8648"/>
    <m/>
    <m/>
    <m/>
    <m/>
    <m/>
    <m/>
    <m/>
    <n v="239"/>
    <m/>
    <m/>
  </r>
  <r>
    <n v="1859"/>
    <s v="Serpong Mas Telematika"/>
    <s v="PT Aeon Indonesia"/>
    <s v="Komplek Ruko Golden Road Blok C26 No 100 - 108 Kota Taerang Selatan, Banten 15310"/>
    <x v="0"/>
    <m/>
    <s v="PT AEON Indonesia JL. BSD Raya Utama Unit M-02 Mezzanine Floor Desa Pegedangan, Pagedagan, Kabupaten Tangerang Banten, Indonesia 15820"/>
    <s v="Sewa Bulanan"/>
    <s v="Interkoneksi"/>
    <s v="PA/ACT/2207/2501"/>
    <s v="110130308313/4000300722"/>
    <s v="99,50%"/>
    <s v="Internet Corporate"/>
    <s v="20 Mbps"/>
    <m/>
    <n v="114000000"/>
    <m/>
    <m/>
    <n v="73710000"/>
    <m/>
    <d v="2024-09-21T00:00:00"/>
    <d v="2025-09-20T00:00:00"/>
    <x v="2"/>
    <m/>
    <d v="2025-12-24T00:00:00"/>
    <n v="-95"/>
    <n v="9"/>
    <n v="2025"/>
    <s v="1164/SPP/SBU/ICON+/2023 | 4500021243"/>
    <s v="3846/SPP/SBU/PLNICONPLUS/2024"/>
    <n v="4500023797"/>
    <s v="Renata Simanjuntak"/>
    <s v="Masrukhan"/>
    <s v="+62 812-9844-8648"/>
    <m/>
    <m/>
    <m/>
    <m/>
    <m/>
    <m/>
    <m/>
    <s v="H230"/>
    <m/>
    <m/>
  </r>
  <r>
    <n v="1860"/>
    <s v="Infrastruktur Cakrawala Telekomunikasi"/>
    <s v="Asia Talenta Mandiri"/>
    <s v="WTP Building Jl.Jababeka IV Blok B No.12 Cikarang"/>
    <x v="0"/>
    <m/>
    <s v="Jl. Jababeka VI Blok B J7B, Harja Mekar, Kec. Cikarang Utara, Kabupaten Bekasi, Jawa Barat 17530"/>
    <s v="Sewa Tahunan"/>
    <s v="Cross Connect"/>
    <s v="A111303002172"/>
    <m/>
    <m/>
    <m/>
    <m/>
    <m/>
    <n v="21600000"/>
    <m/>
    <m/>
    <n v="11282582"/>
    <m/>
    <d v="2024-01-25T00:00:00"/>
    <d v="2024-09-30T00:00:00"/>
    <x v="1"/>
    <m/>
    <d v="2025-12-24T00:00:00"/>
    <n v="-450"/>
    <n v="9"/>
    <n v="2024"/>
    <m/>
    <s v="2483/SPP/SBU/PLNICONPLUS/2024"/>
    <n v="4500022616"/>
    <s v="Livia Indraswati"/>
    <s v="anggun"/>
    <m/>
    <m/>
    <m/>
    <m/>
    <m/>
    <m/>
    <m/>
    <m/>
    <s v="H9"/>
    <m/>
    <m/>
  </r>
  <r>
    <n v="1861"/>
    <s v="Infrastruktur Cakrawala Telekomunikasi"/>
    <s v="PT Jaya Refrigeration Equipment (Upgrade)"/>
    <s v="WTP Building Jl.Jababeka IV Blok B No.12 Cikarang"/>
    <x v="0"/>
    <m/>
    <s v="Kawasan Industri Jababeka Jl. Jababeka IX B Blok Q2. Wangunharja, Cikarang Utara, Kabupaten Bekasi, Jawa Barat, Indonesia 17530"/>
    <s v="Sewa Tahunan"/>
    <s v="Cross Connect"/>
    <s v="A111302000052"/>
    <m/>
    <m/>
    <m/>
    <m/>
    <m/>
    <n v="52500000"/>
    <m/>
    <m/>
    <n v="8849615"/>
    <m/>
    <d v="2024-03-18T00:00:00"/>
    <d v="2024-09-30T00:00:00"/>
    <x v="1"/>
    <m/>
    <d v="2025-12-24T00:00:00"/>
    <n v="-450"/>
    <n v="9"/>
    <n v="2024"/>
    <m/>
    <s v="3114/SPP/SBU/PLNICONPLUS/2024"/>
    <n v="4500022617"/>
    <s v="Livia Indraswati"/>
    <s v="anggun"/>
    <m/>
    <m/>
    <m/>
    <m/>
    <m/>
    <m/>
    <m/>
    <m/>
    <s v="H91"/>
    <m/>
    <m/>
  </r>
  <r>
    <n v="1862"/>
    <s v="Multitech Infomedia"/>
    <s v="PT Badan Nusantara Compnet Integrator"/>
    <s v="Jl. Daan Mogot 1 34"/>
    <x v="0"/>
    <m/>
    <s v="Gedung Cyber"/>
    <s v="Sewa Tahunan"/>
    <s v="Cross Connect"/>
    <s v="A121303000900"/>
    <m/>
    <m/>
    <m/>
    <m/>
    <m/>
    <n v="54000000"/>
    <m/>
    <n v="1500000"/>
    <n v="30000000"/>
    <m/>
    <d v="2024-07-03T00:00:00"/>
    <d v="2025-07-02T00:00:00"/>
    <x v="0"/>
    <m/>
    <d v="2025-12-24T00:00:00"/>
    <n v="-175"/>
    <n v="7"/>
    <n v="2025"/>
    <m/>
    <s v="3902/SPP/SBU/PLNICONPLUS/2024"/>
    <n v="4500023129"/>
    <s v="Livia Indraswati"/>
    <s v="Richard/Liyana"/>
    <m/>
    <m/>
    <m/>
    <m/>
    <m/>
    <m/>
    <m/>
    <m/>
    <s v="H210"/>
    <m/>
    <m/>
  </r>
  <r>
    <n v="1863"/>
    <s v="Perhimpunan Pemilik dan Penghuni Rumah Susun Sementara Kawasan Bassura City"/>
    <s v="PT Media Cloud Indonesia"/>
    <s v="Apartemen Bassura City Jalan Basuki Rahmat No. 1A Cipinang Besar Selatan, Jakarta Timur"/>
    <x v="0"/>
    <m/>
    <s v="MALL BASSURA - JL. JEND. BASUKI RACHMAT NO.1A, CIPINANG BESAR SEL., KECAMATAN JATINEGARA, KOTA JAKARTA TIMUR, DAERAH KHUSUS IBUKOTA JAKARTA 13410"/>
    <s v="Sewa Tahunan"/>
    <s v="Colocation"/>
    <s v="A821204000077"/>
    <m/>
    <m/>
    <m/>
    <m/>
    <n v="11700628"/>
    <n v="180000000"/>
    <m/>
    <m/>
    <n v="36000000"/>
    <m/>
    <d v="2024-07-01T00:00:00"/>
    <d v="2025-06-30T00:00:00"/>
    <x v="2"/>
    <m/>
    <d v="2025-12-24T00:00:00"/>
    <n v="-177"/>
    <n v="6"/>
    <n v="2025"/>
    <m/>
    <s v="3832/SPP/SBU/PLNICONPLUS/2024"/>
    <n v="4500023090"/>
    <s v="Livia Indraswati"/>
    <s v="Ridwan"/>
    <m/>
    <m/>
    <m/>
    <m/>
    <m/>
    <m/>
    <m/>
    <m/>
    <s v="H260"/>
    <m/>
    <m/>
  </r>
  <r>
    <n v="1864"/>
    <s v="Grahaniaga Tatautama "/>
    <s v="BUT. SARULLA OPERATIONS LTD_x000a_ Bank Woori Saudara"/>
    <s v="Gedung Graha Niaga Lantai 1 Jl. Jendral Sudirman Kav. 58 Jakarta 12190"/>
    <x v="0"/>
    <m/>
    <s v="Gedung Graha Niaga"/>
    <s v="Sewa Tahunan"/>
    <s v="Colocation"/>
    <s v="ICON-00/ACT/1709/1154_x000a_ ICON-00/ACT/1302/0085"/>
    <m/>
    <m/>
    <m/>
    <m/>
    <m/>
    <n v="360000000"/>
    <m/>
    <m/>
    <n v="26362098"/>
    <m/>
    <d v="2024-07-21T00:00:00"/>
    <d v="2025-07-20T00:00:00"/>
    <x v="0"/>
    <m/>
    <d v="2025-12-24T00:00:00"/>
    <n v="-157"/>
    <n v="7"/>
    <n v="2025"/>
    <n v="4500020938"/>
    <s v="3939/SPP/SBU/PLNICONPLUS/2024"/>
    <n v="4500023191"/>
    <s v="Livia Indraswati"/>
    <s v="Kun Suta"/>
    <m/>
    <m/>
    <m/>
    <m/>
    <m/>
    <m/>
    <m/>
    <m/>
    <s v="H258"/>
    <m/>
    <m/>
  </r>
  <r>
    <n v="1865"/>
    <s v="Aplikanusa Lintasarta"/>
    <s v="PT Solusi Pembayaran Elektronik"/>
    <s v="Lintasarta Building , Jl.TB Simatupang Kav 10. Jakarta Selatan 12430"/>
    <x v="0"/>
    <m/>
    <s v="LINTASARTA TECHNOPARK DC) Perangkat PT Solusi Pembayaran Elektronik DC Lintas Arta Taman Tekno lantai 2 RACK DC-2B-AV23_x000a_KOMPLEK PERGUDANGAN TAMAN TEKNO BLOK D NO.8, BSD, SETU, KEC. SETU, KOTA TANGERANG SELATAN, BANTEN 15314"/>
    <s v="Sewa Tahunan"/>
    <s v="Cross Connect"/>
    <s v="A821303000708"/>
    <m/>
    <m/>
    <m/>
    <m/>
    <n v="3500000"/>
    <n v="148200000"/>
    <m/>
    <n v="2500000"/>
    <n v="60000000"/>
    <m/>
    <d v="2024-06-26T00:00:00"/>
    <d v="2025-06-25T00:00:00"/>
    <x v="0"/>
    <m/>
    <d v="2025-12-24T00:00:00"/>
    <n v="-182"/>
    <n v="6"/>
    <n v="2025"/>
    <m/>
    <s v="3237/SPP/SBU/PLNICONPLUS/2024"/>
    <n v="4500022969"/>
    <s v="Livia Indraswati"/>
    <s v="Ilham"/>
    <m/>
    <m/>
    <m/>
    <m/>
    <m/>
    <m/>
    <m/>
    <m/>
    <s v="H158"/>
    <m/>
    <m/>
  </r>
  <r>
    <n v="1866"/>
    <s v="Media Nusantara Data Global"/>
    <s v="PT Sandya Sistem Indonesia_x000a_PT Jaringanku Sarana Nusantara_x000a_PT Java Digital Nusantara_x000a_PT Jaringanku Sarana Nusantara_x000a_PT Jaringanku Sarana Nusantara_x000a_PT Giga Digital Nusantara_x000a_PT. Tele Globe Global Cyeber"/>
    <s v="Jl. Kuningan Barat No. 8 Cyber Building 1st &amp; 2nd Jakarta Selatan 12710"/>
    <x v="0"/>
    <m/>
    <s v="Gedung Cyber"/>
    <s v="Sewa Tahunan"/>
    <s v="Cross Connect"/>
    <s v="PA/ACT/2202/1235 - 01000191675_x000a_PA/ACT/2201/3616 - 01000189483_x000a_PA/ACT/2011/1329 - 01000135431_x000a_PA/ACT/2207/3887 - 01000300143_x000a_PA/ACT/2208/0320 - 01000300145_x000a_PA/ACT/2207/4223 - 01000302099_x000a_PA/ACT/2208/0695 - 01000303446"/>
    <m/>
    <m/>
    <s v="Metronet"/>
    <m/>
    <m/>
    <m/>
    <m/>
    <n v="3000000"/>
    <n v="18000000"/>
    <m/>
    <d v="2024-06-06T00:00:00"/>
    <d v="2025-06-05T00:00:00"/>
    <x v="0"/>
    <m/>
    <d v="2025-12-24T00:00:00"/>
    <n v="-202"/>
    <n v="6"/>
    <n v="2025"/>
    <s v="baru"/>
    <s v="3737/SPP/SBU/PLNICONPLUS/2024"/>
    <n v="4500023105"/>
    <s v="Livia Indraswati"/>
    <s v="Ira"/>
    <m/>
    <m/>
    <m/>
    <m/>
    <m/>
    <m/>
    <m/>
    <m/>
    <s v="H259"/>
    <m/>
    <s v="1. Biaya Sewa 1.500.000/bln 2. Biaya OTC Rp 3.000.000"/>
  </r>
  <r>
    <n v="1867"/>
    <s v="Cablenet Fiber Data"/>
    <s v="PT Mastersystem Infotama PHE Tower"/>
    <s v="Jl Simprug Garden 1 Blok W No.11 RT.07/RW.03, Grogol Selatan, Kebayoran Lama, Jakarta Selatan, DKI Jakarta, 12220"/>
    <x v="0"/>
    <m/>
    <s v="Gedung PHE  Tower, Jl. Tb Simatupang No. Kav. 99, RT.1/Rw.1, Kebagusan, Pasar Minggu, Kota Jakarta Selatan, Daerah Khusus Ibukota Jakarta 12520"/>
    <s v="Sewa Bulanan"/>
    <s v="Interkoneksi"/>
    <s v="U111303003019"/>
    <s v="111303010621"/>
    <n v="0.995"/>
    <s v="Internet Corporate"/>
    <s v="600 Mbps"/>
    <m/>
    <n v="341679600"/>
    <m/>
    <m/>
    <n v="63150000"/>
    <m/>
    <d v="2024-06-19T00:00:00"/>
    <d v="2025-05-31T00:00:00"/>
    <x v="0"/>
    <m/>
    <d v="2025-12-24T00:00:00"/>
    <n v="-207"/>
    <n v="5"/>
    <n v="2025"/>
    <s v="1437/SPP/SBU/ICON+/2023 | 4500021342"/>
    <s v="3533/SPP/SBU/PLNICONPLUS/2024"/>
    <s v="4500022850"/>
    <s v="Syifa Artianingsih"/>
    <s v="Cindy Pratiwi"/>
    <s v="0857-2207-8712"/>
    <m/>
    <m/>
    <m/>
    <m/>
    <m/>
    <m/>
    <m/>
    <n v="187"/>
    <m/>
    <m/>
  </r>
  <r>
    <n v="1868"/>
    <s v="Cablenet Fiber Data "/>
    <s v="PT Mastersystem Infotama Gedung RDTX "/>
    <s v="Jl Simprug Garden 1 Blok W No.11 RT.07/RW.03, Grogol Selatan, Kebayoran Lama, Jakarta Selatan, DKI Jakarta, 12220"/>
    <x v="0"/>
    <m/>
    <s v="Gedung RDTX, Jl. Prof. Dr. Satrio Kav. E-IV No.6, Jalan Kuningan Barat Raya No.2, Rt.5/Rw.Rw, Kuningan Tim, Kecamatan Setiabudi, Kota Jakarta Selatan, Daerah Khusus IbuKota Jakarta 12950"/>
    <s v="Sewa Bulanan"/>
    <s v="Interkoneksi"/>
    <s v="U111303003022"/>
    <s v="111303010622"/>
    <n v="0.995"/>
    <s v="Internet Corporate"/>
    <s v="100 Mbps"/>
    <m/>
    <n v="130377600"/>
    <m/>
    <m/>
    <n v="28022592"/>
    <m/>
    <d v="2024-06-19T00:00:00"/>
    <d v="2025-05-31T00:00:00"/>
    <x v="0"/>
    <m/>
    <d v="2025-12-24T00:00:00"/>
    <n v="-207"/>
    <n v="5"/>
    <n v="2025"/>
    <s v="1753/SPP/SBU/ICON+/2023 | 4500021579"/>
    <s v="3535/SPP/SBU/PLNICONPLUS/2024"/>
    <s v="4500022849"/>
    <s v="Syifa Artianingsih"/>
    <s v="Cindy Pratiwi"/>
    <s v="0857-2207-8712"/>
    <m/>
    <m/>
    <m/>
    <m/>
    <m/>
    <m/>
    <m/>
    <n v="190"/>
    <m/>
    <m/>
  </r>
  <r>
    <n v="1869"/>
    <s v="BIT Teknologi Nusantara"/>
    <s v="PT Astra International TBK #Cyber"/>
    <m/>
    <x v="0"/>
    <s v="PT Astra International Gd. Amdi A JL. Gaya Motor Raya No.8 Sunter II (Backhaul), Indonesia"/>
    <s v="T152 -TSO Sudirman Menara Astra, Gedung Astra Tower, Lt 01-02, Jln. Jend. Sudirman Kav 5-6, Sudirman, Jakarta Pusat, DKI Jakarta, Indonesia"/>
    <s v="Sewa Bulanan"/>
    <s v="Interkoneksi"/>
    <s v="PA/UPG/2209/0126"/>
    <s v="01000045514"/>
    <s v="99,50%"/>
    <s v="Metronet"/>
    <s v="3 Mbps"/>
    <m/>
    <n v="57600000"/>
    <m/>
    <m/>
    <n v="4620000"/>
    <m/>
    <d v="2024-10-10T00:00:00"/>
    <d v="2025-10-09T00:00:00"/>
    <x v="0"/>
    <m/>
    <d v="2025-12-24T00:00:00"/>
    <n v="-76"/>
    <n v="10"/>
    <n v="2025"/>
    <m/>
    <s v="3839/SPP/SBU/PLNICONPLUS/2024"/>
    <s v="4500023084"/>
    <s v="Syifa Artianingsih"/>
    <s v="Fenny"/>
    <m/>
    <m/>
    <m/>
    <m/>
    <m/>
    <m/>
    <m/>
    <m/>
    <n v="186"/>
    <m/>
    <m/>
  </r>
  <r>
    <n v="1870"/>
    <s v="BIT Teknologi Nusantara"/>
    <s v="PT Astra International TBK #Tenant"/>
    <m/>
    <x v="0"/>
    <s v="PT. Astra International Gd. Amdi A JL. Gaya Motor Raya No.8 Sunter II (Backhaul), Indonesia"/>
    <s v="t152 - TSO Sudirman Menara Astra, Gedung Astra Tower, Lt 01-02, Jln. Jend. Sudirman Kav 5-6, Sudirman, Jakarta Pusat, DKI Jakarta, Indonesia"/>
    <s v="Sewa Bulanan"/>
    <s v="Interkoneksi"/>
    <s v="PA/UPG/2209/0126"/>
    <s v="01000045514"/>
    <s v="99,50%"/>
    <s v="Metronet"/>
    <s v="3 Mbps"/>
    <m/>
    <m/>
    <m/>
    <m/>
    <n v="11340000"/>
    <m/>
    <d v="2024-10-01T00:00:00"/>
    <d v="2025-09-30T00:00:00"/>
    <x v="0"/>
    <m/>
    <d v="2025-12-24T00:00:00"/>
    <n v="-85"/>
    <n v="9"/>
    <n v="2025"/>
    <m/>
    <s v="3837/SPP/SBU/PLNICONPLUS/2024"/>
    <s v="4500023085"/>
    <s v="Syifa Artianingsih"/>
    <s v="Fenny"/>
    <m/>
    <m/>
    <m/>
    <m/>
    <m/>
    <m/>
    <m/>
    <m/>
    <n v="189"/>
    <m/>
    <m/>
  </r>
  <r>
    <n v="1871"/>
    <s v="Infrastruktur Cakrawala Telekomunikasi"/>
    <s v="PT Jaya Refrigeration Equipment"/>
    <s v="WTP Building Jl. Jababeka IV Blok B No. 12"/>
    <x v="0"/>
    <m/>
    <s v="Kawasan Jababeka Jl. Jababeka IX B Blok Q2"/>
    <s v="Sewa Tahunan"/>
    <s v="Cross Connect"/>
    <s v="A821303000563"/>
    <s v="111303011739"/>
    <m/>
    <s v="Metronet"/>
    <s v="25 Mbps"/>
    <m/>
    <n v="44666667"/>
    <m/>
    <m/>
    <n v="14231059"/>
    <m/>
    <d v="2024-01-04T00:00:00"/>
    <d v="2024-09-30T00:00:00"/>
    <x v="1"/>
    <m/>
    <d v="2025-12-24T00:00:00"/>
    <n v="-450"/>
    <n v="9"/>
    <n v="2024"/>
    <m/>
    <s v="3466/SPP/SBU/PLNICONPLUS/2024"/>
    <s v="4500022821"/>
    <s v="Syifa Fauziyah"/>
    <s v="Aksho, Riski"/>
    <m/>
    <m/>
    <m/>
    <m/>
    <m/>
    <m/>
    <m/>
    <m/>
    <s v="H4"/>
    <m/>
    <m/>
  </r>
  <r>
    <n v="1872"/>
    <s v="Infrastruktur Cakrawala Telekomunikasi"/>
    <s v="PT Hitachi Astemo Bekasi Manufacturing"/>
    <s v="WTP Building Jl. Jababeka IV Blok B No. 12"/>
    <x v="0"/>
    <m/>
    <s v="Jababeka industrial park Jl. jbbk IV Kav. 28-36, "/>
    <s v="Sewa Tahunan"/>
    <s v="Cross Connect"/>
    <s v="U111303003066"/>
    <s v="1124041800095"/>
    <m/>
    <s v="Metronet"/>
    <s v="60 Mbps"/>
    <m/>
    <n v="56875000"/>
    <m/>
    <m/>
    <n v="13251731"/>
    <m/>
    <d v="2024-06-05T00:00:00"/>
    <d v="2024-09-30T00:00:00"/>
    <x v="0"/>
    <m/>
    <d v="2025-12-24T00:00:00"/>
    <n v="-450"/>
    <n v="9"/>
    <n v="2024"/>
    <m/>
    <s v="3559/SPP/SBU/PLNICONPLUS/2024"/>
    <s v="4500022862"/>
    <s v="Syifa Fauziyah"/>
    <s v="Aksho, Riski"/>
    <m/>
    <m/>
    <m/>
    <m/>
    <m/>
    <m/>
    <m/>
    <m/>
    <s v="H153"/>
    <m/>
    <m/>
  </r>
  <r>
    <n v="1873"/>
    <s v="Multitech Infomedia"/>
    <s v="PT Jaringanku Sarana Nusantara"/>
    <s v="Jl. Daan Mogot 1 34"/>
    <x v="0"/>
    <s v="Multitech Data Center / PT.Multitech Infomedia lokasi di Gedung Cyber, LT. 1, JL. Kuningan Barat, No. 8, Kuningan Barat, Mampang Prapatan untuk Rack utama JSN berada di Rack B14 MDC ,KECAMATAN MAMPANG ,Jakarta Selatan ,DKI Jakarta"/>
    <s v="CV. HAANSIRO, RT.4 RW.1 Ds. Jontro, Jl Wijayakusuma No 6 RT 05 RW III, Perum Griya Sekar Asri, Sekarkurung, Desa, Sekarkurung, Muktiharjo, 59163,Kecamatan Wedarijaksa ,Kabupaten Pati ,Jawa Tengah"/>
    <s v="Sewa Tahunan"/>
    <s v="Cross Connect"/>
    <s v="U221204000020"/>
    <m/>
    <m/>
    <m/>
    <m/>
    <m/>
    <m/>
    <m/>
    <n v="1500000"/>
    <n v="42000000"/>
    <m/>
    <d v="2023-09-05T00:00:00"/>
    <d v="2024-09-04T00:00:00"/>
    <x v="0"/>
    <m/>
    <d v="2025-12-24T00:00:00"/>
    <n v="-476"/>
    <n v="9"/>
    <n v="2024"/>
    <m/>
    <s v="1322/SPP/SBU/ICON+/2023"/>
    <n v="4500021287"/>
    <s v="Livia Indraswati"/>
    <s v="Richard/Liyana"/>
    <m/>
    <m/>
    <m/>
    <m/>
    <m/>
    <m/>
    <m/>
    <s v="G232"/>
    <m/>
    <m/>
    <m/>
  </r>
  <r>
    <n v="1874"/>
    <s v="Multitech Infomedia"/>
    <s v="PT Jaringanku Sarana Nusantara"/>
    <s v="Jl. Daan Mogot 1 34"/>
    <x v="0"/>
    <s v="Multitech Data Center / PT.Multitech Infomedia lokasi di Gedung Cyber, LT. 1, JL. Kuningan Barat, No. 8, Kuningan Barat, Mampang Prapatan untuk Rack utama JSN berada di Rack B14 MDC ,KECAMATAN MAMPANG ,Jakarta Selatan ,DKI Jakarta"/>
    <s v="CV. HAANSIRO, RT.4 RW.1 Ds. Jontro, Jl Wijayakusuma No 6 RT 05 RW III, Perum Griya Sekar Asri, Sekarkurung, Desa, Sekarkurung, Muktiharjo, 59163,Kecamatan Wedarijaksa ,Kabupaten Pati ,Jawa Tengah"/>
    <s v="Sewa Tahunan"/>
    <s v="Cross Connect"/>
    <s v="U221204000020"/>
    <m/>
    <m/>
    <m/>
    <m/>
    <m/>
    <m/>
    <m/>
    <m/>
    <n v="42000000"/>
    <m/>
    <d v="2024-09-05T00:00:00"/>
    <d v="2025-09-04T00:00:00"/>
    <x v="0"/>
    <m/>
    <d v="2025-12-24T00:00:00"/>
    <n v="-111"/>
    <n v="9"/>
    <n v="2025"/>
    <m/>
    <s v="4119/SPP/SBU/PLNICONPLUS/2024"/>
    <n v="4500023249"/>
    <s v="Livia Indraswati"/>
    <s v="Richard/Liyana"/>
    <m/>
    <m/>
    <m/>
    <m/>
    <m/>
    <m/>
    <m/>
    <m/>
    <s v="H308"/>
    <m/>
    <m/>
  </r>
  <r>
    <n v="1875"/>
    <s v="DCI Indonesia "/>
    <s v="United Nations Development Programme (UNDP)"/>
    <s v="Equity Tower 17th floor suiteF SCBD lot_x000a_Jl Jend Sudirman Kav 52-53 Jakarta 12193"/>
    <x v="0"/>
    <m/>
    <s v="AWS Data Center Jakarta Jl. Jend. Sudirman, SCBD Lot 9, 52-53 Equity Tower 49th Floor"/>
    <s v="Sewa Tahunan"/>
    <s v="Cross Connect"/>
    <s v="A811202000149"/>
    <m/>
    <m/>
    <s v="Metronet "/>
    <s v="2 Gbps"/>
    <m/>
    <n v="521600000"/>
    <m/>
    <n v="8000000"/>
    <n v="72000000"/>
    <m/>
    <d v="2024-07-17T00:00:00"/>
    <d v="2025-07-16T00:00:00"/>
    <x v="0"/>
    <m/>
    <d v="2025-12-24T00:00:00"/>
    <n v="-161"/>
    <n v="7"/>
    <n v="2025"/>
    <s v="baru"/>
    <s v="4047/SPP/SBU/PLNICONPLUS/2024"/>
    <n v="4500023227"/>
    <s v="Livia Indraswati"/>
    <s v="Ibu Asima"/>
    <m/>
    <m/>
    <m/>
    <m/>
    <m/>
    <m/>
    <m/>
    <m/>
    <s v="H284"/>
    <m/>
    <s v="1. Biaya Sewa Cross Connect Rp 6.000.000/bln kalau setahun jadi Rp 72.000.000/thn  2. Biaya OTC Rp 8.000.000"/>
  </r>
  <r>
    <n v="1876"/>
    <s v="Aplikanusa Lintasarta"/>
    <s v="PT Bank Panin Tbk"/>
    <s v="Lintasarta Building , Jl.TB Simatupang Kav 10. Jakarta Selatan 12430"/>
    <x v="0"/>
    <m/>
    <s v="DC Infinitium Gedung Lintasarta Lantai 3 Jl. Tahi Bonar Simatupang Raya No. 16"/>
    <s v="Sewa Tahunan"/>
    <s v="Cross Connect"/>
    <s v="A821205000898"/>
    <m/>
    <m/>
    <s v="IPVPN"/>
    <s v="128 Kbps"/>
    <n v="5000000"/>
    <n v="53000000"/>
    <m/>
    <n v="2500000"/>
    <n v="18000000"/>
    <m/>
    <d v="2024-07-01T00:00:00"/>
    <d v="2025-06-30T00:00:00"/>
    <x v="2"/>
    <m/>
    <d v="2025-12-24T00:00:00"/>
    <n v="-177"/>
    <n v="6"/>
    <n v="2025"/>
    <m/>
    <s v="3664/SPP/SBU/PLNICONPLUS/2024"/>
    <n v="4500022968"/>
    <s v="Livia Indraswati"/>
    <s v="Ilham"/>
    <m/>
    <m/>
    <m/>
    <m/>
    <m/>
    <m/>
    <m/>
    <m/>
    <s v="H211"/>
    <m/>
    <m/>
  </r>
  <r>
    <n v="1877"/>
    <s v="CBN Nusantara "/>
    <s v="PT Mulia Industrindo Tbk"/>
    <s v="Cyber 2 Tower 2nd Floor Jl HR Rasuna Said Kav X-5 No 13 Jakarta 12950"/>
    <x v="0"/>
    <m/>
    <s v="NEX Cyber 2 - Kawasan Mulia Industri Jl. Raya Pasirsari Cikarang"/>
    <s v="Sewa Tahunan"/>
    <s v="Cross Connect"/>
    <s v="A821202001374"/>
    <m/>
    <m/>
    <m/>
    <m/>
    <n v="3500000"/>
    <n v="87500000"/>
    <m/>
    <m/>
    <n v="8000000"/>
    <m/>
    <d v="2024-07-29T00:00:00"/>
    <d v="2025-07-28T00:00:00"/>
    <x v="0"/>
    <m/>
    <d v="2025-12-24T00:00:00"/>
    <n v="-149"/>
    <n v="7"/>
    <n v="2025"/>
    <s v="baru"/>
    <s v="4002/SPP/SBU/PLNICONPLUS/2024_x0009_"/>
    <n v="4500023226"/>
    <s v="Livia Indraswati"/>
    <s v="Erni Monalena "/>
    <m/>
    <m/>
    <m/>
    <m/>
    <m/>
    <m/>
    <m/>
    <m/>
    <s v="H283"/>
    <m/>
    <s v="1. Biaya cross connect  Rp 8.000.000, 2. Biaya Instalasi Rp 2.000.000, 3. Biaya Material Rp 2.000.000"/>
  </r>
  <r>
    <n v="1878"/>
    <s v="Sanggarcipta Kreasitama "/>
    <s v="SATUAN KERJA KHUSUS PELAKSANA KEGIATAN USAHA HULU MINYAK DAN GAS BUMI "/>
    <s v="Wisma Mulia Jalan Gatot Subroto No. 42 Kuningan Barat Mampang Prapatan Jakarta 12710"/>
    <x v="0"/>
    <m/>
    <s v="Wisma Mulia Jl. Jend. Gatot Subroto No. 42 Jakarta"/>
    <s v="Sewa Tahunan"/>
    <s v="Colocation"/>
    <s v="PA/ACT/2202/1029"/>
    <m/>
    <m/>
    <m/>
    <m/>
    <m/>
    <n v="271800000"/>
    <m/>
    <m/>
    <n v="159804500"/>
    <m/>
    <d v="2024-08-01T00:00:00"/>
    <d v="2025-07-31T00:00:00"/>
    <x v="0"/>
    <m/>
    <d v="2025-12-24T00:00:00"/>
    <n v="-146"/>
    <n v="7"/>
    <n v="2025"/>
    <m/>
    <s v="3979/SPP/SBU/PLNICONPLUS/2024"/>
    <n v="4500023159"/>
    <s v="Fajar Paramita"/>
    <s v="Metty"/>
    <m/>
    <m/>
    <m/>
    <m/>
    <m/>
    <m/>
    <m/>
    <m/>
    <s v="H282"/>
    <m/>
    <m/>
  </r>
  <r>
    <n v="1879"/>
    <s v="Telkom Data Ekosistem"/>
    <s v="PT Bank Rakyat Indonesia"/>
    <s v="German Centre Building 3rd and 5th floor Jl. Kapt. Subijanto DJ Bumi Serpong Damai"/>
    <x v="0"/>
    <m/>
    <s v="ODC Backup BRI Sigma H2H Sentul Jl. Cijayanti Kec. Babakan Madang"/>
    <s v="Sewa Tahunan"/>
    <s v="Cross Connect"/>
    <s v="R111205003161 dan R111205003160"/>
    <m/>
    <m/>
    <s v="IPVPN"/>
    <s v="4 Mbps"/>
    <m/>
    <n v="142432443"/>
    <m/>
    <n v="12000000"/>
    <n v="24000000"/>
    <m/>
    <d v="2024-03-27T00:00:00"/>
    <d v="2025-03-26T00:00:00"/>
    <x v="1"/>
    <s v="Konfirmasi Sales"/>
    <d v="2025-12-24T00:00:00"/>
    <n v="-273"/>
    <n v="3"/>
    <n v="2025"/>
    <m/>
    <s v="3223/SPP/SBU/PLNICONPLUS/2024 "/>
    <n v="4500022671"/>
    <s v="Livia Indraswati"/>
    <s v="Yudhi Sukma"/>
    <m/>
    <m/>
    <m/>
    <m/>
    <m/>
    <m/>
    <m/>
    <m/>
    <s v="H89"/>
    <m/>
    <s v="1. Biaya Sewa cross connect Rp 24.000.000/thn 2. Biaya OTC Rp 12.000.000 From : ICON (Half Rack) Lt. GF MMR A To : Cage BRI L1 Rack 19"/>
  </r>
  <r>
    <n v="1880"/>
    <s v="Biru Hijau "/>
    <s v="PT. HIPERNET INDODATA  qq PT Samchem Prasandha"/>
    <s v="Jl. Lingkar Luar Barat Kavling 88"/>
    <x v="0"/>
    <m/>
    <s v="PT Samchem Prasandha - The Blugreen Boutique Office Tower A-Blue Lantai 2 Unit AB-0, 2, Jl. Lkr. Luar Barat, RT.6/RW.1"/>
    <s v="Sewa Tahunan"/>
    <s v="Colocation "/>
    <s v="PA/ACT/2205/1858/TER"/>
    <m/>
    <m/>
    <m/>
    <m/>
    <m/>
    <n v="60000000"/>
    <m/>
    <m/>
    <n v="15000000"/>
    <m/>
    <d v="2024-10-01T00:00:00"/>
    <d v="2025-09-30T00:00:00"/>
    <x v="0"/>
    <m/>
    <d v="2025-12-24T00:00:00"/>
    <n v="-85"/>
    <n v="9"/>
    <n v="2025"/>
    <m/>
    <s v="4050/SPP/SBU/PLNICONPLUS/2024"/>
    <n v="4500023314"/>
    <s v="Livia Indraswati"/>
    <m/>
    <m/>
    <m/>
    <m/>
    <m/>
    <m/>
    <m/>
    <m/>
    <m/>
    <s v="H309"/>
    <m/>
    <m/>
  </r>
  <r>
    <n v="1881"/>
    <s v="Link Net"/>
    <s v="Pertamina Bina Medika"/>
    <s v="Centennial Tower 26th Floor, Unit D, Jl. Gatot Subroto Kav 24-25, Jakarta 12930"/>
    <x v="0"/>
    <s v="IDC Durentiga"/>
    <s v="Menara Sentraya, Jl. Iskandarsyah Raya No.1A, Rt.3/Rw.1, Kelurahan Melawai"/>
    <s v="Sewa Bulanan"/>
    <s v="Interkoneksi"/>
    <s v="U111202003214"/>
    <s v="110120204249"/>
    <s v="99,50%"/>
    <s v="Metronet"/>
    <s v="150 Mbps"/>
    <m/>
    <n v="327825806.45161289"/>
    <m/>
    <m/>
    <n v="299419380"/>
    <m/>
    <d v="2024-05-06T00:00:00"/>
    <d v="2024-08-31T00:00:00"/>
    <x v="0"/>
    <m/>
    <d v="2025-12-24T00:00:00"/>
    <n v="-480"/>
    <n v="8"/>
    <n v="2024"/>
    <s v="3121/SPP/SBU/PLNICONPLUS/2024 | 4500022891"/>
    <s v="3857/SPP/SBU/PLNICONPLUS/2024"/>
    <n v="4500023117"/>
    <s v="Syifa Artianingsih"/>
    <s v="Bunga "/>
    <m/>
    <m/>
    <m/>
    <m/>
    <m/>
    <m/>
    <m/>
    <m/>
    <n v="289"/>
    <m/>
    <s v="Perpanjangan 3 Bulan 26 Hari"/>
  </r>
  <r>
    <n v="1882"/>
    <s v="Mega Akses Persada "/>
    <s v="PT indomarco Prismatama"/>
    <s v="Jl Rasuna Said X-8 Kav 2-3 Jakarta Selatan"/>
    <x v="0"/>
    <m/>
    <s v="Indomaret Tower, RT. 6/RW. 2, Kamal Muara, Kec. Penjaringan (Interkoneksi Fiberstar), -, Jakarta Utara, DKI Jakarta, Indonesia, 14470"/>
    <s v="Sewa Tahunan"/>
    <s v="Colocation"/>
    <s v="PA/ACT/2011/1190"/>
    <m/>
    <m/>
    <m/>
    <m/>
    <m/>
    <n v="492000000"/>
    <m/>
    <m/>
    <n v="36000000"/>
    <m/>
    <d v="2023-12-30T00:00:00"/>
    <d v="2024-12-29T00:00:00"/>
    <x v="0"/>
    <m/>
    <d v="2025-12-24T00:00:00"/>
    <n v="-360"/>
    <n v="12"/>
    <n v="2024"/>
    <m/>
    <s v="3036/SPP/SBU/PLNICONPLUS/2024"/>
    <n v="4500023109"/>
    <s v="Fajar Paramita"/>
    <m/>
    <m/>
    <m/>
    <m/>
    <m/>
    <m/>
    <m/>
    <m/>
    <s v="H320"/>
    <m/>
    <m/>
    <m/>
  </r>
  <r>
    <n v="1883"/>
    <s v="Cyberindo Aditama"/>
    <s v="PT Indosat Tbk"/>
    <s v="Gedung Cyber 2 Tower, Lt 33 Jl. HP Rasuna Said Blok X-5 No. 13 Kuningan Timur Setiabudi Jakarta Selatan 12950"/>
    <x v="0"/>
    <m/>
    <s v="DBS Marketing Office Citra Towers Kemayoran, Jl Benyamin Suaeb, RT.13/RW.06, Kebon Kosong, Kamayoran, Kota Jakarta Pusat, Jakarta, Indonesia"/>
    <s v="Sewa Bulanan"/>
    <s v="Interkoneksi"/>
    <s v="A821202000241"/>
    <s v="111202017399"/>
    <s v="99,50%"/>
    <s v="Metronet"/>
    <s v="2 Mbps"/>
    <m/>
    <n v="36000000"/>
    <m/>
    <m/>
    <n v="18000000"/>
    <m/>
    <d v="2024-08-22T00:00:00"/>
    <d v="2025-08-21T00:00:00"/>
    <x v="0"/>
    <m/>
    <d v="2025-12-24T00:00:00"/>
    <n v="-125"/>
    <n v="8"/>
    <n v="2025"/>
    <s v="_x0009_906/SPP/SBU/ICON+/2023 | 4500020994"/>
    <s v="3833/SPP/SBU/PLNICONPLUS/2024"/>
    <s v="4500023087"/>
    <s v="Syifa Artianingsih"/>
    <s v="+62 812-9804-5188"/>
    <m/>
    <m/>
    <m/>
    <m/>
    <m/>
    <m/>
    <m/>
    <m/>
    <n v="188"/>
    <m/>
    <m/>
  </r>
  <r>
    <n v="1884"/>
    <s v="Cyberindo Aditama"/>
    <s v="Bank Mandiri"/>
    <s v="Gedung Cyber 2 Tower, Lt 33 Jl. HP Rasuna Said Blok X-5 No. 13 Kuningan Timur Setiabudi Jakarta Selatan 12950"/>
    <x v="0"/>
    <m/>
    <s v="Bidakara Jl Jend Gatot Subroto Kav 71-73 Jakarta Selatan, Indonesia"/>
    <s v="Sewa Bulanan"/>
    <s v="Interkoneksi"/>
    <s v="AL/1907/26700"/>
    <s v="0990000320452408"/>
    <n v="0.995"/>
    <s v="IPVPN"/>
    <s v="2 Mbps"/>
    <m/>
    <n v="30545460"/>
    <m/>
    <m/>
    <n v="30000000"/>
    <m/>
    <d v="2024-07-01T00:00:00"/>
    <d v="2025-06-30T00:00:00"/>
    <x v="0"/>
    <m/>
    <d v="2025-12-24T00:00:00"/>
    <n v="-177"/>
    <n v="6"/>
    <n v="2025"/>
    <s v="539/SPP/SBU/ICON+/2023 | 4500021003"/>
    <s v="3982/SPP/SBU/PLNICONPLUS/2024"/>
    <n v="4500023316"/>
    <s v="Syifa Artianingsih"/>
    <s v="+62 812-9804-5188"/>
    <m/>
    <m/>
    <m/>
    <m/>
    <m/>
    <m/>
    <m/>
    <m/>
    <n v="359"/>
    <m/>
    <m/>
  </r>
  <r>
    <n v="1885"/>
    <s v="Cyberindo Aditama "/>
    <s v="Asuransi Umum BCA"/>
    <s v="Gedung Cyber 2 Tower, Lt 33 Jl. HP Rasuna Said Blok X-5 No. 13 Kuningan Timur Setiabudi Jakarta Selatan 12950"/>
    <x v="0"/>
    <m/>
    <s v="Gedung Sahid Sudirman Center Lt 10 Jl Jendral Sudirman no 86 Jakarta, 10220, Indonesia"/>
    <s v="Sewa Bulanan"/>
    <s v="Interkoneksi"/>
    <s v="ICON-00/SBC/1711/0683"/>
    <s v="110120202002/0990000320517045"/>
    <n v="0.995"/>
    <s v="Metronet"/>
    <s v="10 Mbps"/>
    <m/>
    <n v="82200000"/>
    <m/>
    <m/>
    <n v="84000000"/>
    <m/>
    <d v="2024-07-01T00:00:00"/>
    <d v="2025-06-30T00:00:00"/>
    <x v="2"/>
    <m/>
    <d v="2025-12-24T00:00:00"/>
    <n v="-177"/>
    <n v="6"/>
    <n v="2025"/>
    <s v="539/SPP/SBU/ICON+/2023 | 4500021003"/>
    <s v="_x0009_3983/SPP/SBU/PLNICONPLUS/2024"/>
    <s v="4500023126"/>
    <s v="Syifa Artianingsih"/>
    <s v="+62 812-9804-5188"/>
    <m/>
    <m/>
    <m/>
    <m/>
    <m/>
    <m/>
    <m/>
    <m/>
    <n v="354"/>
    <m/>
    <m/>
  </r>
  <r>
    <n v="1886"/>
    <s v="Cyberindo Aditama "/>
    <s v="PT Mulia Inti Pelangi "/>
    <s v="Gedung Cyber 2 Tower, Lt 33 Jl. HP Rasuna Said Blok X-5 No. 13 Kuningan Timur Setiabudi Jakarta Selatan 12950"/>
    <x v="0"/>
    <s v="(H2H) Plaza Bank Mandiri Jl. Gatot Subroto Kav 36-38 RT 7/RW 1 Senayan Jakarta Selatan DKI Jakarta 12190"/>
    <s v="(H2H) Mall Taman Anggrek Jl Letjen S Parman No 28 RT 9 RW 1, Tomang, Kec. Grogol Petamburan, Kota Jakarta Barat, Daerah Khusus Ibu Kota Jakarta 11440"/>
    <s v="Sewa Bulanan"/>
    <s v="Interkoneksi"/>
    <s v="PA/ACT/2001/3225/TER"/>
    <s v="01000100102"/>
    <n v="0.995"/>
    <s v="IPVPN"/>
    <s v="512 Kbps"/>
    <m/>
    <n v="36000000"/>
    <m/>
    <m/>
    <n v="14400000"/>
    <m/>
    <d v="2024-07-01T00:00:00"/>
    <d v="2025-06-30T00:00:00"/>
    <x v="0"/>
    <m/>
    <d v="2025-12-24T00:00:00"/>
    <n v="-177"/>
    <n v="6"/>
    <n v="2025"/>
    <s v="226/SPP/SBU/ICON+/2023 | 4500020618"/>
    <s v="_x0009_3287/SPP/SBU/PLNICONPLUS/2024"/>
    <s v="4500022722"/>
    <s v="Syifa Artianingsih"/>
    <s v="+62 812-9804-5188"/>
    <m/>
    <m/>
    <m/>
    <m/>
    <m/>
    <m/>
    <m/>
    <m/>
    <n v="138"/>
    <m/>
    <m/>
  </r>
  <r>
    <n v="1887"/>
    <s v="Cyberindo Aditama "/>
    <s v="Bank Danamon Indonesia"/>
    <s v="Gedung Cyber 2 Tower, Lt 33 Jl. HP Rasuna Said Blok X-5 No. 13 Kuningan Timur Setiabudi Jakarta Selatan 12950"/>
    <x v="0"/>
    <s v="Backhaul BSD- Jl Pahlawan Seribu Kav 201 Sektor 5 Th Floor, Lengkong Gudang, Serpong, Tangerang Selatan, Banten, Indonesia, 15310"/>
    <s v="Mall Taman Anggrek Ground Floor G-42, Jl S Parman Kav.21 RT 12/RW 1 Tanjung Duren Selatan, Grogol Petamburan, Jakarta Barat, DKI Jakarta"/>
    <s v="Sewa Bulanan"/>
    <s v="Interkoneksi"/>
    <s v="A821205000170"/>
    <n v="111205023926"/>
    <n v="0.995"/>
    <s v="IPVPN"/>
    <s v="2 Mbps"/>
    <m/>
    <n v="43200000"/>
    <m/>
    <m/>
    <n v="18000000"/>
    <m/>
    <d v="2024-09-25T00:00:00"/>
    <d v="2025-09-24T00:00:00"/>
    <x v="2"/>
    <m/>
    <d v="2025-12-24T00:00:00"/>
    <n v="-91"/>
    <n v="9"/>
    <n v="2025"/>
    <s v="1286/SPP/SBU/ICON+/2023 | 4500021421"/>
    <s v="3840/SPP/SBU/PLNICONPLUS/2024"/>
    <s v="4500023086"/>
    <s v="Syifa Artianingsih"/>
    <s v="+62 812-9804-5188"/>
    <m/>
    <m/>
    <m/>
    <m/>
    <m/>
    <m/>
    <m/>
    <m/>
    <n v="241"/>
    <m/>
    <m/>
  </r>
  <r>
    <n v="1888"/>
    <s v="Detik Ini Juga"/>
    <s v="PT Trans Rekreasindo Surabaya"/>
    <s v="Gedung Transmedia Lt 3A, Jl. Kapt Tendean Kav. 12 – 14A, Jakarta 12790"/>
    <x v="0"/>
    <s v="Menara Bank Mega lt.8 Jl. Kapten Tendean No.12-14A, RT.2/RW.2, Mampang Prapatan,  -,  Jakarta Selatan,  DKI Jakarta,  Indonesia,  12790"/>
    <s v="(interkoneksi dengan Detik di Cyber) Trans ICON Surabaya, Jl. Ahmad Yani No.260, Siwalankerto,  Wonocolo,  Surabaya,  Jawa Timur,  Indonesia,  60235"/>
    <s v="Sewa Bulanan"/>
    <s v="Interkoneksi"/>
    <s v="PA/ACT/2207/3855"/>
    <s v="110120521933 / 01000301813"/>
    <n v="0.995"/>
    <s v="IPVPN"/>
    <s v="1 Mbps"/>
    <m/>
    <n v="56400000"/>
    <m/>
    <m/>
    <n v="43200000"/>
    <m/>
    <d v="2024-08-02T00:00:00"/>
    <d v="2025-08-01T00:00:00"/>
    <x v="0"/>
    <m/>
    <d v="2025-12-24T00:00:00"/>
    <n v="-145"/>
    <n v="8"/>
    <n v="2025"/>
    <s v="1027/SPP/SBU/ICON+/2023 | 4500021377"/>
    <s v="4148/SPP/SBU/PLNICONPLUS/2024"/>
    <s v="4500023325"/>
    <s v="Syifa Artianingsih"/>
    <m/>
    <m/>
    <m/>
    <m/>
    <m/>
    <m/>
    <m/>
    <m/>
    <m/>
    <n v="355"/>
    <m/>
    <m/>
  </r>
  <r>
    <n v="1889"/>
    <s v="Cablenet Fiber Data"/>
    <s v="PT Pertamina EP "/>
    <s v="Jl Simprug Garden 1 Blok W No.11 RT.07/RW.03, Grogol Selatan, Kebayoran Lama, Jakarta Selatan, DKI Jakarta, 12220"/>
    <x v="0"/>
    <s v="-"/>
    <s v="RDTX Square Jl. Prof. DR. Satrio No.26 Setiabudi, Jakarta Selatan, DKI Jakarta, Indonesia"/>
    <s v="Sewa Bulanan"/>
    <s v="Interkoneksi"/>
    <s v="PA/ACT/2207/0177"/>
    <s v="110130306065 / 04000297324"/>
    <n v="0.995"/>
    <s v="Internet Corporate"/>
    <s v="500 Mbps"/>
    <m/>
    <n v="384057600"/>
    <m/>
    <m/>
    <n v="210000000"/>
    <m/>
    <d v="2024-08-22T00:00:00"/>
    <d v="2025-08-21T00:00:00"/>
    <x v="0"/>
    <m/>
    <d v="2025-12-24T00:00:00"/>
    <n v="-125"/>
    <n v="8"/>
    <n v="2025"/>
    <s v="848/SPP/SBU/ICON+/2023 | 4500021171"/>
    <s v="4079/SPP/SBU/PLNICONPLUS/2024"/>
    <s v="4500023261"/>
    <s v="Syifa Artianingsih"/>
    <s v="Cindy Pratiwi"/>
    <s v="0857-2207-8712"/>
    <m/>
    <m/>
    <m/>
    <m/>
    <m/>
    <m/>
    <m/>
    <n v="360"/>
    <m/>
    <m/>
  </r>
  <r>
    <n v="1890"/>
    <s v="Graha Telekomunikasi Indonesia"/>
    <s v="PT Toyota Motor Manufacturing Indonesia"/>
    <s v="Ruko 53A, Jl. KH Abdullah Syafei No. 53 A RT 005 RW 002 Kelurahan Manggarai Selatan Kecamatan Tebet Jakarta Selatan 12860"/>
    <x v="0"/>
    <s v="Jalan Yos Sudarso, Sunter Jaya, Tj. Priok, Jakarta Utara, DKI Jakarta, Indonesia"/>
    <s v="Gedung Permata Kuningan Jl. Kuningan Mulia Kav 9C Lantai 9 Guntur, Setiabudi, Jakarta Selatan, DKI Jakarta, Indonesia,"/>
    <s v="Sewa Bulanan"/>
    <s v="Interkoneksi"/>
    <s v="PA/ACT/2202/1469       "/>
    <s v="110120209018 / 01000192190"/>
    <s v="99,50%"/>
    <s v="Metronet"/>
    <s v="50 Mbps"/>
    <m/>
    <n v="222000000"/>
    <m/>
    <m/>
    <n v="126000000"/>
    <m/>
    <d v="2024-09-09T00:00:00"/>
    <d v="2025-09-08T00:00:00"/>
    <x v="0"/>
    <m/>
    <d v="2025-12-24T00:00:00"/>
    <n v="-107"/>
    <n v="9"/>
    <n v="2025"/>
    <s v="1091/SPP/SBU/ICON+/2023 | 4500021200"/>
    <s v="4150/SPP/SBU/PLNICONPLUS/2024"/>
    <n v="4500023263"/>
    <s v="Syifa Artianingsih"/>
    <s v="Cristian"/>
    <s v="Norman"/>
    <m/>
    <m/>
    <m/>
    <m/>
    <m/>
    <m/>
    <m/>
    <n v="352"/>
    <m/>
    <m/>
  </r>
  <r>
    <n v="1891"/>
    <s v="Serpong Mas Telematika"/>
    <s v="PT Bank HSBC Indonesia"/>
    <s v="MyRepublik plaza lt 2 Wing A"/>
    <x v="0"/>
    <s v="HSBC WTC1 Lantai 5. Jl Jend Sudirman Kab 29-31, Jakarta 12920"/>
    <s v="Ruko Perkantoran, Jl. BSD Raya Utama No.31, Pagedangan, Kec Pagedangan, Kabupaten Tangerang, Banten 15339 (Foresta Business Loft 2)"/>
    <s v="Sewa Bulanan"/>
    <s v="Interkoneksi"/>
    <s v="PA/ACT/2111/4084"/>
    <s v="111202017283"/>
    <s v="99,50%"/>
    <s v="Metronet"/>
    <s v="10 Mbps"/>
    <m/>
    <n v="243780000"/>
    <m/>
    <m/>
    <n v="60480000"/>
    <m/>
    <d v="2024-08-09T00:00:00"/>
    <d v="2025-08-08T00:00:00"/>
    <x v="0"/>
    <m/>
    <d v="2025-12-24T00:00:00"/>
    <n v="-138"/>
    <n v="8"/>
    <n v="2025"/>
    <s v="534/SPP/SBU/ICON+/2023 | 4500020783"/>
    <s v="4078/SPP/SBU/PLNICONPLUS/2024"/>
    <n v="4500023262"/>
    <s v="Syifa Artianingsih"/>
    <s v="Masrukhan"/>
    <s v="+62 812-9844-8648"/>
    <m/>
    <m/>
    <m/>
    <m/>
    <m/>
    <m/>
    <m/>
    <n v="353"/>
    <m/>
    <m/>
  </r>
  <r>
    <n v="1892"/>
    <s v="Serpong Mas Telematika"/>
    <s v="PT Cyberindo Aditama qq PT Grab Teknologi Indonesia"/>
    <s v="MyRepublik plaza lt 2 Wing A"/>
    <x v="0"/>
    <m/>
    <s v="PT. GRAB TEKNOLOGI INDONESIA (Netsentia Private Limited) Jl Perum Astek No. 11, Lengkong Gudang Timur,_x000a_Tangsel, Kota Tangerang Selatan, Banten, Indonesia"/>
    <s v="Sewa Bulanan"/>
    <s v="Interkoneksi"/>
    <s v="PA/ACT/2203/4071"/>
    <s v="01000199398"/>
    <s v="99,50%"/>
    <s v="Metronet"/>
    <s v="35 Mbps"/>
    <m/>
    <n v="129000000"/>
    <m/>
    <m/>
    <n v="95760000"/>
    <m/>
    <d v="2024-07-20T00:00:00"/>
    <d v="2025-07-19T00:00:00"/>
    <x v="0"/>
    <m/>
    <d v="2025-12-24T00:00:00"/>
    <n v="-158"/>
    <n v="7"/>
    <n v="2025"/>
    <s v="757/SPP/SBU/ICON+/2023 | 4500021118"/>
    <s v="3731/SPP/SBU/PLNICONPLUS/2024"/>
    <n v="4500023116"/>
    <s v="Syifa Artianingsih"/>
    <s v="Masrukhan"/>
    <s v="+62 812-9844-8648"/>
    <m/>
    <m/>
    <m/>
    <m/>
    <m/>
    <m/>
    <m/>
    <n v="235"/>
    <m/>
    <m/>
  </r>
  <r>
    <n v="1893"/>
    <s v="Infrastruktur Bisnis Sejahtera"/>
    <s v="PT Excelso Multirasa"/>
    <s v="Gedung GKM Lt 2, Jalan Cikini Raya No 12 – 14, Menteng – Jakarta Pusat"/>
    <x v="0"/>
    <m/>
    <s v="EXCELSO Living Plaza Jababeka Jl Niaga, Raya Cikarang Unit : G-26,G-26A, Cikarang, Bekasi, Jawa Barat, Indonesia, 17530"/>
    <s v="Sewa Bulanan"/>
    <s v="Interkoneksi"/>
    <s v="PA/ACT/2008/0804"/>
    <s v="04000127029"/>
    <n v="0.995"/>
    <s v="Internet Corporate"/>
    <s v="2 Mbps"/>
    <m/>
    <n v="36000000"/>
    <m/>
    <m/>
    <n v="7260000"/>
    <m/>
    <d v="2024-08-19T00:00:00"/>
    <d v="2025-08-18T00:00:00"/>
    <x v="1"/>
    <m/>
    <d v="2025-12-24T00:00:00"/>
    <n v="-128"/>
    <n v="8"/>
    <n v="2025"/>
    <s v="1003/SPP/SBU/ICON+/2023 | 4500021051"/>
    <s v="3693/SPP/SBU/PLNICONPLUS/2024"/>
    <n v="4500022922"/>
    <s v="Syifa Artianingsih"/>
    <s v="Siti Hapsah"/>
    <m/>
    <m/>
    <m/>
    <m/>
    <m/>
    <m/>
    <m/>
    <m/>
    <n v="195"/>
    <m/>
    <m/>
  </r>
  <r>
    <n v="1894"/>
    <s v="Mega Akses Persada"/>
    <s v="PT Indomarco Prismatama"/>
    <s v="Jl. HR. Rasuna Said x-5 Kav 2-3"/>
    <x v="0"/>
    <m/>
    <s v="Indomaret Tower, RT. 6/RW. 2, Kamal Muara, Kec. Penjaringan (Interkoneksi Fiberstar),  -,  Jakarta Utara,  DKI Jakarta,  Indonesia,  14470"/>
    <s v="Sewa Bulanan"/>
    <s v="Interkoneksi"/>
    <s v="PA/UPG/2107/0003"/>
    <s v="01000135261"/>
    <s v="99,50%"/>
    <s v="IPVPN"/>
    <s v="100 Mbps"/>
    <m/>
    <n v="492000000"/>
    <m/>
    <m/>
    <n v="120000003"/>
    <m/>
    <d v="2024-07-09T00:00:00"/>
    <d v="2025-07-08T00:00:00"/>
    <x v="1"/>
    <m/>
    <d v="2025-12-24T00:00:00"/>
    <n v="-169"/>
    <n v="7"/>
    <n v="2025"/>
    <s v="718/SPP/SBU/ICON+/2023 | 4500020920"/>
    <s v="3695/SPP/SBU/PLNICONPLUS/2024"/>
    <n v="4500022921"/>
    <s v="Syifa Artianingsih"/>
    <m/>
    <s v="Adi"/>
    <m/>
    <m/>
    <m/>
    <m/>
    <m/>
    <m/>
    <m/>
    <n v="196"/>
    <m/>
    <m/>
  </r>
  <r>
    <n v="1895"/>
    <s v="PC 24 Telekomunikasi Indonesia"/>
    <s v="Bank Sinarmas (Kemenag Bekasi)"/>
    <s v="Ruko Kebayoran Centre Blok A No. 5"/>
    <x v="0"/>
    <m/>
    <s v="(Kemenag-Bekasi) Kemenag Kabupaten Bekasi Komplek Perkantoran Pemda Blok E-3 Kel Sukamahi Kec.Cikarang Pusat, Kab Bekasi Jawa Barat"/>
    <s v="Sewa Bulanan"/>
    <s v="Interkoneksi"/>
    <s v="A821205000532"/>
    <s v="111205024701"/>
    <n v="0.995"/>
    <s v="IPVPN"/>
    <s v="1 Mbps"/>
    <m/>
    <n v="10606728"/>
    <m/>
    <n v="5000000"/>
    <n v="24000000"/>
    <m/>
    <d v="2024-06-28T00:00:00"/>
    <d v="2025-06-27T00:00:00"/>
    <x v="0"/>
    <m/>
    <d v="2025-12-24T00:00:00"/>
    <n v="-180"/>
    <n v="6"/>
    <n v="2025"/>
    <s v="Baru"/>
    <s v="2892/SPP/SBU/ICON+/2024"/>
    <s v="4500022586"/>
    <s v="Syifa Artianingsih"/>
    <m/>
    <s v="Airlin"/>
    <m/>
    <m/>
    <m/>
    <m/>
    <m/>
    <m/>
    <m/>
    <n v="326"/>
    <m/>
    <m/>
  </r>
  <r>
    <n v="1896"/>
    <s v="PC 24 Telekomunikasi Indonesia"/>
    <s v="Bank Sinarmas (Deltamas Bekasi)"/>
    <s v="Ruko Kebayoran Centre Blok A No. 5"/>
    <x v="0"/>
    <m/>
    <s v="Deltamas-Bekasi Ruko Spanish Square Blok A No.2 Kota Delta Mas Kel Hegarmukti Kec. Cikarang Pusat Kab. Bekasi Jawa Barat"/>
    <s v="Sewa Bulanan"/>
    <s v="Interkoneksi"/>
    <s v="A821205000521"/>
    <s v="111205024690"/>
    <n v="0.995"/>
    <s v="IPVPN"/>
    <s v="1 Mbps"/>
    <m/>
    <n v="10606728"/>
    <m/>
    <n v="5000000"/>
    <n v="24000000"/>
    <m/>
    <d v="2024-06-13T00:00:00"/>
    <d v="2025-06-12T00:00:00"/>
    <x v="0"/>
    <m/>
    <d v="2025-12-24T00:00:00"/>
    <n v="-195"/>
    <n v="6"/>
    <n v="2025"/>
    <s v="Baru"/>
    <s v="2891/SPP/SBU/ICON+/2024"/>
    <s v="4500022584"/>
    <s v="Syifa Artianingsih"/>
    <m/>
    <s v="Airlin"/>
    <m/>
    <m/>
    <m/>
    <m/>
    <m/>
    <m/>
    <m/>
    <n v="325"/>
    <m/>
    <m/>
  </r>
  <r>
    <n v="1897"/>
    <s v="PC 24 Telekomunikasi Indonesia"/>
    <s v="Bank Sinarmas (Pancoran Mas Depok)"/>
    <s v="Ruko Kebayoran Centre Blok A No. 5"/>
    <x v="0"/>
    <m/>
    <s v="(Pancoran Mas-Depok) Ruko ITC Depok No.18 Jl. Margonda Raya RT.002 RW.011 Kel Pancoran Mas Kec Pancoran Mas Depok Jawa Barat"/>
    <s v="Sewa Bulanan"/>
    <s v="Interkoneksi"/>
    <s v="A821205000540"/>
    <s v="111205024709"/>
    <n v="0.995"/>
    <s v="IPVPN"/>
    <s v="1 Mbps"/>
    <m/>
    <n v="10606728"/>
    <m/>
    <n v="5000000"/>
    <n v="24000000"/>
    <m/>
    <d v="2024-06-26T00:00:00"/>
    <d v="2025-06-25T00:00:00"/>
    <x v="0"/>
    <m/>
    <d v="2025-12-24T00:00:00"/>
    <n v="-182"/>
    <n v="6"/>
    <n v="2025"/>
    <s v="Baru"/>
    <s v="2894/SPP/SBU/ICON+/2024"/>
    <s v="4500022587"/>
    <s v="Syifa Artianingsih"/>
    <m/>
    <s v="Airlin"/>
    <m/>
    <m/>
    <m/>
    <m/>
    <m/>
    <m/>
    <m/>
    <n v="324"/>
    <m/>
    <m/>
  </r>
  <r>
    <n v="1898"/>
    <s v="BIT Teknologi Nusantara"/>
    <s v="PT NTT Indonesia qq Bank Mizuho (MMR - Tenant) "/>
    <s v="Jl. MH Thamrin No. 1 Menara BCA Lt 43"/>
    <x v="0"/>
    <s v="NTT Nexcenter (CSF) jl Kuningan Barat no 8 Jakarta 12710"/>
    <s v="Bank Mizuho Menara Astra Jl Jend Sudirman Kav 5-6, Rt.0/Rw.4, Gondangdia, Menteng, Sudirman, Jakarta Pusat, DKI Jakarta "/>
    <s v="Sewa Bulanan"/>
    <s v="Interkoneksi"/>
    <s v="PA/RLK/2201/0094"/>
    <s v="110120211171 / 01000190070"/>
    <n v="0.995"/>
    <s v="Metronet"/>
    <s v="150 Mbps"/>
    <m/>
    <n v="556800000"/>
    <m/>
    <m/>
    <n v="352800000"/>
    <m/>
    <d v="2024-07-22T00:00:00"/>
    <d v="2025-07-21T00:00:00"/>
    <x v="0"/>
    <m/>
    <d v="2025-12-24T00:00:00"/>
    <n v="-156"/>
    <n v="7"/>
    <n v="2025"/>
    <s v="805/SPP/SBU/ICON+/2023 | 4500021129"/>
    <s v="4073/SPP/SBU/PLNICONPLUS/2024"/>
    <n v="4500023319"/>
    <s v="Syifa Artianingsih"/>
    <m/>
    <s v="Fenny"/>
    <m/>
    <m/>
    <m/>
    <m/>
    <m/>
    <m/>
    <m/>
    <n v="356"/>
    <m/>
    <m/>
  </r>
  <r>
    <n v="1899"/>
    <s v="BIT Teknologi Nusantara "/>
    <s v="PT NTT Indonesia qq Bank Mizuho (MMR - Cyber) "/>
    <s v="Jl. MH Thamrin No. 1 Menara BCA Lt 43"/>
    <x v="0"/>
    <s v="NTT Nexcenter (CSF) jl Kuningan Barat no 8 Jakarta 12710"/>
    <s v="Bank Mizuho Menara Astra Jl Jend Sudirman Kav 5-6, Rt.0/Rw.4, Gondangdia, Menteng, Sudirman, Jakarta Pusat, DKI Jakarta "/>
    <s v="Sewa Bulanan"/>
    <s v="Interkoneksi"/>
    <s v="PA/RLK/2201/0094"/>
    <s v="110120211171 / 01000190070"/>
    <n v="0.995"/>
    <s v="Metronet"/>
    <s v="150 Mbps"/>
    <m/>
    <n v="556800000"/>
    <m/>
    <m/>
    <n v="120000000"/>
    <m/>
    <d v="2024-07-22T00:00:00"/>
    <d v="2025-07-21T00:00:00"/>
    <x v="0"/>
    <m/>
    <d v="2025-12-24T00:00:00"/>
    <n v="-156"/>
    <n v="7"/>
    <n v="2025"/>
    <s v="803/SPP/SBU/ICON+/2023 | 4500021107"/>
    <s v="4074/SPP/SBU/PLNICONPLUS/2024"/>
    <n v="4500023318"/>
    <s v="Syifa Artianingsih"/>
    <m/>
    <s v="Fenny"/>
    <m/>
    <m/>
    <m/>
    <m/>
    <m/>
    <m/>
    <m/>
    <n v="358"/>
    <m/>
    <m/>
  </r>
  <r>
    <n v="1900"/>
    <s v="Telkom Indonesia "/>
    <s v="PT Pertamina Retail"/>
    <s v="Jl.Kebon Sirih No.12, 10110 Jakarta Pusat"/>
    <x v="0"/>
    <m/>
    <s v="SPBU-Cikupa Citra Raya, Jl Citraraya Utama Timur Cikupa, Kota Tangerang, Banten, Indonesia"/>
    <s v="Sewa Bulanan"/>
    <s v="Interkoneksi"/>
    <s v="PA/ACT/2205/2040"/>
    <s v="110140100471 / 04000206699"/>
    <n v="0.99"/>
    <s v="Internet Broadband"/>
    <s v="10 Mbps"/>
    <m/>
    <n v="24000000"/>
    <m/>
    <m/>
    <n v="15360000"/>
    <m/>
    <d v="2024-08-15T00:00:00"/>
    <d v="2025-08-14T00:00:00"/>
    <x v="0"/>
    <m/>
    <d v="2025-12-24T00:00:00"/>
    <n v="-132"/>
    <n v="8"/>
    <n v="2025"/>
    <s v="1121/SPP/SBU/ICON+/2023 | 4500021340"/>
    <s v="3841/SPP/SBU/PLNICONPLUS/2024"/>
    <n v="4500023260"/>
    <s v="Syifa Artianingsih"/>
    <s v="Ikhsan"/>
    <s v="0822-3382-4661"/>
    <m/>
    <m/>
    <m/>
    <m/>
    <m/>
    <m/>
    <m/>
    <n v="240"/>
    <m/>
    <m/>
  </r>
  <r>
    <n v="1901"/>
    <s v="Infrastruktur Cakrawala Telekomunikasi"/>
    <s v="PT Monsadata Nuansa Teknologi"/>
    <s v="Jl. Jababeka IV No.12 jbbk"/>
    <x v="0"/>
    <s v="ruko green market B08, simpangan cikarang"/>
    <s v="Jl. Kuningan Barat Raya No.8"/>
    <s v="Sewa Tahunan"/>
    <s v="Cross Connect"/>
    <s v="A111202004658"/>
    <s v="111202019315"/>
    <m/>
    <s v="Metronet"/>
    <s v="30 Mbps"/>
    <n v="3000000"/>
    <n v="23887097"/>
    <m/>
    <m/>
    <n v="11802230"/>
    <m/>
    <d v="2024-08-20T00:00:00"/>
    <d v="2024-12-31T00:00:00"/>
    <x v="0"/>
    <m/>
    <d v="2025-12-24T00:00:00"/>
    <n v="-358"/>
    <n v="12"/>
    <n v="2024"/>
    <m/>
    <s v="3845/SPP/SBU/PLNICONPLUS/2024"/>
    <s v="4500023155"/>
    <s v="Syifa Fauziyah"/>
    <s v="Aksho"/>
    <m/>
    <m/>
    <m/>
    <m/>
    <m/>
    <m/>
    <m/>
    <m/>
    <n v="215"/>
    <m/>
    <m/>
  </r>
  <r>
    <n v="1902"/>
    <s v="Telkom Data Ekosistem"/>
    <s v="PT Prodia Widyahusada"/>
    <s v="German Centre Building 3rd and 5th floor Jl. Kapt. Subijanto DJ Bumi Serpong Damai"/>
    <x v="0"/>
    <m/>
    <s v="(Prodia Gunung Putri) Kota Wisata, Ruko Boston Square RK 1 Nomor 15-16, Kelurahan Ciangsana, Kec Gunung Putri, Bogor, Jawa Barat"/>
    <s v="Sewa Tahunan"/>
    <s v="Cross Connect"/>
    <s v="A111205004521"/>
    <m/>
    <m/>
    <s v="IPVPN"/>
    <s v="4 Mbps"/>
    <n v="2000000"/>
    <n v="25200000"/>
    <m/>
    <n v="3000000"/>
    <n v="6000000"/>
    <m/>
    <d v="2024-07-05T00:00:00"/>
    <d v="2025-07-04T00:00:00"/>
    <x v="0"/>
    <m/>
    <d v="2025-12-24T00:00:00"/>
    <n v="-173"/>
    <n v="4"/>
    <n v="2025"/>
    <m/>
    <s v="3834/SPP/SBU/PLNICONPLUS/2024 "/>
    <n v="4500023107"/>
    <s v="Livia Indraswati"/>
    <s v="Yudhi Sukma"/>
    <m/>
    <m/>
    <m/>
    <m/>
    <m/>
    <m/>
    <m/>
    <m/>
    <s v="H314"/>
    <m/>
    <s v="1. Biaya Sewa cross connect Rp 6.000.000/thn 2. Biaya OTC Rp 3.000.000 From : ICON (Half Rack) Lt. GF MMR A To : SW Telkom Lt. GF MMR A"/>
  </r>
  <r>
    <n v="1903"/>
    <s v="Duta Pertiwi "/>
    <s v="PT Trans Rekreasindo"/>
    <s v="ITC Cempaka Mas Mega Grosir Lt. 5 Jl. Letjen Suprapto kav. 1 Jakarta 10640"/>
    <x v="0"/>
    <m/>
    <s v="(Ruang Server) ITC Cempaka Mas, Jl. Cemp. Mas Tim No. 586, RW.8, Sumur Batu, Kemayoran, Jakpus, Indonesia"/>
    <s v="Sewa Tahunan"/>
    <s v="Colocation"/>
    <s v="PA/RLK/2302/0086"/>
    <m/>
    <m/>
    <m/>
    <m/>
    <m/>
    <n v="142500000"/>
    <m/>
    <m/>
    <n v="40000000"/>
    <m/>
    <d v="2024-08-27T00:00:00"/>
    <d v="2025-08-26T00:00:00"/>
    <x v="0"/>
    <m/>
    <d v="2025-12-24T00:00:00"/>
    <n v="-120"/>
    <n v="8"/>
    <n v="2025"/>
    <s v="2460/SPP/SBU/ICON+/2023"/>
    <s v="4120/SPP/SBU/PLNICONPLUS/2024"/>
    <n v="4500023287"/>
    <s v="Livia Indraswati"/>
    <s v="Chandra"/>
    <m/>
    <m/>
    <m/>
    <m/>
    <m/>
    <m/>
    <m/>
    <m/>
    <s v="H313"/>
    <m/>
    <m/>
  </r>
  <r>
    <n v="1904"/>
    <s v="Mekar Prana Indah "/>
    <s v="Bank Syariah Indonesia"/>
    <s v="Menara Bidakara Jl. Jendral Gatot Subroto Kav. 71-73 Pancoran Jakarta Selatan 12871"/>
    <x v="1"/>
    <s v="(BACKHAUL METRONET) KOMPLEKS BANK MANDIRI GRIYA REMPOA JL. IR H. JUANDA NO.27, REMPOA, KEC. CIPUTAT TIMUR, KOTA TANGERANG SELATAN, BANTEN 15412"/>
    <s v="KCP JAKARTA MENARA BIDAKARA | ID0018127 | GEDUNG BIDAKARA I, JL. JENDRAL GATOT SUBROTO KAV 71-73, MENTENG DALAM, TEBET, KOTA JAKARTA SELATAN, DKI JAKARTA"/>
    <s v="Sewa Tahunan"/>
    <s v="Colocation"/>
    <s v="110120215244 / 01000335029"/>
    <m/>
    <m/>
    <m/>
    <m/>
    <m/>
    <n v="557275680"/>
    <m/>
    <m/>
    <n v="58000000"/>
    <m/>
    <d v="2025-08-27T00:00:00"/>
    <d v="2026-08-26T00:00:00"/>
    <x v="1"/>
    <m/>
    <d v="2025-12-24T00:00:00"/>
    <n v="245"/>
    <n v="8"/>
    <n v="2026"/>
    <s v="781/SPP/SBU/ICON+/2023"/>
    <s v="4121/SPP/SBU/PLNCIONPLUS/2024"/>
    <s v="4500023288"/>
    <s v="Livia Indraswati"/>
    <m/>
    <m/>
    <m/>
    <m/>
    <m/>
    <m/>
    <m/>
    <m/>
    <m/>
    <s v="H311"/>
    <m/>
    <m/>
  </r>
  <r>
    <n v="1905"/>
    <s v="Media Nusantara Data Global"/>
    <s v="PT Multidata Rancana Prima"/>
    <s v="Jl. Kuningan Barat No. 8 Cyber Building 1st &amp; 2nd Jakarta Selatan 12710"/>
    <x v="0"/>
    <m/>
    <m/>
    <s v="Sewa Tahunan"/>
    <s v="Cross Connect"/>
    <s v="U111204000197"/>
    <m/>
    <m/>
    <m/>
    <m/>
    <m/>
    <m/>
    <m/>
    <n v="1500000"/>
    <n v="18000000"/>
    <m/>
    <d v="2024-07-24T00:00:00"/>
    <d v="2025-07-23T00:00:00"/>
    <x v="0"/>
    <m/>
    <d v="2025-12-24T00:00:00"/>
    <n v="-154"/>
    <n v="7"/>
    <n v="2025"/>
    <s v="baru"/>
    <s v="4125/SPP/SBU/PLNICONPLUS/2024"/>
    <n v="4500023297"/>
    <s v="Livia Indraswati"/>
    <s v="Ira"/>
    <m/>
    <m/>
    <m/>
    <m/>
    <m/>
    <m/>
    <m/>
    <m/>
    <s v="H312"/>
    <m/>
    <s v="1. Biaya Sewa 1.500.000/bln 2. Biaya OTC Rp 1.500.000"/>
  </r>
  <r>
    <n v="1906"/>
    <s v="Ekagrata Data Gemilang"/>
    <s v="PT Bank Mandiri _x000a_PT Airpay International Indonesia"/>
    <s v="Gedung Mten Lantai 22 unti D&amp;E, Jl. Kapten Tendean, Kuningan Barat, 12710"/>
    <x v="0"/>
    <m/>
    <s v="H2H Shopee, Gedung Edge Lantai 3, Jl. Kuningan Barat Raya No. 59, RT.1/RW.3, Kuningan Barat, Jakarta, Indonesia"/>
    <s v="Sewa Tahunan"/>
    <s v="Colocation"/>
    <s v="PA/ACT/2212/0254, PA/ACT/2211/2168"/>
    <m/>
    <m/>
    <m/>
    <m/>
    <m/>
    <n v="126771522"/>
    <m/>
    <m/>
    <n v="60000000"/>
    <m/>
    <d v="2023-12-16T00:00:00"/>
    <d v="2024-12-15T00:00:00"/>
    <x v="0"/>
    <m/>
    <d v="2025-12-24T00:00:00"/>
    <n v="-374"/>
    <n v="12"/>
    <n v="2024"/>
    <m/>
    <s v="1983/SPP/SBU/ICON+/2023"/>
    <n v="4500021749"/>
    <s v="Livia Indraswati"/>
    <m/>
    <m/>
    <m/>
    <m/>
    <m/>
    <m/>
    <m/>
    <m/>
    <s v="G363"/>
    <m/>
    <m/>
    <m/>
  </r>
  <r>
    <n v="1907"/>
    <s v="Infrastruktur Cakrawala Telekomunikasi"/>
    <s v="PT Monsadata Nuansa Teknologi"/>
    <s v="WPT Building Jl. Jababeka IV Blok B No. 12 jbbk"/>
    <x v="0"/>
    <s v="Ruko Green Market B08, Simpangan Cikarang Utara Kb. Bekasi"/>
    <s v="Jl. Kuningan Raya No.8 RT1/Rw 3 Kuningan Bar. Kec. Mampang PRPT."/>
    <s v="Sewa Tahunan"/>
    <s v="Cross Connect"/>
    <s v="A111202004658"/>
    <m/>
    <m/>
    <s v="Metronet"/>
    <s v="30 Mbps"/>
    <n v="3000000"/>
    <n v="20887097"/>
    <m/>
    <m/>
    <n v="11913875"/>
    <m/>
    <d v="2024-08-20T00:00:00"/>
    <d v="2024-12-31T00:00:00"/>
    <x v="0"/>
    <m/>
    <d v="2025-12-24T00:00:00"/>
    <n v="-358"/>
    <n v="12"/>
    <n v="2024"/>
    <m/>
    <s v="3845/SPP/SBU/PLNICONPLUS/2024"/>
    <s v="4500023155"/>
    <s v="Syifa Fauziyah"/>
    <s v="aksho, anjar"/>
    <m/>
    <m/>
    <m/>
    <m/>
    <m/>
    <m/>
    <m/>
    <m/>
    <m/>
    <m/>
    <m/>
  </r>
  <r>
    <n v="1908"/>
    <s v="Ekagrata Data Gemilang"/>
    <s v="Kementerian BUMN"/>
    <s v="Gedung Mten Lantai 22 unti D&amp;E, Jl. Kapten Tendean, Kuningan Barat, 12710"/>
    <x v="0"/>
    <s v="Jl. Medan Merdeka selatan no.13"/>
    <s v="Cyber 1, Jl. Kuningan Barat Raya"/>
    <s v="Sewa Tahunan"/>
    <s v="Cross Connect"/>
    <s v="A811202000167"/>
    <m/>
    <m/>
    <m/>
    <m/>
    <m/>
    <n v="237283200"/>
    <m/>
    <n v="1500000"/>
    <n v="24000000"/>
    <m/>
    <d v="2024-08-26T00:00:00"/>
    <d v="2025-08-25T00:00:00"/>
    <x v="0"/>
    <m/>
    <d v="2025-12-24T00:00:00"/>
    <n v="-121"/>
    <n v="8"/>
    <n v="2025"/>
    <m/>
    <s v="4417/SPP/SBU/PLNICONPLUS/2024"/>
    <s v="4500023524"/>
    <s v="Syifa Fauziyah"/>
    <m/>
    <m/>
    <m/>
    <m/>
    <m/>
    <m/>
    <m/>
    <m/>
    <m/>
    <m/>
    <s v="H351"/>
    <m/>
  </r>
  <r>
    <n v="1909"/>
    <s v="Kawasan Lintas Biru Digital"/>
    <s v="ALL Pelanggan"/>
    <s v="Gandasari, bekasi"/>
    <x v="0"/>
    <s v="Kaw. Industri MM2100 - Jl. selayar II Blok H7-H8, Jatiwangi, cikarang barat, bekasi regency,."/>
    <m/>
    <s v="Sewa Tahunan"/>
    <s v="Colocation"/>
    <s v="A821303001179, A821303000969,A821303000970,A811205000166,A111202004487."/>
    <m/>
    <m/>
    <s v="Metronet"/>
    <m/>
    <n v="16000000"/>
    <n v="202556500"/>
    <m/>
    <m/>
    <n v="24000000"/>
    <m/>
    <d v="2024-08-30T00:00:00"/>
    <d v="2025-08-29T00:00:00"/>
    <x v="1"/>
    <m/>
    <d v="2025-12-24T00:00:00"/>
    <n v="-117"/>
    <n v="8"/>
    <n v="2025"/>
    <s v="4413/SPP/SBU/PLNICONPLUS/2024|4500023448"/>
    <s v="4642/SPP/SBU/PLNICONPLUS/2024"/>
    <s v="4500023796"/>
    <s v="Syifa Fauziyah"/>
    <s v="Marisa"/>
    <m/>
    <m/>
    <m/>
    <m/>
    <m/>
    <m/>
    <m/>
    <m/>
    <s v="H368"/>
    <m/>
    <m/>
  </r>
  <r>
    <n v="1910"/>
    <s v="Infrastruktur Cakrawala Telekomunikasi"/>
    <s v="PT Cikarang Listrindo Tbk"/>
    <s v="WPT Building Jl. Jababeka IV Blok B No. 12 jbbk"/>
    <x v="0"/>
    <m/>
    <s v="JL. JABABEKA RAYA, BLOK R, WANGUNHARJA,, CIKARANG UTARA, KOTA BEKASI, JAWA BARAT, INDONESIA, 17550BEKASI"/>
    <s v="Sewa Tahunan"/>
    <s v="Cross Connect"/>
    <s v="D111303003731"/>
    <m/>
    <m/>
    <s v="Metronet"/>
    <s v="130 Mbps"/>
    <m/>
    <n v="97500000"/>
    <m/>
    <m/>
    <n v="25720676"/>
    <m/>
    <d v="2024-08-27T00:00:00"/>
    <d v="2024-12-31T00:00:00"/>
    <x v="1"/>
    <m/>
    <d v="2025-12-24T00:00:00"/>
    <n v="-358"/>
    <n v="12"/>
    <n v="2024"/>
    <m/>
    <s v="4415/SPP/SBU/PLNICONPLUS/2024"/>
    <s v="4500023489"/>
    <s v="Syifa Fauziyah"/>
    <s v="aksho, anjar"/>
    <m/>
    <m/>
    <m/>
    <m/>
    <m/>
    <m/>
    <m/>
    <m/>
    <m/>
    <m/>
    <m/>
  </r>
  <r>
    <n v="1911"/>
    <s v="DCI Indonesia "/>
    <s v="All Pelanggan"/>
    <s v="Equity Tower 17th floor suiteF SCBD lot_x000a_Jl Jend Sudirman Kav 52-53 Jakarta 12193"/>
    <x v="0"/>
    <m/>
    <s v="DCI CIBITUNG | JL. HALMAHERA NO.1 BLOK F1, DANAU INDAH, KEC. CIKARANG BAR., KABUPATEN BEKASI, JAWA BARAT 17530"/>
    <s v="Sewa Tahunan"/>
    <s v="Colocation"/>
    <m/>
    <m/>
    <m/>
    <m/>
    <m/>
    <m/>
    <n v="926400000"/>
    <m/>
    <n v="35000000"/>
    <n v="312000000"/>
    <m/>
    <d v="2024-08-26T00:00:00"/>
    <d v="2025-08-25T00:00:00"/>
    <x v="0"/>
    <m/>
    <d v="2025-12-24T00:00:00"/>
    <n v="-121"/>
    <n v="8"/>
    <n v="2025"/>
    <s v="baru"/>
    <s v="4532/SPP/SBU/PLNICONPLUS/2024"/>
    <n v="4500023591"/>
    <s v="Livia Indraswati"/>
    <m/>
    <m/>
    <m/>
    <m/>
    <m/>
    <m/>
    <m/>
    <m/>
    <m/>
    <s v="H379"/>
    <m/>
    <m/>
  </r>
  <r>
    <n v="1912"/>
    <s v="Circlecom Nusantara Indonesia "/>
    <s v="PT Bank Central Asia"/>
    <s v="Indonesia Stock Exchange Building Tower 2, Lt 28 #2804 Jl. Jend Sudirman Kav. 52-53 Jakarta 12190"/>
    <x v="0"/>
    <s v="Menara Wisman Asia Jl. Letjen S. Parman No. Kav 79, RT.4/RW.9, Kota Bambu Sel., Kec. Palmerah, Jakarta Barat"/>
    <s v="BCA KCP Gading Square (GSQ), Ruko MOI, Jl. Boulevard Barat Raya Blok B No. 21-23, Jakarta"/>
    <s v="Sewa Tahunan"/>
    <s v="Colocation"/>
    <s v="ICON-00/SBC/1801/0268"/>
    <n v="111205023555"/>
    <m/>
    <m/>
    <m/>
    <m/>
    <n v="60000000"/>
    <m/>
    <m/>
    <n v="14400000"/>
    <m/>
    <d v="2023-10-11T00:00:00"/>
    <d v="2025-10-10T00:00:00"/>
    <x v="0"/>
    <m/>
    <d v="2025-12-24T00:00:00"/>
    <n v="-75"/>
    <n v="10"/>
    <n v="2025"/>
    <s v="09141/SPP/008/PUSAT/ICON+/2018 | 4500011814 | 11833/SPP/008/PUSAT/ICON+/2019 | 4500013417 | 14310/SPP/008/PUSAT/ICON+/2020 | 4500015176| 4500016880 | 20174/SPP/008/PUSAT/ICON+/2022 | 4500021989"/>
    <s v="4615/SPP/SBU/PLNICONPLUS/2024"/>
    <n v="4500023601"/>
    <s v="Livia Indraswati"/>
    <s v="+62 856-9800-999"/>
    <m/>
    <s v="B52"/>
    <s v="B200"/>
    <s v="C226"/>
    <s v="D286"/>
    <s v="E312"/>
    <s v="F406"/>
    <m/>
    <s v="H377"/>
    <m/>
    <m/>
  </r>
  <r>
    <n v="1913"/>
    <s v="Telkom Data Ekosistem"/>
    <s v="All Pelanggan"/>
    <s v="German Centre Building 3rd and 5th floor Jl. Kapt. Subijanto DJ Bumi Serpong Damai"/>
    <x v="0"/>
    <m/>
    <s v="DC Serpong Sigma BSD Lt. 5 to Lt. 3"/>
    <s v="Sewa Tahunan"/>
    <s v="Colocation"/>
    <s v="01000010268_x000a_04000154240_x000a_0990000320403514_x000a_0990000320460067_x000a_0990000320484431_x000a_01000331666_x000a_01000173209_x000a_0990000320450560"/>
    <m/>
    <m/>
    <m/>
    <m/>
    <m/>
    <m/>
    <m/>
    <n v="22000000"/>
    <n v="102000000"/>
    <m/>
    <d v="2024-08-27T00:00:00"/>
    <d v="2025-08-26T00:00:00"/>
    <x v="0"/>
    <m/>
    <d v="2025-12-24T00:00:00"/>
    <n v="-120"/>
    <n v="8"/>
    <n v="2025"/>
    <m/>
    <s v="4406/SPP/SBU/PLNICONPLUS/2024 "/>
    <n v="4500023598"/>
    <s v="Livia Indraswati"/>
    <s v="Yudhi Sukma"/>
    <m/>
    <m/>
    <m/>
    <m/>
    <m/>
    <m/>
    <m/>
    <m/>
    <s v="H376"/>
    <m/>
    <m/>
  </r>
  <r>
    <n v="1914"/>
    <s v="Dinamika Raya Prima"/>
    <s v="PT Bank Sinarmas (CID 5008)"/>
    <s v="MidPlaza 2 Lt. 8 Jl Jend. Sudirman 10-11 Jakarta 10220"/>
    <x v="0"/>
    <s v="Plaza Sinarmas Jl. Fachrudin 18 Lt.6, Jakarta Pusat"/>
    <s v="DC BEPS - Biznet Technovillage Jl. Biznet Technovillage No. 1 Cimanggis, Jawa Barat"/>
    <s v="Sewa Tahunan"/>
    <s v="Cross Connect"/>
    <s v="AL/2005/15474"/>
    <m/>
    <m/>
    <m/>
    <m/>
    <m/>
    <n v="324000000"/>
    <m/>
    <m/>
    <n v="2000000"/>
    <m/>
    <d v="2023-03-01T00:00:00"/>
    <d v="2025-02-28T00:00:00"/>
    <x v="1"/>
    <m/>
    <d v="2025-12-24T00:00:00"/>
    <n v="-299"/>
    <n v="2"/>
    <n v="2025"/>
    <s v="Collocation Cross Connect - UTP (Rack ICONPLUS &lt;&gt; RACK BEPS|4500010296| CID 1988 berubah menjadi CID 5008 | 08395/SPP/008/PUSAT/ICON+/2018 | 4500011372 | 10556/SPP/008/PUSAT/ICON+/2019 | 4500012664 | 12587/SPP/008/PUSAT/ICON+/2020 | 4500014038 | 15084/SPP/008/PUSAT/ICON+/2021 | 4500015683 | 4500019958"/>
    <s v="4298/SPP/SBU/PLNICONPLUS/2024"/>
    <n v="4500023495"/>
    <s v="Livia Indraswati"/>
    <s v="Marissa"/>
    <m/>
    <n v="58"/>
    <s v="B184"/>
    <s v="C70"/>
    <s v="D61"/>
    <s v="E157"/>
    <m/>
    <m/>
    <m/>
    <m/>
    <m/>
  </r>
  <r>
    <n v="1915"/>
    <s v="Circlecom Nusantara Indonesia"/>
    <s v="PT Bank Central Asia"/>
    <s v="Jl. Jend Sudirman Kav. 52-53, Kebayoran Baru, Jakarta Selatan 12190"/>
    <x v="0"/>
    <s v="BCA Wisma Asia Slipi"/>
    <s v="KCP Ebony, Jl. Laksamana Yos Sudarso, Ruko Ebony Blok B2 No.30"/>
    <s v="Sewa Bulanan"/>
    <s v="Interkoneksi"/>
    <s v="A821202000562"/>
    <s v="111202018001"/>
    <n v="0.99"/>
    <s v="Metronet"/>
    <s v="6 Mbps"/>
    <m/>
    <n v="47400000"/>
    <m/>
    <m/>
    <n v="72000000"/>
    <m/>
    <d v="2024-10-16T00:00:00"/>
    <d v="2025-10-15T00:00:00"/>
    <x v="0"/>
    <m/>
    <d v="2025-12-24T00:00:00"/>
    <n v="-70"/>
    <n v="10"/>
    <n v="2025"/>
    <s v="1605/SPP/SBU/ICON+/2023"/>
    <s v="_x0009_4408/SPP/SBU/PLNICONPLUS/2024"/>
    <n v="4500023624"/>
    <s v="Renata Simanjuntak"/>
    <s v="+62 856-9800-999"/>
    <m/>
    <m/>
    <m/>
    <m/>
    <m/>
    <m/>
    <m/>
    <m/>
    <n v="330"/>
    <m/>
    <m/>
  </r>
  <r>
    <n v="1916"/>
    <s v="Dinamika Raya Prima"/>
    <s v="PT Sumber Alfaria Trijaya"/>
    <s v="MidPlaza 2 Lt. 8 Jl Jend. Sudirman 10-11 Jakarta 10220"/>
    <x v="3"/>
    <m/>
    <s v="Data Center Biznet Technovillage Jl. Biznet Technovillage No1 Cimanggis, Jawa Barat"/>
    <s v="Sewa Tahunan"/>
    <s v="Cross Connect"/>
    <s v="PA/ACT/2011/1154"/>
    <m/>
    <m/>
    <m/>
    <m/>
    <m/>
    <n v="444000000"/>
    <m/>
    <m/>
    <n v="2000000"/>
    <m/>
    <d v="2024-01-01T00:00:00"/>
    <d v="2025-12-31T00:00:00"/>
    <x v="1"/>
    <m/>
    <d v="2025-12-24T00:00:00"/>
    <n v="7"/>
    <n v="12"/>
    <n v="2025"/>
    <s v="08011/SPP/008/PUSAT/ICON+/2018 | 4500011192 | 09794/SPP/008/PUSAT/ICON+/2018 | 4500012290 | 09794/SPP/008/PUSAT/ICON+/2018 | 4500013734 | 14745/SPP/008/PUSAT/ICON+/2020 | 4500015357| 17205/SPP/008/PUSAT/ICON+/2021 | 4500017129"/>
    <s v="4404/SPP/SBU/PLNICONPLUS/2024"/>
    <n v="4500023595"/>
    <s v="Livia Indraswati"/>
    <s v="Marissa"/>
    <m/>
    <m/>
    <s v="B32"/>
    <s v="B269"/>
    <s v="D8"/>
    <s v="E230"/>
    <s v="E389"/>
    <s v="F435"/>
    <s v="H372"/>
    <m/>
    <m/>
  </r>
  <r>
    <n v="1917"/>
    <s v="Cyberindo Aditama"/>
    <s v="PT Olam Indonesia "/>
    <s v="Gedung Cyber 2 Tower, Lt 33 Jl. HP Rasuna Said Blok X-5 No. 13 Kuningan Timur Setiabudi Jakarta Selatan 12950"/>
    <x v="0"/>
    <s v="(Backhaul) South Quarter Tower A, LT. 21 Jl. R.A.Kartini No.Kav. 8, RT.10/RW.4, Cilandak Barat,  Kec. Cilandak,  Jakarta Selatan,  DKI Jakarta,  Indonesia,  12430"/>
    <s v="South Quarter Tower A, LT. 21 Jl. R.A.Kartini No.Kav. 8, RT.10/RW.4, Cilandak Barat,  Kec. Cilandak,  Jakarta Selatan,  DKI Jakarta,  Indonesia,  12430"/>
    <s v="Sewa Bulanan"/>
    <s v="Interkoneksi"/>
    <s v="1124032800306, 1124040400177"/>
    <s v="110120503188/ 01000127809 dan 110130304105/04000128124"/>
    <n v="0.995"/>
    <s v="IPVPN dan Internet Corporate"/>
    <s v="150 Mbps"/>
    <m/>
    <n v="474000000"/>
    <m/>
    <m/>
    <n v="138000000"/>
    <m/>
    <d v="2024-05-01T00:00:00"/>
    <d v="2025-04-30T00:00:00"/>
    <x v="0"/>
    <m/>
    <d v="2025-12-24T00:00:00"/>
    <n v="-238"/>
    <n v="4"/>
    <n v="2025"/>
    <s v="1092/SPP/SBU/ICON+/2023"/>
    <s v="3397/SPP/SBU/PLNICONPLUS/2024"/>
    <s v="4500022846"/>
    <s v="Syifa Artianingsih"/>
    <s v="+62 812-9804-5188"/>
    <m/>
    <m/>
    <m/>
    <m/>
    <m/>
    <m/>
    <m/>
    <m/>
    <n v="144"/>
    <m/>
    <m/>
  </r>
  <r>
    <n v="1918"/>
    <s v="Cyberindo Aditama"/>
    <s v="Kaldu Sari Nabati"/>
    <s v="Gedung Cyber 2 Tower, Lt 33 Jl. HP Rasuna Said Blok X-5 No. 13 Kuningan Timur Setiabudi Jakarta Selatan 12950"/>
    <x v="0"/>
    <m/>
    <s v="Gedung Cyber 2 Lt.2 - Jl H R Rasuna Said No.13, Rw.2, Kuningan, Kuningan Timur, Jakarta Selatan, DKI Jakarta"/>
    <s v="Sewa Bulanan"/>
    <s v="Interkoneksi"/>
    <s v="U121303000028"/>
    <s v="120130300301/ 04000021906"/>
    <n v="0.995"/>
    <s v="Internet Corporate"/>
    <s v="50 Mbps"/>
    <m/>
    <n v="115200000"/>
    <m/>
    <m/>
    <n v="121992000"/>
    <m/>
    <d v="2024-07-09T00:00:00"/>
    <d v="2025-07-08T00:00:00"/>
    <x v="0"/>
    <m/>
    <d v="2025-12-24T00:00:00"/>
    <n v="-169"/>
    <n v="7"/>
    <n v="2025"/>
    <s v="756/SPP/SBU/ICON+/2023"/>
    <s v="4072/SPP/SBU/PLNICONPLUS/2024"/>
    <s v="4500023503"/>
    <s v="Syifa Artianingsih"/>
    <s v="+62 812-9804-5188"/>
    <m/>
    <m/>
    <m/>
    <m/>
    <m/>
    <m/>
    <m/>
    <m/>
    <n v="369"/>
    <m/>
    <m/>
  </r>
  <r>
    <n v="1919"/>
    <s v="Fastel Sarana Indonesia"/>
    <s v="PT Djarum"/>
    <s v="Gedung TCC Batavia Tower One Lt 16 Jl. KH Mas Mansyur Kav 126 Jakarta Pusat 10220"/>
    <x v="0"/>
    <m/>
    <s v="Sopo Del Tower B Jl. Mega Kuningan Barat III, Lot 10. 1-6 Kawasan Mega Kuningan. Jakarta 12950"/>
    <s v="Sewa Bulanan"/>
    <s v="Interkoneksi"/>
    <s v="U111202004363"/>
    <s v="111202017451/01000358111"/>
    <n v="0.995"/>
    <s v="QinQ Metro Ethernet"/>
    <s v="100 Mbps"/>
    <m/>
    <n v="294000000"/>
    <m/>
    <m/>
    <n v="276000000"/>
    <m/>
    <d v="2024-07-15T00:00:00"/>
    <d v="2025-06-30T00:00:00"/>
    <x v="0"/>
    <m/>
    <d v="2025-12-24T00:00:00"/>
    <n v="-177"/>
    <n v="6"/>
    <n v="2025"/>
    <s v="1253/SPP/SBU/ICON+/2023"/>
    <s v="3704/SPP/SBU/PLNICONPLUS/2024"/>
    <s v="4500023060"/>
    <s v="Syifa Artianingsih"/>
    <s v="Cristian"/>
    <m/>
    <m/>
    <m/>
    <m/>
    <m/>
    <m/>
    <m/>
    <m/>
    <n v="236"/>
    <m/>
    <m/>
  </r>
  <r>
    <n v="1920"/>
    <s v="Infrastruktur Cakrawala Telekomunikasi"/>
    <s v="Bank Negara Indonesia"/>
    <s v="WPT Building Jl. Jababeka IV Blok B No. 12 jbbk"/>
    <x v="0"/>
    <m/>
    <s v="KCU Jababeka jl. raya jababeka raya ruko permata junction blok A"/>
    <s v="Sewa Tahunan"/>
    <s v="Cross Connect"/>
    <s v="A821303000904"/>
    <s v="111303013036"/>
    <m/>
    <s v="Metronet"/>
    <s v="10 Mbps"/>
    <n v="204538"/>
    <n v="19074240"/>
    <m/>
    <m/>
    <n v="3715372"/>
    <m/>
    <d v="2024-09-26T00:00:00"/>
    <d v="2024-12-31T00:00:00"/>
    <x v="1"/>
    <m/>
    <d v="2025-12-24T00:00:00"/>
    <n v="-358"/>
    <n v="12"/>
    <n v="2024"/>
    <m/>
    <s v="4416/SPP/SBU/PLNICONPLUS/2024"/>
    <s v="4500023490"/>
    <s v="Syifa Fauziyah"/>
    <s v="aksho, anjar"/>
    <m/>
    <m/>
    <m/>
    <m/>
    <m/>
    <m/>
    <m/>
    <m/>
    <m/>
    <m/>
    <m/>
  </r>
  <r>
    <n v="1921"/>
    <s v="Iforte Solusi Infotek"/>
    <s v="Prodia Widyahusada"/>
    <s v="Menara BCA Lantai 41_x000a_Jl. MH Thamrin No. 1_x000a_Jakarta 13010"/>
    <x v="0"/>
    <m/>
    <s v="Ruko Kebayoran Arcade 2 Sektor 7, Blok B No.33-35, Bintaro, Tangerang, Jawa Barat, Indonesia"/>
    <s v="Sewa Bulanan"/>
    <s v="Interkoneksi"/>
    <s v="PA/UPG/2201/0520"/>
    <s v="01000003493"/>
    <n v="0.995"/>
    <s v="IPVPN"/>
    <s v="5 Mbps"/>
    <m/>
    <n v="30000000"/>
    <m/>
    <m/>
    <n v="78000000"/>
    <m/>
    <d v="2024-11-01T00:00:00"/>
    <d v="2025-10-31T00:00:00"/>
    <x v="0"/>
    <m/>
    <d v="2025-12-24T00:00:00"/>
    <n v="-54"/>
    <n v="10"/>
    <n v="2025"/>
    <s v="1954/SPP/SBU/ICON+/2023"/>
    <s v="4136/SPP/SBU/PLNICONPLUS/2024"/>
    <s v="4500023387"/>
    <s v="Renata Simanjuntak"/>
    <s v="+62 815-9489-484"/>
    <m/>
    <m/>
    <m/>
    <m/>
    <m/>
    <m/>
    <m/>
    <m/>
    <n v="265"/>
    <m/>
    <m/>
  </r>
  <r>
    <n v="1922"/>
    <s v="Circlecom Nusantara Indonesia"/>
    <s v="PT Bank Central Asia KCP Ebony"/>
    <s v="Roof Top Slot B – Fresh Market Building, Jl. Pantai Indah Kapuk No. 30, Jakarta Utara 14470"/>
    <x v="0"/>
    <s v="BCA Wisma Asia Slipi"/>
    <s v="KCP Ebony, Jl. Laksamana Yos Sudarso, Ruko Ebony Blok B2 No.30"/>
    <s v="Sewa Bulanan"/>
    <s v="Interkoneksi"/>
    <s v="A821202000562"/>
    <s v="111202018001"/>
    <n v="0.99"/>
    <s v="Metronet"/>
    <s v="6 Mbps"/>
    <m/>
    <n v="47400000"/>
    <m/>
    <m/>
    <n v="42000000"/>
    <m/>
    <d v="2024-10-10T00:00:00"/>
    <d v="2025-10-09T00:00:00"/>
    <x v="0"/>
    <m/>
    <d v="2025-12-24T00:00:00"/>
    <n v="-76"/>
    <n v="10"/>
    <n v="2025"/>
    <s v="1607/SPP/SBU/ICON+/2023 | 4500021519"/>
    <s v="4428/SPP/SBU/PLNICONPLUS/2024"/>
    <s v="4500023702"/>
    <s v="Renata Simanjuntak"/>
    <s v="+62 856-9800-999"/>
    <m/>
    <m/>
    <m/>
    <m/>
    <m/>
    <m/>
    <m/>
    <m/>
    <n v="331"/>
    <m/>
    <m/>
  </r>
  <r>
    <n v="1923"/>
    <s v="Fastel Sarana Indonesia"/>
    <s v="PT Bank Central Asia"/>
    <s v="Gedung TCC batavia_x000a_Tower One Lantai 16_x000a_Jl. KH Mas Mansyur Kav 126_x000a_Jakarta Pusat 10220"/>
    <x v="0"/>
    <s v="Wisma Asia Slipi"/>
    <s v="KCP Sopodel (SOO) (SDWAN) Jl. Mega Kuningan Barat III No. 23, Kuningan, Setiabudi, Jakarta Selatan, DKI Jakarta, Indonesia,12950"/>
    <s v="Sewa Bulanan"/>
    <s v="Interkoneksi"/>
    <s v="A821205000184"/>
    <n v="1000057869"/>
    <n v="0.995"/>
    <s v="IPVPN"/>
    <s v="6 Mbps"/>
    <m/>
    <n v="50400000"/>
    <m/>
    <m/>
    <n v="48000000"/>
    <m/>
    <d v="2024-10-10T00:00:00"/>
    <d v="2025-10-09T00:00:00"/>
    <x v="0"/>
    <m/>
    <d v="2025-12-24T00:00:00"/>
    <n v="-76"/>
    <n v="10"/>
    <n v="2025"/>
    <s v="1750/SPP/SBU/ICON+/2023 | 4500022016"/>
    <s v="4396/SPP/SBU/PLNICONPLUS/2024"/>
    <s v="4500023700"/>
    <s v="Renata Simanjuntak"/>
    <s v="Safitri"/>
    <m/>
    <m/>
    <m/>
    <m/>
    <m/>
    <m/>
    <m/>
    <m/>
    <n v="397"/>
    <m/>
    <m/>
  </r>
  <r>
    <n v="1924"/>
    <s v="Serpong Mas Telematika"/>
    <s v="PT Unilever"/>
    <s v="MyRepublik plaza lt 2 Wing A"/>
    <x v="0"/>
    <m/>
    <s v="Backhaul Jabodetabek Gd Unilever BSD Tangerang Selatan (Eksisting),-,-, Banten, Indonesia"/>
    <s v="Sewa Bulanan"/>
    <s v="Interkoneksi"/>
    <s v="PA/ACT/2007/0105"/>
    <s v="01000120403"/>
    <s v="99,50%"/>
    <s v="IPVPN"/>
    <s v="4 Mbps"/>
    <m/>
    <n v="35700000"/>
    <m/>
    <n v="3000000"/>
    <n v="4320000"/>
    <m/>
    <d v="2024-01-01T00:00:00"/>
    <d v="2024-12-31T00:00:00"/>
    <x v="0"/>
    <m/>
    <d v="2025-12-24T00:00:00"/>
    <n v="-358"/>
    <n v="12"/>
    <n v="2024"/>
    <m/>
    <s v="2900/SPP/SBU/PLNICONPLUS/2024"/>
    <s v="4500022506"/>
    <s v="Syifa Artianingsih"/>
    <s v="Masrukhan"/>
    <s v="+62 812-9844-8648"/>
    <m/>
    <m/>
    <m/>
    <m/>
    <m/>
    <m/>
    <m/>
    <n v="135"/>
    <m/>
    <s v="PO Selesai Di Perpanjangn"/>
  </r>
  <r>
    <n v="1925"/>
    <s v="Telkom Indonesia"/>
    <s v="PT PLN (Persero) Kantor Pusat"/>
    <s v="Jl. Sisingamangaraja Kav 4 - 6 Kebayoran Baru Jakarta selatan"/>
    <x v="0"/>
    <s v="[PLN KANTOR PUSAT] ICON+ SERVER GANDUL,Cinere gandul ,Depok ,Jawa Barat ,Indonesia ,   "/>
    <s v="TRUNOJOYO - CYBER TELKOM (DUKCAPIL VIA NNI TELKOMSEL),Gd Cyber Telkom, Gedung Cyber 1 Lt.6, Jl. Kuningan Barat Raya No.8, RT.1/RW.3, Kuningan Bar., Kec. M ,Jakarta Selatan ,DKI Jakarta ,Indonesia ,   "/>
    <s v="Sewa Bulanan"/>
    <s v="Interkoneksi"/>
    <s v="PA/ACT/2110/0120"/>
    <s v="01000163092"/>
    <n v="0.98"/>
    <s v="IPVPN"/>
    <s v="512 Kbps"/>
    <m/>
    <n v="72088704"/>
    <m/>
    <m/>
    <n v="65280000"/>
    <m/>
    <d v="2024-09-30T00:00:00"/>
    <d v="2025-09-29T00:00:00"/>
    <x v="0"/>
    <m/>
    <d v="2025-12-24T00:00:00"/>
    <n v="-86"/>
    <n v="9"/>
    <n v="2025"/>
    <s v="1180/SPP/SBU/ICON+/2023| 4500021246"/>
    <s v="4586/SPP/SBU/PLNICONPLUS/2024"/>
    <n v="4500023790"/>
    <s v="Syifa Artianingsih"/>
    <s v="Rahayu"/>
    <s v="0813-8527-2407"/>
    <m/>
    <m/>
    <m/>
    <m/>
    <m/>
    <m/>
    <m/>
    <n v="395"/>
    <m/>
    <m/>
  </r>
  <r>
    <n v="1926"/>
    <s v="Telkom Indonesia"/>
    <s v="PT Prodia Widyahusada Gunung Putri"/>
    <s v="Jl. Yos Sudarso Kav 23-24 Jakarta Utara"/>
    <x v="0"/>
    <m/>
    <s v="(Prodia Gunung Putri) Kota Wisata, Ruko Boston Square Rk 1 Nomor 15-16, Kelurahan Ciangsana, Kec Gunung Putri, Kab Bogor Jawa Barat"/>
    <s v="Sewa Bulanan"/>
    <s v="Interkoneksi"/>
    <s v="A111205004521"/>
    <s v="111205026285"/>
    <n v="0.99"/>
    <s v="IPVPN"/>
    <s v="4 Mbps"/>
    <n v="2000000"/>
    <n v="25200000"/>
    <m/>
    <n v="3000000"/>
    <n v="16372800"/>
    <m/>
    <d v="2024-07-31T00:00:00"/>
    <d v="2025-07-30T00:00:00"/>
    <x v="0"/>
    <m/>
    <d v="2025-12-24T00:00:00"/>
    <n v="-147"/>
    <n v="7"/>
    <n v="2025"/>
    <m/>
    <s v="3853/SPP/SBU/PLNICONPLUS/2024"/>
    <s v="4500023118"/>
    <s v="Syifa Artianingsih"/>
    <s v="Rahayu"/>
    <s v="0813-8527-2407"/>
    <m/>
    <m/>
    <m/>
    <m/>
    <m/>
    <m/>
    <m/>
    <n v="357"/>
    <m/>
    <m/>
  </r>
  <r>
    <n v="1927"/>
    <s v="Cyberindo Aditama"/>
    <s v="PT Bank Syariah Indonesia Tbk"/>
    <s v="Gedung Cyber 2 Tower, Lt 33 Jl. HP Rasuna Said Blok X-5 No. 13 Kuningan Timur Setiabudi Jakarta Selatan 12950"/>
    <x v="0"/>
    <m/>
    <s v="BSI Danareksa Lt.9, Jl Medan Merdeka Sel No.14, Rt.11/Rw.2, Gambir, Kecamatan Gambir, Kota Jakarta Pusat, DKI Jakarta, 10110"/>
    <s v="Sewa Bulanan"/>
    <s v="Interkoneksi"/>
    <s v="U111202004932"/>
    <s v="111202017988"/>
    <n v="0.995"/>
    <s v="Metronet"/>
    <s v="500 Mbps"/>
    <m/>
    <n v="900000000"/>
    <m/>
    <m/>
    <n v="204000000"/>
    <m/>
    <d v="2024-08-13T00:00:00"/>
    <d v="2025-07-31T00:00:00"/>
    <x v="0"/>
    <m/>
    <d v="2025-12-24T00:00:00"/>
    <n v="-146"/>
    <n v="7"/>
    <n v="2025"/>
    <s v="_x0009_1681/SPP/SBU/ICON+/2023 | 4500021535"/>
    <s v="3956/SPP/SBU/PLNICONPLUS/2024"/>
    <s v="4500023238"/>
    <s v="Syifa Artianingsih"/>
    <s v="Cristian"/>
    <s v="+62 812-9804-5188"/>
    <m/>
    <m/>
    <m/>
    <m/>
    <m/>
    <m/>
    <m/>
    <n v="392"/>
    <m/>
    <s v="PO Upgrade"/>
  </r>
  <r>
    <n v="1928"/>
    <s v="Cyberindo Aditama"/>
    <s v="Bank BCA Central Park"/>
    <s v="Gedung Cyber 2 Tower, Lt 33 Jl. HP Rasuna Said Blok X-5 No. 13 Kuningan Timur Setiabudi Jakarta Selatan 12950"/>
    <x v="0"/>
    <m/>
    <s v="BCA KCP Central Park, Kawasan Superblok Podomoro City (Central Park) Ruko Garden Shopping Arcade Blok B/08/CB.CC.CD Jl. S Parman, Grogol, Jakarta Barat"/>
    <s v="Sewa Bulanan"/>
    <s v="Interkoneksi"/>
    <s v="PA/ACT/2204/4125"/>
    <s v="110120207627/01000320390"/>
    <s v="99,50%"/>
    <s v="Metronet"/>
    <s v="6 Mbps"/>
    <m/>
    <n v="47400000"/>
    <m/>
    <m/>
    <n v="42000000"/>
    <m/>
    <d v="2024-08-12T00:00:00"/>
    <d v="2025-08-11T00:00:00"/>
    <x v="0"/>
    <m/>
    <d v="2025-12-24T00:00:00"/>
    <n v="-135"/>
    <n v="8"/>
    <n v="2025"/>
    <s v="18800/SPP/008/PUSAT/ICON+/2022 | 4500018182"/>
    <s v="4385/SPP/SBU/PLNICONPLUS/2024"/>
    <s v="4500023586"/>
    <s v="Syifa Artianingsih"/>
    <s v="Cristian"/>
    <s v="+62 812-9804-5188"/>
    <m/>
    <m/>
    <m/>
    <m/>
    <m/>
    <m/>
    <m/>
    <n v="386"/>
    <m/>
    <m/>
  </r>
  <r>
    <n v="1929"/>
    <s v="Serpong Mas Telematika"/>
    <s v="PT Prodia Widyahusada"/>
    <s v="MyRepublik plaza lt 2 Wing A"/>
    <x v="0"/>
    <m/>
    <s v="Ruko Golden Madrid II Blok A 1-2,Bumi Serpong Damai ,Kota Tangerang Selatan ,Banten ,Indonesia ,15311   "/>
    <s v="Sewa Bulanan"/>
    <s v="Interkoneksi"/>
    <s v="PA/ACT/2202/1626"/>
    <s v="01000191767"/>
    <s v="99,50%"/>
    <s v="IPVPN"/>
    <s v="5 Mbps"/>
    <m/>
    <n v="30000000"/>
    <m/>
    <m/>
    <n v="86400000"/>
    <m/>
    <d v="2024-09-01T00:00:00"/>
    <d v="2025-08-31T00:00:00"/>
    <x v="0"/>
    <m/>
    <d v="2025-12-24T00:00:00"/>
    <n v="-115"/>
    <n v="8"/>
    <n v="2025"/>
    <s v="868/SPP/SBU/ICON+/2023 | 4500021029"/>
    <s v="4386/SPP/SBU/PLNICONPLUS/2024"/>
    <s v="4500023587"/>
    <s v="Syifa Artianingsih"/>
    <s v="Masrukhan"/>
    <s v="+62 812-9844-8648"/>
    <m/>
    <m/>
    <m/>
    <m/>
    <m/>
    <m/>
    <m/>
    <n v="389"/>
    <m/>
    <m/>
  </r>
  <r>
    <n v="1930"/>
    <s v="Telnusa Intrakom"/>
    <s v="PT Mastersystem Infotama"/>
    <s v="Ruko Puri Sentra Niaga Blok B 40/50"/>
    <x v="0"/>
    <m/>
    <s v="Pulau Pabelokan PHE Offshore, Land Point Lontar CRS"/>
    <s v="Sewa Bulanan"/>
    <s v="Interkoneksi"/>
    <s v="U111303003016"/>
    <s v="111303010827"/>
    <n v="0.995"/>
    <s v="Internet Corporate  "/>
    <s v="100 Mbps"/>
    <m/>
    <n v="300000000"/>
    <m/>
    <n v="35000000"/>
    <n v="420000000"/>
    <m/>
    <d v="2024-07-24T00:00:00"/>
    <d v="2025-07-23T00:00:00"/>
    <x v="0"/>
    <m/>
    <d v="2025-12-24T00:00:00"/>
    <n v="-154"/>
    <n v="7"/>
    <n v="2025"/>
    <s v="1551/SPP/SBU/ICON+/2023 | 4500021777"/>
    <s v="4075/SPP/SBU/PLNICONPLUS/2024"/>
    <s v="4500023368"/>
    <s v="Syifa Artianingsih"/>
    <m/>
    <s v="Hendra"/>
    <m/>
    <m/>
    <m/>
    <m/>
    <m/>
    <m/>
    <m/>
    <n v="390"/>
    <m/>
    <m/>
  </r>
  <r>
    <n v="1931"/>
    <s v="Indointernet "/>
    <s v="PT Astra Daihatsu Motor"/>
    <s v="Rumah Indonet. Jl.Rempoa Raya No. 11 Ciputat. Tangerang Selatan – Banten 15412"/>
    <x v="0"/>
    <s v="Jl Selayar Blok A-6 Kawasan MM2100 Industrial Estate Cibitung (Interkoneksi Indonet)"/>
    <s v="Jl Selayar Blok A-6 Kawasan MM2100 Industrial Estate Cibitung (Interkoneksi Indonet)"/>
    <s v="Sewa Bulanan"/>
    <s v="Interkoneksi"/>
    <s v="A821205000115"/>
    <s v="111205023533"/>
    <n v="0.995"/>
    <s v="IPVPN"/>
    <s v="100 Mbps"/>
    <m/>
    <n v="498000000"/>
    <m/>
    <m/>
    <n v="360000000"/>
    <m/>
    <d v="2024-08-14T00:00:00"/>
    <d v="2025-08-13T00:00:00"/>
    <x v="2"/>
    <m/>
    <d v="2025-12-24T00:00:00"/>
    <n v="-133"/>
    <n v="8"/>
    <n v="2025"/>
    <s v="21558/SPP/008/PUSAT/ICON+/2023 | 4500020213"/>
    <s v="4523/SPP/SBU/PLNICONPLUS/2024"/>
    <s v="4500023621"/>
    <s v="Syifa Artianingsih"/>
    <m/>
    <m/>
    <m/>
    <m/>
    <m/>
    <m/>
    <m/>
    <m/>
    <m/>
    <n v="388"/>
    <m/>
    <m/>
  </r>
  <r>
    <n v="1932"/>
    <s v="Arthamas Cipta"/>
    <s v="BPJS Kesehatan"/>
    <s v="Tangcity Superblok - Skandinavia Office Building Unit H17 Lt.5 Jl. Jend Sudirman No.1 Babakan, Tangerang 15118_x000a_Unit H17 Lt.5._x000a_Jl. Jend Sudirman No.1 Babakan, Tangerang 15118"/>
    <x v="1"/>
    <m/>
    <s v="BPJS Kesehatan (Cabang Tangerang (Gedung Vedika)"/>
    <s v="Sewa Bulanan"/>
    <s v="Interkoneksi"/>
    <s v="A811303000710"/>
    <s v="111303012596"/>
    <n v="0.995"/>
    <s v="Internet Corporate"/>
    <s v="1 Mbps"/>
    <n v="10181135"/>
    <n v="21600000"/>
    <m/>
    <n v="3000000"/>
    <n v="12000000"/>
    <m/>
    <d v="2024-08-12T00:00:00"/>
    <d v="2027-08-11T00:00:00"/>
    <x v="1"/>
    <m/>
    <d v="2025-12-24T00:00:00"/>
    <n v="595"/>
    <n v="8"/>
    <n v="2027"/>
    <m/>
    <s v="3823/SPP/SBU/PLNICONPLUS/2024"/>
    <s v="4500023052"/>
    <s v="Syifa Artianingsih"/>
    <s v="Selvyra"/>
    <s v="+62 812-8757-7999"/>
    <m/>
    <m/>
    <m/>
    <m/>
    <m/>
    <m/>
    <m/>
    <n v="191"/>
    <m/>
    <m/>
  </r>
  <r>
    <n v="1933"/>
    <s v="Jala Lintas Media"/>
    <s v="BCA Finance"/>
    <s v="Jl. Mayor Oking No. 89 KM 2, Cibinong Bogor 16819_x000a_"/>
    <x v="0"/>
    <s v="WISMA ASIA II JL. BRIGJEN KATAMSO NO.1, RT.4/RW.9, KOTA BAMBU SEL., KEC. PALMERAH, KOTA JAKARTA BARAT, DAERAH KHUSUS IBUKOTA JAKARTA 11420"/>
    <s v="BCAF BEKASI JL. HARAPAN INDAH BOULEVARD-KOMPLEK MEGA OFFICE PARK BLOK P5 NO. 08, MEDAN SATRIA, KECAMATAN MEDAN SATRIA, KOTA BEKASI JAWA BARAT, 17132"/>
    <s v="Sewa Bulanan"/>
    <s v="Interkoneksi"/>
    <s v="U111303003241"/>
    <s v="111303011435"/>
    <s v="99,50%"/>
    <s v="Internet Corporate"/>
    <s v="30 Mbps"/>
    <m/>
    <n v="74400000"/>
    <m/>
    <m/>
    <n v="72000000"/>
    <m/>
    <d v="2024-08-01T00:00:00"/>
    <d v="2025-07-31T00:00:00"/>
    <x v="0"/>
    <m/>
    <d v="2025-12-24T00:00:00"/>
    <n v="-146"/>
    <n v="7"/>
    <n v="2025"/>
    <s v="4500022080 | 2215/SPP/SBU/ICON+/2023 "/>
    <s v="_x0009_3994/SPP/SBU/PLNICONPLUS/2024"/>
    <s v="4500023237"/>
    <s v="Syifa Artianingsih"/>
    <m/>
    <s v="Bayu"/>
    <m/>
    <m/>
    <m/>
    <m/>
    <m/>
    <m/>
    <m/>
    <n v="380"/>
    <m/>
    <m/>
  </r>
  <r>
    <n v="1934"/>
    <s v="Akses Prima Indonesia"/>
    <s v="PT Bank Mandiri (Persero) Tbk"/>
    <s v="Menara MTH 11 Th Floor Jl. Letjen M.T haryono Kav 23 Jakarta 12820"/>
    <x v="0"/>
    <s v="Plaza Mandiri Jl Gatot Subroto No Kav 36-38, Rt.7/Rw.3, Senayan, Kebayoran Baru, Jakarta Selatan, DKI Jakarta, 12190"/>
    <s v="13319 Bogor Sentul City, Jl. MH Thamrin Kav. 8 Sentul City Bogor,  Kec. Babakan Madang,  Kabupaten Bogor,  Jawa Barat,  Indonesia,  16810"/>
    <s v="Sewa Bulanan"/>
    <s v="Interkoneksi"/>
    <s v="PA/ACT/2206/16523"/>
    <s v="01000283859"/>
    <n v="0.99"/>
    <s v="IPVPN"/>
    <s v="10 Mbps"/>
    <m/>
    <n v="135818184"/>
    <m/>
    <m/>
    <n v="90000000"/>
    <m/>
    <d v="2024-08-18T00:00:00"/>
    <d v="2025-08-17T00:00:00"/>
    <x v="0"/>
    <m/>
    <d v="2025-12-24T00:00:00"/>
    <n v="-129"/>
    <n v="8"/>
    <n v="2025"/>
    <s v="937/SPP/SBU/ICON+/2023 | 4500021052"/>
    <s v="4522/SPP/SBU/PLNICONPLUS/2024"/>
    <s v="4500023663"/>
    <s v="Syifa Artianingsih"/>
    <m/>
    <s v="Fauziah"/>
    <m/>
    <m/>
    <m/>
    <m/>
    <m/>
    <m/>
    <m/>
    <n v="382"/>
    <m/>
    <m/>
  </r>
  <r>
    <n v="1935"/>
    <s v="Detik Ini Juga "/>
    <s v="PT Trans Rekreasindo Kidcity Bintaro"/>
    <s v="Gedung Transmedia Lt 3A, Jl. Kapt Tendean Kav. 12 – 14A, Jakarta 12790"/>
    <x v="0"/>
    <m/>
    <s v="KID City Transmart Bintaro CBD Sektor VII CBD Blok B7/A3 No. 9, Jl. Professor Doktor Satrio No.5, Pondok Aren Bintaro Jaya, PD Jaya, Pondok Aren, Kota Tangerang Selatan, Banten, Indonesia, 15224"/>
    <s v="Sewa Bulanan"/>
    <s v="Interkoneksi"/>
    <s v="PA/ACT/2002/2153"/>
    <s v="110120521940 / 010000106070"/>
    <n v="0.995"/>
    <s v="IPVPN"/>
    <s v="1 Mbps"/>
    <m/>
    <n v="31200000"/>
    <m/>
    <m/>
    <n v="18000000"/>
    <m/>
    <d v="2024-09-02T00:00:00"/>
    <d v="2025-09-01T00:00:00"/>
    <x v="2"/>
    <m/>
    <d v="2025-12-24T00:00:00"/>
    <n v="-114"/>
    <n v="9"/>
    <n v="2025"/>
    <s v="1298/SPP/SBU/ICON+/2023 | 4500021334"/>
    <s v="4524/SPP/SBU/PLNICONPLUS/2024"/>
    <s v="4500023638"/>
    <s v="Syifa Artianingsih"/>
    <m/>
    <s v="Fathya"/>
    <m/>
    <m/>
    <m/>
    <m/>
    <m/>
    <m/>
    <m/>
    <n v="387"/>
    <m/>
    <m/>
  </r>
  <r>
    <n v="1936"/>
    <s v="Infrastruktur Bisnis Sejahtera"/>
    <s v="PT Graha Layar Prima"/>
    <s v="Gedung GKM Lt 2, Jalan Cikini Raya No 12 – 14, Menteng – Jakarta Pusat"/>
    <x v="0"/>
    <m/>
    <s v="CGV LIVING PLAZA JABABEKA, Jl. Niaga Raya BB/2-4 Kel. Pasarsari, Cikarang Barat, Bekasi, Jawa Barat, Indonesia. "/>
    <s v="Sewa Bulanan"/>
    <s v="Interkoneksi"/>
    <s v="PA/ACT/1911/2682"/>
    <s v="04000090446"/>
    <s v="99,50%"/>
    <s v="Internet Corporate"/>
    <s v="3 Mbps"/>
    <m/>
    <n v="42000000"/>
    <m/>
    <m/>
    <n v="10890000"/>
    <m/>
    <d v="2024-10-01T00:00:00"/>
    <d v="2025-09-30T00:00:00"/>
    <x v="1"/>
    <m/>
    <d v="2025-12-24T00:00:00"/>
    <n v="-85"/>
    <n v="9"/>
    <n v="2025"/>
    <s v="1300/SPP/SBU/ICON+/2023 | 4500021326"/>
    <s v="4587/SPP/SBU/PLNICONPLUS/2024"/>
    <s v="4500023640"/>
    <s v="Syifa Artianingsih"/>
    <s v="Siti Hapsah"/>
    <m/>
    <m/>
    <m/>
    <m/>
    <m/>
    <m/>
    <m/>
    <m/>
    <n v="383"/>
    <m/>
    <m/>
  </r>
  <r>
    <n v="1937"/>
    <s v="Jakarta Sinar Intertrade "/>
    <s v="Bank Central Asia"/>
    <s v="Jl. Arteri Mangga Dua Raya Gedung Mall Mangga D 5 Jakarta 10730"/>
    <x v="0"/>
    <m/>
    <s v="KCP ITC Mangga Dua (ITM), Jl. Mangga Dua Raya Komp. ITC Mangga Dua Lt. IV Blok B42/ 49, Jakarta Utara 14430"/>
    <s v="Sewa Tahunan"/>
    <s v="Colocation"/>
    <s v="AL/2303/13854"/>
    <m/>
    <m/>
    <s v="Metronet"/>
    <s v="6 Mbps"/>
    <m/>
    <n v="2333700000"/>
    <m/>
    <m/>
    <n v="28280000"/>
    <m/>
    <d v="2024-01-12T00:00:00"/>
    <d v="2025-01-11T00:00:00"/>
    <x v="0"/>
    <m/>
    <d v="2025-12-24T00:00:00"/>
    <n v="-347"/>
    <n v="1"/>
    <n v="2025"/>
    <n v="4500022309"/>
    <s v="4609/SPP/SBU/PLNICONPLUS/2024"/>
    <n v="4500023875"/>
    <s v="Fajar Paramita"/>
    <m/>
    <m/>
    <m/>
    <m/>
    <m/>
    <m/>
    <m/>
    <m/>
    <m/>
    <s v="H422"/>
    <m/>
    <m/>
  </r>
  <r>
    <n v="1938"/>
    <s v="Jakarta Sinar Intertrade "/>
    <s v="Bank Central Asia"/>
    <s v="Jl. Arteri Mangga Dua Raya Gedung Mall Mangga D 5 Jakarta 10730"/>
    <x v="0"/>
    <m/>
    <s v="KCP ITC Mangga Dua (ITM), Jl. Mangga Dua Raya Komp. ITC Mangga Dua Lt. IV Blok B42/ 49, Jakarta Utara 14430"/>
    <s v="Sewa Tahunan"/>
    <s v="Colocation"/>
    <s v="AL/2303/13854"/>
    <m/>
    <m/>
    <s v="Metronet"/>
    <s v="6 Mbps"/>
    <m/>
    <n v="2333700000"/>
    <m/>
    <m/>
    <n v="28280000"/>
    <m/>
    <d v="2024-12-01T00:00:00"/>
    <d v="2025-11-30T00:00:00"/>
    <x v="2"/>
    <m/>
    <d v="2025-12-24T00:00:00"/>
    <n v="-24"/>
    <n v="11"/>
    <n v="2025"/>
    <n v="4500022309"/>
    <s v="4609/SPP/SBU/PLNICONPLUS/2024"/>
    <n v="4500023875"/>
    <s v="Fajar Paramita"/>
    <m/>
    <m/>
    <m/>
    <m/>
    <m/>
    <m/>
    <m/>
    <m/>
    <m/>
    <s v="H422"/>
    <m/>
    <m/>
  </r>
  <r>
    <n v="1939"/>
    <s v="Media Nusantara Data Global"/>
    <s v="1. PT. CYBERINDO ADITAMA_x000a_2. PT. CYBERINDO ADITAMA_x000a_3.  PT. CYBERINDO ADITAMA_x000a_4. PT. LINTAS JARINGAN NUSANTARA_x000a_5. PT. CYBER NETWORK Indonesia_x000a_6. PT. CYBERINDO ADITAMA_x000a_7. PT. DWI TUNGGAL PUTRA_x000a_8. PT. YETOYA SOLUSI Indonesia"/>
    <s v="Jl. Kuningan Barat No. 8 Cyber Building 1st &amp; 2nd Jakarta Selatan 12710"/>
    <x v="0"/>
    <s v="Jl. Kuningan Barat Raya No.. 8 "/>
    <s v="1. Omadata DC Intiland Tower, Jl. Panglima RT Sudirman No.101-103, Embong Kaliasin, Kec. Genteng, Surabaya, Jawa Timur._x000a_2. CBN Ruko Paskal Hyper Square Blok no mingan Barat Raya No.8, RT 25 D 12, JI. HOS Tjokroaminoto No.25-27, Kh jeruk Kec. Andir Kota Bandung._x000a_3.CBN Bali Istana Kuta Galeria Blok PM 3 No. 7  Jl. Patih Jelantik, Kuta, Kabupaten Badung, Bali, Indonesia, 80361._x000a_4. LIN (Ari Setiawan) Dusun Mojogitik, Gedangan, Kec. Karangrejo, Tulungagung, Jawa Timur, Indonesia._x000a_5. Pemkab Tangerang Tigaraksa, Jl. Taman Adiyasa, Kadu Agung, Tigaraksa, Kabupaten Tangerang, Banten._x000a_6. CBN Bali Istana Kuta Galeria Blok PM 3 Tower, Kuningan, East Ku No. 7 JI. Patih Jelantik, Kuta, Kabupaten Badune. Bali Indonesia 80361._x000a_7. (Relokasi Perangkat) PT Dwi Tunggal Putra, Kebonratu,, Kec. Ciruas, Kabupaten Serang, Banten, Indonesia._x000a_8. PT. Yetoya Solusi Indonesia JI. Patih Jelantik Vallet, Kuta, Kec. Kuta, Kabupaten Badung, Bali, Indonesia."/>
    <s v="Sewa Tahunan"/>
    <s v="Colocation"/>
    <s v="1. PA/ACT/2302/11309_x000a_2. PA/ACT/2302/11310_x000a_3. PA/UPG/2301/0207_x000a_4. PA/ACT/2301/4194_x000a_5. PA/UPG/2303/1034_x000a_6. PA/ACT/2301/0482_x000a_7. PA/RLK/2304/0001_x000a_8. PA/UPG/2210/0176"/>
    <m/>
    <m/>
    <s v="Metronet"/>
    <s v="100 Gbps"/>
    <m/>
    <n v="1350500000"/>
    <m/>
    <m/>
    <n v="450000000"/>
    <m/>
    <d v="2024-11-07T00:00:00"/>
    <d v="2025-10-01T00:00:00"/>
    <x v="0"/>
    <m/>
    <d v="2025-12-24T00:00:00"/>
    <n v="-84"/>
    <n v="10"/>
    <n v="2025"/>
    <n v="4500022128"/>
    <s v="3995/SPP/SBU/PLNICONPLUS/2024"/>
    <n v="4500023322"/>
    <s v="Fajar Paramita"/>
    <m/>
    <s v="Ira"/>
    <m/>
    <m/>
    <m/>
    <m/>
    <m/>
    <m/>
    <m/>
    <s v="H423"/>
    <m/>
    <m/>
  </r>
  <r>
    <n v="1940"/>
    <s v="Perhimpunan Penghuni Menara Batavia"/>
    <s v="1. PT Mitracomm Eksarana_x000a_2. PT. INDO BHARAT RAYON"/>
    <s v="Jl. K.H Mansyur Kav. 126"/>
    <x v="0"/>
    <m/>
    <s v="1. PT. Mitracomm Ekasarana, Menara Batavia Lt. 3, JI. K.H. Mas Mansyur No.Kav. 126, Karet Tengsin, Kecamatan Tanah Abang, Jakarta Pusat, DKI Jakarta, Indonesia, 1025_x000a_2. JL. K.H. MAS MANSYUR NO.KAV. 126, KARET TENGSIN, KECAMATAN TANAH ABANG, KOTA JAKARTA PUSAT, DAERAH KHUSUS IBUKOTA JAKARTA 10250"/>
    <s v="Sewa Tahunan"/>
    <s v="Colocation"/>
    <s v="A121202000426"/>
    <m/>
    <m/>
    <s v="1. Internet Corpo_x000a_2. Metronet"/>
    <s v="15 Mbps"/>
    <m/>
    <n v="3850000"/>
    <m/>
    <m/>
    <n v="5500000"/>
    <m/>
    <d v="2024-01-01T00:00:00"/>
    <d v="2024-12-31T00:00:00"/>
    <x v="0"/>
    <m/>
    <d v="2025-12-24T00:00:00"/>
    <n v="-358"/>
    <n v="12"/>
    <n v="2024"/>
    <n v="4500021415"/>
    <s v="2669/SPP/SBU/ICON+/2024"/>
    <n v="4500022312"/>
    <s v="Fajar Paramita"/>
    <m/>
    <s v="Arief N (Building Manager)"/>
    <m/>
    <m/>
    <m/>
    <m/>
    <m/>
    <m/>
    <m/>
    <s v="H83"/>
    <m/>
    <m/>
  </r>
  <r>
    <n v="1941"/>
    <s v="Restyle Development, PT"/>
    <s v="PT Greencorp Konsultan Indonesia"/>
    <s v="Jl. Adityawarman Kav. 55"/>
    <x v="0"/>
    <m/>
    <s v="Recapital Building, Jl. Aditiyawarman No.55, RT.3/RW.2, Melawai, Kec. Kby. Baru, Kota Jakarta Selatan, Daerah Khusus Ibukota Jakarta 12160"/>
    <s v="Sewa Tahunan"/>
    <s v="Cross Connect"/>
    <m/>
    <s v="A821303001289"/>
    <m/>
    <s v="Internet Corpo"/>
    <s v="70 Mbps"/>
    <m/>
    <n v="5500000"/>
    <m/>
    <m/>
    <n v="10000002"/>
    <m/>
    <d v="2024-01-01T00:00:00"/>
    <d v="2025-10-20T00:00:00"/>
    <x v="0"/>
    <m/>
    <d v="2025-12-24T00:00:00"/>
    <n v="-65"/>
    <n v="10"/>
    <n v="2025"/>
    <m/>
    <s v="026.02/RESTYLE-BM/ENG-ICON/X/24"/>
    <n v="4500023833"/>
    <s v="Fajar Paramita"/>
    <m/>
    <m/>
    <m/>
    <m/>
    <m/>
    <m/>
    <m/>
    <m/>
    <m/>
    <s v="H424"/>
    <m/>
    <m/>
  </r>
  <r>
    <n v="1942"/>
    <s v="IDC (Internetindo Data Centra Indonesia) "/>
    <s v="1. PT. PLN [UID JAYA) Lenteng Agung_x000a_2. Hypermedia Teknologi Nusantara Centralindo_x000a_3. PT Eka Mas Republik Jakarta Selatan_x000a_4. PT Hipernet Indodata"/>
    <s v="Jl. Kuningan Barat No.8 Cyber Building 7, Jakarta Selatan 12710"/>
    <x v="0"/>
    <m/>
    <s v="1. Lenteng Agung_x000a_2. Centralindo Duren Tiga/ Jl. Dukuh Ngandong Ds. Pakem Pati _x000a_3. Jakarta Selatam_x000a_4. Backhaul Diskominfotik Prov DKI"/>
    <s v="Sewa Tahunan"/>
    <s v="Colocation"/>
    <m/>
    <s v="1. 4000160068_x000a_2. 1000308326_x000a_3. 1000038556_x000a_4. 1000139776"/>
    <m/>
    <s v="1.  Internet Corpo_x000a_2. Metro Qing_x000a_3. Metro Qing_x000a_4. Metro P2MP"/>
    <m/>
    <m/>
    <n v="47048900"/>
    <m/>
    <m/>
    <n v="119700000"/>
    <m/>
    <d v="2024-01-11T00:00:00"/>
    <d v="2025-10-31T00:00:00"/>
    <x v="0"/>
    <m/>
    <d v="2025-12-24T00:00:00"/>
    <n v="-54"/>
    <n v="10"/>
    <n v="2025"/>
    <n v="4500021750"/>
    <s v="4820/SPP/SBU/PLNICONPLUS/2024"/>
    <s v="4500023874"/>
    <s v="Fajar Paramita"/>
    <m/>
    <m/>
    <m/>
    <m/>
    <m/>
    <m/>
    <m/>
    <m/>
    <m/>
    <s v="H425"/>
    <m/>
    <m/>
  </r>
  <r>
    <n v="1943"/>
    <s v="Samudera Data Indonesia"/>
    <s v="PT Mizuho Leasing Indonesia"/>
    <s v="Gedung Cyber 1 No.8"/>
    <x v="0"/>
    <m/>
    <s v="NTT Data Center, Cyber Building Lt.1 Jl. Kuningan Barat Raya No.8, RT.6/RW.3,Mampang Prptn, Jakarta Selatan, DKI Jakarta, Indonesia, 12710"/>
    <s v="Sewa Tahunan"/>
    <s v="Colocation"/>
    <m/>
    <n v="1000317569"/>
    <m/>
    <s v="Metronet"/>
    <s v="50 Mbps"/>
    <m/>
    <n v="8000000"/>
    <m/>
    <m/>
    <n v="25200000000"/>
    <m/>
    <d v="2024-01-09T00:00:00"/>
    <d v="2025-08-31T00:00:00"/>
    <x v="0"/>
    <m/>
    <d v="2025-12-24T00:00:00"/>
    <n v="-115"/>
    <n v="8"/>
    <n v="2025"/>
    <n v="4500021699"/>
    <s v="4337/SPP/SBU/PLNICONPLUS/2024"/>
    <s v="4500023722"/>
    <s v="Fajar Paramita"/>
    <m/>
    <m/>
    <m/>
    <m/>
    <m/>
    <m/>
    <m/>
    <m/>
    <m/>
    <s v="H426"/>
    <m/>
    <m/>
  </r>
  <r>
    <n v="1944"/>
    <s v="Media Nusantara Data Global"/>
    <s v="AKAMAI DAN FACEBOOK"/>
    <s v="Jl. Kuningan Barat No. 8 Cyber Building 1st &amp; 2nd Jakarta Selatan 12710"/>
    <x v="0"/>
    <s v="Jl. Kuningan Barat Raya No.. 8 "/>
    <s v="Jl. Abdul Muis No.. 8 Petojo Selatan, Gambir, Kota Jakarta Pusat, DKI Jakarta, Indonesia"/>
    <s v="Sewa Tahunan"/>
    <s v="Cross Connect"/>
    <m/>
    <n v="4000042068"/>
    <m/>
    <s v="Internet Corpo"/>
    <m/>
    <m/>
    <n v="22850000"/>
    <m/>
    <m/>
    <n v="18000000"/>
    <m/>
    <d v="2024-06-29T00:00:00"/>
    <d v="2025-06-28T00:00:00"/>
    <x v="0"/>
    <m/>
    <d v="2025-12-24T00:00:00"/>
    <n v="-179"/>
    <n v="6"/>
    <n v="2025"/>
    <n v="4500021083"/>
    <s v="4419/SPP/SBU/PLNICONPLUS/2024"/>
    <s v="4500023616"/>
    <s v="Fajar Paramita"/>
    <m/>
    <s v="Ira"/>
    <m/>
    <m/>
    <m/>
    <m/>
    <m/>
    <m/>
    <m/>
    <s v="H427"/>
    <m/>
    <m/>
  </r>
  <r>
    <n v="1945"/>
    <s v="Fauzi Panca Manunggal"/>
    <s v="PT Bank Commonwealth "/>
    <s v="Jl. Buncit Raya Lt. Penthouse No.22 Jakarta Selatan 12510"/>
    <x v="0"/>
    <s v="GRAHA INTI FAUZI, JL. WARUNG JATI BARAT NO.22. RT.2/RW.7, PEJATEN BARAT, PS. MINGGU, JAKARTA SELATAN, DKI JAKARTA, INDONESIA, 12510"/>
    <s v="PEJATEN BARAT, PASAR MINGGU, KOTA JAKARTA SELATAN, DKI JAKARTA"/>
    <s v="Sewa Tahunan"/>
    <s v="Cross Connect"/>
    <m/>
    <s v="110120500483/ 01000022558"/>
    <m/>
    <s v="IpVPN"/>
    <s v="20 Mbps"/>
    <m/>
    <n v="22750000"/>
    <m/>
    <m/>
    <n v="40000005"/>
    <m/>
    <d v="2024-09-25T00:00:00"/>
    <d v="2025-09-24T00:00:00"/>
    <x v="0"/>
    <m/>
    <d v="2025-12-24T00:00:00"/>
    <n v="-91"/>
    <n v="9"/>
    <n v="2025"/>
    <n v="4500020905"/>
    <m/>
    <s v="4500023666"/>
    <s v="Fajar Paramita"/>
    <m/>
    <m/>
    <m/>
    <m/>
    <m/>
    <m/>
    <m/>
    <m/>
    <m/>
    <s v="H428"/>
    <m/>
    <m/>
  </r>
  <r>
    <n v="1946"/>
    <s v="IDC (Internetindo Data Centra Indonesia) "/>
    <s v="1. Integrasi Jaringan Ekosistem (WEAVE)_x000a_2. Hipernet Indodata_x000a_3. PT. Mitra Visioner Pratama _x000a_4. PT. Mitra Visioner Pratama _x000a_5. Global Media Data Prima_x000a_6.Global Media Data Prima_x000a_7. Global Media Data Prima_x000a_8. Global Media Data Prima_x000a_9. Global Media Data Prima_x000a_10. Global Media Data Prima"/>
    <s v="Jl. KH Abdul Rochim No. 1 Kuningan Barat, Mampang, Jakarta Selatan 12170"/>
    <x v="0"/>
    <m/>
    <s v="1. PERANGKAT IJE VIBERLINK PURWOREJO, JL. SOEKARNO-HATTA, DEMANGAN, CONDONGSARI, KEC. BANYUURIP, KABUPATEN PURWOREJO, JAWA TENGAH_x000a_2. IDC D3 Backhaul Diskominfo_x000a_3. IDC Duren Tiga - NDC Bali Jl. Padanggalak Sanur No. 287_x000a_4. Perum Puri Krakatau Hijau Blok B3 No 12_x000a_5. Kwageyan Gentungan Mojogedang Kab. Karanganyar_x000a_6. JI Randublatung - Menden Bapangan_x000a_7.Sumurlapan, Sumberagung, Kec. Dander_x000a_8. Duren Tiga - Jl. Guntur Gobleg Pedudutan Buniayu_x000a_9. JI.Dlangu Lor - Jl. Durentiga Raya No.7_x000a_10.JI.Dlangu Lor - Jl. Durentiga Raya No.7"/>
    <s v="Sewa Tahunan"/>
    <s v="Colocation"/>
    <m/>
    <s v="1. 131202001536/ 01000358851_x000a_2. 110120212112/ 01000139776_x000a_3. 111204000115_x000a_4. 111204000127_x000a_5.111204000094_x000a_6.111204000084_x000a_7.111204000149_x000a_8.111204000138_x000a_9.111204000083_x000a_10.111204000141"/>
    <m/>
    <s v="1. Metronet QnQ_x000a_2.Metro 3 Mbps_x000a_3. MRC_x000a_4.Mrc_x000a_5. P2P ETH Kapasitas Besar_x000a_6. P2P ETH Kapasitas Besar_x000a_7. P2P ETH Kapasitas Besar_x000a_8. P2P ETH Kapasitas Besar_x000a_9. P2P ETH Kapasitas Besar_x000a_10. P2P ETH Kapasitas Besar"/>
    <s v="3 Mbps"/>
    <m/>
    <n v="347745000"/>
    <m/>
    <m/>
    <n v="119700000"/>
    <m/>
    <d v="2024-12-14T00:00:00"/>
    <d v="2025-12-13T00:00:00"/>
    <x v="0"/>
    <m/>
    <d v="2025-12-24T00:00:00"/>
    <n v="-11"/>
    <n v="12"/>
    <n v="2025"/>
    <n v="4500021742"/>
    <s v="4607/SPP/SBU/PLNICONPLUS/2024"/>
    <s v="4500023667"/>
    <s v="Fajar Paramita"/>
    <m/>
    <m/>
    <m/>
    <m/>
    <m/>
    <m/>
    <m/>
    <m/>
    <m/>
    <s v="H429"/>
    <m/>
    <m/>
  </r>
  <r>
    <n v="1947"/>
    <s v="IDC (Internetindo Data Centra Indonesia) "/>
    <s v="1. Integrasi Jaringan Ekosistem (WEAVE)_x000a_2. Hipernet Indodata_x000a_3. PT. Mitra Visioner Pratama _x000a_4. PT. Mitra Visioner Pratama _x000a_5. Global Media Data Prima_x000a_6.Global Media Data Prima_x000a_7. Global Media Data Prima_x000a_8. Global Media Data Prima_x000a_9. Global Media Data Prima_x000a_10. Global Media Data Prima"/>
    <s v="Jl. Kuningan Barat No.8 Cyber Building 7, Jakarta Selatan 12710"/>
    <x v="0"/>
    <m/>
    <s v="1. PERANGKAT IJE VIBERLINK PURWOREJO, JL. SOEKARNO-HATTA, DEMANGAN, CONDONGSARI, KEC. BANYUURIP, KABUPATEN PURWOREJO, JAWA TENGAH_x000a_2. IDC D3 Backhaul Diskominfo_x000a_3. IDC Duren Tiga - NDC Bali Jl. Padanggalak Sanur No. 287_x000a_4. Perum Puri Krakatau Hijau Blok B3 No 12_x000a_5. Kwageyan Gentungan Mojogedang Kab. Karanganyar_x000a_6. JI Randublatung - Menden Bapangan_x000a_7.Sumurlapan, Sumberagung, Kec. Dander_x000a_8. Duren Tiga - Jl. Guntur Gobleg Pedudutan Buniayu_x000a_9. JI.Dlangu Lor - Jl. Durentiga Raya No.7_x000a_10.JI.Dlangu Lor - Jl. Durentiga Raya No.7"/>
    <s v="Sewa Tahunan"/>
    <s v="Colocation"/>
    <m/>
    <s v="1. 131202001536/ 01000358851_x000a_2. 110120212112/ 01000139776_x000a_3. 111204000115_x000a_4. 111204000127_x000a_5.111204000094_x000a_6.111204000084_x000a_7.111204000149_x000a_8.111204000138_x000a_9.111204000083_x000a_10.111204000141"/>
    <m/>
    <s v="1. Metronet QnQ_x000a_2.Metro 3 Mbps_x000a_3. MRC_x000a_4.Mrc_x000a_5. P2P ETH Kapasitas Besar_x000a_6. P2P ETH Kapasitas Besar_x000a_7. P2P ETH Kapasitas Besar_x000a_8. P2P ETH Kapasitas Besar_x000a_9. P2P ETH Kapasitas Besar_x000a_10. P2P ETH Kapasitas Besar"/>
    <s v="3 Mbps"/>
    <m/>
    <n v="347745000"/>
    <m/>
    <m/>
    <n v="142500000"/>
    <m/>
    <d v="2024-10-20T00:00:00"/>
    <d v="2025-10-19T00:00:00"/>
    <x v="0"/>
    <m/>
    <d v="2025-12-24T00:00:00"/>
    <n v="-66"/>
    <n v="10"/>
    <n v="2025"/>
    <n v="4500021743"/>
    <s v="4470/SPP/SBU/PLNICONPLUS/2024"/>
    <s v="4500023668"/>
    <s v="Fajar Paramita"/>
    <m/>
    <m/>
    <m/>
    <m/>
    <m/>
    <m/>
    <m/>
    <m/>
    <m/>
    <s v="H430"/>
    <m/>
    <m/>
  </r>
  <r>
    <n v="1948"/>
    <s v="Media Nusantara Data Global"/>
    <s v="1. Sumber Alfaria Trijaya_x000a_2. Indomarco Prismantama"/>
    <s v="Jl. Kuningan Barat No. 8 Cyber Building 1st &amp; 2nd Jakarta Selatan 12710"/>
    <x v="0"/>
    <m/>
    <s v="Office dan Gudang Cabang Pontianak, JI. Mayor Alianyang, Kawasan Borneo Busines Icon, Ruko Blok B No.6, -, Kabupaten Kubu Raya, Kalimantan Barat, Indonesia,"/>
    <s v="Sewa Tahunan"/>
    <s v="Cross Connect"/>
    <m/>
    <s v="1. 011000130077_x000a_2. 04000357386"/>
    <m/>
    <s v="IPVPN"/>
    <m/>
    <m/>
    <n v="16950200"/>
    <m/>
    <m/>
    <n v="36000000"/>
    <m/>
    <d v="2024-07-23T00:00:00"/>
    <d v="2025-07-22T00:00:00"/>
    <x v="1"/>
    <m/>
    <d v="2025-12-24T00:00:00"/>
    <n v="-155"/>
    <n v="7"/>
    <n v="2025"/>
    <n v="4500021082"/>
    <s v="4389/SPP/SBU/PLNICONPLUS/2024"/>
    <s v="4500023617"/>
    <s v="Fajar Paramita"/>
    <m/>
    <s v="Ira"/>
    <m/>
    <m/>
    <m/>
    <m/>
    <m/>
    <m/>
    <m/>
    <s v="H431"/>
    <m/>
    <m/>
  </r>
  <r>
    <n v="1949"/>
    <s v="Alfa Goldland Realty"/>
    <s v="Bank Syariah Indonesia"/>
    <s v="Jl. Griya Hijau Kav. F"/>
    <x v="0"/>
    <m/>
    <s v="Wisma Argo Manunggal"/>
    <s v="Sewa Tahunan"/>
    <s v="Colocation"/>
    <s v="AL/2112/149582"/>
    <m/>
    <m/>
    <s v="IWIN_x000a_Metronet_x000a_Internet"/>
    <m/>
    <m/>
    <n v="174463636"/>
    <m/>
    <m/>
    <n v="64000003"/>
    <m/>
    <d v="2024-07-23T00:00:00"/>
    <d v="2025-07-22T00:00:00"/>
    <x v="0"/>
    <m/>
    <d v="2025-12-24T00:00:00"/>
    <n v="-155"/>
    <n v="7"/>
    <n v="2025"/>
    <n v="4500020981"/>
    <s v="3750/SPP/SBU/PLNICONPLUS/2024"/>
    <s v="4500023038"/>
    <s v="Fajar Paramita"/>
    <m/>
    <m/>
    <m/>
    <m/>
    <m/>
    <m/>
    <m/>
    <m/>
    <m/>
    <s v="H521"/>
    <m/>
    <m/>
  </r>
  <r>
    <n v="1950"/>
    <s v="Media Nusantara Data Global"/>
    <s v="1. Monsadata Nuansa Teknologi _x000a_2. PT Pinus Merah Abadiqq Bitniaga Cipta Gemilang"/>
    <s v="Jl. Kuningan Barat No. 8 Cyber Building 1st &amp; 2nd Jakarta Selatan 12710"/>
    <x v="0"/>
    <m/>
    <s v="ODC Cyber 1"/>
    <s v="Sewa Tahunan"/>
    <s v="Colocation dan Cross Connect"/>
    <s v="2. PA/ACT/2006/0717"/>
    <s v="1. A111202000964"/>
    <m/>
    <m/>
    <m/>
    <m/>
    <n v="43000000"/>
    <m/>
    <m/>
    <n v="49500000"/>
    <m/>
    <d v="2024-07-11T00:00:00"/>
    <d v="2025-07-10T00:00:00"/>
    <x v="0"/>
    <m/>
    <d v="2025-12-24T00:00:00"/>
    <n v="-167"/>
    <n v="7"/>
    <n v="2025"/>
    <n v="4500020893"/>
    <s v="3866/SPP/SBU/PLNICONPLUS/2024"/>
    <s v="4500023239"/>
    <s v="Fajar Paramita"/>
    <m/>
    <s v="Ira"/>
    <m/>
    <m/>
    <m/>
    <m/>
    <m/>
    <m/>
    <m/>
    <s v="H316"/>
    <m/>
    <m/>
  </r>
  <r>
    <n v="1951"/>
    <s v="Media Nusantara Data Global"/>
    <s v="1. PT. CYBERINDO ADITAMA CYBER 1-CBN Yogyakarta_x000a_2. PT TELEMEDIA DINAMIKA SARANA_x000a_3. PT. SUPRA PRIMATAMA NUSANTARA"/>
    <s v="Jl. Kuningan Barat No. 8 Cyber Building 1st &amp; 2nd Jakarta Selatan 12710"/>
    <x v="0"/>
    <s v="1. APJIl Cyber 1 Jakarta_x000a_2. CYBER 1 JL. KUNINGAN BARAT RAYA NO.98 3, RT 3/RW.2, KUNINGAN BAR., KEC. MAMPANG PRPT, KOTA JAKARTA SELATAN, DAERAH KHUSUS IBUKOTA JAKARTA 12710_x000a_3. GEDUNG CYBER 1, JALAN KUNINGAN BARAT RAYA, RT.3/RW.2, WEST KUNINGAN, SOUTH JAKARTA CITY, JAKARTA"/>
    <s v="1. JIX Jogyakarta_x000a_2. DSP PLUMPANG VV6X+PV3, UNNAMED ROAD, RT.1/RW.4, RAWABADAK SEL, KEC. KOJA, JKT UTARA, DAERAH KHUSUS IBUKOTA JAKARTA 142_x000a_3. BIZNET TECHNOCENTER SURABAYA JL. SUMATERA NO.120, GUBENG, KEC. GUBENG, SURABAYA, JAWA TIMUR 60281"/>
    <s v="Sewa Tahunan"/>
    <s v="Colocation"/>
    <m/>
    <s v="1. A821204000091 111204000080_x000a_2. A821202001175 242064206161_x000a_3. A821204000046 111204000051_x000a_232086048629"/>
    <m/>
    <m/>
    <m/>
    <m/>
    <n v="338000000"/>
    <m/>
    <m/>
    <n v="72000000"/>
    <m/>
    <d v="2024-08-03T00:00:00"/>
    <d v="2025-08-02T00:00:00"/>
    <x v="1"/>
    <m/>
    <d v="2025-12-24T00:00:00"/>
    <n v="-144"/>
    <n v="8"/>
    <n v="2025"/>
    <n v="4500021201"/>
    <s v="4334/SPP/SBU/PLNICONPLUS/2024"/>
    <s v="4500023619"/>
    <s v="Fajar Paramita"/>
    <m/>
    <s v="Ira"/>
    <m/>
    <m/>
    <m/>
    <m/>
    <m/>
    <m/>
    <m/>
    <m/>
    <m/>
    <m/>
  </r>
  <r>
    <n v="1952"/>
    <s v="Perhimpunan Penghuni Menara Kadin"/>
    <s v="1. Bukit Asam_x000a_2. Bukit Asam_x000a_3. Bank Mega"/>
    <s v="Jl. H.R. Rasuna Said Kav.2-3 Jakarta 00000"/>
    <x v="0"/>
    <s v="PARIGI NO.01, KECAMATAN TANJUNG ENIM, KABUPATEN MUARA ENIM, SUMATERA SELATAN, INDONESIA"/>
    <m/>
    <s v="Sewa Tahunan"/>
    <s v="Colocation"/>
    <m/>
    <s v="1. 111202017258/ 01000354171_x000a_2. 303010457/ 04000354"/>
    <m/>
    <s v="Metronet"/>
    <m/>
    <m/>
    <n v="143616000"/>
    <m/>
    <m/>
    <n v="26796000"/>
    <m/>
    <d v="2024-04-05T00:00:00"/>
    <d v="2025-04-04T00:00:00"/>
    <x v="0"/>
    <m/>
    <d v="2025-12-24T00:00:00"/>
    <n v="-264"/>
    <n v="4"/>
    <n v="2025"/>
    <n v="4500020638"/>
    <s v="3368/SPP/SBU/PLNICONPLUS/2024"/>
    <s v="4500023017"/>
    <s v="Fajar Paramita"/>
    <m/>
    <m/>
    <m/>
    <m/>
    <m/>
    <m/>
    <m/>
    <m/>
    <m/>
    <s v="H245"/>
    <m/>
    <m/>
  </r>
  <r>
    <n v="1953"/>
    <s v="Media Nusantara Data Global"/>
    <s v="Jaringanku Sarana Nusantara                                                                                                                                                                            PT Cyberindo Aditama "/>
    <s v="Jl. Kuningan Barat No. 8 Cyber Building 1st &amp; 2nd Jakarta Selatan 12710"/>
    <x v="0"/>
    <s v="1. APJIl Cyber 1 Jakarta_x000a_2. CYBER 1 JL. KUNINGAN BARAT RAYA NO.98 3, RT 3/RW.2, KUNINGAN BAR., KEC. MAMPANG PRPT, KOTA JAKARTA SELATAN, DAERAH KHUSUS IBUKOTA JAKARTA 12710_x000a_3. GEDUNG CYBER 1, JALAN KUNINGAN BARAT RAYA, RT.3/RW.2, WEST KUNINGAN, SOUTH JAKARTA CITY, JAKARTA"/>
    <s v="1. Jln Desa, Rt.01/Rw.01 somoteleng, podorejo,,  Kec.Sumbergempol,  Kabupaten Tulungagung,  Jawa Timur,  Indonesia_x000a_2. Omadata DC Intiland Tower, Jl. Panglima Sudirman No.101-103, Embong Kaliasin,  Kec. Genteng,  Surabaya,  Jawa Timur,  Indonesia,  60271_x000a_3. CBN Ruko Paskal Hyper Square Blok no 25 D 12, Jl. HOS Tjokroaminoto No.25-27, Kb. Jeruk,  Kec. Andir,  Kota Bandung,  Jawa Barat,  Indonesia,  40181"/>
    <s v="Sewa Tahunan"/>
    <s v="Cross Connect"/>
    <m/>
    <s v="1. 1000142915_x000a_2. 1000352589"/>
    <m/>
    <s v="1. Metronet _x000a_2.Metronet_x000a_3. MRC_x000a_4.Mrc_x000a_5. P2P ETH Kapasitas Besar_x000a_6. P2P ETH Kapasitas Besar_x000a_7. P2P ETH Kapasitas Besar_x000a_8. P2P ETH Kapasitas Besar_x000a_9. P2P ETH Kapasitas Besar_x000a_10. P2P ETH Kapasitas Besar"/>
    <m/>
    <m/>
    <n v="551000000"/>
    <m/>
    <m/>
    <n v="18000000"/>
    <m/>
    <d v="2024-03-07T00:00:00"/>
    <d v="2025-07-02T00:00:00"/>
    <x v="0"/>
    <m/>
    <d v="2025-12-24T00:00:00"/>
    <n v="-175"/>
    <n v="7"/>
    <n v="2025"/>
    <n v="4500021078"/>
    <s v="4329/SPP/SBU/PLNICONPLUS/2024"/>
    <s v="4500023618"/>
    <s v="Fajar Paramita"/>
    <m/>
    <s v="Ira"/>
    <m/>
    <m/>
    <m/>
    <m/>
    <m/>
    <m/>
    <m/>
    <s v="H460"/>
    <m/>
    <m/>
  </r>
  <r>
    <n v="1954"/>
    <s v="Media Nusantara Data Global"/>
    <s v="Jaringanku Sarana Nusantara                                                                                                                                                                            PT Cyberindo Aditama "/>
    <s v="Jl. Kuningan Barat No. 8 Cyber Building 1st &amp; 2nd Jakarta Selatan 12710"/>
    <x v="0"/>
    <m/>
    <s v="Gedung Cyber 1"/>
    <s v="Sewa Tahunan"/>
    <s v="Cross Connect"/>
    <s v="AL/2112/338737"/>
    <s v="U2212040000020"/>
    <m/>
    <s v="metronet"/>
    <m/>
    <m/>
    <n v="132000000"/>
    <m/>
    <m/>
    <n v="18000000"/>
    <m/>
    <d v="2024-02-08T00:00:00"/>
    <d v="2025-08-01T00:00:00"/>
    <x v="0"/>
    <m/>
    <d v="2025-12-24T00:00:00"/>
    <n v="-145"/>
    <n v="8"/>
    <n v="2025"/>
    <n v="4500021193"/>
    <s v="4418/SPP/SBU/PLNICONPLUS/2024"/>
    <s v="4500023620"/>
    <s v="Fajar Paramita"/>
    <m/>
    <s v="Ira"/>
    <m/>
    <m/>
    <m/>
    <m/>
    <m/>
    <m/>
    <m/>
    <s v="H459"/>
    <m/>
    <m/>
  </r>
  <r>
    <n v="1955"/>
    <s v="DCI Indonesia"/>
    <s v="PT Bahana Pembinaan Usaha Indonesia"/>
    <s v="Equity Tower 17th floor suite F SCBD lot Jl Jend Sudirman Kav 52-53 Jakarta 12196"/>
    <x v="0"/>
    <s v="(DCI) Jl. Halmahera No.1, Danau Indah, Kec. Cikarang Bar., Kabupaten Bekasi, Jawa Barat 17530"/>
    <s v="(Elitery) Jl. Raya Pajajaran No.17, Rt.06/Rw.13, Baranangsiang, Kec. Bogor Tim., Kota Bogor, Jawa Barat 16143"/>
    <s v="Sewa Tahunan"/>
    <s v="Cross Connect"/>
    <s v="A821202000636"/>
    <m/>
    <m/>
    <s v="Metronet"/>
    <s v="100 Mbps"/>
    <m/>
    <n v="148800000"/>
    <m/>
    <m/>
    <n v="36000000"/>
    <m/>
    <d v="2024-11-08T00:00:00"/>
    <d v="2025-11-07T00:00:00"/>
    <x v="0"/>
    <m/>
    <d v="2025-12-24T00:00:00"/>
    <n v="-47"/>
    <n v="11"/>
    <n v="2025"/>
    <n v="4500021659"/>
    <s v="4777/SPP/SBU/PLNICONPLUS/2024"/>
    <s v="4500023758"/>
    <s v="Livia Indraswati"/>
    <m/>
    <s v="Irma Yanti / Asima"/>
    <m/>
    <m/>
    <m/>
    <m/>
    <m/>
    <m/>
    <m/>
    <s v="H471"/>
    <m/>
    <m/>
  </r>
  <r>
    <n v="1956"/>
    <s v="DCI Indonesia"/>
    <s v="PT Sukanda Djaya"/>
    <s v="Equity Tower 17th floor suite F SCBD lot Jl Jend Sudirman Kav 52-53 Jakarta 12196"/>
    <x v="0"/>
    <s v="-"/>
    <s v="Gedung JK 3, Jl. Irian I Blok GG 5-1, Kawasan MM 2100, Cibitung, Kabupaten Bekasi, Jawa Barat, Indonesia,"/>
    <s v="Sewa Tahunan"/>
    <s v="Cross Connect"/>
    <s v="PA/ACT/2110/1649/TER"/>
    <m/>
    <m/>
    <s v="Internet Corporate "/>
    <s v="200 Mbps"/>
    <m/>
    <n v="324000000"/>
    <m/>
    <m/>
    <n v="36000000"/>
    <m/>
    <d v="2024-10-26T00:00:00"/>
    <d v="2025-10-25T00:00:00"/>
    <x v="0"/>
    <m/>
    <d v="2025-12-24T00:00:00"/>
    <n v="-60"/>
    <n v="10"/>
    <n v="2025"/>
    <n v="4500021694"/>
    <s v="4799/SPP/SBU/PLNICONPLUS/2024"/>
    <s v="4500023804"/>
    <s v="Livia Indraswati"/>
    <s v="Irma Yanti / Asima"/>
    <m/>
    <m/>
    <m/>
    <m/>
    <m/>
    <m/>
    <m/>
    <m/>
    <s v="H470"/>
    <m/>
    <m/>
  </r>
  <r>
    <n v="1957"/>
    <s v="DCI Indonesia"/>
    <s v="PT Jatelindo Perkasa Abadi"/>
    <s v="Equity Tower 17th floor suite F SCBD lot Jl Jend Sudirman Kav 52-53 Jakarta 12196"/>
    <x v="0"/>
    <s v="PT DCI Indonesia. Rack Jatelindo. MM2100 Industrial Town. Jl. Irian 1 Blok Gg5-1 Cikarang Barat, 17520, Indonesia     "/>
    <s v="PLN Trunojoyo Blok M"/>
    <s v="Sewa Tahunan"/>
    <s v="Cross Connect"/>
    <s v="110120203483 / 0990000320367705      "/>
    <m/>
    <m/>
    <s v="Internet Corporate "/>
    <s v="5 Mbps"/>
    <m/>
    <n v="120000000"/>
    <m/>
    <m/>
    <n v="18000000"/>
    <m/>
    <d v="2024-11-12T00:00:00"/>
    <d v="2025-11-11T00:00:00"/>
    <x v="0"/>
    <m/>
    <d v="2025-12-24T00:00:00"/>
    <n v="-43"/>
    <n v="11"/>
    <n v="2025"/>
    <n v="4500021614"/>
    <s v="4798/SPP/SBU/PLNICONPLUS/2024"/>
    <s v="4500023803"/>
    <s v="Livia Indraswati"/>
    <m/>
    <s v="Irma Yanti / Asima"/>
    <m/>
    <m/>
    <m/>
    <m/>
    <m/>
    <m/>
    <m/>
    <s v="H469"/>
    <m/>
    <m/>
  </r>
  <r>
    <n v="1958"/>
    <s v="DCI Indonesia"/>
    <s v="PT Aplikanusa Lintasarta"/>
    <s v="Equity Tower 17th floor suite F SCBD lot Jl Jend Sudirman Kav 52-53 Jakarta 12196"/>
    <x v="0"/>
    <s v="Jl. Duren Tiga Raya No.7, RT.9/RT.5, Duren Tiga, Kec. Pancoran, Kota Jakarta Selatan, Daerah Khusus Ibukota Jakarta 12760, Jakarta Selatan, Jakarta, Indonesia."/>
    <s v="Jl. Halmahera No.1, Danau Indah, Kec. Cikarang Bar, Kabupaten Bekasi, Jawa Barat, Indonesia, 17530."/>
    <s v="Sewa Tahunan"/>
    <s v="Cross Connect"/>
    <m/>
    <s v="01000308098"/>
    <m/>
    <s v="Internet Corporate "/>
    <s v="5 Mbps"/>
    <m/>
    <n v="659700000"/>
    <m/>
    <m/>
    <n v="18000000"/>
    <m/>
    <d v="2024-09-20T00:00:00"/>
    <d v="2025-09-19T00:00:00"/>
    <x v="2"/>
    <m/>
    <d v="2025-12-24T00:00:00"/>
    <n v="-96"/>
    <n v="9"/>
    <n v="2025"/>
    <n v="4500021634"/>
    <s v="4526/SPP/SBU/PLNICONPLUS/2024"/>
    <s v="4500023650"/>
    <s v="Livia Indraswati"/>
    <m/>
    <s v="Irma Yanti / Asima"/>
    <m/>
    <m/>
    <m/>
    <m/>
    <m/>
    <m/>
    <m/>
    <s v="H468"/>
    <m/>
    <m/>
  </r>
  <r>
    <n v="1959"/>
    <s v="DCI Indonesia"/>
    <s v="PT Artinus Komunika Lima"/>
    <s v="Equity Tower 17th floor suite F SCBD lot Jl Jend Sudirman Kav 52-53 Jakarta 12196"/>
    <x v="0"/>
    <s v="-"/>
    <s v="DATA CENTER INDONESIA (DCI) JK1, CIBITUNG, JL. HALMAHERA NO.1, DANAU INDAH, KEC. CIKARANG BAR., KABUPATEN BEKASI, JAWA BARAT 17530 "/>
    <s v="Sewa Tahunan"/>
    <s v="Cross Connect"/>
    <s v="120130300659 / 04000167031"/>
    <m/>
    <m/>
    <s v="Internet Corporate "/>
    <s v="5 Mbps"/>
    <m/>
    <n v="72000000"/>
    <m/>
    <m/>
    <n v="36000000"/>
    <m/>
    <d v="2024-09-27T00:00:00"/>
    <d v="2025-09-26T00:00:00"/>
    <x v="0"/>
    <m/>
    <d v="2025-12-24T00:00:00"/>
    <n v="-89"/>
    <n v="9"/>
    <n v="2025"/>
    <n v="4500022073"/>
    <s v="4528/SPP/SBU/PLNICONPLUS/2024"/>
    <s v="4500023728"/>
    <s v="Livia Indraswati"/>
    <m/>
    <s v="Irma Yanti / Asima"/>
    <m/>
    <m/>
    <m/>
    <m/>
    <m/>
    <m/>
    <m/>
    <s v="H480"/>
    <m/>
    <m/>
  </r>
  <r>
    <n v="1960"/>
    <s v="DCI Indonesia"/>
    <s v="PT Digital Karyaloka"/>
    <s v="Equity Tower 17th floor suite F SCBD lot Jl Jend Sudirman Kav 52-53 Jakarta 12196"/>
    <x v="0"/>
    <s v="DCI Cibitung Jl. Halmahera No.1, Danau Indah, Kec. Cikarang Bar. Kabupaten Bekasi, Jawa Barat 17530"/>
    <s v="BNI DC Slipi Jl. Anggrek Neli Murni VI No.14, RT.13/RW.1, Kemanggisan, Kec. Palmerah, Kota Jakarta Barat, Daerah Khusus Ibukota Jakarta 11480"/>
    <s v="Sewa Tahunan"/>
    <s v="Cross Connect"/>
    <s v="A821205000211"/>
    <m/>
    <m/>
    <s v="IPVPN"/>
    <s v="2 Mbps"/>
    <m/>
    <n v="54000000"/>
    <m/>
    <m/>
    <n v="36000000"/>
    <m/>
    <d v="2024-10-06T00:00:00"/>
    <d v="2025-10-05T00:00:00"/>
    <x v="0"/>
    <m/>
    <d v="2025-12-24T00:00:00"/>
    <n v="-80"/>
    <n v="10"/>
    <n v="2025"/>
    <n v="4500021509"/>
    <s v="4616/SPP/SBU/PLNICONPLUS/2024"/>
    <s v="4500023970"/>
    <s v="Livia Indraswati"/>
    <m/>
    <s v="Irma Yanti / Asima"/>
    <m/>
    <m/>
    <m/>
    <m/>
    <m/>
    <m/>
    <m/>
    <s v="H446"/>
    <m/>
    <m/>
  </r>
  <r>
    <n v="1961"/>
    <s v="DCI Indonesia"/>
    <s v="PT Magna Karsa Mulya"/>
    <s v="Equity Tower 17th floor suite F SCBD lot Jl Jend Sudirman Kav 52-53 Jakarta 12196"/>
    <x v="0"/>
    <s v="DCI Indonesia. Rack Magna. MM2100 Industrial Town. Jl. Irian 1 Blok GG5-1 Cikarang Barat, 17520"/>
    <s v="DC PLN Gandul, Jl Raya PLN Ehave, Gandul-Limo, Cinere Depok dan DC PLN Trunojoyo, Jl. Trunojoyo Blok M-I No. 135. Kebayoran Baru, Jakarta 12160"/>
    <s v="Sewa Tahunan"/>
    <s v="Cross Connect"/>
    <m/>
    <s v="0990000320478064 dan '00990000320478063"/>
    <m/>
    <s v="Internet Corporate "/>
    <s v="5 Mbps"/>
    <m/>
    <n v="120000000"/>
    <m/>
    <m/>
    <n v="18000000"/>
    <m/>
    <d v="2024-10-20T00:00:00"/>
    <d v="2025-10-19T00:00:00"/>
    <x v="0"/>
    <m/>
    <d v="2025-12-24T00:00:00"/>
    <n v="-66"/>
    <n v="10"/>
    <n v="2025"/>
    <n v="4500021710"/>
    <s v="4886/SPP/SBU/PLNICONPLUS/2024"/>
    <s v="4500023993"/>
    <s v="Livia Indraswati"/>
    <m/>
    <s v="Irma Yanti / Asima"/>
    <m/>
    <m/>
    <m/>
    <m/>
    <m/>
    <m/>
    <m/>
    <s v="H438"/>
    <m/>
    <m/>
  </r>
  <r>
    <n v="1962"/>
    <s v="DCI Indonesia"/>
    <s v="PLN Icon Plus Gandul (SO 581)"/>
    <s v="Equity Tower 17th floor suite F SCBD lot Jl Jend Sudirman Kav 52-53 Jakarta 12196"/>
    <x v="0"/>
    <s v="DC GANDUL RACK SERVER PLN MOBILE"/>
    <s v="DCI MM2100 JL. HALMAHERA NO.1 BLOK F1, DANAU INDAH, KEC. CIKARANG BAR., KABUPATEN BEKASI, JAWA BARAT 17530"/>
    <s v="Sewa Tahunan"/>
    <s v="Cross Connect"/>
    <s v="A911202000063 - 111202019745 dan A911202000064 - 111202019746"/>
    <m/>
    <m/>
    <s v="Qinq Metro Ethernet"/>
    <m/>
    <m/>
    <m/>
    <m/>
    <n v="4000000"/>
    <n v="36000000"/>
    <m/>
    <d v="2024-09-12T00:00:00"/>
    <d v="2025-09-11T00:00:00"/>
    <x v="0"/>
    <m/>
    <d v="2025-12-24T00:00:00"/>
    <n v="-104"/>
    <n v="9"/>
    <n v="2025"/>
    <s v="baru"/>
    <s v="4942/SPP/SBU/PLNICONPLUS/2024"/>
    <s v="4500023991"/>
    <s v="Livia Indraswati"/>
    <m/>
    <s v="Irma Yanti / Asima"/>
    <m/>
    <m/>
    <m/>
    <m/>
    <m/>
    <m/>
    <m/>
    <s v="H433"/>
    <m/>
    <m/>
  </r>
  <r>
    <n v="1963"/>
    <s v="DCI Indonesia"/>
    <s v="PLN Icon Plus Gandul (SO 582)"/>
    <s v="Equity Tower 17th floor suite F SCBD lot Jl Jend Sudirman Kav 52-53 Jakarta 12196"/>
    <x v="0"/>
    <s v="DC GANDUL RACK SERVER PLN MOBILE"/>
    <s v="DCI MM2100 JL. HALMAHERA NO.1 BLOK F1, DANAU INDAH, KEC. CIKARANG BAR., KABUPATEN BEKASI, JAWA BARAT 17530"/>
    <s v="Sewa Tahunan"/>
    <s v="Cross Connect"/>
    <s v="A911202000063 - 111202019745 dan A911202000064 - 111202019746"/>
    <m/>
    <m/>
    <s v="Qinq Metro Ethernet"/>
    <m/>
    <m/>
    <m/>
    <m/>
    <n v="4000000"/>
    <n v="36000000"/>
    <m/>
    <d v="2024-08-31T00:00:00"/>
    <d v="2025-08-30T00:00:00"/>
    <x v="0"/>
    <m/>
    <d v="2025-12-24T00:00:00"/>
    <n v="-116"/>
    <n v="8"/>
    <n v="2025"/>
    <s v="baru"/>
    <s v="4943/SPP/SBU/PLNICONPLUS/2024"/>
    <s v="4500023992"/>
    <s v="Livia Indraswati"/>
    <m/>
    <s v="Irma Yanti / Asima"/>
    <m/>
    <m/>
    <m/>
    <m/>
    <m/>
    <m/>
    <m/>
    <s v="H434"/>
    <m/>
    <m/>
  </r>
  <r>
    <n v="1964"/>
    <s v="Asosiasi Penyelenggara Jasa Internet Indonesia (APJII)"/>
    <s v="Badan Riset dan Inovasi Nasional"/>
    <s v="Gedung Cyber Lt.11 Jl. Kuningan Barat No.8 Kuningan Barat Jakarta"/>
    <x v="0"/>
    <m/>
    <s v="Cyber APJII, Jalan Kuningan Barat, Mampang, Jakarta Selatan"/>
    <s v="Sewa Tahunan"/>
    <s v="Colocation"/>
    <s v="A111301000002_x000a_H111301000064_x000a_D111303002406_x000a_R111302000108"/>
    <m/>
    <m/>
    <s v="IP Transit IX"/>
    <s v="6 GB"/>
    <m/>
    <m/>
    <m/>
    <m/>
    <n v="8100000"/>
    <m/>
    <d v="2024-12-01T00:00:00"/>
    <d v="2025-11-30T00:00:00"/>
    <x v="0"/>
    <m/>
    <d v="2025-12-24T00:00:00"/>
    <n v="-24"/>
    <n v="11"/>
    <n v="2025"/>
    <s v="baru"/>
    <s v="5043/SPP/SBU/PLNICONPLUS/2024"/>
    <s v="4500023995"/>
    <s v="Livia Indraswati"/>
    <m/>
    <s v="Fatmah"/>
    <m/>
    <m/>
    <m/>
    <m/>
    <m/>
    <m/>
    <m/>
    <s v="H472"/>
    <m/>
    <m/>
  </r>
  <r>
    <n v="1965"/>
    <s v="Asosiasi Penyelenggara Jasa Internet Indonesia (APJII)"/>
    <s v="PT Fiber Networks Indonesia_x000a_PT Mora Telematika Indonesia_x000a_PT Cyberindo Aditama_x000a_PT Centrin Online Prima_x000a_PT Tujuh Delapan Sembilan Net_x000a_PT Faasri Utama Sakti"/>
    <s v="Gedung Cyber Lt.11 Jl. Kuningan Barat No.8 Kuningan Barat Jakarta"/>
    <x v="0"/>
    <s v="Cyber Building APJII Lt.1 Jl.Kuningan Barat No.8 Jakarta,- ,- ,- ,Indonesia ,-   "/>
    <m/>
    <s v="Sewa Tahunan"/>
    <s v="Colocation"/>
    <s v="AL/2106/40048 - 0990000320504846_x000a_AL/2112/151305 - 01000077695_x000a_AL/2102/3854 - 0990000320497141_x000a_AL/2011/66992 - 0990000320333483_x000a_AL/2201/11305 - 01000011354_x000a_AL/2102/3853 - 0990000320655389_x000a_PA/RLK/2204/0075 - 01000205149_x000a_AL/2102/4525 - 01000001100_x000a_PA/ACT/2209/1811 - 01000310307_x000a_"/>
    <m/>
    <m/>
    <s v="Metronet"/>
    <m/>
    <m/>
    <n v="597240000"/>
    <m/>
    <m/>
    <n v="120000000"/>
    <m/>
    <d v="2024-11-11T00:00:00"/>
    <d v="2025-11-10T00:00:00"/>
    <x v="0"/>
    <m/>
    <d v="2025-12-24T00:00:00"/>
    <n v="-44"/>
    <n v="11"/>
    <n v="2025"/>
    <n v="4500021498"/>
    <s v="4640/SPP/SBU/PLNICONPLUS/2024"/>
    <s v="4500023729"/>
    <s v="Livia Indraswati"/>
    <m/>
    <s v="Fatmah"/>
    <m/>
    <m/>
    <m/>
    <m/>
    <m/>
    <m/>
    <m/>
    <s v=" "/>
    <m/>
    <m/>
  </r>
  <r>
    <n v="1966"/>
    <s v="Asosiasi Penyelenggara Jasa Internet Indonesia (APJII)"/>
    <s v="PT Fiber Networks Indonesia_x000a_PT Mora Telematika Indonesia_x000a_PT Cyberindo Aditama_x000a_PT Centrin Online Prima_x000a_PT Tujuh Delapan Sembilan Net_x000a_PT Faasri Utama Sakti"/>
    <s v="Gedung Cyber Lt.11 Jl. Kuningan Barat No.8 Kuningan Barat Jakarta"/>
    <x v="0"/>
    <s v="Cyber Building APJII Lt.1 Jl.Kuningan Barat No.8 Jakarta,- ,- ,- ,Indonesia ,-   "/>
    <m/>
    <s v="Sewa Tahunan"/>
    <s v="Colocation"/>
    <s v="AL/2106/40048 - 0990000320504846_x000a_AL/2112/151305 - 01000077695_x000a_AL/2102/3854 - 0990000320497141_x000a_AL/2011/66992 - 0990000320333483_x000a_AL/2201/11305 - 01000011354_x000a_AL/2102/3853 - 0990000320655389_x000a_PA/RLK/2204/0075 - 01000205149_x000a_AL/2102/4525 - 01000001100_x000a_PA/ACT/2209/1811 - 01000310307_x000a_"/>
    <m/>
    <m/>
    <s v="Metronet"/>
    <m/>
    <m/>
    <n v="597240000"/>
    <m/>
    <m/>
    <n v="12000000"/>
    <m/>
    <d v="2024-10-29T00:00:00"/>
    <d v="2025-10-28T00:00:00"/>
    <x v="0"/>
    <m/>
    <d v="2025-12-24T00:00:00"/>
    <n v="-57"/>
    <n v="10"/>
    <n v="2025"/>
    <n v="4500021491"/>
    <s v="4641/SPP/SBU/PLNICONPLUS/2024"/>
    <s v="4500023730"/>
    <s v="Livia Indraswati"/>
    <m/>
    <s v="Fatmah"/>
    <m/>
    <m/>
    <m/>
    <m/>
    <m/>
    <m/>
    <m/>
    <s v="H467"/>
    <m/>
    <m/>
  </r>
  <r>
    <n v="1967"/>
    <s v="Asosiasi Penyelenggara Jasa Internet Indonesia (APJII)"/>
    <s v="PT Transportasi Jakarta"/>
    <s v="Gedung Cyber Lt.11 Jl. Kuningan Barat No.8 Kuningan Barat Jakarta"/>
    <x v="0"/>
    <m/>
    <s v="Cyber APJII, Jalan Kuningan Barat, Mampang, Jakarta Selatan"/>
    <s v="Sewa Tahunan"/>
    <s v="Colocation"/>
    <s v="A111202006581"/>
    <m/>
    <m/>
    <s v="Metronet"/>
    <s v="1 Gbps"/>
    <m/>
    <n v="76800000"/>
    <m/>
    <m/>
    <n v="13000000"/>
    <m/>
    <d v="2024-10-28T00:00:00"/>
    <d v="2025-10-27T00:00:00"/>
    <x v="0"/>
    <m/>
    <d v="2025-12-24T00:00:00"/>
    <n v="-58"/>
    <n v="10"/>
    <n v="2025"/>
    <s v="baru"/>
    <s v="4894/SPP/SBU/PLNICONPLUS/2024 "/>
    <s v="4500023818"/>
    <s v="Livia Indraswati"/>
    <m/>
    <s v="Fatmah"/>
    <m/>
    <m/>
    <m/>
    <m/>
    <m/>
    <m/>
    <m/>
    <s v="H478"/>
    <m/>
    <m/>
  </r>
  <r>
    <n v="1968"/>
    <s v="CBN Nusantara"/>
    <s v="BUMN/BUMD Jasa Tirta"/>
    <s v="Cyber 2 Tower 2nd Floor Jl HR Rasuna Said Kav X-5 No 13 Jakarta 12950"/>
    <x v="0"/>
    <m/>
    <s v="JL. H. R. RASUNA SAID BLOK X-5 NO. 13 RT.7/RW.2, KUNINGAN TIMUR, KEC. SETIABUDI, KOTA JAKARTA SELATAN, DKI JAKARTA 12950"/>
    <s v="Sewa Tahunan"/>
    <s v="Cross Connect"/>
    <s v="A121202001067"/>
    <m/>
    <m/>
    <s v="Metronet"/>
    <s v="100 Mbps"/>
    <n v="2000000"/>
    <n v="144000000"/>
    <m/>
    <n v="4000000"/>
    <n v="8000000"/>
    <m/>
    <d v="2024-10-07T00:00:00"/>
    <d v="2025-10-06T00:00:00"/>
    <x v="0"/>
    <m/>
    <d v="2025-12-24T00:00:00"/>
    <n v="-79"/>
    <n v="10"/>
    <n v="2025"/>
    <s v="baru"/>
    <s v="4710/SPP/SBU/PLNICONPLUS/2024 "/>
    <s v="4500023665"/>
    <s v="Livia Indraswati"/>
    <m/>
    <s v="Erni Monalena"/>
    <m/>
    <m/>
    <m/>
    <m/>
    <m/>
    <m/>
    <m/>
    <s v="H474"/>
    <m/>
    <m/>
  </r>
  <r>
    <n v="1969"/>
    <s v="Wiratara Prima"/>
    <s v="PT Bank BTPN dan PT Primacom Interbuana"/>
    <s v="Jl. Dr. Ide Anak Agung Gde Agung Blok 6.2 Kuningan Timur Setiabudi Jakarta Selatan 12950"/>
    <x v="0"/>
    <s v="MENARA PRIMA LANTAI 29, JL. LINGKAR MEGA KUNINGAN,- ,- ,- ,Indonesia ,-"/>
    <s v="KCP BLORA KODE CABANG 251, JL. SUDIRMAN NO.101 KEL. KEDUNGJENAR BLORA, KEC. BLORA, KABUPATEN BLORA, JAWA TENGAH, INDONESIA,_x000a_199 KCP PACITAN JL. YOS SUDARSO NO.13 RT.01 RW.02 DESA BANGUNGSARI,KEC. PACITAN ,KABUPATEN PACITAN ,JAWA TIMUR ,INDONESIA_x000a_0368 KCP SUMENEP JL. TRUNOJOYO NO.132, SUMENEP,- ,- ,- ,INDONESIA ,-_x000a_BANK BTPN (HQ) BAHANA OFFICE TOWER LT. 10, MEGA KUNINGAN (LETAKNYA DI SEBERANG MENARA PRIMA),- ,- ,- ,INDONESIA ,-    "/>
    <s v="Sewa Tahunan"/>
    <s v="Colocation"/>
    <s v="110120207458 / 01000291559_x000a_'141202002592 / 01000205643_x000a_'110120207106 / 0990000320385420_x000a_'110120512281 / 0990000320470028"/>
    <m/>
    <m/>
    <s v="Metronet"/>
    <s v="1 Mbps"/>
    <m/>
    <n v="105720000"/>
    <m/>
    <m/>
    <n v="22365000"/>
    <m/>
    <d v="2024-12-10T00:00:00"/>
    <d v="2025-12-09T00:00:00"/>
    <x v="0"/>
    <m/>
    <d v="2025-12-24T00:00:00"/>
    <n v="-15"/>
    <n v="12"/>
    <n v="2025"/>
    <n v="4500022133"/>
    <s v="4887/SPP/SBU/PLNICONPLUS/2024 "/>
    <s v="4500023880"/>
    <s v="Livia Indraswati"/>
    <m/>
    <s v="Theo"/>
    <m/>
    <m/>
    <m/>
    <m/>
    <m/>
    <m/>
    <m/>
    <s v="H462"/>
    <m/>
    <m/>
  </r>
  <r>
    <n v="1970"/>
    <s v="Wisma Calindra"/>
    <s v="PT Indonesia Libolon Fiber System "/>
    <s v="Wisma 76, Jl. Letjen S. Parman, Kav. 76, Slipi, Palmerah, Jakarta Barat"/>
    <x v="0"/>
    <m/>
    <s v="Wisma 76 Lantai 19 Jl. Letjen S. Parman No.76, Rt.4/Rw.3, Slipi, Kec. Palmerah, Kota Jakarta Barat, Daerah Khusus Ibukota Jakarta 11410."/>
    <s v="Sewa Tahunan"/>
    <s v="Colocation"/>
    <s v="R121202001069"/>
    <m/>
    <m/>
    <s v="Metronet"/>
    <m/>
    <n v="3000000"/>
    <n v="71351340"/>
    <m/>
    <n v="300000"/>
    <n v="13500000"/>
    <m/>
    <d v="2024-10-24T00:00:00"/>
    <d v="2025-10-23T00:00:00"/>
    <x v="0"/>
    <m/>
    <d v="2025-12-24T00:00:00"/>
    <n v="-62"/>
    <n v="10"/>
    <n v="2025"/>
    <s v="baru"/>
    <s v="4906/SPP/SBU/PLNICONPLUS/2024 "/>
    <s v="4500023879"/>
    <s v="Livia Indraswati"/>
    <s v="Widya"/>
    <m/>
    <m/>
    <m/>
    <m/>
    <m/>
    <m/>
    <m/>
    <m/>
    <s v="H465"/>
    <m/>
    <m/>
  </r>
  <r>
    <n v="1971"/>
    <s v="Solusi Jasa Teknologi"/>
    <s v="PT Bahana Pembinaan Usaha Indonesia"/>
    <s v="Gedung Sanggar Kesatria Liema, Jalan Raya Pajajaran No.17 Baranangsiang Bogor timur"/>
    <x v="0"/>
    <s v="(DCI) Jl. Halmahera No.1, Danau Indah, Kec. Cikarang Bar., Kabupaten Bekasi, Jawa Barat 17530"/>
    <s v="(Elitery) Jl. Raya Pajajaran No.17, Rt.06/Rw.13, Baranangsiang, Kec. Bogor Tim., Kota Bogor, Jawa Barat 16143"/>
    <s v="Sewa Tahunan"/>
    <s v="Cross Connect"/>
    <s v="A821202000636"/>
    <m/>
    <m/>
    <s v="Metronet"/>
    <s v="100 Mbps"/>
    <m/>
    <n v="148800000"/>
    <m/>
    <m/>
    <n v="12000000"/>
    <m/>
    <d v="2024-11-15T00:00:00"/>
    <d v="2025-11-14T00:00:00"/>
    <x v="1"/>
    <m/>
    <d v="2025-12-24T00:00:00"/>
    <n v="-40"/>
    <n v="11"/>
    <n v="2025"/>
    <n v="4500021704"/>
    <s v="4963/SPP/SBU/PLNICONPLUS/2024 "/>
    <s v="4500023940"/>
    <s v="Livia Indraswati"/>
    <m/>
    <s v="Anggi Fauzia"/>
    <m/>
    <m/>
    <m/>
    <m/>
    <m/>
    <m/>
    <m/>
    <s v="H444"/>
    <m/>
    <m/>
  </r>
  <r>
    <n v="1972"/>
    <s v="Krakatau Sarana Properti"/>
    <s v="PT Cipta Telekomunikasi Mandiri"/>
    <s v="Jl.Raya Bagendung Cilegon"/>
    <x v="0"/>
    <m/>
    <m/>
    <s v="Sewa Tahunan"/>
    <s v="Colocation"/>
    <m/>
    <m/>
    <m/>
    <m/>
    <m/>
    <m/>
    <m/>
    <m/>
    <m/>
    <n v="25000000"/>
    <m/>
    <d v="2024-02-03T00:00:00"/>
    <d v="2025-02-02T00:00:00"/>
    <x v="0"/>
    <m/>
    <d v="2025-12-24T00:00:00"/>
    <n v="-325"/>
    <n v="2"/>
    <n v="2025"/>
    <n v="4500019991"/>
    <s v="4613/SPP/SBU/PLNICONPLUS/2024 "/>
    <s v="4500023876"/>
    <s v="Fajar Paramita"/>
    <m/>
    <s v="Rosanti"/>
    <m/>
    <m/>
    <m/>
    <m/>
    <m/>
    <m/>
    <m/>
    <s v="H466"/>
    <m/>
    <m/>
  </r>
  <r>
    <n v="1973"/>
    <s v="Media Nusantara Data Global"/>
    <s v="PT Supra Primatama Nusantara"/>
    <s v="Jl. Kuningan Barat No. 8 Cyber Building 1st &amp; 2nd Jakarta Selatan 12710"/>
    <x v="0"/>
    <s v="Gedung Cyber 1, Jalan Kuningan Barat Raya, Rt.3/Rw.2, West Kuningan, South Jakarta City, Jakarta"/>
    <s v="Biznet Technocenter Surabaya Jl. Sumatera No.120, Gubeng, Kec. Gubeng, Surabaya, Jawa Timur 60281"/>
    <s v="Sewa Tahunan"/>
    <s v="Cross Connect"/>
    <s v="A821204000046 - 8223091100011"/>
    <m/>
    <m/>
    <s v="Kapasitas Besar"/>
    <s v="20 Gbps"/>
    <m/>
    <n v="1620000000"/>
    <m/>
    <m/>
    <n v="18000000"/>
    <m/>
    <d v="2024-09-16T00:00:00"/>
    <d v="2025-09-15T00:00:00"/>
    <x v="1"/>
    <m/>
    <d v="2025-12-24T00:00:00"/>
    <n v="-100"/>
    <n v="9"/>
    <n v="2025"/>
    <n v="4500021322"/>
    <s v="4800/SPP/SBU/PLNICONPLUS/2024 "/>
    <s v="4500023802"/>
    <s v="Livia Indraswati"/>
    <m/>
    <s v="Ira"/>
    <m/>
    <m/>
    <m/>
    <m/>
    <m/>
    <m/>
    <m/>
    <s v="H475"/>
    <m/>
    <m/>
  </r>
  <r>
    <n v="1974"/>
    <s v="Jekael Invesco"/>
    <s v="PT Indonesia Comnets Plus"/>
    <s v="Gedung menara Selatan Lt.9 Jl. Jend. Gatot Subroto No. 38 Jakarta 12712"/>
    <x v="0"/>
    <m/>
    <s v="Menara Jamsostek, Jalan Gatot Subroto, Kav 38. RT.6/RW.1, Kuningan Barat, Mampang Prapatan, Jakarta Selatan, Indonesia 12710"/>
    <s v="Sewa Tahunan"/>
    <s v="Colocation"/>
    <m/>
    <m/>
    <m/>
    <m/>
    <m/>
    <m/>
    <m/>
    <m/>
    <m/>
    <n v="10000000"/>
    <m/>
    <d v="2024-10-30T00:00:00"/>
    <d v="2025-10-29T00:00:00"/>
    <x v="0"/>
    <m/>
    <d v="2025-12-24T00:00:00"/>
    <n v="-56"/>
    <n v="10"/>
    <n v="2025"/>
    <n v="4500021582"/>
    <s v="4801/SPP/SBU/PLNICONPLUS/2024 "/>
    <s v="4500023798"/>
    <s v="Livia Indraswati"/>
    <s v="Tri"/>
    <m/>
    <m/>
    <m/>
    <m/>
    <m/>
    <m/>
    <m/>
    <m/>
    <s v="H473"/>
    <m/>
    <m/>
  </r>
  <r>
    <n v="1975"/>
    <s v="Media Nusantara Data Global"/>
    <s v="PT Indonesia Comnets Plus"/>
    <s v="Jl. Kuningan Barat No. 8 Cyber Building 1st &amp; 2nd Jakarta Selatan 12710"/>
    <x v="0"/>
    <m/>
    <s v="Menara Jamsostek, Jalan Gatot Subroto, Kav 38. RT.6/RW.1, Kuningan Barat, Mampang Prapatan, Jakarta Selatan, Indonesia 12710"/>
    <s v="Sewa Tahunan"/>
    <s v="Colocation"/>
    <m/>
    <m/>
    <m/>
    <m/>
    <m/>
    <m/>
    <m/>
    <m/>
    <m/>
    <n v="18000000"/>
    <m/>
    <d v="2024-09-15T00:00:00"/>
    <d v="2025-09-14T00:00:00"/>
    <x v="1"/>
    <m/>
    <d v="2025-12-24T00:00:00"/>
    <n v="-101"/>
    <n v="9"/>
    <n v="2025"/>
    <n v="4500021321"/>
    <s v="4778/SPP/SBU/PLNICONPLUS/2024 "/>
    <s v="4500023801"/>
    <s v="Livia Indraswati"/>
    <s v="Ira"/>
    <m/>
    <m/>
    <m/>
    <m/>
    <m/>
    <m/>
    <m/>
    <m/>
    <s v="H476"/>
    <m/>
    <m/>
  </r>
  <r>
    <n v="1976"/>
    <s v="Perhimpunan Pemilik dan Penghuni Satuan Rumah Susun Komersial Hunian Campuran Residence 8 @ Senopati"/>
    <s v="PT Hasnur Informasi Teknologi "/>
    <s v="Jl. Senopati 8B Jakarta 12190"/>
    <x v="0"/>
    <m/>
    <s v="Office 8, Lantai 7, Ruang Server Rak 3 Jakarta Selatan RT.8/RW.3, Senayan Kec. Kebayoran Baru, Jakarta Selatan"/>
    <s v="Sewa Tahunan"/>
    <s v="Colocation"/>
    <s v="A311202001848"/>
    <m/>
    <m/>
    <s v="Internet Corporate"/>
    <s v="5 Mbps"/>
    <n v="11000000"/>
    <n v="204000000"/>
    <n v="2150000"/>
    <n v="1650000"/>
    <n v="8600000"/>
    <m/>
    <d v="2024-10-16T00:00:00"/>
    <d v="2025-10-15T00:00:00"/>
    <x v="0"/>
    <m/>
    <d v="2025-12-24T00:00:00"/>
    <n v="-70"/>
    <n v="10"/>
    <n v="2025"/>
    <s v="baru"/>
    <s v="4780/SPP/SBU/PLNICONPLUS/2024 "/>
    <n v="4500023756"/>
    <s v="Livia Indraswati"/>
    <s v="Fajar"/>
    <m/>
    <m/>
    <m/>
    <m/>
    <m/>
    <m/>
    <m/>
    <m/>
    <s v="H477"/>
    <m/>
    <m/>
  </r>
  <r>
    <n v="1977"/>
    <s v="Acarya Multindo Perkasa"/>
    <s v="PT Mitra Pajakku"/>
    <s v="Jl. Jend. Gatot Subroto Kav. 32-34 Jakarta Selatan 12950"/>
    <x v="0"/>
    <m/>
    <s v="JL. MEDAN MERDEKA TIM., RT.6/RW.1, GAMBIR, KECAMATAN GAMBIR, KOTA JAKARTA PUSAT, DAERAH KHUSUS IBUKOTA JAKARTA 10110_x000a_ JL. KEMANGGISAN UTAMA RAYA NO.J4, RT.10/RW.6, KEMANGGISAN, KEC. PALMERAH, KOTA JAKARTA BARAT, DAERAH KHUSUS IBUKOTA JAKARTA 11480, INDONESIA"/>
    <s v="Sewa Tahunan"/>
    <s v="Colocation"/>
    <s v="A111202000736_x000a_A111303002516"/>
    <m/>
    <m/>
    <s v="Metronet"/>
    <s v="25 Mbps"/>
    <m/>
    <n v="127200000"/>
    <m/>
    <m/>
    <n v="24000000"/>
    <m/>
    <d v="2024-08-15T00:00:00"/>
    <d v="2025-08-14T00:00:00"/>
    <x v="0"/>
    <m/>
    <d v="2025-12-24T00:00:00"/>
    <n v="-132"/>
    <n v="8"/>
    <n v="2025"/>
    <n v="4500021040"/>
    <s v="4638/SPP/SBU/PLNICONPLUS/2024 "/>
    <n v="4500023703"/>
    <s v="Livia Indraswati"/>
    <s v="Rudi"/>
    <m/>
    <m/>
    <m/>
    <m/>
    <m/>
    <m/>
    <m/>
    <m/>
    <s v="H479"/>
    <m/>
    <m/>
  </r>
  <r>
    <n v="1978"/>
    <s v="NTT Indonesia"/>
    <s v="PT Bank Rakyat Indonesia dan PT Aplikanusa Lintasarta"/>
    <s v="Wisma 46 Kota BNI Lt. 5, Jl. Jend. Sudirman, Tanah Abang, Kota Jak Pusat, Daerah Khusus Ibukota Jak 10250, Indonesia"/>
    <x v="0"/>
    <m/>
    <s v="H2H OVO NTT Indonesia Nexcenter Jl. Kuningan Barat Raya No. 8"/>
    <s v="Sewa Tahunan"/>
    <s v="Cross Connect"/>
    <s v="01000203653_x000a_'01000312946_x000a_'01000029851"/>
    <m/>
    <m/>
    <s v="Metronet"/>
    <m/>
    <m/>
    <n v="261102684"/>
    <m/>
    <m/>
    <n v="48000000"/>
    <m/>
    <d v="2024-09-17T00:00:00"/>
    <d v="2025-09-16T00:00:00"/>
    <x v="1"/>
    <m/>
    <d v="2025-12-24T00:00:00"/>
    <n v="-99"/>
    <n v="9"/>
    <n v="2025"/>
    <s v="baru"/>
    <s v="4621/SPP/SBU/PLNICONPLUS/2024 "/>
    <s v="4500023704"/>
    <s v="Livia Indraswati"/>
    <s v="Gilang Bagaskara/Iffa"/>
    <m/>
    <m/>
    <m/>
    <m/>
    <m/>
    <m/>
    <m/>
    <m/>
    <s v="H463"/>
    <m/>
    <m/>
  </r>
  <r>
    <n v="1979"/>
    <s v="Jakarta Industrial Estate Pulogadung (Persero) (JIEP) "/>
    <s v="PT Pasifiktel Indotama qq PT Hexindo Adi Perkasa"/>
    <s v="Jl. Pulokambing No. 1 Lahan Industri Pulogadung Jakarta Timur 13290"/>
    <x v="0"/>
    <s v="CYBER 1, JL. KUNINGAN BARAT RAYA NO.8, RT.1/RW.3, KUNINGAN BARAT, KEC. MAMPANG PRAPATAN, JAKARTA SELATAN, DKI JAKARTA, INDONESIA, 12710"/>
    <s v="HEXINDO ADI PERKASA, KAWASAN INDUSTRI PULO GADUNG JL. PULO KAMBING 2/33 KAV 1-2, -, JAKARTA TIMUR, DKI JAKARTA, INDONESIA, 13930"/>
    <s v="Sewa Tahunan"/>
    <s v="Colocation"/>
    <s v="110120204037 / 01000113384"/>
    <m/>
    <m/>
    <s v="Metronet"/>
    <s v="20 Mbps"/>
    <m/>
    <n v="78000000"/>
    <m/>
    <m/>
    <n v="27823410"/>
    <m/>
    <d v="2024-08-25T00:00:00"/>
    <d v="2025-08-24T00:00:00"/>
    <x v="0"/>
    <m/>
    <d v="2025-12-24T00:00:00"/>
    <n v="-122"/>
    <n v="8"/>
    <n v="2025"/>
    <n v="4500022326"/>
    <s v="5086/SPP/SBU/PLNICONPLUS/2024 "/>
    <s v="4500024028"/>
    <s v="Livia Indraswati"/>
    <s v="Dana"/>
    <m/>
    <m/>
    <m/>
    <m/>
    <m/>
    <m/>
    <m/>
    <m/>
    <s v="H449"/>
    <m/>
    <m/>
  </r>
  <r>
    <n v="1980"/>
    <s v="Jakarta Industrial Estate Pulogadung (Persero) (JIEP) "/>
    <s v="PLN (PERSERO) UNIT INDUK DISTRIBUSI JAKARTA RAYA (Enseval)"/>
    <s v="Jl. Pulokambing No. 1 Lahan Industri Pulogadung Jakarta Timur 13290"/>
    <x v="0"/>
    <m/>
    <s v="PG189 PULOGADUNG PT. ENSEVAL PUTRA"/>
    <s v="Sewa Tahunan"/>
    <s v="Colocation"/>
    <s v="PA/ACT/1712/0247"/>
    <m/>
    <m/>
    <s v="IPVPN SCADA"/>
    <s v="64 Kbps"/>
    <m/>
    <n v="20300400"/>
    <m/>
    <m/>
    <n v="14228910"/>
    <m/>
    <d v="2024-04-06T00:00:00"/>
    <d v="2025-04-05T00:00:00"/>
    <x v="0"/>
    <m/>
    <d v="2025-12-24T00:00:00"/>
    <n v="-263"/>
    <n v="4"/>
    <n v="2025"/>
    <n v="4500022186"/>
    <s v="5061/SPP/SBU/PLNICONPLUS/2024 "/>
    <s v="4500024026"/>
    <s v="Livia Indraswati"/>
    <s v="Dana"/>
    <m/>
    <m/>
    <m/>
    <m/>
    <m/>
    <m/>
    <m/>
    <m/>
    <s v="H454"/>
    <m/>
    <m/>
  </r>
  <r>
    <n v="1981"/>
    <s v="Jakarta Industrial Estate Pulogadung (Persero) (JIEP) "/>
    <s v="PLN (PERSERO) UNIT INDUK DISTRIBUSI JAKARTA RAYA (Sarana Steel)"/>
    <s v="Jl. Pulokambing No. 1 Lahan Industri Pulogadung Jakarta Timur 13290"/>
    <x v="0"/>
    <m/>
    <s v="PG257 PULOGADUNG PT. SARANA STEEL CORP "/>
    <s v="Sewa Tahunan"/>
    <s v="Colocation"/>
    <s v="PA/ACT/1801/1972"/>
    <m/>
    <m/>
    <s v="IPVPN SCADA"/>
    <s v="64 Kbps"/>
    <m/>
    <n v="20300400"/>
    <m/>
    <m/>
    <n v="543780"/>
    <m/>
    <d v="2024-06-05T00:00:00"/>
    <d v="2025-06-04T00:00:00"/>
    <x v="0"/>
    <m/>
    <d v="2025-12-24T00:00:00"/>
    <n v="-203"/>
    <n v="6"/>
    <n v="2025"/>
    <n v="4500022188"/>
    <s v="5062/SPP/SBU/PLNICONPLUS/2024 "/>
    <s v="4500024027"/>
    <s v="Livia Indraswati"/>
    <s v="Dana"/>
    <m/>
    <m/>
    <m/>
    <m/>
    <m/>
    <m/>
    <m/>
    <m/>
    <s v="H453"/>
    <m/>
    <m/>
  </r>
  <r>
    <n v="1982"/>
    <s v="Jakarta Industrial Estate Pulogadung (Persero) (JIEP) "/>
    <s v="PLH GH 72"/>
    <s v="Jl. Pulokambing No. 1 Lahan Industri Pulogadung Jakarta Timur 13290"/>
    <x v="0"/>
    <m/>
    <m/>
    <s v="Sewa Tahunan"/>
    <s v="Colocation"/>
    <m/>
    <m/>
    <m/>
    <m/>
    <m/>
    <n v="5000000"/>
    <n v="38196000"/>
    <m/>
    <m/>
    <n v="26735854"/>
    <m/>
    <d v="2024-10-16T00:00:00"/>
    <d v="2025-10-15T00:00:00"/>
    <x v="0"/>
    <m/>
    <d v="2025-12-24T00:00:00"/>
    <n v="-70"/>
    <n v="10"/>
    <n v="2025"/>
    <n v="4500021726"/>
    <s v="5071/SPP/SBU/PLNICONPLUS/2024 "/>
    <s v="4500024029"/>
    <s v="Fajar Paramita"/>
    <s v="Dana"/>
    <m/>
    <m/>
    <m/>
    <m/>
    <m/>
    <m/>
    <m/>
    <m/>
    <s v="H455"/>
    <m/>
    <m/>
  </r>
  <r>
    <n v="1983"/>
    <s v="Jakarta Industrial Estate Pulogadung (Persero) (JIEP) "/>
    <s v="PT Nettocyber Indonesia qq PT Swakarsa Sinar Sentosa"/>
    <s v="Jl. Pulokambing No. 1 Lahan Industri Pulogadung Jakarta Timur 13290"/>
    <x v="0"/>
    <s v="Metro Rajawali"/>
    <s v="PT. SWAKARSA SINAR SENTOSA : JL. RAWA GELAM 5. GEDUNG GRAHA SAPTA MULIA LT. 3"/>
    <s v="Sewa Tahunan"/>
    <s v="Colocation"/>
    <m/>
    <s v="0990000320298146"/>
    <m/>
    <s v="Metronet"/>
    <m/>
    <m/>
    <n v="330000000"/>
    <m/>
    <m/>
    <n v="68516280"/>
    <m/>
    <d v="2024-04-13T00:00:00"/>
    <d v="2025-04-12T00:00:00"/>
    <x v="0"/>
    <m/>
    <d v="2025-12-24T00:00:00"/>
    <n v="-256"/>
    <n v="4"/>
    <n v="2025"/>
    <n v="4500021240"/>
    <s v="4328/SPP/SBU/PLNICONPLUS/2024 "/>
    <s v="4500024030"/>
    <s v="Livia Indraswati"/>
    <s v="Dana"/>
    <m/>
    <m/>
    <m/>
    <m/>
    <m/>
    <m/>
    <m/>
    <m/>
    <s v="H481"/>
    <m/>
    <m/>
  </r>
  <r>
    <n v="1984"/>
    <s v="Jakarta Industrial Estate Pulogadung (Persero) (JIEP) "/>
    <s v="PT Aplikanusa Lintasarta qq Bank CIMB Niaga"/>
    <s v="Jl. Pulokambing No. 1 Lahan Industri Pulogadung Jakarta Timur 13290"/>
    <x v="0"/>
    <m/>
    <m/>
    <s v="Sewa Tahunan"/>
    <s v="Colocation"/>
    <m/>
    <m/>
    <m/>
    <m/>
    <m/>
    <m/>
    <n v="60000000"/>
    <m/>
    <m/>
    <n v="38699010"/>
    <m/>
    <d v="2024-08-30T00:00:00"/>
    <d v="2025-08-29T00:00:00"/>
    <x v="0"/>
    <m/>
    <d v="2025-12-24T00:00:00"/>
    <n v="-117"/>
    <n v="8"/>
    <n v="2025"/>
    <n v="4500022325"/>
    <s v="4003/SPP/SBU/PLNICONPLUS/2024"/>
    <s v="4500024086"/>
    <s v="Fajar Paramita"/>
    <s v="Dana"/>
    <m/>
    <m/>
    <m/>
    <m/>
    <m/>
    <m/>
    <m/>
    <m/>
    <s v="H482"/>
    <m/>
    <m/>
  </r>
  <r>
    <n v="1985"/>
    <s v="Infrastruktur Cakrawala Telekomunikasi"/>
    <s v="PT Fukoku Tokai Rubber Indonesia"/>
    <s v="WPT Building Jl. Jababeka IV Blok B No. 12 jbbk"/>
    <x v="0"/>
    <m/>
    <s v="FACTORY III JL. JABABEKA IX BLOK E 18 C,H KAWASAN INDUSTRI JABABEKA I CIKARANG, DESA WANGUNHARJA, CIKARANG UTARA, BEKASI- 17534"/>
    <s v="Sewa Tahunan"/>
    <s v="Cross Connect"/>
    <s v="A821303000904"/>
    <s v="111303013966"/>
    <m/>
    <s v="Internet Corporate"/>
    <s v="10 Mbps"/>
    <n v="3000000"/>
    <n v="13791667"/>
    <m/>
    <m/>
    <n v="2346304"/>
    <m/>
    <d v="2024-11-01T00:00:00"/>
    <d v="2024-12-31T00:00:00"/>
    <x v="0"/>
    <m/>
    <d v="2025-12-24T00:00:00"/>
    <n v="-358"/>
    <n v="12"/>
    <n v="2024"/>
    <m/>
    <s v="4588/SPP/SBU/PLNICONPLUS/2024"/>
    <s v="4500023662"/>
    <s v="Syifa Fauziyah"/>
    <s v="Anjar"/>
    <m/>
    <m/>
    <m/>
    <m/>
    <m/>
    <m/>
    <m/>
    <m/>
    <s v="H367"/>
    <m/>
    <m/>
  </r>
  <r>
    <n v="1986"/>
    <s v="Infrastruktur Cakrawala Telekomunikasi"/>
    <s v="PT Hipernet Indodata "/>
    <s v="WPT Building Jl. Jababeka IV Blok B No. 12 jbbk"/>
    <x v="0"/>
    <m/>
    <s v="PT. STILMETINDO PRIMA CIKARANG BEKASI, KAWASAN JABABEKA"/>
    <s v="Sewa Tahunan"/>
    <s v="Cross Connect"/>
    <s v="U111202005832 "/>
    <s v="110120211676"/>
    <m/>
    <s v="Internet Corporate"/>
    <s v="20 Mbps"/>
    <n v="3000000"/>
    <n v="28950000"/>
    <m/>
    <m/>
    <n v="5341580"/>
    <m/>
    <d v="2024-09-11T00:00:00"/>
    <d v="2024-12-31T00:00:00"/>
    <x v="0"/>
    <m/>
    <d v="2025-12-24T00:00:00"/>
    <n v="-358"/>
    <n v="12"/>
    <n v="2024"/>
    <m/>
    <s v="4590/SPP/SBU/PLNICONPLUS/2024"/>
    <s v="4500023661"/>
    <s v="Syifa Fauziyah"/>
    <s v="Anjar"/>
    <m/>
    <m/>
    <m/>
    <m/>
    <m/>
    <m/>
    <m/>
    <m/>
    <s v="H366"/>
    <m/>
    <m/>
  </r>
  <r>
    <n v="1987"/>
    <s v="Infrastruktur Cakrawala Telekomunikasi"/>
    <s v="PT Fukoku Tokai Rubber Indonesia"/>
    <s v="WPT Building Jl. Jababeka IV Blok B No. 12 jbbk"/>
    <x v="0"/>
    <m/>
    <s v="PLANT 1, JL. INDUSTRI SELATAN 2 BLOK MM NO. 18-19, KAWASAN INDUSTRI JABABEKA_x0002_CIKARANG PASIR SARI, CIKARANG SELATAN, BEKAS"/>
    <s v="Sewa Tahunan"/>
    <s v="Cross Connect"/>
    <s v="A111303004333 "/>
    <s v="111303014084"/>
    <m/>
    <s v="Internet Corporate"/>
    <s v="10 Mbps"/>
    <n v="3000000"/>
    <n v="5600000"/>
    <m/>
    <m/>
    <n v="1798932"/>
    <m/>
    <d v="2024-11-15T00:00:00"/>
    <d v="2024-12-31T00:00:00"/>
    <x v="0"/>
    <m/>
    <d v="2025-12-24T00:00:00"/>
    <n v="-358"/>
    <n v="12"/>
    <n v="2024"/>
    <m/>
    <s v="5019/SPP/SBU/PLNICONPLUS/2024"/>
    <s v="4500024012"/>
    <s v="Syifa Fauziyah"/>
    <s v="Anjar"/>
    <m/>
    <m/>
    <m/>
    <m/>
    <m/>
    <m/>
    <m/>
    <m/>
    <s v="H416"/>
    <m/>
    <m/>
  </r>
  <r>
    <n v="1988"/>
    <s v="Infrastruktur Cakrawala Telekomunikasi"/>
    <s v="PT Fukoku Tokai Rubber Indonesia"/>
    <s v="WPT Building Jl. Jababeka IV Blok B No. 12 jbbk"/>
    <x v="0"/>
    <m/>
    <s v="PLANT 2, JL. INDUSTRI SELATAN 6A, BLOK GG GA-F, KAWASAN INDUSTRI JABABEKA, CIKARANG, PASIR SARI, CIKARANG SELATAN,BEKASI, INDONESIA ,-"/>
    <s v="Sewa Tahunan"/>
    <s v="Cross Connect"/>
    <s v="U121303001240 "/>
    <s v="110130303564"/>
    <m/>
    <s v="Internet Corporate"/>
    <s v="60 Mbps"/>
    <n v="3000000"/>
    <n v="15980769"/>
    <m/>
    <m/>
    <n v="5722639"/>
    <m/>
    <d v="2024-11-05T00:00:00"/>
    <d v="2024-12-31T00:00:00"/>
    <x v="0"/>
    <m/>
    <d v="2025-12-24T00:00:00"/>
    <n v="-358"/>
    <n v="12"/>
    <n v="2024"/>
    <m/>
    <s v="5020/SPP/SBU/PLNICONPLUS/2024"/>
    <s v="4500024015"/>
    <s v="Syifa Fauziyah"/>
    <s v="Anjar"/>
    <m/>
    <m/>
    <m/>
    <m/>
    <m/>
    <m/>
    <m/>
    <m/>
    <s v="H417"/>
    <m/>
    <m/>
  </r>
  <r>
    <n v="1989"/>
    <s v="Kawasan Lintas Biru Digital"/>
    <s v="PT Toyota Astra Motor "/>
    <s v="Gandasari, bekasi"/>
    <x v="0"/>
    <m/>
    <s v="Toyota Astra Motor SPLD"/>
    <s v="Sewa Tahunan"/>
    <s v="Colocation"/>
    <s v="ICON-OO/SBC/1309/0467"/>
    <s v="099000320322484"/>
    <m/>
    <s v="Metronet"/>
    <s v="50 Mbps"/>
    <m/>
    <n v="378000000"/>
    <m/>
    <n v="5000000"/>
    <n v="78000000"/>
    <m/>
    <d v="2024-12-01T00:00:00"/>
    <d v="2025-11-30T00:00:00"/>
    <x v="1"/>
    <m/>
    <d v="2025-12-24T00:00:00"/>
    <n v="-24"/>
    <n v="11"/>
    <n v="2025"/>
    <m/>
    <s v="4994/SPP/SBU/PLNICONPLUS/2024"/>
    <s v="4500024011"/>
    <s v="Syifa Fauziyah"/>
    <s v="Marisa"/>
    <m/>
    <m/>
    <m/>
    <m/>
    <m/>
    <m/>
    <m/>
    <m/>
    <s v="H394"/>
    <m/>
    <m/>
  </r>
  <r>
    <n v="1990"/>
    <s v="IDC (Internetindo Data Centra Indonesia) "/>
    <s v="all pelanggan (30 FO dan 6 UTP)"/>
    <s v="JL. DUREN TIGA RAYA NO.7 9, RT.9/RW.5, DUREN TIGA, KEC. PANCORAN, KOTA JAKARTA SELATAN"/>
    <x v="0"/>
    <m/>
    <s v="JL. DUREN TIGA RAYA NO.7 9, RT.9/RW.5, DUREN TIGA, KEC. PANCORAN, KOTA JAKARTA SELATAN"/>
    <s v="Sewa Tahunan"/>
    <s v="Cross Connect"/>
    <s v="U131202001151"/>
    <m/>
    <m/>
    <s v="Kapasitas besar"/>
    <m/>
    <n v="75873495"/>
    <n v="5815473395"/>
    <m/>
    <m/>
    <n v="137700000"/>
    <m/>
    <d v="2024-01-01T00:00:00"/>
    <d v="2024-12-31T00:00:00"/>
    <x v="0"/>
    <m/>
    <d v="2025-12-24T00:00:00"/>
    <n v="-358"/>
    <n v="12"/>
    <n v="2024"/>
    <m/>
    <s v="5084/SPP/SBU/PLNICONPLUS/2024"/>
    <s v="4500024033"/>
    <s v="Syifa Fauziyah"/>
    <s v="Nopita"/>
    <m/>
    <m/>
    <m/>
    <m/>
    <m/>
    <m/>
    <m/>
    <m/>
    <s v="H420"/>
    <m/>
    <m/>
  </r>
  <r>
    <n v="1991"/>
    <s v="Aplikanusa Lintasarta"/>
    <s v="PT Shenhua Guohua Pembangkitan Jawa Bali"/>
    <s v="Lintasarta Building , Jl.TB Simatupang Kav 10. Jakarta Selatan 12430"/>
    <x v="0"/>
    <s v="PROYEK PLTU TERATE BOJONEGARA, JL BOJONEGARA-SERDANG, BOJONEGARA, SERANG, BANTEN 42454 (PINDAH JALUR TIANG LISTRIK),- ,- ,- ,INDONESIA ,-"/>
    <s v="APL OFFICE TOWER CENTRAL PARK, LT.39, UNIT T1 JL. LETJEN S.PARMAN, KAV.28 JAKARTA BARAT ,- ,- ,- ,INDONESIA ,-"/>
    <s v="Sewa Bulanan"/>
    <s v="Interkoneksi"/>
    <s v="A821202000593"/>
    <s v="111202018065"/>
    <s v="99,50%"/>
    <s v="Metronet"/>
    <s v="50 Mbps"/>
    <m/>
    <n v="42366667"/>
    <m/>
    <m/>
    <n v="22391460"/>
    <m/>
    <d v="2023-11-20T00:00:00"/>
    <d v="2023-12-31T00:00:00"/>
    <x v="2"/>
    <m/>
    <d v="2025-12-24T00:00:00"/>
    <n v="-724"/>
    <n v="12"/>
    <n v="2023"/>
    <s v="4500019208|20284/SPP/008/PUSAT/ICON+/2022"/>
    <s v="1904/SPP/SBU/ICON+/2023"/>
    <s v="4500021605"/>
    <s v="Syifa Artianingsih"/>
    <s v="Ilham"/>
    <m/>
    <m/>
    <m/>
    <m/>
    <m/>
    <m/>
    <m/>
    <n v="406"/>
    <m/>
    <m/>
    <m/>
  </r>
  <r>
    <n v="1992"/>
    <s v="Serpong Mas Telematika"/>
    <s v="PT Sinarmas Teknologi"/>
    <s v="MyRepublik plaza lt 2 Wing A"/>
    <x v="0"/>
    <m/>
    <s v="(TANGERANG-BSD GOP 6) GREEN OFFICE PARK 6-BSD CITY WING A-GROUND FLOOR JL GRAND BOULEVARD BSD GREEN OFFICE PARK BSD CITY"/>
    <s v="Sewa Bulanan"/>
    <s v="Interkoneksi"/>
    <s v="A821205000292"/>
    <s v="111205024521"/>
    <s v="99,50%"/>
    <s v="Local Loop"/>
    <s v="1 Mbps"/>
    <m/>
    <n v="22339968"/>
    <m/>
    <n v="3000000"/>
    <n v="12873600"/>
    <m/>
    <d v="2024-08-02T00:00:00"/>
    <d v="2025-08-01T00:00:00"/>
    <x v="0"/>
    <m/>
    <d v="2025-12-24T00:00:00"/>
    <n v="-145"/>
    <n v="8"/>
    <n v="2025"/>
    <m/>
    <s v="_x0009_2512/SPP/SBU/ICON+/2024"/>
    <s v="4500022755"/>
    <s v="Syifa Artianingsih"/>
    <s v="Masrukhan"/>
    <s v="+62 812-9844-8648"/>
    <m/>
    <m/>
    <m/>
    <m/>
    <m/>
    <m/>
    <m/>
    <n v="233"/>
    <m/>
    <m/>
  </r>
  <r>
    <n v="1993"/>
    <s v="Cyberindo Aditama"/>
    <s v="BP Tapera"/>
    <s v="Gedung Cyber 2 Tower, Lt 33 Jl. HP Rasuna Said Blok X-5 No. 13 Kuningan Timur Setiabudi Jakarta Selatan 12950"/>
    <x v="0"/>
    <m/>
    <s v="GEDUNG MENARA MANDIRI II JL. JEND. SUDIRMAN, 8 FLOOR, KAV. 54-55 JAKARTA – 12190"/>
    <s v="SEWA BULANAN "/>
    <s v="Interkoneksi"/>
    <s v="A111303003660 "/>
    <s v="111303013296"/>
    <s v="99,50%"/>
    <s v="Internet Corporate"/>
    <s v="200 Mbps"/>
    <m/>
    <n v="149469600"/>
    <m/>
    <n v="4000000"/>
    <n v="96000000"/>
    <m/>
    <d v="2024-09-24T00:00:00"/>
    <d v="2025-09-23T00:00:00"/>
    <x v="0"/>
    <m/>
    <d v="2025-12-24T00:00:00"/>
    <n v="-92"/>
    <n v="9"/>
    <n v="2025"/>
    <m/>
    <s v="4412/SPP/SBU/PLNICONPLUS/2024"/>
    <s v="4500023815"/>
    <s v="Syifa Artianingsih"/>
    <s v="Cristian"/>
    <s v="+62 812-9804-5188"/>
    <m/>
    <m/>
    <m/>
    <m/>
    <m/>
    <m/>
    <m/>
    <n v="400"/>
    <m/>
    <m/>
  </r>
  <r>
    <n v="1994"/>
    <s v="Mora Telematika Indonesia"/>
    <s v="PT Mitsubishi Electric Indonesia"/>
    <s v="Grha 9 Lt 6 Jl. Penataran No. 9 Proklamasi Jakarta Pusat 10320"/>
    <x v="0"/>
    <s v="(Backhaul) Gedung Jaya Lantai 8, Jl.Mh. Thamrin No.12 Jakarta Pusat 10340, Indonesia  "/>
    <s v="Lippo Cikarang, Delta Silicon 5, Jl. Kenari Raya No.7a, Sukamahi, Kec. Cikarang Pusat, Kabupaten Bekasi, Jawa Barat 17530              "/>
    <s v="Sewa Bulanan"/>
    <s v="Interkoneksi"/>
    <s v="A821205000047"/>
    <s v="111205023466"/>
    <n v="0.995"/>
    <s v="IPVPN "/>
    <s v="40 Mbps"/>
    <m/>
    <n v="168000000"/>
    <m/>
    <m/>
    <n v="114000000"/>
    <m/>
    <d v="2024-10-30T00:00:00"/>
    <d v="2025-10-29T00:00:00"/>
    <x v="0"/>
    <m/>
    <d v="2025-12-24T00:00:00"/>
    <n v="-56"/>
    <n v="10"/>
    <n v="2025"/>
    <s v="4500021050|968/SPP/SBU/ICON+/2023"/>
    <s v="_x0009_4535/SPP/SBU/PLNICONPLUS/2024"/>
    <s v="4500023643"/>
    <s v="Syifa Artianingsih"/>
    <s v="Reza "/>
    <m/>
    <m/>
    <m/>
    <m/>
    <m/>
    <m/>
    <m/>
    <m/>
    <n v="384"/>
    <m/>
    <m/>
  </r>
  <r>
    <n v="1995"/>
    <s v="Envision"/>
    <s v="PT Bank Mandiri (Persero) Tbk"/>
    <s v="Gandaria 8 Office Tower, Lantai 6 - Unit H Jl. Sultan Iskandar Muda, Kebayoran Lama Utara, Jakarta Selatan 12240"/>
    <x v="0"/>
    <s v="PLAZA MANDIRI JL. GATOT SUBROTO NO.KAV 36-38, RT.7/RW.3, SENAYAN, KEC. KBY. BARU, KOTA_x000a_JAKARTA SELATAN, DAERAH KHUSUS IBUKOTA JAKARTA 12190"/>
    <s v="10124 JAKARTA GANDARIA CITY, UG M-U 35 JL. SULTAN ISKANDAR MUDA. RT.10/RW.6, KEBAYORAN_x000a_LAMA UTARA,KEC. KEBAYORAN LAMA ,JAKARTA SELATAN ,DKI JAKARTA"/>
    <s v="Sewa Bulanan"/>
    <s v="Interkoneksi"/>
    <s v="111090123271"/>
    <s v="110120501606/01000283861"/>
    <s v="99,8%"/>
    <s v="IPVPN"/>
    <s v="5 Mbps"/>
    <m/>
    <n v="39272724"/>
    <m/>
    <m/>
    <n v="30543348"/>
    <m/>
    <d v="2024-09-09T00:00:00"/>
    <d v="2025-09-30T00:00:00"/>
    <x v="0"/>
    <m/>
    <d v="2025-12-24T00:00:00"/>
    <n v="-85"/>
    <n v="9"/>
    <n v="2025"/>
    <s v="4500021249|1328/SPP/SBU/ICON+/2023"/>
    <s v="4589/SPP/SBU/PLNICONPLUS/2024"/>
    <s v="4500023713"/>
    <s v="Syifa Artianingsih"/>
    <s v="Anto"/>
    <m/>
    <m/>
    <m/>
    <m/>
    <m/>
    <m/>
    <m/>
    <m/>
    <n v="393"/>
    <m/>
    <m/>
  </r>
  <r>
    <n v="1996"/>
    <s v="PGAS Telekomunikasi Nusantara"/>
    <s v="PT Chandra Asri Petrochemical "/>
    <s v="Gedung B Lantai 3 Komplek PT. PGN (Persero) Tbk, Jl. KH Zainul Arifin, No 20, Jakarta Barat, 11140"/>
    <x v="0"/>
    <s v="Wisma Barito Pacific"/>
    <s v="PT Chandra Asri Petrochemical Anyer Cilegon"/>
    <s v="Sewa Bulanan"/>
    <s v="Interkoneksi"/>
    <s v="A821303000583"/>
    <s v="111202018274"/>
    <n v="0.99"/>
    <s v="Metronet"/>
    <s v="10 Mbps"/>
    <m/>
    <n v="63000000"/>
    <m/>
    <m/>
    <n v="36000000"/>
    <m/>
    <d v="2024-11-15T00:00:00"/>
    <d v="2025-11-14T00:00:00"/>
    <x v="0"/>
    <m/>
    <d v="2025-12-24T00:00:00"/>
    <n v="-40"/>
    <n v="11"/>
    <n v="2025"/>
    <s v="1987/SPP/SBU/ICON+/2023|4500021795"/>
    <s v="4802/SPP/SBU/PLNICONPLUS/2024"/>
    <s v="4500023812"/>
    <s v="Syifa Artianingsih"/>
    <s v="Ivan"/>
    <s v="0812-8324-4480"/>
    <m/>
    <m/>
    <m/>
    <m/>
    <m/>
    <m/>
    <m/>
    <n v="402"/>
    <m/>
    <m/>
  </r>
  <r>
    <n v="1997"/>
    <s v="PGAS Telekomunikasi Nusantara"/>
    <s v="PT Chandra Asri Petrochemical "/>
    <s v="Gedung B Lantai 3 Komplek PT. PGN (Persero) Tbk, Jl. KH Zainul Arifin, No 20, Jakarta Barat, 11140"/>
    <x v="0"/>
    <s v="Wisma Barito Pacific"/>
    <s v="PT Chandra Asri Petrochemical Anyer Cilegon"/>
    <s v="Sewa Bulanan"/>
    <s v="Interkoneksi"/>
    <s v="A821303000582"/>
    <s v="111202018273"/>
    <n v="0.99"/>
    <s v="Metronet"/>
    <s v="30 Mbps"/>
    <m/>
    <n v="96000000"/>
    <m/>
    <m/>
    <n v="48000000"/>
    <m/>
    <d v="2024-11-15T00:00:00"/>
    <d v="2025-11-14T00:00:00"/>
    <x v="0"/>
    <m/>
    <d v="2025-12-24T00:00:00"/>
    <n v="-40"/>
    <n v="11"/>
    <n v="2025"/>
    <s v="1987/SPP/SBU/ICON+/2023|4500021795"/>
    <s v="4802/SPP/SBU/PLNICONPLUS/2024"/>
    <s v="4500023812"/>
    <s v="Syifa Artianingsih"/>
    <s v="Ivan"/>
    <s v="0812-8324-4480"/>
    <m/>
    <m/>
    <m/>
    <m/>
    <m/>
    <m/>
    <m/>
    <n v="402"/>
    <m/>
    <m/>
  </r>
  <r>
    <n v="1998"/>
    <s v="PGAS Telekomunikasi Nusantara"/>
    <s v="PT Chandra Asri Petrochemical "/>
    <s v="Gedung B Lantai 3 Komplek PT. PGN (Persero) Tbk, Jl. KH Zainul Arifin, No 20, Jakarta Barat, 11140"/>
    <x v="0"/>
    <s v="Wisma Barito Pacific"/>
    <s v="PT Chandra Asri Petrochemical Anyer Cilegon"/>
    <s v="Sewa Bulanan"/>
    <s v="Interkoneksi"/>
    <s v="A821303000244"/>
    <s v="111303011048"/>
    <n v="0.99"/>
    <s v="Metronet"/>
    <s v="150 Mbps"/>
    <m/>
    <n v="148200000"/>
    <m/>
    <m/>
    <n v="84000000"/>
    <m/>
    <d v="2024-11-15T00:00:00"/>
    <d v="2025-11-14T00:00:00"/>
    <x v="0"/>
    <m/>
    <d v="2025-12-24T00:00:00"/>
    <n v="-40"/>
    <n v="11"/>
    <n v="2025"/>
    <s v="1987/SPP/SBU/ICON+/2023|4500021795"/>
    <s v="4802/SPP/SBU/PLNICONPLUS/2024"/>
    <s v="4500023812"/>
    <s v="Syifa Artianingsih"/>
    <s v="Ivan"/>
    <s v="0812-8324-4480"/>
    <m/>
    <m/>
    <m/>
    <m/>
    <m/>
    <m/>
    <m/>
    <n v="402"/>
    <m/>
    <m/>
  </r>
  <r>
    <n v="1999"/>
    <s v="Cablenet Fiber Data"/>
    <s v="PT Kideco Jaya Agung"/>
    <s v="Jl Simprug Garden 1 Blok W No.11 RT.07/RW.03, Grogol Selatan, Kebayoran Lama, Jakarta Selatan, DKI Jakarta, 12220"/>
    <x v="0"/>
    <s v="-"/>
    <s v="Gedung Graha Mitra Lt.1, Jl Jendral Gatot Subroto Kav 21, Karet, Semanggi, Jakarta Selatan, DKI Jakarta, Indonesia"/>
    <s v="Sewa Bulanan"/>
    <s v="Interkoneksi"/>
    <s v="R311303000291"/>
    <s v="310130300670/ 04000139224"/>
    <n v="0.995"/>
    <s v="Internet Corporate"/>
    <s v="50 Mbps"/>
    <m/>
    <n v="300000000"/>
    <m/>
    <m/>
    <n v="42000000"/>
    <m/>
    <d v="2024-12-02T00:00:00"/>
    <d v="2025-12-01T00:00:00"/>
    <x v="0"/>
    <m/>
    <d v="2025-12-24T00:00:00"/>
    <n v="-23"/>
    <n v="12"/>
    <n v="2025"/>
    <s v="2151/SPP/SBU/ICON+/2023|4500021840"/>
    <s v="4737/SPP/SBU/PLNICONPLUS/2024"/>
    <s v="4500023791"/>
    <s v="Syifa Artianingsih"/>
    <s v="Cindy Pratiwi"/>
    <s v="0857-2207-8712"/>
    <m/>
    <m/>
    <m/>
    <m/>
    <m/>
    <m/>
    <m/>
    <n v="411"/>
    <m/>
    <m/>
  </r>
  <r>
    <n v="2000"/>
    <s v="Cablenet Fiber Data"/>
    <s v="PT Kideco Jaya Agung"/>
    <s v="Jl Simprug Garden 1 Blok W No.11 RT.07/RW.03, Grogol Selatan, Kebayoran Lama, Jakarta Selatan, DKI Jakarta, 12220"/>
    <x v="0"/>
    <s v="-"/>
    <s v="Gedung Graha Mitra Lt.1, Jl Jendral Gatot Subroto Kav 21, Karet, Semanggi, Jakarta Selatan, DKI Jakarta, Indonesia"/>
    <s v="Sewa Bulanan"/>
    <s v="Interkoneksi"/>
    <s v="R311202000311"/>
    <s v="310120201248/ 01000139233"/>
    <n v="0.995"/>
    <s v="Metronet"/>
    <s v="30 Mbps"/>
    <m/>
    <n v="240000000"/>
    <m/>
    <m/>
    <n v="25800000"/>
    <m/>
    <d v="2024-12-02T00:00:00"/>
    <d v="2025-12-01T00:00:00"/>
    <x v="0"/>
    <m/>
    <d v="2025-12-24T00:00:00"/>
    <n v="-23"/>
    <n v="12"/>
    <n v="2025"/>
    <s v="2151/SPP/SBU/ICON+/2023|4500021840"/>
    <s v="4737/SPP/SBU/PLNICONPLUS/2024"/>
    <s v="4500023791"/>
    <s v="Syifa Artianingsih"/>
    <s v="Cindy Pratiwi"/>
    <s v="0857-2207-8712"/>
    <m/>
    <m/>
    <m/>
    <m/>
    <m/>
    <m/>
    <m/>
    <n v="411"/>
    <m/>
    <m/>
  </r>
  <r>
    <n v="2001"/>
    <s v="Link Net"/>
    <s v="PT Praweda Sarana Informatika"/>
    <s v="Centennial Tower 26th Floor, Unit D Jl. Gatot Subroto Kav 24-25 Jakarta 12950"/>
    <x v="0"/>
    <m/>
    <s v="PT Samudera Logistics Service, Jl Waru Blok F2 No.5 Lippo Cikarang, Cikarang, Indonesia"/>
    <s v="Sewa Bulanan"/>
    <s v="Interkoneksi"/>
    <s v="A821303000225"/>
    <s v="111303010977"/>
    <n v="0.995"/>
    <s v="Internet Corporate  "/>
    <s v="75 Mbps"/>
    <m/>
    <n v="153600000"/>
    <m/>
    <m/>
    <n v="114000000"/>
    <m/>
    <d v="2024-10-31T00:00:00"/>
    <d v="2025-10-30T00:00:00"/>
    <x v="1"/>
    <s v="Proses ttd GM"/>
    <d v="2025-12-24T00:00:00"/>
    <n v="-55"/>
    <n v="10"/>
    <n v="2025"/>
    <s v="1608/SPP/SBU/ICON+/2023|4500021655"/>
    <s v="4902/SPP/SBU/PLNICONPLUS/2024"/>
    <s v="4500023858"/>
    <s v="Syifa Artianingsih"/>
    <s v="Bunga "/>
    <m/>
    <m/>
    <m/>
    <m/>
    <m/>
    <m/>
    <m/>
    <m/>
    <n v="414"/>
    <m/>
    <m/>
  </r>
  <r>
    <n v="2002"/>
    <s v="Link Net"/>
    <s v="PT Valeo AC Indonesia"/>
    <s v="Centennial Tower 26th Floor, Unit D Jl. Gatot Subroto Kav 24-25 Jakarta 12950"/>
    <x v="0"/>
    <s v="-"/>
    <s v="Penguin Bisnis Park, Jl Sungkai 1 Blok F26 No.1D-E Delta Silikon III, Kel Cicau, Cikarang Selatan, Bekasi Regency, West Java 17530"/>
    <s v="Sewa Bulanan"/>
    <s v="Interkoneksi"/>
    <s v="A121303000522"/>
    <s v="121303000932"/>
    <n v="0.995"/>
    <s v="Local Loop"/>
    <s v="50 Mbps"/>
    <m/>
    <n v="1713333.3333333333"/>
    <m/>
    <m/>
    <n v="1130500"/>
    <m/>
    <d v="2024-09-27T00:00:00"/>
    <d v="2024-09-30T00:00:00"/>
    <x v="2"/>
    <m/>
    <d v="2025-12-24T00:00:00"/>
    <n v="-450"/>
    <n v="9"/>
    <n v="2024"/>
    <s v="1436/SPP/SBU/ICON+/2023|4500021344"/>
    <s v="4534/SPP/SBU/PLNICONPLUS/2024"/>
    <s v="4500023792"/>
    <s v="Syifa Artianingsih"/>
    <s v="Bunga "/>
    <m/>
    <m/>
    <m/>
    <m/>
    <m/>
    <m/>
    <m/>
    <m/>
    <n v="412"/>
    <m/>
    <s v="Deactive per tanggal 30 September 2024"/>
  </r>
  <r>
    <n v="2003"/>
    <s v="Link Net"/>
    <s v="Pertamina Bina Medika"/>
    <s v="Centennial Tower 26th Floor, Unit D, Jl. Gatot Subroto Kav 24-25, Jakarta 12930"/>
    <x v="0"/>
    <s v="Graha Pertamina-PSDC Gambir"/>
    <s v="Menara Sentraya Lt 24, Jl. Iskandarsyah Raya No.1A, Rt.3/Rw.1, Kelurahan Melawai"/>
    <s v="Sewa Bulanan"/>
    <s v="Interkoneksi"/>
    <s v="U111202003214"/>
    <s v="110120204249"/>
    <s v="99,50%"/>
    <s v="Metronet"/>
    <s v="150 Mbps"/>
    <m/>
    <n v="256200000"/>
    <m/>
    <m/>
    <n v="234000000"/>
    <m/>
    <d v="2024-09-01T00:00:00"/>
    <d v="2024-11-30T00:00:00"/>
    <x v="0"/>
    <m/>
    <d v="2025-12-24T00:00:00"/>
    <n v="-389"/>
    <n v="11"/>
    <n v="2024"/>
    <s v="3857/SPP/SBU/PLNICONPLUS/2024|4500023117"/>
    <s v="4527/SPP/SBU/PLNICONPLUS/2024"/>
    <s v="4500023639"/>
    <s v="Syifa Artianingsih"/>
    <s v="Bunga "/>
    <m/>
    <m/>
    <m/>
    <m/>
    <m/>
    <m/>
    <m/>
    <m/>
    <n v="385"/>
    <m/>
    <m/>
  </r>
  <r>
    <n v="2004"/>
    <s v="Link Net"/>
    <s v="PT Bank Riau Kepri Syariah"/>
    <s v="Centennial Tower 26th Floor, Unit D, Jl. Gatot Subroto Kav 24-25, Jakarta 12930"/>
    <x v="0"/>
    <m/>
    <s v="DC GTN Cikarang"/>
    <s v="Sewa Bulanan"/>
    <s v="Interkoneksi"/>
    <s v="A221202000952  &amp; A221202000953"/>
    <s v="221202002571 &amp; 221202002575"/>
    <s v="99,50%"/>
    <s v="Local Loop"/>
    <s v="2 X 20 Mbps"/>
    <n v="6000000"/>
    <n v="540000000"/>
    <m/>
    <n v="6000000"/>
    <n v="120000000"/>
    <m/>
    <d v="2024-09-12T00:00:00"/>
    <d v="2025-09-11T00:00:00"/>
    <x v="1"/>
    <s v="Proses ttd GM"/>
    <d v="2025-12-24T00:00:00"/>
    <n v="-104"/>
    <n v="9"/>
    <n v="2025"/>
    <m/>
    <s v="3771/SPP/SBU/PLNICONPLUS/2024"/>
    <s v="4500023019"/>
    <s v="Syifa Artianingsih"/>
    <s v="Bunga "/>
    <m/>
    <m/>
    <m/>
    <m/>
    <m/>
    <m/>
    <m/>
    <m/>
    <n v="232"/>
    <m/>
    <m/>
  </r>
  <r>
    <n v="2005"/>
    <s v="Serpong Mas Telematika"/>
    <s v="PT Unilever"/>
    <s v="MyRepublik plaza lt 2 Wing A"/>
    <x v="3"/>
    <m/>
    <s v="Backhaul Jabodetabek Gd Unilever BSD Tangerang Selatan (Eksisting),-,-, Banten, Indonesia"/>
    <s v="Sewa Bulanan"/>
    <s v="Interkoneksi"/>
    <s v="PA/ACT/2007/0105"/>
    <s v="01000120403"/>
    <s v="99,50%"/>
    <s v="IPVPN"/>
    <s v="4 Mbps"/>
    <m/>
    <n v="35700000"/>
    <m/>
    <m/>
    <n v="4320000"/>
    <m/>
    <d v="2025-01-01T00:00:00"/>
    <d v="2025-12-31T00:00:00"/>
    <x v="0"/>
    <m/>
    <d v="2025-12-24T00:00:00"/>
    <n v="7"/>
    <n v="12"/>
    <n v="2025"/>
    <s v="2900/SPP/SBU/PLNICONPLUS/2024|4500022506"/>
    <s v="4904/SPP/SBU/PLNICONPLUS/2024"/>
    <s v="4500023853"/>
    <s v="Syifa Artianingsih"/>
    <s v="Masrukhan"/>
    <s v="+62 812-9844-8648"/>
    <m/>
    <m/>
    <m/>
    <m/>
    <m/>
    <m/>
    <m/>
    <n v="413"/>
    <m/>
    <m/>
  </r>
  <r>
    <n v="2006"/>
    <s v="Envision "/>
    <s v="PT Pelayaran Bahtera Adhiguna"/>
    <s v="Gedung Gandaria 8 Office Tower Lantai 6 Unit H Jl. Sultan Iskandar Muda Kebayoran Lama Jakarta Selatan"/>
    <x v="0"/>
    <s v="Jl. Duren Tiga RayaNo.7, RT.9/RW.5, Duren Tiga, Kec. Pancoran. Kota Jakarta Selatan, Daerah Khusus Ibukota Jakarta 12760"/>
    <s v="Gedung Prudential Center, Lantai 11 Unit A B C D E, Kota Kasablanca Jalan Casablanca Raya Kav. 88, RT.14/RW.5, Menteng Dalam, Tebet, RT.4/RW.14, Menteng Dalam, Kec. Tebet, Kota Jakarta Selatan"/>
    <s v="Sewa Bulanan"/>
    <s v="Interkoneksi"/>
    <s v="A831205000546"/>
    <s v="111205024274"/>
    <s v="99,8%"/>
    <s v="IPVPN"/>
    <s v="10 Mbps"/>
    <m/>
    <n v="51605376"/>
    <m/>
    <m/>
    <n v="46731300"/>
    <m/>
    <d v="2024-11-21T00:00:00"/>
    <d v="2025-11-20T00:00:00"/>
    <x v="1"/>
    <m/>
    <d v="2025-12-24T00:00:00"/>
    <n v="-34"/>
    <n v="11"/>
    <n v="2025"/>
    <s v="2095/SPP/SBU/ICON+/2023 | 4500022070"/>
    <s v="4956/SPP/SBU/PLNICONPLUS/2024"/>
    <s v="4500023960"/>
    <s v="Renata Simanjuntak"/>
    <s v="Anto"/>
    <m/>
    <m/>
    <m/>
    <m/>
    <m/>
    <m/>
    <m/>
    <m/>
    <n v="432"/>
    <m/>
    <m/>
  </r>
  <r>
    <n v="2007"/>
    <s v="Cyberindo Aditama"/>
    <s v="PT Olam Indonesia"/>
    <s v="Gedung Cyber 2 Tower, Lt 33 Jl. HP Rasuna Said Blok X-5 No. 13 Kuningan Timur Setiabudi Jakarta Selatan 12950"/>
    <x v="0"/>
    <s v="(Backhaul) South Quarter Tower A, Lt.21 Jl. R. A Kartini No. Kav. 8, Rt.10/Rw.4, Cilandak Barat, Kec. Cilandak, Jakarta Selatan"/>
    <s v="South Quarter Tower A, lt.21 Jl. R. A Kartini No.Kav.8, Rt.10/Rw.4, Cilandak Barat, Kec. Cilandak, Jakarta Selatan"/>
    <s v="Sewa Bulanan"/>
    <s v="Interkoneksi"/>
    <s v="U111303004162 / U111205009803"/>
    <s v="110130304105 / 110120503188"/>
    <s v="99,50%"/>
    <s v="Internet Corporate / IPVPN"/>
    <s v="150 /200 Mbps"/>
    <m/>
    <n v="474000000"/>
    <m/>
    <m/>
    <n v="150000000"/>
    <m/>
    <d v="2024-10-01T00:00:00"/>
    <d v="2025-09-30T00:00:00"/>
    <x v="0"/>
    <m/>
    <d v="2025-12-24T00:00:00"/>
    <n v="-85"/>
    <n v="9"/>
    <n v="2025"/>
    <m/>
    <s v="4612/SPP/SBU/PLNICONPLUS/2024"/>
    <s v="4500023746"/>
    <s v="Renata Simanjuntak"/>
    <s v="Cristian"/>
    <s v="+62 812-9804-5188"/>
    <m/>
    <m/>
    <m/>
    <m/>
    <m/>
    <m/>
    <m/>
    <n v="430"/>
    <m/>
    <m/>
  </r>
  <r>
    <n v="2008"/>
    <s v="Infrastruktur Cakrawala Telekomunikasi"/>
    <s v="PT Nipsea Paint and Chemicals"/>
    <s v="WPT Building Jl. Jababeka IV Blok B No. 12 jbbk"/>
    <x v="0"/>
    <m/>
    <s v="PT. NIPPON PAINT CIKARANG, JL. ASRAMA BRIGIF NO.9E, HARJA MEKAR, KEC. CIKARANG UTARA, KABUPATEN BEKASI, JAWA BARAT 17530"/>
    <s v="Sewa Tahunan"/>
    <s v="Cross Connect"/>
    <s v="A821303001330"/>
    <s v="111303014208"/>
    <m/>
    <s v="Internet Corporate"/>
    <s v="50 Mbps"/>
    <m/>
    <n v="30381818"/>
    <m/>
    <m/>
    <n v="3477743"/>
    <m/>
    <d v="2024-11-20T00:00:00"/>
    <d v="2024-12-31T00:00:00"/>
    <x v="0"/>
    <m/>
    <d v="2025-12-24T00:00:00"/>
    <n v="-358"/>
    <n v="12"/>
    <n v="2024"/>
    <m/>
    <s v="5092/SPP/SBU/PLNICONPLUS/2024"/>
    <s v="4500024105"/>
    <s v="Syifa Fauziyah"/>
    <s v="Anjar"/>
    <m/>
    <m/>
    <m/>
    <m/>
    <m/>
    <m/>
    <m/>
    <m/>
    <s v="H421"/>
    <m/>
    <m/>
  </r>
  <r>
    <n v="2009"/>
    <s v="Media Nusantara Data Global"/>
    <s v="PT Lintas Jaringan Nusantara"/>
    <s v="Jl. Kuningan Barat No. 8 Cyber Building 1st &amp; 2nd Jakarta Selatan 12710"/>
    <x v="0"/>
    <m/>
    <s v="Cyber 1 APJII"/>
    <s v="Sewa Tahunan"/>
    <s v="Cross Connect"/>
    <s v="U111204000021"/>
    <m/>
    <m/>
    <s v="Metronet"/>
    <s v="20 Gbps"/>
    <m/>
    <n v="960000000"/>
    <m/>
    <m/>
    <n v="18000000"/>
    <m/>
    <d v="2024-11-01T00:00:00"/>
    <d v="2025-10-31T00:00:00"/>
    <x v="1"/>
    <m/>
    <d v="2025-12-24T00:00:00"/>
    <n v="-54"/>
    <n v="10"/>
    <n v="2025"/>
    <n v="4500021658"/>
    <s v="5083/SPP/SBU/PLNICONPLUS/2024"/>
    <s v="4500024805"/>
    <s v="Livia Indraswati"/>
    <s v="Ira"/>
    <m/>
    <m/>
    <m/>
    <m/>
    <m/>
    <m/>
    <m/>
    <m/>
    <s v="H448"/>
    <m/>
    <m/>
  </r>
  <r>
    <n v="2010"/>
    <s v="Media Nusantara Data Global"/>
    <s v="PT Lintas Jaringan Nusantara"/>
    <s v="Jl. Kuningan Barat No. 8 Cyber Building 1st &amp; 2nd Jakarta Selatan 12710"/>
    <x v="3"/>
    <m/>
    <s v="Cyber 1 APJII"/>
    <s v="Sewa Tahunan"/>
    <s v="Cross Connect"/>
    <s v="A821204000048"/>
    <m/>
    <m/>
    <s v="Kapasitas Besar"/>
    <s v="1 Gbps"/>
    <m/>
    <n v="156000000"/>
    <m/>
    <m/>
    <n v="18000000"/>
    <m/>
    <d v="2024-12-28T00:00:00"/>
    <d v="2025-12-27T00:00:00"/>
    <x v="1"/>
    <m/>
    <d v="2025-12-24T00:00:00"/>
    <n v="3"/>
    <n v="12"/>
    <n v="2025"/>
    <n v="4500022131"/>
    <s v="5085/SPP/SBU/PLNICONPLUS/2024"/>
    <s v="4500024803"/>
    <s v="Livia Indraswati"/>
    <s v="Ira"/>
    <m/>
    <m/>
    <m/>
    <m/>
    <m/>
    <m/>
    <m/>
    <m/>
    <s v="H447"/>
    <m/>
    <m/>
  </r>
  <r>
    <n v="2011"/>
    <s v="Media Nusantara Data Global"/>
    <s v="PT Jaringanku Sarana Nusantara"/>
    <s v="Jl. Kuningan Barat No. 8 Cyber Building 1st &amp; 2nd Jakarta Selatan 12710"/>
    <x v="0"/>
    <s v="Matrix Data Center Cyber Building"/>
    <s v="Tuban, Jawa Timur"/>
    <s v="Sewa Tahunan"/>
    <s v="Cross Connect"/>
    <s v="A221204000007 dan A221204000024"/>
    <m/>
    <m/>
    <s v="Kapasitas Besar"/>
    <m/>
    <m/>
    <n v="2022000000"/>
    <m/>
    <m/>
    <n v="72000000"/>
    <m/>
    <d v="2024-09-15T00:00:00"/>
    <d v="2025-09-14T00:00:00"/>
    <x v="1"/>
    <m/>
    <d v="2025-12-24T00:00:00"/>
    <n v="-101"/>
    <n v="9"/>
    <n v="2025"/>
    <n v="4500021320"/>
    <s v="5003/SPP/SBU/PLNICONPLUS/2024"/>
    <s v="4500024003"/>
    <s v="Livia Indraswati"/>
    <s v="Ira"/>
    <m/>
    <m/>
    <m/>
    <m/>
    <m/>
    <m/>
    <m/>
    <m/>
    <s v="H436"/>
    <m/>
    <m/>
  </r>
  <r>
    <n v="2012"/>
    <s v="Media Nusantara Data Global"/>
    <s v="PT Bank Central Asia"/>
    <s v="Jl. Kuningan Barat No. 8 Cyber Building 1st &amp; 2nd Jakarta Selatan 12710"/>
    <x v="0"/>
    <s v="Menara BCA Grand Indonesia, Jl. M.H. Thamrin No.1, Menteng, Kec. Menteng, Kota Jakarta Pusat, Daerah Khusus Ibukota Jakarta 10310"/>
    <s v="H2H PT. Transjakarta – Aino ; Gedung Cyber 1 Lt.1 No. Rak 1a0212, Jl. Kuningan Barat Raya No. 8,Kuningan Barat, Jakarta Selatan, Dki Jakarta, Indonesia, 12710 "/>
    <s v="Sewa Tahunan"/>
    <s v="Cross Connect"/>
    <s v="PA/RLK/2009/0090"/>
    <m/>
    <m/>
    <s v="IPVPN"/>
    <s v="0.256 Mbps"/>
    <m/>
    <n v="16800000"/>
    <m/>
    <m/>
    <n v="18000000"/>
    <m/>
    <d v="2024-12-24T00:00:00"/>
    <d v="2025-12-23T00:00:00"/>
    <x v="1"/>
    <m/>
    <d v="2025-12-24T00:00:00"/>
    <n v="-1"/>
    <n v="12"/>
    <n v="2025"/>
    <n v="4500022979"/>
    <s v="5080/SPP/SBU/PLNICONPLUS/2024"/>
    <s v="4500024050"/>
    <s v="Livia Indraswati"/>
    <s v="Ira"/>
    <m/>
    <m/>
    <m/>
    <m/>
    <m/>
    <m/>
    <m/>
    <m/>
    <s v="H489"/>
    <m/>
    <m/>
  </r>
  <r>
    <n v="2013"/>
    <s v="Media Nusantara Data Global"/>
    <s v="PT Aliansi Teknologi Indonesia (DANA)"/>
    <s v="Jl. Kuningan Barat No. 8 Cyber Building 1st &amp; 2nd Jakarta Selatan 12710"/>
    <x v="0"/>
    <s v="DWDM, GD. NTTI DATA CENTER, JL. KUNINGAN BARAT RAYA NO.8, RT.6/RW.3, KUNINGAN BARAT, KEC. MAMPANG PRAPATAN, JAKARTA SELATAN, DKI JAKARTA, INDONESIA"/>
    <s v="IDC DUREN TIGA OPEN IXP, JL. DUREN TIGA RAYA NO.7, RT.9/RW.5, DUREN TIGA,KEC. PANCORAN, JAKARTA SELATAN, DKI JAKARTA, INDONESIA, 12760"/>
    <s v="Sewa Tahunan"/>
    <s v="Cross Connect"/>
    <s v="PA/ACT/2209/5345"/>
    <m/>
    <m/>
    <s v="Clear Channel"/>
    <s v="10 Gbps"/>
    <m/>
    <n v="294000000"/>
    <m/>
    <m/>
    <n v="18000000"/>
    <m/>
    <d v="2024-11-29T00:00:00"/>
    <d v="2025-11-28T00:00:00"/>
    <x v="1"/>
    <m/>
    <d v="2025-12-24T00:00:00"/>
    <n v="-26"/>
    <n v="11"/>
    <n v="2025"/>
    <n v="4500022185"/>
    <s v="5001/SPP/SBU/PLNICONPLUS/2024"/>
    <s v="4500023998"/>
    <s v="Livia Indraswati"/>
    <s v="Ira"/>
    <m/>
    <m/>
    <m/>
    <m/>
    <m/>
    <m/>
    <m/>
    <m/>
    <s v="H440"/>
    <m/>
    <m/>
  </r>
  <r>
    <n v="2014"/>
    <s v="Media Nusantara Data Global"/>
    <s v="PT Cyberindo Aditama"/>
    <s v="Jl. Kuningan Barat No. 8 Cyber Building 1st &amp; 2nd Jakarta Selatan 12710"/>
    <x v="0"/>
    <s v="APJII Cyber 1 Jakarta"/>
    <s v="JIX Jogyakarta"/>
    <s v="Sewa Tahunan"/>
    <s v="Cross Connect"/>
    <s v="A821204000091"/>
    <m/>
    <m/>
    <s v="Kapasitas Besar"/>
    <s v="100 Gbps"/>
    <m/>
    <m/>
    <m/>
    <m/>
    <n v="18000000"/>
    <m/>
    <d v="2024-12-01T00:00:00"/>
    <d v="2025-11-30T00:00:00"/>
    <x v="1"/>
    <m/>
    <d v="2025-12-24T00:00:00"/>
    <n v="-24"/>
    <n v="11"/>
    <n v="2025"/>
    <n v="4500021970"/>
    <s v="5002/SPP/SBU/PLNICONPLUS/2024"/>
    <s v="4500023999"/>
    <s v="Livia Indraswati"/>
    <s v="Ira"/>
    <m/>
    <m/>
    <m/>
    <m/>
    <m/>
    <m/>
    <m/>
    <m/>
    <s v="H437"/>
    <m/>
    <m/>
  </r>
  <r>
    <n v="2015"/>
    <s v="Cablenet Fiber Data"/>
    <s v="PT Mastersystem Infotama"/>
    <s v="Jl Simprug Garden 1 Blok W No.11 RT.07/RW.03, Grogol Selatan, Kebayoran Lama, Jakarta Selatan, DKI Jakarta, 12220"/>
    <x v="0"/>
    <m/>
    <s v="Gedung RDTX, Jl. Prof. Dr. Satrio Kav. E-IV No.6, Jalan Kuningan Barat Raya No.2, Rt.5/Rw.Rw, Kuningan, Kuningan Tim., Kecamatan Setiabudi, Kota Jakarta Selatan, Daerah Khusus Ibukota Jakarta 12950"/>
    <s v="Sewa Tahunan"/>
    <s v="Colocation"/>
    <s v="U111303003022"/>
    <m/>
    <m/>
    <s v="Internet Corporate"/>
    <s v="1000 Mbps"/>
    <m/>
    <n v="184377600"/>
    <m/>
    <m/>
    <n v="36000000"/>
    <m/>
    <d v="2024-11-03T00:00:00"/>
    <d v="2025-11-02T00:00:00"/>
    <x v="0"/>
    <m/>
    <d v="2025-12-24T00:00:00"/>
    <n v="-52"/>
    <n v="11"/>
    <n v="2025"/>
    <n v="4500021579"/>
    <s v="5022/SPP/SBU/PLNICONPLUS/2024"/>
    <s v="4500023996"/>
    <s v="Livia Indraswati"/>
    <s v="Cindy Pratiwi"/>
    <s v="0857-2207-8712"/>
    <m/>
    <m/>
    <m/>
    <m/>
    <m/>
    <m/>
    <m/>
    <n v="435"/>
    <m/>
    <m/>
  </r>
  <r>
    <n v="2016"/>
    <s v="Kelola Graha Vinilon"/>
    <s v="PT Bank Central Asia Tbk"/>
    <s v="Jl. Raden Saleh No. 13-17 Kel. Kenari Kec. Senen, Jakarta Pusat 10430"/>
    <x v="0"/>
    <m/>
    <m/>
    <s v="Sewa Tahunan"/>
    <s v="Colocation"/>
    <s v="PA/UPG/2204/0188"/>
    <m/>
    <m/>
    <s v="IPVPN"/>
    <s v="6 Mbps"/>
    <m/>
    <n v="60000000"/>
    <m/>
    <m/>
    <n v="10000000"/>
    <m/>
    <d v="2024-12-01T00:00:00"/>
    <d v="2025-11-30T00:00:00"/>
    <x v="0"/>
    <m/>
    <d v="2025-12-24T00:00:00"/>
    <n v="-24"/>
    <n v="11"/>
    <n v="2025"/>
    <n v="4500021660"/>
    <s v="4797/SPP/SBU/PLNICONPLUS/2024"/>
    <s v="4500023800"/>
    <s v="Livia Indraswati"/>
    <s v="Yunita"/>
    <m/>
    <m/>
    <m/>
    <m/>
    <m/>
    <m/>
    <m/>
    <m/>
    <s v="H443"/>
    <m/>
    <m/>
  </r>
  <r>
    <n v="2017"/>
    <s v="Perhimpunan Penghuni Crown Court Executive Condominium"/>
    <s v="PT Hanasta Dakara"/>
    <s v="Jl. Padjajaran Lippo Cikarang"/>
    <x v="0"/>
    <s v="Cyber Lt.7, Mampang Jakarta Selatan"/>
    <s v="Apartement Crown Court Lippo Cikarang (Jl. Padjajaran Lippo Cikarang)"/>
    <s v="Sewa Tahunan"/>
    <s v="Colocation"/>
    <m/>
    <s v="01000029813"/>
    <m/>
    <s v="Metronet"/>
    <m/>
    <m/>
    <n v="62130000"/>
    <m/>
    <m/>
    <n v="25080000"/>
    <m/>
    <d v="2024-10-01T00:00:00"/>
    <d v="2025-09-30T00:00:00"/>
    <x v="0"/>
    <m/>
    <d v="2025-12-24T00:00:00"/>
    <n v="-85"/>
    <n v="9"/>
    <n v="2025"/>
    <n v="4500021457"/>
    <s v="4622/SPP/SBU/PLNICONPLUS/2024"/>
    <s v="4500023687"/>
    <s v="Livia Indraswati"/>
    <s v="Nurul"/>
    <m/>
    <m/>
    <m/>
    <m/>
    <m/>
    <m/>
    <m/>
    <m/>
    <s v="H490"/>
    <m/>
    <m/>
  </r>
  <r>
    <n v="2018"/>
    <s v="NTT Indonesia"/>
    <s v="PT Nosairis Teknologi Solutions"/>
    <s v="Wisma 46 Kota BNI Lt. 5, Jl. Jend. Sudirman, Tanah Abang, Kota Jak Pusat, Daerah Khusus Ibukota Jak 10250, Indonesia"/>
    <x v="0"/>
    <s v="DATA CENTER INDONESIA (DCI) JK1, CIBITUNG, JL. HALMAHERA NO.1, DANAU INDAH, KEC. CIKARANG BAR., KABUPATEN BEKASI, JAWA BARAT 17530"/>
    <s v="NTT DATA CENTER, CYBER 3. JL. KUNINGAN BARAT RAYA NO.8, RT.6/RW.3, KUNINGAN BAR., KEC. MAMPANG PRPT., KOTA JAKARTA SELATAN, DAERAH KHUSUS IBUKOTA JAKARTA 12710"/>
    <s v="Sewa Tahunan"/>
    <s v="Cross Connect"/>
    <s v="A111202006706"/>
    <m/>
    <m/>
    <s v="Metronet"/>
    <m/>
    <m/>
    <n v="60000000"/>
    <m/>
    <m/>
    <n v="24000000"/>
    <m/>
    <d v="2024-11-15T00:00:00"/>
    <d v="2025-11-14T00:00:00"/>
    <x v="0"/>
    <m/>
    <d v="2025-12-24T00:00:00"/>
    <n v="-40"/>
    <n v="11"/>
    <n v="2025"/>
    <s v="baru"/>
    <s v="5044/SPP/SBU/PLNICONPLUS/2024"/>
    <s v="4500024084"/>
    <s v="Livia Indraswati"/>
    <s v="Gilang"/>
    <m/>
    <m/>
    <m/>
    <m/>
    <m/>
    <m/>
    <m/>
    <m/>
    <s v="H452"/>
    <m/>
    <m/>
  </r>
  <r>
    <n v="2019"/>
    <s v="Menara Antam Sejahtera"/>
    <s v="PT Bank Syariah Indonesia"/>
    <s v="Gedung Antam Office Park Tower B Lantai MZ Jl. TB Simatupang No. 1"/>
    <x v="0"/>
    <m/>
    <s v="KCP Jakarta Antam, Antam Building Tower B, Lantai GF, Jl. TB Simatupang No. Kel. Tanjung Barat, Kec. Jagakarsa, Jakarta Selatan, DKI Jakarta, Indonesia, 12530"/>
    <s v="Sewa Tahunan"/>
    <s v="Colocation"/>
    <s v="110140101446 / 04000326226_x000a_110000007728 / 04000326227_x000a_110000007729 / 04000326229_x000a_110120215367 / 01000334645 "/>
    <m/>
    <m/>
    <s v="Metronet"/>
    <s v="2 Mbps"/>
    <m/>
    <n v="59275680"/>
    <m/>
    <m/>
    <n v="35000000"/>
    <m/>
    <d v="2024-11-03T00:00:00"/>
    <d v="2025-11-02T00:00:00"/>
    <x v="0"/>
    <m/>
    <d v="2025-12-24T00:00:00"/>
    <n v="-52"/>
    <n v="11"/>
    <n v="2025"/>
    <n v="4500021738"/>
    <s v="4999/SPP/SBU/PLNICONPLUS/2024"/>
    <s v="4500024000"/>
    <s v="Livia Indraswati"/>
    <s v="Nitta"/>
    <m/>
    <m/>
    <m/>
    <m/>
    <m/>
    <m/>
    <m/>
    <m/>
    <s v="H486"/>
    <m/>
    <m/>
  </r>
  <r>
    <n v="2020"/>
    <s v="Phinisindo Zamrud Nusantara"/>
    <s v="PT Smart Multi Finance"/>
    <s v="Jl. Margonda Raya No. 56 Pancoran Mas Depok 16431"/>
    <x v="0"/>
    <m/>
    <s v="PERTOKOAN ITC DEPOK NO. 48JL. MARGONDA RAYA NO. 56 DESA DEPOK KEC. PANCORAN MAS KAB. DEPOK JAWA BARAT."/>
    <s v="Sewa Tahunan"/>
    <s v="Colocation"/>
    <s v="R111401000262"/>
    <m/>
    <m/>
    <s v="Internet Broadband dan Bronze"/>
    <s v="10 Mbps"/>
    <m/>
    <n v="10200000"/>
    <m/>
    <m/>
    <n v="9500000"/>
    <m/>
    <d v="2024-11-20T00:00:00"/>
    <d v="2025-11-19T00:00:00"/>
    <x v="0"/>
    <m/>
    <d v="2025-12-24T00:00:00"/>
    <n v="-35"/>
    <n v="11"/>
    <n v="2025"/>
    <n v="4500021656"/>
    <s v="4998/SPP/SBU/PLNICONPLUS/2024"/>
    <s v="4500024004"/>
    <s v="Livia Indraswati"/>
    <s v="Puji"/>
    <m/>
    <m/>
    <m/>
    <m/>
    <m/>
    <m/>
    <m/>
    <m/>
    <s v="H439"/>
    <m/>
    <m/>
  </r>
  <r>
    <n v="2021"/>
    <s v="Bahanasemesta Citranusantara"/>
    <s v="PT Bank BTPN"/>
    <s v="Menara BTPN Jl. DR. Ide Anak Agung Gde Agung Kav. 5.5-5.6 Kawasan Mega Kuningan, Jakarta Selatan, 12950"/>
    <x v="3"/>
    <s v="Backup Backhaul BTPN, Data Center IBM (Telkom Sigma) Sentul JL. IR Haji Juanda No. F3, Sentul City, Citeureup-Bogor, Indonesia"/>
    <m/>
    <s v="Sewa Tahunan"/>
    <s v="Colocation"/>
    <s v="ICON-00/SBC/1602/0097_x000a_ICON-00/SBC/1703/0191"/>
    <s v="0990000320383444_x000a_'0990000320488913"/>
    <m/>
    <s v="Metronet"/>
    <s v="1 Mbps"/>
    <m/>
    <n v="25200000"/>
    <m/>
    <m/>
    <n v="28500000"/>
    <m/>
    <d v="2025-01-01T00:00:00"/>
    <d v="2025-12-31T00:00:00"/>
    <x v="0"/>
    <m/>
    <d v="2025-12-24T00:00:00"/>
    <n v="7"/>
    <n v="12"/>
    <n v="2025"/>
    <n v="4500021696"/>
    <s v="5081/SPP/SBU/PLNICONPLUS/2024"/>
    <s v="4500024055"/>
    <s v="Livia Indraswati"/>
    <s v="Risma"/>
    <m/>
    <m/>
    <m/>
    <m/>
    <m/>
    <m/>
    <m/>
    <m/>
    <s v="H495"/>
    <m/>
    <m/>
  </r>
  <r>
    <n v="2022"/>
    <s v="Ekagrata Data Gemilang"/>
    <s v="PT Airpay International Indonesia"/>
    <s v="Gedung Mten Lantai 22 unti D&amp;E, Jl. Kapten Tendean, Kuningan Barat, 12710"/>
    <x v="3"/>
    <s v="No rak EDGE-3-R029-005 Menara Tendean 22 fl, Jl. Kapten Tendean, Mampang prapatan, Jakarta Selatan, DKI Jakarta, Indonesia, 12710"/>
    <s v="H2H Gedung Menara BCA Grand Indonesia, Jl. MH Thamrin No.1, Menteng, RT.1/RW.5, Menteng, Menteng, Jakarta Pusat, DKI Jakarta, Indonesia, 10310"/>
    <s v="Sewa Tahunan"/>
    <s v="Cross Connect"/>
    <s v="PA/ACT/2212/0254"/>
    <m/>
    <m/>
    <s v="IPVPN"/>
    <s v="3 Mbps"/>
    <m/>
    <n v="54000000"/>
    <m/>
    <m/>
    <n v="24000000"/>
    <m/>
    <d v="2024-12-30T00:00:00"/>
    <d v="2025-12-29T00:00:00"/>
    <x v="0"/>
    <m/>
    <d v="2025-12-24T00:00:00"/>
    <n v="5"/>
    <n v="12"/>
    <n v="2025"/>
    <n v="4500021746"/>
    <s v="5082/SPP/SBU/PLNICONPLUS/2024"/>
    <s v="4500024051"/>
    <s v="Livia Indraswati"/>
    <m/>
    <m/>
    <m/>
    <m/>
    <m/>
    <m/>
    <m/>
    <m/>
    <m/>
    <s v="H485"/>
    <m/>
    <m/>
  </r>
  <r>
    <n v="2023"/>
    <s v="Ekagrata Data Gemilang"/>
    <s v="PT Bank Mandiri"/>
    <s v="Gedung Mten Lantai 22 unti D&amp;E, Jl. Kapten Tendean, Kuningan Barat, 12710"/>
    <x v="0"/>
    <m/>
    <s v="H2H SHOPEE, GEDUNG EDGE LANTAI 3, JL. KUNINGAN BARAT RAYA NO.59, RT.1/RW.3, KUNINGAN BAR,KEC. MAMPANG PRAPATAN ,JAKARTA SELATAN ,DKI JAKARTA ,INDONESIA ,12710"/>
    <s v="Sewa Tahunan"/>
    <s v="Cross Connect"/>
    <s v="110120501119 / 01000320667"/>
    <m/>
    <m/>
    <s v="IPVPN "/>
    <s v="2 Mbps"/>
    <m/>
    <n v="66545460"/>
    <m/>
    <m/>
    <n v="24000000"/>
    <m/>
    <d v="2024-12-22T00:00:00"/>
    <d v="2025-12-21T00:00:00"/>
    <x v="0"/>
    <m/>
    <d v="2025-12-24T00:00:00"/>
    <n v="-3"/>
    <n v="12"/>
    <n v="2025"/>
    <n v="4500021747"/>
    <s v="5094/SPP/SBU/PLNICONPLUS/2024"/>
    <s v="4500024056"/>
    <s v="Livia Indraswati"/>
    <m/>
    <m/>
    <m/>
    <m/>
    <m/>
    <m/>
    <m/>
    <m/>
    <m/>
    <s v="H488"/>
    <m/>
    <m/>
  </r>
  <r>
    <n v="2024"/>
    <s v="Duta Pertiwi"/>
    <s v="PT Bank Rakyat Indonesia"/>
    <s v="ITC Cempaka Mas Mega Grosir Lt. 5 Jl. Letjen Suprapto kav. 1 Jakarta 10640"/>
    <x v="0"/>
    <s v="Jl. Harsono RM No.26, RT.6/RW.7, Ragunan, Ps. Minggu, Kota Jakarta Selatan, Daerah Khusus Ibukota Jakarta 12550"/>
    <s v="JL. RUKO CEMP. MAS NO.27, RT.1671039, .27/RW.8, SUMUR BATU, KEC. KEMAYORAN, KOTA JAKARTA PUSAT, DAERAH KHUSUS IBUKOTA JAKARTA 10640"/>
    <s v="Sewa Tahunan"/>
    <s v="Colocation"/>
    <s v="110120510581 / 140000008240414 "/>
    <m/>
    <m/>
    <s v="IPVPN "/>
    <s v="3 Mbps"/>
    <m/>
    <n v="75272724"/>
    <m/>
    <m/>
    <n v="46530000"/>
    <m/>
    <d v="2024-12-01T00:00:00"/>
    <d v="2025-11-30T00:00:00"/>
    <x v="0"/>
    <m/>
    <d v="2025-12-24T00:00:00"/>
    <n v="-24"/>
    <n v="11"/>
    <n v="2025"/>
    <n v="4500021685"/>
    <s v="5000/SPP/SBU/PLNICONPLUS/2024"/>
    <s v="4500024134"/>
    <s v="Livia Indraswati"/>
    <s v="Chandra"/>
    <m/>
    <m/>
    <m/>
    <m/>
    <m/>
    <m/>
    <m/>
    <m/>
    <s v="H451"/>
    <m/>
    <m/>
  </r>
  <r>
    <n v="2025"/>
    <s v="Duta Pertiwi"/>
    <s v="PT Oto Multiartha"/>
    <s v="ITC Cempaka Mas Mega Grosir Lt. 5 Jl. Letjen Suprapto kav. 1 Jakarta 10640"/>
    <x v="0"/>
    <m/>
    <s v="(Sub HO Cempaka Mas) Ruko Cempaka Mas Blok Q No. 12-14, Jl. Letjen Soeprapto, Jakarta Pusat, Indonesia."/>
    <s v="Sewa Tahunan"/>
    <s v="Colocation"/>
    <n v="111303011344"/>
    <m/>
    <m/>
    <s v="Internet Dedicated"/>
    <s v="11 Mbps"/>
    <m/>
    <n v="37800000"/>
    <m/>
    <m/>
    <n v="27000000"/>
    <m/>
    <d v="2024-12-01T00:00:00"/>
    <d v="2025-11-30T00:00:00"/>
    <x v="0"/>
    <m/>
    <d v="2025-12-24T00:00:00"/>
    <n v="-24"/>
    <n v="11"/>
    <n v="2025"/>
    <n v="4500021850"/>
    <s v="5159/SPP/SBU/PLNICONPLUS/2024"/>
    <s v="4500024133"/>
    <s v="Livia Indraswati"/>
    <s v="Chandra"/>
    <m/>
    <m/>
    <m/>
    <m/>
    <m/>
    <m/>
    <m/>
    <m/>
    <n v="418"/>
    <m/>
    <m/>
  </r>
  <r>
    <n v="2026"/>
    <s v="Karyagraha Nusantara"/>
    <s v="PT Bank Central Asia Tbk"/>
    <s v="Gedung Cyber Jl. Kuningan Barat No.8 Kuningan Barat Jakarta"/>
    <x v="0"/>
    <s v="Menara BCA Grand Indonesia, Jl. M.H. Thamrin No.1, Menteng, Kec. Menteng, Kota Jakarta Pusat, Daerah Khusus Ibukota Jakarta 10310"/>
    <s v="H2H PT. Transjakarta – Aino ; Gedung Cyber 1 Lt.1 No. Rak 1a0212, Jl. Kuningan Barat Raya No. 8, Kuningan Barat, Jakarta Selatan, 12710"/>
    <s v="Sewa Tahunan"/>
    <s v="Colocation"/>
    <s v="PA/RLK/2009/0090"/>
    <m/>
    <m/>
    <s v="IPVPN"/>
    <s v="0.256 Mbps"/>
    <m/>
    <n v="16800000"/>
    <m/>
    <m/>
    <n v="7500000"/>
    <m/>
    <d v="2024-10-24T00:00:00"/>
    <d v="2025-10-23T00:00:00"/>
    <x v="1"/>
    <m/>
    <d v="2025-12-24T00:00:00"/>
    <n v="-62"/>
    <n v="10"/>
    <n v="2025"/>
    <n v="4500019535"/>
    <s v="5023/SPP/SBU/PLNICONPLUS/2024"/>
    <s v="4500023997"/>
    <s v="Livia Indraswati"/>
    <s v="Tito"/>
    <m/>
    <m/>
    <m/>
    <m/>
    <m/>
    <m/>
    <m/>
    <m/>
    <s v="H441"/>
    <m/>
    <m/>
  </r>
  <r>
    <n v="2027"/>
    <s v="Karyagraha Nusantara"/>
    <s v="PT Indointernet"/>
    <s v="Gedung Cyber Jl. Kuningan Barat No.8 Kuningan Barat Jakarta"/>
    <x v="0"/>
    <s v="CYBER 1, JL. KUNINGAN BARAT RAYA NO.8, RT.1/RW.3, KUNINGAN BAR., KEC. MAMPANG PRPT., KOTA JAKARTA SELATAN, DAERAH KHUSUS IBUKOTA JAKARTA 12710"/>
    <s v="Jakarta Selatan, DKI Jakarta, Indonesia"/>
    <s v="Sewa Tahunan"/>
    <s v="Colocation"/>
    <s v="01000075385"/>
    <m/>
    <m/>
    <s v="Metronet"/>
    <s v="500 Mbps"/>
    <m/>
    <n v="120000000"/>
    <m/>
    <m/>
    <n v="17000000"/>
    <m/>
    <d v="2024-09-06T00:00:00"/>
    <d v="2025-09-05T00:00:00"/>
    <x v="1"/>
    <m/>
    <d v="2025-12-24T00:00:00"/>
    <n v="-110"/>
    <n v="9"/>
    <n v="2025"/>
    <n v="4500020939"/>
    <s v="4888/SPP/SBU/PLNICONPLUS/2024"/>
    <s v="4500023939"/>
    <s v="Livia Indraswati"/>
    <s v="Tito"/>
    <m/>
    <m/>
    <m/>
    <m/>
    <m/>
    <m/>
    <m/>
    <m/>
    <s v="H442"/>
    <m/>
    <m/>
  </r>
  <r>
    <n v="2028"/>
    <s v="Megalopolis Manunggal"/>
    <s v="PT Bank Syariah Indonesia_x000a_PT Prodia Widyahusada"/>
    <s v="Kawasan Industri MM2100"/>
    <x v="3"/>
    <m/>
    <s v="MM2100 CIBITUNG, CIBITUNG, KOTA BEKASI, JAWA BARAT, INDONESIA "/>
    <s v="Sewa Tahunan"/>
    <s v="Colocation"/>
    <s v=" A111204000152_x000a_A111205004849_x000a_R111205004390_x000a_R111205004414_x000a_A111205004389_x000a_A111202004236 / 111202019094_x000a_A111205003981 / 111205026080_x000a_A111303002994 / 111303012308_x000a_A111204000125 / 111204000144_x000a_A111204000152 / 111204000154"/>
    <m/>
    <m/>
    <s v="IPVPN"/>
    <m/>
    <m/>
    <n v="466200000"/>
    <m/>
    <m/>
    <n v="435000000"/>
    <m/>
    <d v="2025-01-01T00:00:00"/>
    <d v="2025-12-31T00:00:00"/>
    <x v="1"/>
    <m/>
    <d v="2025-12-24T00:00:00"/>
    <n v="7"/>
    <n v="12"/>
    <n v="2025"/>
    <s v="baru"/>
    <s v="4997/SPP/SBU/PLNICONPLUS/2024"/>
    <s v="4500024136"/>
    <s v="Livia Indraswati"/>
    <s v="Venny"/>
    <m/>
    <m/>
    <m/>
    <m/>
    <m/>
    <m/>
    <m/>
    <m/>
    <s v="H494"/>
    <m/>
    <m/>
  </r>
  <r>
    <n v="2029"/>
    <s v="Solusi Data Cepat"/>
    <s v="PT Indo Telemedia Solusi"/>
    <s v="Jl. Raya Klp. Dua Wetan, RT.4/RW.8, Klp. Dua Wetan, Kec. Ciracas, Kota Jakarta Timur, Daerah Khusus Ibukota Jakarta 13730"/>
    <x v="0"/>
    <s v="JL. BUKIT ALADIN, BOJONG KONENG, KEC. BABAKAN MADANG, KABUPATEN BOGOR, JAWA BARAT 16810"/>
    <s v="JL. KUNINGAN BARAT RAYA NO.8, RT.1/RW.3, KUNINGAN BAR., KEC. MAMPANG PRPT., KOTA JAKARTA SELATAN, DAERAH KHUSUS IBUKOTA JAKARTA 12710 "/>
    <s v="Sewa Tahunan"/>
    <s v="Cross Connect"/>
    <s v="A111202001917 / 1123103000035 "/>
    <m/>
    <m/>
    <s v="Metronet"/>
    <s v="100 Mbps"/>
    <m/>
    <n v="30000000"/>
    <m/>
    <m/>
    <n v="1500000"/>
    <m/>
    <d v="2024-12-05T00:00:00"/>
    <d v="2025-12-04T00:00:00"/>
    <x v="0"/>
    <m/>
    <d v="2025-12-24T00:00:00"/>
    <n v="-20"/>
    <n v="12"/>
    <n v="2025"/>
    <n v="4500021661"/>
    <s v="4996/SPP/SBU/PLNICONPLUS/2024"/>
    <s v="4500024001"/>
    <s v="Livia Indraswati"/>
    <s v="Indri"/>
    <m/>
    <m/>
    <m/>
    <m/>
    <m/>
    <m/>
    <m/>
    <m/>
    <m/>
    <m/>
    <m/>
  </r>
  <r>
    <n v="2030"/>
    <s v="CBN Nusantara"/>
    <s v="PT Klik Indomaret Sukses"/>
    <s v="Cyber 2 Tower 2nd Floor Jl HR Rasuna Said Kav X-5 No 13 Jakarta 12950"/>
    <x v="0"/>
    <m/>
    <s v="DATA CENTER NEX CBN Ruang ND-2 Cage N2C1-01-01 Gedung Cyber 2 Jl. H.R. Rasuna Said No. 13 Blok. X-5 Kuningan Timur South Jakarta 12950, Indonesia."/>
    <s v="Sewa Tahunan"/>
    <s v="Cross Connect"/>
    <s v="AL/2002/6689"/>
    <m/>
    <m/>
    <s v="IPVPN"/>
    <m/>
    <m/>
    <n v="42000000"/>
    <m/>
    <m/>
    <n v="2000000"/>
    <m/>
    <d v="2024-04-28T00:00:00"/>
    <d v="2025-04-27T00:00:00"/>
    <x v="0"/>
    <m/>
    <d v="2025-12-24T00:00:00"/>
    <n v="-241"/>
    <n v="4"/>
    <n v="2025"/>
    <n v="4500016837"/>
    <s v="4299/SPP/SBU/PLNICONPLUS/2024"/>
    <s v="4500023799"/>
    <s v="Livia Indraswati"/>
    <s v="Erni Monalena"/>
    <m/>
    <m/>
    <m/>
    <m/>
    <m/>
    <m/>
    <m/>
    <m/>
    <s v="H347"/>
    <m/>
    <m/>
  </r>
  <r>
    <n v="2031"/>
    <s v="Indointernet"/>
    <s v="PT Primacom Interbuana"/>
    <s v="Rumah Indonet. Jl.Rempoa Raya No. 11 Ciputat. Tangerang Selatan – Banten 15412"/>
    <x v="0"/>
    <s v="Gedung Cyber Jl. Kuningan Barat Raya No. 8, RT.1/RW.3, Kuningan Barat, Mampang, Jakarta Selatan"/>
    <s v="RUMAH INDONET,JL. REMPOA RAYA NO.11, RT.6/RW.3, REMPOA, KEC. CIPUTAT TIM., KOTA TANGERANG SELATAN, BANTEN 15412"/>
    <s v="Sewa Tahunan"/>
    <s v="Cross Connect"/>
    <s v="010000154905"/>
    <m/>
    <m/>
    <s v="Qinq Metro Ethernet"/>
    <s v="5 Mbps"/>
    <m/>
    <n v="51000000"/>
    <m/>
    <m/>
    <n v="12000000"/>
    <m/>
    <d v="2024-08-09T00:00:00"/>
    <d v="2025-08-08T00:00:00"/>
    <x v="0"/>
    <m/>
    <d v="2025-12-24T00:00:00"/>
    <n v="-138"/>
    <n v="8"/>
    <n v="2025"/>
    <n v="4500022072"/>
    <s v="5176/SPP/SBU/PLNICONPLUS/2024"/>
    <s v="4500024148"/>
    <s v="Livia Indraswati"/>
    <s v="Supriatin"/>
    <m/>
    <m/>
    <m/>
    <m/>
    <m/>
    <m/>
    <m/>
    <m/>
    <s v="H505"/>
    <m/>
    <m/>
  </r>
  <r>
    <n v="2032"/>
    <s v="Indointernet"/>
    <s v="PT Bank BCA Syariah"/>
    <s v="Rumah Indonet. Jl.Rempoa Raya No. 11 Ciputat. Tangerang Selatan – Banten 15412"/>
    <x v="0"/>
    <m/>
    <s v="RUMAH INDONET,JL. REMPOA RAYA NO.11, RT.6/RW.3, REMPOA, KEC. CIPUTAT TIM., KOTA TANGERANG SELATAN, BANTEN 15412"/>
    <s v="Sewa Tahunan"/>
    <s v="Cross Connect"/>
    <s v="A111202005586"/>
    <m/>
    <m/>
    <s v="Internet Corporate"/>
    <m/>
    <m/>
    <m/>
    <m/>
    <n v="1000000"/>
    <n v="12000000"/>
    <m/>
    <d v="2024-10-17T00:00:00"/>
    <d v="2025-10-16T00:00:00"/>
    <x v="1"/>
    <m/>
    <d v="2025-12-24T00:00:00"/>
    <n v="-69"/>
    <n v="10"/>
    <n v="2025"/>
    <s v="baru"/>
    <s v="4719/SPP/SBU/PLNICONPLUS/2024"/>
    <s v="4500023734"/>
    <s v="Livia Indraswati"/>
    <s v="Atin"/>
    <m/>
    <m/>
    <m/>
    <m/>
    <m/>
    <m/>
    <m/>
    <m/>
    <s v="H445"/>
    <m/>
    <m/>
  </r>
  <r>
    <n v="2033"/>
    <s v="Indointernet"/>
    <s v="PT Bank BCA Syariah"/>
    <s v="Rumah Indonet. Jl.Rempoa Raya No. 11 Ciputat. Tangerang Selatan – Banten 15412"/>
    <x v="0"/>
    <m/>
    <s v="Kota Tangerang Selatan, Banten, Indonesia"/>
    <s v="Sewa Tahunan"/>
    <s v="Cross Connect"/>
    <n v="110120500876"/>
    <m/>
    <m/>
    <s v="IPVPN"/>
    <s v="6 Mbps"/>
    <m/>
    <n v="62400000"/>
    <m/>
    <m/>
    <n v="12000000"/>
    <m/>
    <d v="2024-10-07T00:00:00"/>
    <d v="2025-10-06T00:00:00"/>
    <x v="1"/>
    <m/>
    <d v="2025-12-24T00:00:00"/>
    <n v="-79"/>
    <n v="10"/>
    <n v="2025"/>
    <n v="4500021841"/>
    <s v="5174/SPP/SBU/PLNICONPLUS/2024"/>
    <s v="4500024145"/>
    <s v="Livia Indraswati"/>
    <s v="Atin"/>
    <m/>
    <m/>
    <m/>
    <m/>
    <m/>
    <m/>
    <m/>
    <m/>
    <s v="H506"/>
    <m/>
    <m/>
  </r>
  <r>
    <n v="2034"/>
    <s v="DCI Indonesia"/>
    <s v="PT Diamond Cold Storage"/>
    <s v="Equity Tower 17th floor suite F SCBD lot Jl Jend Sudirman Kav 52-53 Jakarta 12196"/>
    <x v="0"/>
    <s v="Gedung JK 3, Jl. IRIAN I Blok GG 5-1, Kawasan MM 2100, Cibitung"/>
    <s v="Jl. Halmahera Blk. EE No.2, Danau Indah"/>
    <s v="Sewa Tahunan"/>
    <s v="Cross Connect"/>
    <s v="PA/ACT/2211/0133"/>
    <m/>
    <m/>
    <s v="Metronet"/>
    <s v="10 Mbps"/>
    <m/>
    <n v="22200000"/>
    <m/>
    <m/>
    <n v="72000000"/>
    <m/>
    <d v="2024-12-01T00:00:00"/>
    <d v="2025-11-30T00:00:00"/>
    <x v="0"/>
    <m/>
    <d v="2025-12-24T00:00:00"/>
    <n v="-24"/>
    <n v="11"/>
    <n v="2025"/>
    <n v="4500021708"/>
    <s v="5088/SPP/SBU/PLNICONPLUS/2024"/>
    <s v="4500024291"/>
    <s v="Livia Indraswati"/>
    <s v="Irma"/>
    <m/>
    <m/>
    <m/>
    <m/>
    <m/>
    <m/>
    <m/>
    <m/>
    <s v="H500"/>
    <m/>
    <m/>
  </r>
  <r>
    <n v="2035"/>
    <s v="DCI Indonesia"/>
    <s v="PT Indosat"/>
    <s v="Equity Tower 17th floor suite F SCBD lot Jl Jend Sudirman Kav 52-53 Jakarta 12196"/>
    <x v="0"/>
    <m/>
    <s v="SUNLIFE DATA CENTER E1 ARIOBIMO. HR RASUNA SAID KAV X-2"/>
    <s v="Sewa Tahunan"/>
    <s v="Cross Connect"/>
    <s v="A111202006131"/>
    <m/>
    <m/>
    <s v="Metronet"/>
    <s v="100 Mbps"/>
    <n v="7000000"/>
    <n v="192000000"/>
    <m/>
    <n v="5000000"/>
    <n v="102000000"/>
    <m/>
    <d v="2024-11-01T00:00:00"/>
    <d v="2025-10-31T00:00:00"/>
    <x v="0"/>
    <m/>
    <d v="2025-12-24T00:00:00"/>
    <n v="-54"/>
    <n v="10"/>
    <n v="2025"/>
    <s v="baru"/>
    <s v="4964/SPP/SBU/PLNICONPLUS/2024"/>
    <s v="4500024144"/>
    <s v="Livia Indraswati"/>
    <s v="Irma"/>
    <m/>
    <m/>
    <m/>
    <m/>
    <m/>
    <m/>
    <m/>
    <m/>
    <s v="H499"/>
    <m/>
    <m/>
  </r>
  <r>
    <n v="2036"/>
    <s v="DCI Indonesia"/>
    <s v="PT Sokonindo Automobile"/>
    <s v="Equity Tower 17th floor suite F SCBD lot Jl Jend Sudirman Kav 52-53 Jakarta 12196"/>
    <x v="2"/>
    <s v="DCI Data Center Jl. Halmahera No.1 Blok F1, Danau Indah, Kec. Cikarang Bar., Kabupaten Bekasi, Jawa Barat 17530 (-6.304477678206756, 107.09772404663877)"/>
    <s v="Sokonindo Automobile Jl. Raya Industri Modern Cikande Kav. 30-C Desa Barangkok, -, Kabupaten Serang, Banten, Indonesia (-6.210901300000,106.318955700000)"/>
    <s v="Sewa Tahunan"/>
    <s v="Cross Connect"/>
    <s v="AR/ACT/1905/13384"/>
    <m/>
    <m/>
    <s v="Metronet"/>
    <s v="10 Mbps"/>
    <m/>
    <n v="155730480"/>
    <m/>
    <m/>
    <n v="18000000"/>
    <m/>
    <d v="2025-01-10T00:00:00"/>
    <d v="2026-01-09T00:00:00"/>
    <x v="1"/>
    <m/>
    <d v="2025-12-24T00:00:00"/>
    <n v="16"/>
    <n v="1"/>
    <n v="2026"/>
    <n v="4500022157"/>
    <s v="5156/SPP/SBU/PLNICONPLUS/2024"/>
    <s v="4500024130"/>
    <s v="Livia Indraswati"/>
    <s v="Irma"/>
    <m/>
    <m/>
    <m/>
    <m/>
    <m/>
    <m/>
    <m/>
    <m/>
    <s v="H498"/>
    <m/>
    <m/>
  </r>
  <r>
    <n v="2037"/>
    <s v="DCI Indonesia"/>
    <s v="PT Bank Pembangunan Daerah Bali"/>
    <s v="Equity Tower 17th floor suite F SCBD lot Jl Jend Sudirman Kav 52-53 Jakarta 12196"/>
    <x v="0"/>
    <s v="KCP Baturiti, Jl. Gunung Agung No.23, Baturiti, Kec. Baturiti, Kabupaten Tabanan, Bali 82191 (-8.328644978535914, 115.18610477301344)"/>
    <s v="PT DCI INDONESIA CIBITUNG, JL. HALMAHERA NO.1, DANAU INDAH, KEC. CIKARANG BAR., KABUPATEN BEKASI, JAWA BARAT 17530"/>
    <s v="Sewa Tahunan"/>
    <s v="Cross Connect"/>
    <s v="A151202000026"/>
    <m/>
    <m/>
    <s v="Metronet"/>
    <s v="5 Mbps"/>
    <m/>
    <n v="66000000"/>
    <m/>
    <m/>
    <n v="18000000"/>
    <m/>
    <d v="2024-11-27T00:00:00"/>
    <d v="2025-11-26T00:00:00"/>
    <x v="0"/>
    <m/>
    <d v="2025-12-24T00:00:00"/>
    <n v="-28"/>
    <n v="11"/>
    <n v="2025"/>
    <n v="4500021969"/>
    <s v="5186/SPP/SBU/PLNICONPLUS/2024"/>
    <s v="4500024135"/>
    <s v="Livia Indraswati"/>
    <s v="Irma"/>
    <m/>
    <m/>
    <m/>
    <m/>
    <m/>
    <m/>
    <m/>
    <m/>
    <s v="H497"/>
    <m/>
    <m/>
  </r>
  <r>
    <n v="2038"/>
    <s v="DCI Indonesia"/>
    <s v="PT Nosairis Teknologi Solutions"/>
    <s v="Equity Tower 17th floor suite F SCBD lot Jl Jend Sudirman Kav 52-53 Jakarta 12196"/>
    <x v="0"/>
    <s v="DATA CENTER INDONESIA (DCI) JK1, CIBITUNG, JL. HALMAHERA NO.1, DANAU INDAH, KEC. CIKARANG BAR., KABUPATEN BEKASI, JAWA BARAT 17530"/>
    <s v="NTT DATA CENTER, CYBER 3. JL. KUNINGAN BARAT RAYA NO.8, RT.6/RW.3, KUNINGAN BAR., KEC. MAMPANG PRPT., KOTA JAKARTA SELATAN, DAERAH KHUSUS IBUKOTA JAKARTA 12710"/>
    <s v="Sewa Tahunan"/>
    <s v="Cross Connect"/>
    <s v="A111202006706 - 111202020340"/>
    <m/>
    <m/>
    <s v="Qinq Metro Ethernet"/>
    <m/>
    <n v="5000000"/>
    <n v="60000000"/>
    <m/>
    <n v="1500000"/>
    <n v="18000000"/>
    <m/>
    <d v="2024-11-18T00:00:00"/>
    <d v="2025-11-17T00:00:00"/>
    <x v="1"/>
    <m/>
    <d v="2025-12-24T00:00:00"/>
    <n v="-37"/>
    <n v="11"/>
    <n v="2025"/>
    <s v="baru"/>
    <s v="5089/SPP/SBU/PLNICONPLUS/2024"/>
    <s v="4500024087"/>
    <s v="Livia Indraswati"/>
    <s v="Irma"/>
    <m/>
    <m/>
    <m/>
    <m/>
    <m/>
    <m/>
    <m/>
    <m/>
    <s v="H493"/>
    <m/>
    <m/>
  </r>
  <r>
    <n v="2039"/>
    <s v="Jekael Invesco"/>
    <s v="PT Bank Mandiri"/>
    <s v="Gedung menara Selatan Lt.9 Jl. Jend. Gatot Subroto No. 38 Jakarta 12712"/>
    <x v="0"/>
    <m/>
    <s v="DRC Mandiri, Cikarang, Indonesia"/>
    <s v="Sewa Tahunan"/>
    <s v="Colocation"/>
    <s v="ICON-00/SBC/1203/0110"/>
    <m/>
    <m/>
    <s v="Metronet"/>
    <s v="100 Mbps"/>
    <m/>
    <m/>
    <m/>
    <m/>
    <n v="5000000"/>
    <m/>
    <d v="2024-12-01T00:00:00"/>
    <d v="2025-11-30T00:00:00"/>
    <x v="0"/>
    <m/>
    <d v="2025-12-24T00:00:00"/>
    <n v="-24"/>
    <n v="11"/>
    <n v="2025"/>
    <n v="4500021821"/>
    <s v="5192/SPP/SBU/PLNICONPLUS/2024"/>
    <s v="4500024140"/>
    <s v="Livia Indraswati"/>
    <s v="Tri"/>
    <m/>
    <m/>
    <m/>
    <m/>
    <m/>
    <m/>
    <m/>
    <m/>
    <s v="H507"/>
    <m/>
    <m/>
  </r>
  <r>
    <n v="2040"/>
    <s v="Infrastruktur Cakrawala Telekomunikasi"/>
    <s v="PT Hanasta Dakara_x000a_PT Hanasta Dakara_x000a_PT Solusindo Bintang Pratama qq Evonik Indonesia_x000a_PT Iforte Solusi Infotek qq DHL_x000a_PT Jetcoms Netindo qq PT Nano Coating dan Prima Tolling_x000a_PT Palapa Media Indonesia qq PT KAO Indonesia_x000a_PT Hipernet Indodata_x000a_PT Hipernet Indodata_x000a_PT Aplikanusa Lintasarta_x000a_PT Hipernet Indodata qq PT Citra Plastik Makmur_x000a_PT PC24 Telekomunikasi qq Watsons Store_x000a_PT Hipernet Indodata qq PT Sebastian Jaya Metal_x000a_PT Hipernet Indodata qq PT Fanuc Indonesia_x000a_PT Milenial Inti Telekomunikasi qq RS Harapan Keluarga_x000a_PT Hipernet Indodata qq PT Nippon Indosari Corpindo Tbk_x000a_PT Hipernet Indodata qq PT Nippon Indosari Corpindo Tbk_x000a_PT Hipernet Indodata qq Lestari Teknik Plastiktama_x000a_PT Media Lintas Data qq BOF Liquid New Warehouse Cikarang"/>
    <s v="Fablab PUCC (Fablab Jababeka), Convention Center, President University Jl. H. Usmar Ismail No. 7 Blok D, Mekarmukti, Cikarang Utara, Bekasi, Jawa Barat"/>
    <x v="0"/>
    <m/>
    <s v="PT. Dongsan Indonesia JI. Jababeka III G Blok C-17 AS Cikarang Industrial Estate_x000a_PT. TAE WON INDONESIA, Kawasan Industri Jababeka II Jl. Raya Industri Selatan I Blok LL-6 Pasirsari Cikarang Selatan Bekasi Jawa Barat_x000a_PT Evonik Indonesia , JL. Jababeka V Blok H2 No. 5 Kawasan Industri Cikarang, Pasirgombong, Cikarang Utara, Kabupaten Bekasi, Jawa Barat_x000a_DHL Jababeka I JL. JABABEKA II BLOK C 9-10 CIKARANG BARAT JAWA BARAT_x000a_Jl. Industri Selatan 7 Blok FF 1 C Kawasan Industry Jababeka 2 (Interkoneksi PT Nano Coating Indonesia) Cikarang Utara, Kota Bekasi, Jawa Barat, Indonesia_x000a_PT KAO Indonesia Jl. Science Boulevard, Cikarang Pusat, Kabupaten Bekasi, Jawa Barat, Indonesia, 17530_x000a_PT CHEMCO HARAPAN NUSANTARA Jababeka Industrial Estate Jl. Jababeka Raya Block F No. 19-28, Cikarang Utara, Kota Bekasi, Jawa Barat, Indonesia_x000a_PT Mitsuyoshi Manufacturing Indonesia, Jl. Jababeka SFB Blok V No. 86 A-B Cikarang Industrial Estate, Cikarang, Kabupaten Bekasi, Jawa Barat, indonesia_x000a_CIKARANG - HPC LIQUID &amp; POWDER, Kawasan Industri Jababeka Jl. Jababeka Raya Blok O - KIJ Cikarang, Bekasi 17530_x000a_PT. Citra Plastik Makmur, Jl. Jababeka XIV A Blok J4F, Kawasan Industri Jababeka I, Harjamekar,  Kec. Cikarang Utara, Kabupaten Bekasi, Jawa Barat, Indonesia, 17530_x000a_Watsons Store - Living Plaza Jababeka, Mega Jababeka, Makarmukti,  Unit: G-01B,  Cikarang Utara,  Bekasi,  Jawa Barat,  Indonesia,  17530_x000a_SEBASTIAN JAYA METAL - Kawasan Industri Jababeka I JL. Jababeka X, Blok F No.5,  Cikarang,  Bekasi,  Jawa Barat,  Indonesia,  _x000a_FANUC INDONESIA -Jl. Science Boulevard A1 C1,Kawasan Jababeka,  Cikarang,  Bekasi,  Jawa Barat,  Indonesia_x000a_RS Harapan Keluarga Jababeka Jl. Kasuari Raya  Kav.1A&amp;1B, Mekarmukti,  Cikarang Utara,  Bekasi,  Jawa Barat,  Indonesia,_x000a_PT. Nippon Indosari Corpindo Kawasan Industri Jababeka, Jl. Jababeka XVII B Blok U, No. 33,  Cikarang,  Bekasi,  Jawa Barat,  Indonesia,  _x000a_PT. Nippon Indosari Corpindo Jababeka 5; Jl. Science Timur 2, Blok B1H-A, Kel. Jayamukti_x000a_PT. Lestari Teknik Plastikatama - Kawasan Industri Jababeka, Jl. Jababeka XI Blok K No.8C, Harja Mekar,_x000a_BOF Liquid New WareHouse Cikarang, P45G+W46,"/>
    <s v="Sewa Tahunan"/>
    <s v="Cross Connect"/>
    <s v="PA/ACT/2206/0079_x000a_PA/ACT/2103/2357_x000a_PA/ACT/1811/1775_x000a_PA/UPG/2009/0120_x000a_PA/RLK/2103/0080 _x000a_PA/ACT/1810/2531_x000a_PA/ACT/1808/0279_x000a_PA/UPG/2102/0694_x000a_PA/UPG/2010/0006_x000a_PA/ACT/2105/0443/TER_x000a_PA/ACT/2302/10683_x000a_PA/ACT/2304/1192_x000a_PA/ACT/2304/1193_x000a_PA/ACT/2207/2494/TER_x000a_PA/ACT/2203/2604/TER_x000a_PA/ACT/2203/2605/TER_x000a_PA/ACT/2210/0062/TER_x000a_PA/ACT/2203/3379/TER"/>
    <m/>
    <m/>
    <s v="Metronet"/>
    <m/>
    <m/>
    <n v="1080792000"/>
    <m/>
    <m/>
    <n v="414839892"/>
    <m/>
    <d v="2024-01-01T00:00:00"/>
    <d v="2024-12-31T00:00:00"/>
    <x v="0"/>
    <m/>
    <d v="2025-12-24T00:00:00"/>
    <n v="-358"/>
    <n v="12"/>
    <n v="2024"/>
    <s v="baru"/>
    <s v="5015/SPP/SBU/PLNICONPLUS/2024"/>
    <s v="4599924138"/>
    <s v="Livia Indraswati"/>
    <s v="Anjar"/>
    <m/>
    <m/>
    <m/>
    <m/>
    <m/>
    <m/>
    <m/>
    <m/>
    <s v="H508"/>
    <m/>
    <m/>
  </r>
  <r>
    <n v="2041"/>
    <s v="Infrastruktur Cakrawala Telekomunikasi"/>
    <s v="PT Bumimulia Indah Lestari_x000a_PT Koei Tool Indonesia_x000a_PT Tokki Engineering and Fibrication_x000a_PT Bina Niaga Multiusaha_x000a_PT Genero Pharmaceuticals_x000a_PT Rudolf Chemicals Indonesia_x000a_PT Midi Utama Indonesia_x000a_PT Hitachi Astemo Bekasi Manufacturing_x000a_PT Ingress Malindo Ventures_x000a_PT Axalta Powder Coating System Indonesia_x000a_PT Geoservices_x000a_PT Mattel Indonesia_x000a_PT Menara Terus Makmur_x000a_PT Fukoku Tokai Rubber"/>
    <s v="Fablab PUCC (Fablab Jababeka), Convention Center, President University Jl. H. Usmar Ismail No. 7 Blok D, Mekarmukti, Cikarang Utara, Bekasi, Jawa Barat"/>
    <x v="0"/>
    <s v="Jl. Jababeka XVI Blok V/65AKawasan Industri Cikarang, Cigombong - Bekasi, Cikarang, Kabupaten Bekasi, Jawa Barat, Indonesia_x000a_Jl. Jababeka XII B Blok W. 26, Cikarang Industrial Estate, Cikarang - Bekasi 17530_x000a_ Jl Jababeka VIIB Blok K. No 2F-G-H, Kawasan Industri Jababeka, Cikarang Utara, Bekasi, Jawa Barat 17833_x000a_(DC Midi Bekasi) Jl. Jababeka XI Blok L Kav 3-5 Kawasan Industri Jababeka, Cikarang, Kota Bekasi, Jawa Barat, Indonesia_x000a_Jababeka Industrial Park, Jl. Jababeka VI Kav 28-36, Harja Mekar, Cikarang. Kabupaten Bekasi, Jawa Barat Indonesia 17530_x000a_Jl. Jababeka III Kav. C- 33, Cikarang Industrial Estate, Bekasi, Cikarang, Jawa Barat Indonesia 17530_x000a_JALAN INDUSTRI UTAMA BLOK SS 1-3 KAWASAN INDUSTRI JABABEKA, DESA MEKAR MUKTI, KEC. CIKARANG UTARA, KABUPATEN BEKASI INDONESIA_x000a_Collocation Server Astra Otoparts, Gedung AAB, Jl.TB Simatupang, Jakarta"/>
    <s v="Jl. Tekno V Blok D3A, Kawasan Industri Jababeka Desa Pasir Gombong, Cikarang Utara, Bekasi 17530_x000a_Kawasan Industri Jababeka 2 Jl. Industri Selatan 4 Blok PP-4 Lemahabang Bekasi 17530_x000a_Genero KK, Jl. Industri Selatan 1B Blok KK No. 1-2, Kawasan Industri Jababeka 2,  Cikarang,  Kabupaten Bekasi,  Jawa Barat,  Indonesia,  17550_x000a_Blok P No.1, Jl. Jababeka VI, Harja Mekar, Cikarang Utara, Bekasi, Jawa Barat 17530_x000a_Jl. Industri Selatan Blok MM1 Jababeka Tahap II Cikarang_x000a_JL. JABABEKA V BLOK G 4-6 KAWASAN INDUSTRI JABABEKA, DESA HARJA MEKAR, KECAMATAN CIKARANG UTARA KABUPATEN BEKASI INDONESIA_x000a_MTM,Jl.Jababeka XI Blok H-3 No.12 Kawasan Industri Jababeka,Bekasi_x000a_Plant 1, Jl. Industri Selatan 2 Blok MM No. 18-19, Kawasan Industri Jababeka-Cikarang Pasir sari, Cikarang Selatan, Bekasi."/>
    <s v="Sewa Tahunan"/>
    <s v="Cross Connect"/>
    <s v="PA/UPG/2111/0133_x000a_PA/UPG/1910/0178_x000a_PA/ACT/1911/0927_x000a_PA/ACT/2011/0178_x000a_PA/UPG/2206/0110_x000a_PA/UPG/2008/0089_x000a_PA/RLK/1810/0038_x000a_PA/ACT/2106/3311_x000a_PA/UPG/1801/0016_x000a_PA/UPG/2103/0259_x000a_PA/UPG/1905/0122_x000a_PA/UPG/2203/0053_x000a_PA/UPG/2209/0023_x000a_ICON-00/SBC/1708/0374"/>
    <s v="01000027926_x000a_'0990000320400234_x000a_'04000089265_x000a_'04000089265_x000a_'0990000320395877_x000a_'04000036070_x000a_'0990000320493529_x000a_'01000030507_x000a_'01000159227_x000a_'0990000020265381_x000a_'04000057296_x000a_'04000053196_x000a_'04000135190_x000a_'0990000020280784_x000a_'0990000320487466_x000a_"/>
    <m/>
    <s v="Metronet"/>
    <m/>
    <m/>
    <n v="1866000000"/>
    <m/>
    <m/>
    <n v="442830420"/>
    <m/>
    <d v="2024-01-01T00:00:00"/>
    <d v="2024-12-31T00:00:00"/>
    <x v="0"/>
    <m/>
    <d v="2025-12-24T00:00:00"/>
    <n v="-358"/>
    <n v="12"/>
    <n v="2024"/>
    <s v="baru"/>
    <s v="5008/SPP/SBU/PLNICONPLUS/2024"/>
    <s v="4500024139"/>
    <s v="Livia Indraswati"/>
    <s v="Anjar"/>
    <m/>
    <m/>
    <m/>
    <m/>
    <m/>
    <m/>
    <m/>
    <m/>
    <s v="H509"/>
    <m/>
    <m/>
  </r>
  <r>
    <n v="2042"/>
    <s v="Infrastruktur Cakrawala Telekomunikasi"/>
    <s v="PT Upfield Manufacturing Indonesia_x000a_PT Astrazeneca Pharmaceutical_x000a_PT Techno Orbit Particle Filtration_x000a_PT Mitra Visioner Pratama_x000a_PT Commonwealth Bank_x000a_PT Eonchemicals Putra_x000a_PT Eonchemicals Putra"/>
    <s v="Fablab PUCC (Fablab Jababeka), Convention Center, President University Jl. H. Usmar Ismail No. 7 Blok D, Mekarmukti, Cikarang Utara, Bekasi, Jawa Barat"/>
    <x v="0"/>
    <m/>
    <s v="Jl. Jababeka IX Blok D1 - 29 -Jababeka Industrial Estate , Cikarang, Kabupaten Bekasi, Jawa Barat,17530_x000a_PT Astrazeneca Pharmaceutical, , Jababeka Phase III,Technopark Blok B1A-B1B, Lemah Abang,  Cikarang,  Kabupaten Bekasi,  Jawa Barat,  Indonesia,  17530_x000a_JABABEKA IV E BLOK V NOMOR 78 Q_x000a_Nippont Paint Cikarang, Jl.Kawasan Industri Jababeka Blok U No.8B Cikarang,  Cikarang,  Cikarang,  Jawa Barat,  Indonesia,_x000a_Cabang Pondok Indah, ANZ Pondok Indah (Samping Houbii adventure park), Jl. Metro Pondok Indah Kav. III B, Pondok Indah, Jakarta Selatan, DKI Jakarta, Indonesia, 12310_x000a_Kawasan industri jababeka, jalan jababeka XVII B blok U no 21F, desa harja mekar_x000a_KAWASAN INDUSTRI JABABEKA, JALAN JABABEKA XVII B BLOK U NO 21F, DESA HARJA MEKAR, CIKARANG, KABUPATEN BEKASI, JAWA BARAT, INDONESIA, 17530"/>
    <s v="Sewa Tahunan"/>
    <s v="Cross Connect"/>
    <s v="PA/DOW/2006/0004_x000a_PA/ACT/2207/2392/TER_x000a_A111303000136_x000a_PA/ACT/2202/2688/TER_x000a_PA/ACT/2006/1647_x000a_PA/ACT/2210/2259_x000a_U111303001896"/>
    <s v="04000064251_x000a_'01000301060_x000a_111303010546_x000a_'01000192939_x000a_'01000119045_x000a_'04000316452_x000a_110130306762"/>
    <m/>
    <s v="Metronet"/>
    <m/>
    <m/>
    <n v="829347612"/>
    <m/>
    <m/>
    <n v="226701900"/>
    <m/>
    <d v="2024-01-01T00:00:00"/>
    <d v="2024-12-31T00:00:00"/>
    <x v="0"/>
    <m/>
    <d v="2025-12-24T00:00:00"/>
    <n v="-358"/>
    <n v="12"/>
    <n v="2024"/>
    <s v="baru"/>
    <s v="5021/SPP/SBU/PLNICONPLUS/2024"/>
    <s v="4500024137"/>
    <s v="Livia Indraswati"/>
    <s v="Anjar"/>
    <m/>
    <m/>
    <m/>
    <m/>
    <m/>
    <m/>
    <m/>
    <m/>
    <s v="H510"/>
    <m/>
    <m/>
  </r>
  <r>
    <n v="2043"/>
    <s v="Infrastruktur Cakrawala Telekomunikasi"/>
    <s v="PT Fukoku Tokai Rubber_x000a_PT Softex Indonesia_x000a_PT Cikarang Listrindo Tbk_x000a_PT Media Telekomunikasi Mandiri_x000a_PT Mane Indonesia Jababeka_x000a_PT Media Telekomunikasi Mandiri_x000a_PT Rudolf Chemicals Indonesia_x000a_PT Genero Pharmaceuticals_x000a_Rapigra Flexible Packaging"/>
    <s v="Fablab PUCC (Fablab Jababeka), Convention Center, President University Jl. H. Usmar Ismail No. 7 Blok D, Mekarmukti, Cikarang Utara, Bekasi, Jawa Barat"/>
    <x v="0"/>
    <m/>
    <s v="Plant 2, Jl. Industri Selatan 6A, Blok GG GA-F, Kawasan Industri  Jababeka, Cikarang, Pasir Sari, Cikarang Selatan, Bekasi_x000a_Kawasan Industri Jababeka Jl. Jababeka IX B Blok Q2, Wangunharja, Cikarang Utara, Kabupaten Bekasi, Jawa Barat, Indonesia, 17530_x000a_Jl. Jababeka Raya, Blok R, Wangunharja,,  Cikarang Utara,  Kota Bekasi,  Jawa Barat,  Indonesia,  17550_x000a_Jl. Niaga Raya, Pasirsari, Cikarang Selatan, Kabupaten Bekasi, Jawa Barat, Indonesia, 17530_x000a_JL.JABABEKA XVI, KAV.66 CIKARANG BEKASI 17530,  -,  -,  -,  Indonesia,  -_x000a_Jl. Niaga Raya, Pasirsari_x000a_PT. RUDOLF CHEMICALS INDONESIA JABABEKA 1, KAV.K2FGH, WANGUNHARJA, CIKARANG UTARA, BEKASI REGENCY, WEST JAVA 17530_x000a_Genero KK, Jl. Industri Selatan 1B Blok KK No. 1-2, Kawasan Industri Jababeka 2_x000a_Kws. Industri Jababeka II, Jl. Industri Selatan 6 PP 5, Cikarang, Bekasi 17550"/>
    <s v="Sewa Tahunan"/>
    <s v="Cross Connect"/>
    <s v="PA/UPG/2203/0173_x000a_PA/ACT/2109/1806_x000a_PA/UPG/2301/0510/TER_x000a_PA/UPG/2304/0299_x000a_PA/UPG/2211/0174/TER_x000a_PA/ACT/2211/1776/TER_x000a_A821303000076_x000a_PA/UPG/2206/0110/TER_x000a_PA/ACT/2104/2993"/>
    <m/>
    <m/>
    <s v="Metronet"/>
    <m/>
    <m/>
    <n v="1287600000"/>
    <m/>
    <m/>
    <n v="360976068"/>
    <m/>
    <d v="2024-01-01T00:00:00"/>
    <d v="2024-12-31T00:00:00"/>
    <x v="0"/>
    <m/>
    <d v="2025-12-24T00:00:00"/>
    <n v="-358"/>
    <n v="12"/>
    <n v="2024"/>
    <s v="baru"/>
    <s v="5010/SPP/SBU/PLNICONPLUS/2024"/>
    <s v="4500024222"/>
    <s v="Livia Indraswati"/>
    <s v="Anjar"/>
    <m/>
    <m/>
    <m/>
    <m/>
    <m/>
    <m/>
    <m/>
    <m/>
    <s v="H515"/>
    <m/>
    <m/>
  </r>
  <r>
    <n v="2044"/>
    <s v="Aplikanusa Lintasarta"/>
    <s v="PT Bank Riau Kepri"/>
    <s v="Lintasarta Building , Jl.TB Simatupang Kav 10. Jakarta Selatan 12430"/>
    <x v="0"/>
    <s v="Datacenter TB Simatupang (Jl. T.B. Simatupang Kav. 10), Jakarta Selatan,  DKI Jakarta, Indonesia"/>
    <s v="Datacenter TB Simatupang (Jl. T.B. Simatupang Kav. 10), Jakarta Selatan,  DKI Jakarta, Indonesia"/>
    <s v="Sewa Tahunan"/>
    <s v="Cross Connect"/>
    <s v="PA/ACT/2103/1352"/>
    <m/>
    <m/>
    <s v="IPVPN"/>
    <s v="2 Mbps"/>
    <m/>
    <n v="168000000"/>
    <m/>
    <m/>
    <n v="21000000"/>
    <m/>
    <d v="2024-04-22T00:00:00"/>
    <d v="2025-04-21T00:00:00"/>
    <x v="0"/>
    <m/>
    <d v="2025-12-24T00:00:00"/>
    <n v="-247"/>
    <n v="4"/>
    <n v="2025"/>
    <n v="4500016006"/>
    <s v="4118/SPP/SBU/PLNICONPLUS/2024"/>
    <s v="4500023413"/>
    <s v="Livia Indraswati"/>
    <s v="Ilham"/>
    <m/>
    <m/>
    <m/>
    <m/>
    <m/>
    <m/>
    <m/>
    <m/>
    <s v="H274"/>
    <m/>
    <m/>
  </r>
  <r>
    <n v="2045"/>
    <s v="Karunia Megah Perkasa"/>
    <s v="PT Bank Syariah Indonesia_x000a_Bank Panin"/>
    <s v="Mutiara Taman Palem_x000a_Perumahan Mutiara Taman Palem Blok B 6 No. 1 Jl. Kamal Raya Outering Road Cengkareng Jakarta Barat"/>
    <x v="0"/>
    <m/>
    <s v="KCP JAKARTA CENGKARENG | ID0010363 | RUKO MUTIARA TAMAN PALEM BLOK A2 NO. 9-10, JL. KAMAL RAYA OUTERING RING ROAD, KEL. CENGKARENG TIMUR, KEC. CENGKAR_x000a_KCP MUTIARA PALEM RING ROAD, JL. LINGKAR LUAR KAMAL RAYA, PERUMNAS BLOK A/2 NO.20, CENGKARENG, JAKARTA BARAT, INDONESIA-   "/>
    <s v="Sewa Tahunan"/>
    <s v="Colocation"/>
    <s v="AL/2304/21127_x000a_ICON-00/SBC/1506/0286"/>
    <m/>
    <m/>
    <s v="Metronet"/>
    <s v="2 Mbps"/>
    <m/>
    <n v="103418184"/>
    <m/>
    <m/>
    <n v="36000000"/>
    <m/>
    <d v="2024-07-20T00:00:00"/>
    <d v="2025-07-19T00:00:00"/>
    <x v="1"/>
    <m/>
    <d v="2025-12-24T00:00:00"/>
    <n v="-158"/>
    <n v="7"/>
    <n v="2025"/>
    <n v="4500021351"/>
    <s v="4402/SPP/SBU/PLNICONPLUS/2024"/>
    <s v="4500023942"/>
    <s v="Livia Indraswati"/>
    <s v="Mugiono"/>
    <m/>
    <m/>
    <m/>
    <m/>
    <m/>
    <m/>
    <m/>
    <m/>
    <s v="H450"/>
    <m/>
    <m/>
  </r>
  <r>
    <n v="2046"/>
    <s v="Jekael Invesco"/>
    <s v="PT Bank Mandiri"/>
    <s v="Gedung menara Selatan Lt.9 Jl. Jend. Gatot Subroto No. 38 Jakarta 12712"/>
    <x v="0"/>
    <m/>
    <s v="DRC Mandiri, Cikarang, Indonesia"/>
    <s v="Sewa Tahunan"/>
    <s v="Colocation"/>
    <s v="ICON-00/SBC/1203/0110"/>
    <m/>
    <m/>
    <s v="Metronet"/>
    <s v="100 Mbps"/>
    <m/>
    <m/>
    <m/>
    <m/>
    <n v="8000000"/>
    <m/>
    <d v="2024-12-01T00:00:00"/>
    <d v="2025-11-30T00:00:00"/>
    <x v="0"/>
    <m/>
    <d v="2025-12-24T00:00:00"/>
    <n v="-24"/>
    <n v="11"/>
    <n v="2025"/>
    <n v="4500021720"/>
    <s v="5160/SPP/SBU/PLNICONPLUS/2024"/>
    <s v="4500024132"/>
    <s v="Livia Indraswati"/>
    <s v="Tri"/>
    <m/>
    <m/>
    <m/>
    <m/>
    <m/>
    <m/>
    <m/>
    <m/>
    <s v="H277"/>
    <m/>
    <m/>
  </r>
  <r>
    <n v="2047"/>
    <s v="Indointernet"/>
    <s v="PT Bank BCA Syariah"/>
    <s v="Rumah Indonet. Jl.Rempoa Raya No. 11 Ciputat. Tangerang Selatan – Banten 15412"/>
    <x v="0"/>
    <m/>
    <s v="RUMAH INDONET (DRC): JL. REMPOA RAYA NO. 11 CIPUTAT, TANGERANG SELATAN, BANTEN 15412, INDONESIA ,- "/>
    <s v="Sewa Tahunan"/>
    <s v="Cross Connect"/>
    <s v="AL/2301/1043"/>
    <n v="110120202035"/>
    <m/>
    <s v="Metronet"/>
    <s v="50 Mbps"/>
    <m/>
    <n v="135600000"/>
    <m/>
    <m/>
    <n v="2500000"/>
    <m/>
    <d v="2024-11-19T00:00:00"/>
    <d v="2025-11-18T00:00:00"/>
    <x v="1"/>
    <m/>
    <d v="2025-12-24T00:00:00"/>
    <n v="-36"/>
    <n v="11"/>
    <n v="2025"/>
    <n v="4500021842"/>
    <s v="5181/SPP/SBU/PLNICONPLUS/2024"/>
    <s v="4500024147"/>
    <s v="Livia Indraswati"/>
    <s v="Atin"/>
    <m/>
    <m/>
    <m/>
    <m/>
    <m/>
    <m/>
    <m/>
    <m/>
    <s v="H512"/>
    <m/>
    <m/>
  </r>
  <r>
    <n v="2048"/>
    <s v="Dinamika Raya Prima"/>
    <s v="PT Lintas Jaringan Nusantara"/>
    <s v="MidPlaza 2 Lt. 8 Jl Jend. Sudirman 10-11 Jakarta 10220"/>
    <x v="0"/>
    <s v="Gedung Cyber Lantai 1 Jl. Kuningan Barat No.8, Rt.1/Rw.3, Kuningan Bar, Mampang Prapatan, Kota Administrasi Jakarta Selatan, Banten, Indonesia, 12710."/>
    <s v="LJN Techno Village Jl. Riverside Golf Club No.1, Bojong Nangka, Kec. Gn. Putri, Kabupaten Bogor, Jawa Barat 16965."/>
    <s v="Sewa Tahunan"/>
    <s v="Cross Connect"/>
    <s v="A821202000415"/>
    <m/>
    <m/>
    <s v="Metronet"/>
    <s v="100 Mbps"/>
    <m/>
    <n v="51600000"/>
    <m/>
    <m/>
    <n v="12000000"/>
    <m/>
    <d v="2024-09-13T00:00:00"/>
    <d v="2025-09-12T00:00:00"/>
    <x v="1"/>
    <m/>
    <d v="2025-12-24T00:00:00"/>
    <n v="-103"/>
    <n v="9"/>
    <n v="2025"/>
    <n v="4500021319"/>
    <s v="5157/SPP/SBU/PLNICONPLUS/2024"/>
    <s v="4500024129"/>
    <s v="Livia Indraswati"/>
    <s v="Farrah"/>
    <m/>
    <m/>
    <m/>
    <m/>
    <m/>
    <m/>
    <m/>
    <m/>
    <s v="H513"/>
    <m/>
    <m/>
  </r>
  <r>
    <n v="2049"/>
    <s v="Telkom Data Ekosistem"/>
    <s v="PT Telekomunikasi Indonesia International"/>
    <s v="German Centre Building 3rd and 5th floor Jl. Kapt. Subijanto DJ Bumi Serpong Damai"/>
    <x v="0"/>
    <m/>
    <s v="German Center Lantai 3 Timur Data Center Telkom Sigma Dj, Bumi Serpong Damai, Jalan Kapten Subijanto, Lengkong Gudang,  Kec. Serpong, Kota Tangerang Selatan Banten 15321."/>
    <s v="Sewa Tahunan"/>
    <s v="Cross Connect"/>
    <s v="A111202006032"/>
    <n v="111202019799"/>
    <m/>
    <s v="Metronet"/>
    <s v="2 Mbps"/>
    <n v="5000000"/>
    <n v="36000000"/>
    <m/>
    <n v="9000000"/>
    <n v="18000000"/>
    <m/>
    <d v="2024-10-17T00:00:00"/>
    <d v="2025-10-16T00:00:00"/>
    <x v="0"/>
    <m/>
    <d v="2025-12-24T00:00:00"/>
    <n v="-69"/>
    <n v="10"/>
    <n v="2025"/>
    <s v="baru"/>
    <s v="4832/SPP/SBU/PLNICONPLUS/2024"/>
    <s v="4500023857"/>
    <s v="Livia Indraswati"/>
    <s v="Yudhi Sukma"/>
    <m/>
    <m/>
    <m/>
    <m/>
    <m/>
    <m/>
    <m/>
    <m/>
    <s v="H514"/>
    <m/>
    <m/>
  </r>
  <r>
    <n v="2050"/>
    <s v="Senayan Tirtakarya Sempana"/>
    <s v="PT Seamless Pipe Indonesia Jaya_x000a_PT Dipo Star Finance"/>
    <m/>
    <x v="0"/>
    <m/>
    <s v="Sentral Senayan II, Jl. Asia Afrika Gelora Bung Karno No. 8, Gelora, Tanah Abang, Jakarta Pusat, 10270"/>
    <s v="Sewa Tahunan"/>
    <s v="Colocation"/>
    <m/>
    <s v="110130307765_x000a_10130307766_x000a_111303011768"/>
    <m/>
    <s v="Internet Corporate"/>
    <m/>
    <m/>
    <n v="372000000"/>
    <m/>
    <m/>
    <n v="110000000"/>
    <m/>
    <d v="2024-10-05T00:00:00"/>
    <d v="2025-10-04T00:00:00"/>
    <x v="1"/>
    <m/>
    <d v="2025-12-24T00:00:00"/>
    <n v="-81"/>
    <n v="10"/>
    <n v="2025"/>
    <n v="4500021979"/>
    <s v="5099/SPP/SBU/PLNICONPLUS/2024"/>
    <s v="4500024091"/>
    <s v="Fajar Paramita"/>
    <m/>
    <m/>
    <m/>
    <m/>
    <m/>
    <m/>
    <m/>
    <m/>
    <m/>
    <s v="H516"/>
    <m/>
    <m/>
  </r>
  <r>
    <n v="2051"/>
    <s v="Dinamika Raya Prima"/>
    <s v="PT Bukalapak.com Tbk"/>
    <s v="MidPlaza 2 Lt. 8 Jl Jend. Sudirman 10-11 Jakarta 10220"/>
    <x v="0"/>
    <s v="Primary Link H2H DC Tokopedia (DCI Cibitung) Jl. Halmahera Blok F1 No. 1 Danau indah"/>
    <s v="Jl. DR. Wahidin Raya No. 1"/>
    <s v="Sewa Tahunan"/>
    <s v="Cross Connect"/>
    <s v="PA/RLK/2303/0017_x000a_PA/RLK/2303/0016_x000a_PA/RLK/2112/3139"/>
    <m/>
    <m/>
    <s v="Metronet"/>
    <s v="2 Mbps"/>
    <m/>
    <n v="96000000"/>
    <m/>
    <m/>
    <n v="24000000"/>
    <m/>
    <d v="2024-03-15T00:00:00"/>
    <d v="2025-03-14T00:00:00"/>
    <x v="1"/>
    <m/>
    <d v="2025-12-24T00:00:00"/>
    <n v="-285"/>
    <n v="3"/>
    <n v="2025"/>
    <n v="4500020115"/>
    <s v="3095/SPP/SBU/PLNICONPLUS/2024"/>
    <s v="4500022685"/>
    <s v="Fajar Paramita"/>
    <s v="Farrah"/>
    <m/>
    <m/>
    <m/>
    <m/>
    <m/>
    <m/>
    <m/>
    <m/>
    <s v="H523"/>
    <m/>
    <m/>
  </r>
  <r>
    <n v="2052"/>
    <s v="Gobel Dharma Nusantara"/>
    <s v="PT Internetwork Komunikasi Indonesia"/>
    <m/>
    <x v="0"/>
    <m/>
    <m/>
    <s v="Sewa Tahunan"/>
    <s v="Colocation"/>
    <s v="PA/ACT/2204/2799/TER"/>
    <m/>
    <m/>
    <s v="IPVPN"/>
    <s v="256 Kbps"/>
    <m/>
    <n v="350000"/>
    <m/>
    <m/>
    <n v="24000000"/>
    <m/>
    <d v="2024-08-05T00:00:00"/>
    <d v="2025-08-04T00:00:00"/>
    <x v="1"/>
    <m/>
    <d v="2025-12-24T00:00:00"/>
    <n v="-142"/>
    <n v="8"/>
    <n v="2025"/>
    <n v="4500021426"/>
    <s v="4001/SPP/SBU/PLNICONPLUS/2024"/>
    <s v="4500024041"/>
    <s v="Fajar Paramita"/>
    <s v="Agus"/>
    <m/>
    <m/>
    <m/>
    <m/>
    <m/>
    <m/>
    <m/>
    <m/>
    <s v="H520"/>
    <m/>
    <m/>
  </r>
  <r>
    <n v="2053"/>
    <s v="Media Nusantara Data Global"/>
    <s v="PT Jariganku Sarana Nusantara"/>
    <s v="Jl. Kuningan Barat No. 8 Cyber Building 1st &amp; 2nd Jakarta Selatan 12710"/>
    <x v="0"/>
    <m/>
    <m/>
    <s v="Sewa Tahunan"/>
    <s v="Cross Connect"/>
    <s v="U221204000020"/>
    <m/>
    <m/>
    <s v="Metronet"/>
    <s v="15 Mbps"/>
    <m/>
    <n v="1320000000"/>
    <m/>
    <m/>
    <n v="18000000"/>
    <m/>
    <d v="2024-08-02T00:00:00"/>
    <d v="2025-08-01T00:00:00"/>
    <x v="1"/>
    <m/>
    <d v="2025-12-24T00:00:00"/>
    <n v="-145"/>
    <n v="8"/>
    <n v="2025"/>
    <n v="4500021193"/>
    <s v="4418/SPP/SBU/PLNICONPLUS/2024"/>
    <s v="4500023620"/>
    <s v="Fajar Paramita"/>
    <s v="Ira"/>
    <m/>
    <m/>
    <m/>
    <m/>
    <m/>
    <m/>
    <m/>
    <m/>
    <s v="H459"/>
    <m/>
    <m/>
  </r>
  <r>
    <n v="2054"/>
    <s v="Jakarta Industrial Estate Pulogadung (Persero) (JIEP)"/>
    <s v="PT Astra Agro Lestari"/>
    <s v="Jl. Pulokambing No. 1 Lahan Industri Pulogadung Jakarta Timur 13290"/>
    <x v="0"/>
    <m/>
    <s v="PT Astra Agro Lestari, Kawasan Industri Pulogadung, Jakarta Timur"/>
    <s v="Sewa Tahunan"/>
    <s v="Colocation"/>
    <m/>
    <n v="110120214842"/>
    <m/>
    <s v="Qinq Metro Ethernet"/>
    <s v="50 Mbps"/>
    <m/>
    <n v="42750000"/>
    <m/>
    <m/>
    <n v="23962320"/>
    <m/>
    <d v="2024-09-26T00:00:00"/>
    <d v="2025-09-25T00:00:00"/>
    <x v="0"/>
    <m/>
    <d v="2025-12-24T00:00:00"/>
    <n v="-90"/>
    <n v="9"/>
    <n v="2025"/>
    <n v="4500022324"/>
    <s v="4155/SPP/SBU/PLNICONPLUS/2024"/>
    <s v="4500023839"/>
    <s v="Fajar Paramita"/>
    <s v="Dana"/>
    <m/>
    <m/>
    <m/>
    <m/>
    <m/>
    <m/>
    <m/>
    <m/>
    <s v="H484"/>
    <m/>
    <m/>
  </r>
  <r>
    <n v="2055"/>
    <s v="Media Nusantara Data Global"/>
    <s v="PT Cyberindo Aditama"/>
    <s v="Jl. Kuningan Barat No. 8 Cyber Building 1st &amp; 2nd Jakarta Selatan 12710"/>
    <x v="0"/>
    <s v="Jl. Kuningan Barat Raya No. 8, RT.1/RW.3, Kuningan Barat, Mampang Prapatan, Jakarta Selatan"/>
    <m/>
    <s v="Sewa Tahunan"/>
    <s v="Cross Connect"/>
    <s v="01000142915_x000a_'01000352589_x000a_'01000351822"/>
    <m/>
    <m/>
    <s v="Metronet"/>
    <m/>
    <m/>
    <n v="551000000"/>
    <m/>
    <m/>
    <n v="18000000"/>
    <m/>
    <d v="2024-03-07T00:00:00"/>
    <d v="2025-02-07T00:00:00"/>
    <x v="1"/>
    <m/>
    <d v="2025-12-24T00:00:00"/>
    <n v="-320"/>
    <n v="2"/>
    <n v="2025"/>
    <n v="4500021078"/>
    <s v="4329/SPP/SBU/PLNICONPLUS/2024"/>
    <s v="4500023618"/>
    <s v="Fajar Paramita"/>
    <s v="Ira"/>
    <m/>
    <m/>
    <m/>
    <m/>
    <m/>
    <m/>
    <m/>
    <m/>
    <s v="H460"/>
    <m/>
    <m/>
  </r>
  <r>
    <n v="2056"/>
    <s v="Kawasan Berikat Nusantara"/>
    <s v="PT Sari Dumai Oleo"/>
    <s v="Lahan Berikat Nusantara SBU Lahan Tanjung Priok Marunda"/>
    <x v="0"/>
    <m/>
    <s v="Jl. Fak-Fak No. 6, RW. 2, Cilincing, Kec. Cilincing, Jakarta Utara, 14120"/>
    <s v="Sewa Tahunan"/>
    <s v="Colocation"/>
    <s v="111202017279 / 01000362968"/>
    <m/>
    <m/>
    <s v="Internet Corporate"/>
    <s v="100 Mbps"/>
    <m/>
    <n v="82500000"/>
    <m/>
    <m/>
    <n v="21705474"/>
    <m/>
    <d v="2024-08-05T00:00:00"/>
    <d v="2025-02-04T00:00:00"/>
    <x v="0"/>
    <m/>
    <d v="2025-12-24T00:00:00"/>
    <n v="-323"/>
    <n v="2"/>
    <n v="2025"/>
    <n v="4500021425"/>
    <s v="4518/SPP/SBU/PLNICONPLUS/2024"/>
    <s v="4500023615"/>
    <s v="Fajar Paramita"/>
    <s v="Feriyan"/>
    <m/>
    <m/>
    <m/>
    <m/>
    <m/>
    <m/>
    <m/>
    <m/>
    <s v="H518"/>
    <m/>
    <m/>
  </r>
  <r>
    <n v="2057"/>
    <s v="Kawasan Berikat Nusantara"/>
    <s v="PT Sari Dumai Oleo"/>
    <s v="Lahan Berikat Nusantara SBU Lahan Tanjung Priok Marunda"/>
    <x v="0"/>
    <m/>
    <s v="Jl. Semarang BI A-6 No. 1 Marunda Cilincing Jakarta Utara, 14120"/>
    <s v="Sewa Tahunan"/>
    <s v="Colocation"/>
    <n v="1000295933"/>
    <m/>
    <m/>
    <s v="Metronet"/>
    <s v="100 Mbps"/>
    <m/>
    <n v="82500000"/>
    <m/>
    <m/>
    <n v="21705474"/>
    <m/>
    <d v="2024-07-29T00:00:00"/>
    <d v="2025-01-28T00:00:00"/>
    <x v="0"/>
    <m/>
    <d v="2025-12-24T00:00:00"/>
    <n v="-330"/>
    <n v="1"/>
    <n v="2025"/>
    <n v="4500022208"/>
    <s v="4519/SPP/SBU/PLNICONPLUS/2024"/>
    <s v="4500023737"/>
    <s v="Fajar Paramita"/>
    <s v="Feriyan"/>
    <m/>
    <m/>
    <m/>
    <m/>
    <m/>
    <m/>
    <m/>
    <m/>
    <s v="H517"/>
    <m/>
    <m/>
  </r>
  <r>
    <n v="2058"/>
    <s v="Serpong Mas Telematika"/>
    <s v="PT Lulu Group Retail"/>
    <s v="MyRepublik plaza lt 2 Wing A"/>
    <x v="0"/>
    <m/>
    <s v="(Store LH Q-BIG BSD) LULU Hypermarket Q-BIG Mall Blok A Jl. BSD Raya Utama BSD City, Tangerang"/>
    <s v="Sewa Tahunan"/>
    <s v="Colocation"/>
    <n v="110160103543"/>
    <s v="0990000320522154"/>
    <m/>
    <s v="Internet Corporate"/>
    <s v="2 Mbps"/>
    <m/>
    <n v="52800000"/>
    <m/>
    <m/>
    <n v="120000000"/>
    <m/>
    <d v="2024-07-01T00:00:00"/>
    <d v="2025-06-30T00:00:00"/>
    <x v="1"/>
    <m/>
    <d v="2025-12-24T00:00:00"/>
    <n v="-177"/>
    <n v="6"/>
    <n v="2025"/>
    <n v="4500021833"/>
    <s v="3996/SPP/SBU/PLNICONPLUS/2024"/>
    <s v="4500023723"/>
    <s v="Fajar Paramita"/>
    <s v="Masrukhan"/>
    <s v="+62 812-9844-8648"/>
    <m/>
    <m/>
    <m/>
    <m/>
    <m/>
    <m/>
    <m/>
    <n v="519"/>
    <m/>
    <m/>
  </r>
  <r>
    <n v="2059"/>
    <s v="Global Pahala Jasatama"/>
    <s v="PT Berlian Sistem Informasi qq PT Dipo Star Finance"/>
    <s v="Jl.Gatot Subroto Kav 51-52 JAKARTA 102660"/>
    <x v="0"/>
    <m/>
    <s v="PT Dipo Star Finance, Gedung Dipo Tower Lantai 8, Jl. Jendral Gatot Subroto Kav. 52-53, Tanah Abang, Jakarta Pusat, 10260"/>
    <s v="Sewa Tahunan"/>
    <s v="Colocation"/>
    <n v="110130306740"/>
    <s v="04000323214"/>
    <m/>
    <s v="Internet Corporate"/>
    <s v="15 Mbps"/>
    <m/>
    <n v="48000000"/>
    <m/>
    <m/>
    <n v="15000000"/>
    <m/>
    <d v="2024-11-02T00:00:00"/>
    <d v="2025-11-01T00:00:00"/>
    <x v="0"/>
    <m/>
    <d v="2025-12-24T00:00:00"/>
    <n v="-53"/>
    <n v="11"/>
    <n v="2025"/>
    <n v="4500022100"/>
    <s v="5171/SPP/SBU/PLNICONPLUS/2024"/>
    <s v="4500024155"/>
    <s v="Fajar Paramita"/>
    <m/>
    <m/>
    <m/>
    <m/>
    <m/>
    <m/>
    <m/>
    <m/>
    <m/>
    <s v="H511"/>
    <m/>
    <m/>
  </r>
  <r>
    <n v="2060"/>
    <s v="Pelabuhan Indonesia II  (Persero)/PELINDO II"/>
    <s v="PT Toyota Motor Manufacturing Indonesia"/>
    <s v="Jl. Raya Pelabuhan No. 9 Tanjung Priok Jakarta"/>
    <x v="0"/>
    <m/>
    <m/>
    <s v="Sewa Tahunan"/>
    <s v="Colocation"/>
    <n v="110120209023"/>
    <s v="0990000320366192"/>
    <m/>
    <m/>
    <m/>
    <m/>
    <n v="215940000"/>
    <m/>
    <m/>
    <n v="120858186"/>
    <m/>
    <d v="2024-09-01T00:00:00"/>
    <d v="2025-08-31T00:00:00"/>
    <x v="1"/>
    <m/>
    <d v="2025-12-24T00:00:00"/>
    <n v="-115"/>
    <n v="8"/>
    <n v="2025"/>
    <n v="4500019109"/>
    <s v="1907/SPP/SBU/ICON+/2024"/>
    <s v="4500022454"/>
    <s v="Fajar Paramita"/>
    <m/>
    <m/>
    <m/>
    <m/>
    <m/>
    <m/>
    <m/>
    <m/>
    <m/>
    <s v="H525"/>
    <m/>
    <m/>
  </r>
  <r>
    <n v="2061"/>
    <s v="Mora Telematika Indonesia"/>
    <s v="PT Anugerah Inti Karya"/>
    <s v="Grha 9 Lt 6 Jl. Penataran No. 9 Proklamasi Jakarta Pusat 10320"/>
    <x v="0"/>
    <s v="Nusantara Data Center (Moratelindo) Mayapada Hospital Jl. Jatinegara Barat No. 44 RT.1/RW.5, Bidara Cina, Jatinegara"/>
    <s v="Wisma Argo Manunggal"/>
    <s v="Sewa Tahunan"/>
    <s v="Colocation"/>
    <n v="110120519250"/>
    <s v="01000029442"/>
    <m/>
    <s v="IPVPN"/>
    <s v="40 Mbps"/>
    <m/>
    <n v="96000000"/>
    <m/>
    <m/>
    <n v="9000000"/>
    <m/>
    <d v="2024-04-18T00:00:00"/>
    <d v="2025-04-17T00:00:00"/>
    <x v="1"/>
    <m/>
    <d v="2025-12-24T00:00:00"/>
    <n v="-251"/>
    <n v="4"/>
    <n v="2025"/>
    <n v="4500022061"/>
    <s v="4425/SPP/SBU/PLNICONPLUS/2024"/>
    <s v="4500024038"/>
    <s v="Fajar Paramita"/>
    <m/>
    <m/>
    <m/>
    <m/>
    <m/>
    <m/>
    <m/>
    <m/>
    <m/>
    <s v="H496"/>
    <m/>
    <m/>
  </r>
  <r>
    <n v="2062"/>
    <s v="IDC (Internetindo Data Centra Indonesia) "/>
    <s v="Join All Customer"/>
    <s v="Jl. Kuningan Barat No.8 Cyber Building 7, Jakarta Selatan 12710"/>
    <x v="0"/>
    <m/>
    <s v="Cyber 1 Lantai 7 IDC Indonesia"/>
    <s v="Sewa Tahunan"/>
    <s v="Cross Connect"/>
    <s v="1000037030_x000a_1000037012_x000a_1000037008"/>
    <m/>
    <m/>
    <s v="Metronet"/>
    <m/>
    <m/>
    <n v="347745000"/>
    <m/>
    <m/>
    <n v="456000000"/>
    <m/>
    <d v="2024-04-01T00:00:00"/>
    <d v="2025-03-31T00:00:00"/>
    <x v="0"/>
    <m/>
    <d v="2025-12-24T00:00:00"/>
    <n v="-268"/>
    <n v="3"/>
    <n v="2025"/>
    <n v="4500021016"/>
    <s v="4470/SPP/SBU/PLNICONPLUS/2024"/>
    <s v="4500024071"/>
    <s v="Fajar Paramita"/>
    <m/>
    <m/>
    <m/>
    <m/>
    <m/>
    <m/>
    <m/>
    <m/>
    <m/>
    <s v="H491"/>
    <m/>
    <m/>
  </r>
  <r>
    <n v="2063"/>
    <s v="Duta Pertiwi"/>
    <s v="PT Summit Oto Finance"/>
    <s v="ITC Cempaka Mas Mega Grosir Lt. 5 Jl. Letjen Suprapto kav. 1 Jakarta 10640"/>
    <x v="0"/>
    <m/>
    <s v="(Sub HO Ard Cemas) Ruko Mega Grosir Cempaka Mas Blok I No. 48 &amp; 50, Jl Letjend Soeprato. Jakarta Pusat, Indonesia"/>
    <s v="Sewa Tahunan"/>
    <s v="Colocation"/>
    <n v="111303011341"/>
    <m/>
    <m/>
    <s v="Internet Dedicated"/>
    <s v="11 Mbps"/>
    <m/>
    <n v="37800000"/>
    <m/>
    <m/>
    <n v="25200000"/>
    <m/>
    <d v="2024-12-01T00:00:00"/>
    <d v="2025-11-30T00:00:00"/>
    <x v="2"/>
    <m/>
    <d v="2025-12-24T00:00:00"/>
    <n v="-24"/>
    <n v="11"/>
    <n v="2025"/>
    <n v="4500021829"/>
    <s v="5190/SPP/SBU/PLNICONPLUS/2024"/>
    <s v="4500024292"/>
    <s v="Livia Indraswati"/>
    <s v="Chandra"/>
    <m/>
    <m/>
    <m/>
    <m/>
    <m/>
    <m/>
    <m/>
    <m/>
    <n v="338"/>
    <m/>
    <m/>
  </r>
  <r>
    <n v="2064"/>
    <s v="Duta Pertiwi"/>
    <s v="PT Summit Oto Finance"/>
    <s v="ITC Cempaka Mas Mega Grosir Lt. 5 Jl. Letjen Suprapto kav. 1 Jakarta 10640"/>
    <x v="0"/>
    <m/>
    <s v="(SOF CEMPAKA MAS + OTO PEC) RUKO MEGA GROSIR CEMPAKA MAS BLOK E 11-12, KEMAYORAN, JAKARTA PUSAT, DKI JAKARTA, INDONESIA, 10640 "/>
    <s v="Sewa Tahunan"/>
    <s v="Colocation"/>
    <n v="111303011342"/>
    <m/>
    <m/>
    <s v="Internet Dedicated"/>
    <s v="6 Mbps"/>
    <m/>
    <n v="33000000"/>
    <m/>
    <m/>
    <n v="38700000"/>
    <m/>
    <d v="2024-12-01T00:00:00"/>
    <d v="2025-11-30T00:00:00"/>
    <x v="0"/>
    <m/>
    <d v="2025-12-24T00:00:00"/>
    <n v="-24"/>
    <n v="11"/>
    <n v="2025"/>
    <n v="4500021830"/>
    <s v="5191/SPP/SBU/PLNICONPLUS/2024"/>
    <s v="4500024293"/>
    <s v="Livia Indraswati"/>
    <s v="Chandra"/>
    <m/>
    <m/>
    <m/>
    <m/>
    <m/>
    <m/>
    <m/>
    <m/>
    <n v="409"/>
    <m/>
    <m/>
  </r>
  <r>
    <n v="2065"/>
    <s v="Telkom Data Ekosistem"/>
    <s v="Komisi Pemberantasan Korupsi"/>
    <s v="German Centre Building 3rd and 5th floor Jl. Kapt. Subijanto DJ Bumi Serpong Damai"/>
    <x v="0"/>
    <s v="DC KPK BSD Graha TelkomSigma BSD,  Lantai 5, Wing A (Gedung Sisi Barat), Bumi Serpong Damai, Jalan Kapt. Subijanto Dj, Lengkong Gudang, Kec. Serpong, Kota Tangerang Selatan, Banten,  BSD Tangsel,  Jakarta Selatan,  DKI Jakarta,  Indonesia,  15321"/>
    <s v="Indosat KPPTI, Indonesia_x000a_PT XL Axiata, Tbk (Inbuilding JNB 2) Building Di Jl. Sumba Blok A-B MM2100, Cibitung, Bekasi (Rak KPK), Indonesia_x000a_Ruang Server KPK - Telkom TTC Buaran, Indonesia_x000a_Gedung Merah-Putih (Gedung KPK Baru), Jl Kuningan Persada Kav.4, Indonesia_x000a_Ruang Server KPK- Telkom TTC Buaran, Indonesia"/>
    <s v="Sewa Tahunan"/>
    <s v="Cross Connect"/>
    <s v="110120201414/01000136988_x000a_110120201415/01000136989_x000a_110120201416/01000137198_x000a_110120201417/01000065421_x000a_110120201412/01000173583"/>
    <m/>
    <m/>
    <s v="Metronet"/>
    <m/>
    <m/>
    <n v="858000000"/>
    <m/>
    <m/>
    <n v="6000000"/>
    <m/>
    <d v="2024-09-09T00:00:00"/>
    <d v="2025-09-08T00:00:00"/>
    <x v="0"/>
    <m/>
    <d v="2025-12-24T00:00:00"/>
    <n v="-107"/>
    <n v="9"/>
    <n v="2025"/>
    <s v="3326/SPP/SBU/PLNICONPLUS/2024 | 4500022984"/>
    <s v="4619/SPP/SBU/PLNICONPLUS/2024"/>
    <s v="4500023672"/>
    <s v="Livia Indraswati"/>
    <s v="Yudhi Sukma"/>
    <m/>
    <m/>
    <m/>
    <m/>
    <m/>
    <m/>
    <m/>
    <n v="404"/>
    <m/>
    <m/>
    <m/>
  </r>
  <r>
    <n v="2066"/>
    <s v="Telkom Data Ekosistem"/>
    <s v="Komisi Pemberantasan Korupsi"/>
    <s v="German Centre Building 3rd and 5th floor Jl. Kapt. Subijanto DJ Bumi Serpong Damai"/>
    <x v="0"/>
    <s v="DC KPK BSD Graha TelkomSigma BSD,  Lantai 5, Wing A (Gedung Sisi Barat), Bumi Serpong Damai, Jalan Kapt. Subijanto Dj, Lengkong Gudang, Kec. Serpong, Kota Tangerang Selatan, Banten,  BSD Tangsel,  Jakarta Selatan,  DKI Jakarta,  Indonesia,  15321"/>
    <s v="Indosat KPPTI, Indonesia_x000a_PT XL Axiata, Tbk (Inbuilding JNB 2) Building Di Jl. Sumba Blok A-B MM2100, Cibitung, Bekasi (Rak KPK), Indonesia_x000a_Ruang Server KPK - Telkom TTC Buaran, Indonesia_x000a_Gedung Merah-Putih (Gedung KPK Baru), Jl Kuningan Persada Kav.4, Indonesia_x000a_Ruang Server KPK- Telkom TTC Buaran, Indonesia"/>
    <s v="Sewa Tahunan"/>
    <s v="Cross Connect"/>
    <s v="110120201414/01000136988_x000a_110120201415/01000136989_x000a_110120201416/01000137198_x000a_110120201417/01000065421_x000a_110120201412/01000173583"/>
    <m/>
    <m/>
    <s v="Metronet"/>
    <m/>
    <m/>
    <m/>
    <m/>
    <m/>
    <n v="18000000"/>
    <m/>
    <d v="2024-09-09T00:00:00"/>
    <d v="2025-09-08T00:00:00"/>
    <x v="0"/>
    <m/>
    <d v="2025-12-24T00:00:00"/>
    <n v="-107"/>
    <n v="9"/>
    <n v="2025"/>
    <s v="3327/SPP/SBU/PLNICONPLUS/2024 | 4500022986"/>
    <s v="4618/SPP/SBU/PLNICONPLUS/2024"/>
    <s v="4500023671"/>
    <s v="Livia Indraswati"/>
    <s v="Yudhi Sukma"/>
    <m/>
    <m/>
    <m/>
    <m/>
    <m/>
    <m/>
    <m/>
    <n v="407"/>
    <m/>
    <m/>
    <m/>
  </r>
  <r>
    <n v="2067"/>
    <s v="Telkom Data Ekosistem"/>
    <s v="Komisi Pemberantasan Korupsi"/>
    <s v="German Centre Building 3rd and 5th floor Jl. Kapt. Subijanto DJ Bumi Serpong Damai"/>
    <x v="0"/>
    <s v="DC KPK BSD Graha TelkomSigma BSD,  Lantai 5, Wing A (Gedung Sisi Barat), Bumi Serpong Damai, Jalan Kapt. Subijanto Dj, Lengkong Gudang, Kec. Serpong, Kota Tangerang Selatan, Banten,  BSD Tangsel,  Jakarta Selatan,  DKI Jakarta,  Indonesia,  15321"/>
    <s v="Indosat KPPTI, Indonesia_x000a_PT XL Axiata, Tbk (Inbuilding JNB 2) Building Di Jl. Sumba Blok A-B MM2100, Cibitung, Bekasi (Rak KPK), Indonesia_x000a_Ruang Server KPK - Telkom TTC Buaran, Indonesia_x000a_Gedung Merah-Putih (Gedung KPK Baru), Jl Kuningan Persada Kav.4, Indonesia_x000a_Ruang Server KPK- Telkom TTC Buaran, Indonesia"/>
    <s v="Sewa Tahunan"/>
    <s v="Colocation"/>
    <s v="110120201414/01000136988_x000a_110120201415/01000136989_x000a_110120201416/01000137198_x000a_110120201417/01000065421_x000a_110120201412/01000173583"/>
    <m/>
    <m/>
    <s v="Metronet"/>
    <m/>
    <m/>
    <m/>
    <m/>
    <m/>
    <n v="276000000"/>
    <m/>
    <d v="2024-09-06T00:00:00"/>
    <d v="2025-09-05T00:00:00"/>
    <x v="0"/>
    <m/>
    <d v="2025-12-24T00:00:00"/>
    <n v="-110"/>
    <n v="9"/>
    <n v="2025"/>
    <s v="3300/SPP/SBU/PLNICONPLUS/2024 | 4500022985"/>
    <s v="4617/SPP/SBU/PLNICONPLUS/2024"/>
    <s v="4500023670"/>
    <s v="Livia Indraswati"/>
    <s v="Yudhi Sukma"/>
    <m/>
    <m/>
    <m/>
    <m/>
    <m/>
    <m/>
    <m/>
    <n v="406"/>
    <m/>
    <m/>
    <m/>
  </r>
  <r>
    <n v="2068"/>
    <s v="Telkom Data Ekosistem"/>
    <s v="Bank Bukopin_x000a_Bank Bukopin_x000a_Bank Bukopin_x000a_Bank Bukopin_x000a_PT Bank Mandiri Taspen-Jakarta_x000a_PT XL Axiata Tbk"/>
    <s v="German Centre Building 3rd and 5th floor Jl. Kapt. Subijanto DJ Bumi Serpong Damai"/>
    <x v="0"/>
    <s v="Backhaul Cabang Bukopin (Backhaul Dynamic) DC Bukopin, PT Telkom Sigma, DC Sentul, Jl Ir H Djuanda No.F7 Lantai Ground, Sentul City, Kabupaten Bogor, Jawa Barat, Indonesia_x000a_Data Center Bukopin, PT Telkom Sigma, DC Sentul, Jl. Ir. H, Juanda No.F7, Lantai Ground_x000a_Data Center Bukopin, PT Telkom Sigma, DC Sentul, Jl. Ir. H, Juanda No.F7, Lantai Ground_x000a_Backhaul H2H DC Bukopin, PT Telkom Sigma, DC Sentul, Jl. Ir H Juanda No.F7_x000a_DRC Rempoa, Jl Ir H Djuanda No.38, Rempoa Ciputat, Kota Tangerang Selatan, Banten_x000a_NNI XL GD Cyber Lt.5 Jl Kuningan Barat No.8, Jakarta Selatan, DKI Jakarta, Indonesia"/>
    <s v="-_x000a_Data Center Jl. Sukasenang No.26, Cikutra, Kota Bandung, Jawa Barat_x000a_DC Gandul, Jl Raya PLN Ehave, Gandul-Limo, Cinere (Gandul)_x000a_-_x000a_DC Sigma Sentul Lt.1 Jl Ir H Djuanda No.F7 Sentul City, Kabupaten Bogor_x000a_PT Arthatech Selaras, [007C1177L30] DC Telkomsigma Sentul Lt.1, Cijayanti"/>
    <s v="Sewa Tahunan"/>
    <s v="Colocation"/>
    <s v="110120509096/01000044251/AL/2009/47287_x000a_110120207474/01000044258/AL/1907/28659_x000a_110120207475/01000044259/AL/1908/30061_x000a_110120509095/01000044264/AL/1907/28660_x000a_PA/ACT/2003/1096/TER_x000a_PA/ACT/2005/0446"/>
    <m/>
    <m/>
    <s v="IPVPN _x000a_Metronet_x000a_Metronet_x000a_IPVPN_x000a_Metronet_x000a_Metronet"/>
    <s v="80 Mbps_x000a_2 Mbps_x000a_10 Mbps_x000a_384 Kbps_x000a_4 Mbps_x000a_1 Mbps"/>
    <m/>
    <n v="2046000000"/>
    <m/>
    <m/>
    <n v="333600000"/>
    <m/>
    <d v="2023-06-17T00:00:00"/>
    <d v="2025-06-16T00:00:00"/>
    <x v="0"/>
    <m/>
    <d v="2025-12-24T00:00:00"/>
    <n v="-191"/>
    <n v="6"/>
    <n v="2025"/>
    <n v="4500018188"/>
    <s v="4614/SPP/SBU/PLNICONPLUS/2024"/>
    <s v="4500023677"/>
    <s v="Livia Indraswati"/>
    <s v="Yudhi Sukma"/>
    <m/>
    <m/>
    <m/>
    <m/>
    <m/>
    <m/>
    <m/>
    <m/>
    <s v="H177"/>
    <m/>
    <m/>
  </r>
  <r>
    <n v="2069"/>
    <s v="Kawasan Berikat Nusantara"/>
    <s v="PT Mastersystem Infotama_x000a_PT Mastersystem Infotama"/>
    <s v="Lahan Berikat Nusantara SBU Lahan Tanjung Priok Marunda"/>
    <x v="0"/>
    <m/>
    <s v="Marunda Jetty, Jl Marunda 1 No.5, Rt.1/Rw.7, Cilincing, Kec Cilincing, Jakata Utara, DKI Jakarta_x000a_PHE OSES SBU Area (Kepulauan Seribu)"/>
    <s v="Sewa Tahunan"/>
    <s v="Colocation"/>
    <s v="A811303000054_x000a_Project MSI"/>
    <m/>
    <m/>
    <s v="Internet Corporate"/>
    <s v="10 Mbps"/>
    <m/>
    <n v="118975800"/>
    <m/>
    <m/>
    <n v="20671878"/>
    <m/>
    <d v="2024-07-22T00:00:00"/>
    <d v="2025-01-21T00:00:00"/>
    <x v="0"/>
    <m/>
    <d v="2025-12-24T00:00:00"/>
    <n v="-337"/>
    <n v="1"/>
    <n v="2025"/>
    <n v="4500022106"/>
    <s v="4395/SPP/SBU/PLNICONPLUS/2024"/>
    <s v="4500023596"/>
    <s v="Livia Indraswati"/>
    <s v="Feriyan"/>
    <m/>
    <m/>
    <m/>
    <m/>
    <m/>
    <m/>
    <m/>
    <m/>
    <s v="H276"/>
    <m/>
    <m/>
  </r>
  <r>
    <n v="2070"/>
    <s v="Restyle Development"/>
    <s v="PT PLN (Persero) Kantor Pusat"/>
    <s v="Recapital Building, Jakarta Selatan"/>
    <x v="0"/>
    <m/>
    <s v="Kantor SPI RECAPITAL Lt.5/ Jl Adityawarman No.55 Kebayoran Baru Jakarta Selatan"/>
    <s v="Sewa Tahunan"/>
    <s v="Colocation"/>
    <s v="PA/ACT/1810/1481_x000a_PA/ACT/1810/1190_x000a_PA/ACT/1810/1189_x000a_PA/ACT/1810/1188_x000a_PA/ACT/1810/1187"/>
    <m/>
    <m/>
    <s v="Bronze_x000a_i-WIN Indoor_x000a_i-WIN Indoor_x000a_i-WIN Indoor_x000a_i-WIN Indoor"/>
    <m/>
    <m/>
    <n v="30822000"/>
    <m/>
    <m/>
    <n v="10000000"/>
    <m/>
    <d v="2024-11-15T00:00:00"/>
    <d v="2025-11-14T00:00:00"/>
    <x v="1"/>
    <m/>
    <d v="2025-12-24T00:00:00"/>
    <n v="-40"/>
    <n v="11"/>
    <n v="2025"/>
    <n v="4500021820"/>
    <m/>
    <s v="4500024280"/>
    <s v="Livia Indraswati"/>
    <m/>
    <m/>
    <m/>
    <m/>
    <m/>
    <m/>
    <m/>
    <m/>
    <m/>
    <n v="461"/>
    <m/>
    <m/>
  </r>
  <r>
    <n v="2071"/>
    <s v="Infrastruktur Cakrawala Telekomunikasi"/>
    <s v="Joint All Customer"/>
    <s v="Building Jl Jababeka IV Blok B No.12 JBBK Industria Esta Cikarang"/>
    <x v="0"/>
    <m/>
    <s v="Jababeka Kawasan Industri Cikarang, Pasirgombong, Cikarang Utara, Kabupaten Bekasi, Jawa Barat."/>
    <s v="Sewa Tahunan"/>
    <s v="Cross Connect"/>
    <m/>
    <m/>
    <m/>
    <m/>
    <m/>
    <m/>
    <n v="1265934903"/>
    <m/>
    <m/>
    <n v="326345490"/>
    <m/>
    <d v="2023-10-01T00:00:00"/>
    <d v="2023-12-31T00:00:00"/>
    <x v="0"/>
    <m/>
    <d v="2025-12-24T00:00:00"/>
    <n v="-724"/>
    <n v="12"/>
    <n v="2023"/>
    <n v="4500019523"/>
    <s v="4421/SPP/SBU/PLNICONPLUS/2024"/>
    <s v="4500023467"/>
    <s v="Livia Indraswati"/>
    <s v="Anjar"/>
    <m/>
    <m/>
    <m/>
    <m/>
    <m/>
    <m/>
    <m/>
    <s v="G370"/>
    <m/>
    <m/>
    <m/>
  </r>
  <r>
    <n v="2072"/>
    <s v="Indonesia Net Teknologi"/>
    <s v="PT Goto (Gojek Tokopedia)"/>
    <s v="Jalan Batan Lebak Bulus Raya No. Z8 Lebak Bulus, Cilandak"/>
    <x v="1"/>
    <m/>
    <s v="Pasaraya Blok M Gedung B Lt.6. Jl Iskandarsyah II No.7, RT.3/RW.1, Melawai, Kec Kebayoran Baru, Kota Jakarta Selatan, DKI Jakarta, 12160, Indonesia"/>
    <s v="Sewa Bulanan"/>
    <s v="Interkoneksi"/>
    <s v="A821303001181"/>
    <s v="111303012918"/>
    <s v="99,5 %"/>
    <s v="Internet Corporate"/>
    <s v="1 Gbps"/>
    <m/>
    <n v="1416000000"/>
    <m/>
    <n v="5000000"/>
    <n v="900000000"/>
    <m/>
    <d v="2024-07-11T00:00:00"/>
    <d v="2026-07-10T00:00:00"/>
    <x v="1"/>
    <m/>
    <d v="2025-12-24T00:00:00"/>
    <n v="198"/>
    <n v="7"/>
    <n v="2026"/>
    <s v="Baru"/>
    <s v="3762/SPP/PUSAT/PLNICONPLUS/2024"/>
    <s v="4500023067"/>
    <s v="Syifa Artianingsih"/>
    <s v="Soraya "/>
    <m/>
    <m/>
    <m/>
    <m/>
    <m/>
    <m/>
    <m/>
    <m/>
    <s v="H234"/>
    <m/>
    <m/>
  </r>
  <r>
    <n v="2073"/>
    <s v="Fastel Sarana Indonesia"/>
    <s v="PT Pertamina Rosneft Pengolahan dan Petrokimia"/>
    <s v="Gedung TCC batavia_x000a_Tower One Lantai 16_x000a_Jl. KH Mas Mansyur Kav 126_x000a_Jakarta Pusat 10220"/>
    <x v="1"/>
    <m/>
    <s v="Sopo Del Office Tower &amp; Lifestyle Lt.39 Jl Mega Kuningan Barat III No.9 Lot 10.1-6, Kawasan Mega Kuningan Setiabudi Jakarta Selatan"/>
    <s v="Sewa Bulanan"/>
    <s v="Interkoneksi"/>
    <s v="A811401000498/111401007945"/>
    <s v="111401007945"/>
    <n v="0.995"/>
    <s v="Internet Broadband Corporate"/>
    <s v="150 Mbps"/>
    <n v="5500000"/>
    <n v="254400000"/>
    <m/>
    <n v="5000000"/>
    <n v="222000000"/>
    <m/>
    <d v="2024-08-09T00:00:00"/>
    <d v="2026-08-08T00:00:00"/>
    <x v="1"/>
    <m/>
    <d v="2025-12-24T00:00:00"/>
    <n v="227"/>
    <n v="8"/>
    <n v="2026"/>
    <s v="Baru"/>
    <s v="3991/SPP/SBU/PLNICONPLUS/2024"/>
    <s v="4500024034"/>
    <s v="Syifa Artianingsih"/>
    <s v="Kiki"/>
    <m/>
    <m/>
    <m/>
    <m/>
    <m/>
    <m/>
    <m/>
    <m/>
    <n v="401"/>
    <m/>
    <m/>
  </r>
  <r>
    <n v="2074"/>
    <s v="Indointernet"/>
    <s v="PT Ungaran Sari Garment"/>
    <s v="Rumah Indonet. Jl.Rempoa Raya No. 11 Ciputat. Tangerang Selatan – Banten 15412"/>
    <x v="0"/>
    <s v="PT USG UNGARAN Jl. Diponegoro No 235 Ungaran,- ,- ,- ,Indonesia"/>
    <s v="AXA Tower Lt 43 Jl. Prof. Dr. Satrio Kec. Setiabudi Jakarta Selatan,- ,- ,- ,Indonesia ,-"/>
    <s v="Sewa Bulanan"/>
    <s v="Interkoneksi"/>
    <s v="PA/UPG/2008/0002"/>
    <s v="0990000320458219"/>
    <n v="0.995"/>
    <s v="Metronet"/>
    <s v="20 Mbps"/>
    <m/>
    <n v="120000000"/>
    <m/>
    <m/>
    <n v="144000000"/>
    <m/>
    <d v="2024-12-06T00:00:00"/>
    <d v="2025-12-05T00:00:00"/>
    <x v="0"/>
    <m/>
    <d v="2025-12-24T00:00:00"/>
    <n v="-19"/>
    <n v="12"/>
    <n v="2025"/>
    <s v="2101/SPP/SBU/ICON+/2023"/>
    <s v="5039/SPP/SBU/PLNICONPLUS/2024"/>
    <s v="4500024017"/>
    <s v="Renata Simanjuntak"/>
    <s v="Asep"/>
    <s v="+62 857-7177-7685"/>
    <m/>
    <m/>
    <m/>
    <m/>
    <m/>
    <m/>
    <m/>
    <n v="328"/>
    <m/>
    <m/>
  </r>
  <r>
    <n v="2075"/>
    <s v="Global Teknologi Teraindo"/>
    <s v="PT Infomedia Nusantara"/>
    <s v="Gedung Cyber 1 Lantai 6 Jl. Kuningan Barat Raya No. 8 Jakarta Selatan 12710"/>
    <x v="0"/>
    <s v="Gedung Cyber APJII, Jl. Kuningan Barat Raya No.8, RT.1/RW.3,Kuningan Bar., Kec. Mampang PRPT., Jakarta Selatan, DKI Jakarta, Indonesia, 12710"/>
    <s v="DC Infomedia Jatinegara Jl. DI.Panjaitan No.42 Rawa Bunga, Jatinegara, DC Telkom Jatinegara, Jakarta Timur, DKI Jakarta, Indonesia"/>
    <s v="Sewa Bulanan"/>
    <s v="Interkoneksi"/>
    <s v="A821202001377"/>
    <s v="01000320539/030000240"/>
    <s v="99,5%"/>
    <s v="Metronet"/>
    <s v="5 Mbps"/>
    <m/>
    <n v="54000000"/>
    <m/>
    <m/>
    <n v="24000000"/>
    <m/>
    <d v="2024-12-20T00:00:00"/>
    <d v="2025-12-19T00:00:00"/>
    <x v="0"/>
    <m/>
    <d v="2025-12-24T00:00:00"/>
    <n v="-5"/>
    <n v="12"/>
    <n v="2025"/>
    <n v="4500022119"/>
    <s v="4929/SPP/SBU/PLNICONPLUS/2024"/>
    <s v="4500024088"/>
    <s v="Renata Simanjuntak"/>
    <s v="Akmal"/>
    <s v="0853-1210-7138"/>
    <m/>
    <m/>
    <m/>
    <m/>
    <m/>
    <m/>
    <m/>
    <n v="396"/>
    <m/>
    <m/>
  </r>
  <r>
    <n v="2076"/>
    <s v="Aplikanusa Lintasarta"/>
    <s v="Trakindo Utama"/>
    <s v="Lintasarta Building , Jl.TB Simatupang Kav 10. Jakarta Selatan 12430"/>
    <x v="0"/>
    <m/>
    <s v="[BSD Java Office] Kavling Komersial Taman Tekno, Blok B no. 1 Sektor XI, BSD City,-, Kota Tangerang Selatan, Banten, Indonesia, 15317"/>
    <s v="Sewa Bulanan"/>
    <s v="Interkoneksi"/>
    <s v="PA/ACT/2209/2584"/>
    <s v="04000310259 / 2022331278"/>
    <n v="0.995"/>
    <s v="Internet Corporate"/>
    <s v="30 Mbps"/>
    <m/>
    <n v="51000000"/>
    <m/>
    <m/>
    <n v="42000000"/>
    <m/>
    <d v="2024-10-10T00:00:00"/>
    <d v="2025-10-09T00:00:00"/>
    <x v="0"/>
    <m/>
    <d v="2025-12-24T00:00:00"/>
    <n v="-76"/>
    <n v="10"/>
    <n v="2025"/>
    <n v="4500022416"/>
    <s v="4388/SPP/SBU/PLNICONPLUS/2024"/>
    <s v="4500024052"/>
    <s v="Renata Simanjuntak"/>
    <s v="Ilham"/>
    <m/>
    <m/>
    <m/>
    <m/>
    <m/>
    <m/>
    <m/>
    <m/>
    <n v="327"/>
    <m/>
    <m/>
  </r>
  <r>
    <n v="2077"/>
    <s v="Cyberindo Aditama"/>
    <s v="Bank Danamon"/>
    <s v="Gedung Cyber 2 Tower, Lt 33 Jl. HP Rasuna Said Blok X-5 No. 13 Kuningan Timur Setiabudi Jakarta Selatan 12950"/>
    <x v="0"/>
    <m/>
    <s v="Jakarta-Taman Anggrek-Mall Taman Anggrek Ground Floor G-42, Jl S Parman Kav.21, Rt.12/Rw.1, Tanjung Duren Selatan, Grogol"/>
    <s v="Sewa Bulanan"/>
    <s v="Interkoneksi"/>
    <s v="A821303001228"/>
    <s v="111303014004"/>
    <s v="99,50%"/>
    <s v="Internet Corporate"/>
    <s v="2 Mbps"/>
    <m/>
    <n v="22800000"/>
    <m/>
    <n v="2000000"/>
    <n v="18000000"/>
    <m/>
    <d v="2024-11-07T00:00:00"/>
    <d v="2025-11-06T00:00:00"/>
    <x v="0"/>
    <m/>
    <d v="2025-12-24T00:00:00"/>
    <n v="-48"/>
    <n v="11"/>
    <n v="2025"/>
    <s v="baru"/>
    <s v="4804/SPP/SBU/PLNICONPLUS/2024"/>
    <s v="4500023793"/>
    <s v="Syifa Artianingsih"/>
    <s v="Cristian"/>
    <s v="+62 812-9804-5188"/>
    <m/>
    <m/>
    <m/>
    <m/>
    <m/>
    <m/>
    <m/>
    <n v="403"/>
    <m/>
    <m/>
  </r>
  <r>
    <n v="2078"/>
    <s v="Link Net"/>
    <s v="Bank Riau Kepri"/>
    <s v="Centennial Tower 26th Floor, Unit D Jl. Gatot Subroto Kav 24-25 Jakarta 12950"/>
    <x v="3"/>
    <s v="Lippo Cikarang, Jl. Mataram No.6A, Cibatu, Cikarang Sel., Bekasi, Jawa Barat 17530,- ,Bekasi ,Jawa Barat "/>
    <s v="'DC GTN Lippo Cikarang, Jl. Mataram No.6A, Cibatu, Cikarang Sel., Bekasi, Jawa Barat 17530,- ,Bekasi ,Jawa Barat "/>
    <s v="Sewa Bulanan"/>
    <s v="Interkoneksi"/>
    <s v="PA/UPG/2112/0336"/>
    <s v="01000101672/ 220120500197"/>
    <n v="0.995"/>
    <s v="IPVPN"/>
    <s v="5 Mbps"/>
    <m/>
    <n v="204000000"/>
    <m/>
    <m/>
    <n v="72000000"/>
    <m/>
    <d v="2025-01-06T00:00:00"/>
    <d v="2026-01-05T00:00:00"/>
    <x v="1"/>
    <m/>
    <d v="2025-12-24T00:00:00"/>
    <n v="12"/>
    <n v="1"/>
    <n v="2026"/>
    <s v="4500022111 | 2376/SPP/SBU/ICON+/2023"/>
    <s v="5036/SPP/SBU/PLNICONPLUS/2024"/>
    <s v="4500024035"/>
    <s v="Syifa Artianingsih"/>
    <s v="Bunga"/>
    <m/>
    <m/>
    <m/>
    <m/>
    <m/>
    <m/>
    <m/>
    <m/>
    <m/>
    <n v="40"/>
    <m/>
  </r>
  <r>
    <n v="2079"/>
    <s v="Aplikanusa Lintasarta"/>
    <s v="Kementerian ESDM"/>
    <s v="Lintasarta Building , Jl.TB Simatupang Kav 10. Jakarta Selatan 12430"/>
    <x v="0"/>
    <s v="DC Gandul"/>
    <s v="PDNS (Taman Tekno) - Komplek Pergudangan Taman Tekno Blok D No.8, BSD, Setu, Kec. Setu, Kota Tangerang Selatan"/>
    <s v="Sewa Bulanan"/>
    <s v="Interkoneksi"/>
    <s v="U111202003000"/>
    <n v="1000169892"/>
    <n v="0.995"/>
    <s v="QinQ Metro Ethernet"/>
    <s v="100 Mbps"/>
    <m/>
    <n v="384000000"/>
    <m/>
    <m/>
    <n v="108000000"/>
    <m/>
    <d v="2024-12-13T00:00:00"/>
    <d v="2025-12-12T00:00:00"/>
    <x v="1"/>
    <m/>
    <d v="2025-12-24T00:00:00"/>
    <n v="-12"/>
    <n v="12"/>
    <n v="2025"/>
    <s v="4500022570 &amp; 4500023320"/>
    <s v="5468/SPP/SBU/PLNICONPLUS/2025"/>
    <s v="4500023963"/>
    <s v="Renata Simanjuntak"/>
    <s v="Ilham"/>
    <m/>
    <m/>
    <m/>
    <m/>
    <m/>
    <m/>
    <m/>
    <m/>
    <n v="279"/>
    <m/>
    <m/>
  </r>
  <r>
    <n v="2080"/>
    <s v="Aplikanusa Lintasarta"/>
    <s v="Kementerian ESDM"/>
    <s v="Lintasarta Building , Jl.TB Simatupang Kav 10. Jakarta Selatan 12430"/>
    <x v="0"/>
    <s v="Backhaul ESDM Pusdatin-ICON+ Gandul Jl Damai No.100,-, Kota Depok, Jawa Barat, Indonesia"/>
    <s v="Lintasarta Technopark Data Center - Komplek Pergudangan Taman Tekno Blok D, BSD, Setu,    Kec. Setu Kota Tanggerang Selatan,  -,  Kota Tangerang Selatan, "/>
    <s v="Sewa Bulanan"/>
    <s v="Interkoneksi"/>
    <s v="U111202003000"/>
    <s v="110120201063 / 01000169892"/>
    <n v="0.995"/>
    <s v="QinQ Metro Ethernet"/>
    <s v="100 Mbps"/>
    <m/>
    <n v="85945944"/>
    <m/>
    <m/>
    <n v="30596780"/>
    <m/>
    <d v="2024-03-21T00:00:00"/>
    <d v="2024-12-12T00:00:00"/>
    <x v="0"/>
    <m/>
    <d v="2025-12-24T00:00:00"/>
    <n v="-377"/>
    <n v="12"/>
    <n v="2024"/>
    <n v="4500022570"/>
    <s v="3992/SPP/SBU/PLNICONPLUS/2024"/>
    <s v="4500023320"/>
    <s v="Syifa Artianingsih"/>
    <s v="Ilham"/>
    <m/>
    <m/>
    <m/>
    <m/>
    <m/>
    <m/>
    <m/>
    <m/>
    <n v="381"/>
    <m/>
    <s v="Menunggu PO Kembali"/>
  </r>
  <r>
    <n v="2081"/>
    <s v="Indointernet"/>
    <s v="PT Fumira"/>
    <s v="Rumah Indonet. Jl.Rempoa Raya No. 11 Ciputat. Tangerang Selatan – Banten 15412"/>
    <x v="0"/>
    <m/>
    <s v="Bekasi Fajar Industrial Estate, Jalan Jawa Kav. A1, Kawasan Industri MM2100, Mekarwangi, Cikarang Barat, Mekarwangi, Cikarang, Kota Bekasi, Jawa Barat"/>
    <s v="Sewa Bulanan"/>
    <s v="Interkoneksi"/>
    <s v="PA/ACT/1908/4529"/>
    <s v="01000073731 / 0054987171"/>
    <n v="0.995"/>
    <s v="IPVPN"/>
    <s v="5 Mbps"/>
    <m/>
    <n v="162000000"/>
    <m/>
    <m/>
    <n v="102000000"/>
    <m/>
    <d v="2024-10-16T00:00:00"/>
    <d v="2025-10-15T00:00:00"/>
    <x v="2"/>
    <m/>
    <d v="2025-12-24T00:00:00"/>
    <n v="-70"/>
    <n v="10"/>
    <n v="2025"/>
    <n v="4500021534"/>
    <s v="5033/SPP/SBU/PLNICONPLUS/2024"/>
    <s v="4500024185"/>
    <s v="Renata Simanjuntak"/>
    <s v="Asep"/>
    <m/>
    <m/>
    <m/>
    <m/>
    <m/>
    <m/>
    <m/>
    <m/>
    <n v="502"/>
    <m/>
    <m/>
  </r>
  <r>
    <n v="2082"/>
    <s v="Detik Ini Juga"/>
    <s v="PT Trans Rekreasindo Cibubur"/>
    <s v="Gedung Transmedia Lt 3A, Jl. Kapt Tendean Kav. 12 – 14A, Jakarta 12790"/>
    <x v="3"/>
    <m/>
    <s v="Kid City Transpark Cibubur Lt. 3 Jl. Alternatif Cibubur No.230, Harjamukti, Cimanggis, Kota Depok, Jawa Barat, CImanggis, Kota Depok, Jawa Barat, Indonesia, 16454"/>
    <s v="Sewa Bulanan"/>
    <s v="Interkoneksi"/>
    <s v="PA/ACT/1903/1573"/>
    <n v="4000049510"/>
    <n v="0.995"/>
    <s v="Internet Corporate"/>
    <s v="3 Mbps"/>
    <m/>
    <n v="54000000"/>
    <m/>
    <m/>
    <n v="40800000"/>
    <m/>
    <d v="2025-01-01T00:00:00"/>
    <d v="2025-12-31T00:00:00"/>
    <x v="0"/>
    <m/>
    <d v="2025-12-24T00:00:00"/>
    <n v="7"/>
    <n v="12"/>
    <n v="2025"/>
    <n v="4500022180"/>
    <s v="5205/SPP/SBU/PLNICONPLUS/2024"/>
    <s v="4500024246"/>
    <s v="Renata Simanjuntak"/>
    <s v="Fathya"/>
    <m/>
    <m/>
    <m/>
    <m/>
    <m/>
    <m/>
    <m/>
    <m/>
    <n v="456"/>
    <m/>
    <m/>
  </r>
  <r>
    <n v="2083"/>
    <s v="Link Net"/>
    <s v="Pertamina Bina Medika"/>
    <s v="Centennial Tower 26th Floor, Unit D Jl. Gatot Subroto Kav 24-25 Jakarta 12950"/>
    <x v="0"/>
    <s v="Graha Pertamina - PSDC Gambir"/>
    <s v="Menara Sentraya Lt.24"/>
    <s v="Sewa Bulanan"/>
    <s v="Interkoneksi"/>
    <s v="U111202003214"/>
    <s v="110120204249"/>
    <n v="0.995"/>
    <s v="Metronet"/>
    <s v="150 Mbps"/>
    <m/>
    <n v="85400000"/>
    <m/>
    <m/>
    <n v="78000000"/>
    <m/>
    <d v="2024-12-01T00:00:00"/>
    <d v="2024-12-31T00:00:00"/>
    <x v="0"/>
    <m/>
    <d v="2025-12-24T00:00:00"/>
    <n v="-358"/>
    <n v="12"/>
    <n v="2024"/>
    <s v="4500023639|4527/SPP/SBU/PLNICONPLUS/2024"/>
    <s v="5034/SPP/SBU/PLNICONPLUS/2024"/>
    <s v="4500024244"/>
    <s v="Syifa Artianingsih"/>
    <s v="Bunga"/>
    <m/>
    <m/>
    <m/>
    <m/>
    <m/>
    <m/>
    <m/>
    <m/>
    <n v="415"/>
    <m/>
    <m/>
  </r>
  <r>
    <n v="2084"/>
    <s v="Jala Lintas Media"/>
    <s v="BCA Finance"/>
    <s v="Jl. Mayor Oking No. 89 KM 2, Cibinong Bogor 16819_x000a_"/>
    <x v="3"/>
    <s v="BCAF Bekasi Jl Harapan Indah Boulevard-Komplek Mega Office Park P5 No.08, Medan Satria, Kecamatan Medan Satria, Kota Bekasi Jawa Barat, 17132"/>
    <s v="Jl MH Thamrin No.1, Menteng, Kec Menteng, Kota Jakarta Pusat, DKI Jakarta, 10310"/>
    <s v="Sewa Bulanan"/>
    <s v="Interkoneksi"/>
    <s v="A111202005585"/>
    <s v="111202019661"/>
    <s v="99,50%"/>
    <s v="Metronet"/>
    <s v="6 Mbps"/>
    <m/>
    <n v="62400000"/>
    <m/>
    <m/>
    <n v="27600000"/>
    <m/>
    <d v="2025-01-01T00:00:00"/>
    <d v="2025-12-31T00:00:00"/>
    <x v="0"/>
    <m/>
    <d v="2025-12-24T00:00:00"/>
    <n v="7"/>
    <n v="12"/>
    <n v="2025"/>
    <s v="4500022080 | 2215/SPP/SBU/ICON+/2023"/>
    <s v="4946/SPP/SBU/PLNICONPLUS/2024"/>
    <s v="4500023921"/>
    <s v="Syifa Artianingsih"/>
    <s v="Bayu"/>
    <m/>
    <m/>
    <m/>
    <m/>
    <m/>
    <m/>
    <m/>
    <m/>
    <m/>
    <n v="16"/>
    <m/>
  </r>
  <r>
    <n v="2085"/>
    <s v="Inti Bangun Sejahtera"/>
    <s v="PT Diamond Cold Storage"/>
    <s v="Jl. Riau 23"/>
    <x v="0"/>
    <m/>
    <s v="Jalan Pasir Putih Raya Kav.1, Ancol, Kec. Pademangan, Jakarta Utara, DKI Jakarta, Indonesia"/>
    <s v="Sewa Bulanan"/>
    <s v="Interkoneksi"/>
    <s v="U111302000049"/>
    <s v="04000301037"/>
    <n v="0.995"/>
    <s v="IIX"/>
    <s v="70 Mbps"/>
    <m/>
    <n v="84000000"/>
    <m/>
    <m/>
    <n v="54000000"/>
    <m/>
    <d v="2024-12-15T00:00:00"/>
    <d v="2025-12-14T00:00:00"/>
    <x v="1"/>
    <m/>
    <d v="2025-12-24T00:00:00"/>
    <n v="-10"/>
    <n v="12"/>
    <n v="2025"/>
    <s v="4500021797| 2098/SPP/SBU/ICON+/2023"/>
    <s v="5201/SPP/SBU/PLNICONPLUS/2024"/>
    <s v="4500024351"/>
    <s v="Renata Simanjuntak"/>
    <s v="Annisa"/>
    <m/>
    <m/>
    <m/>
    <m/>
    <m/>
    <m/>
    <m/>
    <m/>
    <n v="457"/>
    <m/>
    <m/>
  </r>
  <r>
    <n v="2086"/>
    <s v="Arthamas Cipta"/>
    <s v="Bank Negara Indonesia"/>
    <s v="Tangcity Superblok - Skandinavia Office Building Unit H17 Lt.5 Jl. Jend Sudirman No.1 Babakan, Tangerang 15118_x000a_Unit H17 Lt.5._x000a_Jl. Jend Sudirman No.1 Babakan, Tangerang 15118"/>
    <x v="0"/>
    <m/>
    <s v="KCP Tangerang City, Ruko Business Park Tanngerang City Blok A No.6, RT.005/RW.005,Babakan, Kec, Tangerang, Kota Tangerang, Banten,Indonesia, 15118"/>
    <s v="Sewa Bulanan"/>
    <s v="Interkoneksi"/>
    <s v="PA/ACT/2301/0826"/>
    <s v="04000334576"/>
    <n v="0.995"/>
    <s v="Internet Broadband"/>
    <s v="50 Mbps"/>
    <m/>
    <n v="17329428"/>
    <m/>
    <m/>
    <n v="12000000"/>
    <m/>
    <d v="2024-11-01T00:00:00"/>
    <d v="2025-10-31T00:00:00"/>
    <x v="0"/>
    <m/>
    <d v="2025-12-24T00:00:00"/>
    <n v="-54"/>
    <n v="10"/>
    <n v="2025"/>
    <n v="4500021440"/>
    <s v="4429/SPP/SBU/PLNICONPLUS/2024"/>
    <s v="4500023740"/>
    <s v="Renata Simanjuntak"/>
    <s v="Selvyra"/>
    <s v="+62 812-8757-7999"/>
    <m/>
    <m/>
    <m/>
    <m/>
    <m/>
    <m/>
    <m/>
    <n v="329"/>
    <m/>
    <m/>
  </r>
  <r>
    <n v="2087"/>
    <s v="Indointernet"/>
    <s v="PT Data Sinergitama Jaya"/>
    <s v="Rumah Indonet. Jl.Rempoa Raya No. 11 Ciputat. Tangerang Selatan – Banten 15412"/>
    <x v="0"/>
    <s v="Elitery Data Center, Jl Raya Pajajaran no 17 Bogor, Indonesia,-,-,-,Indonesia,-"/>
    <s v="Toyota Astra Motor New Site 2, Jl. Selayar Kav. B10 Kawasan Industri MM 2100 (TTC) (Interkoneksi dg Indonet),-,-,-,Indonesia,"/>
    <s v="Sewa Bulanan"/>
    <s v="Interkoneksi"/>
    <s v="ICON-00/SBC/1801/0589"/>
    <s v="0990000320514810"/>
    <n v="0.995"/>
    <s v="Metronet"/>
    <s v="100 Mbps"/>
    <m/>
    <n v="354000000"/>
    <m/>
    <m/>
    <n v="180000000"/>
    <m/>
    <d v="2024-12-10T00:00:00"/>
    <d v="2025-12-09T00:00:00"/>
    <x v="2"/>
    <m/>
    <d v="2025-12-24T00:00:00"/>
    <n v="-15"/>
    <n v="12"/>
    <n v="2025"/>
    <n v="4500021798"/>
    <s v="5374/SPP/SBU/PLNICONPLUS/2024"/>
    <n v="4500024475"/>
    <s v="Renata Simanjuntak"/>
    <s v="Asep"/>
    <m/>
    <m/>
    <m/>
    <m/>
    <m/>
    <m/>
    <m/>
    <m/>
    <n v="408"/>
    <m/>
    <m/>
  </r>
  <r>
    <n v="2088"/>
    <s v="Supra Primatama Nusantara"/>
    <s v="PT Global Infotech Solutions"/>
    <s v="MidPlaza 2 Lantai 8 Jl. Jend Sudirman Kav 10 -11"/>
    <x v="0"/>
    <m/>
    <s v="PT Autocamp System Indonesia Jakarta, Gd Mid Plaza 2 Lt 10 Jl. Jend.Sudirman Kav 10-11, Tanah Abang, Jakarta Pusat, DKI Jakarta, Indonesia, 10220"/>
    <s v="Sewa Bulanan"/>
    <s v="Interkoneksi"/>
    <s v="8223110200015"/>
    <s v="111205024322"/>
    <n v="0.998"/>
    <s v="IPVPN"/>
    <s v="20 Mbps"/>
    <m/>
    <n v="192000000"/>
    <m/>
    <m/>
    <n v="120000000"/>
    <m/>
    <d v="2024-11-24T00:00:00"/>
    <d v="2025-11-23T00:00:00"/>
    <x v="1"/>
    <m/>
    <d v="2025-12-24T00:00:00"/>
    <n v="-31"/>
    <n v="11"/>
    <n v="2025"/>
    <s v="4500021796 | 2096/SPP/SBU/ICON+/2023"/>
    <s v="5406/SPP/SBU/PLNICONPLUS/2025"/>
    <s v="4500024593"/>
    <s v="Renata Simanjuntak"/>
    <s v="+62 813-1673-1414"/>
    <m/>
    <m/>
    <m/>
    <m/>
    <m/>
    <m/>
    <m/>
    <m/>
    <n v="238"/>
    <m/>
    <m/>
  </r>
  <r>
    <n v="2089"/>
    <s v="DCI Indonesia"/>
    <s v="PT Tokopedia"/>
    <s v="Equity Tower 17th floor suite F SCBD lot Jl Jend Sudirman Kav 52-53 Jakarta 12196"/>
    <x v="0"/>
    <s v="H2H, (Backhaul) DCI Data Center Jl. Halmahera Blok F1"/>
    <s v="H2H, Gd. Plaza Mandiri Jl Jend Gatot Subroto Kab 36-38 Jakarta,  Kec. Kebayoran Baru,  Jakarta Selatan,  DKI Jakarta,H2H, Menara BCA, Jl. M.H. Thamrin No.1, RT.1/RW.5, Menteng,  Kec Menteng,  Jakarta Pusat,  DKI Jakarta,  H2H, Gedung Teknologi Informasi Lt 4 Jl RM Harsono No.2 RT 6/7 Ragunan,  KEC. Pasar Minggu,  Jakarta Selatan,  DKI Jakarta,"/>
    <s v="Sewa Tahunan"/>
    <s v="Cross Connect"/>
    <s v="1000067620; 1000067728; 1000067736"/>
    <m/>
    <m/>
    <s v="IPVPN"/>
    <m/>
    <m/>
    <n v="204000000"/>
    <m/>
    <m/>
    <n v="54000000"/>
    <m/>
    <d v="2024-08-05T00:00:00"/>
    <d v="2025-08-04T00:00:00"/>
    <x v="0"/>
    <m/>
    <d v="2025-12-24T00:00:00"/>
    <n v="-142"/>
    <n v="8"/>
    <n v="2025"/>
    <n v="4500021185"/>
    <s v="5330/SPP/SBU/PLNICONPLUS/2024"/>
    <s v="4500024460"/>
    <s v="Fajar Paramita"/>
    <s v="Irma"/>
    <m/>
    <m/>
    <m/>
    <m/>
    <m/>
    <m/>
    <m/>
    <m/>
    <n v="492"/>
    <m/>
    <m/>
  </r>
  <r>
    <n v="2090"/>
    <s v="DCI Indonesia"/>
    <s v="PT Tokopedia"/>
    <s v="Equity Tower 17th floor suite F SCBD lot Jl Jend Sudirman Kav 52-53 Jakarta 12196"/>
    <x v="0"/>
    <s v="H2H, (Backhaul) DCI Data Center Jl. Halmahera Blok F1"/>
    <s v="H2H - Data Center KAI Bandung, Jl. Perintis Kemerdekaan"/>
    <s v="Sewa Tahunan"/>
    <s v="Cross Connect"/>
    <n v="1000194976"/>
    <m/>
    <m/>
    <s v="IPVPN"/>
    <m/>
    <m/>
    <n v="60000000"/>
    <m/>
    <m/>
    <n v="18000000"/>
    <m/>
    <d v="2024-10-24T00:00:00"/>
    <d v="2025-10-23T00:00:00"/>
    <x v="0"/>
    <m/>
    <d v="2025-12-24T00:00:00"/>
    <n v="-62"/>
    <n v="10"/>
    <n v="2025"/>
    <s v="4500021962 |"/>
    <s v="5332/SPP/SBU/PLNICONPLUS/2024"/>
    <s v="4500024461"/>
    <s v="Fajar Paramita"/>
    <s v="Irma"/>
    <m/>
    <m/>
    <m/>
    <m/>
    <m/>
    <m/>
    <m/>
    <m/>
    <n v="405"/>
    <m/>
    <m/>
  </r>
  <r>
    <n v="2091"/>
    <s v="Aplikanusa Lintasarta"/>
    <s v="Bank Danamon"/>
    <s v="Lintasarta Building , Jl.TB Simatupang Kav 10. Jakarta Selatan 12430"/>
    <x v="0"/>
    <m/>
    <s v="Jl Matraman Raya No.52. Lt.3, Kebon Manggis, Matraman, Jakarta Timur, 13150"/>
    <s v="Sewa Bulanan"/>
    <s v="Interkoneksi"/>
    <s v="A821303001192"/>
    <s v="111303013194 &amp; 111205029138"/>
    <n v="0.995"/>
    <s v="Internet Corporate &amp; IPVPN"/>
    <s v="200 Mbps &amp; 10 Mbps"/>
    <n v="5000000"/>
    <n v="17900000"/>
    <m/>
    <n v="5000000"/>
    <n v="78000000"/>
    <m/>
    <d v="2024-11-28T00:00:00"/>
    <d v="2025-11-27T00:00:00"/>
    <x v="1"/>
    <m/>
    <d v="2025-12-24T00:00:00"/>
    <n v="-27"/>
    <n v="11"/>
    <n v="2025"/>
    <s v="Baru"/>
    <s v="4903/SPP/SBU/PLNICONPLUS/2024"/>
    <s v="4500023867"/>
    <s v="Syifa Artianingsih"/>
    <s v="Ilham"/>
    <m/>
    <m/>
    <m/>
    <m/>
    <m/>
    <m/>
    <m/>
    <m/>
    <n v="399"/>
    <m/>
    <m/>
  </r>
  <r>
    <n v="2092"/>
    <s v="DCI Indonesia"/>
    <s v="PT Tokopedia"/>
    <s v="Equity Tower 17th floor suite F SCBD lot Jl Jend Sudirman Kav 52-53 Jakarta 12196"/>
    <x v="0"/>
    <s v="H2H, (Backhaul) DCI Data Center Jl. Halmahera Blok F1"/>
    <s v="Primary Link - H2H - DC VTAX Jl Sukasenang No. 26 "/>
    <s v="Sewa Tahunan"/>
    <s v="Cross Connect"/>
    <s v="PA/ACT/1910/0328"/>
    <m/>
    <m/>
    <s v="IPVPN"/>
    <m/>
    <m/>
    <n v="60000000"/>
    <m/>
    <m/>
    <n v="18000000"/>
    <m/>
    <d v="2024-11-30T00:00:00"/>
    <d v="2025-11-29T00:00:00"/>
    <x v="0"/>
    <m/>
    <d v="2025-12-24T00:00:00"/>
    <n v="-25"/>
    <n v="11"/>
    <n v="2025"/>
    <s v="4500021960 |"/>
    <s v="5333/SPP/SBU/PLNICONPLUS/2024"/>
    <s v="4500024465"/>
    <s v="Fajar Paramita"/>
    <s v="Irma"/>
    <m/>
    <m/>
    <m/>
    <m/>
    <m/>
    <m/>
    <m/>
    <m/>
    <n v="2"/>
    <m/>
    <m/>
  </r>
  <r>
    <n v="2093"/>
    <s v="Cablenet Fiber Data"/>
    <s v="PT Xapiens Teknologi Indonesia"/>
    <s v="Jl Simprug Garden 1 Blok W No.11 RT.07/RW.03, Grogol Selatan, Kebayoran Lama, Jakarta Selatan, DKI Jakarta, 12220"/>
    <x v="0"/>
    <s v="GD Graha Mitra Lantai 3 Jl. Gatot Subroto No.Kav 21, RT.3/RW.2, Karet Semanggi, Kecamatan Setiabudi, Kota Jakarta Selatan, Daerah Khusus Ibukota Jakarta 12930"/>
    <s v="GD Graha Mitra Lantai 3 Jl. Gatot Subroto No.Kav 21, RT.3/RW.2, Karet Semanggi, Kecamatan Setiabudi, Kota Jakarta Selatan, Daerah Khusus Ibukota Jakarta 12930"/>
    <s v="Sewa Bulanan"/>
    <s v="Interkoneksi"/>
    <s v="A311303000965"/>
    <s v="311303001497"/>
    <n v="0.995"/>
    <s v="Internet Corporate"/>
    <s v="100 Mbps"/>
    <m/>
    <n v="51000000"/>
    <m/>
    <m/>
    <n v="42000000"/>
    <m/>
    <d v="2024-10-01T00:00:00"/>
    <d v="2025-09-30T00:00:00"/>
    <x v="0"/>
    <m/>
    <d v="2025-12-24T00:00:00"/>
    <n v="-85"/>
    <n v="9"/>
    <n v="2025"/>
    <s v="Baru"/>
    <s v="4714/SPP/SBU/PLNICONPLUS/2024"/>
    <s v="4500024318"/>
    <s v="Syifa Artianingsih"/>
    <s v="Cindy Pratiwi"/>
    <s v="0857-2207-8712"/>
    <m/>
    <m/>
    <m/>
    <m/>
    <m/>
    <m/>
    <m/>
    <n v="503"/>
    <m/>
    <m/>
  </r>
  <r>
    <n v="2094"/>
    <s v="IDC (Internetindo Data Centra Indonesia) "/>
    <s v="Join All Customer"/>
    <s v="Jl. Kuningan Barat No.8 Cyber Building 7, Jakarta Selatan 12710"/>
    <x v="0"/>
    <m/>
    <s v="Cyber 1 Lantai 7 IDC Indonesia (summer 263)"/>
    <s v="Sewa Tahunan"/>
    <s v="Colocation"/>
    <m/>
    <m/>
    <m/>
    <m/>
    <m/>
    <m/>
    <n v="347745000"/>
    <m/>
    <m/>
    <n v="142500000"/>
    <m/>
    <d v="2024-10-20T00:00:00"/>
    <d v="2025-10-19T00:00:00"/>
    <x v="0"/>
    <m/>
    <d v="2025-12-24T00:00:00"/>
    <n v="-66"/>
    <n v="10"/>
    <n v="2025"/>
    <n v="4500021734"/>
    <s v="4608/SPP/SBU/PLNICONPLUS/2024"/>
    <s v="4500023668"/>
    <s v="Fajar Paramita"/>
    <m/>
    <m/>
    <m/>
    <m/>
    <m/>
    <m/>
    <m/>
    <m/>
    <m/>
    <m/>
    <m/>
    <m/>
  </r>
  <r>
    <n v="2095"/>
    <s v="Pelabuhan Indonesia II  (Persero)/PELINDO II"/>
    <s v="PT TARUNA_x000a_  BINA SARANA dan AKR"/>
    <s v="Jl. Raya Pelabuhan No. 1 Ciwandan Cilegon 42166"/>
    <x v="3"/>
    <m/>
    <s v="Pelabuhan Banten Jl. Raya Pelabuhan No. 1 Lahan Pelindo II Cabang Banten Desa Kepuh Kec. Ciwandan Cilegon Banten 42166 (PT Taruna Bina Sarana dan AKR)"/>
    <s v="Sewa Tahunan"/>
    <s v="Colocation"/>
    <s v="110120205864 /_x000a_060000105260001 |A111401003056"/>
    <m/>
    <m/>
    <m/>
    <m/>
    <m/>
    <n v="114000000"/>
    <m/>
    <m/>
    <n v="55656402"/>
    <m/>
    <d v="2025-01-01T00:00:00"/>
    <d v="2025-12-31T00:00:00"/>
    <x v="1"/>
    <m/>
    <d v="2025-12-24T00:00:00"/>
    <n v="7"/>
    <n v="12"/>
    <n v="2025"/>
    <s v="4500022454"/>
    <s v="5313/SPP/SBU/PLNICONPLUS/2024"/>
    <s v="4500024278"/>
    <s v="Fajar Paramita"/>
    <m/>
    <m/>
    <m/>
    <m/>
    <m/>
    <m/>
    <m/>
    <m/>
    <m/>
    <m/>
    <n v="206"/>
    <m/>
  </r>
  <r>
    <n v="2096"/>
    <s v="Circlecom Nusantara Indonesia"/>
    <s v="PT Sumber Segara Primadaya"/>
    <s v="Indonesia Stock Exchange Building Tower 2, Lt 28 #2804 Jl. Jend Sudirman Kav. 52-53 Jakarta 12190"/>
    <x v="3"/>
    <s v=" Jl. Lingkar Timur karang Kandri Kecamatan Kesugihan Cilacap Jawa Tengah (Relokasi Jalur Baru),-,-,-,Indonesia,-Jawa"/>
    <s v="TREASURY TOWER, Lt. 39 Jln. Jend. Sudirman Kav 52-53 SCBD Jakarta Selatan - 12190,- ,Jakarta Selatan ,DKI Jakarta, Indonesia"/>
    <s v="Sewa Bulanan"/>
    <s v="Interkoneksi"/>
    <s v="PA/UPG/2111/0035"/>
    <s v="130120200737 / 01000030570"/>
    <n v="0.99"/>
    <s v="Metronet"/>
    <s v="15 Mbps"/>
    <m/>
    <n v="386400000"/>
    <m/>
    <m/>
    <n v="180000000"/>
    <m/>
    <d v="2025-01-01T00:00:00"/>
    <d v="2025-12-31T00:00:00"/>
    <x v="0"/>
    <m/>
    <d v="2025-12-24T00:00:00"/>
    <n v="7"/>
    <n v="12"/>
    <n v="2025"/>
    <n v="4500022108"/>
    <s v="5371/SPP/SBU/PLNICONPLUS/2024"/>
    <s v="4500024316"/>
    <s v="Renata Simanjuntak"/>
    <s v="Halley "/>
    <s v="+62 856-9800-999"/>
    <m/>
    <m/>
    <m/>
    <m/>
    <m/>
    <m/>
    <m/>
    <m/>
    <n v="41"/>
    <m/>
  </r>
  <r>
    <n v="2097"/>
    <s v="Dunia Virtual Online"/>
    <s v="MCO JAYA"/>
    <s v="Jl. Raya Tapos No. 31, Depok, Jawa Barat"/>
    <x v="3"/>
    <s v="Jl. Kuningan Barat 1 no.26 rt6/rw1 kuningan bar. Mampang PRPT. Tifa Building"/>
    <s v="Jl. Halim Perdana Kusuma, Kec. Makasar Kota Jakarta Timur"/>
    <s v="Sewa Tahunan"/>
    <s v="Cross Connect"/>
    <s v="A111202004643"/>
    <s v="111202019311"/>
    <m/>
    <s v="Metronet"/>
    <s v="1 Mbps"/>
    <n v="8000000"/>
    <n v="48000000"/>
    <m/>
    <n v="2000000"/>
    <n v="18000000"/>
    <m/>
    <d v="2025-01-06T00:00:00"/>
    <d v="2026-01-05T00:00:00"/>
    <x v="1"/>
    <m/>
    <d v="2025-12-24T00:00:00"/>
    <n v="12"/>
    <n v="1"/>
    <n v="2026"/>
    <m/>
    <s v="5435/SPP/SBU/PLNICONPLUS/2024"/>
    <s v="4500024322"/>
    <s v="Syifa Fauziyah"/>
    <s v="zulharman"/>
    <m/>
    <m/>
    <m/>
    <m/>
    <m/>
    <m/>
    <m/>
    <m/>
    <n v="436"/>
    <m/>
    <m/>
  </r>
  <r>
    <n v="2098"/>
    <s v="Internetwork Komunikasi Indonesia"/>
    <s v="PT Pertamina Hulu Energi"/>
    <s v="Soho Capital Lt. 35 Unit No. 9 Podomoro City, Jalan Jendral . S. Parman 11470"/>
    <x v="0"/>
    <m/>
    <s v="PSDC (Node PHE) - Gedung Grha Pertamina, Tower Fastron (Grha), Jalan Medan Merdeka Timur No. 11-12, Jakarta Pusat"/>
    <s v="Sewa Bulanan"/>
    <s v="Interkoneksi"/>
    <s v="A811303000349"/>
    <s v="111303012033"/>
    <s v="99,50%"/>
    <s v="Internet Corporate"/>
    <s v="300 Mbps"/>
    <n v="7500000"/>
    <n v="340200000"/>
    <m/>
    <n v="5000000"/>
    <n v="285000000"/>
    <m/>
    <d v="2024-05-28T00:00:00"/>
    <d v="2025-05-27T00:00:00"/>
    <x v="0"/>
    <m/>
    <d v="2025-12-24T00:00:00"/>
    <n v="-211"/>
    <n v="5"/>
    <n v="2025"/>
    <s v="Baru"/>
    <s v="4533/SPP/SBU/PLNICONPLUS/2024"/>
    <s v="4500023633"/>
    <s v="Renata Simanjuntak"/>
    <m/>
    <m/>
    <m/>
    <m/>
    <m/>
    <m/>
    <m/>
    <m/>
    <m/>
    <n v="391"/>
    <m/>
    <m/>
  </r>
  <r>
    <n v="2099"/>
    <s v="Infrastruktur Cakrawala Telekomunikasi"/>
    <s v="PT Jaya Refrigeration Equipment"/>
    <s v="WPT Building Jl. Jababeka IV Blok B No. 12 jbbk"/>
    <x v="2"/>
    <m/>
    <s v="JL. JABABEKA -B NO.2, WANGUNHARJA, KEC. CIKARANG UTARA, KABUPATEN BEKASI, JAWA BARAT 17530"/>
    <s v="Sewa Tahunan"/>
    <s v="Cross Connect"/>
    <s v="A111202008220"/>
    <s v="111202021431"/>
    <m/>
    <s v="Metronet"/>
    <s v="20 Mbps"/>
    <n v="3500000"/>
    <n v="54000000"/>
    <m/>
    <m/>
    <n v="17479944"/>
    <m/>
    <d v="2025-01-22T00:00:00"/>
    <d v="2026-01-21T00:00:00"/>
    <x v="1"/>
    <m/>
    <d v="2025-12-24T00:00:00"/>
    <n v="28"/>
    <n v="1"/>
    <n v="2026"/>
    <s v="baru"/>
    <s v="5548/SPP/SBU/PLNICONPLUS/2025"/>
    <s v="4500024446"/>
    <s v="Syifa Fauziyah"/>
    <s v="Anjar"/>
    <m/>
    <m/>
    <m/>
    <m/>
    <m/>
    <m/>
    <m/>
    <m/>
    <m/>
    <m/>
    <m/>
  </r>
  <r>
    <n v="2100"/>
    <s v="Infrastruktur Bisnis Sejahtera"/>
    <s v="PT Sari Coffee Indonesia"/>
    <s v="Gedung GKM Lt 2, Jalan Cikini Raya No 12 – 14, Menteng – Jakarta Pusat"/>
    <x v="0"/>
    <m/>
    <s v="Starbucks, Living Plaza Jababeka, Jl. Niaga Raya BB/2-4, Kel. Pasarsari, Cikarang Barat, Kota Bekasi, Jawa Barat, Indonesia, 17532"/>
    <s v="Sewa Tahunan"/>
    <s v="Cross Connect"/>
    <s v="110130306885 / 04000085566 "/>
    <m/>
    <m/>
    <s v="Internet Corporate"/>
    <s v="5 Mbps"/>
    <m/>
    <n v="54000000"/>
    <m/>
    <m/>
    <n v="18150000"/>
    <m/>
    <d v="2024-10-28T00:00:00"/>
    <d v="2025-10-27T00:00:00"/>
    <x v="0"/>
    <m/>
    <d v="2025-12-24T00:00:00"/>
    <n v="-58"/>
    <n v="10"/>
    <n v="2025"/>
    <n v="4500022066"/>
    <s v="5441/SPP/SBU/PLNICONPLUS/2024"/>
    <s v="4500024435"/>
    <s v="Livia Indraswati"/>
    <m/>
    <m/>
    <m/>
    <m/>
    <m/>
    <m/>
    <m/>
    <m/>
    <m/>
    <n v="54"/>
    <m/>
    <m/>
  </r>
  <r>
    <n v="2101"/>
    <s v="Infrastruktur Bisnis Sejahtera"/>
    <s v="PT Supra Boga Lestari Tbk"/>
    <s v="Gedung GKM Lt 2, Jalan Cikini Raya No 12 – 14, Menteng – Jakarta Pusat"/>
    <x v="0"/>
    <m/>
    <s v="Living Plaza Jababeka (Farmers Market) , Jl. Niaga Raya BB/2-4, Kel. Pasarsari, Cikarang, Bekasi, Jawa Barat"/>
    <s v="Sewa Tahunan"/>
    <s v="Cross Connect"/>
    <s v="PA/ACT/1910/0323"/>
    <m/>
    <m/>
    <s v="Internet Corporate"/>
    <s v="2 Mbps"/>
    <m/>
    <n v="36000000"/>
    <m/>
    <m/>
    <n v="7260000"/>
    <m/>
    <d v="2024-10-23T00:00:00"/>
    <d v="2025-10-22T00:00:00"/>
    <x v="2"/>
    <m/>
    <d v="2025-12-24T00:00:00"/>
    <n v="-63"/>
    <n v="10"/>
    <n v="2025"/>
    <n v="4500021648"/>
    <s v="5439/SPP/SBU/PLNICONPLUS/2024"/>
    <s v="4500024436"/>
    <s v="Livia Indraswati"/>
    <m/>
    <m/>
    <m/>
    <m/>
    <m/>
    <m/>
    <m/>
    <m/>
    <m/>
    <n v="60"/>
    <m/>
    <m/>
  </r>
  <r>
    <n v="2102"/>
    <s v="DCI Indonesia"/>
    <s v="BANK BJB"/>
    <s v="Equity Tower 17th floor suite F SCBD lot Jl Jend Sudirman Kav 52-53 Jakarta 12196"/>
    <x v="0"/>
    <s v="BANK BJB TOWER, JL. NARIPAN NO.12 - 14, BRAGA, SUMURBANDUNG, KOTA BANDUNG, JAWA BARAT 40111"/>
    <s v="BACKHAUL WAN DCI - BACKHAUL WAN DCI INDONESIA, -KAWASAN INDUSTRI MM2100, JL. JAWA BLOK GGS NO. 1, GD. JK 3 LT. 4, CIKARANG BARAT, KABUPATEN BEKASI"/>
    <s v="Sewa Tahunan"/>
    <s v="Cross Connect"/>
    <s v="PA/ACT/2204/3497"/>
    <m/>
    <m/>
    <s v="Internet Corporate"/>
    <s v="2 Mbps"/>
    <m/>
    <m/>
    <m/>
    <m/>
    <n v="36000000"/>
    <m/>
    <d v="2024-12-14T00:00:00"/>
    <d v="2025-12-13T00:00:00"/>
    <x v="1"/>
    <m/>
    <d v="2025-12-24T00:00:00"/>
    <n v="-11"/>
    <n v="12"/>
    <n v="2025"/>
    <n v="4500022049"/>
    <s v="5547/SPP/SBU/PLNICONPLUS/2025"/>
    <s v="4500024466"/>
    <s v="Livia Indraswati"/>
    <s v="Irma"/>
    <m/>
    <m/>
    <m/>
    <m/>
    <m/>
    <m/>
    <m/>
    <m/>
    <n v="178"/>
    <m/>
    <m/>
  </r>
  <r>
    <n v="2103"/>
    <s v="Dunia Virtual Online"/>
    <s v="PT Bank Mandiri"/>
    <s v="Jl. Kuningan Barat 1. No.26, RT6/1 Tifa Building"/>
    <x v="0"/>
    <m/>
    <s v="H2H E-MOBILE BMRI, (DATA CENTER TIFA BUILDING), JALAN KUNINGAN BARAT 1 NO.26,KEC. MAMPANG PRAPATAN, JAKARTA SELATAN, DKI JAKARTA, INDONESIA, 12710"/>
    <s v="Sewa Tahunan"/>
    <s v="Cross Connect"/>
    <s v="110120501636 / 01000316630"/>
    <m/>
    <m/>
    <s v="IPVPN"/>
    <s v="2 Mbps"/>
    <m/>
    <n v="30545460"/>
    <m/>
    <m/>
    <n v="5040000"/>
    <m/>
    <d v="2024-10-31T00:00:00"/>
    <d v="2025-10-30T00:00:00"/>
    <x v="0"/>
    <m/>
    <d v="2025-12-24T00:00:00"/>
    <n v="-55"/>
    <n v="10"/>
    <n v="2025"/>
    <n v="4500022148"/>
    <s v="5588/SPP/SBU/PLNICONPLUS/2025"/>
    <s v="4500024443"/>
    <s v="Livia Indraswati"/>
    <s v="Zulharman"/>
    <m/>
    <m/>
    <m/>
    <m/>
    <m/>
    <m/>
    <m/>
    <m/>
    <n v="278"/>
    <m/>
    <m/>
  </r>
  <r>
    <n v="2104"/>
    <s v="Ekagrata Data Gemilang"/>
    <s v="PT Airpay International Indonesia_x000a_PT Bank Mandiri"/>
    <s v="Gedung Mten Lantai 22 unti D&amp;E, Jl. Kapten Tendean, Kuningan Barat, 12710"/>
    <x v="0"/>
    <m/>
    <s v="H2H SHOPEE, GEDUNG EDGE LANTAI 3, JL. KUNINGAN BARAT RAYA NO.59, RT.1/RW.3, KUNINGAN BAR,KEC. MAMPANG PRAPATAN ,JAKARTA SELATAN ,DKI JAKARTA ,INDONESIA ,12710"/>
    <s v="Sewa Tahunan"/>
    <s v="Colocation"/>
    <s v="110120501119 / 01000320667_x000a_PA/ACT/2212/0254"/>
    <m/>
    <m/>
    <s v="IPVPN"/>
    <s v="2 Mbps dan 3 Mbps"/>
    <m/>
    <n v="120545460"/>
    <m/>
    <m/>
    <n v="60000000"/>
    <m/>
    <d v="2024-12-16T00:00:00"/>
    <d v="2025-12-15T00:00:00"/>
    <x v="0"/>
    <m/>
    <d v="2025-12-24T00:00:00"/>
    <n v="-9"/>
    <n v="12"/>
    <n v="2025"/>
    <n v="4500021749"/>
    <s v="5553/SPP/SBU/PLNICONPLUS/2025"/>
    <s v="4500024519"/>
    <s v="Livia Indraswati"/>
    <m/>
    <m/>
    <m/>
    <m/>
    <m/>
    <m/>
    <m/>
    <m/>
    <m/>
    <n v="419"/>
    <m/>
    <m/>
  </r>
  <r>
    <n v="2105"/>
    <s v="Infrastruktur Cakrawala Telekomunikasi"/>
    <s v="PT HANASTA Dakara"/>
    <s v="WPT Building Jl. Jababeka IV Blok B No. 12 jbbk"/>
    <x v="2"/>
    <s v="IDC 3D JL. DUREN TIGA RAYA NO.7, RT.9/RW.5, DUREN TIGA, KEC. PANCORAN, KOTA JAKARTA SELATAN, DAERAH KHUSUS IBUKOTA JAKARTA 12760"/>
    <s v="PT. DAWEE ELECTRONOCS INDONESIA KAWASAN LNDUSTRI JABABEKA I CIKARANG, JI. JABABEKA XVI NO.3-C BLOK U, HARJA MEKAR, KEE. CIKARANG UTARA, KABUPATEN BEKASI, JAWA BARAT 17530 (-6.273972832289, 107.137210771164)"/>
    <s v="Sewa Tahunan"/>
    <s v="Cross Connect"/>
    <s v="A111202006962 "/>
    <s v="111202020559"/>
    <m/>
    <s v="Metronet"/>
    <s v="50 Mbps"/>
    <n v="5000000"/>
    <n v="60000000"/>
    <m/>
    <m/>
    <n v="30536280"/>
    <m/>
    <d v="2025-01-16T00:00:00"/>
    <d v="2026-01-15T00:00:00"/>
    <x v="1"/>
    <m/>
    <d v="2025-12-24T00:00:00"/>
    <n v="22"/>
    <n v="1"/>
    <n v="2026"/>
    <s v="baru"/>
    <s v="5636/SPP/SBU/PLNICONPLUS/2025"/>
    <s v="4500024515"/>
    <s v="Syifa Fauziyah"/>
    <s v="Anjar"/>
    <m/>
    <m/>
    <m/>
    <m/>
    <m/>
    <m/>
    <m/>
    <m/>
    <m/>
    <m/>
    <m/>
  </r>
  <r>
    <n v="2106"/>
    <s v="Infrastruktur Cakrawala Telekomunikasi"/>
    <s v="Cahaya Jakarta"/>
    <s v="WPT Building Jl. Jababeka IV Blok B No. 12 jbbk"/>
    <x v="0"/>
    <m/>
    <s v="JL. INDUSTRI SELATAN BLOK QQ NO. 8D, KAWASAN INDUSTRI JABABEKA 2, PASIRSARI, CIKARANG SELATAN, JAWA BARAT, INDONESIA, 11460"/>
    <s v="Sewa Tahunan"/>
    <s v="Cross Connect"/>
    <s v=" U111303004908"/>
    <s v="04000005991"/>
    <m/>
    <s v="Metronet"/>
    <s v="40 Mbps"/>
    <m/>
    <n v="96000000"/>
    <m/>
    <m/>
    <n v="27134172"/>
    <m/>
    <d v="2024-12-11T00:00:00"/>
    <d v="2025-12-10T00:00:00"/>
    <x v="1"/>
    <m/>
    <d v="2025-12-24T00:00:00"/>
    <n v="-14"/>
    <n v="12"/>
    <n v="2025"/>
    <s v="baru"/>
    <s v="5448/SPP/SBU/PLNICONPLUS/2025"/>
    <s v="4500024447"/>
    <s v="Syifa Fauziyah"/>
    <s v="Anjar"/>
    <m/>
    <m/>
    <m/>
    <m/>
    <m/>
    <m/>
    <m/>
    <m/>
    <m/>
    <m/>
    <m/>
  </r>
  <r>
    <n v="2107"/>
    <s v="Infrastruktur Cakrawala Telekomunikasi"/>
    <s v="PT MATTEL INDONESIA"/>
    <s v="WTP Building Jl.Jababeka IV Blok B No.12 Cikarang"/>
    <x v="3"/>
    <m/>
    <s v="PEMINDAHAN JALUR DIRECT ICON) JL. INDUSTRI UTAMA BLOK SS KAV 1- 3, KAWASAN INDUSTRI JABABEKA II, CIKARANG UTARA, KABUPATEN BEKASI, JAWA BARAT, INDONESIA, 17530"/>
    <s v="Sewa Tahunan"/>
    <s v="Cross Connect"/>
    <s v="A111303004046 "/>
    <s v="111303013881 "/>
    <m/>
    <s v="Metronet"/>
    <s v="500 Mbps"/>
    <m/>
    <n v="834580645"/>
    <m/>
    <m/>
    <n v="221290323"/>
    <m/>
    <d v="2024-12-12T00:00:00"/>
    <d v="2025-12-31T00:00:00"/>
    <x v="1"/>
    <m/>
    <d v="2025-12-24T00:00:00"/>
    <n v="7"/>
    <n v="12"/>
    <n v="2025"/>
    <s v="baru"/>
    <s v="5884/SPP/SBU/PLNICONPLUS/2025"/>
    <s v="4500024657"/>
    <s v="Syifa Fauziyah"/>
    <s v="Anjar"/>
    <m/>
    <m/>
    <m/>
    <m/>
    <m/>
    <m/>
    <m/>
    <m/>
    <m/>
    <m/>
    <m/>
  </r>
  <r>
    <n v="2108"/>
    <s v="Envision"/>
    <s v="PT Pelayaran Bahtera Adhiguna 2 Link (VLAN 81 dan 1132)"/>
    <s v="Gedung Gandaria 8 Office Tower Lantai 6 Unit H Jl. Sultan Iskandar Muda Kebayoran Lama Jakarta Selatan"/>
    <x v="0"/>
    <s v="PLN ICON PLUS Jalan Raya PLN EHP, Gandul, Kec. Cinere, Kota Depok, Jawa Barat 16514, Indonesia"/>
    <s v="PT Pelayaran Bahtera Adhiguna, Gedung Prudential, Gedung Prudential Centre, Lantai 11 unit A B C D E, Kota Kasablanka, Jl Casablanca Raya Kav.88. Jakarta Selatan 12870"/>
    <s v="Sewa Bulanan"/>
    <s v="Interkoneksi"/>
    <s v="A112401000673 &amp;  A112401000674"/>
    <s v="111601012800 &amp; 111205024273"/>
    <s v="99,8 %"/>
    <s v="Local Loop"/>
    <s v="10 Mbps &amp; 10 Mbps"/>
    <m/>
    <n v="123600000"/>
    <m/>
    <n v="5000000"/>
    <n v="93120000"/>
    <m/>
    <d v="2024-12-04T00:00:00"/>
    <d v="2025-12-03T00:00:00"/>
    <x v="1"/>
    <m/>
    <d v="2025-12-24T00:00:00"/>
    <n v="-21"/>
    <n v="12"/>
    <n v="2025"/>
    <s v="Baru"/>
    <s v="4525/SPP/SBU/PLNICONPLUS/2025"/>
    <s v="4500023712"/>
    <s v="Syifa Artianingsih"/>
    <s v="Anto"/>
    <m/>
    <m/>
    <m/>
    <m/>
    <m/>
    <m/>
    <m/>
    <m/>
    <n v="504"/>
    <m/>
    <m/>
  </r>
  <r>
    <n v="2109"/>
    <s v="Supra Primatama Nusantara"/>
    <s v="PT Polytama Propindo"/>
    <s v="MidPlaza 2 Lantai 8 Jl. Jend Sudirman Kav 10 -11"/>
    <x v="0"/>
    <s v="Head Office PT Polytama Propindo - Gedung Mid Plaza 2, Jl. Jenderal Sudrman No. 10-11 RT.10/RW.11, Karet Tengsin, Tanah Abang, Jakarta Pusat, DKI Jakarta, Indonesia, 10220."/>
    <s v="Jl. Juntinyuat KM. 13, Desa Limbangan Kab. Indramayu, Balongan, Kab Indramayu, Jawa Barat, Indonesia, 45282"/>
    <s v="Sewa Bulanan"/>
    <s v="Interkoneksi"/>
    <s v="PA/ACT/2201/2967"/>
    <s v="1000189276"/>
    <s v="99,50%"/>
    <s v="Metronet"/>
    <s v="30 Mbps"/>
    <m/>
    <n v="76800000"/>
    <m/>
    <m/>
    <n v="113400000"/>
    <m/>
    <d v="2024-06-10T00:00:00"/>
    <d v="2025-06-09T00:00:00"/>
    <x v="0"/>
    <m/>
    <d v="2025-12-24T00:00:00"/>
    <n v="-198"/>
    <n v="6"/>
    <n v="2025"/>
    <s v="4500021036 | _x0009_469/SPP/SBU/ICON+/2023"/>
    <s v="4949/SPP/SBU/PLNICONPLUS/2024"/>
    <s v="4500024474"/>
    <s v="Syifa Artianingsih"/>
    <s v="+62 813-1673-1414"/>
    <m/>
    <m/>
    <m/>
    <m/>
    <m/>
    <m/>
    <m/>
    <m/>
    <n v="288"/>
    <m/>
    <m/>
  </r>
  <r>
    <n v="2110"/>
    <s v="Serpong Mas Telamatika"/>
    <s v="BD Agriculture Indonesia"/>
    <s v="MyRepublik plaza lt 2 Wing A"/>
    <x v="0"/>
    <m/>
    <s v="Green Office Park 6 Wing A, 3rd Floor, Zone 6 Jl. Grand Boulevard BSD Green Office Park BSD City - Tangerang 15345 INDONESIA"/>
    <s v="Sewa Bulanan"/>
    <s v="Interkoneksi"/>
    <s v="U111303004782"/>
    <s v="110130303338/ 0990000320514382"/>
    <s v="99,50%"/>
    <s v="Internet Corporate"/>
    <s v="8 Mbps"/>
    <m/>
    <n v="108000000"/>
    <m/>
    <m/>
    <n v="57360000"/>
    <m/>
    <d v="2024-12-27T00:00:00"/>
    <d v="2025-06-30T00:00:00"/>
    <x v="0"/>
    <m/>
    <d v="2025-12-24T00:00:00"/>
    <n v="-177"/>
    <n v="6"/>
    <n v="2025"/>
    <s v="Baru"/>
    <s v="5457/SPP/SBU/PLNICONPLUS/2024"/>
    <s v="4500024453"/>
    <s v="Syifa Artianingsih"/>
    <s v="Masrukhan"/>
    <s v="+62 812-9844-8648"/>
    <m/>
    <m/>
    <m/>
    <m/>
    <m/>
    <m/>
    <m/>
    <n v="410"/>
    <m/>
    <m/>
  </r>
  <r>
    <n v="2111"/>
    <s v="Trans Hybrid Communication "/>
    <s v="Bank Central Asia"/>
    <s v="Graha Trans Hybrid Margonda raya Jl. Salak No. 520 Ruko B-C Depok Jawa Barat"/>
    <x v="1"/>
    <s v="Menara BCA Grand Indonesia, Jl MH Thamrin No.1 Menteng, Kec Menteng, Jakarta Pusat, DKI Jakarta 10310"/>
    <s v="BCA KCP Pondok Gede Plaza (PGP) Ruko Pondok Gede Plaza, Blok H no 3 dan 5. Jl Raya Pondok Gede, Pondok Gede, Bekasi, Jawa Barat, Indonesia"/>
    <s v="Sewa Bulanan"/>
    <s v="Interkoneksi"/>
    <s v="PA/ACT/2302/1399"/>
    <s v="111202018016"/>
    <n v="0.995"/>
    <s v="Metronet"/>
    <s v="6 Mbps"/>
    <m/>
    <n v="47400000"/>
    <m/>
    <m/>
    <n v="33600000"/>
    <m/>
    <d v="2025-03-01T00:00:00"/>
    <d v="2026-02-28T00:00:00"/>
    <x v="1"/>
    <m/>
    <d v="2025-12-24T00:00:00"/>
    <n v="66"/>
    <n v="2"/>
    <n v="2026"/>
    <s v="4500022183 | 2361/SPP/SBU/ICON+/2023"/>
    <s v="5373/SPP/SBU/PLNICONPLUS/2024"/>
    <n v="4500024349"/>
    <s v="Syifa Artianingsih"/>
    <s v="Pak Adi"/>
    <m/>
    <m/>
    <m/>
    <m/>
    <m/>
    <m/>
    <m/>
    <m/>
    <m/>
    <n v="17"/>
    <m/>
  </r>
  <r>
    <n v="2112"/>
    <s v="Trans Hybrid Communication "/>
    <s v="Bank Negara Indonesia"/>
    <s v="Graha Trans Hybrid Margonda raya Jl. Salak No. 520 Ruko B-C Depok Jawa Barat"/>
    <x v="2"/>
    <m/>
    <s v="BNI KCP PONDOK GEDE, KOMP, PLAZA PD. GEDE, JL. RAYA JATIWARINGIN BLK. H NO.1-2, RT.007/RW.009, JATICEMPAKA, KEC. PD. GEDE, KOTA BEKASI, JAWA BARAT, INDONESIA, 17411"/>
    <s v="Sewa Bulanan"/>
    <s v="Interkoneksi"/>
    <s v="A821401001039 "/>
    <s v="111401005678"/>
    <n v="0.995"/>
    <s v="Internet Broadband"/>
    <s v="30 Mbps"/>
    <m/>
    <n v="17329428"/>
    <m/>
    <m/>
    <n v="2972976"/>
    <m/>
    <d v="2025-01-12T00:00:00"/>
    <d v="2026-01-11T00:00:00"/>
    <x v="1"/>
    <m/>
    <d v="2025-12-24T00:00:00"/>
    <n v="18"/>
    <n v="1"/>
    <n v="2026"/>
    <s v="4500022038 | 2352/SPP/SBU/ICON+/2023"/>
    <s v="5455/SPP/SBU/PLNICONPLUS/2024"/>
    <n v="4500024348"/>
    <s v="Syifa Artianingsih"/>
    <s v="Pak Adi"/>
    <m/>
    <m/>
    <m/>
    <m/>
    <m/>
    <m/>
    <m/>
    <m/>
    <m/>
    <n v="19"/>
    <m/>
  </r>
  <r>
    <n v="2113"/>
    <s v="Link Net"/>
    <s v="Pertamina Bina Medika"/>
    <s v="Centennial Tower 26th Floor, Unit D Jl. Gatot Subroto Kav 24-25 Jakarta 12950"/>
    <x v="0"/>
    <s v="PSDC Graha Pertamina - Jl Medan Merdeka Timur, Gambir, Jakarta Pusat"/>
    <s v="Menara Sentraya Lt.26, Jl Iskandarsyah Raya No.1A, Rt.3/Rw.1, Blok M, Kebayoran Baru, Jakarta Selatan"/>
    <s v="Sewa Bulanan"/>
    <s v="Interkoneksi"/>
    <s v="U111202003214"/>
    <s v="110120204249"/>
    <n v="0.995"/>
    <s v="Metronet"/>
    <s v="150 Mbps"/>
    <m/>
    <n v="512400000"/>
    <m/>
    <m/>
    <n v="468000000"/>
    <m/>
    <d v="2025-01-01T00:00:00"/>
    <d v="2025-06-30T00:00:00"/>
    <x v="0"/>
    <m/>
    <d v="2025-12-24T00:00:00"/>
    <n v="-177"/>
    <n v="6"/>
    <n v="2025"/>
    <s v="4500024244 | 5034/SPP/SBU/PLNICONPLUS/2024"/>
    <s v="5619/SPP/SBU/PLNICONPLUS/2025"/>
    <s v="4500024537"/>
    <s v="Syifa Artianingsih"/>
    <s v="Bunga"/>
    <m/>
    <m/>
    <m/>
    <m/>
    <m/>
    <m/>
    <m/>
    <m/>
    <m/>
    <n v="20"/>
    <m/>
  </r>
  <r>
    <n v="2114"/>
    <s v="Fiber Media Indonesia"/>
    <s v="PT Pupuk Iskandar Muda"/>
    <s v="Jl.wibawa Mukti II no.3D, Jatiasih - kota Bekasi"/>
    <x v="4"/>
    <s v="APJII CYBER 1"/>
    <s v="JL. BANGKA RAYA, RT.11/RW.7, PELA MAMPANG, KEC. MAMPANG PRPT., KOTA JAKARTA SELATAN, DAERAH KHUSUS IBUKOTA JAKARTA 12720"/>
    <s v="Sewa Bulanan"/>
    <s v="Interkoneksi"/>
    <s v="A231303000175 "/>
    <s v="231303000918"/>
    <s v="99,5%"/>
    <s v="Interner Corporate"/>
    <s v="50 Mbps"/>
    <m/>
    <n v="48000000"/>
    <m/>
    <m/>
    <n v="39000000"/>
    <m/>
    <d v="2025-02-17T00:00:00"/>
    <d v="2026-01-31T00:00:00"/>
    <x v="1"/>
    <m/>
    <d v="2025-12-24T00:00:00"/>
    <n v="38"/>
    <n v="1"/>
    <n v="2026"/>
    <s v="4500021946 | 2218/SPP/SBU/ICON+/2023"/>
    <s v="5372/SPP/SBU/PLNICONPLUS/2024"/>
    <n v="4500024361"/>
    <s v="Syifa Artianingsih"/>
    <s v="Annisa"/>
    <m/>
    <m/>
    <m/>
    <m/>
    <m/>
    <m/>
    <m/>
    <m/>
    <m/>
    <n v="22"/>
    <m/>
  </r>
  <r>
    <n v="2115"/>
    <s v="Indointernet"/>
    <s v="PT Toyota Astra Motor SPLD "/>
    <s v="Rumah Indonet. Jl.Rempoa Raya No. 11 Ciputat. Tangerang Selatan – Banten 15412"/>
    <x v="0"/>
    <s v="Toyota Astra Motor HO (existing) Jl. Yos Sudarso Sunter II Jakarta (existing), Indonesia"/>
    <s v="Toyota Astra Motor SPLD, Kawasan Industri MM 2100 BI A1-1/A1-2 Cibitung (existing)"/>
    <s v="Sewa Bulanan"/>
    <s v="Interkoneksi"/>
    <s v="ICON-00/SBC/1309/0467"/>
    <s v="0990000320322484"/>
    <n v="0.995"/>
    <s v="Metronet"/>
    <s v="50 Mbps"/>
    <m/>
    <n v="31500000"/>
    <m/>
    <m/>
    <n v="10000000"/>
    <m/>
    <d v="2025-01-01T00:00:00"/>
    <d v="2025-01-31T00:00:00"/>
    <x v="2"/>
    <m/>
    <d v="2025-12-24T00:00:00"/>
    <n v="-327"/>
    <n v="1"/>
    <n v="2025"/>
    <s v="4500021837 | 2103/SPP/SBU/ICON+/2023"/>
    <s v="5641/SPP/SBU/PLNICONPLUS/2025"/>
    <n v="4500024538"/>
    <s v="Syifa Artianingsih"/>
    <s v="Asep"/>
    <m/>
    <m/>
    <m/>
    <m/>
    <m/>
    <m/>
    <m/>
    <m/>
    <m/>
    <n v="23"/>
    <m/>
  </r>
  <r>
    <n v="2116"/>
    <s v="Cyberindo Aditama"/>
    <s v="PT Semen Baturaja"/>
    <s v="Gedung Cyber 2 Tower, Lt 33 Jl. HP Rasuna Said Blok X-5 No. 13 Kuningan Timur Setiabudi Jakarta Selatan 12950"/>
    <x v="0"/>
    <m/>
    <s v="Gedung Graha Irama Lt.9 Blok B dan C. Jl HR Rasuna Said Kav.10, Jakarta, 12950"/>
    <s v="Sewa Bulanan"/>
    <s v="Interkoneksi"/>
    <s v="A211303000495"/>
    <s v="111303011676"/>
    <n v="0.995"/>
    <s v="Internet Corporate"/>
    <s v="10 Mbps"/>
    <m/>
    <n v="13800000"/>
    <m/>
    <m/>
    <n v="13800000"/>
    <m/>
    <d v="2025-04-01T00:00:00"/>
    <d v="2025-09-30T00:00:00"/>
    <x v="0"/>
    <m/>
    <d v="2025-12-24T00:00:00"/>
    <n v="-85"/>
    <n v="9"/>
    <n v="2025"/>
    <s v="4500022503 | 2637/SPP/SBU/ICON+/2024"/>
    <s v="5801/SPP/SBU/PLNICONPLUS/2025_x0009_"/>
    <s v="4500024667"/>
    <s v="Syifa Artianingsih"/>
    <s v="Cristian"/>
    <s v="+62 812-9804-5188"/>
    <m/>
    <m/>
    <m/>
    <m/>
    <m/>
    <m/>
    <m/>
    <m/>
    <n v="24"/>
    <m/>
  </r>
  <r>
    <n v="2117"/>
    <s v="Serpong Mas Telematika"/>
    <s v="PT PLN Unit Induk Distribusi Banten GH 611"/>
    <s v="MyRepublik plaza lt 2 Wing A"/>
    <x v="4"/>
    <s v="[UID BANTEN- UP2D] DCC UP2D BANTEN"/>
    <s v="GH 611"/>
    <s v="Sewa Bulanan"/>
    <s v="Interkoneksi"/>
    <s v="PA/ACT/2210/3414"/>
    <s v="01000318708"/>
    <n v="0.995"/>
    <s v="IPVPN"/>
    <s v="3 Mbps"/>
    <m/>
    <n v="76042800"/>
    <m/>
    <m/>
    <n v="33436800"/>
    <m/>
    <d v="2025-01-27T00:00:00"/>
    <d v="2026-01-26T00:00:00"/>
    <x v="1"/>
    <m/>
    <d v="2025-12-24T00:00:00"/>
    <n v="33"/>
    <n v="1"/>
    <n v="2026"/>
    <s v="4500022181 | 2444/SPP/SBU/ICON+/2024"/>
    <s v="5405/SPP/SBU/PLNICONPLUS/2024"/>
    <n v="4500024326"/>
    <s v="Syifa Artianingsih"/>
    <s v="Masrukhan"/>
    <s v="+62 812-9844-8648"/>
    <m/>
    <m/>
    <m/>
    <m/>
    <m/>
    <m/>
    <m/>
    <m/>
    <n v="18"/>
    <m/>
  </r>
  <r>
    <n v="2118"/>
    <s v="Serpong Mas Telamatika"/>
    <s v="Rumah Sakit Columbia Asia"/>
    <s v="MyRepublik plaza lt 2 Wing A"/>
    <x v="3"/>
    <m/>
    <s v="Rumah Sakit Columbia Asia BSD Serpong, Jl Letnan Sutopo No.7 Kavling Komplek 3A, Lengkong Wetan, Kec Serpong, Kota Tangerang Selatan, Banten, 15310"/>
    <s v="Sewa Bulanan"/>
    <s v="Interkoneksi"/>
    <s v="A131303001058"/>
    <s v="131303002118"/>
    <s v="99,50%"/>
    <s v="Internet Corporate"/>
    <s v="100 Mbps"/>
    <n v="3000000"/>
    <n v="198000000"/>
    <m/>
    <n v="3000000"/>
    <n v="202800000"/>
    <m/>
    <d v="2025-01-07T00:00:00"/>
    <d v="2026-01-06T00:00:00"/>
    <x v="1"/>
    <m/>
    <d v="2025-12-24T00:00:00"/>
    <n v="13"/>
    <n v="1"/>
    <n v="2026"/>
    <s v="Baru"/>
    <s v="4962/SPP/SBU/PLNICONPLUS/2024"/>
    <s v="4500024257"/>
    <s v="Syifa Artianingsih"/>
    <s v="Masrukhan"/>
    <s v="+62 812-9844-8648"/>
    <m/>
    <m/>
    <m/>
    <m/>
    <m/>
    <m/>
    <m/>
    <m/>
    <n v="30"/>
    <m/>
  </r>
  <r>
    <n v="2119"/>
    <s v="Aplikanusa Lintasarta"/>
    <s v="PT Telekomunikasi Indonesia International"/>
    <s v="Jl. M.H Thamrin Kav. 3, Jakarta Pusat 10250"/>
    <x v="3"/>
    <s v="Subduct Existing - PLTU Jawa 7, Jl. Raya Bojonegara, Desa Terate, Kec. Kramatwatu, Kab. Serang, Banten"/>
    <s v="APL Tower Lt. 39 Unit T9 Podomoro City Jl. Letjen S. Parman Kav. 28 Kel. Tanjung Duren Selatan, Kec. Grogol Petamburan Jakarta"/>
    <s v="Sewa Bulanan"/>
    <s v="Interkoneksi"/>
    <s v="A821202000679"/>
    <s v="111202018338"/>
    <n v="0.99"/>
    <s v="Metronet"/>
    <s v="50 Mbps"/>
    <m/>
    <n v="372000000"/>
    <m/>
    <m/>
    <n v="196560000"/>
    <m/>
    <d v="2025-01-06T00:00:00"/>
    <d v="2026-01-05T00:00:00"/>
    <x v="0"/>
    <m/>
    <d v="2025-12-24T00:00:00"/>
    <n v="12"/>
    <n v="1"/>
    <n v="2026"/>
    <s v="2497/SPP/SBU/ICON+/2024"/>
    <s v="5237/SPP/SBU/PLNICONPLUS/2024"/>
    <s v="4500024272"/>
    <s v="Renata Simanjuntak"/>
    <s v="Ilham"/>
    <s v="+62 823-6997-0039"/>
    <m/>
    <m/>
    <m/>
    <m/>
    <m/>
    <m/>
    <m/>
    <m/>
    <n v="458"/>
    <m/>
  </r>
  <r>
    <n v="2120"/>
    <s v="Internetwork Komunikasi Indonesia"/>
    <s v="PT Pelayaran Nasional Indonesia"/>
    <s v="Gedung SOHO Capital 35 a540, Jakarta Selatan 12940"/>
    <x v="0"/>
    <m/>
    <s v="Kantor Pelni Pusat Jl. Gajah Mada No. 14, RT.6/RW.2, Petojo Utara, Kecamatan Gambir, Kota Jakarta Pusat, Daerah Khusus Ibukota Jakarta 10130"/>
    <s v="Sewa Bulanan"/>
    <s v="Interkoneksi"/>
    <s v="A111303004118"/>
    <m/>
    <s v="99,5%"/>
    <s v="Internet Corporate"/>
    <s v="200 Mbps"/>
    <n v="10000000"/>
    <n v="258000000"/>
    <m/>
    <n v="7500000"/>
    <n v="234000000"/>
    <m/>
    <d v="2024-10-23T00:00:00"/>
    <d v="2025-10-22T00:00:00"/>
    <x v="1"/>
    <m/>
    <d v="2025-12-24T00:00:00"/>
    <n v="-63"/>
    <n v="10"/>
    <n v="2025"/>
    <s v="Baru"/>
    <s v="4650/SPP/SBU/PLNICONPLUS/2024"/>
    <s v="4500023953"/>
    <s v="Renata Simanjuntak"/>
    <s v="Thomas"/>
    <m/>
    <m/>
    <m/>
    <m/>
    <m/>
    <m/>
    <m/>
    <m/>
    <n v="398"/>
    <m/>
    <m/>
  </r>
  <r>
    <n v="2121"/>
    <s v="Serpong Mas Telematika"/>
    <s v="PT Nippon Konpo Indonesia"/>
    <s v="MyRepublik plaza lt 2 Wing A"/>
    <x v="3"/>
    <m/>
    <s v="(Delta Mas Branch) H5WH+GFH, Sukamukti, Kec. Bojongmangu, Kabupaten Bekasi, Jawa Barat"/>
    <s v="Sewa Bulanan"/>
    <s v="Interkoneksi"/>
    <s v="A821303001338"/>
    <s v="111303014333"/>
    <s v="99,50%"/>
    <s v="Internet Corporate"/>
    <s v="50 Mbps"/>
    <n v="10000000"/>
    <n v="282000000"/>
    <m/>
    <n v="3000000"/>
    <n v="126000000"/>
    <m/>
    <d v="2024-12-30T00:00:00"/>
    <d v="2025-12-29T00:00:00"/>
    <x v="0"/>
    <m/>
    <d v="2025-12-24T00:00:00"/>
    <n v="5"/>
    <n v="12"/>
    <n v="2025"/>
    <s v="Baru"/>
    <s v="5456/SPP/SBU/PLNICONPLUS/2024"/>
    <s v="4500024543"/>
    <s v="Renata Simanjuntak"/>
    <s v="Masrukhan"/>
    <s v="+62 812-9844-8648"/>
    <m/>
    <m/>
    <m/>
    <m/>
    <m/>
    <m/>
    <m/>
    <n v="280"/>
    <m/>
    <m/>
  </r>
  <r>
    <n v="2122"/>
    <s v="BIT Teknologi Nusantara"/>
    <s v="PT Astra International Tbk L002 LSO Showcase #Tenant"/>
    <s v="Jl. MH Thamrin No. 1 Menara BCA Lt 43"/>
    <x v="1"/>
    <s v="PT ASTRA INTERNATIONAL TBK GD AMDI A JL. GAYA MOTOR NO. 8 SUNTER II 14330 (BACKHAUL)"/>
    <s v="L002, LSO - SHOWCASE, MENARA ASTRA 1ST FLOOR, JL. JEND. SUDIRMAN NO. KAV5-6, RT.10/RW.11, KARET TENGSIN, TANAH ABANG, JAKARTA PUSAT, DKI JAKARTA"/>
    <s v="Sewa Bulanan"/>
    <s v="Interkoneksi"/>
    <s v="PA/ACT/2202/0907"/>
    <n v="1000191518"/>
    <s v="99,50%"/>
    <s v="Metronet"/>
    <s v="5 Mbps"/>
    <m/>
    <n v="61500000"/>
    <m/>
    <m/>
    <n v="18900000"/>
    <m/>
    <d v="2025-03-08T00:00:00"/>
    <d v="2026-03-07T00:00:00"/>
    <x v="1"/>
    <m/>
    <d v="2025-12-24T00:00:00"/>
    <n v="73"/>
    <n v="3"/>
    <n v="2026"/>
    <n v="4500022731"/>
    <s v="5938/SPP/SBU/PLNICONPLUS/2025"/>
    <s v="4500024793"/>
    <s v="Renata Simanjuntak"/>
    <s v="Fenny"/>
    <m/>
    <m/>
    <m/>
    <m/>
    <m/>
    <m/>
    <m/>
    <m/>
    <m/>
    <n v="34"/>
    <m/>
  </r>
  <r>
    <n v="2123"/>
    <s v="BIT Teknologi Nusantara"/>
    <s v="PT Astra International Tbk L002 LSO Showcase #Cyber"/>
    <s v="Jl. MH Thamrin No. 1 Menara BCA Lt 43"/>
    <x v="1"/>
    <s v="PT ASTRA INTERNATIONAL TBK GD AMDI A JL. GAYA MOTOR NO. 8 SUNTER II 14330 (BACKHAUL)"/>
    <s v="L002, LSO - SHOWCASE, MENARA ASTRA 1ST FLOOR, JL. JEND. SUDIRMAN NO. KAV5-6, RT.10/RW.11, KARET TENGSIN, TANAH ABANG, JAKARTA PUSAT, DKI JAKARTA"/>
    <s v="Sewa Bulanan"/>
    <s v="Interkoneksi"/>
    <s v="PA/ACT/2202/0907"/>
    <n v="1000191518"/>
    <s v="99,50%"/>
    <s v="Metronet"/>
    <s v="5 Mbps"/>
    <m/>
    <n v="61500000"/>
    <m/>
    <m/>
    <n v="28800000"/>
    <m/>
    <d v="2025-03-08T00:00:00"/>
    <d v="2026-03-07T00:00:00"/>
    <x v="1"/>
    <m/>
    <d v="2025-12-24T00:00:00"/>
    <n v="73"/>
    <n v="3"/>
    <n v="2026"/>
    <n v="4500022731"/>
    <s v="5938/SPP/SBU/PLNICONPLUS/2025"/>
    <s v="4500024793"/>
    <s v="Renata Simanjuntak"/>
    <s v="Fenny"/>
    <m/>
    <m/>
    <m/>
    <m/>
    <m/>
    <m/>
    <m/>
    <m/>
    <m/>
    <n v="34"/>
    <m/>
  </r>
  <r>
    <n v="2124"/>
    <s v="Mega Akses Persada"/>
    <s v="PT Indomarco Prismatama"/>
    <s v="Jl. MH Thamrin No. 1 Menara BCA Lt 43"/>
    <x v="1"/>
    <m/>
    <s v="INDOMARET TOWER, RT.6/RW.2, KAMAL MUARA LT. 9, KEC. PENJARINGAN (INTERKONEKSI FIBERSTAR)"/>
    <s v="Sewa Bulanan"/>
    <s v="Interkoneksi"/>
    <s v="A821303000036"/>
    <s v="111303010467"/>
    <s v="99,50%"/>
    <s v="Internet Corporate"/>
    <s v="5 Mbps"/>
    <m/>
    <n v="0"/>
    <m/>
    <m/>
    <n v="24000000"/>
    <m/>
    <d v="2025-01-04T00:00:00"/>
    <d v="2026-03-31T00:00:00"/>
    <x v="1"/>
    <m/>
    <d v="2025-12-24T00:00:00"/>
    <n v="97"/>
    <n v="3"/>
    <n v="2026"/>
    <n v="4500022406"/>
    <s v="5946/SPP/SBU/PLNICONPLUS/2025"/>
    <s v="4500024727"/>
    <s v="Renata Simanjuntak"/>
    <s v="Adi"/>
    <m/>
    <m/>
    <m/>
    <m/>
    <m/>
    <m/>
    <m/>
    <m/>
    <m/>
    <n v="35"/>
    <m/>
  </r>
  <r>
    <n v="2125"/>
    <s v="Circlecom Nusantara Indonesia"/>
    <s v="PT Aneka Petroindo Raya"/>
    <s v="Roof Top Slot B – Fresh Market Building, Jl. Pantai Indah Kapuk No. 30, Jakarta Utara 14470"/>
    <x v="1"/>
    <m/>
    <s v="Jl. MH Thamrin PIK 2"/>
    <s v="Sewa Bulanan"/>
    <s v="Interkoneksi"/>
    <s v="A111303004250"/>
    <s v="111303014054"/>
    <n v="0.99"/>
    <s v="Internet Corporate "/>
    <s v="10 Mbps"/>
    <n v="3500000"/>
    <n v="42000000"/>
    <m/>
    <n v="2500000"/>
    <n v="26400000"/>
    <m/>
    <d v="2025-01-21T00:00:00"/>
    <d v="2028-01-20T00:00:00"/>
    <x v="1"/>
    <m/>
    <d v="2025-12-24T00:00:00"/>
    <n v="757"/>
    <n v="1"/>
    <n v="2028"/>
    <s v="Baru"/>
    <s v="5465/SPP/SBU/PLNICONPLUS/2025"/>
    <s v="4500024488"/>
    <s v="Renata Simanjuntak"/>
    <s v="Halley"/>
    <s v="+62 856-9800-999"/>
    <m/>
    <m/>
    <m/>
    <m/>
    <m/>
    <m/>
    <m/>
    <m/>
    <n v="12"/>
    <m/>
  </r>
  <r>
    <n v="2126"/>
    <s v="Circlecom Nusantara Indonesia"/>
    <s v="PT Prodia Widyahusada"/>
    <s v="Roof Top Slot B – Fresh Market Building, Jl. Pantai Indah Kapuk No. 30, Jakarta Utara 14470"/>
    <x v="1"/>
    <s v="MM2001 Cibitung, Cibitung, Kota Bekasi, Jawa Barat, Indonesia"/>
    <s v="Ruko Gold Cost B No 2-3, Pantai Indah Kapuk, Jakarta Utara, DKI Jakarta, Indonesia"/>
    <s v="Sewa Bulanan"/>
    <s v="Interkoneksi"/>
    <s v="PA/ACT/2201/3558"/>
    <s v="01000187262"/>
    <n v="0.98"/>
    <s v="IPVPN"/>
    <s v="4 Mbps"/>
    <m/>
    <n v="25200000"/>
    <m/>
    <m/>
    <n v="48000000"/>
    <m/>
    <d v="2025-04-21T00:00:00"/>
    <d v="2026-04-20T00:00:00"/>
    <x v="1"/>
    <m/>
    <d v="2025-12-24T00:00:00"/>
    <n v="117"/>
    <n v="4"/>
    <n v="2026"/>
    <n v="4500022571"/>
    <s v="6160/SPP/SBU/PLNICONPLUS/2025"/>
    <s v="4500024811"/>
    <s v="Renata Simanjuntak"/>
    <s v="Halley "/>
    <s v="+62 856-9800-999"/>
    <m/>
    <m/>
    <m/>
    <m/>
    <m/>
    <m/>
    <m/>
    <m/>
    <n v="36"/>
    <m/>
  </r>
  <r>
    <n v="2127"/>
    <s v="Cablenet Fiber Data"/>
    <s v="PT Pertamina Hulu Energi"/>
    <s v="Jl Simprug Garden 1 Blok W No.11 RT.07/RW.03, Grogol Selatan, Kebayoran Lama, Jakarta Selatan, DKI Jakarta, 12220"/>
    <x v="1"/>
    <s v="PSDC-Gedung Graha Pertamina, Tower Fastron (Graha), Jalan Medan Merdeka Timur No.11-12, Jakarta Pusat."/>
    <s v="PHE - Gedung PHE Tower, Jl. Letjen. Tb Simatupang Kav. 99, Jakarta Selatan – 12520"/>
    <s v="Sewa Bulanan"/>
    <s v="Interkoneksi"/>
    <s v="A811202000064"/>
    <s v="111202018857"/>
    <n v="0.995"/>
    <s v="Metro Qinq"/>
    <s v="2 Gbps"/>
    <m/>
    <n v="647136000"/>
    <m/>
    <m/>
    <n v="358800000"/>
    <m/>
    <d v="2025-04-03T00:00:00"/>
    <d v="2026-04-02T00:00:00"/>
    <x v="1"/>
    <m/>
    <d v="2025-12-24T00:00:00"/>
    <n v="99"/>
    <n v="4"/>
    <n v="2026"/>
    <s v="4500022618 | 3008/SPP/SBU/PLNICONPLUS/2024"/>
    <s v="6019/SPP/SBU/PLNICONPLUS/2025"/>
    <n v="4500024746"/>
    <s v="Renata Simanjuntak"/>
    <s v="Cindy Pratiwi"/>
    <s v="0857-2207-8712"/>
    <m/>
    <m/>
    <m/>
    <m/>
    <m/>
    <m/>
    <m/>
    <m/>
    <n v="32"/>
    <m/>
  </r>
  <r>
    <n v="2128"/>
    <s v="Cablenet Fiber Data"/>
    <s v="PT Mastersystem Infotama PHE Tower"/>
    <s v="Jl Simprug Garden 1 Blok W No.11 RT.07/RW.03, Grogol Selatan, Kebayoran Lama, Jakarta Selatan, DKI Jakarta, 12220"/>
    <x v="1"/>
    <s v="Gedung PHE  Tower, Jl. Tb Simatupang No. Kav. 99, RT.1/Rw.1, Kebagusan, Pasar Minggu, Kota Jakarta Selatan, Daerah Khusus Ibukota Jakarta 12520"/>
    <s v="Gedung PHE  Tower, Jl. Tb Simatupang No. Kav. 99, RT.1/Rw.1, Kebagusan, Pasar Minggu, Kota Jakarta Selatan, Daerah Khusus Ibukota Jakarta 12520"/>
    <s v="Sewa Bulanan"/>
    <s v="Interkoneksi"/>
    <s v="A811303000060"/>
    <s v="111303010621"/>
    <n v="0.995"/>
    <s v="Internet Corporate"/>
    <s v="600 Mbps"/>
    <m/>
    <n v="1025038800"/>
    <m/>
    <m/>
    <n v="351000000"/>
    <m/>
    <d v="2025-06-01T00:00:00"/>
    <d v="2028-05-31T00:00:00"/>
    <x v="1"/>
    <m/>
    <d v="2025-12-24T00:00:00"/>
    <n v="889"/>
    <n v="5"/>
    <n v="2028"/>
    <s v="4500022850 | 3533/SPP/SBU/PLNICONPLUS/2024"/>
    <s v="5936/SPP/SBU/PLNICONPLUS/2025"/>
    <n v="4500024725"/>
    <s v="Syifa Artianingsih"/>
    <s v="Cindy Pratiwi"/>
    <s v="0857-2207-8712"/>
    <m/>
    <m/>
    <m/>
    <m/>
    <m/>
    <m/>
    <m/>
    <m/>
    <n v="29"/>
    <m/>
  </r>
  <r>
    <n v="2129"/>
    <s v="Cablenet Fiber Data"/>
    <s v="PT Bank Rakyat Indonesia"/>
    <s v="Jl Simprug Garden 1 Blok W No.11 RT.07/RW.03, Grogol Selatan, Kebayoran Lama, Jakarta Selatan, DKI Jakarta, 12220"/>
    <x v="1"/>
    <m/>
    <s v="Jl TB Simatupang No Kav 99, Rt.1/Rw.1, Kebagusan, Ps Minggu, Kota Jakarta Selatan, DKI Jakarta, 12520"/>
    <s v="Sewa Bulanan"/>
    <s v="Interkoneksi"/>
    <s v="R111205009268"/>
    <s v="110120510487/140000008240632"/>
    <n v="0.995"/>
    <s v="IPVPN"/>
    <s v="128 Kbps"/>
    <m/>
    <n v="41454552"/>
    <m/>
    <n v="4000000"/>
    <n v="24000000"/>
    <m/>
    <d v="2025-02-04T00:00:00"/>
    <d v="2027-02-03T00:00:00"/>
    <x v="1"/>
    <m/>
    <d v="2025-12-24T00:00:00"/>
    <n v="406"/>
    <n v="2"/>
    <n v="2027"/>
    <s v="baru"/>
    <s v="5382/SPP/SBU/PLNICONPLUS/2024"/>
    <s v="4500024668"/>
    <s v="Syifa Artianingsih"/>
    <s v="Cindy Pratiwi"/>
    <s v="0857-2207-8712"/>
    <m/>
    <m/>
    <m/>
    <m/>
    <m/>
    <m/>
    <m/>
    <m/>
    <n v="31"/>
    <m/>
  </r>
  <r>
    <n v="2130"/>
    <s v="Media Nusantara Data Global"/>
    <s v="Join All Customer"/>
    <s v="Jl Simprug Garden 1 Blok W No.11 RT.07/RW.03, Grogol Selatan, Kebayoran Lama, Jakarta Selatan, DKI Jakarta, 12220"/>
    <x v="0"/>
    <m/>
    <s v="Jl Kuningan Barat Raya No. 8"/>
    <s v="Sewa Tahunan"/>
    <s v="Cross Connect"/>
    <s v="111204000080_x000a_110120400006_x000a_01000351822"/>
    <s v="111204000080_x000a_110120400006_x000a_01000351822"/>
    <m/>
    <s v="Metronet"/>
    <s v="100 Gbps"/>
    <m/>
    <s v="-"/>
    <m/>
    <m/>
    <n v="18000000"/>
    <m/>
    <d v="2024-11-11T00:00:00"/>
    <d v="2025-11-10T00:00:00"/>
    <x v="1"/>
    <m/>
    <d v="2025-12-24T00:00:00"/>
    <n v="-44"/>
    <n v="11"/>
    <n v="2025"/>
    <n v="4500022097"/>
    <s v="5738/SPP/SBU/PLNICONPLUS/2024"/>
    <s v="4500024576"/>
    <s v="Livia Indraswati"/>
    <s v="Ira"/>
    <m/>
    <m/>
    <m/>
    <m/>
    <m/>
    <m/>
    <m/>
    <m/>
    <n v="501"/>
    <m/>
    <m/>
  </r>
  <r>
    <n v="2131"/>
    <s v="Media Nusantara Data Global"/>
    <s v="Join All Customer"/>
    <s v="Jl. Kuningan Barat No. 8 Cyber Building 1st &amp; 2nd Jakarta Selatan 12710"/>
    <x v="0"/>
    <m/>
    <s v="Jl Kuningan Barat Raya No. 8"/>
    <s v="Sewa Tahunan"/>
    <s v="Cross Connect"/>
    <s v="U111204000146_x000a_A821202001175_x000a_A111204000055_x000a_A111202004731"/>
    <m/>
    <m/>
    <s v="Metronet"/>
    <m/>
    <m/>
    <s v="-"/>
    <m/>
    <m/>
    <n v="36000000"/>
    <m/>
    <d v="2024-10-06T00:00:00"/>
    <d v="2025-10-05T00:00:00"/>
    <x v="0"/>
    <m/>
    <d v="2025-12-24T00:00:00"/>
    <n v="-80"/>
    <n v="10"/>
    <n v="2025"/>
    <n v="4500021816"/>
    <s v="5917/SPP/SBU/PLNICONPLUS/2024"/>
    <s v="4500024663"/>
    <s v="Livia Indraswati"/>
    <s v="Ira"/>
    <m/>
    <m/>
    <m/>
    <m/>
    <m/>
    <m/>
    <m/>
    <m/>
    <n v="85"/>
    <m/>
    <m/>
  </r>
  <r>
    <n v="2132"/>
    <s v="Graha Multimedia Nusantara"/>
    <s v="PT Hipernet Indodata"/>
    <s v="Jl. Kuningan Barat No. 8 Cyber Building 1st &amp; 2nd Jakarta Selatan 12710"/>
    <x v="1"/>
    <m/>
    <s v="GEDUNG TEKNIS KUNINGAN (EPICENTRUM MALL PTSP), JL. HR RASUNA SAID KAV C / 21, KUNINGAN, JAKARTA SELATAN, DKI JAKARTA, INDONESIA"/>
    <s v="Sewa Bulanan"/>
    <s v="Interkoneksi"/>
    <s v="U111202009203"/>
    <s v="01000192946"/>
    <s v="99,50%"/>
    <s v="Metronet"/>
    <s v="150 Mbps"/>
    <m/>
    <n v="30000000"/>
    <m/>
    <m/>
    <n v="202200000"/>
    <m/>
    <d v="2025-03-15T00:00:00"/>
    <d v="2026-04-30T00:00:00"/>
    <x v="1"/>
    <m/>
    <d v="2025-12-24T00:00:00"/>
    <n v="127"/>
    <n v="4"/>
    <n v="2026"/>
    <s v="3412/SPP/SBU/PLNICONPLUS/2024 | 4500022819"/>
    <s v="6005/SPP/SBU/PLNICONPLUS/2025"/>
    <n v="4500024787"/>
    <s v="Syifa Artianingsih"/>
    <s v="Andi"/>
    <m/>
    <m/>
    <m/>
    <m/>
    <m/>
    <m/>
    <m/>
    <m/>
    <m/>
    <n v="27"/>
    <s v="Upgrade PO 4500022819"/>
  </r>
  <r>
    <n v="2133"/>
    <s v="Graha Pena Jawa Pos"/>
    <s v="PT Jawa Pos Koran"/>
    <s v="Jl. Raya Kby. Lama No.12, Grogol Utara, Kec. Kebayoran Lama, Kota Jakarta Selatan, Daerah Khusus Ibukota Jakarta 12210"/>
    <x v="3"/>
    <s v="JL. RAYA SUMENGKO KM.30-31,WRINGINANOM, KABUPATEN GRESIK, JAWA TIMUR, INDONESIA"/>
    <s v="JL. KEBAYORAN LAMA NO.12,KEBAYORAN, JAKARTA SELATAN, DKI JAKARTA, INDONESIA"/>
    <s v="Sewa Tahunan"/>
    <s v="Colocation"/>
    <s v="PA/ACT/1902/1116"/>
    <s v="01000044269_x000a_01000044266"/>
    <m/>
    <s v="Metronet"/>
    <s v="5 Mbps"/>
    <m/>
    <n v="84000000"/>
    <m/>
    <m/>
    <n v="52000000"/>
    <m/>
    <d v="2025-01-02T00:00:00"/>
    <d v="2026-01-01T00:00:00"/>
    <x v="1"/>
    <m/>
    <d v="2025-12-24T00:00:00"/>
    <n v="8"/>
    <n v="1"/>
    <n v="2026"/>
    <s v="2459/SPP/SBU/ICON+/2024 | 4500022171"/>
    <m/>
    <s v="4500024566"/>
    <s v="Livia Indraswati"/>
    <s v="Putri"/>
    <m/>
    <m/>
    <m/>
    <m/>
    <m/>
    <m/>
    <m/>
    <m/>
    <m/>
    <n v="44"/>
    <m/>
  </r>
  <r>
    <n v="2134"/>
    <s v="DCI Indonesia"/>
    <s v="PT Galang Suar Teknologi"/>
    <s v="Equity Tower 17th floor suite F SCBD lot Jl Jend Sudirman Kav 52-53 Jakarta 12196"/>
    <x v="4"/>
    <s v="DCI Cibitung, Jl. Halmahera No.1, danau Indah, Kecamatan Cikarang Barat, Bekasi, Jawa Barat, Indonesia, 17530 "/>
    <s v="Jl. Gatot Subroto No.Kav 36 Kecamatan Kebayoran baru, Jakarta Selatan, DKI Jakarta, Indonesia"/>
    <s v="Sewa Tahunan"/>
    <s v="Cross Connect"/>
    <s v="PA/ACT/2212/2304"/>
    <m/>
    <m/>
    <s v="IPVPN"/>
    <s v="2 Mbps"/>
    <m/>
    <n v="54000000"/>
    <m/>
    <m/>
    <n v="18000000"/>
    <m/>
    <d v="2025-01-26T00:00:00"/>
    <d v="2026-01-25T00:00:00"/>
    <x v="1"/>
    <m/>
    <d v="2025-12-24T00:00:00"/>
    <n v="32"/>
    <n v="1"/>
    <n v="2026"/>
    <s v="2452/SPP/SBU/ICON+/2024 | 4500022159"/>
    <s v="5535/SPP/SBU/PLNICONPLUS/2025"/>
    <s v="4500024438"/>
    <s v="Livia Indraswati"/>
    <s v="Irma"/>
    <m/>
    <m/>
    <m/>
    <m/>
    <m/>
    <m/>
    <m/>
    <m/>
    <m/>
    <n v="49"/>
    <m/>
  </r>
  <r>
    <n v="2135"/>
    <s v="DCI Indonesia"/>
    <s v="PT Prodia Widyahusada"/>
    <s v="Equity Tower 17th floor suite F SCBD lot Jl Jend Sudirman Kav 52-53 Jakarta 12196"/>
    <x v="4"/>
    <s v="-"/>
    <s v="PT. PRODIA WIDYAHUSADA (REDUDANSI DCI) MM2001 CIBITUNG, CIBITUNG, KOTA BEKASI, JAWA BARAT, INDONESIA (Link Backup)"/>
    <s v="Sewa Tahunan"/>
    <s v="Cross Connect"/>
    <s v="A111205004849"/>
    <m/>
    <m/>
    <s v="IPVPN"/>
    <s v="1000 Mbps"/>
    <m/>
    <s v="-"/>
    <m/>
    <n v="1500000"/>
    <n v="18000000"/>
    <m/>
    <d v="2025-01-31T00:00:00"/>
    <d v="2026-01-30T00:00:00"/>
    <x v="1"/>
    <m/>
    <d v="2025-12-24T00:00:00"/>
    <n v="37"/>
    <n v="1"/>
    <n v="2026"/>
    <s v="baru"/>
    <s v="5967/SPP/SBU/PLNICONPLUS/2025"/>
    <s v="4500024719"/>
    <s v="Livia Indraswati"/>
    <s v="Irma"/>
    <m/>
    <m/>
    <m/>
    <m/>
    <m/>
    <m/>
    <m/>
    <m/>
    <m/>
    <n v="55"/>
    <m/>
  </r>
  <r>
    <n v="2136"/>
    <s v="DCI Indonesia"/>
    <s v="PT Airpay International Indonesia"/>
    <s v="Equity Tower 17th floor suite F SCBD lot Jl Jend Sudirman Kav 52-53 Jakarta 12196"/>
    <x v="4"/>
    <s v="H2H PT DCI Indonesia, Gedung JK2, Jl. Irian I Blok GG 5-1, Kawasan MM 2100, Cibitung, Bekasi, Jawa Barat"/>
    <s v="H2H DC Mandiri, Jl. Jend Gatot Subroto Kav 36 - 38, Jakarta Selatan (Lantai 4, JK2 RCK-3- 089-003) "/>
    <s v="Sewa Tahunan"/>
    <s v="Cross Connect"/>
    <s v="PA/ACT/1912/2626_x000a_PA/ACT/1912/2625"/>
    <m/>
    <m/>
    <s v="IPVPN"/>
    <s v="2 Mbps"/>
    <m/>
    <n v="84000000"/>
    <m/>
    <m/>
    <n v="36000000"/>
    <m/>
    <d v="2025-01-27T00:00:00"/>
    <d v="2026-01-26T00:00:00"/>
    <x v="1"/>
    <m/>
    <d v="2025-12-24T00:00:00"/>
    <n v="33"/>
    <n v="1"/>
    <n v="2026"/>
    <n v="4500022244"/>
    <s v="5534/SPP/SBU/PLNICONPLUS/2025"/>
    <s v="4500024437"/>
    <s v="Livia Indraswati"/>
    <s v="Irma"/>
    <m/>
    <m/>
    <m/>
    <m/>
    <m/>
    <m/>
    <m/>
    <m/>
    <m/>
    <n v="56"/>
    <m/>
  </r>
  <r>
    <n v="2137"/>
    <s v="DCI Indonesia"/>
    <s v="PT Nosairis Teknologi Solutions"/>
    <s v="Equity Tower 17th floor suite F SCBD lot Jl Jend Sudirman Kav 52-53 Jakarta 12196"/>
    <x v="4"/>
    <s v="NTT DATA CENTER, CYBER 3. JL. KUNINGAN BARAT RAYA NO.8, RT.6/RW.3, KUNINGAN BAR., KEC. MAMPANG PRPT., KOTA JAKARTA SELATAN, DAERAH KHUSUS IBUKOTA JAKARTA 12710"/>
    <s v="DATA CENTER INDONESIA (DCI) JK1, CIBITUNG, JL. HALMAHERA NO.1, DANAU INDAH, KEC. CIKARANG BAR., KABUPATEN BEKASI, JAWA BARAT 17530"/>
    <s v="Sewa Tahunan"/>
    <s v="Cross Connect"/>
    <s v="-"/>
    <s v="110120213838 / 01000202052_x000a_'110130307988 / 04000187683"/>
    <m/>
    <s v="Metronet"/>
    <s v="5 Mbps"/>
    <m/>
    <n v="120000000"/>
    <m/>
    <m/>
    <n v="18000000"/>
    <m/>
    <d v="2025-02-08T00:00:00"/>
    <d v="2026-02-07T00:00:00"/>
    <x v="1"/>
    <m/>
    <d v="2025-12-24T00:00:00"/>
    <n v="45"/>
    <n v="2"/>
    <n v="2026"/>
    <s v="2661/SPP/SBU/ICON+/2024 | 4500022260"/>
    <s v="5965/SPP/SBU/PLNICONPLUS/2025"/>
    <s v="4500024720"/>
    <s v="Livia Indraswati"/>
    <s v="Irma"/>
    <m/>
    <m/>
    <m/>
    <m/>
    <m/>
    <m/>
    <m/>
    <m/>
    <m/>
    <n v="60"/>
    <m/>
  </r>
  <r>
    <n v="2138"/>
    <s v="DCI Indonesia"/>
    <s v="PT Tangara Mitrakom"/>
    <s v="Equity Tower 17th floor suite F SCBD lot Jl Jend Sudirman Kav 52-53 Jakarta 12196"/>
    <x v="4"/>
    <s v="PT ABADI TAMBAH MULIA INTERNASIONAL, DCI CIBITUNG JL. HALMAHERA NO.1, DANAU INDAH, KEC. CIKARANG BARAT, KABUPATEN BEKASI, JAWA BARAT, INDONESIA, 17530"/>
    <s v="APJII RACK A CAGE B JL. KUNINGAN BARAT RAYA NO. 8, KECAMATAN MAMPANG PRAPATAN, JAKARTA SELATAN, DKI JAKARTA, INDONESIA, 12710  "/>
    <s v="Sewa Tahunan"/>
    <s v="Cross Connect"/>
    <s v="PA/ACT/2202/0176/TER"/>
    <s v="110120214045 / 01000205991"/>
    <m/>
    <s v="Qinq Metro Ethernet"/>
    <s v="10 Mbps"/>
    <m/>
    <n v="36000000"/>
    <m/>
    <m/>
    <n v="24000000"/>
    <m/>
    <d v="2025-02-10T00:00:00"/>
    <d v="2026-02-09T00:00:00"/>
    <x v="1"/>
    <m/>
    <d v="2025-12-24T00:00:00"/>
    <n v="47"/>
    <n v="2"/>
    <n v="2026"/>
    <s v="2736/SPP/SBU/ICON+/2024 | 4500022291"/>
    <s v="5733/SPP/SBU/PLNICONPLUS/2025"/>
    <s v="4500024666"/>
    <s v="Livia Indraswati"/>
    <s v="Irma"/>
    <m/>
    <m/>
    <m/>
    <m/>
    <m/>
    <m/>
    <m/>
    <m/>
    <m/>
    <n v="61"/>
    <m/>
  </r>
  <r>
    <n v="2139"/>
    <s v="DCI Indonesia"/>
    <s v="PT Bank Mayapada"/>
    <s v="Equity Tower 17th floor suite F SCBD lot Jl Jend Sudirman Kav 52-53 Jakarta 12196"/>
    <x v="1"/>
    <s v="MAYAPADA TOWER LT.2 JL. JEND SUDIRMAN KAV.28 JAKARTA, INDONESIA ,-"/>
    <s v="DCI EQUINIX (CIBITUNG), JL HALMAHERA BLOK F1 NO 1, DANAU INDAH, CIKARANG, KOTA BEKASI, JAWA BARAT, INDONESIA, 17530"/>
    <s v="Sewa Tahunan"/>
    <s v="Cross Connect"/>
    <s v="PA/RLK/1803/0020 "/>
    <n v="110120202305"/>
    <m/>
    <s v="Metronet"/>
    <s v="1 Mbps"/>
    <m/>
    <n v="39000000"/>
    <m/>
    <m/>
    <n v="18000000"/>
    <m/>
    <d v="2025-03-19T00:00:00"/>
    <d v="2026-03-18T00:00:00"/>
    <x v="1"/>
    <m/>
    <d v="2025-12-24T00:00:00"/>
    <n v="84"/>
    <n v="3"/>
    <n v="2026"/>
    <s v="2447/SPP/SBU/ICON+/2024 | 4500022158"/>
    <s v="5997/SPP/SBU/PLNICONPLUS/2025"/>
    <s v="4500024718"/>
    <s v="Livia Indraswati"/>
    <s v="Irma"/>
    <m/>
    <m/>
    <m/>
    <m/>
    <m/>
    <m/>
    <m/>
    <m/>
    <m/>
    <n v="69"/>
    <m/>
  </r>
  <r>
    <n v="2140"/>
    <s v="Menara Thamrin"/>
    <s v="Badan Pengawas Pemilihan Umum (BAWASLU)"/>
    <s v="Equity Tower 17th floor suite F SCBD lot Jl Jend Sudirman Kav 52-53 Jakarta 12196"/>
    <x v="3"/>
    <s v="Kantor Pusat Bawaslu RI JL. MH Thamrin No 14"/>
    <s v="Menara Thamrin lantai 19 dan 24"/>
    <s v="Sewa Tahunan"/>
    <s v="Colocation"/>
    <s v="AL/2301/1053"/>
    <s v="01000323064 "/>
    <m/>
    <s v="Metronet QnQ dan Internet Dedicated"/>
    <s v="300 Mbps"/>
    <m/>
    <n v="15855856"/>
    <m/>
    <m/>
    <n v="21000000"/>
    <m/>
    <d v="2025-01-01T00:00:00"/>
    <d v="2025-12-31T00:00:00"/>
    <x v="1"/>
    <m/>
    <d v="2025-12-24T00:00:00"/>
    <n v="7"/>
    <n v="12"/>
    <n v="2025"/>
    <n v="4500022118"/>
    <s v="5850/SPP/SBU/PLNICONPLUS/2025"/>
    <s v="4500024660"/>
    <s v="Livia Indraswati"/>
    <s v="Webi"/>
    <m/>
    <m/>
    <m/>
    <m/>
    <m/>
    <m/>
    <m/>
    <m/>
    <m/>
    <n v="53"/>
    <m/>
  </r>
  <r>
    <n v="2141"/>
    <s v="Menara Thamrin"/>
    <s v="IFAD Office"/>
    <s v="Jl.MH Thamrin Kav 3 Jakarta 10250"/>
    <x v="1"/>
    <m/>
    <s v="MENARA THAMRIN LANTAI 5, JL. MH THAMRIN KAV. 3, MENTENG, JAKARTA PUSAT, DKI JAKARTA, 10340             "/>
    <s v="Sewa Tahunan"/>
    <s v="Colocation"/>
    <s v="-"/>
    <s v="110130308104 / 04000202062_x000a_'110130308105 / 04000300766"/>
    <m/>
    <s v="Internet Corporate"/>
    <s v="30 Mbps"/>
    <m/>
    <n v="42000000"/>
    <m/>
    <m/>
    <n v="10500000"/>
    <m/>
    <d v="2025-04-11T00:00:00"/>
    <d v="2026-04-10T00:00:00"/>
    <x v="1"/>
    <m/>
    <d v="2025-12-24T00:00:00"/>
    <n v="107"/>
    <n v="4"/>
    <n v="2026"/>
    <n v="4500022612"/>
    <s v="5871/SPP/SBU/PLNICONPLUS/2025"/>
    <s v="4500024721"/>
    <s v="Livia Indraswati"/>
    <s v="Webi"/>
    <m/>
    <m/>
    <m/>
    <m/>
    <m/>
    <m/>
    <m/>
    <m/>
    <m/>
    <n v="71"/>
    <m/>
  </r>
  <r>
    <n v="2142"/>
    <s v="Indointernet"/>
    <s v="PT Jaring Solusi Aplikasi"/>
    <s v="Rumah Indonet. Jl.Rempoa Raya No. 11 Ciputat. Tangerang Selatan – Banten 15412"/>
    <x v="2"/>
    <s v="(H2H) (INDONET) Jl. Rempoa Raya No.11, Rempoa, Ciputat Timur, Tangerang, Banten"/>
    <s v="(H2H) Plaza Mandiri, Jl. Gatot Subroto No.Kav 36-38, RT.7/RW.3, Senayan, Kebayoran Baru, Jakarta Selatan"/>
    <s v="Sewa Tahunan"/>
    <s v="Colocation"/>
    <s v="PA/ACT/1912/0025 "/>
    <m/>
    <m/>
    <s v="IPVPN"/>
    <s v="2 Mbps"/>
    <m/>
    <n v="36000000"/>
    <m/>
    <m/>
    <n v="2000000"/>
    <m/>
    <d v="2025-01-18T00:00:00"/>
    <d v="2026-01-17T00:00:00"/>
    <x v="1"/>
    <m/>
    <d v="2025-12-24T00:00:00"/>
    <n v="24"/>
    <n v="1"/>
    <n v="2026"/>
    <s v="2450/SPP/SBU/ICON+/2024 | 4500022160"/>
    <s v="5645/SPP/SBU/PLNICONPLUS/2025"/>
    <s v="4500024532"/>
    <s v="Livia Indraswati"/>
    <s v="Supriatin"/>
    <m/>
    <m/>
    <m/>
    <m/>
    <m/>
    <m/>
    <m/>
    <m/>
    <m/>
    <n v="46"/>
    <m/>
  </r>
  <r>
    <n v="2143"/>
    <s v="Indointernet"/>
    <s v="PT Bank Woori Saudara"/>
    <s v="Rumah Indonet. Jl.Rempoa Raya No. 11 Ciputat. Tangerang Selatan – Banten 15412"/>
    <x v="4"/>
    <s v="KANTOR PUSAT BWS (BACKHAUL U/ PT. SARANA PACTINDO) - JL. DIPONEGORO NO.28, CITARUM, KEC. BANDUNG WETAN, KOTA BANDUNG, JAWA BARAT, INDONESIA, 40115"/>
    <s v="PT. SARANA PACTINDO - JL. REMPOA RAYA NO.11, REMPOA, KEC. CIPUTAT TIMUR, KOTA TANGERANG SELATAN, BANTEN, INDONESIA, 15412"/>
    <s v="Sewa Tahunan"/>
    <s v="Cross Connect"/>
    <s v="PA/UPG/1910/0022"/>
    <m/>
    <m/>
    <s v="Metronet"/>
    <s v="1 Mbps"/>
    <m/>
    <n v="43200000"/>
    <m/>
    <m/>
    <n v="12000000"/>
    <m/>
    <d v="2025-02-10T00:00:00"/>
    <d v="2026-02-09T00:00:00"/>
    <x v="1"/>
    <m/>
    <d v="2025-12-24T00:00:00"/>
    <n v="47"/>
    <n v="2"/>
    <n v="2026"/>
    <n v="4500022246"/>
    <s v="5779/SPP/SBU/PLNICONPLUS/2025"/>
    <s v="4500024662"/>
    <s v="Livia Indraswati"/>
    <s v="Supriatin"/>
    <m/>
    <m/>
    <m/>
    <m/>
    <m/>
    <m/>
    <m/>
    <m/>
    <m/>
    <n v="65"/>
    <m/>
  </r>
  <r>
    <n v="2144"/>
    <s v="Samudera Data Indonesia"/>
    <s v="PT Telekomunikasi Indonesia International"/>
    <s v="Rumah Indonet. Jl.Rempoa Raya No. 11 Ciputat. Tangerang Selatan – Banten 15412"/>
    <x v="3"/>
    <s v="CYBER 1 LT. 3, NNI / TRUNK"/>
    <s v="Jl. Jatitujuh, Jatitengah, Kec. Jatitujuh, Kabupaten Majalengka, Jawa Barat 45458, Majalengka, Indonesia"/>
    <s v="Sewa Tahunan"/>
    <s v="Cross Connect"/>
    <s v="A111202007568"/>
    <m/>
    <m/>
    <s v="Internet Corporate"/>
    <s v="8 Mbps"/>
    <n v="5000000"/>
    <n v="29064000"/>
    <m/>
    <m/>
    <n v="18000000"/>
    <m/>
    <d v="2025-01-02T00:00:00"/>
    <d v="2026-01-01T00:00:00"/>
    <x v="1"/>
    <m/>
    <d v="2025-12-24T00:00:00"/>
    <n v="8"/>
    <n v="1"/>
    <n v="2026"/>
    <s v="Baru"/>
    <s v="5539/SPP/SBU/PLNICONPLUS/2025"/>
    <s v="4500024439"/>
    <s v="Livia Indraswati"/>
    <s v="Kania"/>
    <m/>
    <m/>
    <m/>
    <m/>
    <m/>
    <m/>
    <m/>
    <m/>
    <m/>
    <n v="43"/>
    <m/>
  </r>
  <r>
    <n v="2145"/>
    <s v="Samudera Data Indonesia"/>
    <s v="PT Nosairis Teknologi Solutions"/>
    <s v="Gedung Cyber 1 No.8"/>
    <x v="4"/>
    <s v="CYBER 1 LT.3 DC SDI, RACK ATMI JL. KUNINGAN BARAT RAYA NO.9B RW.2, MAMPANG PRAPATAN, JAKARTA SELATAN, DKI JAKARTA, INDONESIA"/>
    <s v="DATA CENTER INDONESIA (DCI) JK1, CIBITUNG, JL. HALMAHERA NO.1, DANAU INDAH, KEC. CIKARANG BAR., KABUPATEN BEKASI, JAWA BARAT 17530"/>
    <s v="Sewa Tahunan"/>
    <s v="Cross Connect"/>
    <s v="PA/ACT/2201/1485"/>
    <m/>
    <m/>
    <s v="Metronet"/>
    <m/>
    <m/>
    <n v="38568000"/>
    <m/>
    <m/>
    <n v="12000000"/>
    <m/>
    <d v="2025-02-01T00:00:00"/>
    <d v="2026-01-31T00:00:00"/>
    <x v="1"/>
    <m/>
    <d v="2025-12-24T00:00:00"/>
    <n v="38"/>
    <n v="1"/>
    <n v="2026"/>
    <n v="4500022313"/>
    <s v="6205/SPP/SBU/PLNICONPLUS/2025"/>
    <s v="4500024848"/>
    <s v="Livia Indraswati"/>
    <s v="Kania"/>
    <m/>
    <m/>
    <m/>
    <m/>
    <m/>
    <m/>
    <m/>
    <m/>
    <m/>
    <n v="73"/>
    <m/>
  </r>
  <r>
    <n v="2146"/>
    <s v="Asosiasi Penyelenggara Jasa Internet Indonesia (APJII)"/>
    <s v="PT. FIBER NETWORKS INDONESIA_x000a_PT. FIBER NETWORKS INDONESIA_x000a_PT. CYBERINDO ADITAMA_x000a_PT. CENTRIN ONLINE PRIMA_x000a_PT. TUJUH DELAPAN SEMBILAN NET"/>
    <s v="Gedung Cyber Lt.11 Jl. Kuningan Barat No.8 Kuningan Barat Jakarta"/>
    <x v="4"/>
    <s v="Cyber Building APJII Lt.1 Jl.Kuningan Barat No.8 Jakarta,- ,- ,- ,Indonesia ,-  "/>
    <m/>
    <s v="Sewa Tahunan"/>
    <s v="Colocation"/>
    <s v="AL/2106/40048_x000a_AL/2106/40048_x000a_AL/2011/66992_x000a_AL/2201/11305_x000a_PA/RLK/2204/0075"/>
    <s v="0990000320504846_x000a_'01000077695_x000a_'0990000320333483_x000a_'01000011354_x000a_'01000205149"/>
    <m/>
    <s v="Metronet"/>
    <m/>
    <m/>
    <n v="392400000"/>
    <m/>
    <m/>
    <n v="24000000"/>
    <m/>
    <d v="2025-01-27T00:00:00"/>
    <d v="2026-01-26T00:00:00"/>
    <x v="1"/>
    <m/>
    <d v="2025-12-24T00:00:00"/>
    <n v="33"/>
    <n v="1"/>
    <n v="2026"/>
    <n v="4500022116"/>
    <s v="5646/SPP/SBU/PLNICONPLUS/2025"/>
    <s v="4500024518"/>
    <s v="Livia Indraswati"/>
    <s v="Fatmah"/>
    <m/>
    <m/>
    <m/>
    <m/>
    <m/>
    <m/>
    <m/>
    <m/>
    <m/>
    <n v="47"/>
    <m/>
  </r>
  <r>
    <n v="2147"/>
    <s v="Asosiasi Penyelenggara Jasa Internet Indonesia (APJII)"/>
    <s v="PT Netciti Persada_x000a_PT Primacom Interbuana"/>
    <s v="Gedung Cyber Lt.11 Jl. Kuningan Barat No.8 Kuningan Barat Jakarta"/>
    <x v="2"/>
    <s v="GEDUNG CYBER APJII LT.1, JL. KUNINGAN BARAT RAYA NO.8, RT.1/RW.3, KUNINGAN BAR., KEC. MAMPANG PRAPATAN, JAKARTA SELATAN, DKI JAKARTA, INDONESIA, 12710"/>
    <s v="RUMAH INDONET REMPOA JL. REMPOA RAYA NO. 11, CIPUTAT TIMUR, KOTA TANGERANG SELATAN, BANTEN, INDONESIA, 15412   "/>
    <s v="Sewa Tahunan"/>
    <s v="Colocation"/>
    <s v="AR/ACT/2107/19272_x000a_110120208839 / 01000159405"/>
    <m/>
    <m/>
    <s v="Metronet"/>
    <s v="5 Mbps"/>
    <m/>
    <n v="231000000"/>
    <m/>
    <m/>
    <n v="12000000"/>
    <m/>
    <d v="2025-01-12T00:00:00"/>
    <d v="2026-01-11T00:00:00"/>
    <x v="1"/>
    <m/>
    <d v="2025-12-24T00:00:00"/>
    <n v="18"/>
    <n v="1"/>
    <n v="2026"/>
    <s v="2372/SPP/SBU/ICON+/2023 | 4500022067"/>
    <s v="5440/SPP/SBU/PLNICONPLUS/2024"/>
    <s v="4500024434"/>
    <s v="Livia Indraswati"/>
    <s v="Fatmah"/>
    <m/>
    <m/>
    <m/>
    <m/>
    <m/>
    <m/>
    <m/>
    <m/>
    <m/>
    <n v="50"/>
    <m/>
  </r>
  <r>
    <n v="2148"/>
    <s v="CBN Nusantara"/>
    <s v="PT Cyberindo Aditama_x000a_PT Cyberindo Aditama_x000a_PT Bangun Andalan Perkasa_x000a_PT Inti Dunia Sukses_x000a_PT Kaldu Sari Nabati_x000a_PT Klik Indomaret Sukses_x000a_PT Klik Indomaret Sukses_x000a_PT Adaro Indonesia"/>
    <s v="Gedung Cyber Lt.11 Jl. Kuningan Barat No.8 Kuningan Barat Jakarta"/>
    <x v="3"/>
    <s v="Cyber2 Tower, Kuningan, East Kuningan, Setiabudi, South Jakarta City, Jakarta,  Kuningan,  Jakarta Selatan,  DKI Jakarta,  Indonesia"/>
    <s v="Universitas Pelita Bangsa Jl. Inspeksi Kalimalang No.9, Cibatu,  Kec. Cikarang Sel.,,  Kabupaten Bekasi,  Jawa Barat,  Indonesia,  17530"/>
    <s v="Sewa Tahunan"/>
    <s v="Colocation"/>
    <s v="PA/ACT/2211/3272/TER_x000a_'ICON-00/ACT/1710/0264_x000a_'AL/2112/157131_x000a_'AL/1910/50209_x000a_'PA/ACT/1806/1081_x000a_'AL/2002/6689_x000a_'PA/ACT/2108/2056_x000a_'A311202000008"/>
    <m/>
    <m/>
    <s v="Metronet"/>
    <m/>
    <m/>
    <n v="1104000000"/>
    <m/>
    <m/>
    <n v="108000000"/>
    <m/>
    <d v="2025-01-01T00:00:00"/>
    <d v="2025-12-31T00:00:00"/>
    <x v="1"/>
    <m/>
    <d v="2025-12-24T00:00:00"/>
    <n v="7"/>
    <n v="12"/>
    <n v="2025"/>
    <s v="2589/SPP/SBU/ICON+/2024 | 4500022248"/>
    <s v="5543/SPP/SBU/PLNICONPLUS/2025"/>
    <s v="4500024467"/>
    <s v="Livia Indraswati"/>
    <s v="Erni Monalena"/>
    <m/>
    <m/>
    <m/>
    <m/>
    <m/>
    <m/>
    <m/>
    <m/>
    <m/>
    <n v="45"/>
    <m/>
  </r>
  <r>
    <n v="2149"/>
    <s v="Phinisindo Zamrud Nusantara"/>
    <s v="PT Bank Mega"/>
    <s v="Jl. Margonda No.56, Depok, Kec. Pancoran Mas, Kota Depok, Jawa Barat 16431"/>
    <x v="3"/>
    <s v="-"/>
    <s v="KCP Depok, Jl. Margonda Raya No.56 - 16431"/>
    <s v="Sewa Tahunan"/>
    <s v="Colocation"/>
    <m/>
    <n v="110120200882"/>
    <m/>
    <s v="Metronet QnQ dan Internet Dedicated"/>
    <s v="1 Mbps"/>
    <m/>
    <n v="26400000"/>
    <m/>
    <m/>
    <n v="2000000"/>
    <m/>
    <d v="2025-01-08T00:00:00"/>
    <d v="2026-01-07T00:00:00"/>
    <x v="1"/>
    <m/>
    <d v="2025-12-24T00:00:00"/>
    <n v="14"/>
    <n v="1"/>
    <n v="2026"/>
    <n v="4500022236"/>
    <s v="5872/SPP/SBU/PLNICONPLUS/2025"/>
    <s v="4500024664"/>
    <s v="Livia Indraswati"/>
    <s v="Puji"/>
    <m/>
    <m/>
    <m/>
    <m/>
    <m/>
    <m/>
    <m/>
    <m/>
    <m/>
    <n v="52"/>
    <m/>
  </r>
  <r>
    <n v="2150"/>
    <s v="Duta Pertiwi"/>
    <s v="PT Bank Mega"/>
    <s v="ITC Fatmawati Jl. RS. Fatmawati Raya No.39, RT.1/RW.5, Cipete Utara, Kec. Kby. Baru, Kota Jakarta Selatan, Daerah Khusus Ibukota Jakarta 12150"/>
    <x v="1"/>
    <s v="Menara Bank Mega, Tendean, Jakarta"/>
    <s v="069 KCP Duta Mas, Komp. Pertokoan Duta Mas Fatmawati Blok B1 No. 6, Jl. RS. Fatmawati No. 39, Cilandak, Jakarta Selatan, DKI Jakarta, Indonesia, 12430"/>
    <s v="Sewa Tahunan"/>
    <s v="Colocation"/>
    <s v="AL/2203/53173"/>
    <m/>
    <m/>
    <s v="Metronet"/>
    <s v="1 Mbps"/>
    <m/>
    <n v="26400000"/>
    <m/>
    <m/>
    <n v="11812500"/>
    <m/>
    <d v="2025-04-12T00:00:00"/>
    <d v="2026-04-11T00:00:00"/>
    <x v="1"/>
    <m/>
    <d v="2025-12-24T00:00:00"/>
    <n v="108"/>
    <n v="4"/>
    <n v="2026"/>
    <n v="4500022562"/>
    <s v="5873/SPP/SBU/PLNICONPLUS/2025"/>
    <s v="4500024659"/>
    <s v="Livia Indraswati"/>
    <s v="Evie"/>
    <m/>
    <m/>
    <m/>
    <m/>
    <m/>
    <m/>
    <m/>
    <m/>
    <m/>
    <n v="70"/>
    <m/>
  </r>
  <r>
    <n v="2151"/>
    <s v="Grya Catur Abadi"/>
    <s v="PT Tera Logistic Indonesia"/>
    <s v="Jl. Abdul Muis No. 46 Jakarta 10160"/>
    <x v="4"/>
    <s v="-"/>
    <s v="JL. ABDUL MUIS NO. 50 GAMBIR, -, JAKARTA PUSAT, DKI JAKARTA, INDONESIA,"/>
    <s v="Sewa Tahunan"/>
    <s v="Colocation"/>
    <m/>
    <s v="130130300990 / 04000137233"/>
    <m/>
    <s v="Internet Corporate "/>
    <s v="200 Mbps"/>
    <m/>
    <n v="187800000"/>
    <m/>
    <m/>
    <n v="10285000"/>
    <m/>
    <d v="2025-02-01T00:00:00"/>
    <d v="2026-01-31T00:00:00"/>
    <x v="1"/>
    <m/>
    <d v="2025-12-24T00:00:00"/>
    <n v="38"/>
    <n v="1"/>
    <n v="2026"/>
    <s v="2449/SPP/SBU/ICON+/2024 | 4500022205"/>
    <s v="5550/SPP/SBU/PLNICONPLUS/2025"/>
    <s v="4500024442"/>
    <s v="Livia Indraswati"/>
    <s v="Komalasari"/>
    <m/>
    <m/>
    <m/>
    <m/>
    <m/>
    <m/>
    <m/>
    <m/>
    <m/>
    <n v="57"/>
    <m/>
  </r>
  <r>
    <n v="2152"/>
    <s v="Aston Inti Makmur"/>
    <s v="PT Nugraha Indah Citarasa Indonesia"/>
    <s v="Ariobimo Sentral, L9, Setia Budi, Indonesia, Jl. H. R. Rasuna Said No.5, RT.9/RW.4, Kuningan Tim., Kecamatan Setiabudi, Kota Jakarta Selatan, Daerah Khusus Ibukota Jakarta 12950"/>
    <x v="1"/>
    <s v="Sudirman Plaza, Indofood Tower Lt.27 Jl.Jend Sudirman Kav.76-78 Jakarta 12910, -, Jakarta Selatan, DKI Jakarta, Indonesia"/>
    <s v="PT Nugraha Indah Citarasa Indonesia, Gedung Ariobimo Sentral Lt.5 Jl. HR Rasuna Said Blok X2 Kav 5, -, Jakarta Selatan, DKI Jakarta, Indonesia, 12950"/>
    <s v="Sewa Tahunan"/>
    <s v="Colocation"/>
    <s v="PA/RLK/1902/0057"/>
    <m/>
    <m/>
    <s v="Internet Corporate "/>
    <s v="200 Mbps"/>
    <m/>
    <n v="60000000"/>
    <m/>
    <m/>
    <n v="27500000"/>
    <m/>
    <d v="2025-03-01T00:00:00"/>
    <d v="2026-02-28T00:00:00"/>
    <x v="1"/>
    <m/>
    <d v="2025-12-24T00:00:00"/>
    <n v="66"/>
    <n v="2"/>
    <n v="2026"/>
    <s v="2455/SPP/SBU/ICON+/2024 | 4500022264"/>
    <s v="5736/SPP/SBU/PLNICONPLUS/2025"/>
    <s v="4500024574"/>
    <s v="Livia Indraswati"/>
    <s v="Yadi"/>
    <m/>
    <m/>
    <m/>
    <m/>
    <m/>
    <m/>
    <m/>
    <m/>
    <m/>
    <n v="67"/>
    <m/>
  </r>
  <r>
    <n v="2153"/>
    <s v="Maspion"/>
    <s v="PT Lawangmas Primapack"/>
    <s v="Maspion Plaza Gunung Sahari Jl Gunung Sahari Raya No. 18 Lt.16 Jakarta Utara 14420"/>
    <x v="4"/>
    <s v="Jl. Perusahaan No.99, Komplek Industri Randuagung Singosari, Malang 65153, -, -, -, Indonesia"/>
    <s v="MASPION PLAZA 6TH FLOOR,UNIT A. JL.GUNUNG SAHARI KAV.18 JAKARTA UTARA 14420, -, -, -, INDONESIA, -"/>
    <s v="Sewa Tahunan"/>
    <s v="Colocation"/>
    <m/>
    <s v="140120500574 / 0990000320387456"/>
    <m/>
    <s v="IPVPN"/>
    <s v="1.5 Mbps"/>
    <m/>
    <n v="33600000"/>
    <m/>
    <m/>
    <n v="5000000"/>
    <m/>
    <d v="2025-02-01T00:00:00"/>
    <d v="2026-01-31T00:00:00"/>
    <x v="1"/>
    <m/>
    <d v="2025-12-24T00:00:00"/>
    <n v="38"/>
    <n v="1"/>
    <n v="2026"/>
    <n v="4500022330"/>
    <s v="5644/SPP/SBU/PLNICONPLUS/2025"/>
    <s v="4500024533"/>
    <s v="Livia Indraswati"/>
    <s v="Anita"/>
    <m/>
    <m/>
    <m/>
    <m/>
    <m/>
    <m/>
    <m/>
    <m/>
    <m/>
    <n v="58"/>
    <m/>
  </r>
  <r>
    <n v="2154"/>
    <s v="Omega Propertindo"/>
    <s v="PT Japfaa Comfeed Indonesia"/>
    <s v="Wisma Millenia Jakarta Jl. MT. Haryono kav. 16 Jakarta Selatan 12810"/>
    <x v="4"/>
    <s v="-"/>
    <s v="(Backup Backhaul) Wisma Millenia Lt.4, Jl. MT Haryono Kav. 16, Pancoran, Jakarta Selatan, DKI "/>
    <s v="Sewa Tahunan"/>
    <s v="Colocation"/>
    <s v="PA/ACT/1912/3172 "/>
    <s v="110120520965 / 01000094123"/>
    <m/>
    <s v="IPVPN"/>
    <s v="60 Mbps"/>
    <m/>
    <n v="114000000"/>
    <m/>
    <m/>
    <n v="43890000"/>
    <m/>
    <d v="2025-02-02T00:00:00"/>
    <d v="2026-02-01T00:00:00"/>
    <x v="1"/>
    <m/>
    <d v="2025-12-24T00:00:00"/>
    <n v="39"/>
    <n v="2"/>
    <n v="2026"/>
    <s v="2586/SPP/SBU/ICON+/2024 | 4500022250"/>
    <s v="5734/SPP/SBU/PLNICONPLUS/2025"/>
    <s v="4500024573"/>
    <s v="Livia Indraswati"/>
    <s v="Netta"/>
    <m/>
    <m/>
    <m/>
    <m/>
    <m/>
    <m/>
    <m/>
    <m/>
    <m/>
    <n v="59"/>
    <m/>
  </r>
  <r>
    <n v="2155"/>
    <s v="Jaya Land"/>
    <s v="PT Bank Mega"/>
    <s v="Jl. MH. Thamrin No. 12 Jakarta Pusat, 10340"/>
    <x v="4"/>
    <s v="-"/>
    <s v="048 KCP Gedung Jaya Thamrin, Gedung Jaya Jl. MH. Thamrin No. 12, RT.2/RW.1, Kb. Sirih, Menteng, Jakarta Pusat, DKI Jakarta, Indonesia, 10340"/>
    <s v="Sewa Tahunan"/>
    <s v="Colocation"/>
    <m/>
    <s v="110120200683"/>
    <m/>
    <s v="Metronet"/>
    <s v="1 Mbps"/>
    <m/>
    <n v="26400000"/>
    <m/>
    <m/>
    <n v="14729000"/>
    <m/>
    <d v="2025-02-01T00:00:00"/>
    <d v="2026-01-31T00:00:00"/>
    <x v="1"/>
    <m/>
    <d v="2025-12-24T00:00:00"/>
    <n v="38"/>
    <n v="1"/>
    <n v="2026"/>
    <n v="4500022245"/>
    <s v="6247/SPP/SBU/PLNICONPLUS/2025"/>
    <s v="4500024844"/>
    <s v="Livia Indraswati"/>
    <s v="Cipta"/>
    <m/>
    <m/>
    <m/>
    <m/>
    <m/>
    <m/>
    <m/>
    <m/>
    <m/>
    <n v="72"/>
    <m/>
  </r>
  <r>
    <n v="2156"/>
    <s v="Jekael Invesco"/>
    <s v="PT Indonesia Comnets Plus"/>
    <s v="Gedung menara Selatan Lt.9 Jl. Jend. Gatot Subroto No. 38 Jakarta 12712"/>
    <x v="3"/>
    <m/>
    <s v="Menara Jamsostek, Jalan Gatot Subroto, Kav 38. RT.6/RW.1, Kuningan Barat, Mampang Prapatan, Jakarta Selatan, Indonesia 12710"/>
    <s v="Sewa Tahunan"/>
    <s v="Colocation"/>
    <m/>
    <m/>
    <m/>
    <s v="IPVPN"/>
    <m/>
    <m/>
    <s v="-"/>
    <m/>
    <m/>
    <n v="30000000"/>
    <m/>
    <d v="2025-01-02T00:00:00"/>
    <d v="2026-01-01T00:00:00"/>
    <x v="1"/>
    <m/>
    <d v="2025-12-24T00:00:00"/>
    <n v="8"/>
    <n v="1"/>
    <n v="2026"/>
    <s v="3940/SPP/SBU/PLNICONPLUS/2024 | 4500023125"/>
    <s v="5888/SPP/SBU/PLNICONPLUS/2025"/>
    <s v="4500024647"/>
    <s v="Livia Indraswati"/>
    <s v="Tri"/>
    <m/>
    <m/>
    <m/>
    <m/>
    <m/>
    <m/>
    <m/>
    <m/>
    <m/>
    <n v="42"/>
    <m/>
  </r>
  <r>
    <n v="2157"/>
    <s v="Jekael Invesco"/>
    <s v="PT Indonesia Comnets Plus"/>
    <s v="Gedung menara Selatan Lt.9 Jl. Jend. Gatot Subroto No. 38 Jakarta 12712"/>
    <x v="1"/>
    <m/>
    <s v="Menara Jamsostek, Jalan Gatot Subroto, Kav 38. RT.6/RW.1, Kuningan Barat, Mampang Prapatan, Jakarta Selatan, Indonesia 12710"/>
    <s v="Sewa Tahunan"/>
    <s v="Colocation"/>
    <m/>
    <m/>
    <m/>
    <s v="IPVPN"/>
    <m/>
    <m/>
    <s v="-"/>
    <m/>
    <m/>
    <n v="5000000"/>
    <m/>
    <d v="2025-02-25T00:00:00"/>
    <d v="2026-02-26T00:00:00"/>
    <x v="1"/>
    <m/>
    <d v="2025-12-24T00:00:00"/>
    <n v="64"/>
    <n v="2"/>
    <n v="2026"/>
    <n v="4500022368"/>
    <s v="6017/SPP/SBU/PLNICONPLUS/2025"/>
    <s v="4500024744"/>
    <s v="Livia Indraswati"/>
    <s v="Tri"/>
    <m/>
    <m/>
    <m/>
    <m/>
    <m/>
    <m/>
    <m/>
    <m/>
    <m/>
    <n v="66"/>
    <m/>
  </r>
  <r>
    <n v="2158"/>
    <s v="Jakarta Land"/>
    <s v="PT Worley Sea Indonesia"/>
    <s v="Gedung menara Selatan Lt.9 Jl. Jend. Gatot Subroto No. 38 Jakarta 12712"/>
    <x v="3"/>
    <m/>
    <s v="Building WTC 3 Floor 18, Jl. Jend. Sudirman kav 29-31 RT.4/RW.2, Kuningan, Karet,Setiabudi ,Jakarta Selatan ,DKI Jakarta ,Indonesia ,12920"/>
    <s v="Sewa Tahunan"/>
    <s v="Colocation"/>
    <s v="PA/ACT/2210/2013"/>
    <m/>
    <m/>
    <s v="Internet Corporate"/>
    <s v="200 Mbps"/>
    <m/>
    <n v="240000000"/>
    <m/>
    <m/>
    <n v="35000000"/>
    <m/>
    <d v="2025-01-01T00:00:00"/>
    <d v="2025-12-31T00:00:00"/>
    <x v="1"/>
    <m/>
    <d v="2025-12-24T00:00:00"/>
    <n v="7"/>
    <n v="12"/>
    <n v="2025"/>
    <n v="4500021810"/>
    <s v="5438/SPP/SBU/PLNICONPLUS/2024"/>
    <s v="4500024409"/>
    <s v="Livia Indraswati"/>
    <s v="Jenny"/>
    <m/>
    <m/>
    <m/>
    <m/>
    <m/>
    <m/>
    <m/>
    <m/>
    <m/>
    <n v="51"/>
    <m/>
  </r>
  <r>
    <n v="2159"/>
    <s v="Karya Nastari Prapta"/>
    <s v="PT Bank Sinarmas"/>
    <s v="Jl. Prof. Dr. Satrio Jakarta 12940 Indonesia"/>
    <x v="4"/>
    <m/>
    <s v="(AMBASADOR-JAKARTA) ITC KUNINGAN AMBASADOR BLOK 9-C LT 5 JL PROF DR SATRIO MALL AMBASADOR LT 5 BLOK 9 C RT 011 RW 004 CASABLANCA"/>
    <s v="Sewa Tahunan"/>
    <s v="Colocation"/>
    <s v="A821303000669"/>
    <m/>
    <m/>
    <s v="Internet Dedicated"/>
    <m/>
    <m/>
    <n v="12252804"/>
    <m/>
    <m/>
    <n v="34800000"/>
    <m/>
    <d v="2025-02-13T00:00:00"/>
    <d v="2026-02-12T00:00:00"/>
    <x v="1"/>
    <m/>
    <d v="2025-12-24T00:00:00"/>
    <n v="50"/>
    <n v="2"/>
    <n v="2026"/>
    <n v="4500022206"/>
    <s v="5998/SPP/SBU/PLNICONPLUS/2025"/>
    <s v="4500024765"/>
    <s v="Livia Indraswati"/>
    <s v="Ulina"/>
    <m/>
    <m/>
    <m/>
    <m/>
    <m/>
    <m/>
    <m/>
    <m/>
    <m/>
    <n v="62"/>
    <m/>
  </r>
  <r>
    <n v="2160"/>
    <s v="Media Nusantara Data Global"/>
    <s v="PT Lintas Jaringan Nusantara_x000a_PT Telemedia Dinamika Sarana_x000a_PT Multidata Rancana Prima_x000a_PT Multidata Rancana Prima"/>
    <s v="Jl. Kuningan Barat No. 8 Cyber Building 1st &amp; 2nd Jakarta Selatan 12712"/>
    <x v="2"/>
    <m/>
    <s v="Gedung Cyber. JL. KUNINGAN BARAT RAYA NO.8, RT.1/RW.3, KUNINGAN BAR., KEC. MAMPANG PRPT., KOTA JAKARTA SELATAN, DAERAH KHUSUS IBUKOTA JAKARTA 12710"/>
    <s v="Sewa Tahunan"/>
    <s v="Cross Connect"/>
    <s v="U111204000146_x000a_A821202001175 _x000a_A111204000055_x000a_A111202004731  "/>
    <m/>
    <m/>
    <s v="Metronet"/>
    <m/>
    <m/>
    <s v="-"/>
    <m/>
    <m/>
    <n v="18000000"/>
    <m/>
    <d v="2025-01-11T00:00:00"/>
    <d v="2026-01-10T00:00:00"/>
    <x v="1"/>
    <m/>
    <d v="2025-12-24T00:00:00"/>
    <n v="17"/>
    <n v="1"/>
    <n v="2026"/>
    <n v="4500022597"/>
    <s v="6018/SPP/SBU/PLNICONPLUS/2025"/>
    <s v="4500024743"/>
    <s v="Livia Indraswati"/>
    <s v="Ira"/>
    <m/>
    <m/>
    <m/>
    <m/>
    <m/>
    <m/>
    <m/>
    <m/>
    <m/>
    <n v="54"/>
    <m/>
  </r>
  <r>
    <n v="2161"/>
    <s v="Grahalestari Ciptakencana"/>
    <s v="PT Tele Net_x000a_PT Future Pipe Industries_x000a_PT Iforte Solusi Infotek_x000a_PT Iforte Solusi Infotek_x000a_PT Aplikanusa Lintasarta_x000a_PT Aplikanusa Lintasarta"/>
    <s v="Talavera Office Park, Jl. Let. Jen Jl. TB Simatupang No.Kav. 22 - 26, Cilandak Bar., Kec. Cilandak, Kota Jakarta Selatan, Daerah Khusus Ibukota Jakarta 12430"/>
    <x v="1"/>
    <m/>
    <s v="TALAVERA OFFICE PARK LANTAI 8, JL. TB SIMATUPANG NO.23, RT.3/RW.1, CILANDAK BAR., KEC. CILANDAK, KOTA JAKARTA SELATAN, DAERAH KHUSUS IBUKOTA JAKARTA 12430   "/>
    <s v="Sewa Tahunan"/>
    <s v="Colocation"/>
    <s v="111303011309_x000a_A821303000510_x000a_'111202020476_x000a_'111202020477_x000a_110130307931_x000a_'110130307930"/>
    <m/>
    <m/>
    <s v="Metronet"/>
    <m/>
    <m/>
    <n v="283684800"/>
    <m/>
    <m/>
    <n v="125000000"/>
    <m/>
    <d v="2025-03-30T00:00:00"/>
    <d v="2026-03-29T00:00:00"/>
    <x v="1"/>
    <m/>
    <d v="2025-12-24T00:00:00"/>
    <n v="95"/>
    <n v="3"/>
    <n v="2026"/>
    <s v="21103/SPP/008/PUSAT/ICON+/2023 | 4500020015"/>
    <s v="5968/SPP/SBU/PLNICONPLUS/2025"/>
    <s v="4500024722"/>
    <s v="Livia Indraswati"/>
    <s v="Froleen"/>
    <m/>
    <m/>
    <m/>
    <m/>
    <m/>
    <m/>
    <m/>
    <m/>
    <m/>
    <n v="68"/>
    <m/>
  </r>
  <r>
    <n v="2162"/>
    <s v="Arthamas Solusindo"/>
    <s v="PT Bank Sinarmas"/>
    <s v="Talavera Office Park Jl. TB Simatupang Kav. 22 - 26 Cilandak, Jakarta - 12430"/>
    <x v="3"/>
    <s v="(Drc - Secondary) Gedung Smart Lt.3, Jl. Pahlawan Seribu Cbd-Bsd Lot 12a, Bsd City Tangerang, Indonesia"/>
    <s v="(Drc - Secondary) Gedung Smart Lt.3, Jl. Pahlawan Seribu Cbd-Bsd Lot 12a, Bsd City Tangerang, Indonesia"/>
    <s v="Sewa Tahunan"/>
    <s v="Colocation"/>
    <m/>
    <s v="111303012164"/>
    <m/>
    <s v="Internet Corporate "/>
    <s v="1000 Mbps"/>
    <m/>
    <n v="249742728"/>
    <m/>
    <m/>
    <n v="48000000"/>
    <m/>
    <d v="2025-01-01T00:00:00"/>
    <d v="2025-12-31T00:00:00"/>
    <x v="1"/>
    <m/>
    <d v="2025-12-24T00:00:00"/>
    <n v="7"/>
    <n v="12"/>
    <n v="2025"/>
    <s v="3002/SPP/SBU/PLNICONPLUS/2024 | 4500022522"/>
    <s v="5589/SPP/SBU/PLNICONPLUS/2025"/>
    <s v="4500024767"/>
    <s v="Livia Indraswati"/>
    <s v="Serli"/>
    <m/>
    <m/>
    <m/>
    <m/>
    <m/>
    <m/>
    <m/>
    <m/>
    <m/>
    <n v="63"/>
    <m/>
  </r>
  <r>
    <n v="2163"/>
    <s v="Kawasan Berikat Nusantara"/>
    <s v="PT Mastersystem Infotama"/>
    <s v="Lahan Berikat Nusantara SBU Lahan Tanjung Priok Marunda"/>
    <x v="0"/>
    <m/>
    <s v="MARUNDA JETTY, JL. MARUNDA 1 NO.5, RT.1/RW.7, CILINCING, KEC. CILINCING, JKT UTARA, DAERAH KHUSUS IBUKOTA JAKARTA"/>
    <s v="Sewa Tahunan"/>
    <s v="Colocation"/>
    <s v="A811303000054"/>
    <m/>
    <m/>
    <s v="Internet Corporate "/>
    <s v="10 Mbps"/>
    <m/>
    <n v="57951600"/>
    <m/>
    <m/>
    <n v="20671878"/>
    <m/>
    <d v="2025-01-22T00:00:00"/>
    <d v="2025-07-21T00:00:00"/>
    <x v="0"/>
    <m/>
    <d v="2025-12-24T00:00:00"/>
    <n v="-156"/>
    <n v="7"/>
    <n v="2025"/>
    <s v="4395/SPP/SBU/PLNICONPLUS/2024 | 4500023596"/>
    <s v="5541/SPP/SBU/PLNICONPLUS/2025"/>
    <s v="4500024440"/>
    <s v="Livia Indraswati"/>
    <s v="Feriyan"/>
    <m/>
    <m/>
    <m/>
    <m/>
    <m/>
    <m/>
    <m/>
    <m/>
    <m/>
    <n v="64"/>
    <m/>
  </r>
  <r>
    <n v="2164"/>
    <s v="PCDC Propco One "/>
    <s v="PT Bank Danamon Indonesia Tbk"/>
    <s v="Komplek Nila Alam Ruko 1 Jl. Daan Mogot Blvd No.KM. 18 No. 18, RT.11/RW.6, Kalideres, West Jakarta City, Jakarta 11840"/>
    <x v="2"/>
    <s v="BACKHAUL DC BDDC ATRIA - JL. DAAN MOGOT KM. 18 NO. 18, KALIDERES, JAKARTA BARAT - 11840"/>
    <s v="BACKHAUL DC BDDC ATRIA - JL. DAAN MOGOT KM. 18 NO. 18, KALIDERES, JAKARTA BARAT - 11840"/>
    <s v="Sewa Tahunan"/>
    <s v="Colocation"/>
    <s v="R111205004006 / 1124040500183 - 110120522490 / 01000352535"/>
    <m/>
    <m/>
    <s v="IPVPN"/>
    <s v="100 Mbps"/>
    <m/>
    <n v="105000000"/>
    <m/>
    <m/>
    <n v="21600000"/>
    <m/>
    <d v="2025-01-22T00:00:00"/>
    <d v="2026-01-21T00:00:00"/>
    <x v="1"/>
    <m/>
    <d v="2025-12-24T00:00:00"/>
    <n v="28"/>
    <n v="1"/>
    <n v="2026"/>
    <n v="4500022249"/>
    <s v="5586/SPP/SBU/PLNICONPLUS/2025"/>
    <s v="4500024520"/>
    <s v="Livia Indraswati"/>
    <s v="Debbi"/>
    <m/>
    <m/>
    <m/>
    <m/>
    <m/>
    <m/>
    <m/>
    <m/>
    <m/>
    <n v="48"/>
    <m/>
  </r>
  <r>
    <n v="2165"/>
    <s v="IDC (Internetindo Data Centra Indonesia) "/>
    <s v="all pelanggan"/>
    <s v="Rukan Duren Tiga No. 7H_x000a_Jl. Duren Tiga Raya No. 7 Jakarta Selatan 12760"/>
    <x v="0"/>
    <m/>
    <m/>
    <s v="Sewa Tahunan"/>
    <s v="Cross Connect"/>
    <m/>
    <m/>
    <m/>
    <s v="kapasitas besar"/>
    <m/>
    <m/>
    <n v="1379000000"/>
    <m/>
    <m/>
    <n v="20800000"/>
    <m/>
    <d v="2024-09-01T00:00:00"/>
    <d v="2024-12-31T00:00:00"/>
    <x v="0"/>
    <m/>
    <d v="2025-12-24T00:00:00"/>
    <n v="-358"/>
    <n v="12"/>
    <n v="2024"/>
    <m/>
    <s v="5436/SPP/SBU/PLNICONPLUS/2025"/>
    <s v="4500024829"/>
    <s v="Syifa Fauziyah"/>
    <s v="nopi"/>
    <m/>
    <m/>
    <m/>
    <m/>
    <m/>
    <m/>
    <m/>
    <m/>
    <m/>
    <m/>
    <m/>
  </r>
  <r>
    <n v="2166"/>
    <s v="CBN Nusantara"/>
    <s v="PT Cyberindo Aditama qq Universitas Pelita Bangsa"/>
    <s v="Cyber 2 Tower 2nd Floor Jl HR Rasuna Said Kav X-5 No 13 Jakarta 12950"/>
    <x v="0"/>
    <s v="Cyber2 Tower, Kuningan, East Kuningan, Setiabudi, South Jakarta City, Jakarta,  Kuningan,  Jakarta Selatan,  DKI Jakarta,  Indonesia"/>
    <s v="Universitas Pelita Bangsa Jl. Inspeksi Kalimalang No.9, Cibatu,  Kec. Cikarang Sel.,,  Kabupaten Bekasi,  Jawa Barat,  Indonesia,  17530"/>
    <s v="Sewa Tahunan"/>
    <s v="Cross Connect"/>
    <s v="PA/ACT/2211/3272/TER"/>
    <m/>
    <m/>
    <s v="Metronet"/>
    <s v="1 Gbps"/>
    <m/>
    <n v="210000000"/>
    <m/>
    <m/>
    <n v="8000000"/>
    <m/>
    <d v="2024-12-07T00:00:00"/>
    <d v="2025-12-06T00:00:00"/>
    <x v="1"/>
    <m/>
    <d v="2025-12-24T00:00:00"/>
    <n v="-18"/>
    <n v="12"/>
    <n v="2025"/>
    <s v="1438/SPP/SBU/ICON+/2023 | 4500024116"/>
    <s v="5545/SPP/SBU/PLNICONPLUS/2025"/>
    <s v="4500024441"/>
    <s v="Livia Indraswati"/>
    <s v="Erni Monalena"/>
    <m/>
    <m/>
    <m/>
    <m/>
    <m/>
    <m/>
    <m/>
    <m/>
    <m/>
    <n v="323"/>
    <m/>
  </r>
  <r>
    <n v="2167"/>
    <s v="Dinamika Raya Prima"/>
    <s v="PT Bank Rakyat Indonesia"/>
    <s v="Cyber 2 Tower 2nd Floor Jl HR Rasuna Said Kav X-5 No 13 Jakarta 12950"/>
    <x v="0"/>
    <s v="JL. HARSONO RM NO.26, RT.6/RW.7, RAGUNAN, PS. MINGGU, KOTA JAKARTA SELATAN, DAERAH KHUSUS IBUKOTA JAKARTA 12550"/>
    <s v="H2H BRI - BPJS KESEHATAN JL.BIZNET TECHNOVILLAGE NO.1 BOJONGNANGKA KEC. GN. PUTRI KAB. BOGOR JAWA BARAT"/>
    <s v="Sewa Tahunan"/>
    <s v="Cross Connect"/>
    <s v="R111205001840"/>
    <m/>
    <m/>
    <s v="IPVPN"/>
    <s v="1 Mbps"/>
    <m/>
    <n v="54054060"/>
    <m/>
    <m/>
    <n v="24000000"/>
    <m/>
    <d v="2024-12-01T00:00:00"/>
    <d v="2025-11-30T00:00:00"/>
    <x v="1"/>
    <m/>
    <d v="2025-12-24T00:00:00"/>
    <n v="-24"/>
    <n v="11"/>
    <n v="2025"/>
    <n v="4500021977"/>
    <s v="5780/SPP/SBU/PLNICONPLUS/2025"/>
    <s v="4500024742"/>
    <s v="Livia Indraswati"/>
    <s v="Farah"/>
    <m/>
    <m/>
    <m/>
    <m/>
    <m/>
    <m/>
    <m/>
    <m/>
    <m/>
    <n v="436"/>
    <m/>
  </r>
  <r>
    <n v="2168"/>
    <s v="Karyagraha Nusantara"/>
    <s v="Join All Customer"/>
    <s v="MidPlaza 2 Lt. 8 Jl Jend. Sudirman 10-11 Jakarta 10220"/>
    <x v="0"/>
    <s v="Gedung Cyber 1"/>
    <s v="BTN Data Center Sentul"/>
    <s v="Sewa Tahunan"/>
    <s v="Colocation"/>
    <m/>
    <s v="01000101781 _x000a_'01000181192"/>
    <m/>
    <s v="Metronet"/>
    <m/>
    <m/>
    <n v="152400000"/>
    <m/>
    <m/>
    <n v="57000000"/>
    <m/>
    <d v="2024-09-06T00:00:00"/>
    <d v="2025-09-05T00:00:00"/>
    <x v="1"/>
    <m/>
    <d v="2025-12-24T00:00:00"/>
    <n v="-110"/>
    <n v="9"/>
    <n v="2025"/>
    <s v="579/SPP/SBU/ICON+/2023 | 4500020824"/>
    <s v="5814/SPP/SBU/PLNICONPLUS/2025"/>
    <s v="4500024577"/>
    <s v="Livia Indraswati"/>
    <s v="Tito"/>
    <m/>
    <m/>
    <m/>
    <m/>
    <m/>
    <m/>
    <m/>
    <m/>
    <n v="321"/>
    <m/>
    <m/>
  </r>
  <r>
    <n v="2169"/>
    <s v="Solusi Data Cepat"/>
    <s v="PT Indo Telemedia Solusi"/>
    <s v="Gedung Cyber Jl. Kuningan Barat No.8 Kuningan Barat Jakarta"/>
    <x v="0"/>
    <s v="JL. BUKIT ALADIN, BOJONG KONENG, KEC. BABAKAN MADANG, KABUPATEN BOGOR, JAWA BARAT 16810"/>
    <s v="JL. KUNINGAN BARAT RAYA NO.8, RT.1/RW.3, KUNINGAN BAR., KEC. MAMPANG PRPT., KOTA JAKARTA SELATAN, DAERAH KHUSUS IBUKOTA JAKARTA 12710 "/>
    <s v="Sewa Tahunan"/>
    <s v="Cross Connect"/>
    <s v="A111202001917"/>
    <n v="1123103000035"/>
    <m/>
    <s v="Metronet"/>
    <s v="100 Mbps"/>
    <m/>
    <n v="30000000"/>
    <m/>
    <m/>
    <n v="1500000"/>
    <m/>
    <d v="2024-12-05T00:00:00"/>
    <d v="2025-12-04T00:00:00"/>
    <x v="1"/>
    <m/>
    <d v="2025-12-24T00:00:00"/>
    <n v="-20"/>
    <n v="12"/>
    <n v="2025"/>
    <s v="1915/SPP/SBU/ICON+/2023 | 4500021661"/>
    <s v="4996/SPP/SBU/PLNICONPLUS/2024"/>
    <s v="4500024001"/>
    <s v="Livia Indraswati"/>
    <s v="Indri"/>
    <m/>
    <m/>
    <m/>
    <m/>
    <m/>
    <m/>
    <m/>
    <m/>
    <m/>
    <n v="487"/>
    <m/>
  </r>
  <r>
    <n v="2170"/>
    <s v="Moimstone Dasan Indonesia"/>
    <s v="Bank Syariah Indonesia"/>
    <s v="Jl. Raya Klp. Dua Wetan, RT.4/RW.8, Klp. Dua Wetan, Kec. Ciracas, Kota Jakarta Timur, Daerah Khusus Ibukota Jakarta 13730"/>
    <x v="1"/>
    <m/>
    <s v="JL. MEDAN MERDEKA SEL. NO.14, RT.11/RW.2, GAMBIR, KECAMATAN GAMBIR, KOTA JAKARTA PUSAT, DAERAH KHUSUS IBUKOTA JAKARTA 10110              "/>
    <s v="Sewa Tahunan"/>
    <s v="Colocation"/>
    <s v="A111202009871"/>
    <s v="111202017988"/>
    <m/>
    <s v="Metronet"/>
    <m/>
    <m/>
    <n v="906000000"/>
    <m/>
    <m/>
    <n v="72000000"/>
    <m/>
    <d v="2025-03-17T00:00:00"/>
    <d v="2026-03-16T00:00:00"/>
    <x v="1"/>
    <m/>
    <d v="2025-12-24T00:00:00"/>
    <n v="82"/>
    <n v="3"/>
    <n v="2026"/>
    <s v="Baru"/>
    <s v="6173/SPP/SBU/PLNICONPLUS/2025"/>
    <s v="4500024826"/>
    <s v="Syifa Fauziyah"/>
    <s v="Karma"/>
    <m/>
    <m/>
    <m/>
    <m/>
    <m/>
    <m/>
    <m/>
    <m/>
    <m/>
    <n v="28"/>
    <m/>
  </r>
  <r>
    <n v="2171"/>
    <s v="DCI Indonesia"/>
    <s v="PT Prodia Widyahusada"/>
    <s v="Equity Tower 17th floor suite F SCBD lot Jl Jend Sudirman Kav 52-53 Jakarta 12196"/>
    <x v="1"/>
    <s v="MM2001 CIBITUNG, CIBITUNG, KOTA BEKASI, JAWA BARAT, INDONESIA"/>
    <s v="MM2001 CIBITUNG, CIBITUNG, KOTA BEKASI, JAWA BARAT, INDONESIA"/>
    <s v="Sewa Tahunan"/>
    <s v="Cross Connect"/>
    <s v="PA/UPG/2112/0123"/>
    <m/>
    <m/>
    <s v="IPVPN"/>
    <s v="1 Gbps"/>
    <m/>
    <n v="108000000"/>
    <m/>
    <m/>
    <n v="18000000"/>
    <m/>
    <d v="2025-03-09T00:00:00"/>
    <d v="2026-03-08T00:00:00"/>
    <x v="1"/>
    <m/>
    <d v="2025-12-24T00:00:00"/>
    <n v="74"/>
    <n v="3"/>
    <n v="2026"/>
    <n v="4500020054"/>
    <s v="6118/SPP/SBU/PLNICONPLUS/2025_x000a_"/>
    <s v="4500024898"/>
    <s v="Livia Indraswati"/>
    <s v="Irma"/>
    <m/>
    <m/>
    <m/>
    <m/>
    <m/>
    <m/>
    <m/>
    <m/>
    <m/>
    <n v="77"/>
    <m/>
  </r>
  <r>
    <n v="2172"/>
    <s v="DCI Indonesia"/>
    <s v="PT Layanan Imedia"/>
    <s v="Equity Tower 17th floor suite F SCBD lot Jl Jend Sudirman Kav 52-53 Jakarta 12196"/>
    <x v="1"/>
    <s v="DATA CENTER LINTASARTA - JL. CIUNGWANARA NO.6, LB. SILIWANGI, KECAMATAN COBLONG, KOTA BANDUNG, JAWA BARAT, INDONESIA, 40132"/>
    <s v="PT DCI INDONESIA CIBITUNG - JL. HALMAHERA NO.1, DANAU INDAH, KEC. CIKARANG BARAT, KABUPATEN BEKASI, JAWA BARAT, INDONESIA, 17530"/>
    <s v="Sewa Tahunan"/>
    <s v="Cross Connect"/>
    <s v="PA/RLK/2302/0092"/>
    <m/>
    <m/>
    <s v="Metronet"/>
    <s v="2 Mbps"/>
    <m/>
    <n v="34170000"/>
    <m/>
    <m/>
    <n v="18000000"/>
    <m/>
    <d v="2025-03-15T00:00:00"/>
    <d v="2026-03-14T00:00:00"/>
    <x v="1"/>
    <m/>
    <d v="2025-12-24T00:00:00"/>
    <n v="80"/>
    <n v="3"/>
    <n v="2026"/>
    <n v="4500022626"/>
    <s v="6119/SPP/SBU/PLNICONPLUS/2025"/>
    <s v="4500024900"/>
    <s v="Livia Indraswati"/>
    <s v="Irma"/>
    <m/>
    <m/>
    <m/>
    <m/>
    <m/>
    <m/>
    <m/>
    <m/>
    <m/>
    <n v="76"/>
    <m/>
  </r>
  <r>
    <n v="2173"/>
    <s v="DCI Indonesia"/>
    <s v="PT Pasifik Satelit Nusantara"/>
    <s v="Equity Tower 17th floor suite F SCBD lot Jl Jend Sudirman Kav 52-53 Jakarta 12196"/>
    <x v="1"/>
    <s v="PSN MEGA KUNINGAN 5TH FLOOR GED. KANTOR TAMAN A9 UNIT C3 &amp; C4 JL. MEGA KUNINGAN RAYA"/>
    <s v="DCI CIBITUNG GEDUNG JK 1, JL. HALMAHERA BLOK F1 NO.1, DANAU INDAH, KEC. CIKARANG BAR., BEKASI, JAWA BARAT"/>
    <s v="Sewa Tahunan"/>
    <s v="Cross Connect"/>
    <s v="PA/ACT/2003/0541"/>
    <m/>
    <m/>
    <s v="Metronet"/>
    <s v="5 Mbps"/>
    <m/>
    <n v="70800000"/>
    <m/>
    <m/>
    <n v="18000000"/>
    <m/>
    <d v="2025-03-23T00:00:00"/>
    <d v="2026-03-22T00:00:00"/>
    <x v="1"/>
    <m/>
    <d v="2025-12-24T00:00:00"/>
    <n v="88"/>
    <n v="3"/>
    <n v="2026"/>
    <n v="4500022624"/>
    <s v="6192/SPP/SBU/PLNICONPLUS/2025"/>
    <s v="4500024899"/>
    <s v="Livia Indraswati"/>
    <s v="Irma"/>
    <m/>
    <m/>
    <m/>
    <m/>
    <m/>
    <m/>
    <m/>
    <m/>
    <m/>
    <n v="75"/>
    <m/>
  </r>
  <r>
    <n v="2174"/>
    <s v="DCI Indonesia"/>
    <s v="PT Indosat"/>
    <s v="Equity Tower 17th floor suite F SCBD lot Jl Jend Sudirman Kav 52-53 Jakarta 12196"/>
    <x v="0"/>
    <m/>
    <s v="SUNLIFE DATA CENTER E1 ARIOBIMO. HR RASUNA SAID KAV X-2)"/>
    <s v="Sewa Tahunan"/>
    <s v="Cross Connect"/>
    <s v="A111202006131"/>
    <m/>
    <m/>
    <s v="Metronet"/>
    <s v="100 Mbps"/>
    <n v="7000000"/>
    <n v="192000000"/>
    <m/>
    <n v="4000000"/>
    <n v="24000000"/>
    <m/>
    <d v="2024-10-30T00:00:00"/>
    <d v="2025-10-30T00:00:00"/>
    <x v="0"/>
    <m/>
    <d v="2025-12-24T00:00:00"/>
    <n v="-55"/>
    <n v="10"/>
    <n v="2025"/>
    <s v="Baru"/>
    <s v="6393/SPP/SBU/PLNICONPLUS/2025"/>
    <s v="4500024954"/>
    <s v="Livia Indraswati"/>
    <s v="Irma"/>
    <m/>
    <m/>
    <m/>
    <m/>
    <m/>
    <m/>
    <m/>
    <m/>
    <m/>
    <n v="86"/>
    <m/>
  </r>
  <r>
    <n v="2175"/>
    <s v="Jakarta Industrial Estate Pulogadung (Persero) (JIEP) "/>
    <s v="PT Royal Sutan Agung"/>
    <s v="Jl. Pulokambing No. 1 Lahan Industri Pulogadung Jakarta Timur 13290"/>
    <x v="4"/>
    <m/>
    <s v="JL. RAWA GELAM IV KIP JATINEGARA, CAKUNG, JAKARTA TIMUR,- ,- ,- ,INDONESIA ,-"/>
    <s v="Sewa Tahunan"/>
    <s v="Colocation"/>
    <m/>
    <s v="110130306503 / 0990000320523939"/>
    <m/>
    <s v="Internet Corporate "/>
    <s v="50 Mbps"/>
    <m/>
    <n v="66000000"/>
    <m/>
    <m/>
    <n v="630000"/>
    <m/>
    <d v="2025-02-19T00:00:00"/>
    <d v="2026-02-18T00:00:00"/>
    <x v="1"/>
    <m/>
    <d v="2025-12-24T00:00:00"/>
    <n v="56"/>
    <n v="2"/>
    <n v="2026"/>
    <s v="2469/SPP/SBU/ICON+/2024 | 450002251"/>
    <s v="6338/SPP/SBU/PLNICONPLUS/2025"/>
    <s v="4500024906"/>
    <s v=" Livia Indraswati "/>
    <s v="Dana"/>
    <m/>
    <m/>
    <m/>
    <m/>
    <m/>
    <m/>
    <m/>
    <m/>
    <m/>
    <n v="80"/>
    <m/>
  </r>
  <r>
    <n v="2176"/>
    <s v="Jakarta Industrial Estate Pulogadung (Persero) (JIEP) "/>
    <s v="PT Kabelindo Murni Tbk"/>
    <s v="Jl. Pulokambing No. 1 Lahan Industri Pulogadung Jakarta Timur 13290"/>
    <x v="1"/>
    <m/>
    <s v="Jl. Rawagirang no 2 kawasan industri pulogadung zip 13930, CAKUNG, Jakarta Timur, DKI Jakarta, Indonesia, 13930"/>
    <s v="Sewa Tahunan"/>
    <s v="Colocation"/>
    <s v="PA/ACT/2201/0883"/>
    <m/>
    <m/>
    <s v="Internet Corporate"/>
    <s v="100 Mbps"/>
    <m/>
    <n v="144000000"/>
    <m/>
    <m/>
    <n v="15750000"/>
    <m/>
    <d v="2025-02-23T00:00:00"/>
    <d v="2026-02-22T00:00:00"/>
    <x v="1"/>
    <m/>
    <d v="2025-12-24T00:00:00"/>
    <n v="60"/>
    <n v="2"/>
    <n v="2026"/>
    <s v="3862/SPP/SBU/PLNICONPLUS/2024 | 4500023103"/>
    <s v="6339/SPP/SBU/PLNICONPLUS/2025"/>
    <s v="4500024907"/>
    <s v=" Livia Indraswati "/>
    <s v="Dana"/>
    <m/>
    <m/>
    <m/>
    <m/>
    <m/>
    <m/>
    <m/>
    <m/>
    <m/>
    <n v="79"/>
    <m/>
  </r>
  <r>
    <n v="2177"/>
    <s v="Jakarta Industrial Estate Pulogadung (Persero) (JIEP) "/>
    <s v="PT Aica Indria"/>
    <s v="Jl. Pulokambing No. 1 Lahan Industri Pulogadung Jakarta Timur 13290"/>
    <x v="1"/>
    <m/>
    <s v="Kawasan Industri Pulogadung, Jl. Pulogadung No. 22, RW. 9, Jatinegara, Kec. Pulogadung, Kota Jakarta Timur, DKI Jakarta 13920 "/>
    <s v="Sewa Tahunan"/>
    <s v="Colocation"/>
    <s v="A111303002393 "/>
    <m/>
    <m/>
    <s v="Internet Corporate "/>
    <s v="50 Mbps"/>
    <m/>
    <n v="60000000"/>
    <m/>
    <m/>
    <n v="23625000"/>
    <m/>
    <d v="2025-03-06T00:00:00"/>
    <d v="2026-03-05T00:00:00"/>
    <x v="1"/>
    <m/>
    <d v="2025-12-24T00:00:00"/>
    <n v="71"/>
    <n v="3"/>
    <n v="2026"/>
    <s v="2757/SPP/SBU/ICON+/2024 | 4500022376"/>
    <s v="6340/SPP/SBU/PLNICONPLUS/2025"/>
    <s v="4500024908"/>
    <s v=" Livia Indraswati "/>
    <s v="Dana"/>
    <m/>
    <m/>
    <m/>
    <m/>
    <m/>
    <m/>
    <m/>
    <m/>
    <m/>
    <n v="78"/>
    <m/>
  </r>
  <r>
    <n v="2178"/>
    <s v="Jakarta Industrial Estate Pulogadung (Persero) (JIEP) "/>
    <s v="PT Bank Mandiri"/>
    <s v="Jl. Pulokambing No. 1 Lahan Industri Pulogadung Jakarta Timur 13290"/>
    <x v="1"/>
    <s v="DRC REMPOA KOMPLEKS BANK MANDIRI GRIYA REMPOA, JL. CIPUTAT RAYA REMPOA TANGERANG SELATAN 15412,- ,- ,- ,INDONESIA ,- "/>
    <s v="KWS INDUSTRI PULOGADUNG, JL. PULO BUARAN NO. 2 PULOGADUNG JAKARTA TIMUR, INDONESIA ,- "/>
    <s v="Sewa Tahunan"/>
    <s v="Colocation"/>
    <m/>
    <n v="110120501409"/>
    <m/>
    <s v="IPVPN"/>
    <s v="2 Mbps"/>
    <m/>
    <n v="30545460"/>
    <m/>
    <m/>
    <n v="42525000"/>
    <m/>
    <d v="2025-03-13T00:00:00"/>
    <d v="2026-03-12T00:00:00"/>
    <x v="1"/>
    <m/>
    <d v="2025-12-24T00:00:00"/>
    <n v="78"/>
    <n v="3"/>
    <n v="2026"/>
    <n v="4500022161"/>
    <s v="6427/SPP/SBU/PLNICONPLUS/2025"/>
    <s v="4500024978"/>
    <s v=" Livia Indraswati "/>
    <s v="Dana"/>
    <m/>
    <m/>
    <m/>
    <m/>
    <m/>
    <m/>
    <m/>
    <m/>
    <m/>
    <n v="85"/>
    <m/>
  </r>
  <r>
    <n v="2179"/>
    <s v="Indointernet"/>
    <s v="PT Bank Rakyat Indonesia"/>
    <s v="Rumah Indonet. Jl.Rempoa Raya No. 11 Ciputat. Tangerang Selatan – Banten 15412"/>
    <x v="1"/>
    <m/>
    <s v="H2H BUS SUROBOYO GEDUNG DATA CENTER INDONET, JL. REMPOA RAYA NO.11, REMPOA,CIPUTAT TIMUR, KOTA TANGERANG SELATAN, BANTEN, INDONESIA"/>
    <s v="Sewa Tahunan"/>
    <s v="Cross Connect"/>
    <m/>
    <s v="110120522524 / 01000349193 "/>
    <m/>
    <s v="IPVPN"/>
    <s v="256 Kbps"/>
    <m/>
    <n v="27272724"/>
    <m/>
    <m/>
    <n v="12000000"/>
    <m/>
    <d v="2025-03-23T00:00:00"/>
    <d v="2026-03-22T00:00:00"/>
    <x v="1"/>
    <m/>
    <d v="2025-12-24T00:00:00"/>
    <n v="88"/>
    <n v="3"/>
    <n v="2026"/>
    <s v="2465/SPP/SBU/ICON+/2024 | 4500022252"/>
    <s v="6231/SPP/SBU/PLNICONPLUS/2025"/>
    <s v="4500024903"/>
    <s v=" Livia Indraswati "/>
    <s v="Supriatin"/>
    <m/>
    <m/>
    <m/>
    <m/>
    <m/>
    <m/>
    <m/>
    <m/>
    <m/>
    <n v="90"/>
    <m/>
  </r>
  <r>
    <n v="2180"/>
    <s v="Indointernet"/>
    <s v="PT Akses Cipta Solusi"/>
    <s v="Rumah Indonet. Jl.Rempoa Raya No. 11 Ciputat. Tangerang Selatan – Banten 15412"/>
    <x v="1"/>
    <m/>
    <s v="DC Rempoa Rack A03 - Lantai 1, Jl. Rempoa Raya No.11, Rempoa"/>
    <s v="Sewa Tahunan"/>
    <s v="Cross Connect"/>
    <s v="PA/ACT/2302/8913/TER"/>
    <m/>
    <m/>
    <s v="Metronet"/>
    <s v="2 Mbps"/>
    <m/>
    <n v="49200000"/>
    <m/>
    <m/>
    <n v="12000000"/>
    <m/>
    <d v="2025-03-23T00:00:00"/>
    <d v="2026-03-22T00:00:00"/>
    <x v="1"/>
    <m/>
    <d v="2025-12-24T00:00:00"/>
    <n v="88"/>
    <n v="3"/>
    <n v="2026"/>
    <s v="2461/SPP/SBU/ICON+/2024 | 4500022253"/>
    <s v="6121/SPP/SBU/PLNICONPLUS/2025_x000a_"/>
    <s v="4500024901"/>
    <s v=" Livia Indraswati "/>
    <s v="Supriatin"/>
    <m/>
    <m/>
    <m/>
    <m/>
    <m/>
    <m/>
    <m/>
    <m/>
    <m/>
    <n v="91"/>
    <m/>
  </r>
  <r>
    <n v="2181"/>
    <s v="Duta Pertiwi"/>
    <s v="PT Bank Sinarmas"/>
    <s v="Rumah Indonet. Jl.Rempoa Raya No. 11 Ciputat. Tangerang Selatan – Banten 15412"/>
    <x v="4"/>
    <s v="Plaza Bank Sinarmas Lt.6"/>
    <s v="RUKO CEMPAKA MAS BLOK E NO. 5-6, JALAN LETJEN SUPRAPTO, SUMUR BATU, KEMAYORAN, JAKARTA PUSAT, DKI JAKARTA, INDONESIA, 10640"/>
    <s v="Sewa Tahunan"/>
    <s v="Colocation"/>
    <m/>
    <n v="110120511064"/>
    <m/>
    <s v="IPVPN"/>
    <s v="1 Mbps"/>
    <m/>
    <n v="25035600"/>
    <m/>
    <m/>
    <n v="15480000"/>
    <m/>
    <d v="2025-01-27T00:00:00"/>
    <d v="2026-01-26T00:00:00"/>
    <x v="1"/>
    <m/>
    <d v="2025-12-24T00:00:00"/>
    <n v="33"/>
    <n v="1"/>
    <n v="2026"/>
    <n v="4500022247"/>
    <s v="5999/SPP/SBU/PLNICONPLUS/2025"/>
    <s v="4500024892"/>
    <s v=" Livia Indraswati "/>
    <s v="Chandra"/>
    <m/>
    <m/>
    <m/>
    <m/>
    <m/>
    <m/>
    <m/>
    <m/>
    <m/>
    <n v="81"/>
    <m/>
  </r>
  <r>
    <n v="2182"/>
    <s v="PCDC Propco One"/>
    <s v="PT Bank Danamon"/>
    <s v="Komplek Nila Alam Ruko 1 Jl. Daan Mogot Blvd No.KM. 18 No. 18, RT.11/RW.6, Kalideres, West Jakarta City, Jakarta 11840"/>
    <x v="1"/>
    <s v="BACKHAUL DC BDDC ATRIA - JL. DAAN MOGOT KM. 18 NO. 18, KALIDERES, JAKARTA BARAT - 11840"/>
    <s v="BACKHAUL DC BDDC ATRIA - JL. DAAN MOGOT KM. 18 NO. 18, KALIDERES, JAKARTA BARAT - 11840"/>
    <s v="Sewa Tahunan"/>
    <s v="Cross Connect"/>
    <s v="R111205004006 / 1124040500183 - 110120522490 / 01000352535"/>
    <m/>
    <m/>
    <s v="IPVPN"/>
    <s v="100 Mbps"/>
    <m/>
    <n v="105000000"/>
    <m/>
    <m/>
    <n v="12000000"/>
    <m/>
    <d v="2025-04-07T00:00:00"/>
    <d v="2026-04-06T00:00:00"/>
    <x v="1"/>
    <m/>
    <d v="2025-12-24T00:00:00"/>
    <n v="103"/>
    <n v="4"/>
    <n v="2026"/>
    <s v="3372/SPP/SBU/PLNICONPLUS/2024 | 4500022736"/>
    <s v="5587/SPP/SBU/PLNICONPLUS/2025"/>
    <s v="4500024923"/>
    <s v=" Livia Indraswati "/>
    <s v="Debbi"/>
    <m/>
    <m/>
    <m/>
    <m/>
    <m/>
    <m/>
    <m/>
    <m/>
    <m/>
    <n v="74"/>
    <m/>
  </r>
  <r>
    <n v="2183"/>
    <s v="Telkom Data Ekosistem"/>
    <s v="PT Bank Mega"/>
    <s v="German Centre Building 3rd and 5th floor Jl. Kapt. Subijanto DJ Bumi Serpong Damai"/>
    <x v="2"/>
    <m/>
    <s v="PLN SYB, SYB Data Center on Telkom Sigma (German Center), Lantai 6 Timur Ruang 6460-1-2 Jl. Kapten Subijanto Dj, Bumi Serpong Damai, Kota Tangerang Selatan, Banten, Indonesia, 15321"/>
    <s v="Sewa Tahunan"/>
    <s v="Cross Connect"/>
    <s v="AL/2002/5815"/>
    <m/>
    <m/>
    <s v="IPVPN"/>
    <s v="64 Kbps"/>
    <m/>
    <n v="13200000"/>
    <m/>
    <m/>
    <n v="6000000"/>
    <m/>
    <d v="2025-01-23T00:00:00"/>
    <d v="2026-01-22T00:00:00"/>
    <x v="1"/>
    <m/>
    <d v="2025-12-24T00:00:00"/>
    <n v="29"/>
    <n v="1"/>
    <n v="2026"/>
    <s v="3141/SPP/SBU/PLNICONPLUS/2024 | 4500022590"/>
    <s v="6246/SPP/SBU/PLNICONPLUS/2025"/>
    <s v="4500024905"/>
    <s v=" Livia Indraswati "/>
    <s v="Yudhi Sukma"/>
    <m/>
    <m/>
    <m/>
    <m/>
    <m/>
    <m/>
    <m/>
    <m/>
    <m/>
    <n v="89"/>
    <m/>
  </r>
  <r>
    <n v="2184"/>
    <s v="Media Nusantara Data Global"/>
    <s v="Join All Customer"/>
    <s v="Jl. Kuningan Barat No. 8 Cyber Building 1st &amp; 2nd Jakarta Selatan 12712"/>
    <x v="1"/>
    <m/>
    <s v="Cyber 1"/>
    <s v="Sewa Tahunan"/>
    <s v="Cross Connect"/>
    <s v="PA/ACT/2302/11309 _x000a_PA/ACT/2302/11310_x000a_PA/ACT/2301/4194    _x000a_PA/UPG/2303/1034"/>
    <s v="01000352589_x000a_01000351822_x000a_01000336881 _x000a_- 01000342081     "/>
    <m/>
    <s v="Metronet"/>
    <m/>
    <m/>
    <m/>
    <m/>
    <n v="1500000"/>
    <n v="18000000"/>
    <m/>
    <d v="2025-03-14T00:00:00"/>
    <d v="2026-03-13T00:00:00"/>
    <x v="1"/>
    <m/>
    <d v="2025-12-24T00:00:00"/>
    <n v="79"/>
    <n v="3"/>
    <n v="2026"/>
    <s v="Baru"/>
    <s v="6337/SPP/SBU/PLNICONPLUS/2025"/>
    <s v="4500024955"/>
    <s v=" Livia Indraswati "/>
    <s v="Ira"/>
    <m/>
    <m/>
    <m/>
    <m/>
    <m/>
    <m/>
    <m/>
    <m/>
    <m/>
    <n v="88"/>
    <m/>
  </r>
  <r>
    <n v="2185"/>
    <s v="Bali Towerindo Sentra Tbk"/>
    <s v="PT Caturkarda Depo Bangunan"/>
    <s v="Autograph Tower, Lantai 77 Thamrin Nine Complex, Jl. MH. Thamrin No.10, Kel. Kebon Melati, Kec. Tanah Abang Jakarta Pusat 10230 "/>
    <x v="1"/>
    <s v="BACKHAUL - GEDUNG DC BALI TOWER JI. BATU CEPER NO- 53 RT.15/RW.1 KB. KLP, KECAMATAN GAMBIR, JAKARTA PUSAT, DKI JAKARTA, INDONESIA, 10120"/>
    <s v="JAKARTA PUSAT, DKI JAKARTA, INDONESIA"/>
    <s v="Sewa Tahunan"/>
    <s v="Colocation"/>
    <s v="AL/2104/27068"/>
    <m/>
    <m/>
    <s v="Metronet"/>
    <s v="10 Mbps"/>
    <m/>
    <n v="120000000"/>
    <m/>
    <m/>
    <n v="78000000"/>
    <m/>
    <d v="2025-03-05T00:00:00"/>
    <d v="2026-03-04T00:00:00"/>
    <x v="1"/>
    <m/>
    <d v="2025-12-24T00:00:00"/>
    <n v="70"/>
    <n v="3"/>
    <n v="2026"/>
    <s v="2456/SPP/SBU/ICON+/2024 | 4500022200"/>
    <s v="6355/SPP/SBU/PLNICONPLUS/2025"/>
    <s v="4500024926"/>
    <s v=" Livia Indraswati "/>
    <s v="Stephanie"/>
    <m/>
    <m/>
    <m/>
    <m/>
    <m/>
    <m/>
    <m/>
    <m/>
    <m/>
    <n v="87"/>
    <m/>
  </r>
  <r>
    <n v="2186"/>
    <s v="Cablenet Fiber Data"/>
    <s v="PT Pertamina Hulu Energi"/>
    <s v="Jl Simprug Garden 1 Blok W No.11 RT.07/RW.03, Grogol Selatan, Kebayoran Lama, Jakarta Selatan, DKI Jakarta, 12220"/>
    <x v="1"/>
    <s v="PSDC - GEDUNG GRHA PERTAMINA, TOWER FASTRON (GRHA), JALAN MEDAN MERDEKA TIMUR NO. 11-12, JAKARTA PUSAT"/>
    <s v="PHE - GEDUNG PHE TOWER, JL. LETJEN. TB SIMATUPANG KAV. 99, JAKARTA SELATAN – 12520"/>
    <s v="Sewa Tahunan"/>
    <s v="Colocation"/>
    <s v="A811202000064"/>
    <m/>
    <m/>
    <s v="Metro QnQ"/>
    <s v="2 Gbps"/>
    <m/>
    <n v="647136000"/>
    <m/>
    <m/>
    <n v="24000000"/>
    <m/>
    <d v="2025-04-03T00:00:00"/>
    <d v="2026-04-02T00:00:00"/>
    <x v="1"/>
    <m/>
    <d v="2025-12-24T00:00:00"/>
    <n v="99"/>
    <n v="4"/>
    <n v="2026"/>
    <s v="3075/SPP/SBU/PLNICONPLUS/2024 | 4500022613"/>
    <s v="6480/SPP/SBU/PLNICONPLUS/2025"/>
    <s v="4500024981"/>
    <s v=" Livia Indraswati "/>
    <s v="Cindy Pratiwi"/>
    <s v="0857-2207-8712"/>
    <m/>
    <m/>
    <m/>
    <m/>
    <m/>
    <m/>
    <m/>
    <m/>
    <n v="84"/>
    <m/>
  </r>
  <r>
    <n v="2187"/>
    <s v="Solusi Jasa Teknologi"/>
    <s v="PT Sarana Yukti Bandhana"/>
    <s v="Jl Simprug Garden 1 Blok W No.11 RT.07/RW.03, Grogol Selatan, Kebayoran Lama, Jakarta Selatan, DKI Jakarta, 12220"/>
    <x v="1"/>
    <s v="GEDUNG ELITERY LT 4 RACK SYB JL. RAYA PADJAJARAN, BOGOR, KOTA BOGOR, JAWA BARAT, INDONESIA, 16143"/>
    <s v="GEDUNG ELITERY LT 4 RACK SYB JL. RAYA PADJAJARAN, BOGOR, KOTA BOGOR, JAWA BARAT, INDONESIA, 16143"/>
    <s v="Sewa Tahunan"/>
    <s v="Cross Connect"/>
    <m/>
    <s v="110120508326 / 01000193597"/>
    <m/>
    <s v="IPVPN"/>
    <s v="20 Mbps"/>
    <m/>
    <n v="132000000"/>
    <m/>
    <m/>
    <n v="12000000"/>
    <m/>
    <d v="2025-03-21T00:00:00"/>
    <d v="2026-03-20T00:00:00"/>
    <x v="1"/>
    <m/>
    <d v="2025-12-24T00:00:00"/>
    <n v="86"/>
    <n v="3"/>
    <n v="2026"/>
    <s v="2563/SPP/SBU/ICON+/2024 | 4500022243"/>
    <s v="6428/SPP/SBU/PLNICONPLUS/2025"/>
    <s v="4500024979"/>
    <s v=" Livia Indraswati "/>
    <s v="Zulva"/>
    <m/>
    <m/>
    <m/>
    <m/>
    <m/>
    <m/>
    <m/>
    <m/>
    <m/>
    <n v="83"/>
    <m/>
  </r>
  <r>
    <n v="2188"/>
    <s v="Krakatau Sarana Properti"/>
    <s v="PT Cipta Telekomunikasi Mandiri"/>
    <s v="Gedung Sanggar Kesatria Liema, Jalan Raya Pajajaran No.17 Baranangsiang Bogor timur"/>
    <x v="4"/>
    <m/>
    <s v="WISMA BAJA JL. JEND GATOT SUBROTO KAV 54 KUNINGAN TIMUR SETIABUDI JAKARTA SELATAN DKI JAKARTA, RT.1/RW.4, KUNINGAN TIM., KECAMATAN SETIABUDI, KOTA JAKARTA "/>
    <s v="Sewa Tahunan"/>
    <s v="Colocation"/>
    <s v="U111303002938"/>
    <s v="110161000161 / 04000336456_x000a_'110161000160 / 04000336455_x000a_'110161000186 / 04000336459_x000a_'110161000185 / 04000336457"/>
    <m/>
    <s v="Internet Corporate "/>
    <s v="20 Mbps"/>
    <m/>
    <n v="30000000"/>
    <m/>
    <m/>
    <n v="25000000"/>
    <m/>
    <d v="2025-02-03T00:00:00"/>
    <d v="2026-02-02T00:00:00"/>
    <x v="1"/>
    <m/>
    <d v="2025-12-24T00:00:00"/>
    <n v="40"/>
    <n v="2"/>
    <n v="2026"/>
    <s v="4613/SPP/SBU/PLNICONPLUS/2024 | 4500023876"/>
    <s v="6478/SPP/SBU/PLNICONPLUS/2025"/>
    <s v="4500024980"/>
    <s v=" Livia Indraswati "/>
    <s v="Rosanti"/>
    <m/>
    <m/>
    <m/>
    <m/>
    <m/>
    <m/>
    <m/>
    <m/>
    <m/>
    <n v="82"/>
    <m/>
  </r>
  <r>
    <n v="2189"/>
    <s v="Restyle Development"/>
    <s v="PT Geosys Infradata"/>
    <s v="Jl.Raya Bagendung Cilegon"/>
    <x v="4"/>
    <m/>
    <s v="JL. ADITYAWARMAN NO. 55 LT. 6, RT. 003 RW. 002 KEBAYORAN BARU JAKARTA SELATAN 12160"/>
    <s v="Sewa Tahunan"/>
    <s v="Colocation"/>
    <s v="A111303005409 "/>
    <m/>
    <m/>
    <s v="Metronet"/>
    <m/>
    <n v="3000000"/>
    <n v="48000000"/>
    <m/>
    <m/>
    <n v="10000000"/>
    <m/>
    <d v="2025-02-19T00:00:00"/>
    <d v="2026-02-18T00:00:00"/>
    <x v="1"/>
    <m/>
    <d v="2025-12-24T00:00:00"/>
    <n v="56"/>
    <n v="2"/>
    <n v="2026"/>
    <s v="Baru"/>
    <s v="5870/SPP/SBU/PLNICONPLUS/2025"/>
    <s v="4500024922"/>
    <s v=" Livia Indraswati "/>
    <s v="Hery"/>
    <m/>
    <m/>
    <m/>
    <m/>
    <m/>
    <m/>
    <m/>
    <m/>
    <m/>
    <n v="92"/>
    <m/>
  </r>
  <r>
    <n v="2190"/>
    <s v="Pelabuhan Indonesia (Pelindo) II"/>
    <s v="PT Taruna Bina Sarana_x000a_PT Aneka Kimia"/>
    <s v="Recapital Building, Jakarta Selatan"/>
    <x v="3"/>
    <m/>
    <s v="PT AKR CORPORINDO TBK XXJ3+239KEPUH, CIWANDAN, CILEGON, BANTEN 42446"/>
    <s v="Sewa Tahunan"/>
    <s v="Colocation"/>
    <s v="A111401003056"/>
    <s v="110120205864 / 060000105260001"/>
    <m/>
    <s v="IPVPN"/>
    <s v="256 Kbps"/>
    <m/>
    <n v="114000000"/>
    <m/>
    <m/>
    <n v="55656402"/>
    <m/>
    <d v="2025-01-01T00:00:00"/>
    <d v="2025-12-31T00:00:00"/>
    <x v="1"/>
    <m/>
    <d v="2025-12-24T00:00:00"/>
    <n v="7"/>
    <n v="12"/>
    <n v="2025"/>
    <n v="4500022713"/>
    <s v="5313/SPP/SBU/PLNICONPLUS/2024"/>
    <s v="4500024278"/>
    <s v="Fajar Paramita"/>
    <m/>
    <m/>
    <m/>
    <m/>
    <m/>
    <m/>
    <m/>
    <m/>
    <m/>
    <m/>
    <n v="206"/>
    <m/>
  </r>
  <r>
    <n v="2191"/>
    <s v="Mora Telematika Indonesia"/>
    <s v="PT Anugerah Inti Karya"/>
    <m/>
    <x v="0"/>
    <s v="Nusantara Data Center (Moratelindo) Mayapada Hospital Jl. Jatinegara Barat No. 44, RT. 1 / RW. 5, Bidara Cina, Jatinegara, Jakarta Timur, DKI Jakarta, Indonesia, 13320"/>
    <m/>
    <s v="Sewa Tahunan"/>
    <s v="Colocation"/>
    <m/>
    <s v="110120519250  /   01000029442 "/>
    <m/>
    <s v="IPVPN"/>
    <s v="40 Mbps"/>
    <m/>
    <n v="96000000"/>
    <m/>
    <m/>
    <n v="36000000"/>
    <m/>
    <d v="2024-10-01T00:00:00"/>
    <d v="2025-09-30T00:00:00"/>
    <x v="2"/>
    <m/>
    <d v="2025-12-24T00:00:00"/>
    <n v="-85"/>
    <n v="9"/>
    <n v="2025"/>
    <n v="4500021955"/>
    <s v="5197/SPP/SBU/PLNICONPLUS/2024"/>
    <s v="4500024374"/>
    <s v="Fajar Paramita"/>
    <m/>
    <m/>
    <m/>
    <m/>
    <m/>
    <m/>
    <m/>
    <m/>
    <m/>
    <n v="290"/>
    <m/>
    <m/>
  </r>
  <r>
    <n v="2192"/>
    <s v="CBN Nusantara"/>
    <s v="PT Net One Asia"/>
    <m/>
    <x v="0"/>
    <m/>
    <s v="CYBER 2. JL. H. R. RASUNA SAID N0.13, RT.7/RW.2, KUNINGAN, KUNINGAN TIMUR, KECAMATAN SETIABUDl, JAKARTA SELATAN, DKI JAKARTA. INDONESIA"/>
    <s v="Sewa Tahunan"/>
    <s v="Cross Connect"/>
    <m/>
    <s v="130130301612 / 04000298541 "/>
    <m/>
    <s v="Metronet"/>
    <m/>
    <m/>
    <n v="151200000"/>
    <m/>
    <m/>
    <n v="8000000"/>
    <m/>
    <d v="2024-07-15T00:00:00"/>
    <d v="2025-07-14T00:00:00"/>
    <x v="1"/>
    <m/>
    <d v="2025-12-24T00:00:00"/>
    <n v="-163"/>
    <n v="7"/>
    <n v="2025"/>
    <n v="4500023075"/>
    <s v="5221/SPP/SBU/PLNICONPLUS/2025"/>
    <s v="4500024548"/>
    <s v="Fajar Paramita"/>
    <s v="Erni Monalena"/>
    <m/>
    <m/>
    <m/>
    <m/>
    <m/>
    <m/>
    <m/>
    <m/>
    <n v="291"/>
    <m/>
    <m/>
  </r>
  <r>
    <n v="2193"/>
    <s v="CBN Nusantara"/>
    <s v="PT Transportasi Gas"/>
    <s v="Cyber 2 Tower 2nd Floor Jl HR Rasuna Said Kav X-5 No 13 Jakarta 12950"/>
    <x v="0"/>
    <m/>
    <s v="Tanah Abang, Jakarta Pusat, DKI Jakarta"/>
    <s v="Sewa Tahunan"/>
    <s v="Cross Connect"/>
    <m/>
    <n v="110130307765"/>
    <m/>
    <s v="Metronet"/>
    <s v="70 Mbps"/>
    <m/>
    <n v="96000000"/>
    <m/>
    <m/>
    <n v="8000000"/>
    <m/>
    <d v="2024-12-07T00:00:00"/>
    <d v="2025-12-06T00:00:00"/>
    <x v="1"/>
    <m/>
    <d v="2025-12-24T00:00:00"/>
    <n v="-18"/>
    <n v="12"/>
    <n v="2025"/>
    <n v="4500021978"/>
    <s v="5220/SPP/SBU/PLNICONPLUS/2025"/>
    <s v="4500024521"/>
    <s v="Fajar Paramita"/>
    <s v="Erni Monalena"/>
    <m/>
    <m/>
    <m/>
    <m/>
    <m/>
    <m/>
    <m/>
    <m/>
    <n v="292"/>
    <m/>
    <m/>
  </r>
  <r>
    <n v="2194"/>
    <s v="Dunia Virtual Online"/>
    <s v="PT Indomarco Data Center_x000a_PT Sarana Prima Telematika"/>
    <s v="Cyber 2 Tower 2nd Floor Jl HR Rasuna Said Kav X-5 No 13 Jakarta 12950"/>
    <x v="0"/>
    <s v="Gedung Tifa Arum Kuningan Barat"/>
    <s v="Kantor Pusat Direktorat Jendral Pajak Gedung B Lantai 2 Jalan Gatot Subroto No. 40-42"/>
    <s v="Sewa Tahunan"/>
    <s v="Colocation"/>
    <s v="PA/ACT/2002/2154"/>
    <s v="110120211331 / 01000175662"/>
    <m/>
    <s v="Metronet"/>
    <s v="1 Mbps"/>
    <m/>
    <n v="80400000"/>
    <m/>
    <m/>
    <n v="8000000"/>
    <m/>
    <d v="2024-11-01T00:00:00"/>
    <d v="2025-10-31T00:00:00"/>
    <x v="0"/>
    <m/>
    <d v="2025-12-24T00:00:00"/>
    <n v="-54"/>
    <n v="10"/>
    <n v="2025"/>
    <n v="4500022146"/>
    <s v="5523/SPP/SBU/PLNICONPLUS/2025"/>
    <s v="4500024445"/>
    <s v="Fajar Paramita"/>
    <s v="Zulharman"/>
    <m/>
    <m/>
    <m/>
    <m/>
    <m/>
    <m/>
    <m/>
    <m/>
    <n v="293"/>
    <m/>
    <m/>
  </r>
  <r>
    <n v="2195"/>
    <s v="Serpong Mas Telematika"/>
    <s v="PT Nippo Konpo"/>
    <s v="Jl. Kuningan Barat 1. No.26, RT6/1 Tifa Building"/>
    <x v="3"/>
    <m/>
    <s v="DELTA MAS BRANCH. H5WH+OFH, SUKAMUKTI. KEC.BOJONGMANGU, KABUPATEN BEKASI, JAWA BARAT"/>
    <s v="Sewa Tahunan"/>
    <s v="Colocation"/>
    <s v="A821303001338"/>
    <m/>
    <m/>
    <s v="Internet Corporate"/>
    <s v="50 Mbps"/>
    <n v="10000000"/>
    <n v="282000000"/>
    <m/>
    <n v="5000000"/>
    <n v="72000000"/>
    <m/>
    <d v="2024-12-30T00:00:00"/>
    <d v="2025-12-29T00:00:00"/>
    <x v="1"/>
    <m/>
    <d v="2025-12-24T00:00:00"/>
    <n v="5"/>
    <n v="12"/>
    <n v="2025"/>
    <s v="Baru"/>
    <s v="5464/SPP/SBU/PLNICONPLUS/2024"/>
    <s v="4500024559"/>
    <s v="Fajar Paramita"/>
    <s v="Masrukhan"/>
    <s v="+62 812-9844-8648"/>
    <m/>
    <m/>
    <m/>
    <m/>
    <m/>
    <m/>
    <m/>
    <n v="294"/>
    <m/>
    <m/>
  </r>
  <r>
    <n v="2196"/>
    <s v="Mega Akses Persada"/>
    <s v="PT Indomarco Adi Prima"/>
    <m/>
    <x v="3"/>
    <m/>
    <s v="lndomaret Tower. RT 6/RW. 2. Kamal Muara, Penjaringan (lnterkoneksl Flberstar),  Jakarta Utara, DKI Jakarta, lndonesia, 14470"/>
    <s v="Sewa Tahunan"/>
    <s v="Colocation"/>
    <s v="PA/UPG/2107/0003"/>
    <m/>
    <m/>
    <s v="IPVPN"/>
    <s v="100 Mbps"/>
    <m/>
    <n v="492000000"/>
    <m/>
    <m/>
    <n v="36000000"/>
    <m/>
    <d v="2024-12-30T00:00:00"/>
    <d v="2025-12-29T00:00:00"/>
    <x v="1"/>
    <m/>
    <d v="2025-12-24T00:00:00"/>
    <n v="5"/>
    <n v="12"/>
    <n v="2025"/>
    <n v="4500023109"/>
    <s v="5196/SPP/SBU/PLNICONPLUS/2024"/>
    <s v="4500024452"/>
    <s v="Fajar Paramita"/>
    <m/>
    <m/>
    <m/>
    <m/>
    <m/>
    <m/>
    <m/>
    <m/>
    <m/>
    <n v="295"/>
    <m/>
    <m/>
  </r>
  <r>
    <n v="2197"/>
    <s v="KSO Halim"/>
    <s v="Join All Customer"/>
    <m/>
    <x v="0"/>
    <m/>
    <s v="Bandara Halim Perdanakusuma, Jakarta Timur"/>
    <s v="Sewa Tahunan"/>
    <s v="Colocation"/>
    <s v="A111303003202"/>
    <m/>
    <m/>
    <s v="Internet Corporate "/>
    <m/>
    <n v="43500000"/>
    <n v="958192742"/>
    <m/>
    <m/>
    <n v="411369540"/>
    <m/>
    <d v="2024-11-01T00:00:00"/>
    <d v="2025-05-17T00:00:00"/>
    <x v="1"/>
    <m/>
    <d v="2025-12-24T00:00:00"/>
    <n v="-221"/>
    <n v="5"/>
    <n v="2025"/>
    <s v="Baru"/>
    <s v="4914/SPP/SBU/PLNICONPLUS/2025"/>
    <s v="4500024726"/>
    <s v="Fajar Paramita"/>
    <m/>
    <m/>
    <m/>
    <m/>
    <m/>
    <m/>
    <m/>
    <m/>
    <m/>
    <n v="296"/>
    <m/>
    <m/>
  </r>
  <r>
    <n v="2198"/>
    <s v="DCI Indonesia"/>
    <s v="PT Aplikanusa Lintasarta qq Artajasa"/>
    <s v="Equity Tower 17th floor suite F SCBD lot Jl Jend Sudirman Kav 52-53 Jakarta 12196"/>
    <x v="0"/>
    <m/>
    <s v="LA TB Simatupang - Artajasa DCI MM2100 "/>
    <s v="Sewa Tahunan"/>
    <s v="Cross Connect"/>
    <s v="AL/2007/35005"/>
    <m/>
    <m/>
    <s v="Metronet P2P"/>
    <s v="1 Mbps"/>
    <m/>
    <n v="54000000"/>
    <m/>
    <m/>
    <n v="18000000"/>
    <m/>
    <d v="2024-11-01T00:00:00"/>
    <d v="2025-10-31T00:00:00"/>
    <x v="0"/>
    <m/>
    <d v="2025-12-24T00:00:00"/>
    <n v="-54"/>
    <n v="10"/>
    <n v="2025"/>
    <n v="4500021367"/>
    <s v="5477/SPP/SBU/PLNICONPLUS/2025"/>
    <s v="4500024663"/>
    <s v="Fajar Paramita"/>
    <s v="Irma"/>
    <m/>
    <m/>
    <m/>
    <m/>
    <m/>
    <m/>
    <m/>
    <m/>
    <n v="297"/>
    <m/>
    <m/>
  </r>
  <r>
    <n v="2199"/>
    <s v="Dunia Virtual Online"/>
    <s v="PT Quiros Network"/>
    <s v="Jl. Raya Tapos No. 31, Depok, Jawa Barat"/>
    <x v="1"/>
    <s v="Cyber 1 lt 1"/>
    <s v="Telkomsel TCC Buaran"/>
    <s v="Sewa Tahunan"/>
    <s v="Cross Connect"/>
    <s v="A821202001436"/>
    <m/>
    <m/>
    <s v="Metronet "/>
    <s v="90 Mbps"/>
    <n v="8000000"/>
    <n v="72000000"/>
    <m/>
    <n v="1000000"/>
    <n v="12000000"/>
    <m/>
    <d v="2025-03-14T00:00:00"/>
    <d v="2026-03-13T00:00:00"/>
    <x v="1"/>
    <m/>
    <d v="2025-12-24T00:00:00"/>
    <n v="79"/>
    <n v="3"/>
    <n v="2026"/>
    <s v="baru"/>
    <s v="5876/SPP/SBU/PLNICONPLUS/2025"/>
    <s v="4500024820"/>
    <s v="Syifa Fauziyah"/>
    <s v="Zulharman"/>
    <m/>
    <m/>
    <m/>
    <m/>
    <m/>
    <m/>
    <m/>
    <m/>
    <m/>
    <m/>
    <m/>
  </r>
  <r>
    <n v="2200"/>
    <s v="Kawasan Lintas Biru Digital"/>
    <s v="PT Astra Daihatsu Motor"/>
    <s v="Jl. Raya Tapos 31"/>
    <x v="1"/>
    <s v="Jl. Selayar Blok A-6 Kawasan MM2100"/>
    <s v="mm2100"/>
    <s v="Sewa Tahunan"/>
    <s v="Colocation"/>
    <s v="A111205012033"/>
    <s v="111205031599"/>
    <m/>
    <s v="IPVPN"/>
    <s v="100 Mbps"/>
    <m/>
    <n v="498000000"/>
    <m/>
    <n v="5000000"/>
    <n v="132000000"/>
    <m/>
    <d v="2025-04-21T00:00:00"/>
    <d v="2026-04-20T00:00:00"/>
    <x v="1"/>
    <m/>
    <d v="2025-12-24T00:00:00"/>
    <n v="117"/>
    <n v="4"/>
    <n v="2026"/>
    <s v="BARU"/>
    <s v="5877/SPP/SBU/PLNICONPLUS/2025"/>
    <s v="4500024639"/>
    <s v="Syifa Fauziyah"/>
    <s v="Marissa"/>
    <m/>
    <m/>
    <m/>
    <m/>
    <m/>
    <m/>
    <m/>
    <m/>
    <m/>
    <m/>
    <m/>
  </r>
  <r>
    <n v="2201"/>
    <s v="Infrastruktur Cakrawala Telekomunikasi"/>
    <s v="PT Musi Ame Mahakam"/>
    <s v="Jl. Kalimantan Gandasari MM2100 Kaw. Befa"/>
    <x v="1"/>
    <m/>
    <s v="Kawasan industri jababeka II"/>
    <s v="Sewa Tahunan"/>
    <s v="Cross Connect"/>
    <s v="A111303006677"/>
    <s v="111303015049"/>
    <m/>
    <s v="Internet Corporate"/>
    <s v="30 Mbps"/>
    <n v="500000"/>
    <n v="54500000"/>
    <m/>
    <m/>
    <n v="15953872"/>
    <m/>
    <d v="2025-04-29T00:00:00"/>
    <d v="2025-12-31T00:00:00"/>
    <x v="1"/>
    <m/>
    <d v="2025-06-03T00:00:00"/>
    <n v="211"/>
    <n v="12"/>
    <n v="2025"/>
    <s v="Baru"/>
    <s v="6622/SPP/SBU/PLNICONPLUS/2025"/>
    <s v="4500025166"/>
    <s v="Syifa Fauziyah"/>
    <s v="Anjar"/>
    <m/>
    <m/>
    <m/>
    <m/>
    <m/>
    <m/>
    <m/>
    <m/>
    <s v="H106"/>
    <m/>
    <m/>
  </r>
  <r>
    <n v="2202"/>
    <s v="IDC (Internetindo Data Centra Indonesia) "/>
    <s v="Join All Customer"/>
    <s v="Rukan Duren Tiga No. 7H_x000a_Jl. Duren Tiga Raya No. 7 Jakarta Selatan 12760"/>
    <x v="1"/>
    <s v="IDC DUREN3"/>
    <s v="IDC DUREN3"/>
    <s v="Sewa Tahunan"/>
    <s v="Colocation"/>
    <m/>
    <m/>
    <m/>
    <s v="Kapasitas besar"/>
    <m/>
    <m/>
    <n v="648000000"/>
    <m/>
    <m/>
    <n v="91200000"/>
    <m/>
    <d v="2025-05-06T00:00:00"/>
    <d v="2026-05-05T00:00:00"/>
    <x v="1"/>
    <m/>
    <d v="2025-12-24T00:00:00"/>
    <n v="132"/>
    <n v="5"/>
    <n v="2026"/>
    <s v="Baru"/>
    <s v="6568/SPP/SBU/PLNICONPLUS/2025"/>
    <s v="4500025164"/>
    <s v="Syifa Fauziyah"/>
    <s v="nopi"/>
    <m/>
    <m/>
    <m/>
    <m/>
    <m/>
    <m/>
    <m/>
    <m/>
    <m/>
    <n v="101"/>
    <m/>
  </r>
  <r>
    <n v="2203"/>
    <s v="Aplikanusa Lintasarta"/>
    <s v="PT Bank Panin Tbk"/>
    <s v="IDC DUREN 3"/>
    <x v="4"/>
    <s v="Gd. Bank Panin Center senayan"/>
    <s v="H2H DC Lintas Arta DC komplek pergudangan taman techno serpong"/>
    <s v="Sewa Tahunan"/>
    <s v="Cross Connect"/>
    <s v="A111205011818"/>
    <m/>
    <m/>
    <s v="IPVPN"/>
    <s v="128 Kbps"/>
    <n v="5000000"/>
    <n v="48000000"/>
    <m/>
    <n v="2500000"/>
    <n v="18000000"/>
    <m/>
    <d v="2025-02-13T00:00:00"/>
    <d v="2026-02-12T00:00:00"/>
    <x v="1"/>
    <m/>
    <d v="2025-12-24T00:00:00"/>
    <n v="50"/>
    <n v="2"/>
    <n v="2026"/>
    <s v="Baru"/>
    <s v="5637/SPP/SBU/PLNICONPLUS/2025"/>
    <s v="4500024516"/>
    <s v="Syifa Fauziyah"/>
    <s v="ilham"/>
    <m/>
    <m/>
    <m/>
    <m/>
    <m/>
    <m/>
    <m/>
    <m/>
    <m/>
    <m/>
    <m/>
  </r>
  <r>
    <n v="2204"/>
    <s v="Mega Telekomunikasi Indonesia"/>
    <s v="BUKALAPAK.COM"/>
    <s v="Jl. M.H. Thamrin"/>
    <x v="4"/>
    <s v="Jl. RA Kartini No. Kav 14, Cilandak, Jakarta Selatan, DKI Jakarta, Indonesia, 12430"/>
    <s v="Jl. Ampera Raya No. 22, Pasar Minggu, Jakarta Selatan, DKI Jakarta, Indonesia 12560"/>
    <s v="BAGI HASIL"/>
    <s v="Revenue Sharing"/>
    <s v="PA/ACT/2112/2471 "/>
    <m/>
    <m/>
    <s v="Metronet"/>
    <m/>
    <m/>
    <n v="48000000"/>
    <m/>
    <m/>
    <m/>
    <n v="0.25"/>
    <d v="2025-02-08T00:00:00"/>
    <d v="2026-02-07T00:00:00"/>
    <x v="1"/>
    <m/>
    <d v="2025-12-24T00:00:00"/>
    <n v="45"/>
    <n v="2"/>
    <n v="2026"/>
    <m/>
    <m/>
    <m/>
    <s v="Syifa Fauziyah"/>
    <s v="Sena Adimuhaimin, Andra"/>
    <m/>
    <m/>
    <m/>
    <m/>
    <m/>
    <m/>
    <m/>
    <m/>
    <m/>
    <m/>
    <m/>
  </r>
  <r>
    <n v="2205"/>
    <s v="Perhimpunan Penghuni Perkantoran Kantor Taman A9"/>
    <s v="PT Pasifik Satelit Nusantara"/>
    <s v="Mega Telekomunikasi"/>
    <x v="1"/>
    <s v="Mega Kuningan"/>
    <m/>
    <s v="BAGI HASIL"/>
    <s v="Revenue Sharing"/>
    <m/>
    <m/>
    <m/>
    <s v="Metronet"/>
    <s v="5 Mbps"/>
    <m/>
    <n v="64800000"/>
    <m/>
    <m/>
    <m/>
    <n v="0.15"/>
    <d v="2025-01-01T00:00:00"/>
    <d v="2026-12-31T00:00:00"/>
    <x v="1"/>
    <m/>
    <d v="2025-12-24T00:00:00"/>
    <n v="372"/>
    <n v="12"/>
    <n v="2026"/>
    <m/>
    <m/>
    <m/>
    <s v="Syifa Fauziyah"/>
    <s v="Beni"/>
    <m/>
    <m/>
    <m/>
    <m/>
    <m/>
    <m/>
    <m/>
    <m/>
    <m/>
    <m/>
    <m/>
  </r>
  <r>
    <n v="2206"/>
    <s v="Perhimpunan Penghuni Perkantoran Kantor Taman A10"/>
    <s v="PT Pasifik Satelit Nusantara"/>
    <s v="Kawasan Mega Kuningan"/>
    <x v="1"/>
    <s v="Mega Kuningan"/>
    <m/>
    <s v="BAGI HASIL"/>
    <s v="Revenue Sharing"/>
    <m/>
    <m/>
    <m/>
    <s v="Metronet"/>
    <s v="5 Mbps"/>
    <m/>
    <n v="70800000"/>
    <m/>
    <m/>
    <m/>
    <n v="0.15"/>
    <d v="2025-01-01T00:00:00"/>
    <d v="2026-12-31T00:00:00"/>
    <x v="1"/>
    <m/>
    <d v="2025-12-24T00:00:00"/>
    <n v="372"/>
    <n v="12"/>
    <n v="2026"/>
    <m/>
    <m/>
    <m/>
    <s v="Syifa Fauziyah"/>
    <s v="Beni"/>
    <m/>
    <m/>
    <m/>
    <m/>
    <m/>
    <m/>
    <m/>
    <m/>
    <m/>
    <m/>
    <m/>
  </r>
  <r>
    <n v="2207"/>
    <s v="Perhimpunan Penghuni Perkantoran Kantor Taman A11"/>
    <s v="PT Pasifik Satelit Nusantara"/>
    <s v="Kawasan Mega Kuningan"/>
    <x v="1"/>
    <s v="Mega Kuningan"/>
    <m/>
    <s v="BAGI HASIL"/>
    <s v="Revenue Sharing"/>
    <m/>
    <m/>
    <m/>
    <s v="Metronet"/>
    <s v="20 Mbps"/>
    <m/>
    <n v="73320000"/>
    <m/>
    <m/>
    <m/>
    <n v="0.15"/>
    <d v="2025-01-01T00:00:00"/>
    <d v="2026-12-31T00:00:00"/>
    <x v="1"/>
    <m/>
    <d v="2025-12-24T00:00:00"/>
    <n v="372"/>
    <n v="12"/>
    <n v="2026"/>
    <m/>
    <m/>
    <m/>
    <s v="Syifa Fauziyah"/>
    <s v="Beni"/>
    <m/>
    <m/>
    <m/>
    <m/>
    <m/>
    <m/>
    <m/>
    <m/>
    <m/>
    <m/>
    <m/>
  </r>
  <r>
    <n v="2208"/>
    <s v="Perhimpunan Penghuni Perkantoran Kantor Taman A12"/>
    <s v="PT Pasifik Satelit Nusantara"/>
    <s v="Kawasan Mega Kuningan"/>
    <x v="1"/>
    <s v="Mega Kuningan"/>
    <m/>
    <s v="BAGI HASIL"/>
    <s v="Revenue Sharing"/>
    <m/>
    <m/>
    <m/>
    <s v="Metronet"/>
    <s v="250 Mbps"/>
    <m/>
    <n v="312000000"/>
    <m/>
    <m/>
    <m/>
    <n v="0.15"/>
    <d v="2025-01-01T00:00:00"/>
    <d v="2026-12-31T00:00:00"/>
    <x v="1"/>
    <m/>
    <d v="2025-12-24T00:00:00"/>
    <n v="372"/>
    <n v="12"/>
    <n v="2026"/>
    <m/>
    <m/>
    <m/>
    <s v="Syifa Fauziyah"/>
    <s v="Beni"/>
    <m/>
    <m/>
    <m/>
    <m/>
    <m/>
    <m/>
    <m/>
    <m/>
    <m/>
    <m/>
    <m/>
  </r>
  <r>
    <n v="2209"/>
    <s v="Perhimpunan Penghuni Perkantoran Kantor Taman A13"/>
    <s v="PT Pasifik Satelit Nusantara"/>
    <s v="Kawasan Mega Kuningan"/>
    <x v="1"/>
    <s v="Mega Kuningan"/>
    <m/>
    <s v="BAGI HASIL"/>
    <s v="Revenue Sharing"/>
    <m/>
    <m/>
    <m/>
    <s v="Metronet"/>
    <s v="50 Mbps"/>
    <m/>
    <n v="85800000"/>
    <m/>
    <m/>
    <m/>
    <n v="0.15"/>
    <d v="2025-01-01T00:00:00"/>
    <d v="2026-12-31T00:00:00"/>
    <x v="1"/>
    <m/>
    <d v="2025-12-24T00:00:00"/>
    <n v="372"/>
    <n v="12"/>
    <n v="2026"/>
    <m/>
    <m/>
    <m/>
    <s v="Syifa Fauziyah"/>
    <s v="Beni"/>
    <m/>
    <m/>
    <m/>
    <m/>
    <m/>
    <m/>
    <m/>
    <m/>
    <m/>
    <m/>
    <m/>
  </r>
  <r>
    <n v="2210"/>
    <s v="Perhimpunan Penghuni Perkantoran Kantor Taman A14"/>
    <s v="PT Pasifik Satelit Nusantara"/>
    <s v="Kawasan Mega Kuningan"/>
    <x v="1"/>
    <s v="Mega Kuningan"/>
    <m/>
    <s v="BAGI HASIL"/>
    <s v="Revenue Sharing"/>
    <m/>
    <m/>
    <m/>
    <s v="Metronet"/>
    <s v="20 Mbps"/>
    <m/>
    <n v="73320000"/>
    <m/>
    <m/>
    <m/>
    <n v="0.15"/>
    <d v="2025-01-01T00:00:00"/>
    <d v="2026-12-31T00:00:00"/>
    <x v="1"/>
    <m/>
    <d v="2025-12-24T00:00:00"/>
    <n v="372"/>
    <n v="12"/>
    <n v="2026"/>
    <m/>
    <m/>
    <m/>
    <s v="Syifa Fauziyah"/>
    <s v="Beni"/>
    <m/>
    <m/>
    <m/>
    <m/>
    <m/>
    <m/>
    <m/>
    <m/>
    <m/>
    <m/>
    <m/>
  </r>
  <r>
    <n v="2211"/>
    <s v="Perhimpunan Penghuni Perkantoran Kantor Taman A15"/>
    <s v="PT Pasifik Satelit Nusantara"/>
    <s v="Kawasan Mega Kuningan"/>
    <x v="1"/>
    <s v="Mega Kuningan"/>
    <m/>
    <s v="BAGI HASIL"/>
    <s v="Revenue Sharing"/>
    <m/>
    <m/>
    <m/>
    <s v="Metronet"/>
    <s v="20 Mbps"/>
    <m/>
    <n v="114000000"/>
    <m/>
    <m/>
    <m/>
    <n v="0.15"/>
    <d v="2025-01-01T00:00:00"/>
    <d v="2026-12-31T00:00:00"/>
    <x v="1"/>
    <m/>
    <d v="2025-12-24T00:00:00"/>
    <n v="372"/>
    <n v="12"/>
    <n v="2026"/>
    <m/>
    <m/>
    <m/>
    <s v="Syifa Fauziyah"/>
    <s v="Beni"/>
    <m/>
    <m/>
    <m/>
    <m/>
    <m/>
    <m/>
    <m/>
    <m/>
    <m/>
    <m/>
    <m/>
  </r>
  <r>
    <n v="2212"/>
    <s v="Perhimpunan Penghuni Perkantoran Kantor Taman A16"/>
    <s v="PT Pasifik Satelit Nusantara"/>
    <s v="Kawasan Mega Kuningan"/>
    <x v="1"/>
    <s v="Mega Kuningan"/>
    <m/>
    <s v="BAGI HASIL"/>
    <s v="Revenue Sharing"/>
    <m/>
    <m/>
    <m/>
    <s v="Metronet"/>
    <s v="25 Mbps"/>
    <m/>
    <n v="85800000"/>
    <m/>
    <m/>
    <m/>
    <n v="0.15"/>
    <d v="2025-01-01T00:00:00"/>
    <d v="2026-12-31T00:00:00"/>
    <x v="1"/>
    <m/>
    <d v="2025-12-24T00:00:00"/>
    <n v="372"/>
    <n v="12"/>
    <n v="2026"/>
    <m/>
    <m/>
    <m/>
    <s v="Syifa Fauziyah"/>
    <s v="Beni"/>
    <m/>
    <m/>
    <m/>
    <m/>
    <m/>
    <m/>
    <m/>
    <m/>
    <m/>
    <m/>
    <m/>
  </r>
  <r>
    <n v="2213"/>
    <s v="Perhimpunan Penghuni Perkantoran Kantor Taman A17"/>
    <s v="PT Pasifik Satelit Nusantara"/>
    <s v="Kawasan Mega Kuningan"/>
    <x v="1"/>
    <s v="Mega Kuningan"/>
    <m/>
    <s v="BAGI HASIL"/>
    <s v="Revenue Sharing"/>
    <m/>
    <m/>
    <m/>
    <s v="Metronet"/>
    <s v="10 Mbps"/>
    <m/>
    <n v="73320000"/>
    <m/>
    <m/>
    <m/>
    <n v="0.15"/>
    <d v="2025-01-01T00:00:00"/>
    <d v="2026-12-31T00:00:00"/>
    <x v="1"/>
    <m/>
    <d v="2025-12-24T00:00:00"/>
    <n v="372"/>
    <n v="12"/>
    <n v="2026"/>
    <m/>
    <m/>
    <m/>
    <s v="Syifa Fauziyah"/>
    <s v="Beni"/>
    <m/>
    <m/>
    <m/>
    <m/>
    <m/>
    <m/>
    <m/>
    <m/>
    <m/>
    <m/>
    <m/>
  </r>
  <r>
    <n v="2214"/>
    <s v="Aplikanusa Lintasarta"/>
    <s v="PT Cashlez Worldwide Indonesia tbk"/>
    <s v="Kawasan Mega Kuningan"/>
    <x v="1"/>
    <s v="LINTAS ARTA TAMAN TEKNO BSD KOMPLEK PERGUDANGAN TAMAN TEKNO BLOK D NO. 8, BSD, SETU, KEC. SETU. KOTA TANGERANG SELATAN, BANTEN 15314 DATA HALL 2B, RACK AS 23."/>
    <s v="PT BNI GEDUNG BNI, JL. S. PARMAN KAV F1-8 SLIPI JAKARTA BARAT (LOKASI SETELAH SLIPI JAYA DEKAT KIMIA FARMA DAN BRI), -, JAKARTA BARAT, DKI JAKARTA (DRC BNI SLIPI)"/>
    <s v="Sewa Tahunan"/>
    <s v="Cross Connect"/>
    <s v=" A821202001602"/>
    <m/>
    <m/>
    <s v="METRONET "/>
    <s v="5 Mbps"/>
    <n v="5000000"/>
    <n v="77000000"/>
    <m/>
    <n v="2500000"/>
    <n v="18000000"/>
    <m/>
    <d v="2025-05-27T00:00:00"/>
    <d v="2026-05-26T00:00:00"/>
    <x v="1"/>
    <m/>
    <d v="2025-06-20T00:00:00"/>
    <n v="340"/>
    <n v="5"/>
    <n v="2026"/>
    <s v="baru"/>
    <s v="6782/SPP/SBU/PLNICONPLUS/2025"/>
    <s v="4500025319"/>
    <s v="Syifa Fauziyah"/>
    <s v="Ilham"/>
    <m/>
    <m/>
    <m/>
    <m/>
    <m/>
    <m/>
    <m/>
    <m/>
    <m/>
    <n v="107"/>
    <m/>
  </r>
  <r>
    <n v="2215"/>
    <s v="Kawasan Lintas Biru Digital"/>
    <s v="PT Inti Karya Persada qq PT Cikarang Listrindo"/>
    <s v="Lintasarta Building , Jl.TB Simatupang Kav 10. Jakarta Selatan 12430"/>
    <x v="4"/>
    <m/>
    <s v="PT CIKARANG LISTRINDO' MM2100 PLANT (PROJECT CILIS) DANAU INDAH, CIKARANG BARAT, BEKASI REGENCY, WEST JAVA 17530  "/>
    <s v="Sewa Tahunan"/>
    <s v="Colocation"/>
    <s v="A111303004406 "/>
    <m/>
    <m/>
    <s v="INTERNET CORPORATE"/>
    <s v="30 Mbps"/>
    <n v="5000000"/>
    <n v="395000000"/>
    <m/>
    <n v="5000000"/>
    <n v="48000000"/>
    <m/>
    <d v="2025-02-07T00:00:00"/>
    <d v="2026-02-02T00:00:00"/>
    <x v="1"/>
    <m/>
    <d v="2025-12-24T00:00:00"/>
    <n v="40"/>
    <n v="2"/>
    <n v="2026"/>
    <s v="baru"/>
    <s v="5434/SPP/SBU/PLNICONPLUS/2024"/>
    <s v="4500024400"/>
    <s v="Syifa Fauziyah"/>
    <s v="Marissa"/>
    <m/>
    <m/>
    <m/>
    <m/>
    <m/>
    <m/>
    <m/>
    <m/>
    <m/>
    <m/>
    <m/>
  </r>
  <r>
    <n v="2216"/>
    <s v="Indointernet"/>
    <s v="PT Pasifik Satelit Nusantara"/>
    <s v="Rumah Indonet. Jl.Rempoa Raya No. 11 Ciputat. Tangerang Selatan – Banten 15412"/>
    <x v="1"/>
    <s v="PSN MEGA KUNINGAN ,5TH FLOOR GED. KANTOR TAMAN A9 UNIT C3 &amp; C4JL. MEGA KUNINGAN RAYA"/>
    <s v="INDONET REMPOA JL. REMPOA RAYA NO.11, REMPOA, KEC. CIPUTAT TIM., KOTA TANGERANG SELATAN"/>
    <s v="Sewa Tahunan"/>
    <s v="Cross Connect"/>
    <s v="PA/ACT/2003/0542"/>
    <m/>
    <m/>
    <s v="Metronet"/>
    <s v="5 Mbps"/>
    <m/>
    <n v="64800000"/>
    <m/>
    <m/>
    <n v="12000000"/>
    <m/>
    <d v="2025-05-08T00:00:00"/>
    <d v="2026-05-07T00:00:00"/>
    <x v="1"/>
    <m/>
    <d v="2025-12-24T00:00:00"/>
    <n v="134"/>
    <n v="5"/>
    <n v="2026"/>
    <n v="4500022664"/>
    <s v="6191/SPP/SBU/PLNICONPLUS/2025"/>
    <s v="4500024902"/>
    <s v=" Livia Indraswati "/>
    <s v="Supriatin"/>
    <m/>
    <m/>
    <m/>
    <m/>
    <m/>
    <m/>
    <m/>
    <m/>
    <m/>
    <n v="111"/>
    <m/>
  </r>
  <r>
    <n v="2217"/>
    <s v="Indointernet"/>
    <s v="PT Prodia Widyahusada"/>
    <s v="Rumah Indonet. Jl.Rempoa Raya No. 11 Ciputat. Tangerang Selatan – Banten 15412"/>
    <x v="1"/>
    <s v="(DCI) MM2100 CIBITUNG, CIBITUNG, KOTA BEKASI, JAWA BARAT, INDONESIA"/>
    <s v="RUMAH INDONET JL. REMPOA RAYA NO. 11 CIPUTAT – TANGERANG SELATAN BANTEN,  KANTOR PUSAT JAKARTA (DRC),  KOTA TANGERANG,  BANTEN,  INDONESIA,  15412"/>
    <s v="Sewa Tahunan"/>
    <s v="Cross Connect"/>
    <s v="PA/ACT/1803/0184"/>
    <m/>
    <m/>
    <s v="IPVPN"/>
    <s v="50 Mbps"/>
    <m/>
    <n v="72000000"/>
    <m/>
    <m/>
    <n v="2500000"/>
    <m/>
    <d v="2025-04-14T00:00:00"/>
    <d v="2026-04-13T00:00:00"/>
    <x v="1"/>
    <m/>
    <d v="2025-12-24T00:00:00"/>
    <n v="110"/>
    <n v="4"/>
    <n v="2026"/>
    <s v="3094/SPP/SBU/PLNICONPLUS/2024 | 4500022686"/>
    <s v="6475/SPP/SBU/PLNICONPLUS/2025"/>
    <s v="4500024993"/>
    <s v=" Livia Indraswati "/>
    <s v="Supriatin"/>
    <m/>
    <m/>
    <m/>
    <m/>
    <m/>
    <m/>
    <m/>
    <m/>
    <m/>
    <n v="112"/>
    <m/>
  </r>
  <r>
    <n v="2218"/>
    <s v="DCI Indonesia"/>
    <s v="PT Agincourt Resources Indonesia"/>
    <s v="Equity Tower 17th floor suite F SCBD lot Jl Jend Sudirman Kav 52-53 Jakarta 12196"/>
    <x v="1"/>
    <s v="12TH FLOOR SUITE 1201, JL.SUTAN ISKANDAR MUDA KAV.V-TA, PONDOK INDAH, WISMA PONDOK INDAH II, JAKARTA SELATAN, DKI JAKARTA, INDONESIA"/>
    <s v="PT.DATA CENTER INFRASTRUKTUR INDONESIA (DCI) KAWASAN INDUSTRI MM2100 CIBITUNG, JL.IRIAN, CIKARANG, JAWA BARAT, INDIONESIA"/>
    <s v="Sewa Tahunan"/>
    <s v="Cross Connect"/>
    <m/>
    <n v="111202020928"/>
    <m/>
    <s v="Metronet"/>
    <m/>
    <m/>
    <n v="84000000"/>
    <m/>
    <m/>
    <n v="18000000"/>
    <m/>
    <d v="2025-05-20T00:00:00"/>
    <d v="2026-05-19T00:00:00"/>
    <x v="1"/>
    <m/>
    <d v="2025-12-24T00:00:00"/>
    <n v="146"/>
    <n v="5"/>
    <n v="2026"/>
    <n v="4500022926"/>
    <s v="6530/SPP/SBU/PLNICONPLUS/2025"/>
    <s v="4500025087"/>
    <s v=" Livia Indraswati "/>
    <s v="Asima"/>
    <m/>
    <m/>
    <m/>
    <m/>
    <m/>
    <m/>
    <m/>
    <m/>
    <m/>
    <n v="113"/>
    <m/>
  </r>
  <r>
    <n v="2219"/>
    <s v="DCI Indonesia"/>
    <s v="PT Klik Indomaret Sukses"/>
    <s v="Equity Tower 17th floor suite F SCBD lot Jl Jend Sudirman Kav 52-53 Jakarta 12196"/>
    <x v="1"/>
    <s v="-"/>
    <s v="PT DCI Indonesia, Gedung JK2, Jl. Irian I Blok GG 5-1, Kawasan MM 2100, Cibitung (Jatelindo di DCI Cibitung ID Rack: jk1- rck-1b-009- 002), Cikarang, Kabupaten Bekasi, Jawa Barat, Indonesia"/>
    <s v="Sewa Tahunan"/>
    <s v="Cross Connect"/>
    <s v="PA/ACT/2105/1239"/>
    <m/>
    <m/>
    <s v="IPVPN"/>
    <s v="512 Kbps"/>
    <m/>
    <n v="42000000"/>
    <m/>
    <m/>
    <n v="18000000"/>
    <m/>
    <d v="2025-06-04T00:00:00"/>
    <d v="2026-06-03T00:00:00"/>
    <x v="1"/>
    <m/>
    <d v="2025-12-24T00:00:00"/>
    <n v="161"/>
    <n v="6"/>
    <n v="2026"/>
    <s v="3206/SPP/SBU/PLNICONPLUS/2024 | 4500022998"/>
    <s v="6563/SPP/SBU/PLNICONPLUS/2025"/>
    <s v="4500025088"/>
    <s v=" Livia Indraswati "/>
    <s v="Asima"/>
    <m/>
    <m/>
    <m/>
    <m/>
    <m/>
    <m/>
    <m/>
    <m/>
    <m/>
    <n v="114"/>
    <m/>
  </r>
  <r>
    <n v="2220"/>
    <s v="DCI Indonesia"/>
    <s v="PT Bank Woori Saudara"/>
    <s v="Equity Tower 17th floor suite F SCBD lot Jl Jend Sudirman Kav 52-53 Jakarta 12196"/>
    <x v="1"/>
    <m/>
    <s v="BWS DCI BDG - JL. DIPONEGORO NO.28, CITARUM, KEC. BANDUNG WETAN, KOTA BANDUNG, JAWA BARAT 40115"/>
    <s v="Sewa Tahunan"/>
    <s v="Cross Connect"/>
    <s v="A111202009970_x000a_'A111303005629"/>
    <m/>
    <m/>
    <s v="Metronet_x000a_Internet Corporate"/>
    <s v="500 Mbps_x000a_300 Mbps"/>
    <n v="10000000"/>
    <n v="684000000"/>
    <m/>
    <n v="4000000"/>
    <n v="36000000"/>
    <m/>
    <d v="2025-03-06T00:00:00"/>
    <d v="2026-03-05T00:00:00"/>
    <x v="1"/>
    <m/>
    <d v="2025-12-24T00:00:00"/>
    <n v="71"/>
    <n v="3"/>
    <n v="2026"/>
    <s v="baru"/>
    <s v="6354/SPP/SBU/PLNICONPLUS/2025"/>
    <s v="4500024954"/>
    <s v=" Livia Indraswati "/>
    <s v="Asima"/>
    <m/>
    <m/>
    <m/>
    <m/>
    <m/>
    <m/>
    <m/>
    <m/>
    <m/>
    <n v="4"/>
    <m/>
  </r>
  <r>
    <n v="2221"/>
    <s v="DCI Indonesia"/>
    <s v="PT Bank Jambi"/>
    <s v="Equity Tower 17th floor suite F SCBD lot Jl Jend Sudirman Kav 52-53 Jakarta 12196"/>
    <x v="1"/>
    <s v="DCI Jl. Halmahera No. 1 Blok F1, Danau Indah Kec. Cikarang Barat, Kabupaten Bekasi, Jawa Barat 17530"/>
    <s v="Bank Jambi Kantor Pusat Jl. Jend Ahmad Yani No. 18, Telanaipura, Kec. Telanaipura, Kota Jambi, Jambi 36122"/>
    <s v="Sewa Tahunan"/>
    <s v="Cross Connect"/>
    <s v="A211205000271_x000a_'A211601001831"/>
    <m/>
    <m/>
    <s v="IPVPN"/>
    <s v="10 Mbps"/>
    <m/>
    <n v="100074000"/>
    <m/>
    <m/>
    <n v="18000000"/>
    <m/>
    <d v="2025-05-28T00:00:00"/>
    <d v="2026-05-27T00:00:00"/>
    <x v="1"/>
    <m/>
    <d v="2025-12-24T00:00:00"/>
    <n v="154"/>
    <n v="5"/>
    <n v="2026"/>
    <s v="3567/SPP/SBU/PLNICONPLUS/2024 | 4500022874"/>
    <s v="6507/SPP/SBU/PLNICONPLUS/2025"/>
    <s v="4500024991"/>
    <s v=" Livia Indraswati "/>
    <s v="Asima"/>
    <m/>
    <m/>
    <m/>
    <m/>
    <m/>
    <m/>
    <m/>
    <m/>
    <m/>
    <n v="95"/>
    <m/>
  </r>
  <r>
    <n v="2222"/>
    <s v="Aplikanusa Lintasarta"/>
    <s v="PT Softex Indonesia"/>
    <s v="Equity Tower 17th floor suite F SCBD lot Jl Jend Sudirman Kav 52-53 Jakarta 12196"/>
    <x v="1"/>
    <s v="Cyber 1"/>
    <s v="TREMBERSI TOWER. JL PAHLAWAN SERIBU LOT VIIA, CBD-BSD, SERPONG SUB-DISTRICT, SOUTH TANGERANG CITY, BANTEN 15311"/>
    <s v="Sewa Tahunan"/>
    <s v="Cross Connect"/>
    <s v="A111303005863"/>
    <s v="111303014995"/>
    <m/>
    <s v="Internet Corporate "/>
    <s v="500 Mbps"/>
    <n v="5000000"/>
    <n v="360000000"/>
    <m/>
    <n v="2060000"/>
    <n v="12360000"/>
    <m/>
    <d v="2025-05-15T00:00:00"/>
    <d v="2026-05-14T00:00:00"/>
    <x v="1"/>
    <m/>
    <d v="2025-12-24T00:00:00"/>
    <n v="141"/>
    <n v="5"/>
    <n v="2026"/>
    <s v="Baru"/>
    <s v="6529/SPP/SBU/PLNICONPLUS/2025"/>
    <s v="4500025086"/>
    <s v=" Livia Indraswati "/>
    <s v="Syarifah"/>
    <m/>
    <m/>
    <m/>
    <m/>
    <m/>
    <m/>
    <m/>
    <m/>
    <m/>
    <n v="115"/>
    <m/>
  </r>
  <r>
    <n v="2223"/>
    <s v="Aplikanusa Lintasarta"/>
    <s v="Bank Sinarmas "/>
    <s v="Lintasarta Building , Jl.TB Simatupang Kav 10. Jakarta Selatan 12430"/>
    <x v="1"/>
    <s v="PLAZA SINARMAS JL. FACHRUDIN 18 LT.6 JAKARTA PUSAT 10250,  -,  Jakarta Pusat,  DKI Jakarta,  Indonesia, "/>
    <s v="DC BEPS - Lintasarta Pusat Data Stasiun Bumi Indosat Jl. Lurah Kawi Jatiluhur, Purwakarta, Jawa Barat 41152,- ,- ,- ,Indonesia ,- "/>
    <s v="Sewa Bulanan"/>
    <s v="Interkoneksi"/>
    <s v="ICON-99/SBC/1811/0007"/>
    <s v="110120207705"/>
    <s v="99,50%"/>
    <s v="Metronet"/>
    <s v="10 Mbps"/>
    <m/>
    <n v="162000000"/>
    <m/>
    <m/>
    <n v="60000000"/>
    <m/>
    <d v="2025-07-01T00:00:00"/>
    <d v="2026-06-30T00:00:00"/>
    <x v="1"/>
    <m/>
    <d v="2025-12-24T00:00:00"/>
    <n v="188"/>
    <n v="6"/>
    <n v="2026"/>
    <s v="2906/SPP/SBU/ICON+/2024 | 4500022414"/>
    <s v="6639/SPP/SBU/PLNICONPLUS/2025"/>
    <n v="4500025157"/>
    <s v="Syifa Artianingsih"/>
    <s v="Ilham"/>
    <m/>
    <m/>
    <m/>
    <m/>
    <m/>
    <m/>
    <m/>
    <m/>
    <m/>
    <n v="166"/>
    <m/>
  </r>
  <r>
    <n v="2224"/>
    <s v="CBN Nusantara"/>
    <s v="PT Bangun Andalan Perkasa"/>
    <s v="Cyber 2 Tower 2nd Floor Jl HR Rasuna Said Kav X-5 No 13 Jakarta 12950"/>
    <x v="4"/>
    <s v="TELKOMSEL TBS, JALAN TB SIMATUPANG, RT.3/RW.2, TANJUNG BARAT, JAGAKARSA, RT.3/RW.2, TJ. BARAT, JAGAKARSA, JAKARTA SELATAN, DKI JAKARTA, INDONESIA, 125"/>
    <s v="CYBER 2 TOWER, JL. H. R. RASUNA SAID NO.13, RT.7/RW.2, KUNINGAN, KUNINGAN TIMUR, SETIABUDI, JAKARTA SELATAN, DKI JAKARTA, INDONESIA, 12950"/>
    <s v="Sewa Tahunan"/>
    <s v="Cross Connect"/>
    <m/>
    <s v="110120211701 / 01000169911"/>
    <m/>
    <s v="Metronet"/>
    <s v="5 Mbps"/>
    <m/>
    <n v="60000000"/>
    <m/>
    <m/>
    <n v="8000000"/>
    <m/>
    <d v="2025-02-13T00:00:00"/>
    <d v="2026-02-12T00:00:00"/>
    <x v="1"/>
    <m/>
    <d v="2025-12-24T00:00:00"/>
    <n v="50"/>
    <n v="2"/>
    <n v="2026"/>
    <n v="4500022082"/>
    <s v="6341/SPP/SBU/PLNICONPLUS/2025"/>
    <s v="4500024909"/>
    <s v=" Livia Indraswati "/>
    <s v="Erni Monalena"/>
    <m/>
    <m/>
    <m/>
    <m/>
    <m/>
    <m/>
    <m/>
    <m/>
    <m/>
    <n v="117"/>
    <m/>
  </r>
  <r>
    <n v="2225"/>
    <s v="CBN Nusantara"/>
    <s v="PT Klik Indomaret Sukses"/>
    <s v="Cyber 2 Tower 2nd Floor Jl HR Rasuna Said Kav X-5 No 13 Jakarta 12950"/>
    <x v="1"/>
    <m/>
    <s v="DATA CENTER NEX CBN Ruang ND-2 Cage N2C1- 01-01 Gedung Cyber 2 Jl. H.R. Rasuna Said No. 13 Blok. X-5 Kuningan Timur South Jakarta 12950, Indonesia"/>
    <s v="Sewa Tahunan"/>
    <s v="Cross Connect"/>
    <s v="AL/2002/6689"/>
    <m/>
    <m/>
    <s v="IPVPN"/>
    <s v="512 Kbps"/>
    <m/>
    <n v="42000000"/>
    <m/>
    <m/>
    <n v="2000000"/>
    <m/>
    <d v="2025-04-28T00:00:00"/>
    <d v="2026-04-27T00:00:00"/>
    <x v="1"/>
    <m/>
    <d v="2025-12-24T00:00:00"/>
    <n v="124"/>
    <n v="4"/>
    <n v="2026"/>
    <s v="4299/SPP/SBU/PLNICONPLUS/2024 | 4500023799"/>
    <s v="6561/SPP/SBU/PLNICONPLUS/2025"/>
    <s v="4500025089"/>
    <s v=" Livia Indraswati "/>
    <s v="Erni Monalena"/>
    <m/>
    <m/>
    <m/>
    <m/>
    <m/>
    <m/>
    <m/>
    <m/>
    <m/>
    <n v="118"/>
    <m/>
  </r>
  <r>
    <n v="2226"/>
    <s v="CBN Nusantara"/>
    <s v="PT Klik Indomaret Sukses"/>
    <s v="Cyber 2 Tower 2nd Floor Jl HR Rasuna Said Kav X-5 No 13 Jakarta 12950"/>
    <x v="1"/>
    <s v="PT KIS, Nex Datacenter Cyber 2 Tower 2nd Floor, Jl. HR Rasuna Said X5 No.13, Cage (ND2-N2C1-05-01) rak pertama, Setiabudi, Jakarta Selatan, DKI Jakarta, Indonesia, "/>
    <m/>
    <s v="Sewa Tahunan"/>
    <s v="Cross Connect"/>
    <s v="PA/ACT/2108/2056"/>
    <m/>
    <m/>
    <s v="IPVPN"/>
    <s v="512 Kbps"/>
    <m/>
    <n v="42000000"/>
    <m/>
    <m/>
    <n v="6000000"/>
    <m/>
    <d v="2025-03-01T00:00:00"/>
    <d v="2026-02-28T00:00:00"/>
    <x v="1"/>
    <m/>
    <d v="2025-12-24T00:00:00"/>
    <n v="66"/>
    <n v="2"/>
    <n v="2026"/>
    <s v="4394/SPP/SBU/PLNICONPLUS/2024 | 4500023493"/>
    <s v="6562/SPP/SBU/PLNICONPLUS/2025"/>
    <s v="4500025090"/>
    <s v=" Livia Indraswati "/>
    <s v="Erni Monalena"/>
    <m/>
    <m/>
    <m/>
    <m/>
    <m/>
    <m/>
    <m/>
    <m/>
    <m/>
    <n v="119"/>
    <m/>
  </r>
  <r>
    <n v="2227"/>
    <s v="Princeton Digital Group"/>
    <s v="PT Lima Menara Bintang"/>
    <s v="Cyber 2 Tower 2nd Floor Jl HR Rasuna Said Kav X-5 No 13 Jakarta 12950"/>
    <x v="2"/>
    <s v="IDC D3, Jl. Duren Tiga Raya No. 7 Duren Tiga, Pancoran, Jakarta Selatan, DKI Jakarta, Indonesia, 12760"/>
    <s v="DC XL Cibitung Jl. Sumbawa Blok AB No. 1, Mekarwangi, Cikarang Barat, Bekasi, Jabar, Indonesia, 17530"/>
    <s v="Sewa Tahunan"/>
    <s v="Colocation"/>
    <s v="PA/ACT/2111/1334/TER"/>
    <m/>
    <m/>
    <s v="Metronet"/>
    <s v="2 Mbps"/>
    <m/>
    <n v="24000000"/>
    <m/>
    <m/>
    <n v="81000000"/>
    <m/>
    <d v="2025-01-18T00:00:00"/>
    <d v="2026-01-17T00:00:00"/>
    <x v="1"/>
    <m/>
    <d v="2025-12-24T00:00:00"/>
    <n v="24"/>
    <n v="1"/>
    <n v="2026"/>
    <n v="4500017589"/>
    <s v="6189/SPP/SBU/PLNICONPLUS/2025"/>
    <s v="4500025085"/>
    <s v=" Livia Indraswati "/>
    <s v="Nofi"/>
    <m/>
    <m/>
    <m/>
    <m/>
    <m/>
    <m/>
    <m/>
    <m/>
    <m/>
    <n v="120"/>
    <m/>
  </r>
  <r>
    <n v="2228"/>
    <s v="NTT Indonesia"/>
    <s v="PT Nusa Satu Inti Artha"/>
    <s v="Wisma 46 Kota BNI Lt. 5, Jl. Jend. Sudirman, Tanah Abang, Kota Jak Pusat, Daerah Khusus Ibukota Jak 10250, Indonesia"/>
    <x v="0"/>
    <s v="NTT CYBER JL. KUNINGAN BARAT RAYA NO.8, RT.6/RW.3, KUNINGAN BAR., KEC. MAMPANG PRPT, JAKARTA SELATAN, DKI JAKARTA, INDONESIA, 12710"/>
    <s v="DC ALFA CILEUNGSI KTR. CAB CILEUNGSI, DAYEUH, KEC. CILEUNGSI, KABUPATEN BOGOR, JAWA BARAT, INDONESIA, 16820"/>
    <s v="Sewa Tahunan"/>
    <s v="Cross Connect"/>
    <s v="PA/ACT/2208/2714"/>
    <m/>
    <m/>
    <s v="Metronet P2P"/>
    <s v="1 Mbps"/>
    <m/>
    <n v="42000000"/>
    <m/>
    <m/>
    <n v="12000000"/>
    <m/>
    <d v="2023-09-23T00:00:00"/>
    <d v="2025-09-22T00:00:00"/>
    <x v="0"/>
    <m/>
    <d v="2025-12-24T00:00:00"/>
    <n v="-93"/>
    <n v="9"/>
    <n v="2025"/>
    <s v="19884/SPP/008/PUSAT/ICON+/2022 | 4500022360"/>
    <s v="6693/SPP/SBU/PLNICONPLUS/2025"/>
    <s v="4500025182"/>
    <s v=" Livia Indraswati "/>
    <s v="Iffa"/>
    <m/>
    <m/>
    <m/>
    <m/>
    <m/>
    <m/>
    <m/>
    <m/>
    <m/>
    <n v="121"/>
    <m/>
  </r>
  <r>
    <n v="2229"/>
    <s v="NTT Indonesia"/>
    <s v="PT Aliansi Teknologi Indonesia (DANA)"/>
    <s v="Wisma 46 Kota BNI Lt. 5, Jl. Jend. Sudirman, Tanah Abang, Kota Jak Pusat, Daerah Khusus Ibukota Jak 10250, Indonesia"/>
    <x v="0"/>
    <s v="DWDM, GD. NTTI DATA CENTER, JL. KUNINGAN BARAT RAYA NO.8, RT.6/RW.3, KUNINGAN BARAT, KEC. MAMPANG PRAPATAN, JAKARTA SELATAN, DKI JAKARTA, INDONESIA"/>
    <s v=" IDC DUREN TIGA OPEN IXP, JL. DUREN TIGA RAYA NO.7, RT.9/RW.5, DUREN TIGA, KEC. PANCORAN, JAKARTA SELATAN, DKI JAKARTA, INDONESIA, 12760"/>
    <s v="Sewa Tahunan"/>
    <s v="Cross Connect"/>
    <s v="PA/ACT/2209/5345"/>
    <m/>
    <m/>
    <s v="Clear Channel"/>
    <s v="10 Gbps"/>
    <m/>
    <n v="294000000"/>
    <m/>
    <m/>
    <n v="120000000"/>
    <m/>
    <d v="2023-12-05T00:00:00"/>
    <d v="2025-12-04T00:00:00"/>
    <x v="1"/>
    <m/>
    <d v="2025-12-24T00:00:00"/>
    <n v="-20"/>
    <n v="12"/>
    <n v="2025"/>
    <s v="20251/SPP/008/PUSAT/ICON+/2022 | 4500022356"/>
    <s v="5920/SPP/SBU/PLNICONPLUS/2025"/>
    <s v="4500024992"/>
    <s v=" Livia Indraswati "/>
    <s v="Iffa"/>
    <m/>
    <m/>
    <m/>
    <m/>
    <m/>
    <m/>
    <m/>
    <m/>
    <m/>
    <n v="122"/>
    <m/>
  </r>
  <r>
    <n v="2230"/>
    <s v="Jaya Land"/>
    <s v="PT Mitsubishi Electric Indonesia"/>
    <s v="Wisma 46 Kota BNI Lt. 5, Jl. Jend. Sudirman, Tanah Abang, Kota Jak Pusat, Daerah Khusus Ibukota Jak 10250, Indonesia"/>
    <x v="0"/>
    <m/>
    <s v="Gedung Jaya Lt. 8 Jl. MH Thamrin No. 12 Jakarta Pusat 10340, Indonesia"/>
    <s v="Sewa Tahunan"/>
    <s v="Colocation"/>
    <s v="A821303000043"/>
    <n v="111303010521"/>
    <m/>
    <s v="Internet Corporate "/>
    <s v="100 Mbps"/>
    <m/>
    <n v="54000000"/>
    <m/>
    <m/>
    <n v="5512667"/>
    <m/>
    <d v="2025-03-07T00:00:00"/>
    <d v="2025-06-30T00:00:00"/>
    <x v="0"/>
    <m/>
    <d v="2025-12-24T00:00:00"/>
    <n v="-177"/>
    <n v="6"/>
    <n v="2025"/>
    <s v="baru"/>
    <s v="6694/SPP/SBU/PLNICONPLUS/2025"/>
    <s v="4500025187"/>
    <s v=" Livia Indraswati "/>
    <s v="Cipta"/>
    <m/>
    <m/>
    <m/>
    <m/>
    <m/>
    <m/>
    <m/>
    <m/>
    <m/>
    <n v="126"/>
    <m/>
  </r>
  <r>
    <n v="2231"/>
    <s v="Kawasan Lintas Biru Digital"/>
    <s v="PT Ultrajaya Milk Industry and Trading Company"/>
    <s v="Gedung Jaya Jl.MH Thamrin No.12"/>
    <x v="1"/>
    <s v="PT ULTRA MM2100 GANDASARI, KEC. CIKARANG BAR., KABUPATEN BEKASI, JAWA BARAT 17530"/>
    <s v="PT ULTRA MM2100 GANDASARI, KEC. CIKARANG BAR., KABUPATEN BEKASI, JAWA BARAT 17530"/>
    <s v="Sewa Tahunan"/>
    <s v="Colocation"/>
    <s v="A121202000015"/>
    <m/>
    <m/>
    <s v="Metronet"/>
    <s v="8 Mbps"/>
    <m/>
    <n v="102000000"/>
    <m/>
    <m/>
    <n v="24000000"/>
    <m/>
    <d v="2025-03-15T00:00:00"/>
    <d v="2026-03-14T00:00:00"/>
    <x v="1"/>
    <m/>
    <d v="2025-12-24T00:00:00"/>
    <n v="80"/>
    <n v="3"/>
    <n v="2026"/>
    <n v="4500022060"/>
    <s v="6697/SPP/SBU/PLNICONPLUS/2025"/>
    <s v="4500025183"/>
    <s v=" Livia Indraswati "/>
    <s v="Marisa"/>
    <m/>
    <m/>
    <m/>
    <m/>
    <m/>
    <m/>
    <m/>
    <m/>
    <m/>
    <n v="127"/>
    <m/>
  </r>
  <r>
    <n v="2232"/>
    <s v="Karyagraha Nusantara"/>
    <s v="PT XL Axiata"/>
    <s v="Jl. Kalimantan Gandasari MM2100 Kaw. Befa"/>
    <x v="3"/>
    <s v="Gedung Cyber"/>
    <s v="STANDARD CHARTERED BANK,SEMARANG. JL. AHMAD YANI 155 A. SEMARANG,- ,- ,- ,INDONESIA ,-   "/>
    <s v="Sewa Tahunan"/>
    <s v="Colocation"/>
    <s v="ICON-00/SBC/1609/0551"/>
    <m/>
    <m/>
    <s v="Metronet"/>
    <s v="5 Mbps"/>
    <m/>
    <n v="90000000"/>
    <m/>
    <m/>
    <n v="7500000"/>
    <m/>
    <d v="2024-12-29T00:00:00"/>
    <d v="2025-12-28T00:00:00"/>
    <x v="1"/>
    <m/>
    <d v="2025-12-24T00:00:00"/>
    <n v="4"/>
    <n v="12"/>
    <n v="2025"/>
    <s v="2332/SPP/SBU/PLNICONPLUS/2024 | 4500022478"/>
    <s v="6248/SPP/SBU/PLNICONPLUS/2025"/>
    <s v="4500025098"/>
    <s v=" Livia Indraswati "/>
    <s v="Tito"/>
    <m/>
    <m/>
    <m/>
    <m/>
    <m/>
    <m/>
    <m/>
    <m/>
    <m/>
    <n v="123"/>
    <m/>
  </r>
  <r>
    <n v="2233"/>
    <s v="Karyagraha Nusantara"/>
    <s v="PT Ipwan Global Telecomm"/>
    <s v="Gedung Cyber Jl. Kuningan Barat No.8 Kuningan Barat Jakarta"/>
    <x v="4"/>
    <s v="CYBER 1 LANTAI 3A, -, JAKARTA SELATAN, DKI JAKARTA, INDONESIA,"/>
    <s v="BTN, DATA CENTER SENTUL,JL IR JUANDA NO 07 BABAKAN MADANG- BOGOR, JAWA BARAT, INDONESIA, -"/>
    <s v="Sewa Tahunan"/>
    <s v="Colocation"/>
    <m/>
    <s v="110120203410 / 01000181192"/>
    <m/>
    <s v="Metronet"/>
    <s v="10 Mbps"/>
    <m/>
    <n v="52800000"/>
    <m/>
    <m/>
    <n v="7500000"/>
    <m/>
    <d v="2025-01-29T00:00:00"/>
    <d v="2026-01-28T00:00:00"/>
    <x v="1"/>
    <m/>
    <d v="2025-12-24T00:00:00"/>
    <n v="35"/>
    <n v="1"/>
    <n v="2026"/>
    <s v="4057/SPP/SBU/PLNICONPLUS/2024 | 4500023281"/>
    <s v="6648/SPP/SBU/PLNICONPLUS/2025"/>
    <s v="4500025181"/>
    <s v=" Livia Indraswati "/>
    <s v="Tito"/>
    <m/>
    <m/>
    <m/>
    <m/>
    <m/>
    <m/>
    <m/>
    <m/>
    <m/>
    <n v="124"/>
    <m/>
  </r>
  <r>
    <n v="2234"/>
    <s v="Karyagraha Nusantara"/>
    <s v="PT Ipwan Global Telecomm"/>
    <s v="Gedung Cyber Jl. Kuningan Barat No.8 Kuningan Barat Jakarta"/>
    <x v="2"/>
    <s v="CYBER 1 LANTAI 2,KUNINGAN JAKARTA SELATAN, -, -, DKI JAKARTA, INDONESIA, -"/>
    <s v="BTN DI SURABAYA JL BUKIT DARMO KAMPUNG BALI ( DATA CENTER SIQMA).,- ,- ,- ,INDONESIA ,-"/>
    <s v="Sewa Tahunan"/>
    <s v="Colocation"/>
    <m/>
    <s v="110120203409 / 0990000320389715"/>
    <m/>
    <s v="Metronet"/>
    <s v="20 Mbps"/>
    <m/>
    <n v="84000000"/>
    <m/>
    <m/>
    <n v="7500000"/>
    <m/>
    <d v="2025-01-21T00:00:00"/>
    <d v="2026-01-20T00:00:00"/>
    <x v="1"/>
    <m/>
    <d v="2025-12-24T00:00:00"/>
    <n v="27"/>
    <n v="1"/>
    <n v="2026"/>
    <s v="4056/SPP/SBU/PLNICONPLUS/2024 | 4500023280"/>
    <s v="6649/SPP/SBU/PLNICONPLUS/2025"/>
    <s v="4500025180"/>
    <s v=" Livia Indraswati "/>
    <s v="Tito"/>
    <m/>
    <m/>
    <m/>
    <m/>
    <m/>
    <m/>
    <m/>
    <m/>
    <m/>
    <n v="125"/>
    <m/>
  </r>
  <r>
    <n v="2235"/>
    <s v="Karyagraha Nusantara"/>
    <s v="PT Artha Telekomindo"/>
    <s v="Gedung Cyber Jl. Kuningan Barat No.8 Kuningan Barat Jakarta"/>
    <x v="3"/>
    <s v="GEDUNG CYBER LT.1 , JL. KUNINGAN BARAT JAKARTA,- ,- ,- ,Indonesia ,-   "/>
    <s v="JL.WATES KM 14 DESA ARGOSARI KECAMATAN SEDAYU KABUPATEN BANTUL YOGYAKARTA,- ,- ,- ,Indonesia ,-   "/>
    <s v="Sewa Tahunan"/>
    <s v="Colocation"/>
    <s v="ICON-00/SBC/1209/0518"/>
    <s v="110120206770 / 0990000320290661"/>
    <m/>
    <s v="Metronet"/>
    <s v="50 Mbps"/>
    <m/>
    <n v="290400000"/>
    <m/>
    <m/>
    <n v="40000000"/>
    <m/>
    <d v="2025-01-21T00:00:00"/>
    <d v="2025-12-28T00:00:00"/>
    <x v="1"/>
    <m/>
    <d v="2025-12-24T00:00:00"/>
    <n v="4"/>
    <n v="12"/>
    <n v="2025"/>
    <s v="2496/SPP/SBU/ICON+/2024 | 4500022803"/>
    <s v="5193/SPP/SBU/PLNICONPLUS/2024"/>
    <s v="4500025099"/>
    <s v=" Livia Indraswati "/>
    <s v="Tito"/>
    <m/>
    <m/>
    <m/>
    <m/>
    <m/>
    <m/>
    <m/>
    <m/>
    <m/>
    <n v="126"/>
    <m/>
  </r>
  <r>
    <n v="2236"/>
    <s v="Telkom Data Ekosistem"/>
    <s v="PT Bangun Andalan Perkasa"/>
    <s v="German Centre Building 3rd and 5th floor Jl. Kapt. Subijanto DJ Bumi Serpong Damai"/>
    <x v="1"/>
    <m/>
    <s v="DC TELKOMSIGMA SENTUL CIJAYANTI"/>
    <s v="Sewa Tahunan"/>
    <s v="Cross Connect"/>
    <s v="A821202001153"/>
    <m/>
    <m/>
    <s v="Metronet"/>
    <s v="5 Mbps"/>
    <m/>
    <n v="60000000"/>
    <m/>
    <m/>
    <n v="6000000"/>
    <m/>
    <d v="2025-04-04T00:00:00"/>
    <d v="2026-04-03T00:00:00"/>
    <x v="1"/>
    <m/>
    <d v="2025-12-24T00:00:00"/>
    <n v="100"/>
    <n v="4"/>
    <n v="2026"/>
    <n v="4500022735"/>
    <s v="6059/SPP/SBU/PLNICONPLUS/2025"/>
    <s v="4500024897"/>
    <s v=" Livia Indraswati "/>
    <s v="Yudhi Sukma"/>
    <m/>
    <m/>
    <m/>
    <m/>
    <m/>
    <m/>
    <m/>
    <m/>
    <m/>
    <n v="131"/>
    <m/>
  </r>
  <r>
    <n v="2237"/>
    <s v="Telkom Data Ekosistem"/>
    <s v="PT Aeon Credit Services Indonesia"/>
    <s v="German Centre Building 3rd and 5th floor Jl. Kapt. Subijanto DJ Bumi Serpong Damai"/>
    <x v="1"/>
    <s v="JL. RIVERSIDE GOLF CLUB NO.1, BOJONG NANGKA, KEC. GN. PUTRI, KABUPATEN BOGOR, JAWA BARAT, INDONESIA, 16965"/>
    <s v="Lengkong Gudang, Kec. Serpong, Kota Tangerang Selatan, Banten, Indonesia, 15321 "/>
    <s v="Sewa Tahunan"/>
    <s v="Cross Connect"/>
    <s v="AL/2009/44903 - PA/ACT/2001/3966"/>
    <m/>
    <m/>
    <s v="Metronet"/>
    <s v="1 Mbps"/>
    <m/>
    <n v="57600000"/>
    <m/>
    <m/>
    <n v="6000000"/>
    <m/>
    <d v="2025-03-04T00:00:00"/>
    <d v="2026-03-03T00:00:00"/>
    <x v="1"/>
    <m/>
    <d v="2025-12-24T00:00:00"/>
    <n v="69"/>
    <n v="3"/>
    <n v="2026"/>
    <s v="3229/SPP/SBU/PLNICONPLUS/2024 | 4500022727"/>
    <s v="6056/SPP/SBU/PLNICONPLUS/2025"/>
    <s v="4500024894"/>
    <s v=" Livia Indraswati "/>
    <s v="Yudhi Sukma"/>
    <m/>
    <m/>
    <m/>
    <m/>
    <m/>
    <m/>
    <m/>
    <m/>
    <m/>
    <n v="132"/>
    <m/>
  </r>
  <r>
    <n v="2238"/>
    <s v="Telkom Data Ekosistem"/>
    <s v="PT Bank Rakyat Indonesia"/>
    <s v="German Centre Building 3rd and 5th floor Jl. Kapt. Subijanto DJ Bumi Serpong Damai"/>
    <x v="1"/>
    <m/>
    <s v="H2H SYB, DC Sigma, BSD LT 6 Timur, Jl. Kapten Subijanto Dj, Lengkong Gudang, Serpong, Tangerang Selatan, Banten 15321, Kota Tangerang Selatan, Banten, Indonesia"/>
    <s v="Sewa Tahunan"/>
    <s v="Cross Connect"/>
    <s v="AL/2008/35375"/>
    <m/>
    <m/>
    <s v="IPVPN"/>
    <s v="256 Kbps"/>
    <m/>
    <n v="27272724"/>
    <m/>
    <m/>
    <n v="6000000"/>
    <m/>
    <d v="2025-03-16T00:00:00"/>
    <d v="2026-03-15T00:00:00"/>
    <x v="1"/>
    <m/>
    <d v="2025-12-24T00:00:00"/>
    <n v="81"/>
    <n v="3"/>
    <n v="2026"/>
    <s v="3243/SPP/SBU/PLNICONPLUS/2024 | 4500022725"/>
    <s v="6058/SPP/SBU/PLNICONPLUS/2025"/>
    <s v="4500024895"/>
    <s v=" Livia Indraswati "/>
    <s v="Yudhi Sukma"/>
    <m/>
    <m/>
    <m/>
    <m/>
    <m/>
    <m/>
    <m/>
    <m/>
    <m/>
    <n v="133"/>
    <m/>
  </r>
  <r>
    <n v="2239"/>
    <s v="Telkom Data Ekosistem"/>
    <s v="PT Bank Pembangunan Derah Kalimantan Timur"/>
    <s v="German Centre Building 3rd and 5th floor Jl. Kapt. Subijanto DJ Bumi Serpong Damai"/>
    <x v="4"/>
    <m/>
    <s v="Gedung Sigma Lt. 6 Wing Timur Rack TDE4A2200355 - DC SERPONG 6EAS0002-039. PT. Kaltimra"/>
    <s v="Sewa Tahunan"/>
    <s v="Cross Connect"/>
    <s v="A311302000013"/>
    <m/>
    <m/>
    <s v="INTERNET IIX (Domestic Only IIX)"/>
    <m/>
    <n v="6900000"/>
    <n v="60000000"/>
    <m/>
    <n v="3000000"/>
    <n v="6000000"/>
    <m/>
    <d v="2025-02-04T00:00:00"/>
    <d v="2026-02-03T00:00:00"/>
    <x v="1"/>
    <m/>
    <d v="2025-12-24T00:00:00"/>
    <n v="41"/>
    <n v="2"/>
    <n v="2026"/>
    <s v="baru"/>
    <s v="5851/SPP/SBU/PLNICONPLUS/2025"/>
    <s v="4500024661"/>
    <s v=" Livia Indraswati "/>
    <s v="Yudhi Sukma"/>
    <m/>
    <m/>
    <m/>
    <m/>
    <m/>
    <m/>
    <m/>
    <m/>
    <m/>
    <n v="134"/>
    <m/>
  </r>
  <r>
    <n v="2240"/>
    <s v="Telkom Data Ekosistem"/>
    <s v="PT Kereta Commuter Indonesia"/>
    <s v="German Centre Building 3rd and 5th floor Jl. Kapt. Subijanto DJ Bumi Serpong Damai"/>
    <x v="2"/>
    <m/>
    <s v="DC TELKOMSIGMA SENTUL"/>
    <s v="Sewa Tahunan"/>
    <s v="Cross Connect"/>
    <s v="A121202001424 "/>
    <m/>
    <m/>
    <s v="Metronet"/>
    <s v="200 Mbps"/>
    <m/>
    <n v="180000000"/>
    <m/>
    <m/>
    <n v="7200000"/>
    <m/>
    <d v="2025-01-17T00:00:00"/>
    <d v="2026-01-16T00:00:00"/>
    <x v="1"/>
    <m/>
    <d v="2025-12-24T00:00:00"/>
    <n v="23"/>
    <n v="1"/>
    <n v="2026"/>
    <n v="4500019908"/>
    <s v="6120/SPP/SBU/PLNICONPLUS/2025"/>
    <s v="4500025083"/>
    <s v=" Livia Indraswati "/>
    <s v="Yudhi Sukma"/>
    <m/>
    <m/>
    <m/>
    <m/>
    <m/>
    <m/>
    <m/>
    <m/>
    <m/>
    <n v="135"/>
    <m/>
  </r>
  <r>
    <n v="2241"/>
    <s v="Telkom Data Ekosistem"/>
    <s v="PT Bank Victoria International"/>
    <s v="German Centre Building 3rd and 5th floor Jl. Kapt. Subijanto DJ Bumi Serpong Damai"/>
    <x v="4"/>
    <m/>
    <s v="Ruang Server DC BSD Lt.6 Wing Timur"/>
    <s v="Sewa Tahunan"/>
    <s v="Cross Connect"/>
    <s v="AL/2202/42517"/>
    <m/>
    <m/>
    <s v="Internet Corporate "/>
    <s v="15 Mbps"/>
    <m/>
    <n v="36000000"/>
    <m/>
    <m/>
    <n v="6000000"/>
    <m/>
    <d v="2025-02-14T00:00:00"/>
    <d v="2026-02-13T00:00:00"/>
    <x v="1"/>
    <m/>
    <d v="2025-12-24T00:00:00"/>
    <n v="51"/>
    <n v="2"/>
    <n v="2026"/>
    <s v="3244/SPP/SBU/PLNICONPLUS/2024 | 4500023002"/>
    <s v="6040/SPP/SBU/PLNICONPLUS/2025"/>
    <s v="4500024893"/>
    <s v=" Livia Indraswati "/>
    <s v="Yudhi Sukma"/>
    <m/>
    <m/>
    <m/>
    <m/>
    <m/>
    <m/>
    <m/>
    <m/>
    <m/>
    <n v="136"/>
    <m/>
  </r>
  <r>
    <n v="2242"/>
    <s v="Telkom Data Ekosistem"/>
    <s v="PT Bank HSBC Indonesia"/>
    <s v="German Centre Building 3rd and 5th floor Jl. Kapt. Subijanto DJ Bumi Serpong Damai"/>
    <x v="1"/>
    <s v="WTC,HSBC LANTAI 5 JL. JENDERAL SUDIRMAN KAV. 29-31 JAKARTA,- ,- ,- ,INDONESIA "/>
    <s v="GRAHA TELKOM SIGMA D/H GERMAN CENTRE, LANTAI 5 SISI TIMUR, JL. KAPT. SUBIJANTO DJ. BUMI SERPONG DAMAI TANGERANG 15321, INDONESIA,- ,- ,- ,INDONESIA ,-"/>
    <s v="Sewa Tahunan"/>
    <s v="Cross Connect"/>
    <s v="AL/2201/6674"/>
    <n v="110120202242"/>
    <m/>
    <s v="Metronet"/>
    <s v="30 Mbps"/>
    <m/>
    <n v="194400000"/>
    <m/>
    <m/>
    <n v="6000000"/>
    <m/>
    <d v="2025-03-09T00:00:00"/>
    <d v="2026-03-08T00:00:00"/>
    <x v="1"/>
    <m/>
    <d v="2025-12-24T00:00:00"/>
    <n v="74"/>
    <n v="3"/>
    <n v="2026"/>
    <s v="3133/SPP/SBU/PLNICONPLUS/2024 | 4500022575"/>
    <s v="6644/SPP/SBU/PLNICONPLUS/2025"/>
    <s v="4500025176"/>
    <s v=" Livia Indraswati "/>
    <s v="Yudhi Sukma"/>
    <m/>
    <m/>
    <m/>
    <m/>
    <m/>
    <m/>
    <m/>
    <m/>
    <m/>
    <n v="137"/>
    <m/>
  </r>
  <r>
    <n v="2243"/>
    <s v="Telkom Data Ekosistem"/>
    <s v="PT Milenial Inti Telekomunikasi"/>
    <s v="German Centre Building 3rd and 5th floor Jl. Kapt. Subijanto DJ Bumi Serpong Damai"/>
    <x v="1"/>
    <s v="IDC DUREN TIGA, JL. DUREN TIGA RAYA NO.7 9, RT.9/RW.5, DUREN TIGA, KEC. PANCORAN, KOTA JAKARTA SELATAN"/>
    <s v="BTN DC SENTUL, JL. IR. JUANDA F07, SENTUL CITY BABAKAN MADANG, BOGOR"/>
    <s v="Sewa Tahunan"/>
    <s v="Cross Connect"/>
    <s v="A111202004460"/>
    <m/>
    <m/>
    <s v="Metronet"/>
    <s v="100 Mbps"/>
    <m/>
    <n v="43800000"/>
    <m/>
    <m/>
    <n v="6000000"/>
    <m/>
    <d v="2025-05-17T00:00:00"/>
    <d v="2026-05-16T00:00:00"/>
    <x v="1"/>
    <m/>
    <d v="2025-12-24T00:00:00"/>
    <n v="143"/>
    <n v="5"/>
    <n v="2026"/>
    <n v="4500022869"/>
    <s v="6737/SPP/SBU/PLNICONPLUS/2025"/>
    <s v="4500025177"/>
    <s v=" Livia Indraswati "/>
    <s v="Yudhi Sukma"/>
    <m/>
    <m/>
    <m/>
    <m/>
    <m/>
    <m/>
    <m/>
    <m/>
    <m/>
    <n v="138"/>
    <m/>
  </r>
  <r>
    <n v="2244"/>
    <s v="Telkom Data Ekosistem"/>
    <s v="PT Pasifik Satelit Nusantara"/>
    <s v="German Centre Building 3rd and 5th floor Jl. Kapt. Subijanto DJ Bumi Serpong Damai"/>
    <x v="1"/>
    <s v="PSN MEGA KUNINGAN ,5TH FLOOR GED. KANTOR TAMAN A9 UNIT C3 &amp; C4JL. MEGA KUNINGAN RAYA LOT. 8/9 NO.9 JAKARTA"/>
    <s v="DC GRAHA TELKOMSIGMA/GERMAN CENTER BSD, JALAN ARTERI GOLF, PAKULONAN BARAT, SERPONG UTARA,"/>
    <s v="Sewa Tahunan"/>
    <s v="Cross Connect"/>
    <s v="PA/ACT/2110/2788"/>
    <m/>
    <m/>
    <s v="Metronet"/>
    <s v="50 Mbps"/>
    <m/>
    <n v="85800000"/>
    <m/>
    <m/>
    <n v="12000000"/>
    <m/>
    <d v="2024-11-22T00:00:00"/>
    <d v="2026-11-21T00:00:00"/>
    <x v="1"/>
    <m/>
    <d v="2025-12-24T00:00:00"/>
    <n v="332"/>
    <n v="11"/>
    <n v="2026"/>
    <s v="3136/SPP/SBU/PLNICONPLUS/2024 | 4500022576"/>
    <s v="6738/SPP/SBU/PLNICONPLUS/2025"/>
    <s v="4500025178"/>
    <s v=" Livia Indraswati "/>
    <s v="Yudhi Sukma"/>
    <m/>
    <m/>
    <m/>
    <m/>
    <m/>
    <m/>
    <m/>
    <m/>
    <m/>
    <n v="139"/>
    <m/>
  </r>
  <r>
    <n v="2245"/>
    <s v="Telkom Data Ekosistem"/>
    <s v="PT Mitra Visioner Pratama"/>
    <s v="German Centre Building 3rd and 5th floor Jl. Kapt. Subijanto DJ Bumi Serpong Damai"/>
    <x v="4"/>
    <m/>
    <s v="PT. Kliring Penjaminan Efek Indonesia, Site Mvnet German Centre, Jl. Arteri Golf, Pakulonan Barat, Serpong Utara, Lengkong Gudang, Tangerang Selatan, Banten"/>
    <s v="Sewa Tahunan"/>
    <s v="Cross Connect"/>
    <m/>
    <s v="110120521055 / 01000096788"/>
    <m/>
    <s v="IPVPN"/>
    <s v="85 Mbps"/>
    <m/>
    <n v="50400000"/>
    <m/>
    <m/>
    <n v="12000000"/>
    <m/>
    <d v="2025-02-03T00:00:00"/>
    <d v="2026-02-02T00:00:00"/>
    <x v="1"/>
    <m/>
    <d v="2025-12-24T00:00:00"/>
    <n v="40"/>
    <n v="2"/>
    <n v="2026"/>
    <s v="3150/SPP/SBU/PLNICONPLUS/2024 | 4500022659"/>
    <s v="6194/SPP/SBU/PLNICONPLUS/2025"/>
    <s v="4500024904"/>
    <s v=" Livia Indraswati "/>
    <s v="Yudhi Sukma"/>
    <m/>
    <m/>
    <m/>
    <m/>
    <m/>
    <m/>
    <m/>
    <m/>
    <m/>
    <n v="140"/>
    <m/>
  </r>
  <r>
    <n v="2246"/>
    <s v="Telkom Data Ekosistem"/>
    <s v="PT Bank Rakyat Indonesia"/>
    <s v="German Centre Building 3rd and 5th floor Jl. Kapt. Subijanto DJ Bumi Serpong Damai"/>
    <x v="1"/>
    <m/>
    <s v="DC MAIN BRI SIGMA SENTUL UKER JL. CIJAYANTI, KEC. BABAKAN MADANG, KABUPATEN BOGOR, JAWA BARAT 16810"/>
    <s v="Sewa Tahunan"/>
    <s v="Cross Connect"/>
    <s v="A821205000074"/>
    <m/>
    <m/>
    <s v="IPVPN"/>
    <s v="200 Mbps"/>
    <m/>
    <n v="254054052"/>
    <m/>
    <m/>
    <n v="24000000"/>
    <m/>
    <d v="2024-08-22T00:00:00"/>
    <d v="2026-08-21T00:00:00"/>
    <x v="1"/>
    <m/>
    <d v="2025-12-24T00:00:00"/>
    <n v="240"/>
    <n v="8"/>
    <n v="2026"/>
    <n v="4500021196"/>
    <s v="6063/SPP/SBU/PLNICONPLUS/2025"/>
    <s v="4500024896"/>
    <s v=" Livia Indraswati "/>
    <s v="Yudhi Sukma"/>
    <m/>
    <m/>
    <m/>
    <m/>
    <m/>
    <m/>
    <m/>
    <m/>
    <m/>
    <n v="141"/>
    <m/>
  </r>
  <r>
    <n v="2247"/>
    <s v="Infrastruktur Cakrawala Telekomunikasi"/>
    <s v="PT Kao Indonesia"/>
    <s v="German Centre Building 3rd and 5th floor Jl. Kapt. Subijanto DJ Bumi Serpong Damai"/>
    <x v="3"/>
    <m/>
    <s v="Kawasan industri jababeka "/>
    <s v="Sewa Tahunan"/>
    <s v="Cross Connect"/>
    <s v="U111303005594"/>
    <s v="120130300680"/>
    <m/>
    <s v="Metronet"/>
    <s v="80 Mbps"/>
    <m/>
    <n v="156000000"/>
    <m/>
    <m/>
    <n v="38450616"/>
    <m/>
    <d v="2025-03-03T00:00:00"/>
    <d v="2025-12-31T00:00:00"/>
    <x v="1"/>
    <m/>
    <d v="2025-12-24T00:00:00"/>
    <n v="7"/>
    <n v="12"/>
    <n v="2025"/>
    <m/>
    <s v="6033/SPP/SBU/PLNICONPLUS/2025"/>
    <s v="4500024730"/>
    <s v="Syifa Fauziyah"/>
    <s v="Anjar"/>
    <m/>
    <m/>
    <m/>
    <m/>
    <m/>
    <m/>
    <m/>
    <m/>
    <s v="H15"/>
    <m/>
    <m/>
  </r>
  <r>
    <n v="2248"/>
    <s v="Infrastruktur Cakrawala Telekomunikasi"/>
    <s v="PT Jaya Refrigeration Equipment"/>
    <s v="Jababeka"/>
    <x v="3"/>
    <m/>
    <s v="Kawasan industri jababeka tahap 7 kav A 3A"/>
    <s v="Sewa Tahunan"/>
    <s v="Cross Connect"/>
    <s v="A111303005380"/>
    <s v="111303014647"/>
    <m/>
    <s v="Metronet"/>
    <s v="50 Mbps"/>
    <n v="3000000"/>
    <n v="81000000"/>
    <m/>
    <m/>
    <n v="20528014"/>
    <m/>
    <d v="2025-04-29T00:00:00"/>
    <d v="2025-12-31T00:00:00"/>
    <x v="1"/>
    <m/>
    <d v="2025-12-24T00:00:00"/>
    <n v="7"/>
    <n v="12"/>
    <n v="2025"/>
    <m/>
    <s v="5996/SPP/SBU/PLNICONPLUS/2025"/>
    <s v="4500024717"/>
    <s v="Syifa Fauziyah"/>
    <s v="Anjar"/>
    <m/>
    <m/>
    <m/>
    <m/>
    <m/>
    <m/>
    <m/>
    <m/>
    <s v="H14"/>
    <m/>
    <m/>
  </r>
  <r>
    <n v="2249"/>
    <s v="Infrastruktur Cakrawala Telekomunikasi"/>
    <s v="PT Jaya Refrigeration Equipment"/>
    <s v="Jababeka"/>
    <x v="3"/>
    <s v="Jl. Jababeka X-B No. 2 Wangunharja"/>
    <s v="Kawasan industri jababeka tahap 7 kav A 3A"/>
    <s v="Sewa Tahunan"/>
    <s v="Cross Connect"/>
    <s v="A111202021926"/>
    <s v="111202021926"/>
    <m/>
    <s v="Metronet"/>
    <s v="20 Mbps"/>
    <n v="3000000"/>
    <n v="39000000"/>
    <m/>
    <m/>
    <n v="11750892"/>
    <m/>
    <d v="2025-04-29T00:00:00"/>
    <d v="2025-12-31T00:00:00"/>
    <x v="1"/>
    <m/>
    <d v="2025-12-24T00:00:00"/>
    <n v="7"/>
    <n v="12"/>
    <n v="2025"/>
    <m/>
    <s v="5995/SPP/SBU/PLNICONPLUS/2025"/>
    <s v="4500024716"/>
    <s v="Syifa Fauziyah"/>
    <s v="Anjar"/>
    <m/>
    <m/>
    <m/>
    <m/>
    <m/>
    <m/>
    <m/>
    <m/>
    <s v="H13"/>
    <m/>
    <m/>
  </r>
  <r>
    <n v="2250"/>
    <s v="Samadista Karya"/>
    <s v="PT. TOYOTA ASTRA FINANCIAL SERVICES"/>
    <s v="Jababeka"/>
    <x v="3"/>
    <m/>
    <s v="Menara FIF, lantai 1st on Jalan TB Simatupang kav.15 Cilandak Barat Jakarta 12430 (DRC)-(relokasi ruang server), Cilandak, Jakarta Selatan, DKI Jakarta, Indonesia."/>
    <s v="Sewa Tahunan"/>
    <s v="Colocation"/>
    <m/>
    <s v="110120205980 / 0990000320285765"/>
    <m/>
    <s v="Metronet"/>
    <s v="100 Mbps"/>
    <m/>
    <n v="60000000"/>
    <m/>
    <m/>
    <n v="57750000"/>
    <m/>
    <d v="2025-01-01T00:00:00"/>
    <d v="2025-12-31T00:00:00"/>
    <x v="1"/>
    <m/>
    <d v="2025-12-24T00:00:00"/>
    <n v="7"/>
    <n v="12"/>
    <n v="2025"/>
    <s v="2463/SPP/SBU/ICON+/2024 | 4500023005"/>
    <s v="6117/SPP/SBU/PLNICONPLUS/2025"/>
    <s v="4500025021"/>
    <s v="Fajar Paramita"/>
    <m/>
    <m/>
    <m/>
    <m/>
    <m/>
    <m/>
    <m/>
    <m/>
    <m/>
    <m/>
    <n v="129"/>
    <m/>
  </r>
  <r>
    <n v="2251"/>
    <s v="Perhimpunan Penghuni Menara Kadin"/>
    <s v="PT Bukit Asam"/>
    <s v="Jl Tb Simatupang RT 004 RW 001 KAV.15 Jakarta Selatan"/>
    <x v="1"/>
    <s v="PARIGI NO.01, KECAMATAN TANJUNG ENIM, KABUPATEN MUARA ENIM, SUMATERA SELATAN, INDONESIA"/>
    <s v="MENARA KADIN LANTAI 9, JL. HR. RASUNA SAID BLOK X-5 KAV. 2-3 JAKARTA,KECAMATAN SETIABUDI"/>
    <s v="Sewa Tahunan"/>
    <s v="Colocation"/>
    <m/>
    <s v="1. 111202017258 / 01000354171_x000a_2. 111303010457 / 04000354167"/>
    <m/>
    <s v="Metronet"/>
    <s v="20 Mbps"/>
    <m/>
    <n v="143616000"/>
    <m/>
    <m/>
    <n v="26796000"/>
    <m/>
    <d v="2025-04-05T00:00:00"/>
    <d v="2026-04-04T00:00:00"/>
    <x v="1"/>
    <m/>
    <d v="2025-12-24T00:00:00"/>
    <n v="101"/>
    <n v="4"/>
    <n v="2026"/>
    <s v="3368/SPP/SBU/PLNICONPLUS/2024 | 4500023017"/>
    <s v="6489/SPP/SBU/PLNICONPLUS/2025"/>
    <s v="4500025028"/>
    <s v="Fajar Paramita"/>
    <m/>
    <m/>
    <m/>
    <m/>
    <m/>
    <m/>
    <m/>
    <m/>
    <m/>
    <m/>
    <n v="130"/>
    <m/>
  </r>
  <r>
    <n v="2252"/>
    <s v="Perhimpunan Penghuni Menara Batavia"/>
    <s v="PT Indo Bharat Rayon"/>
    <s v="Jl. H.R. Rasuna Said Kav.2-3 Jakarta 00000"/>
    <x v="3"/>
    <m/>
    <s v="JL. K.H. MAS MANSYUR NO.KAV. 126, KARET TENGSIN, KECAMATAN TANAH ABANG, KOTA JAKARTA PUSAT, DAERAH KHUSUS IBUKOTA JAKARTA 10250"/>
    <s v="Sewa Tahunan"/>
    <s v="Colocation"/>
    <s v="A121202000426"/>
    <m/>
    <m/>
    <s v="Metronet"/>
    <s v="15 Mbps"/>
    <m/>
    <n v="26400000"/>
    <m/>
    <m/>
    <n v="5500000"/>
    <m/>
    <d v="2025-01-01T00:00:00"/>
    <d v="2025-12-31T00:00:00"/>
    <x v="1"/>
    <m/>
    <d v="2025-12-24T00:00:00"/>
    <n v="7"/>
    <n v="12"/>
    <n v="2025"/>
    <s v="2669/SPP/SBU/ICON+/2024 | 4500022312"/>
    <s v="6306/SPP/SBU/PLNICONPLUS/2025"/>
    <s v="4500024952"/>
    <s v="Fajar Paramita"/>
    <s v="Arief N (Building Manager)"/>
    <m/>
    <m/>
    <m/>
    <m/>
    <m/>
    <m/>
    <m/>
    <m/>
    <m/>
    <n v="94"/>
    <m/>
  </r>
  <r>
    <n v="2253"/>
    <s v="Asosiasi Penyelenggara Jasa Internet Indonesia (APJII)"/>
    <s v="PT Netciti Persada_x000a_PT Primacom Interbuana"/>
    <s v="Gedung Cyber Lt.11 Jl. Kuningan Barat No.8 Kuningan Barat Jakarta"/>
    <x v="1"/>
    <m/>
    <s v="Cyber APJII, Jalan Kuningan Barat, Mampang, Jakarta Selatan"/>
    <s v="Sewa Tahunan"/>
    <s v="Colocation"/>
    <s v="AR/ACT/2107/19272_x000a_110120208839 / 01000159405"/>
    <m/>
    <m/>
    <s v="Metronet"/>
    <m/>
    <m/>
    <n v="231000000"/>
    <m/>
    <m/>
    <n v="12000000"/>
    <m/>
    <d v="2025-05-15T00:00:00"/>
    <d v="2026-05-14T00:00:00"/>
    <x v="1"/>
    <m/>
    <d v="2025-12-24T00:00:00"/>
    <n v="141"/>
    <n v="5"/>
    <n v="2026"/>
    <n v="4500022601"/>
    <s v="6496/SPP/SBU/PLNICONPLUS/2025"/>
    <s v="4500024990"/>
    <s v="Fajar Paramita"/>
    <s v="Fatmah"/>
    <m/>
    <m/>
    <m/>
    <m/>
    <m/>
    <m/>
    <m/>
    <m/>
    <m/>
    <n v="93"/>
    <m/>
  </r>
  <r>
    <n v="2254"/>
    <s v="Cakrawala Tirta Buana"/>
    <s v="PT Pegadaian (persero)"/>
    <s v="Gedung Cyber Lt.11 Jl. Kuningan Barat No.8 Kuningan Barat Jakarta"/>
    <x v="1"/>
    <m/>
    <s v="Tanah abang Blok A lantai SLG Los F No. 93-95 Kec.Tanah Abang "/>
    <s v="Sewa Tahunan"/>
    <s v="Colocation"/>
    <s v="A811401000667"/>
    <m/>
    <m/>
    <s v="INTERNET CORPORATE"/>
    <s v="10 Mbps"/>
    <n v="165000000"/>
    <n v="489000000"/>
    <m/>
    <n v="330000"/>
    <n v="24000000"/>
    <m/>
    <d v="2025-07-28T00:00:00"/>
    <d v="2026-07-27T00:00:00"/>
    <x v="1"/>
    <m/>
    <d v="2025-07-18T00:00:00"/>
    <n v="374"/>
    <n v="7"/>
    <n v="2026"/>
    <m/>
    <s v="6863/SPP/SBU/PLNICONPLUS/2025"/>
    <s v="4500025301"/>
    <s v="Syifa Fauziyah"/>
    <s v="Ismail"/>
    <m/>
    <m/>
    <m/>
    <m/>
    <m/>
    <m/>
    <m/>
    <m/>
    <m/>
    <n v="108"/>
    <m/>
  </r>
  <r>
    <n v="2255"/>
    <s v="Link Net"/>
    <s v="Garuda Nusantara Steel "/>
    <s v="tanah abang Blok A Lt. 12"/>
    <x v="1"/>
    <m/>
    <s v="Kawasan Pergudangan Marunda Center Blok I 10, Sagara Makmur, Bekasi Utara Kabupaten Bekasi, Jawa Barat 17211"/>
    <s v="Sewa Bulanan"/>
    <s v="Interkoneksi"/>
    <s v="PA/ACT/2303/1608"/>
    <n v="10003544685"/>
    <s v="99,50%"/>
    <s v="IPVPN"/>
    <s v="5 Mbps"/>
    <m/>
    <n v="72000000"/>
    <m/>
    <m/>
    <n v="54000000"/>
    <m/>
    <d v="2025-05-24T00:00:00"/>
    <d v="2026-05-23T00:00:00"/>
    <x v="1"/>
    <m/>
    <d v="2025-12-24T00:00:00"/>
    <n v="150"/>
    <n v="5"/>
    <n v="2026"/>
    <s v="2506/SPP/SBU/ICON+/2024 | 4500022211"/>
    <s v="6332/SPP/SBU/PLNICONPLUS/2025"/>
    <s v="4500025014"/>
    <s v="Renata Simanjuntak"/>
    <s v="Bunga"/>
    <m/>
    <m/>
    <m/>
    <m/>
    <m/>
    <m/>
    <m/>
    <m/>
    <m/>
    <n v="37"/>
    <m/>
  </r>
  <r>
    <n v="2256"/>
    <s v="Cablenet Fiber Data"/>
    <s v="PT Bank Negara Indonesia"/>
    <s v="Jl Simprug Garden 1 Blok W No.11 RT.07/RW.03, Grogol Selatan, Kebayoran Lama, Jakarta Selatan, DKI Jakarta, 12220"/>
    <x v="1"/>
    <s v="-"/>
    <s v="Menara Standard Chartered Jl. Prof. DR. Satrio No.164, RT.3/RW.4, Karet Semanggi, Kecamatan Setiabudi, Kota Jakarta Selatan, Daerah Khusus Ibukota Jakarta, 12930"/>
    <s v="Sewa Bulanan"/>
    <s v="Interkoneksi"/>
    <s v="A821202000999"/>
    <s v="111202018803"/>
    <n v="0.995"/>
    <s v="Metronet"/>
    <s v="100 Mbps"/>
    <m/>
    <n v="540000000"/>
    <m/>
    <m/>
    <n v="54000000"/>
    <m/>
    <d v="2025-03-14T00:00:00"/>
    <d v="2026-03-13T00:00:00"/>
    <x v="1"/>
    <m/>
    <d v="2025-12-24T00:00:00"/>
    <n v="79"/>
    <n v="3"/>
    <n v="2026"/>
    <s v="2913/SPP/SBU/ICON+/2024 | 4500022415"/>
    <s v="6014/SPP/SBU/PLNICONPLUS/2025"/>
    <s v="4500024845"/>
    <s v="Syifa Artianingsih"/>
    <s v="Cindy Pratiwi"/>
    <s v="0857-2207-8712"/>
    <m/>
    <m/>
    <m/>
    <m/>
    <m/>
    <m/>
    <m/>
    <m/>
    <n v="25"/>
    <m/>
  </r>
  <r>
    <n v="2257"/>
    <s v="Cablenet Fiber Data"/>
    <s v="PT Mastersystem Infotama Gedung RDTX"/>
    <s v="Jl Simprug Garden 1 Blok W No.11 RT.07/RW.03, Grogol Selatan, Kebayoran Lama, Jakarta Selatan, DKI Jakarta, 12220"/>
    <x v="1"/>
    <m/>
    <s v="Gedung RDTX Place Lt.17, Jl. Prof. Dr. Satrio Kav. E-lv No.6, Jalan Kuningan Tim, Kecamatan Setiabudi, Kota Jakarta Selatan, Kota Jakarta Selatan, Daerah Khusus Ibukota Jakarta 12950"/>
    <s v="Sewa Bulanan"/>
    <s v="Interkoneksi "/>
    <s v="A811303000059"/>
    <s v="111303010622"/>
    <s v="99,50%"/>
    <s v="Internet Corporate "/>
    <s v="100 Mbps"/>
    <m/>
    <n v="130377600"/>
    <m/>
    <m/>
    <n v="54000000"/>
    <m/>
    <d v="2025-06-19T00:00:00"/>
    <d v="2026-05-31T00:00:00"/>
    <x v="1"/>
    <m/>
    <d v="2025-12-24T00:00:00"/>
    <n v="346"/>
    <n v="5"/>
    <n v="2026"/>
    <n v="4500025159"/>
    <s v="6621/SPP/SBU/PLNICONPLUS/2025"/>
    <s v="4500025159"/>
    <s v="Renata Simanjuntak"/>
    <s v="Cindy Pratiwi"/>
    <s v="0857-2207-8712"/>
    <m/>
    <m/>
    <m/>
    <m/>
    <m/>
    <m/>
    <m/>
    <m/>
    <n v="90"/>
    <m/>
  </r>
  <r>
    <n v="2258"/>
    <s v="Hipernet Indodata "/>
    <s v="PT Prodia Widyahusada"/>
    <s v="Jl Simprug Garden 1 Blok W No.11 RT.07/RW.03, Grogol Selatan, Kebayoran Lama, Jakarta Selatan, DKI Jakarta, 12220"/>
    <x v="1"/>
    <m/>
    <s v="Gd. Prodia Tower, Jl. Kramat Raya No. 150, Jakarta,KANTOR PUSAT JAKARTA ,Jakarta Pusat ,DKI Jakarta ,Indonesia ,   (Link Backup)"/>
    <s v="Sewa Bulanan"/>
    <s v="Interkoneksi"/>
    <s v="PA/ACT/1911/0379"/>
    <s v="01000089398"/>
    <n v="0.995"/>
    <s v="IPVPN"/>
    <s v="50 Mbps"/>
    <m/>
    <n v="0"/>
    <m/>
    <m/>
    <n v="48000000"/>
    <m/>
    <d v="2025-03-10T00:00:00"/>
    <d v="2026-03-09T00:00:00"/>
    <x v="1"/>
    <m/>
    <d v="2025-12-24T00:00:00"/>
    <n v="75"/>
    <n v="3"/>
    <n v="2026"/>
    <s v="2899/SPP/SBU/ICON+/2024 | 4500022401"/>
    <s v="6036/SPP/SBU/PLNICONPLUS/2025"/>
    <n v="4500024748"/>
    <s v="Syifa Artianingsih"/>
    <s v="Ibu Diah"/>
    <m/>
    <m/>
    <m/>
    <m/>
    <m/>
    <m/>
    <m/>
    <m/>
    <m/>
    <n v="26"/>
    <m/>
  </r>
  <r>
    <n v="2259"/>
    <s v="Artha Telekomindo"/>
    <s v="Lembaga Penjamin Simpanan"/>
    <s v="Graha Hyper Jl. Makaliwe Raya No. 24 - 24A grogol Petamburan Jakarta 11450"/>
    <x v="0"/>
    <s v="Cyber 1 Via Arthatel"/>
    <s v="LPS Lt.30, Gedung Pacific Centuty Place. Jl Jend Sudirman N0.52-53, Rt.5/Rw.3, Senayan, Kec Kby Baru, Jakarta Selatan, DKI Jakarta, 12190"/>
    <s v="Sewa Bulanan"/>
    <s v="Interkoneksi"/>
    <s v="A811303001385"/>
    <s v="111303014911"/>
    <s v="99,50%"/>
    <s v="Internet Corporate"/>
    <s v="250 Mbps"/>
    <n v="10000000"/>
    <n v="1094970000"/>
    <m/>
    <n v="10000000"/>
    <n v="948000000"/>
    <m/>
    <d v="2025-04-01T00:00:00"/>
    <d v="2025-09-30T00:00:00"/>
    <x v="0"/>
    <m/>
    <d v="2025-12-24T00:00:00"/>
    <n v="-85"/>
    <n v="9"/>
    <n v="2025"/>
    <s v="Baru"/>
    <s v="6252/SPP/SBU/PLNICONPLUS/2025"/>
    <s v="4500024846"/>
    <s v="Syifa Artianingsih"/>
    <s v="Boggy"/>
    <m/>
    <m/>
    <m/>
    <m/>
    <m/>
    <m/>
    <m/>
    <m/>
    <n v="33"/>
    <m/>
    <m/>
  </r>
  <r>
    <n v="2260"/>
    <s v="Victory Network Indonesia"/>
    <s v="PT Solusi Pembayaran Elektronik"/>
    <s v="Jl. Jend.Sudirman 52-53"/>
    <x v="1"/>
    <m/>
    <s v="(HO SPE) Ruko Great Wall, Jl Green Lake City Boulevard No.17-20, Rt.5/Rw.8, Petir, Cipondoh, Kota Tangerang, Banten, 15147"/>
    <s v="Sewa Bulanan"/>
    <s v="Interkoneksi"/>
    <s v="A821401001949"/>
    <s v="111401007961"/>
    <s v="99,50%"/>
    <s v="Internet BB Corporate"/>
    <s v="500 Mbps"/>
    <m/>
    <n v="118200000"/>
    <m/>
    <m/>
    <n v="60000000"/>
    <m/>
    <d v="2025-06-02T00:00:00"/>
    <d v="2026-06-01T00:00:00"/>
    <x v="1"/>
    <m/>
    <d v="2025-12-24T00:00:00"/>
    <n v="159"/>
    <n v="6"/>
    <n v="2026"/>
    <s v="3553/SPP/SBU/PLNICONPLUS/2024 | 4500022847"/>
    <s v="6861/SPP/SBU/PLNICONPLUS/2025"/>
    <s v="4500025345"/>
    <s v="Syifa Artianingsih"/>
    <s v="Ganies"/>
    <m/>
    <m/>
    <m/>
    <m/>
    <m/>
    <m/>
    <m/>
    <m/>
    <m/>
    <n v="165"/>
    <m/>
  </r>
  <r>
    <n v="2261"/>
    <s v="Centrin Online Prima"/>
    <s v="PT GH-EMM Indonesia"/>
    <s v="Graha Matapel, Jl Arjuna Utara No.46, Jakarta Barat 11510"/>
    <x v="4"/>
    <s v="Dusun II Gunung Raja Kel. Rambang Dangku Muara Enim, Sumatera Selatan, Indonesia"/>
    <s v="PT.GH EMM Indonesia, APL Tower 39 floor T1, Jalan Letnan Jendral S. Parman Kav. 28 Jakarta Barat, DKI Jakarta, Indonesia"/>
    <s v="Sewa Bulanan"/>
    <s v="Interkoneksi"/>
    <s v="PA/UPG/2001/0203"/>
    <s v="0990000320336400"/>
    <n v="0.995"/>
    <s v="Metronet"/>
    <s v="50 Mbps"/>
    <m/>
    <n v="262500000"/>
    <m/>
    <m/>
    <n v="93750000"/>
    <m/>
    <d v="2025-06-16T00:00:00"/>
    <d v="2026-01-31T00:00:00"/>
    <x v="1"/>
    <m/>
    <d v="2025-12-24T00:00:00"/>
    <n v="38"/>
    <n v="1"/>
    <n v="2026"/>
    <s v="2909/SPP/SBU/ICON+/2024 |4500022442"/>
    <s v="6638/SPP/SBU/PLNICONPLUS/2025"/>
    <s v="4500025155"/>
    <s v="Syifa Artianingsih"/>
    <s v="Vitasari"/>
    <m/>
    <m/>
    <m/>
    <m/>
    <m/>
    <m/>
    <m/>
    <m/>
    <m/>
    <n v="164"/>
    <m/>
  </r>
  <r>
    <n v="2262"/>
    <s v="Internetwork Komunikasi Indonesia"/>
    <s v="PT Pertamina Hulu Energi"/>
    <s v="Plaza Central Lt. 22 Jl. Jend Sudirman Kav. 47 - 48"/>
    <x v="1"/>
    <m/>
    <s v="PSDC (Node PHE) - Gedung Grha Pertamina, Tower Fastron (Grha), Jalan Medan Merdeka Timur No. 11-12, Jakarta Pusat"/>
    <s v="Sewa Bulanan"/>
    <s v="Interkoneksi"/>
    <s v="A811303000349"/>
    <s v="111303012033"/>
    <s v="99,50%"/>
    <s v="Internet Corporate"/>
    <s v="300 Mbps"/>
    <m/>
    <n v="340200000"/>
    <m/>
    <m/>
    <n v="285000000"/>
    <m/>
    <d v="2025-05-28T00:00:00"/>
    <d v="2026-05-27T00:00:00"/>
    <x v="1"/>
    <m/>
    <d v="2025-12-24T00:00:00"/>
    <n v="154"/>
    <n v="5"/>
    <n v="2026"/>
    <s v="4533/SPP/SBU/PLNICONPLUS/2024 | 4500023633"/>
    <s v="6474/SPP/SBU/PLNICONPLUS/2025"/>
    <s v="4500025005"/>
    <s v="Renata Simanjuntak"/>
    <s v="Thomas"/>
    <m/>
    <m/>
    <m/>
    <m/>
    <m/>
    <m/>
    <m/>
    <m/>
    <m/>
    <n v="38"/>
    <m/>
  </r>
  <r>
    <n v="2263"/>
    <s v="Telkom Indonesia"/>
    <s v="PT Prodia Widyahusada Sudirman"/>
    <s v="Soho Capital Lt. 35 Unit No. 9 Podomoro City, Jalan Jendral . S. Parman 11470"/>
    <x v="1"/>
    <m/>
    <s v="Jl. Jend. Sudirman Blok A  No.11 Babakan, Tangerang, Jawa Barat, Indonesia"/>
    <s v="Sewa Bulanan"/>
    <s v="Interkoneksi"/>
    <s v="PA/ACT/2201/3546"/>
    <s v="01000187282"/>
    <n v="0.98"/>
    <s v="IPVPN"/>
    <s v="4 Mbps"/>
    <m/>
    <n v="25200000"/>
    <m/>
    <m/>
    <n v="43920000"/>
    <m/>
    <d v="2025-06-08T00:00:00"/>
    <d v="2026-06-07T00:00:00"/>
    <x v="1"/>
    <m/>
    <d v="2025-12-24T00:00:00"/>
    <n v="165"/>
    <n v="6"/>
    <n v="2026"/>
    <s v="3395/SPP/SBU/PLNICONPLUS/2024 | 4500022845"/>
    <s v="6784/SPP/SBU/PLNICONPLUS/2025"/>
    <n v="4500025200"/>
    <s v="Syifa Artianingsih"/>
    <s v="Rosdiana"/>
    <s v="0813-6147-5293"/>
    <m/>
    <m/>
    <m/>
    <m/>
    <m/>
    <m/>
    <m/>
    <m/>
    <n v="209"/>
    <m/>
  </r>
  <r>
    <n v="2264"/>
    <s v="Mora Telematika Indonesia"/>
    <s v="PT Pegadaian Pesero ITC Kuningan"/>
    <s v="Jl. Yos Sudarso Kav 23-24 Jakarta Utara"/>
    <x v="1"/>
    <m/>
    <s v="UPC ITC Kuningan - Jl. Prof. Dr. Satrio Kav 10 Setia Budi RT.1 Kel. Karet, Kec. Setia Budi "/>
    <s v="Sewa Bulanan"/>
    <s v="Interkoneksi "/>
    <s v="A811401000655"/>
    <s v="111401009367"/>
    <s v="99,5%"/>
    <s v="Internet BB Corporate"/>
    <s v="10 Mbps"/>
    <n v="5500000"/>
    <n v="10800000"/>
    <m/>
    <n v="5000000"/>
    <n v="48000000"/>
    <m/>
    <d v="2025-06-05T00:00:00"/>
    <d v="2026-06-04T00:00:00"/>
    <x v="1"/>
    <m/>
    <d v="2025-12-24T00:00:00"/>
    <n v="162"/>
    <n v="6"/>
    <n v="2026"/>
    <m/>
    <s v="Baru"/>
    <s v="4500025465"/>
    <s v="Renata Simanjuntak"/>
    <s v="Alwin Ghifari"/>
    <m/>
    <m/>
    <m/>
    <m/>
    <m/>
    <m/>
    <m/>
    <m/>
    <m/>
    <n v="174"/>
    <m/>
  </r>
  <r>
    <n v="2265"/>
    <s v="Fastel Sarana Indonesia"/>
    <s v="PT Djarum"/>
    <s v="Grha 9, 6th Floor, Jalan Panataran No.9 Proklamasi, Jakarta Pusat 10320, Indonesia"/>
    <x v="1"/>
    <s v="Jl AIPDA KS.TUBUN 2C/57 Jakarta,-Indonesia."/>
    <s v="Sopo Del Tower B Jl. Mega Kuningan Barat III, Lot 10. 1-6 Kawasan Mega Kuningan. Jakarta 12950"/>
    <s v="Sewa Bulanan"/>
    <s v="Interkoneksi"/>
    <s v="U111202004363"/>
    <s v="111202017451/01000358111"/>
    <n v="0.995"/>
    <s v="QinQ Metro Ethernet"/>
    <s v="100 Mbps"/>
    <m/>
    <n v="278400000"/>
    <m/>
    <m/>
    <n v="276000000"/>
    <m/>
    <d v="2025-07-01T00:00:00"/>
    <d v="2026-06-30T00:00:00"/>
    <x v="1"/>
    <m/>
    <d v="2025-12-24T00:00:00"/>
    <n v="188"/>
    <n v="6"/>
    <n v="2026"/>
    <s v="3704/SPP/SBU/PLNICONPLUS/2024 | 4500023060"/>
    <s v="_x0009_6702/SPP/SBU/PLNICONPLUS/2025"/>
    <s v="4500025156"/>
    <s v="Syifa Artianingsih"/>
    <s v="Vensca"/>
    <s v="0852-8083-2323"/>
    <m/>
    <m/>
    <m/>
    <m/>
    <m/>
    <m/>
    <m/>
    <m/>
    <n v="208"/>
    <m/>
  </r>
  <r>
    <n v="2266"/>
    <s v="Mora Telematika Indonesia"/>
    <s v="PT Pegadaian Persero itc Fatmawati"/>
    <s v="Gedung TCC Batavia Tower One Lt 16 Jl. KH Mas Mansyur Kav 126 Jakarta Pusat 10220"/>
    <x v="1"/>
    <m/>
    <s v="UPC ITC Fatmawati-Jl. RS Fatmawati Lt.1 No.41 RT.1 Kel. Cipete Selatan, Kec. Cilandak, Kab/Kota Jakarta Selatan Prov. DKI Jakarta"/>
    <s v="Sewa Bulanan"/>
    <s v="Interkoneksi "/>
    <s v="A811401000655"/>
    <s v="111401009361"/>
    <s v="99,5%"/>
    <s v="Internet Broadband"/>
    <s v="10 Mbps"/>
    <n v="5500000"/>
    <n v="10800000"/>
    <m/>
    <n v="5000000"/>
    <n v="48000000"/>
    <m/>
    <d v="2025-06-05T00:00:00"/>
    <d v="2026-06-04T00:00:00"/>
    <x v="1"/>
    <m/>
    <d v="2025-12-24T00:00:00"/>
    <n v="162"/>
    <n v="6"/>
    <n v="2026"/>
    <s v="Baru"/>
    <s v="6767/SPP/SBU/PLNICONPLUS/2025"/>
    <s v="4500025467"/>
    <s v="Renata Simanjuntak"/>
    <s v="Alwin Ghifari"/>
    <m/>
    <m/>
    <m/>
    <m/>
    <m/>
    <m/>
    <m/>
    <m/>
    <m/>
    <n v="173"/>
    <m/>
  </r>
  <r>
    <n v="2267"/>
    <s v="PC 24 Telekomunikasi Indonesia"/>
    <s v="Bank Sinarmas (Kemenag Bekasi)"/>
    <s v="Grha 9, 6th Floor, Jalan Panataran No.9 Proklamasi, Jakarta Pusat 10320, Indonesia"/>
    <x v="1"/>
    <m/>
    <s v="(Kemenag-Bekasi) Kemenag Kabupaten Bekasi Komplek Perkantoran Pemda Blok E-3 Kel Sukamahi Kec.Cikarang Pusat, Kab Bekasi Jawa Barat"/>
    <s v="Sewa Bulanan"/>
    <s v="Interkoneksi"/>
    <s v="A821205000532"/>
    <s v="111205024701"/>
    <n v="0.995"/>
    <s v="IPVPN"/>
    <s v="1 Mbps"/>
    <m/>
    <n v="10606728"/>
    <m/>
    <m/>
    <n v="24000000"/>
    <m/>
    <d v="2025-06-28T00:00:00"/>
    <d v="2026-06-27T00:00:00"/>
    <x v="1"/>
    <m/>
    <d v="2025-12-24T00:00:00"/>
    <n v="185"/>
    <n v="6"/>
    <n v="2026"/>
    <s v="2892/SPP/SBU/ICON+/2024 | 4500022586"/>
    <s v="7155/SPP/SBU/PLNICONPLUS/2025"/>
    <s v="4500025535"/>
    <s v="Syifa Artianingsih"/>
    <s v="Khalda"/>
    <m/>
    <m/>
    <m/>
    <m/>
    <m/>
    <m/>
    <m/>
    <m/>
    <m/>
    <n v="213"/>
    <m/>
  </r>
  <r>
    <n v="2268"/>
    <s v="PC 24 Telekomunikasi Indonesia"/>
    <s v="Bank Sinarmas (Deltamas Bekasi)"/>
    <s v="Ruko Kebayoran Centre Blok A No. 5"/>
    <x v="1"/>
    <s v="Plaza Sinarmas Jl Fachrudin 18 Lt.6 Jakarta Pusat, 10250, DKI Jakarta, Indonesia"/>
    <s v="Deltamas-Bekasi Ruko Spanish Square Blok A No.2 Kota Delta Mas Kel Hegarmukti Kec. Cikarang Pusat Kab. Bekasi Jawa Barat"/>
    <s v="Sewa Bulanan"/>
    <s v="Interkoneksi"/>
    <s v="A821205000521"/>
    <s v="111205024690"/>
    <n v="0.995"/>
    <s v="IPVPN"/>
    <s v="1 Mbps"/>
    <m/>
    <n v="10606728"/>
    <m/>
    <m/>
    <n v="24000000"/>
    <m/>
    <d v="2025-06-13T00:00:00"/>
    <d v="2026-06-12T00:00:00"/>
    <x v="1"/>
    <m/>
    <d v="2025-12-24T00:00:00"/>
    <n v="170"/>
    <n v="6"/>
    <n v="2026"/>
    <s v="2891/SPP/SBU/ICON+/2024 | 4500022584"/>
    <s v="7153/SPP/SBU/PLNICONPLUS/2025"/>
    <s v="4500025534"/>
    <s v="Syifa Artianingsih"/>
    <s v="Khalda"/>
    <m/>
    <m/>
    <m/>
    <m/>
    <m/>
    <m/>
    <m/>
    <m/>
    <m/>
    <n v="211"/>
    <m/>
  </r>
  <r>
    <n v="2269"/>
    <s v="PC 24 Telekomunikasi Indonesia"/>
    <s v="Bank Sinarmas (Pancoran Mas Depok)"/>
    <s v="Ruko Kebayoran Centre Blok A No. 5"/>
    <x v="1"/>
    <m/>
    <s v="(Pancoran Mas-Depok) Ruko ITC Depok No.18 Jl. Margonda Raya RT.002 RW.011 Kel Pancoran Mas Kec Pancoran Mas Depok Jawa Barat"/>
    <s v="Sewa Bulanan"/>
    <s v="Interkoneksi"/>
    <s v="A821205000540"/>
    <s v="111205024709"/>
    <n v="0.995"/>
    <s v="IPVPN"/>
    <s v="1 Mbps"/>
    <m/>
    <n v="10606728"/>
    <m/>
    <m/>
    <n v="24000000"/>
    <m/>
    <d v="2025-06-26T00:00:00"/>
    <d v="2026-06-25T00:00:00"/>
    <x v="1"/>
    <m/>
    <d v="2025-12-24T00:00:00"/>
    <n v="183"/>
    <n v="6"/>
    <n v="2026"/>
    <s v="2894/SPP/SBU/ICON+/2024 | 4500022587"/>
    <s v="7157/SPP/SBU/PLNICONPLUS/2025"/>
    <s v="4500025536"/>
    <s v="Syifa Artianingsih"/>
    <s v="Khalda"/>
    <m/>
    <m/>
    <m/>
    <m/>
    <m/>
    <m/>
    <m/>
    <m/>
    <m/>
    <n v="212"/>
    <m/>
  </r>
  <r>
    <n v="2270"/>
    <s v="PT Mega Telekomunikasi Indonesia"/>
    <s v="BUKALAPAK.COM"/>
    <s v="Ruko Kebayoran Centre Blok A No. 5"/>
    <x v="1"/>
    <s v="Jl. RA Kartini No. Kav 14, Cilandak, Jakarta Selatan, DKI Jakarta, Indonesia, 12430"/>
    <s v="Jl. Ampera Raya No. 22, Pasar Minggu, Jakarta Selatan, DKI Jakarta, Indonesia 12560"/>
    <s v="BAGI HASIL"/>
    <s v="Revenue Sharing"/>
    <s v="PA/ACT/2112/2471 "/>
    <m/>
    <m/>
    <s v="Metronet"/>
    <m/>
    <m/>
    <n v="48000000"/>
    <m/>
    <m/>
    <m/>
    <n v="0.25"/>
    <d v="2026-02-08T00:00:00"/>
    <d v="2027-02-07T00:00:00"/>
    <x v="1"/>
    <m/>
    <d v="2025-12-24T00:00:00"/>
    <n v="410"/>
    <n v="2"/>
    <n v="2027"/>
    <m/>
    <m/>
    <m/>
    <s v="Syifa Fauziyah"/>
    <s v="Sena Adimuhaimin"/>
    <m/>
    <m/>
    <m/>
    <m/>
    <m/>
    <m/>
    <m/>
    <m/>
    <m/>
    <m/>
    <m/>
  </r>
  <r>
    <n v="2271"/>
    <s v="Solusi Jasa Teknologi"/>
    <s v="PT Toyota Motor Manufacturing Indonesia"/>
    <s v="Mega Telekomunikasi"/>
    <x v="0"/>
    <s v="Toyota Motor Manufacturing Indonesia, Jl. Laksda Yos Sudarso Sunter 1, Rt.2/Rw.9, Sunter Jaya, Kec. Tj. Priok, Jkt Utara, Daerah Khusus Ibukota Jakarta 14350"/>
    <s v="Gedung Elitery Data Center And Managed Services Lantai 3, Jl. Raya Pajajaran No.17, Rt.06/Rw.13, Baranangsiang, Kec. Bogor Tim., Kota Bogor, Jawa Barat 16143"/>
    <s v="Sewa Tahunan"/>
    <s v="Cross Connect"/>
    <s v="A111202004945"/>
    <m/>
    <m/>
    <m/>
    <m/>
    <n v="2500000"/>
    <n v="359904000"/>
    <m/>
    <n v="2500000"/>
    <n v="12000000"/>
    <m/>
    <d v="2024-07-19T00:00:00"/>
    <d v="2025-07-18T00:00:00"/>
    <x v="0"/>
    <m/>
    <d v="2025-12-24T00:00:00"/>
    <n v="-159"/>
    <n v="7"/>
    <n v="2025"/>
    <s v="baru"/>
    <s v="4046/SPP/SBU/PLNICONPLUS/2024"/>
    <n v="4500023380"/>
    <s v="Livia Indraswati"/>
    <s v="Anggi"/>
    <m/>
    <m/>
    <m/>
    <m/>
    <m/>
    <m/>
    <m/>
    <m/>
    <m/>
    <m/>
    <m/>
  </r>
  <r>
    <n v="2272"/>
    <s v="PT Solusi Jasa Teknologi"/>
    <s v="PT Cyberindo Aditama"/>
    <s v="Gedung sanggar kesatria Liema ,Jalan Raya Pajajaran No.17 Baranangsiang Bogor timur"/>
    <x v="1"/>
    <s v="-"/>
    <s v="Elitery (PT RHB OSK Securities Indonesia) Jl. Pajajaran no. 17 Bogor Indonesia"/>
    <s v="BAGI HASIL"/>
    <s v="Revenue Sharing"/>
    <m/>
    <s v="990000320429056"/>
    <m/>
    <s v="Metronet"/>
    <m/>
    <m/>
    <n v="114000000"/>
    <m/>
    <m/>
    <m/>
    <n v="0.2"/>
    <d v="2025-05-01T00:00:00"/>
    <d v="2026-04-30T00:00:00"/>
    <x v="1"/>
    <m/>
    <d v="2025-12-24T00:00:00"/>
    <n v="127"/>
    <n v="4"/>
    <n v="2026"/>
    <m/>
    <m/>
    <m/>
    <s v="Syifa Fauziyah"/>
    <s v="Zulva, Danar"/>
    <m/>
    <m/>
    <m/>
    <m/>
    <m/>
    <m/>
    <m/>
    <m/>
    <m/>
    <m/>
    <m/>
  </r>
  <r>
    <n v="2273"/>
    <s v="PT Solusi Jasa Teknologi"/>
    <s v="PT Fujitsu Indonesia"/>
    <s v="Data Center Elitery Bogor-SOJATEK"/>
    <x v="1"/>
    <s v="-"/>
    <s v="PT. Fujitsu Indonesia Jl. Raya Pajajaran no 17 Bogor, Indonesia"/>
    <s v="BAGI HASIL"/>
    <s v="Revenue Sharing"/>
    <m/>
    <s v="990000320452699"/>
    <m/>
    <s v="IP Transit_x000a_"/>
    <m/>
    <m/>
    <n v="60000000"/>
    <m/>
    <m/>
    <m/>
    <n v="0.2"/>
    <d v="2025-05-01T00:00:00"/>
    <d v="2026-04-30T00:00:00"/>
    <x v="1"/>
    <m/>
    <d v="2025-12-24T00:00:00"/>
    <n v="127"/>
    <n v="4"/>
    <n v="2026"/>
    <m/>
    <m/>
    <m/>
    <s v="Syifa Fauziyah"/>
    <s v="Zulva, Danar"/>
    <m/>
    <m/>
    <m/>
    <m/>
    <m/>
    <m/>
    <m/>
    <m/>
    <m/>
    <m/>
    <m/>
  </r>
  <r>
    <n v="2274"/>
    <s v="PT Solusi Jasa Teknologi"/>
    <s v="PT MAYBANK KIM ENG SECURITIES INDONESIA"/>
    <s v="Data Center Elitery Bogor-SOJATEK"/>
    <x v="1"/>
    <s v="Elitery Recovery Data Center,Jalan Padjajaran No.17 Sanggar Ksatria 5 Lantai 5 Bogor Jawa Barat"/>
    <s v="Sentral Senayan III, Lantai 22, Jl. Asia Afrika No. 8  Gelora Bung Karno, Senayan Jakarta 10270"/>
    <s v="BAGI HASIL"/>
    <s v="Revenue Sharing"/>
    <m/>
    <s v="990000320470177"/>
    <m/>
    <s v="Metronet"/>
    <m/>
    <m/>
    <n v="90600000"/>
    <m/>
    <m/>
    <m/>
    <n v="0.2"/>
    <d v="2025-05-01T00:00:00"/>
    <d v="2026-04-30T00:00:00"/>
    <x v="1"/>
    <m/>
    <d v="2025-12-24T00:00:00"/>
    <n v="127"/>
    <n v="4"/>
    <n v="2026"/>
    <m/>
    <m/>
    <m/>
    <s v="Syifa Fauziyah"/>
    <s v="Zulva, Danar"/>
    <m/>
    <m/>
    <m/>
    <m/>
    <m/>
    <m/>
    <m/>
    <m/>
    <m/>
    <m/>
    <m/>
  </r>
  <r>
    <n v="2275"/>
    <s v="PT Solusi Jasa Teknologi"/>
    <s v="PT EKA MAS REPUBLIK"/>
    <s v="Data Center Elitery Bogor-SOJATEK"/>
    <x v="1"/>
    <s v="POP IDC Duren Tiga"/>
    <s v="PT. Sinarmas Sekuritas, Elitery Data Center, Jl. Pajajaran No. 17, Bogor"/>
    <s v="BAGI HASIL"/>
    <s v="Revenue Sharing"/>
    <m/>
    <m/>
    <m/>
    <s v="Metronet"/>
    <m/>
    <m/>
    <n v="75900000"/>
    <m/>
    <m/>
    <m/>
    <n v="0.2"/>
    <d v="2025-05-01T00:00:00"/>
    <d v="2026-04-30T00:00:00"/>
    <x v="1"/>
    <m/>
    <d v="2025-12-24T00:00:00"/>
    <n v="127"/>
    <n v="4"/>
    <n v="2026"/>
    <m/>
    <m/>
    <m/>
    <s v="Syifa Fauziyah"/>
    <s v="Zulva, Danar"/>
    <m/>
    <m/>
    <m/>
    <m/>
    <m/>
    <m/>
    <m/>
    <m/>
    <m/>
    <m/>
    <m/>
  </r>
  <r>
    <n v="2276"/>
    <s v="PT Solusi Jasa Teknologi"/>
    <s v="PT SARANA YUKTI BANDHANA"/>
    <s v="Data Center Elitery Bogor-SOJATEK"/>
    <x v="1"/>
    <s v="Gedung Elitery LT 4 Rack SYB Jl. Raya Padjajaran, Bogor, Kota Bogor, Jawa Barat, Indonesia, 16143"/>
    <s v="Kota Bogor, Jawa Barat, Indonesia"/>
    <s v="BAGI HASIL"/>
    <s v="Revenue Sharing"/>
    <m/>
    <s v="1000193597"/>
    <m/>
    <s v="IPVPN_x000a_"/>
    <m/>
    <m/>
    <n v="132000000"/>
    <m/>
    <m/>
    <m/>
    <n v="0.2"/>
    <d v="2025-05-01T00:00:00"/>
    <d v="2026-04-30T00:00:00"/>
    <x v="1"/>
    <m/>
    <d v="2025-12-24T00:00:00"/>
    <n v="127"/>
    <n v="4"/>
    <n v="2026"/>
    <m/>
    <m/>
    <m/>
    <s v="Syifa Fauziyah"/>
    <s v="Zulva, Danar"/>
    <m/>
    <m/>
    <m/>
    <m/>
    <m/>
    <m/>
    <m/>
    <m/>
    <m/>
    <m/>
    <m/>
  </r>
  <r>
    <n v="2277"/>
    <s v="PT Solusi Jasa Teknologi"/>
    <s v="PT Bahana Pembinaan Usaha Indonesia"/>
    <s v="Data Center Elitery Bogor-SOJATEK"/>
    <x v="1"/>
    <m/>
    <s v="(DCI) JL. HALMAHERA NO.1, DANAU INDAH, KEC. CIKARANG BAR., KABUPATEN BEKASI, JAWA BARAT 17530"/>
    <s v="BAGI HASIL"/>
    <s v="Revenue Sharing"/>
    <m/>
    <s v="111202018505"/>
    <m/>
    <s v="Ethernet "/>
    <s v="100 Mbps"/>
    <m/>
    <n v="148800000"/>
    <m/>
    <m/>
    <m/>
    <n v="0.2"/>
    <d v="2025-05-01T00:00:00"/>
    <d v="2026-04-30T00:00:00"/>
    <x v="1"/>
    <m/>
    <d v="2025-12-24T00:00:00"/>
    <n v="127"/>
    <n v="4"/>
    <n v="2026"/>
    <m/>
    <m/>
    <m/>
    <s v="Syifa Fauziyah"/>
    <s v="Zulva, Danar"/>
    <m/>
    <m/>
    <m/>
    <m/>
    <m/>
    <m/>
    <m/>
    <m/>
    <m/>
    <m/>
    <m/>
  </r>
  <r>
    <n v="2278"/>
    <s v="PT Solusi Jasa Teknologi"/>
    <s v="PT DATA SINERGITAMA JAYA"/>
    <s v="Data Center Elitery Bogor-SOJATEK"/>
    <x v="1"/>
    <m/>
    <s v="Toyota Astra Motor New Site 2, Jl. Selayar"/>
    <s v="BAGI HASIL"/>
    <s v="Revenue Sharing"/>
    <m/>
    <s v="990000320514810"/>
    <m/>
    <s v="Metronet "/>
    <s v="100 Mbps"/>
    <m/>
    <n v="354000000"/>
    <m/>
    <m/>
    <m/>
    <n v="0.2"/>
    <d v="2025-05-01T00:00:00"/>
    <d v="2026-04-30T00:00:00"/>
    <x v="1"/>
    <m/>
    <d v="2025-12-24T00:00:00"/>
    <n v="127"/>
    <n v="4"/>
    <n v="2026"/>
    <m/>
    <m/>
    <m/>
    <s v="Syifa Fauziyah"/>
    <s v="Zulva, Danar"/>
    <m/>
    <m/>
    <m/>
    <m/>
    <m/>
    <m/>
    <m/>
    <m/>
    <m/>
    <m/>
    <m/>
  </r>
  <r>
    <n v="2279"/>
    <s v="PT Solusi Jasa Teknologi"/>
    <s v="PT MAYBANK KIM ENG SECURITIES INDONESIA"/>
    <s v="Data Center Elitery Bogor-SOJATEK"/>
    <x v="1"/>
    <m/>
    <s v="Ruko Mega Mall Pluit/Lippo Village No. 48, Jalan Pluit Indah no. 1 Pluit, Pluit, Jakarta Utara, DKI Jakarta, Indonesia, 14450"/>
    <s v="BAGI HASIL"/>
    <s v="Revenue Sharing"/>
    <m/>
    <s v="01000058903"/>
    <m/>
    <s v="Metronet "/>
    <s v="10 Mbps"/>
    <m/>
    <n v="90600000"/>
    <m/>
    <m/>
    <m/>
    <n v="0.2"/>
    <d v="2025-05-01T00:00:00"/>
    <d v="2026-04-30T00:00:00"/>
    <x v="1"/>
    <m/>
    <d v="2025-12-24T00:00:00"/>
    <n v="127"/>
    <n v="4"/>
    <n v="2026"/>
    <m/>
    <m/>
    <m/>
    <s v="Syifa Fauziyah"/>
    <s v="Zulva, Danar"/>
    <m/>
    <m/>
    <m/>
    <m/>
    <m/>
    <m/>
    <m/>
    <m/>
    <m/>
    <m/>
    <m/>
  </r>
  <r>
    <n v="2280"/>
    <s v="PT Solusi Jasa Teknologi"/>
    <s v="PT. FAASRI UTAMA SAKTI"/>
    <s v="Data Center Elitery Bogor-SOJATEK"/>
    <x v="1"/>
    <m/>
    <s v="PT. Faasri Utama Sakti - Jl. Raya Padjajaran No.17 RT.006 RW.013 Baranangsiang,  Bogor Timur,  Kota Bogor,  Jawa Barat,  Indonesia,  16143"/>
    <s v="BAGI HASIL"/>
    <s v="Revenue Sharing"/>
    <m/>
    <s v="01000310307"/>
    <m/>
    <s v="Qinq Metro Ethernet"/>
    <s v="100 Mbps"/>
    <m/>
    <n v="52020000"/>
    <m/>
    <m/>
    <m/>
    <n v="0.2"/>
    <d v="2025-05-01T00:00:00"/>
    <d v="2026-04-30T00:00:00"/>
    <x v="1"/>
    <m/>
    <d v="2025-12-24T00:00:00"/>
    <n v="127"/>
    <n v="4"/>
    <n v="2026"/>
    <m/>
    <m/>
    <m/>
    <s v="Syifa Fauziyah"/>
    <s v="Zulva, Danar"/>
    <m/>
    <m/>
    <m/>
    <m/>
    <m/>
    <m/>
    <m/>
    <m/>
    <m/>
    <m/>
    <m/>
  </r>
  <r>
    <n v="2281"/>
    <s v="PT Solusi Jasa Teknologi"/>
    <s v="PT. BANK CENTRAL ASIA, TBK"/>
    <s v="Data Center Elitery Bogor-SOJATEK"/>
    <x v="1"/>
    <m/>
    <s v="H2H BCA Elitery Data Center; Jl. Raya Pajajaran No.61, RT.06/RW.13, Baranangsiang,  Bogor Timur,  Kota Bogor,  Jawa Barat,  Indonesia,  16143"/>
    <s v="BAGI HASIL"/>
    <s v="Revenue Sharing"/>
    <m/>
    <s v="01000135933"/>
    <m/>
    <s v="IPVPN "/>
    <s v="4 Mbps"/>
    <m/>
    <n v="36000000"/>
    <m/>
    <m/>
    <m/>
    <n v="0.2"/>
    <d v="2025-05-01T00:00:00"/>
    <d v="2026-04-30T00:00:00"/>
    <x v="1"/>
    <m/>
    <d v="2025-12-24T00:00:00"/>
    <n v="127"/>
    <n v="4"/>
    <n v="2026"/>
    <m/>
    <m/>
    <m/>
    <s v="Syifa Fauziyah"/>
    <s v="Zulva, Danar"/>
    <m/>
    <m/>
    <m/>
    <m/>
    <m/>
    <m/>
    <m/>
    <m/>
    <m/>
    <m/>
    <m/>
  </r>
  <r>
    <n v="2282"/>
    <s v="Jala Lintas Media"/>
    <s v="Inoac Polytechno"/>
    <s v="Jl. Mayor Oking No. 89 KM 2, Cibinong Bogor 16819_x000a_"/>
    <x v="1"/>
    <s v="Kawasan Industri Bintang Puspita Dwikarya, Kampung Baregbeg, Desa Wanasari, Kec. Teluk Jambe Barat, Karawang 41361 (Backhaul),- ,- ,- ,Indonesia,KEC. TELUK JAMBE VARAT ,Kabupaten Karawang ,Jawa Barat ,Indonesia ,41361   "/>
    <s v=": Jl. Bhumimas II No.2, Talaga, Kec. Cikupa, Tangerang, Banten 15710, Indonesia,CIKUPA ,Kabupaten Tangerang ,Banten ,Indonesia ,15710   "/>
    <s v="Sewa Bulanan"/>
    <s v="Interkoneksi"/>
    <s v="PA/ACT/2103/0900"/>
    <s v="110120203385/01000146804"/>
    <n v="0.995"/>
    <s v="Metronet"/>
    <s v="4 Mbps"/>
    <m/>
    <n v="72000000"/>
    <m/>
    <m/>
    <n v="36000000"/>
    <m/>
    <d v="2025-05-20T00:00:00"/>
    <d v="2026-05-19T00:00:00"/>
    <x v="1"/>
    <m/>
    <d v="2025-12-24T00:00:00"/>
    <n v="146"/>
    <n v="5"/>
    <n v="2026"/>
    <s v="2574/SPP/SBU/ICON+/2024 | 4500022241"/>
    <s v="6532/SPP/SBU/PLNICONPLUS/2025"/>
    <n v="4500025082"/>
    <s v="Syifa Artianingsih"/>
    <s v="Dianita Putri"/>
    <s v="0821-1212-8868"/>
    <m/>
    <m/>
    <m/>
    <m/>
    <m/>
    <m/>
    <m/>
    <m/>
    <n v="167"/>
    <m/>
  </r>
  <r>
    <n v="2283"/>
    <s v="Cyberindo Aditama"/>
    <s v="PT Olam Indonesia 30 Mbps"/>
    <s v="Gedung Cyber 2 Tower, Lt 33 Jl. HP Rasuna Said Blok X-5 No. 13 Kuningan Timur Setiabudi Jakarta Selatan 12950"/>
    <x v="1"/>
    <m/>
    <s v="South Quarter Tower A, lt.21 Jl. R. A Kartini No.Kav.8, Rt.10/Rw.4, Cilandak Barat, Kec. Cilandak, Jakarta Selatan"/>
    <s v="Sewa Bulanan"/>
    <s v="Interkoneksi"/>
    <s v="A111205013479"/>
    <s v="111205031916"/>
    <n v="0.995"/>
    <s v="IPVPN  "/>
    <s v="30 Mbps"/>
    <n v="4000000"/>
    <n v="72000000"/>
    <m/>
    <n v="3000000"/>
    <n v="42000000"/>
    <m/>
    <d v="2025-05-19T00:00:00"/>
    <d v="2026-05-18T00:00:00"/>
    <x v="1"/>
    <m/>
    <d v="2025-12-24T00:00:00"/>
    <n v="145"/>
    <n v="5"/>
    <n v="2026"/>
    <s v="baru"/>
    <s v="6550/SPP/SBU/PLNICONPLUS/2025"/>
    <s v="4500025202"/>
    <s v="Syifa Artianingsih"/>
    <s v="Cristian"/>
    <s v="+62 812-9804-5188"/>
    <m/>
    <m/>
    <m/>
    <m/>
    <m/>
    <m/>
    <m/>
    <m/>
    <n v="210"/>
    <m/>
  </r>
  <r>
    <n v="2284"/>
    <s v="PT Solusi Jasa Teknologi"/>
    <s v="PT. TOYOTA MOTOR MANUFACTURING INDONESIA"/>
    <s v="Gedung Cyber 2 Tower, Lt 33 Jl. HP Rasuna Said Blok X-5 No. 13 Kuningan Timur Setiabudi Jakarta Selatan 12950"/>
    <x v="1"/>
    <m/>
    <s v="PT. TOYOTA MOTOR MANUFACTURING INDONESIA GEDUNG ELITERY DATA CENTER AND MANAGED SERVICES LANTAI 3, JL. RAYA PAJAJARAN NO.17, RT.06/RW.13, BARANANGSIANG, KEC. BOGOR TIM., KOTA BOGOR, JAWA BARAT 16143"/>
    <s v="BAGI HASIL"/>
    <s v="Revenue Sharing"/>
    <m/>
    <s v="111202019445"/>
    <m/>
    <s v="METRONET "/>
    <s v="500 Mbps"/>
    <m/>
    <n v="359904000"/>
    <m/>
    <m/>
    <m/>
    <n v="0.2"/>
    <d v="2025-05-01T00:00:00"/>
    <d v="2026-04-30T00:00:00"/>
    <x v="1"/>
    <m/>
    <d v="2025-12-24T00:00:00"/>
    <n v="127"/>
    <n v="4"/>
    <n v="2026"/>
    <m/>
    <m/>
    <m/>
    <s v="Syifa Fauziyah"/>
    <s v="Zulva, Danar"/>
    <m/>
    <m/>
    <m/>
    <m/>
    <m/>
    <m/>
    <m/>
    <m/>
    <m/>
    <m/>
    <m/>
  </r>
  <r>
    <n v="2285"/>
    <s v="Bali Towerindo Sentra Tbk"/>
    <s v="PT Caturkarda Depo Bangunan Tbk"/>
    <s v="Data Center Elitery Bogor-SOJATEK"/>
    <x v="1"/>
    <s v="BACKHAUL - GEDUNG DC BALI TOWER JI. BATU CEPER NO- 53 RT.15/RW.1 KB. KLP, KECAMATAN GAMBIR, JAKARTA PUSAT, DKI JAKARTA, INDONESIA, 10120"/>
    <s v="JAKARTA PUSAT, DKI JAKARTA, INDONESIA"/>
    <s v="Sewa Bulanan"/>
    <s v="Interkoneksi"/>
    <s v="AL/2104/27068"/>
    <s v="01000145773"/>
    <s v="99,50%"/>
    <s v="Metronet"/>
    <s v="10 Mbps"/>
    <m/>
    <n v="120000000"/>
    <m/>
    <m/>
    <n v="24000000"/>
    <m/>
    <d v="2025-03-05T00:00:00"/>
    <d v="2026-03-04T00:00:00"/>
    <x v="1"/>
    <m/>
    <d v="2025-12-24T00:00:00"/>
    <n v="70"/>
    <n v="3"/>
    <n v="2026"/>
    <s v="2456/SPP/SBU/ICON+/2024 | 4500022200"/>
    <s v="6928/SPP/SBU/PLNICONPLUS/2025_x0009_"/>
    <s v="4500025365"/>
    <s v="Syifa Artianingsih"/>
    <s v="Stephanie"/>
    <m/>
    <m/>
    <m/>
    <m/>
    <m/>
    <m/>
    <m/>
    <m/>
    <m/>
    <n v="207"/>
    <m/>
  </r>
  <r>
    <n v="2286"/>
    <s v="PT Mega Telekomunikasi Indonesia"/>
    <s v="BUKALAPAK.COM"/>
    <s v="Jl.Sunses Road Lingkabianbase 5"/>
    <x v="1"/>
    <s v="Jl. RA Kartini No. Kav 14, Cilandak, Jakarta Selatan, DKI Jakarta, Indonesia, 12430"/>
    <s v="Jl. Ampera Raya No. 22, Pasar Minggu, Jakarta Selatan, DKI Jakarta, Indonesia 12560"/>
    <s v="BAGI HASIL"/>
    <s v="Revenue Sharing"/>
    <s v="PA/ACT/2112/2471 "/>
    <m/>
    <m/>
    <s v="Metronet"/>
    <m/>
    <m/>
    <n v="48000000"/>
    <m/>
    <m/>
    <m/>
    <n v="0.25"/>
    <d v="2027-02-08T00:00:00"/>
    <d v="2028-02-07T00:00:00"/>
    <x v="1"/>
    <m/>
    <d v="2025-12-24T00:00:00"/>
    <n v="775"/>
    <n v="2"/>
    <n v="2028"/>
    <m/>
    <m/>
    <m/>
    <s v="Syifa Fauziyah"/>
    <s v="Sena Adimuhaimin"/>
    <m/>
    <m/>
    <m/>
    <m/>
    <m/>
    <m/>
    <m/>
    <m/>
    <m/>
    <m/>
    <m/>
  </r>
  <r>
    <n v="2287"/>
    <s v="Aplikanusa Lintasarta"/>
    <s v="Softex Indonesia"/>
    <s v="Mega Telekomunikasi"/>
    <x v="1"/>
    <m/>
    <s v="TREMBERSI TOWER. JL PAHLAWAN SERIBU LOT VIIA, CBD-BSD, SERPONG SUB-DISTRICT, SOUTH TANGERANG CITY, BANTEN 15311"/>
    <s v="Sewa Bulanan"/>
    <s v="Interkoneksi"/>
    <s v="A111303005863"/>
    <s v="111303014995"/>
    <s v="99,50%"/>
    <s v="Internet Corporate"/>
    <s v="500 Mbps"/>
    <n v="5000000"/>
    <n v="360000000"/>
    <m/>
    <n v="5000000"/>
    <n v="144000000"/>
    <m/>
    <d v="2025-05-19T00:00:00"/>
    <d v="2026-05-18T00:00:00"/>
    <x v="1"/>
    <m/>
    <d v="2025-12-24T00:00:00"/>
    <n v="145"/>
    <n v="5"/>
    <n v="2026"/>
    <s v="Baru"/>
    <s v="6516/SPP/SBU/PLNICONPLUS/2025"/>
    <s v="4500025208"/>
    <s v="Renata Simanjuntak"/>
    <s v="Ilham"/>
    <m/>
    <m/>
    <m/>
    <m/>
    <m/>
    <m/>
    <m/>
    <m/>
    <m/>
    <n v="215"/>
    <m/>
  </r>
  <r>
    <n v="2288"/>
    <s v="PT Centra Global Investama"/>
    <s v="PT NIKOMAS GEMILANG"/>
    <s v="Gedung Menara Thamrin Lt. 19"/>
    <x v="0"/>
    <m/>
    <s v="Jakarta office UOB plaza, Lt.37, unit 2- jl. M.H. thamrin no. kav. 8-10, rt.14/rw.20, kb. Melati, kec. Tanah abang, jakarta pusat"/>
    <s v="BAGI HASIL"/>
    <s v="Revenue Sharing"/>
    <m/>
    <s v="1000118630"/>
    <m/>
    <s v="IPVPN"/>
    <s v="5 Mbps"/>
    <m/>
    <n v="36000000"/>
    <m/>
    <m/>
    <m/>
    <n v="0.2"/>
    <d v="2025-05-01T00:00:00"/>
    <d v="2025-04-30T00:00:00"/>
    <x v="0"/>
    <m/>
    <d v="2025-12-24T00:00:00"/>
    <n v="-238"/>
    <n v="4"/>
    <n v="2025"/>
    <m/>
    <m/>
    <m/>
    <s v="Syifa Fauziyah"/>
    <s v="Elsa"/>
    <m/>
    <m/>
    <m/>
    <m/>
    <m/>
    <m/>
    <m/>
    <m/>
    <m/>
    <m/>
    <m/>
  </r>
  <r>
    <n v="2289"/>
    <s v="Aplikanusa Lintasarta"/>
    <s v="Bank Sinarmas "/>
    <s v="Jl. MH Thamrin kav. 3 Jakarta Pusat"/>
    <x v="0"/>
    <s v="PLAZA SINARMAS JL. FACHRUDIN 18 LT.6 JAKARTA PUSAT 10250,  -,  Jakarta Pusat,  DKI Jakarta,  Indonesia, "/>
    <s v="DC BEPS - Lintasarta Pusat Data Stasiun Bumi Indosat Jl. Lurah Kawi Jatiluhur, Purwakarta, Jawa Barat 41152,- ,- ,- ,Indonesia ,- "/>
    <s v="Sewa Bulanan"/>
    <s v="Interkoneksi"/>
    <s v="ICON-99/SBC/1811/0007"/>
    <s v="0990000320395523"/>
    <s v="99,50%"/>
    <s v="Metronet"/>
    <s v="10 Mbps"/>
    <m/>
    <n v="162000000"/>
    <m/>
    <m/>
    <n v="60000000"/>
    <m/>
    <d v="2024-07-01T00:00:00"/>
    <d v="2025-06-30T00:00:00"/>
    <x v="0"/>
    <m/>
    <d v="2025-12-24T00:00:00"/>
    <n v="-177"/>
    <n v="6"/>
    <n v="2025"/>
    <s v="678/SPP/SBU/ICON+/2023 | 4500020866 "/>
    <s v="2906/SPP/SBU/ICON+/2024"/>
    <n v="4500022414"/>
    <s v="Syifa Artianingsih"/>
    <s v="Ilham"/>
    <m/>
    <m/>
    <m/>
    <m/>
    <m/>
    <m/>
    <m/>
    <m/>
    <m/>
    <m/>
    <m/>
  </r>
  <r>
    <n v="2290"/>
    <s v="XL Axiata"/>
    <s v="Pelanggan Komisi Pemberantasan Korupsi"/>
    <s v="Lintasarta Building , Jl.TB Simatupang Kav 10. Jakarta Selatan 12430"/>
    <x v="4"/>
    <s v="DC KPK BSD Graha TelkomSigma BSD,  Lantai 5, Wing A (Gedung Sisi Barat), Bumi Serpong Damai, Jalan Kapt. Subijanto Dj, Lengkong Gudang, Kec. Serpong, Kota Tangerang Selatan, Banten,  BSD Tangsel,  Jakarta Selatan,  DKI Jakarta,  Indonesia,  15321"/>
    <s v="PT. XL Axiata. Tbk (Inbuilding JNB 2) Building di Jl. Sumba Blok A-B MM2100 , Cibitung, Bekasi (Rak KPK),- ,- ,- ,Indonesia ,-    "/>
    <s v="Sewa Bulanan"/>
    <s v="Interkoneksi"/>
    <s v="PA/ACT/2012/0459  "/>
    <s v="01000136989"/>
    <s v="99,50%"/>
    <s v="Metronet"/>
    <s v="5 Mbps"/>
    <m/>
    <n v="84324324"/>
    <m/>
    <m/>
    <n v="54000000"/>
    <m/>
    <d v="2025-01-28T00:00:00"/>
    <d v="2026-01-27T00:00:00"/>
    <x v="1"/>
    <m/>
    <d v="2025-12-24T00:00:00"/>
    <n v="34"/>
    <n v="1"/>
    <n v="2026"/>
    <s v="2500/SPP/SBU/ICON+/2024 |4500022179"/>
    <s v="5643/SPP/SBU/PLNICONPLUS/2025"/>
    <n v="4500024539"/>
    <s v="Syifa Artianingsih"/>
    <s v="ERIK"/>
    <m/>
    <m/>
    <m/>
    <m/>
    <m/>
    <m/>
    <m/>
    <m/>
    <m/>
    <n v="21"/>
    <m/>
  </r>
  <r>
    <n v="2291"/>
    <s v="NTT Indonesia"/>
    <s v="PT China Telecom Indonesia"/>
    <s v="Wisma 46 Kota BNI Lt. 5, Jl. Jend. Sudirman, Tanah Abang, Kota Jak Pusat, Daerah Khusus Ibukota Jak 10250, Indonesia"/>
    <x v="1"/>
    <s v="SDI DC, Cyber 1, Level 3, Rack 93, Jakarta"/>
    <s v="Wisma 46- Kota BNI, Lt.17, Suite 1712-1713, Jl Jend Sudirman Kav 1, Jakarta 10220"/>
    <s v="Sewa Bulanan"/>
    <s v="Interkoneksi"/>
    <s v="A821202000812"/>
    <m/>
    <s v="99,5%"/>
    <s v="Metronet"/>
    <s v="20 Mbps"/>
    <m/>
    <n v="126108000"/>
    <m/>
    <m/>
    <n v="57600000"/>
    <m/>
    <d v="2025-03-05T00:00:00"/>
    <d v="2026-03-04T00:00:00"/>
    <x v="2"/>
    <m/>
    <d v="2025-12-24T00:00:00"/>
    <n v="70"/>
    <n v="3"/>
    <n v="2026"/>
    <m/>
    <s v="6259/SPP/SBU/PLNICONPLUS/2025"/>
    <s v="4500024960"/>
    <s v="Renata Simanjuntak"/>
    <s v="Rizal "/>
    <s v="+62 813-8335-7550 (Rizal)"/>
    <m/>
    <m/>
    <m/>
    <m/>
    <m/>
    <m/>
    <m/>
    <m/>
    <n v="39"/>
    <m/>
  </r>
  <r>
    <n v="2292"/>
    <s v="DCI Indonesia"/>
    <s v="PT Nosairis Teknologi Solutions"/>
    <s v="Equity Tower 17th floor suite F SCBD lot Jl Jend Sudirman Kav 52-53 Jakarta 12196"/>
    <x v="1"/>
    <s v="CYBER 1 LT.3 DC SDI, RACK ATMI JL. KUNINGAN BARAT RAYA NO.9B RW.2, MAMPANG PRAPATAN, JAKARTA SELATAN, DKI JAKARTA, INDONESIA"/>
    <s v="DATA CENTER INDONESIA (DCI) JK1, CIBITUNG, JL. HALMAHERA NO.1, DANAU INDAH, KEC. CIKARANG BAR., KABUPATEN BEKASI, JAWA BARAT 17530"/>
    <s v="Sewa Tahunan"/>
    <s v="Cross Connect"/>
    <s v="PA/ACT/2201/1485"/>
    <m/>
    <m/>
    <s v="Metronet "/>
    <m/>
    <m/>
    <n v="38568000"/>
    <m/>
    <m/>
    <n v="18000000"/>
    <m/>
    <d v="2025-05-13T00:00:00"/>
    <d v="2026-05-12T00:00:00"/>
    <x v="1"/>
    <m/>
    <d v="2025-12-24T00:00:00"/>
    <n v="139"/>
    <n v="5"/>
    <n v="2026"/>
    <n v="4500022942"/>
    <s v="6827/SPP/SBU/PLNICONPLUS/2025"/>
    <s v="4500025291"/>
    <s v="Livia Indraswati"/>
    <s v="Asima"/>
    <m/>
    <m/>
    <m/>
    <m/>
    <m/>
    <m/>
    <m/>
    <m/>
    <m/>
    <n v="155"/>
    <m/>
  </r>
  <r>
    <n v="2293"/>
    <s v="DCI Indonesia"/>
    <s v="PT Bank Syariah Indonesia"/>
    <s v="Equity Tower 17th floor suite F SCBD lot Jl Jend Sudirman Kav 52-53 Jakarta 12196"/>
    <x v="1"/>
    <s v="BACKUP BACKHAUL DCI CIBITUNG | JL. HALMAHERA NO.1 BLOK F1, DANAU INDAH, KEC. CIKARANG BAR., KABUPATEN BEKASI, JAWA BARAT 17530"/>
    <s v="BACKUP BACKHAUL DCI CIBITUNG | JL. HALMAHERA NO.1 BLOK F1, DANAU INDAH, KEC. CIKARANG BAR., KABUPATEN BEKASI, JAWA BARAT 17530"/>
    <s v="Sewa Tahunan"/>
    <s v="Cross Connect"/>
    <s v="A111303002994_x000a_'A111205003981_x000a_'PA/ACT/2302/10715"/>
    <s v="111303012308_x000a_'111205026080"/>
    <m/>
    <s v="Internet Corporate "/>
    <s v="500 Mbps"/>
    <m/>
    <n v="403232436"/>
    <m/>
    <m/>
    <n v="144000000"/>
    <m/>
    <d v="2025-05-21T00:00:00"/>
    <d v="2026-05-20T00:00:00"/>
    <x v="1"/>
    <m/>
    <d v="2025-12-24T00:00:00"/>
    <n v="147"/>
    <n v="5"/>
    <n v="2026"/>
    <s v="3468/SPP/SBU/PLNICONPLUS/2024 | 4500022817"/>
    <s v="6750/SPP/SBU/PLNICONPLUS/2025"/>
    <s v="4500025282"/>
    <s v="Livia Indraswati"/>
    <s v="Asima"/>
    <m/>
    <m/>
    <m/>
    <m/>
    <m/>
    <m/>
    <m/>
    <m/>
    <m/>
    <n v="156"/>
    <m/>
  </r>
  <r>
    <n v="2294"/>
    <s v="DCI Indonesia"/>
    <s v="PT NTT Indonesia"/>
    <s v="Equity Tower 17th floor suite F SCBD lot Jl Jend Sudirman Kav 52-53 Jakarta 12197"/>
    <x v="1"/>
    <m/>
    <s v="Bank Mizuho Indonesia, DCI (DRC) lt. 1, Kawasan MM2100 Bekasi, Cikarang Jawa Barat"/>
    <s v="Sewa Tahunan"/>
    <s v="Cross Connect"/>
    <s v="ICON-00/SBC/1611/0056"/>
    <m/>
    <m/>
    <s v="Metronet"/>
    <m/>
    <m/>
    <n v="168000000"/>
    <m/>
    <m/>
    <n v="18000000"/>
    <m/>
    <d v="2025-06-24T00:00:00"/>
    <d v="2026-06-23T00:00:00"/>
    <x v="1"/>
    <m/>
    <d v="2025-12-24T00:00:00"/>
    <n v="181"/>
    <n v="6"/>
    <n v="2026"/>
    <s v="3139/SPP/SBU/PLNICONPLUS/2024 | 4500022661"/>
    <s v="6902/SPP/SBU/PLNICONPLUS/2025"/>
    <s v="4500025323"/>
    <s v="Livia Indraswati"/>
    <s v="Asima"/>
    <m/>
    <m/>
    <m/>
    <m/>
    <m/>
    <m/>
    <m/>
    <m/>
    <m/>
    <n v="147"/>
    <m/>
  </r>
  <r>
    <n v="2295"/>
    <s v="DCI Indonesia"/>
    <s v="PT NTT Indonesia"/>
    <s v="Equity Tower 17th floor suite F SCBD lot Jl Jend Sudirman Kav 52-53 Jakarta 12198"/>
    <x v="1"/>
    <m/>
    <s v="Bank Mizuho Indonesia, DCI (DRC) lt. 1, Kawasan MM2100 Bekasi, Cikarang Jawa Barat"/>
    <s v="Sewa Tahunan"/>
    <s v="Cross Connect"/>
    <s v="ICON-00/SBC/1611/0056"/>
    <m/>
    <m/>
    <s v="Metronet"/>
    <m/>
    <m/>
    <n v="168000000"/>
    <m/>
    <m/>
    <n v="18000000"/>
    <m/>
    <d v="2025-06-24T00:00:00"/>
    <d v="2026-06-23T00:00:00"/>
    <x v="1"/>
    <m/>
    <d v="2025-12-24T00:00:00"/>
    <n v="181"/>
    <n v="6"/>
    <n v="2026"/>
    <s v="3829/SPP/SBU/PLNICONPLUS/2024 | 4500023034"/>
    <s v="6903/SPP/SBU/PLNICONPLUS/2025"/>
    <s v="4500025324"/>
    <s v="Livia Indraswati"/>
    <s v="Asima"/>
    <m/>
    <m/>
    <m/>
    <m/>
    <m/>
    <m/>
    <m/>
    <m/>
    <m/>
    <n v="148"/>
    <m/>
  </r>
  <r>
    <n v="2296"/>
    <s v="DCI Indonesia"/>
    <s v="PT Aplikanusa Lintasarta"/>
    <s v="Equity Tower 17th floor suite F SCBD lot Jl Jend Sudirman Kav 52-53 Jakarta 12199"/>
    <x v="1"/>
    <s v="LA TBS"/>
    <s v="ARTAJASA PEMBAYARAN ELEKTRONIS, DCI KAWASAN MM2100 JL. HALMAHERA BLOK F1 NO. 1 DANAU INDAH, CIKARANG BARAT, KABUPATEN BEKASI, JAWA BARAT, INDONESIA, 17530"/>
    <s v="Sewa Tahunan"/>
    <s v="Cross Connect"/>
    <m/>
    <s v="01000029852"/>
    <m/>
    <s v="Metronet"/>
    <s v="1 Mbps"/>
    <m/>
    <n v="54000000"/>
    <m/>
    <m/>
    <n v="18000000"/>
    <m/>
    <d v="2025-06-16T00:00:00"/>
    <d v="2026-06-15T00:00:00"/>
    <x v="1"/>
    <m/>
    <d v="2025-12-24T00:00:00"/>
    <n v="173"/>
    <n v="6"/>
    <n v="2026"/>
    <s v="3138/SPP/SBU/PLNICONPLUS/2024 | 4500022660"/>
    <s v="7083/SPP/SBU/PLNICONPLUS/2025"/>
    <s v="4500025480"/>
    <s v="Livia Indraswati"/>
    <s v="Asima"/>
    <m/>
    <m/>
    <m/>
    <m/>
    <m/>
    <m/>
    <m/>
    <m/>
    <m/>
    <n v="184"/>
    <m/>
  </r>
  <r>
    <n v="2297"/>
    <s v="DCI Indonesia"/>
    <s v="PT Bank Rakyat Indonesia"/>
    <s v="Equity Tower 17th floor suite F SCBD lot Jl Jend Sudirman Kav 52-53 Jakarta 12200"/>
    <x v="1"/>
    <m/>
    <s v="(DCI CIBITUNG EURONET-JKI1 VRF H2H), KAWASAN MM2100, JL. HALMAHERA NO. 1 BLOK F1, DANAU INDAH, CIKARANG BARAT, KABUPATEN BEKASI, JAWA BARAT 17530, RAK 2ND FLOOR, JK1-RCK-2-B-048-005"/>
    <s v="Sewa Tahunan"/>
    <s v="Cross Connect"/>
    <s v="A111205013787"/>
    <m/>
    <m/>
    <s v="IPVPN"/>
    <m/>
    <n v="9009009"/>
    <n v="85081080"/>
    <m/>
    <n v="1500000"/>
    <n v="18000000"/>
    <m/>
    <d v="2025-05-19T00:00:00"/>
    <d v="2026-05-18T00:00:00"/>
    <x v="1"/>
    <m/>
    <d v="2025-12-24T00:00:00"/>
    <n v="145"/>
    <n v="5"/>
    <n v="2026"/>
    <s v="baru"/>
    <s v="6934/SPP/SBU/PLNICONPLUS/2025"/>
    <s v="4500025412"/>
    <s v="Livia Indraswati"/>
    <s v="Asima"/>
    <m/>
    <m/>
    <m/>
    <m/>
    <m/>
    <m/>
    <m/>
    <m/>
    <m/>
    <n v="185"/>
    <m/>
  </r>
  <r>
    <n v="2298"/>
    <s v="DCI Indonesia"/>
    <s v="Bank Pembangunan Daerah Kalimantan Selatan"/>
    <s v="Equity Tower 17th floor suite F SCBD lot Jl Jend Sudirman Kav 52-53 Jakarta 12201"/>
    <x v="1"/>
    <s v="JL. HALMAHERA KAWASAN INDUSTRI MM2100, DANAU INDAH, CIKARANG, JAWA BARAT, INDONESIA"/>
    <s v="JL. LAMBUNG MANGKURAT NO. 7, BANJARMASIN, KOTA BANJARMASIN, KALIMANTAN SELATAN, INDONESIA, 70111"/>
    <s v="Sewa Tahunan"/>
    <s v="Cross Connect"/>
    <s v="PA/ACT/2206/15612"/>
    <m/>
    <m/>
    <s v="IPVPN"/>
    <s v="1 Mbps"/>
    <m/>
    <n v="22200000"/>
    <m/>
    <m/>
    <n v="36000000"/>
    <m/>
    <d v="2025-05-30T00:00:00"/>
    <d v="2026-05-29T00:00:00"/>
    <x v="1"/>
    <m/>
    <d v="2025-12-24T00:00:00"/>
    <n v="156"/>
    <n v="5"/>
    <n v="2026"/>
    <s v="3205/SPP/SBU/PLNICONPLUS/2024 | 4500022698"/>
    <s v="6995/SPP/SBU/PLNICONPLUS/2025"/>
    <s v="4500025479"/>
    <s v="Livia Indraswati"/>
    <s v="Asima"/>
    <m/>
    <m/>
    <m/>
    <m/>
    <m/>
    <m/>
    <m/>
    <m/>
    <m/>
    <n v="157"/>
    <m/>
  </r>
  <r>
    <n v="2299"/>
    <s v="DCI Indonesia"/>
    <s v="United Nations Development Programme (UNDP)"/>
    <s v="Equity Tower 17th floor suite F SCBD lot Jl Jend Sudirman Kav 52-53 Jakarta 12202"/>
    <x v="1"/>
    <s v="AWS DATA CENTER JAKARTA - JL. JEND. SUDIRMAN, SCBD LOT 9, 52-53 (EQUITY TOWER, 49TH FLOOR)"/>
    <s v="BGSI OFFICE – EIJKMAN BUILDING - JL. PANGERAN DIPONEGORO NO.69, RW.5, KENARI, KEC. SENEN, KOTA JAKARTA PUSAT, DAERAH KHUSUS IBUKOTA JAKARTA 10430"/>
    <s v="Sewa Tahunan"/>
    <s v="Cross Connect"/>
    <s v="A811202000149"/>
    <m/>
    <m/>
    <s v="Metronet "/>
    <s v="2 Gbps"/>
    <m/>
    <n v="513600000"/>
    <m/>
    <m/>
    <n v="72000000"/>
    <m/>
    <d v="2025-07-17T00:00:00"/>
    <d v="2026-07-16T00:00:00"/>
    <x v="1"/>
    <m/>
    <d v="2025-12-24T00:00:00"/>
    <n v="204"/>
    <n v="7"/>
    <n v="2026"/>
    <s v="4047/SPP/SBU/PLNICONPLUS/2024 | 4500023227"/>
    <s v="7201/SPP/SBU/PLNICONPLUS/2025"/>
    <s v="4500025622"/>
    <s v="Livia Indraswati"/>
    <s v="Asima"/>
    <m/>
    <m/>
    <m/>
    <m/>
    <m/>
    <m/>
    <m/>
    <m/>
    <m/>
    <n v="202"/>
    <m/>
  </r>
  <r>
    <n v="2300"/>
    <s v="Aplikanusa Lintasarta"/>
    <s v="PT Solusi Pembayaran Elektronik"/>
    <s v="Equity Tower 17th floor suite F SCBD lot Jl Jend Sudirman Kav 52-53 Jakarta 12203"/>
    <x v="1"/>
    <m/>
    <s v="LINTASARTA TECHNOPARK DC) Perangkat PT Solusi Pembayaran Elektronik DC Lintas Arta Taman Tekno lantai 2 RACK DC-2B-AV23_x000a_KOMPLEK PERGUDANGAN TAMAN TEKNO BLOK D NO.8, BSD, SETU, KEC. SETU, KOTA TANGERANG SELATAN, BANTEN 15314"/>
    <s v="Sewa Tahunan"/>
    <s v="Cross Connect"/>
    <s v="A821303000708"/>
    <m/>
    <m/>
    <s v="Internet Dedicated"/>
    <s v="100 Mbps"/>
    <m/>
    <n v="149400000"/>
    <m/>
    <m/>
    <n v="60000000"/>
    <m/>
    <d v="2025-06-26T00:00:00"/>
    <d v="2026-06-25T00:00:00"/>
    <x v="1"/>
    <m/>
    <d v="2025-12-24T00:00:00"/>
    <n v="183"/>
    <n v="6"/>
    <n v="2026"/>
    <s v="3237/SPP/SBU/PLNICONPLUS/2024 | 4500022969"/>
    <s v="6810/SPP/SBU/PLNICONPLUS/2025"/>
    <s v="4500025289"/>
    <s v="Livia Indraswati"/>
    <s v="Syarifah"/>
    <m/>
    <m/>
    <m/>
    <m/>
    <m/>
    <m/>
    <m/>
    <m/>
    <m/>
    <n v="158"/>
    <m/>
  </r>
  <r>
    <n v="2301"/>
    <s v="Aplikanusa Lintasarta"/>
    <s v="PT Prima Vista Solusi"/>
    <s v="Lintasarta Building , Jl.TB Simatupang Kav 10. Jakarta Selatan 12430"/>
    <x v="1"/>
    <s v="(Backhaul) DC Lintas Artha Taman Tekno. Kav C/09A, Jl. Tekno Widya No.9 A,, Setu, Kota Tangerang Selatan, Banten, Indonesia, 15314"/>
    <s v="Jakarta Selatan, DKI Jakarta, Indonesia"/>
    <s v="Sewa Tahunan"/>
    <s v="Cross Connect"/>
    <s v="PA/ACT/1904/2085"/>
    <m/>
    <m/>
    <s v="IPVPN"/>
    <s v="512 Kbps"/>
    <m/>
    <n v="36000000"/>
    <m/>
    <m/>
    <n v="15000000"/>
    <m/>
    <d v="2025-05-10T00:00:00"/>
    <d v="2026-05-09T00:00:00"/>
    <x v="1"/>
    <m/>
    <d v="2025-12-24T00:00:00"/>
    <n v="136"/>
    <n v="5"/>
    <n v="2026"/>
    <s v="3935/SPP/SBU/PLNICONPLUS/2024 | 4500023187"/>
    <s v="6790/SPP/SBU/PLNICONPLUS/2025"/>
    <s v="4500025288"/>
    <s v="Livia Indraswati"/>
    <s v="Syarifah"/>
    <m/>
    <m/>
    <m/>
    <m/>
    <m/>
    <m/>
    <m/>
    <m/>
    <m/>
    <n v="153"/>
    <m/>
  </r>
  <r>
    <n v="2302"/>
    <s v="Aplikanusa Lintasarta"/>
    <s v="Bank Riau Kepri"/>
    <s v="Lintasarta Building , Jl.TB Simatupang Kav 10. Jakarta Selatan 12431"/>
    <x v="1"/>
    <s v="DATA CENTER GTN, JL. MATARAM NO.6A, CIBATU, CIKARANG SEL., KABUPATEN BEKASI, JAWA BARAT 17530 (CAGE BANK RIAU KEPRI RAK 02 (NETWORK)"/>
    <s v="DRC LINTASARTA TB SIMATUPANG JAKARTA : GEDUNG LINTASARTA, JL. TAHI BONAR SIMATUPANG RAYA NO.16, RT.16/RW.6, WEST CILANDAK, CILANDAK, SOUTH JAKARTA CITY, JAKARTA 12430"/>
    <s v="Sewa Tahunan"/>
    <s v="Cross Connect"/>
    <s v="A221202000952"/>
    <n v="221202002571"/>
    <m/>
    <s v="Metronet "/>
    <s v="20 Mbps"/>
    <m/>
    <n v="240000000"/>
    <m/>
    <m/>
    <n v="21000000"/>
    <m/>
    <d v="2025-04-22T00:00:00"/>
    <d v="2026-04-21T00:00:00"/>
    <x v="1"/>
    <m/>
    <d v="2025-12-24T00:00:00"/>
    <n v="118"/>
    <n v="4"/>
    <n v="2026"/>
    <s v="4118/SPP/SBU/PLNICONPLUS/2024 | 4500023413"/>
    <s v="6806/SPP/SBU/PLNICONPLUS/2025"/>
    <s v="4500025320"/>
    <s v="Livia Indraswati"/>
    <s v="Syarifah"/>
    <m/>
    <m/>
    <m/>
    <m/>
    <m/>
    <m/>
    <m/>
    <m/>
    <m/>
    <n v="188"/>
    <m/>
  </r>
  <r>
    <n v="2303"/>
    <s v="Aplikanusa Lintasarta"/>
    <s v="PT Telkom Satelit Indonesia"/>
    <s v="Lintasarta Building , Jl.TB Simatupang Kav 10. Jakarta Selatan 12432"/>
    <x v="1"/>
    <s v="GEDUNG MNC VISION LANTAI 3, Z/III, JL. PANJANG JL. KOMP. GREEN GARDEN, RT.3/RW.9, KEDOYA UTARA, KEC. KB. JERUK, KOTA JAKARTA BARAT"/>
    <s v="GEDUNG LINTASARTA, JL. TAHI BONAR SIMATUPANG RAYA NO.16, RT.16/RW.6, WEST CILANDAK, CILANDAK, SOUTH JAKARTA CITY, JAKARTA 12430"/>
    <s v="Sewa Tahunan"/>
    <s v="Cross Connect"/>
    <m/>
    <s v="110120214832 / 01000121091"/>
    <m/>
    <s v="Metronet Qinq"/>
    <s v="75 Mbps"/>
    <m/>
    <n v="216000000"/>
    <m/>
    <m/>
    <n v="24000000"/>
    <m/>
    <d v="2021-07-30T00:00:00"/>
    <d v="2026-07-29T00:00:00"/>
    <x v="1"/>
    <m/>
    <d v="2025-12-24T00:00:00"/>
    <n v="217"/>
    <n v="7"/>
    <n v="2026"/>
    <s v="13940/SPP/008/PUSAT/ICON+/2020 | 4500014792"/>
    <s v="7078/SPP/SBU/PLNICONPLUS/2025"/>
    <s v="4500025620"/>
    <s v="Livia Indraswati"/>
    <s v="Syarifah"/>
    <m/>
    <m/>
    <m/>
    <m/>
    <m/>
    <m/>
    <m/>
    <m/>
    <m/>
    <n v="103"/>
    <m/>
  </r>
  <r>
    <n v="2304"/>
    <s v="Aplikanusa Lintasarta"/>
    <s v="Bank BTPN"/>
    <s v="Lintasarta Building , Jl.TB Simatupang Kav 10. Jakarta Selatan 12433"/>
    <x v="1"/>
    <s v="DATA CENTER IBM (TELKOM SIGMA) SENTUL JL. IR HAJI JUANDA NO. F3, SENTUL CITY, CITEUREUP-BOGOR INDONESIA,- ,- ,- ,INDONESIA ,"/>
    <s v="LINTAS ARTA TAMAN TEKNO BSD KOMPLEK PERGUDANGAN TAMAN TEKNO BLOK D NO. 8, BSD, SETU, KEC. SETU. KOTA TANGERANG SELATAN, BANTEN 15314 DATA HALL 2B, RACK AS 23"/>
    <s v="Sewa Tahunan"/>
    <s v="Cross Connect"/>
    <m/>
    <s v="110120207019 / 0990000320488913"/>
    <m/>
    <s v="Metronet"/>
    <s v="1 Mbps"/>
    <m/>
    <n v="25200000"/>
    <m/>
    <m/>
    <n v="24000000"/>
    <m/>
    <d v="2024-09-30T00:00:00"/>
    <d v="2026-09-29T00:00:00"/>
    <x v="1"/>
    <m/>
    <d v="2025-12-24T00:00:00"/>
    <n v="279"/>
    <n v="9"/>
    <n v="2026"/>
    <s v="1552/SPP/SBU/ICON+/2023 | 4500021739"/>
    <s v="6847/SPP/SBU/PLNICONPLUS/2025"/>
    <s v="4500025619"/>
    <s v="Livia Indraswati"/>
    <s v="Syarifah"/>
    <m/>
    <m/>
    <m/>
    <m/>
    <m/>
    <m/>
    <m/>
    <m/>
    <m/>
    <n v="205"/>
    <m/>
  </r>
  <r>
    <n v="2305"/>
    <s v="Media Nusantara Data Global"/>
    <s v="PT Cyberindo Aditama"/>
    <s v="Jl. Kuningan Barat No. 8 Cyber Building 1st &amp; 2nd Jakarta Selatan 12712"/>
    <x v="1"/>
    <m/>
    <s v="Gedung Cyber. JL. KUNINGAN BARAT RAYA NO.8, RT.1/RW.3, KUNINGAN BAR., KEC. MAMPANG PRPT., KOTA JAKARTA SELATAN, DAERAH KHUSUS IBUKOTA JAKARTA 12710 "/>
    <s v="Sewa Tahunan"/>
    <s v="Cross Connect"/>
    <m/>
    <n v="110120400006"/>
    <m/>
    <s v="Kapasitas Besar"/>
    <s v="100 Gbps"/>
    <m/>
    <n v="2400000000"/>
    <m/>
    <m/>
    <n v="36000000"/>
    <m/>
    <d v="2025-03-16T00:00:00"/>
    <d v="2026-03-15T00:00:00"/>
    <x v="1"/>
    <m/>
    <d v="2025-12-24T00:00:00"/>
    <n v="81"/>
    <n v="3"/>
    <n v="2026"/>
    <s v="2479/SPP/SBU/ICON+/2024 | 4500022305"/>
    <s v="6755/SPP/SBU/PLNICONPLUS/2025"/>
    <s v="4500025285"/>
    <s v="Livia Indraswati"/>
    <s v="Ira"/>
    <m/>
    <m/>
    <m/>
    <m/>
    <m/>
    <m/>
    <m/>
    <m/>
    <m/>
    <n v="146"/>
    <m/>
  </r>
  <r>
    <n v="2306"/>
    <s v="Media Nusantara Data Global"/>
    <s v="PT Indonesia Comnets Plus"/>
    <s v="Jl. Kuningan Barat No. 8 Cyber Building 1st &amp; 2nd Jakarta Selatan 12710"/>
    <x v="1"/>
    <m/>
    <s v="Menara Jamsostek, Jalan Gatot Subroto, Kav 38. RT.6/RW.1, Kuningan Barat, Mampang Prapatan, Jakarta Selatan, Indonesia 12710"/>
    <s v="Sewa Tahunan"/>
    <s v="Cross Connect"/>
    <m/>
    <m/>
    <m/>
    <s v="IPVPN"/>
    <m/>
    <m/>
    <m/>
    <m/>
    <m/>
    <n v="18000000"/>
    <m/>
    <d v="2025-05-17T00:00:00"/>
    <d v="2026-05-16T00:00:00"/>
    <x v="1"/>
    <m/>
    <d v="2025-12-24T00:00:00"/>
    <n v="143"/>
    <n v="5"/>
    <n v="2026"/>
    <s v="3526/SPP/SBU/PLNICONPLUS/2024 | 4500022826"/>
    <s v="6906/SPP/SBU/PLNICONPLUS/2025"/>
    <s v="4500025327"/>
    <s v="Livia Indraswati"/>
    <s v="Ira"/>
    <m/>
    <m/>
    <m/>
    <m/>
    <m/>
    <m/>
    <m/>
    <m/>
    <m/>
    <n v="145"/>
    <m/>
  </r>
  <r>
    <n v="2307"/>
    <s v="Media Nusantara Data Global"/>
    <s v="Join All Customer"/>
    <s v="Jl. Kuningan Barat No. 8 Cyber Building 1st &amp; 2nd Jakarta Selatan 12711"/>
    <x v="4"/>
    <m/>
    <s v="Cyber 1"/>
    <s v="Sewa Tahunan"/>
    <s v="Cross Connect"/>
    <m/>
    <m/>
    <m/>
    <s v="Metronet"/>
    <m/>
    <m/>
    <m/>
    <m/>
    <m/>
    <n v="36000000"/>
    <m/>
    <d v="2025-02-05T00:00:00"/>
    <d v="2026-02-04T00:00:00"/>
    <x v="1"/>
    <m/>
    <d v="2025-12-24T00:00:00"/>
    <n v="42"/>
    <n v="2"/>
    <n v="2026"/>
    <s v="2627/SPP/SBU/ICON+/2024 | 4500022329"/>
    <s v="6896/SPP/SBU/PLNICONPLUS/2025"/>
    <s v="4500025318"/>
    <s v="Fajar Paramita"/>
    <s v="Ira"/>
    <m/>
    <m/>
    <m/>
    <m/>
    <m/>
    <m/>
    <m/>
    <m/>
    <m/>
    <n v="170"/>
    <m/>
  </r>
  <r>
    <n v="2308"/>
    <s v="Media Nusantara Data Global"/>
    <s v="Join All Customer"/>
    <s v="Jl. Kuningan Barat No. 8 Cyber Building 1st &amp; 2nd Jakarta Selatan 12712"/>
    <x v="1"/>
    <m/>
    <s v="Cyber 1"/>
    <s v="Sewa Tahunan"/>
    <s v="Colocation"/>
    <m/>
    <s v="111204000104"/>
    <m/>
    <s v="Metronet"/>
    <m/>
    <m/>
    <m/>
    <m/>
    <m/>
    <n v="1391000000"/>
    <m/>
    <d v="2025-03-01T00:00:00"/>
    <d v="2026-02-28T00:00:00"/>
    <x v="1"/>
    <m/>
    <d v="2025-12-24T00:00:00"/>
    <n v="66"/>
    <n v="2"/>
    <n v="2026"/>
    <s v="45000019940 / 4500024448"/>
    <s v="7282/SPP/PUSAT/PLNICONPLUS/2025"/>
    <n v="4500025638"/>
    <s v="Fajar Paramita"/>
    <s v="Ira"/>
    <m/>
    <m/>
    <m/>
    <m/>
    <m/>
    <m/>
    <m/>
    <m/>
    <m/>
    <n v="169"/>
    <m/>
  </r>
  <r>
    <n v="2309"/>
    <s v="Jakarta Industrial Estate Pulogadung (Persero) (JIEP) "/>
    <s v="PT Pama Persada Nusantara"/>
    <s v="Jl. Kuningan Barat No. 8 Cyber Building 1st &amp; 2nd Jakarta Selatan 12713"/>
    <x v="1"/>
    <s v="Jl. Rawagelam I No.9, RT.1/RW.9, Jatinegara, Kec. Cakung, Kota Jakarta Timur, Daerah Khusus Ibukota Jakarta 13930"/>
    <s v="Jl. Rawagelam I No.9, RT.1/RW.9, Jatinegara, Kec. Cakung, Kota Jakarta Timur, Daerah Khusus Ibukota Jakarta"/>
    <s v="Sewa Tahunan"/>
    <s v="Colocation"/>
    <s v="PA/ACT/1803/0231/TER"/>
    <m/>
    <m/>
    <s v="Metronet"/>
    <s v="500 Mbps"/>
    <m/>
    <n v="564000000"/>
    <m/>
    <m/>
    <n v="28350000"/>
    <m/>
    <d v="2025-05-23T00:00:00"/>
    <d v="2026-05-22T00:00:00"/>
    <x v="1"/>
    <m/>
    <d v="2025-12-24T00:00:00"/>
    <n v="149"/>
    <n v="5"/>
    <n v="2026"/>
    <s v="3895/SPP/SBU/PLNICONPLUS/2024 | 4500023102"/>
    <s v="6748/SPP/SBU/PLNICONPLUS/2025"/>
    <s v="4500025492"/>
    <s v="Livia Indraswati"/>
    <s v="Dana"/>
    <m/>
    <m/>
    <m/>
    <m/>
    <m/>
    <m/>
    <m/>
    <m/>
    <m/>
    <n v="181"/>
    <m/>
  </r>
  <r>
    <n v="2310"/>
    <s v="Jakarta Industrial Estate Pulogadung (Persero) (JIEP) "/>
    <s v="PT Kimia Farma "/>
    <s v="Jl. Pulokambing No. 1 Lahan Industri Pulogadung Jakarta Timur 13290"/>
    <x v="1"/>
    <m/>
    <s v="Kawasan Industri Pulo Gadung Blok N6-11, Jalan Rawa Gelam 5 No. 1, RW.9, Jatinegara, Cakung, Kota Jakarta Timur, Daerah Khusus Ibukota Jakarta,  Pulo Gadung,  Kota Administrasi Jakarta Timur,  .Banten - salah,  Indonesia,  13920"/>
    <s v="Sewa Tahunan"/>
    <s v="Colocation"/>
    <s v="PA/RLK/2109/0017"/>
    <m/>
    <m/>
    <s v="IIX"/>
    <s v="50 Mbps"/>
    <m/>
    <n v="90000000"/>
    <m/>
    <m/>
    <n v="36120000"/>
    <m/>
    <d v="2025-06-19T00:00:00"/>
    <d v="2026-06-18T00:00:00"/>
    <x v="1"/>
    <m/>
    <d v="2025-12-24T00:00:00"/>
    <n v="176"/>
    <n v="6"/>
    <n v="2026"/>
    <s v="3752/SPP/SBU/PLNICONPLUS/2024 | 4500022994"/>
    <s v="6811/SPP/SBU/PLNICONPLUS/2025"/>
    <s v="4500025493"/>
    <s v="Livia Indraswati"/>
    <s v="Dana"/>
    <m/>
    <m/>
    <m/>
    <m/>
    <m/>
    <m/>
    <m/>
    <m/>
    <m/>
    <n v="182"/>
    <m/>
  </r>
  <r>
    <n v="2311"/>
    <s v="Jakarta Industrial Estate Pulogadung (Persero) (JIEP) "/>
    <s v="PT Nettocyber Indonesia"/>
    <s v="Jl. Pulokambing No. 1 Lahan Industri Pulogadung Jakarta Timur 13291"/>
    <x v="1"/>
    <s v="MENARA RAJAWALI, JL. DR. IDE ANAK AGUNG GDE AGUNG, RT.5/RW.2, KUNINGAN, KUNINGAN TIM., KECAMATAN SETIABUDI, KOTA JAKARTA SELATAN, DKI JAKARTA"/>
    <s v="PT DHARMA SATYA NUSANTARA TBK JL. RAWA GELAM V KAV. OR/3B, RW.9, KAWASAN INDUSTRI, JATINEGARA, KEC. PULO GADUNG, KOTA JAKARTA TIMUR"/>
    <s v="Sewa Tahunan"/>
    <s v="Colocation"/>
    <m/>
    <s v="0990000320298146"/>
    <m/>
    <s v="Metronet"/>
    <s v="200 Mbps"/>
    <m/>
    <n v="112800000"/>
    <m/>
    <m/>
    <n v="79380000"/>
    <m/>
    <d v="2025-04-13T00:00:00"/>
    <d v="2026-04-12T00:00:00"/>
    <x v="1"/>
    <m/>
    <d v="2025-12-24T00:00:00"/>
    <n v="109"/>
    <n v="4"/>
    <n v="2026"/>
    <s v="4328/SPP/SBU/PLNICONPLUS/2024 | 4500024030"/>
    <s v="7080/SPP/SBU/PLNICONPLUS/2025"/>
    <s v="4500025491"/>
    <s v="Livia Indraswati"/>
    <s v="Dana"/>
    <m/>
    <m/>
    <m/>
    <m/>
    <m/>
    <m/>
    <m/>
    <m/>
    <m/>
    <n v="183"/>
    <m/>
  </r>
  <r>
    <n v="2312"/>
    <s v="Jakarta Industrial Estate Pulogadung (Persero) (JIEP) "/>
    <s v="PT PLN Persero Kantor Pusat"/>
    <s v="Jl. Pulokambing No. 1 Lahan Industri Pulogadung Jakarta Timur 13292"/>
    <x v="1"/>
    <s v="[UID JAYA - UP2D] [UP3 CEMPAKA PUTIH] "/>
    <s v="PG 72"/>
    <s v="Sewa Tahunan"/>
    <s v="Colocation"/>
    <m/>
    <s v="01000117434"/>
    <m/>
    <s v="IPVPN"/>
    <m/>
    <m/>
    <n v="38196000"/>
    <m/>
    <m/>
    <n v="30975000"/>
    <m/>
    <d v="2025-10-16T00:00:00"/>
    <d v="2026-10-15T00:00:00"/>
    <x v="1"/>
    <m/>
    <d v="2025-12-24T00:00:00"/>
    <n v="295"/>
    <n v="10"/>
    <n v="2026"/>
    <s v="5071/SPP/SBU/PLNICONPLUS/2024 | 4500024029"/>
    <s v="7207/SPP/SBU/PLNICONPLUS/2025"/>
    <s v="4500025624"/>
    <s v="Livia Indraswati"/>
    <s v="Dana"/>
    <m/>
    <m/>
    <m/>
    <m/>
    <m/>
    <m/>
    <m/>
    <m/>
    <m/>
    <n v="189"/>
    <m/>
  </r>
  <r>
    <n v="2313"/>
    <s v="Jakarta Industrial Estate Pulogadung (Persero) (JIEP) "/>
    <s v="PT PLN Persero Kantor Pusat"/>
    <s v="Jl. Pulokambing No. 1 Lahan Industri Pulogadung Jakarta Timur 13293"/>
    <x v="1"/>
    <s v="[UID JAYA - UP2D] [UP3 CEMPAKA PUTIH] "/>
    <s v="GH 0017"/>
    <s v="Sewa Tahunan"/>
    <s v="Colocation"/>
    <s v="A831205000620"/>
    <n v="111205024440"/>
    <m/>
    <s v="IPVPN"/>
    <m/>
    <m/>
    <n v="35402400"/>
    <m/>
    <m/>
    <n v="38850000"/>
    <m/>
    <d v="2025-03-06T00:00:00"/>
    <d v="2026-03-05T00:00:00"/>
    <x v="1"/>
    <m/>
    <d v="2025-12-24T00:00:00"/>
    <n v="71"/>
    <n v="3"/>
    <n v="2026"/>
    <n v="4500022547"/>
    <s v="7254/SPP/SBU/PLNICONPLUS/2025"/>
    <s v="4500025623"/>
    <s v="Livia Indraswati"/>
    <s v="Dana"/>
    <m/>
    <m/>
    <m/>
    <m/>
    <m/>
    <m/>
    <m/>
    <m/>
    <m/>
    <n v="190"/>
    <m/>
  </r>
  <r>
    <n v="2314"/>
    <s v="Telkom Data Ekosistem"/>
    <s v="PT Astra Sedaya Finance"/>
    <s v="German Centre Building 3rd and 5th floor Jl. Kapt. Subijanto DJ Bumi Serpong Damai"/>
    <x v="1"/>
    <s v="Jl. RS. Fatmawati Raya No.9 1 5, RT.1/RW.5, Gandaria Sel., Kec. Cilandak, Kota Jakarta Selatan, Daerah Khusus Ibukota Jakarta, Cilandak, Jakarta Selatan, DKI Jakarta, Indonesia, 12430"/>
    <s v="Data Center Telkom Sigma South Tangerang, Lengkong Gudang, Serpong Sub-District, South Tangerang City, Banten, Serpong, Kota Tangerang, Banten, Indonesia, 15310"/>
    <s v="Sewa Tahunan"/>
    <s v="Cross Connect"/>
    <s v="AL/2004/13572"/>
    <s v="01000106596"/>
    <m/>
    <s v="Metronet"/>
    <s v="1 Mbps"/>
    <m/>
    <n v="24000000"/>
    <m/>
    <m/>
    <n v="6000000"/>
    <m/>
    <d v="2025-03-16T00:00:00"/>
    <d v="2026-03-15T00:00:00"/>
    <x v="1"/>
    <m/>
    <d v="2025-12-24T00:00:00"/>
    <n v="81"/>
    <n v="3"/>
    <n v="2026"/>
    <s v="3228/SPP/SBU/PLNICONPLUS/2024 | 4500022662"/>
    <s v="6788/SPP/SBU/PLNICONPLUS/2025"/>
    <s v="4500025286"/>
    <s v="Livia Indraswati"/>
    <s v="Yudhi Sukma"/>
    <m/>
    <m/>
    <m/>
    <m/>
    <m/>
    <m/>
    <m/>
    <m/>
    <m/>
    <n v="151"/>
    <m/>
  </r>
  <r>
    <n v="2315"/>
    <s v="Telkom Data Ekosistem"/>
    <s v="PT Federal International Finance"/>
    <s v="German Centre Building 3rd and 5th floor Jl. Kapt. Subijanto DJ Bumi Serpong Damai"/>
    <x v="1"/>
    <s v="Data Center FIF, German Center Lt. 5, Jl. Kapt. Subijanto No.1 Bumi Serpong Damai, Tangerang, Tangerang Selatan, Jakarta, Banten, Indonesia, 15321"/>
    <s v="DRC FIF Lantai 2,Telkom Sigma JL. Bukit Bali Lakarsantri - Citraland Blok 3/2, Citraland, Surabaya, Jawa Timur, Indonesia, 60211"/>
    <s v="Sewa Tahunan"/>
    <s v="Cross Connect"/>
    <s v="PA/ACT/1812/0388"/>
    <s v="01000035937"/>
    <m/>
    <s v="Metronet"/>
    <s v="1 Gbps"/>
    <m/>
    <n v="480000000"/>
    <m/>
    <m/>
    <n v="6000000"/>
    <m/>
    <d v="2025-04-16T00:00:00"/>
    <d v="2026-04-15T00:00:00"/>
    <x v="1"/>
    <m/>
    <d v="2025-12-24T00:00:00"/>
    <n v="112"/>
    <n v="4"/>
    <n v="2026"/>
    <s v="3134/SPP/SBU/PLNICONPLUS/2024 | 4500022574"/>
    <s v="6789/SPP/SBU/PLNICONPLUS/2025"/>
    <s v="4500025287"/>
    <s v="Livia Indraswati"/>
    <s v="Yudhi Sukma"/>
    <m/>
    <m/>
    <m/>
    <m/>
    <m/>
    <m/>
    <m/>
    <m/>
    <m/>
    <n v="149"/>
    <m/>
  </r>
  <r>
    <n v="2316"/>
    <s v="Telkom Data Ekosistem"/>
    <s v="PT XL Axiata"/>
    <s v="German Centre Building 3rd and 5th floor Jl. Kapt. Subijanto DJ Bumi Serpong Damai"/>
    <x v="1"/>
    <s v="NNI XL GD Cyber Lt 5 Jl. Kuningan Barat No. 8, Jakarta Selatan"/>
    <s v="PT Arthatech Selaras, [007C1177L30] DC Telkomsigma Sentul Lt. 1, Cijayanti, Babakan Madang, Kabupaten Bogor,  Jawa Barat, Indonesia, 16810"/>
    <s v="Sewa Tahunan"/>
    <s v="Cross Connect"/>
    <s v="PA/ACT/2005/0446"/>
    <m/>
    <m/>
    <s v="Metronet"/>
    <s v="1 Mbps"/>
    <m/>
    <n v="54000000"/>
    <m/>
    <m/>
    <n v="24000000"/>
    <m/>
    <d v="2025-06-26T00:00:00"/>
    <d v="2026-06-25T00:00:00"/>
    <x v="1"/>
    <m/>
    <d v="2025-12-24T00:00:00"/>
    <n v="183"/>
    <n v="6"/>
    <n v="2026"/>
    <s v="3214/SPP/SBU/PLNICONPLUS/2024 | 4500023468"/>
    <s v="6900/SPP/SBU/PLNICONPLUS/2025"/>
    <s v="4500025322"/>
    <s v="Livia Indraswati"/>
    <s v="Yudhi Sukma"/>
    <m/>
    <m/>
    <m/>
    <m/>
    <m/>
    <m/>
    <m/>
    <m/>
    <m/>
    <n v="150"/>
    <m/>
  </r>
  <r>
    <n v="2317"/>
    <s v="Telkom Data Ekosistem"/>
    <s v="PT Prodia Widyahusada"/>
    <s v="German Centre Building 3rd and 5th floor Jl. Kapt. Subijanto DJ Bumi Serpong Damai"/>
    <x v="1"/>
    <m/>
    <s v="(PRODIA GUNUNG PUTRI) KOTA WISATA, RUKO BOSTON SQUARE RK 1 NOMOR 15-16, KELURAHAN CIANGSANA, KEC GUNUNG PUTRI, KAB BOGOR JAWA BARAT"/>
    <s v="Sewa Tahunan"/>
    <s v="Cross Connect"/>
    <s v="A111205004521"/>
    <s v="111205026285 dan 111601012406"/>
    <m/>
    <s v="IPVPN"/>
    <s v="4 Mbps"/>
    <m/>
    <n v="25200000"/>
    <m/>
    <m/>
    <n v="6000000"/>
    <m/>
    <d v="2025-07-05T00:00:00"/>
    <d v="2026-07-04T00:00:00"/>
    <x v="1"/>
    <m/>
    <d v="2025-12-24T00:00:00"/>
    <n v="192"/>
    <n v="7"/>
    <n v="2026"/>
    <s v="3834/SPP/SBU/PLNICONPLUS/2024 | 4500023107"/>
    <s v="7202/SPP/SBU/PLNICONPLUS/2025"/>
    <s v="4500025625"/>
    <s v="Livia Indraswati"/>
    <s v="Yudhi Sukma"/>
    <m/>
    <m/>
    <m/>
    <m/>
    <m/>
    <m/>
    <m/>
    <m/>
    <m/>
    <n v="201"/>
    <m/>
  </r>
  <r>
    <n v="2318"/>
    <s v="Jekael Invesco"/>
    <s v="PT Indonesia Comnets Plus"/>
    <s v="German Centre Building 3rd and 5th floor Jl. Kapt. Subijanto DJ Bumi Serpong Damai"/>
    <x v="1"/>
    <m/>
    <s v="Menara Jamsostek, Jalan Gatot Subroto, Kav 38. RT.6/RW.1, Kuningan Barat, Mampang Prapatan, Jakarta Selatan, Indonesia 12710"/>
    <s v="Sewa Tahunan"/>
    <s v="Colocation"/>
    <m/>
    <m/>
    <m/>
    <s v="IPVPN"/>
    <m/>
    <m/>
    <m/>
    <m/>
    <m/>
    <n v="10000000"/>
    <m/>
    <d v="2025-07-22T00:00:00"/>
    <d v="2026-07-21T00:00:00"/>
    <x v="1"/>
    <m/>
    <d v="2025-12-24T00:00:00"/>
    <n v="209"/>
    <n v="7"/>
    <n v="2026"/>
    <s v="3831/SPP/SBU/PLNICONPLUS/2024 | 4500023033"/>
    <s v="6905/SPP/SBU/PLNICONPLUS/2025"/>
    <s v="4500025326"/>
    <s v="Livia Indraswati"/>
    <s v="Tri"/>
    <m/>
    <m/>
    <m/>
    <m/>
    <m/>
    <m/>
    <m/>
    <m/>
    <m/>
    <n v="144"/>
    <m/>
  </r>
  <r>
    <n v="2319"/>
    <s v="Jekael Invesco"/>
    <s v="PT Indonesia Comnets Plus"/>
    <s v="Gedung menara Selatan Lt.9 Jl. Jend. Gatot Subroto No. 38 Jakarta 12712"/>
    <x v="1"/>
    <m/>
    <s v="Menara Jamsostek, Jalan Gatot Subroto, Kav 38. RT.6/RW.1, Kuningan Barat, Mampang Prapatan, Jakarta Selatan, Indonesia 12710"/>
    <s v="Sewa Tahunan"/>
    <s v="Colocation"/>
    <m/>
    <m/>
    <m/>
    <s v="IPVPN"/>
    <m/>
    <m/>
    <m/>
    <m/>
    <m/>
    <n v="7500000"/>
    <m/>
    <d v="2025-07-16T00:00:00"/>
    <d v="2026-07-15T00:00:00"/>
    <x v="1"/>
    <m/>
    <d v="2025-12-24T00:00:00"/>
    <n v="203"/>
    <n v="7"/>
    <n v="2026"/>
    <s v="3830/SPP/SBU/PLNICONPLUS/2024 | 4500023032"/>
    <s v="6904/SPP/SBU/PLNICONPLUS/2025"/>
    <s v="4500025325"/>
    <s v="Livia Indraswati"/>
    <s v="Tri"/>
    <m/>
    <m/>
    <m/>
    <m/>
    <m/>
    <m/>
    <m/>
    <m/>
    <m/>
    <n v="143"/>
    <m/>
  </r>
  <r>
    <n v="2320"/>
    <s v="Dinamika Raya Prima"/>
    <s v="PT Bank Syariah Indonesia"/>
    <s v="Gedung menara Selatan Lt.9 Jl. Jend. Gatot Subroto No. 38 Jakarta 12712"/>
    <x v="1"/>
    <m/>
    <s v="(Relokasi Rack dan masih satu gedung) H2H BSM-Bukalapak, Data Center Biznet, Biznet Technovillage, PT. Dinamika Raya Prima (Relokasi lantai 3), Jl. Riverside Golf Club No. 1, Bojong Nangka"/>
    <s v="Sewa Tahunan"/>
    <s v="Cross Connect"/>
    <s v="PA/ACT/2302/10715"/>
    <m/>
    <m/>
    <s v="Metronet"/>
    <s v="1 Mbps"/>
    <m/>
    <n v="32432436"/>
    <m/>
    <m/>
    <n v="24000000"/>
    <m/>
    <d v="2025-03-28T00:00:00"/>
    <d v="2026-03-27T00:00:00"/>
    <x v="1"/>
    <m/>
    <d v="2025-12-24T00:00:00"/>
    <n v="93"/>
    <n v="3"/>
    <n v="2026"/>
    <s v="3093/SPP/SBU/PLNICONPLUS/2024"/>
    <s v="6751/SPP/SBU/PLNICONPLUS/2025"/>
    <s v="4500025283"/>
    <s v="Livia Indraswati"/>
    <s v="Farrah"/>
    <m/>
    <m/>
    <m/>
    <m/>
    <m/>
    <m/>
    <m/>
    <m/>
    <m/>
    <n v="160"/>
    <m/>
  </r>
  <r>
    <n v="2321"/>
    <s v="Dinamika Raya Prima"/>
    <s v="PT Graha Informatika Nusantara"/>
    <s v="MidPlaza 2 Lt. 8 Jl Jend. Sudirman 10-11 Jakarta 10220"/>
    <x v="4"/>
    <s v="TELKOMSEL TTC BUARAN JL. RADEN INTEN II NO.5, DUREN SAWIT, JAKARTA TIMUR, DKI JAKARTA, INDONESIA, 13440"/>
    <s v="PT. GRAHA INFORMATIKA NUSANTARA, BIZNET TECHNOVILLAGE JL. RIVERSIDE GOLF CLUB NO.1, BOJONG NANGKA, GUNUNG PUTRI, KABUPATEN BOGOR, JAWA BARAT, INDONESIA, 16965 "/>
    <s v="Sewa Tahunan"/>
    <s v="Cross Connect"/>
    <m/>
    <s v="110120202911 / 01000186797"/>
    <m/>
    <s v="Metronet"/>
    <s v="30 Mbps"/>
    <m/>
    <n v="108000000"/>
    <m/>
    <m/>
    <n v="24000000"/>
    <m/>
    <d v="2025-01-27T00:00:00"/>
    <d v="2026-01-26T00:00:00"/>
    <x v="1"/>
    <m/>
    <d v="2025-12-24T00:00:00"/>
    <n v="33"/>
    <n v="1"/>
    <n v="2026"/>
    <s v="3666/SPP/SBU/PLNICONPLUS/2024 | 4500022793"/>
    <s v="7203/SPP/SBU/PLNICONPLUS/2025"/>
    <s v="4500025627"/>
    <s v="Livia Indraswati"/>
    <s v="Farrah"/>
    <m/>
    <m/>
    <m/>
    <m/>
    <m/>
    <m/>
    <m/>
    <m/>
    <m/>
    <n v="194"/>
    <m/>
  </r>
  <r>
    <n v="2322"/>
    <s v="Dinamika Raya Prima"/>
    <s v="PT Supra Primatama Nusantara"/>
    <s v="MidPlaza 2 Lt. 8 Jl Jend. Sudirman 10-11 Jakarta 10221"/>
    <x v="1"/>
    <m/>
    <s v="BIZNET TECHNOVILLAGE JL. RIVERSIDE GOLF CLUB NO.1, BOJONG NANGKA, KEC. GN. PUTRI, KABUPATEN BOGOR, JAWA BARAT 16965"/>
    <s v="Sewa Tahunan"/>
    <s v="Cross Connect"/>
    <s v="A821204000166"/>
    <m/>
    <m/>
    <s v="P2P ETH Kapasitas Besar"/>
    <s v="20 Gbps"/>
    <n v="5000000"/>
    <n v="960000000"/>
    <m/>
    <n v="5000000"/>
    <n v="24000000"/>
    <m/>
    <d v="2025-07-16T00:00:00"/>
    <d v="2026-07-15T00:00:00"/>
    <x v="1"/>
    <m/>
    <d v="2025-12-24T00:00:00"/>
    <n v="203"/>
    <n v="7"/>
    <n v="2026"/>
    <s v="Baru"/>
    <s v="6932/SPP/SBU/PLNICONPLUS/2025"/>
    <s v="4500025704"/>
    <s v="Livia Indraswati"/>
    <s v="Farrah"/>
    <m/>
    <m/>
    <m/>
    <m/>
    <m/>
    <m/>
    <m/>
    <m/>
    <m/>
    <n v="105"/>
    <m/>
  </r>
  <r>
    <n v="2323"/>
    <s v="Turun Temurun Makmur Sejahtera"/>
    <s v="Bank Mega"/>
    <s v="MidPlaza 2 Lt. 8 Jl Jend. Sudirman 10-11 Jakarta 10222"/>
    <x v="1"/>
    <m/>
    <s v="050 KCP Kemang (Linknet), Wisma Bakrie CSU Lt.1, Jalan Kemang Raya No.4, Setiabudi, RT.11/RW.1, Bangka, Mampang Prapatan, Jakarta Selatan, DKI Jakarta, Indonesia, 12920 "/>
    <s v="Sewa Tahunan"/>
    <s v="Colocation"/>
    <s v="AL/2203/53132 "/>
    <m/>
    <m/>
    <s v="IPVPN"/>
    <s v="2 Mbps"/>
    <m/>
    <n v="26400000"/>
    <m/>
    <m/>
    <n v="12000000"/>
    <m/>
    <d v="2025-06-18T00:00:00"/>
    <d v="2026-06-17T00:00:00"/>
    <x v="1"/>
    <m/>
    <d v="2025-12-24T00:00:00"/>
    <n v="175"/>
    <n v="6"/>
    <n v="2026"/>
    <s v="3421/SPP/SBU/PLNICONPLUS/2024 | 4500022773"/>
    <s v="7132/SPP/SBU/PLNICONPLUS/2025"/>
    <s v="4500025490"/>
    <s v="Livia Indraswati"/>
    <s v="Nova"/>
    <m/>
    <m/>
    <m/>
    <m/>
    <m/>
    <m/>
    <m/>
    <m/>
    <m/>
    <n v="186"/>
    <m/>
  </r>
  <r>
    <n v="2324"/>
    <s v="Duta Pertiwi"/>
    <s v="PT Bank Mandiri"/>
    <s v="Gedung Graha Kapital 2 Lt.2_x000a_Jl. Kemang Raya I No. 7_x000a_Jakarta 12730"/>
    <x v="1"/>
    <m/>
    <s v="12710 JAKARTA ITC FATMAWATI, PERTOKOAN DUTA MAS BLOK A JL. FATMAWATI NO.17-18, RT.3/RW.5,CIPETE UTARA, JAKARTA SELATAN, DKI JAKARTA, INDONESIA, 12150"/>
    <s v="Sewa Tahunan"/>
    <s v="Colocation"/>
    <m/>
    <s v="110120501607 / 01000291337"/>
    <m/>
    <s v="IPVPN"/>
    <s v="8 Mbps"/>
    <m/>
    <n v="45818184"/>
    <m/>
    <m/>
    <n v="5355315"/>
    <m/>
    <d v="2025-08-30T00:00:00"/>
    <d v="2026-08-29T00:00:00"/>
    <x v="1"/>
    <m/>
    <d v="2025-12-24T00:00:00"/>
    <n v="248"/>
    <n v="8"/>
    <n v="2026"/>
    <s v="3669/SPP/SBU/PLNICONPLUS/2024 | 4500022947"/>
    <s v="7073/SPP/SBU/PLNICONPLUS/2025"/>
    <s v="4500025495"/>
    <s v="Livia Indraswati"/>
    <s v="Evie"/>
    <m/>
    <m/>
    <m/>
    <m/>
    <m/>
    <m/>
    <m/>
    <m/>
    <m/>
    <n v="187"/>
    <m/>
  </r>
  <r>
    <n v="2325"/>
    <s v="CBN Nusantara"/>
    <s v="PT Kaldu Sari Nabati"/>
    <s v="Cyber 2 Tower 2nd Floor Jl HR Rasuna Said Kav X-5 No 13 Jakarta 12950"/>
    <x v="1"/>
    <s v="Gedung Cyber 2, Lt. 2 Jl. H. R. Rasuna Said No.13, Indonesia, Kuningan, Kota Administrasi Jakarta Selatan, DKI Jakarta, Indonesia"/>
    <m/>
    <s v="Sewa Tahunan"/>
    <s v="Cross Connect"/>
    <s v="U121303001043 "/>
    <m/>
    <m/>
    <s v="Internet Dedicated"/>
    <s v="5 Mbps"/>
    <m/>
    <n v="115200000"/>
    <m/>
    <m/>
    <n v="6000000"/>
    <m/>
    <d v="2025-04-01T00:00:00"/>
    <d v="2026-03-31T00:00:00"/>
    <x v="1"/>
    <m/>
    <d v="2025-12-24T00:00:00"/>
    <n v="97"/>
    <n v="3"/>
    <n v="2026"/>
    <s v="4399/SPP/SBU/PLNICONPLUS/2024 | 4500023494"/>
    <s v="6753/SPP/SBU/PLNICONPLUS/2025"/>
    <s v="4500025284"/>
    <s v="Livia Indraswati"/>
    <s v="Erni Monalena"/>
    <m/>
    <m/>
    <m/>
    <m/>
    <m/>
    <m/>
    <m/>
    <m/>
    <m/>
    <n v="159"/>
    <m/>
  </r>
  <r>
    <n v="2326"/>
    <s v="CBN Nusantara"/>
    <s v="PT BCA Finance"/>
    <s v="Cyber 2 Tower 2nd Floor Jl HR Rasuna Said Kav X-5 No 13 Jakarta 12950"/>
    <x v="1"/>
    <s v="BACKHAUL IPVPN, GEDUNG CYBER CSF LT 1, JL. KUNINGAN BARAT NO. 8, MAMPANG PRAPATAN, JAKARTA SELATAN, DKI JAKARTA, INDONESIA"/>
    <s v="BACKHAUL IPVPN, GEDUNG CYBER CSF LT 1, JL. KUNINGAN BARAT NO. 8, MAMPANG PRAPATAN, JAKARTA SELATAN, DKI JAKARTA, INDONESIA"/>
    <s v="Sewa Tahunan"/>
    <s v="Cross Connect"/>
    <s v="R111205003083"/>
    <m/>
    <m/>
    <s v="IPVPN"/>
    <s v="64 Kbps"/>
    <m/>
    <n v="20160000"/>
    <m/>
    <m/>
    <n v="8000000"/>
    <m/>
    <d v="2025-04-29T00:00:00"/>
    <d v="2026-04-28T00:00:00"/>
    <x v="1"/>
    <m/>
    <d v="2025-12-24T00:00:00"/>
    <n v="125"/>
    <n v="4"/>
    <n v="2026"/>
    <n v="4500022546"/>
    <s v="6791/SPP/SBU/PLNICONPLUS/2025"/>
    <s v="4500025290"/>
    <s v="Livia Indraswati"/>
    <s v="Erni Monalena"/>
    <m/>
    <m/>
    <m/>
    <m/>
    <m/>
    <m/>
    <m/>
    <m/>
    <m/>
    <n v="152"/>
    <m/>
  </r>
  <r>
    <n v="2327"/>
    <s v="Rizki Lancar Sentosa"/>
    <s v="PT Bank Sinarmas"/>
    <s v="Cyber 2 Tower 2nd Floor Jl HR Rasuna Said Kav X-5 No 13 Jakarta 12950"/>
    <x v="1"/>
    <m/>
    <s v="ROXY SQUARE (Jl Kyai Tapa No 1 RT 010 RW010 Unit D3 Lower Ground dan Lantai 3)"/>
    <s v="Sewa Tahunan"/>
    <s v="Colocation"/>
    <s v="A821303000668_x000a_'A821303000671"/>
    <m/>
    <m/>
    <s v="Internet Dedicated"/>
    <m/>
    <m/>
    <n v="73543788"/>
    <m/>
    <m/>
    <n v="52500000"/>
    <m/>
    <d v="2025-07-01T00:00:00"/>
    <d v="2026-06-30T00:00:00"/>
    <x v="1"/>
    <m/>
    <d v="2025-12-24T00:00:00"/>
    <n v="188"/>
    <n v="6"/>
    <n v="2026"/>
    <s v="3467/SPP/SBU/PLNICONPLUS/2024 | 4500022816"/>
    <s v="6848/SPP/SBU/PLNICONPLUS/2025"/>
    <s v="4500025494"/>
    <s v="Livia Indraswati"/>
    <s v="Rini"/>
    <m/>
    <m/>
    <m/>
    <m/>
    <m/>
    <m/>
    <m/>
    <m/>
    <m/>
    <n v="204"/>
    <m/>
  </r>
  <r>
    <n v="2328"/>
    <s v="Indointernet"/>
    <s v="PT Primacom Interbuana"/>
    <s v="Rumah Indonet. Jl.Rempoa Raya No. 11 Ciputat. Tangerang Selatan – Banten 15412"/>
    <x v="1"/>
    <s v="GEDUNG CYBER, JL. KUNINGAN BARAT RAYA NO.8, RT.1/RW.3, KUNINGAN BAR, MAMPANG PRPT, JAKARTA SELATAN, DKI JAKARTA, INDONESIA, 12910      "/>
    <s v="RUMAH INDONET REMPOA JL. REMPOA RAYA NO. 11, CIPUTAT TIMUR, KOTA TANGERANG SELATAN, BANTEN, INDONESIA, 15412      "/>
    <s v="Sewa Tahunan"/>
    <s v="Cross Connect"/>
    <m/>
    <s v="110120208839 / 01000159405"/>
    <m/>
    <s v="Qinq Metro Ethernet"/>
    <s v="5 Mbps"/>
    <m/>
    <n v="51000000"/>
    <m/>
    <m/>
    <n v="12000000"/>
    <m/>
    <d v="2025-08-09T00:00:00"/>
    <d v="2026-08-08T00:00:00"/>
    <x v="1"/>
    <m/>
    <d v="2025-12-24T00:00:00"/>
    <n v="227"/>
    <n v="8"/>
    <n v="2026"/>
    <s v="5176/SPP/SBU/PLNICONPLUS/2024 | 4500024148"/>
    <s v="7204/SPP/SBU/PLNICONPLUS/2025"/>
    <s v="4500025626"/>
    <s v="Livia Indraswati"/>
    <s v="Supriatin"/>
    <m/>
    <m/>
    <m/>
    <m/>
    <m/>
    <m/>
    <m/>
    <m/>
    <m/>
    <n v="191"/>
    <m/>
  </r>
  <r>
    <n v="2329"/>
    <s v="Kawasan Lintas Biru Digital"/>
    <s v="PT Core Mediatech"/>
    <s v="Rumah Indonet. Jl.Rempoa Raya No. 11 Ciputat. Tangerang Selatan – Banten 15412"/>
    <x v="1"/>
    <s v="PT ULTRA MM2100 GANDASARI, KEC. CIKARANG BAR., KABUPATEN BEKASI, JAWA BARAT 17530"/>
    <s v="PT. Solusi Rekatama Makmur MM2100, Jl. Kw. Industri No.1, Mekarwangi, Kec. Cikarang Barat, Kab. Bekasi, Jawa Barat 17530"/>
    <s v="Sewa Tahunan"/>
    <s v="Colocation"/>
    <s v="A821202000185"/>
    <m/>
    <m/>
    <s v="Metronet"/>
    <s v="50 Mbps"/>
    <m/>
    <n v="111600000"/>
    <m/>
    <m/>
    <n v="78000000"/>
    <m/>
    <d v="2025-03-15T00:00:00"/>
    <d v="2026-03-14T00:00:00"/>
    <x v="1"/>
    <m/>
    <d v="2025-12-24T00:00:00"/>
    <n v="80"/>
    <n v="3"/>
    <n v="2026"/>
    <n v="4500022310"/>
    <s v="7052/SPP/SBU/PLNICONPLUS/2025"/>
    <s v="4500025621"/>
    <s v="Livia Indraswati"/>
    <s v="Marisa"/>
    <m/>
    <m/>
    <m/>
    <m/>
    <m/>
    <m/>
    <m/>
    <m/>
    <m/>
    <n v="104"/>
    <m/>
  </r>
  <r>
    <n v="2330"/>
    <s v="Multitech Infomedia"/>
    <s v="PT Jaringanku Sarana Nusantara"/>
    <s v="Jl. Kalimantan Gandasari MM2100 Kaw. Befa"/>
    <x v="1"/>
    <s v="Multitech Data Center / PT.Multitech Infomedia lokasi di Gedung Cyber, LT. 1, JL. Kuningan Barat, No. 8, Kuningan Barat, Mampang Prapatan untuk Rack utama JSN berada di Rack B14 MDC, KECAMATAN MAMPANG, Jakarta Selatan, DKI Jakarta"/>
    <s v="CV. HAANSIRO, RT.4 RW.1 Ds. Jontro, Jl Wijayakusuma No 6 RT 05 RW III, Perum Griya Sekar Asri, Sekarkurung, Desa, Sekarkurung, Muktiharjo, 59163, Kecamatan Wedarijaksa, Kabupaten Pati, Jawa Tengah"/>
    <s v="Sewa Tahunan"/>
    <s v="Cross Connect"/>
    <s v="U221204000020"/>
    <n v="131202052930"/>
    <m/>
    <s v="Kapasitas Besar"/>
    <s v="50000 Mbps"/>
    <m/>
    <n v="1320000000"/>
    <m/>
    <m/>
    <n v="42000000"/>
    <m/>
    <d v="2025-09-05T00:00:00"/>
    <d v="2026-09-04T00:00:00"/>
    <x v="1"/>
    <m/>
    <d v="2025-12-24T00:00:00"/>
    <n v="254"/>
    <n v="9"/>
    <n v="2026"/>
    <s v="4119/SPP/SBU/PLNICONPLUS/2024 | 4500023249"/>
    <s v="7072/SPP/SBU/PLNICONPLUS/2025"/>
    <s v="4500025481"/>
    <s v="Livia Indraswati"/>
    <s v="Liyana"/>
    <m/>
    <m/>
    <m/>
    <m/>
    <m/>
    <m/>
    <m/>
    <m/>
    <m/>
    <n v="203"/>
    <m/>
  </r>
  <r>
    <n v="2331"/>
    <s v="BIT Teknologi Nusantara"/>
    <s v="PT Astra International"/>
    <s v="Jl. Daan Mogot 1 34"/>
    <x v="1"/>
    <m/>
    <s v="Menara Astra 1stFloor, Jl. Jend. Sudirman No.Kav. 5 - 6,RT.10/RW.ll,Karet Tengsin, Tanah Abang, Jakarta Pusat ,Dki Jakarta, Indonesia ,10220"/>
    <s v="Sewa Tahunan"/>
    <s v="Colocation"/>
    <m/>
    <s v="1000191518"/>
    <m/>
    <s v="Metronet"/>
    <s v="5 Mbps"/>
    <m/>
    <n v="119100000"/>
    <m/>
    <m/>
    <n v="36000000"/>
    <m/>
    <d v="2025-09-01T00:00:00"/>
    <d v="2026-08-31T00:00:00"/>
    <x v="1"/>
    <m/>
    <d v="2025-12-24T00:00:00"/>
    <n v="250"/>
    <n v="8"/>
    <n v="2026"/>
    <n v="4500022096"/>
    <s v="5524/SPP/SBU/PLNICONPLUS/2025"/>
    <s v="4500024560"/>
    <s v="Fajar Paramita"/>
    <m/>
    <m/>
    <m/>
    <m/>
    <m/>
    <m/>
    <m/>
    <m/>
    <m/>
    <m/>
    <m/>
    <m/>
  </r>
  <r>
    <n v="2332"/>
    <s v="Elnusa"/>
    <s v="PT Indosat"/>
    <s v="Graha Elnusa Lantai 16, Jl. TB Simatupang Kav. 1 B, RT.10/RW.3, Cilandak Tim., Ps. Minggu, Kota Jakarta Selatan, Daerah Khusus Ibukota Jakarta 12560"/>
    <x v="0"/>
    <m/>
    <s v="Graha Elnusa Lantai 16, Jl. TB Simatupang Kav. 1 B, RT.10/RW.3, Cilandak Tim., Ps. Minggu, Kota Jakarta Selatan, Daerah Khusus Ibukota Jakarta 12560"/>
    <s v="Sewa Tahunan"/>
    <s v="Colocation"/>
    <m/>
    <s v="111103002447"/>
    <m/>
    <s v="Dark Fiber"/>
    <m/>
    <m/>
    <n v="134874000"/>
    <m/>
    <m/>
    <n v="62563000"/>
    <m/>
    <d v="2024-09-30T00:00:00"/>
    <d v="2025-10-01T00:00:00"/>
    <x v="0"/>
    <m/>
    <d v="2025-12-24T00:00:00"/>
    <n v="-84"/>
    <n v="10"/>
    <n v="2025"/>
    <n v="4500021515"/>
    <s v="4882/SPP/SBU/PLNICONPLUS/2024"/>
    <s v="4500024372"/>
    <s v="Fajar Paramita"/>
    <m/>
    <m/>
    <m/>
    <m/>
    <m/>
    <m/>
    <m/>
    <m/>
    <m/>
    <m/>
    <m/>
    <m/>
  </r>
  <r>
    <n v="2333"/>
    <s v="Pelabuhan Indonesia"/>
    <s v="PT Toyota Motor Manufacturing Indonesia"/>
    <s v="Graha Elnusa Lantai 16, Jl. TB Simatupang Kav. 1 B, RT.10/RW.3, Cilandak Tim., Ps. Minggu, Kota Jakarta Selatan, Daerah Khusus Ibukota Jakarta 12560"/>
    <x v="1"/>
    <m/>
    <m/>
    <m/>
    <m/>
    <m/>
    <m/>
    <m/>
    <m/>
    <m/>
    <m/>
    <m/>
    <m/>
    <m/>
    <m/>
    <m/>
    <d v="2025-09-05T00:00:00"/>
    <d v="2026-09-04T00:00:00"/>
    <x v="1"/>
    <m/>
    <d v="2025-12-24T00:00:00"/>
    <n v="254"/>
    <n v="9"/>
    <n v="2026"/>
    <m/>
    <m/>
    <m/>
    <m/>
    <m/>
    <m/>
    <m/>
    <m/>
    <m/>
    <m/>
    <m/>
    <m/>
    <m/>
    <m/>
    <m/>
    <m/>
  </r>
  <r>
    <n v="2334"/>
    <s v="NTT Indonesia"/>
    <s v="PT Astra Daihatsu Motor"/>
    <s v="Wisma 46 Kota BNI Lt. 5, Jl. Jend. Sudirman, Tanah Abang, Kota Jak Pusat, Daerah Khusus Ibukota Jak 10250, Indonesia"/>
    <x v="0"/>
    <s v="CYBER 3 NTT JL. KUNINGAN BARAT RAYA NO.8, RT.6/RW.3"/>
    <s v="JL. SELAYAR BLOK A-6 KAWASAN MM2100 IDUSTRIAL ESTATE CIBITUNG (Interkoneksi Indonet), Indonesia "/>
    <s v="Sewa Tahunan"/>
    <s v="Cross Connect"/>
    <s v="A821205000115"/>
    <m/>
    <m/>
    <s v="IPVPN"/>
    <m/>
    <m/>
    <n v="498000000"/>
    <m/>
    <m/>
    <n v="12000000"/>
    <m/>
    <d v="2024-08-29T00:00:00"/>
    <d v="2025-08-28T00:00:00"/>
    <x v="0"/>
    <m/>
    <d v="2025-12-24T00:00:00"/>
    <n v="-118"/>
    <n v="8"/>
    <n v="2025"/>
    <s v="1097/SPP/SBU/ICON+/2023 | 4500024487"/>
    <s v="3863/SPP/SBU/PLNICONPLUS/2024"/>
    <s v="4500024431"/>
    <s v="Livia Indraswati"/>
    <s v="Iffa"/>
    <m/>
    <m/>
    <m/>
    <m/>
    <m/>
    <m/>
    <m/>
    <m/>
    <m/>
    <m/>
    <m/>
  </r>
  <r>
    <n v="2335"/>
    <s v="NTT Indonesia"/>
    <s v="PT Gpay Digital Asia"/>
    <s v="Wisma 46 Kota BNI Lt. 5, Jl. Jend. Sudirman, Tanah Abang, Kota Jak Pusat, Daerah Khusus Ibukota Jak 10250, Indonesia"/>
    <x v="0"/>
    <s v="PT. NTT INDONESIA NEXCENTER CYBER CSF BUILDING, FLOOR 2 ROOM 2-2, JL. KUNINGAN BARAT NO. 8, JAKARTA, JAKARTA SELATAN, DKI JAKARTA, INDONESIA, 12710"/>
    <s v="KOTA JAKARTA SELATAN, KUNINGAN BARAT, MAMPANG PRAPATAN, DKI JAKARTA"/>
    <s v="Sewa Tahunan"/>
    <s v="Cross Connect"/>
    <s v="PA/ACT/2009/0739"/>
    <m/>
    <m/>
    <s v="IPVPN"/>
    <s v="1 Mbps"/>
    <m/>
    <n v="33000000"/>
    <m/>
    <m/>
    <n v="12000000"/>
    <m/>
    <d v="2021-10-26T00:00:00"/>
    <d v="2025-10-25T00:00:00"/>
    <x v="0"/>
    <m/>
    <d v="2025-12-24T00:00:00"/>
    <n v="-60"/>
    <n v="10"/>
    <n v="2025"/>
    <s v="14534/SPP/008/PUSAT/ICON+/2020 | 4500024489"/>
    <s v="4403/SPP/SBU/PLNICONPLUS/2024"/>
    <s v="4500024433"/>
    <s v="Livia Indraswati"/>
    <s v="Iffa"/>
    <m/>
    <m/>
    <m/>
    <m/>
    <m/>
    <m/>
    <m/>
    <m/>
    <m/>
    <m/>
    <m/>
  </r>
  <r>
    <n v="2336"/>
    <s v="NTT Indonesia"/>
    <s v="PT Nosairis Teknologi Solutions"/>
    <s v="Wisma 46 Kota BNI Lt. 5, Jl. Jend. Sudirman, Tanah Abang, Kota Jak Pusat, Daerah Khusus Ibukota Jak 10250, Indonesia"/>
    <x v="0"/>
    <s v="NTT DATA CENTER, CYBER 3. JL. KUNINGAN BARAT RAYA NO.8, RT.6/RW.3, KUNINGAN BAR., KEC. MAMPANG PRPT., KOTA JAKARTA SELATAN, DAERAH KHUSUS IBUKOTA JAKARTA 12710"/>
    <s v="DATA CENTER INDONESIA (DCI) JK1, CIBITUNG, JL. HALMAHERA NO.1, DANAU INDAH, KEC. CIKARANG BAR., KABUPATEN BEKASI, JAWA BARAT 17530"/>
    <s v="Sewa Tahunan"/>
    <s v="Cross Connect"/>
    <s v="A811202000017"/>
    <s v="111202017342"/>
    <m/>
    <s v="Qinq Metro Ethernet"/>
    <s v="5 Mbps"/>
    <m/>
    <n v="60000000"/>
    <m/>
    <m/>
    <n v="12000000"/>
    <m/>
    <d v="2024-08-08T00:00:00"/>
    <d v="2025-08-07T00:00:00"/>
    <x v="0"/>
    <m/>
    <d v="2025-12-24T00:00:00"/>
    <n v="-139"/>
    <n v="8"/>
    <n v="2025"/>
    <s v="1021/SPP/SBU/ICON+/2023 | 4500024486"/>
    <s v="3864/SPP/SBU/PLNICONPLUS/2024"/>
    <s v="4500024432"/>
    <s v="Livia Indraswati"/>
    <s v="Iffa"/>
    <m/>
    <m/>
    <m/>
    <m/>
    <m/>
    <m/>
    <m/>
    <m/>
    <m/>
    <m/>
    <m/>
  </r>
  <r>
    <n v="2337"/>
    <s v="NTT Indonesia"/>
    <s v="Join All Customer"/>
    <s v="Wisma 46 Kota BNI Lt. 5, Jl. Jend. Sudirman, Tanah Abang, Kota Jak Pusat, Daerah Khusus Ibukota Jak 10250, Indonesia"/>
    <x v="0"/>
    <m/>
    <s v="Gedung Cyber"/>
    <s v="Sewa Tahunan"/>
    <s v="Cross Connect"/>
    <m/>
    <m/>
    <m/>
    <s v="Metronet"/>
    <m/>
    <m/>
    <m/>
    <m/>
    <m/>
    <n v="204000000"/>
    <m/>
    <d v="2024-02-05T00:00:00"/>
    <d v="2024-08-04T00:00:00"/>
    <x v="0"/>
    <m/>
    <d v="2025-12-24T00:00:00"/>
    <n v="-507"/>
    <n v="8"/>
    <n v="2024"/>
    <s v="Baru"/>
    <s v="2626/SPP/SBU/ICON+/2024"/>
    <s v="4500022238"/>
    <s v="Livia Indraswati"/>
    <s v="Iffa"/>
    <m/>
    <m/>
    <m/>
    <m/>
    <m/>
    <m/>
    <m/>
    <m/>
    <m/>
    <m/>
    <m/>
  </r>
  <r>
    <n v="2338"/>
    <s v="Infra Yes Solusindo"/>
    <s v="PT Indosat Tbk"/>
    <s v="Wisma 46 Kota BNI Lt. 5, Jl. Jend. Sudirman, Tanah Abang, Kota Jak Pusat, Daerah Khusus Ibukota Jak 10250, Indonesia"/>
    <x v="1"/>
    <m/>
    <s v="BLITZMEGAPLEX GREEN PRAMUKA SQUARE LANTAI 1 JL. JEND. A YANI KAV. 49 RAWASARI, -,_x000a_JAKARTA PUSAT, DKI JAKARTA, INDONESIA,"/>
    <s v="Sewa Tahunan"/>
    <s v="Colocation"/>
    <s v="PA/ACT/2112/2385"/>
    <s v="110120213776 / 01000183243"/>
    <m/>
    <s v="Metronet"/>
    <s v="2 Mbps"/>
    <m/>
    <n v="47716560"/>
    <m/>
    <m/>
    <n v="13200000"/>
    <m/>
    <d v="2025-04-06T00:00:00"/>
    <d v="2026-04-05T00:00:00"/>
    <x v="1"/>
    <m/>
    <d v="2025-12-24T00:00:00"/>
    <n v="102"/>
    <n v="4"/>
    <n v="2026"/>
    <s v="3389/SPP/SBU/PLNICONPLUS/2024 | 4500022956"/>
    <s v="6698/SPP/SBU/PLNICONPLUS/2025"/>
    <s v="4500025261"/>
    <s v="Fajar Paramita"/>
    <m/>
    <m/>
    <m/>
    <m/>
    <m/>
    <m/>
    <m/>
    <m/>
    <m/>
    <m/>
    <n v="172"/>
    <m/>
  </r>
  <r>
    <n v="2339"/>
    <s v="Griya Idola"/>
    <s v="PT Chandra Asri Pacific"/>
    <s v="Green Pramuka Apartment Basement Floor Jl. Rawasari Sel. No.12 Kota Administrasi Jakarta Pusat"/>
    <x v="1"/>
    <m/>
    <s v="PT. CHANDRA ASRI PACIFIC (ASTER) SLIPI, KOTA JAKARTA BARAT, DAERAH KHUSUS IBUKOTA JAKARTA"/>
    <s v="Sewa Tahunan"/>
    <s v="Colocation"/>
    <s v="A821303001412"/>
    <m/>
    <m/>
    <s v="Internet Corporate"/>
    <s v="150 Mbps"/>
    <n v="5000000"/>
    <n v="144000000"/>
    <m/>
    <m/>
    <n v="19500000"/>
    <m/>
    <d v="2025-07-01T00:00:00"/>
    <d v="2027-06-30T00:00:00"/>
    <x v="1"/>
    <m/>
    <d v="2025-12-24T00:00:00"/>
    <n v="553"/>
    <n v="6"/>
    <n v="2027"/>
    <s v="Baru"/>
    <s v="7206/SPP/SBU/PLNICONPLUS/2025"/>
    <s v="4500025628"/>
    <s v="Livia Indraswati"/>
    <s v="Eri"/>
    <m/>
    <m/>
    <m/>
    <m/>
    <m/>
    <m/>
    <m/>
    <m/>
    <m/>
    <n v="192"/>
    <m/>
  </r>
  <r>
    <n v="2340"/>
    <s v="Kawasan Lintas Biru Digital"/>
    <s v="PT Toyota Astra Motor"/>
    <s v="Wisma Barito. Jl. Letjen S. Parman No.Kav 62-63, RT.8/RW.4, Slipi, Kec. Palmerah, Kota Jakarta Barat, Daerah Khusus Ibukota Jakarta 11410"/>
    <x v="1"/>
    <m/>
    <s v="TOYOTA ASTRA MOTOR NEW SITE 2, JL. SELAYAR KAV. B10 KAWASAN INDUSTRI MM2100 (TTC)"/>
    <s v="Sewa Tahunan"/>
    <s v="Colocation"/>
    <s v="R111303003485"/>
    <s v="0990000320655320"/>
    <m/>
    <s v="Internet Corporate"/>
    <s v="200 Mbps"/>
    <m/>
    <n v="576000000"/>
    <m/>
    <m/>
    <n v="234000000"/>
    <m/>
    <d v="2025-07-20T00:00:00"/>
    <d v="2026-07-19T00:00:00"/>
    <x v="1"/>
    <m/>
    <d v="2025-12-24T00:00:00"/>
    <n v="207"/>
    <n v="7"/>
    <n v="2026"/>
    <s v="3822/SPP/SBU/PLNICONPLUS/2024 | 4500023022"/>
    <s v="7310/SPP/SBU/PLNICONPLUS/2025"/>
    <s v="4500025636"/>
    <s v="Livia Indraswati"/>
    <s v="Marisa"/>
    <m/>
    <m/>
    <m/>
    <m/>
    <m/>
    <m/>
    <m/>
    <m/>
    <m/>
    <n v="219"/>
    <m/>
  </r>
  <r>
    <n v="2341"/>
    <s v="Kawasan Lintas Biru Digital"/>
    <s v="PT Toyota Astra Motor"/>
    <s v="Jl. Kalimantan Gandasari MM2100 Kaw. Befa"/>
    <x v="1"/>
    <m/>
    <s v="TOYOTA ASTRA MOTOR NEW SITE 2, JL. SELAYAR KAV. B10 KAWASAN INDUSTRI MM2100 (TTC)"/>
    <s v="Sewa Tahunan"/>
    <s v="Colocation"/>
    <s v="R111202004860"/>
    <s v="0990000320655959"/>
    <m/>
    <s v="Metronet "/>
    <s v="50 Mbps"/>
    <m/>
    <n v="168000000"/>
    <m/>
    <m/>
    <n v="78000000"/>
    <m/>
    <d v="2025-07-10T00:00:00"/>
    <d v="2026-07-09T00:00:00"/>
    <x v="1"/>
    <m/>
    <d v="2025-12-24T00:00:00"/>
    <n v="197"/>
    <n v="7"/>
    <n v="2026"/>
    <s v="3826/SPP/SBU/PLNICONPLUS/2024 | 4500023024"/>
    <s v="7311/SPP/SBU/PLNICONPLUS/2025"/>
    <s v="4500025637"/>
    <s v="Livia Indraswati"/>
    <s v="Marisa"/>
    <m/>
    <m/>
    <m/>
    <m/>
    <m/>
    <m/>
    <m/>
    <m/>
    <m/>
    <n v="218"/>
    <m/>
  </r>
  <r>
    <n v="2342"/>
    <s v="Kawasan Lintas Biru Digital"/>
    <s v="PT Toyota Astra Motor"/>
    <s v="Jl. Kalimantan Gandasari MM2100 Kaw. Befa"/>
    <x v="1"/>
    <m/>
    <s v="TOYOTA ASTRA MOTOR NEW SITE 2, JL. SELAYAR KAV. B10 KAWASAN INDUSTRI MM2100 (TTC)"/>
    <s v="Sewa Tahunan"/>
    <s v="Colocation"/>
    <s v="R111202004861"/>
    <s v="0990000320330180"/>
    <m/>
    <s v="Metronet "/>
    <s v="4 Mbps"/>
    <m/>
    <n v="144000000"/>
    <m/>
    <m/>
    <n v="24000000"/>
    <m/>
    <d v="2025-07-20T00:00:00"/>
    <d v="2026-07-19T00:00:00"/>
    <x v="1"/>
    <m/>
    <d v="2025-12-24T00:00:00"/>
    <n v="207"/>
    <n v="7"/>
    <n v="2026"/>
    <s v="3825/SPP/SBU/PLNICONPLUS/2024 | 4500023023"/>
    <s v="7309/SPP/SBU/PLNICONPLUS/2025"/>
    <s v="4500025635"/>
    <s v="Livia Indraswati"/>
    <s v="Marisa"/>
    <m/>
    <m/>
    <m/>
    <m/>
    <m/>
    <m/>
    <m/>
    <m/>
    <m/>
    <n v="220"/>
    <m/>
  </r>
  <r>
    <n v="2343"/>
    <s v="Kawasan Lintas Biru Digital"/>
    <s v="PT Nap Info Lintasnusa"/>
    <s v="Jl. Kalimantan Gandasari MM2100 Kaw. Befa"/>
    <x v="1"/>
    <s v="PKU - JL. H. R. RASUNA SAID, RT.2/RW.5, KARET KUNINGAN, KECAMATAN SETIABUDI, KOTA JAKARTA SELATAN, DAERAH KHUSUS IBUKOTA JAKARTA 12920"/>
    <s v="PT Trouw Nutrition Indonesia. MM2100 INDUSTRIAL TOWN (MAIN OFFICE BUILDING) 1ST FLOOR, SERVER ROOM, RACK 1 , JL. SELAYAR BLOK A3-2, MEKARWANGI, CIKARANG BARAT, KAB. BEKASI, JAWA BARAT, 17530"/>
    <s v="Sewa Tahunan"/>
    <s v="Colocation"/>
    <s v="A111202004487"/>
    <m/>
    <m/>
    <s v="Metronet "/>
    <s v="100 Mbps"/>
    <m/>
    <n v="204000000"/>
    <m/>
    <m/>
    <n v="132000000"/>
    <m/>
    <d v="2025-06-15T00:00:00"/>
    <d v="2026-06-14T00:00:00"/>
    <x v="1"/>
    <m/>
    <d v="2025-12-24T00:00:00"/>
    <n v="172"/>
    <n v="6"/>
    <n v="2026"/>
    <s v="3558/SPP/SBU/PLNICONPLUS/2024 | 4500022786"/>
    <s v="6821/SPP/SBU/PLNICONPLUS/2025"/>
    <s v="4500025321"/>
    <s v="Fajar Paramita"/>
    <s v="Marisa"/>
    <m/>
    <m/>
    <m/>
    <m/>
    <m/>
    <m/>
    <m/>
    <m/>
    <m/>
    <n v="171"/>
    <m/>
  </r>
  <r>
    <n v="2344"/>
    <s v="Kawasan Lintas Biru Digital"/>
    <s v="PT Pertamina Gas"/>
    <s v="Jl. Kalimantan Gandasari MM2100 Kaw. Befa"/>
    <x v="1"/>
    <m/>
    <s v="PT EHK (ENERGASINDO HEKSA KARYA) (JL. SUMBAWA, MEKARWANGI, KEC. CIKARANG BAR., KABUPATEN BEKASI, JAWA BARAT 17530"/>
    <s v="Sewa Tahunan"/>
    <s v="Colocation"/>
    <s v="A811205000166 "/>
    <m/>
    <m/>
    <s v="IPVPN"/>
    <s v="1 Mbps"/>
    <m/>
    <n v="19878000"/>
    <m/>
    <m/>
    <n v="24000000"/>
    <m/>
    <d v="2025-06-15T00:00:00"/>
    <d v="2026-06-14T00:00:00"/>
    <x v="1"/>
    <m/>
    <d v="2025-12-24T00:00:00"/>
    <n v="172"/>
    <n v="6"/>
    <n v="2026"/>
    <s v="3076/SPP/SBU/PLNICONPLUS/2024 | 4500022603"/>
    <s v="6867/SPP/SBU/PLNICONPLUS/2025"/>
    <s v="4500025351"/>
    <s v="Fajar Paramita"/>
    <s v="Marisa"/>
    <m/>
    <m/>
    <m/>
    <m/>
    <m/>
    <m/>
    <m/>
    <m/>
    <m/>
    <n v="231"/>
    <m/>
  </r>
  <r>
    <n v="2345"/>
    <s v="CBN Nusantara"/>
    <s v="PT Inti Dunia Sukses"/>
    <s v="Cyber 2 Tower 2nd Floor Jl HR Rasuna Said Kav X-5 No 13 Jakarta 12950"/>
    <x v="1"/>
    <s v="DC CBN, CYBER 2 TOWER, LANTAI 2 JL HR RASUNA SAID BLOK X5 NO 13 (RACK N2C1-05-02), KUNIGAN, JAKARTA SELATAN, DKI JAKARTA, INDONESIA, 12950"/>
    <s v="DC DAWUAN, KAWASAN KBI BLOK N-2 NO.2. JL BUKIT NAGASARI 2 (RACK 3 MEETME ROOM), BUNGURSARI, KABUPATEN PURWAKARTA, JAWA BARAT, INDONESIA, 41182"/>
    <s v="Sewa Tahunan"/>
    <s v="Cross Connect"/>
    <s v="PA/ACT/1908/0561"/>
    <m/>
    <m/>
    <s v="Metronet"/>
    <s v="10 Mbps"/>
    <m/>
    <n v="108000000"/>
    <m/>
    <m/>
    <n v="8000000"/>
    <m/>
    <d v="2025-09-01T00:00:00"/>
    <d v="2026-08-31T00:00:00"/>
    <x v="1"/>
    <m/>
    <d v="2025-12-24T00:00:00"/>
    <n v="250"/>
    <n v="8"/>
    <n v="2026"/>
    <s v="3827/SPP/SBU/PLNICONPLUS/2024 | 4500023035"/>
    <s v="7312/SPP/SBU/PLNICONPLUS/2025"/>
    <s v="4500025638"/>
    <s v="Livia Indraswati"/>
    <s v="Erni Monalena"/>
    <m/>
    <m/>
    <m/>
    <m/>
    <m/>
    <m/>
    <m/>
    <m/>
    <m/>
    <n v="199"/>
    <m/>
  </r>
  <r>
    <n v="2346"/>
    <s v="CBN Nusantara"/>
    <s v="PT Mulia Industrindo"/>
    <s v="Cyber 2 Tower 2nd Floor Jl HR Rasuna Said Kav X-5 No 13 Jakarta 12950"/>
    <x v="1"/>
    <s v="Nex Cyber 2"/>
    <s v="Kawasan Mulia Industri Jl. Raya Pasirsari Cikarang"/>
    <s v="Sewa Tahunan"/>
    <s v="Cross Connect"/>
    <s v="A821202001374"/>
    <m/>
    <m/>
    <s v="Metronet"/>
    <s v="100 Mbps"/>
    <m/>
    <n v="84000000"/>
    <m/>
    <m/>
    <n v="8000000"/>
    <m/>
    <d v="2025-07-29T00:00:00"/>
    <d v="2026-07-28T00:00:00"/>
    <x v="1"/>
    <m/>
    <d v="2025-12-24T00:00:00"/>
    <n v="216"/>
    <n v="7"/>
    <n v="2026"/>
    <s v="4002/SPP/SBU/PLNICONPLUS/2024 | 4500023226"/>
    <s v="7366/SPP/SBU/PLNICONPLUS/2025"/>
    <s v="4500025640"/>
    <s v="Livia Indraswati"/>
    <s v="Erni Monalena"/>
    <m/>
    <m/>
    <m/>
    <m/>
    <m/>
    <m/>
    <m/>
    <m/>
    <m/>
    <n v="196"/>
    <m/>
  </r>
  <r>
    <n v="2347"/>
    <s v="Solusi Jasa Teknologi"/>
    <s v="PT Toyota Motor Manufacturing Indonesia"/>
    <s v="Cyber 2 Tower 2nd Floor Jl HR Rasuna Said Kav X-5 No 13 Jakarta 12950"/>
    <x v="1"/>
    <s v="Toyota Motor Manufacturing Indonesia, Jl. Laksda Yos Sudarso Sunter 1, Rt.2/Rw.9, Sunter Jaya, Kec. Tj. Priok, Jkt Utara, Daerah Khusus Ibukota Jakarta 14350"/>
    <s v="Gedung Elitery Data Center And Managed Services Lantai 3, Jl. Raya Pajajaran No.17, Rt.06/Rw.13, Baranangsiang, Kec. Bogor Tim., Kota Bogor, Jawa Barat 16143"/>
    <s v="Sewa Tahunan"/>
    <s v="Cross Connect"/>
    <s v="A111202004945      "/>
    <m/>
    <m/>
    <s v="Metronet"/>
    <s v="500 Mbps"/>
    <m/>
    <n v="359904000"/>
    <m/>
    <m/>
    <n v="12000000"/>
    <m/>
    <d v="2025-07-19T00:00:00"/>
    <d v="2026-07-18T00:00:00"/>
    <x v="1"/>
    <m/>
    <d v="2025-12-24T00:00:00"/>
    <n v="206"/>
    <n v="7"/>
    <n v="2026"/>
    <s v="4046/SPP/SBU/PLNICONPLUS/2024 | 4500023380"/>
    <s v="7292/SPP/SBU/PLNICONPLUS/2025"/>
    <s v="4500025634"/>
    <s v=" Livia Indraswati "/>
    <s v="Zulva"/>
    <m/>
    <m/>
    <m/>
    <m/>
    <m/>
    <m/>
    <m/>
    <m/>
    <m/>
    <n v="200"/>
    <m/>
  </r>
  <r>
    <n v="2348"/>
    <s v="Five Pillars Indonesia Office Park"/>
    <s v="PT Asuransi Perisai Listrik Nasional"/>
    <s v="Gedung Sanggar Kesatria Liema, Jalan Raya Pajajaran No.17 Baranangsiang Bogor timur"/>
    <x v="1"/>
    <m/>
    <s v="Mulia Business Park, Jl. Letjen M.T. Haryono No.Kav. 58 - 60, Pancoran, Kec. Pancoran"/>
    <s v="Sewa Tahunan"/>
    <s v="Colocation"/>
    <s v="PA/ACT/2205/1484"/>
    <m/>
    <m/>
    <s v="Internet Corporate"/>
    <s v="50 Mbps"/>
    <m/>
    <n v="108000000"/>
    <m/>
    <m/>
    <n v="205500000"/>
    <m/>
    <d v="2025-06-01T00:00:00"/>
    <d v="2028-05-31T00:00:00"/>
    <x v="1"/>
    <m/>
    <d v="2025-12-24T00:00:00"/>
    <n v="889"/>
    <n v="5"/>
    <n v="2028"/>
    <s v="18786/SPP/008/PUSAT/ICON+/2022 | 4500018200"/>
    <s v="6849/SPP/SBU/PLNICONPLUS/2025"/>
    <s v="4500025489"/>
    <s v="Livia Indraswati"/>
    <m/>
    <m/>
    <m/>
    <m/>
    <m/>
    <m/>
    <m/>
    <m/>
    <m/>
    <m/>
    <n v="222"/>
    <m/>
  </r>
  <r>
    <n v="2349"/>
    <s v="DCI Indonesia"/>
    <s v="Bank BJB"/>
    <s v="Equity Tower 17th floor suite F SCBD lot Jl Jend Sudirman Kav 52-53 Jakarta 12196"/>
    <x v="1"/>
    <s v="DCI JABABEKA JL. HALMAHERA NO.1, DANAU INDAH, KEC. CIKARANG BAR., KABUPATEN BEKASI, JAWA BARAT 17530"/>
    <s v="BACKHAUL METRO-E DCI- DCI JABABEKA JL. HALMAHERA NO.1, DANAU INDAH, KEC. CIKARANG BAR., KABUPATEN BEKASI, JAWA BARAT 17530"/>
    <s v="Sewa Tahunan"/>
    <s v="Cross Connect"/>
    <s v="A121202000211"/>
    <m/>
    <m/>
    <s v="Metronet"/>
    <s v="50 Mbps"/>
    <m/>
    <m/>
    <m/>
    <m/>
    <n v="36000000"/>
    <m/>
    <d v="2025-08-01T00:00:00"/>
    <d v="2026-07-31T00:00:00"/>
    <x v="1"/>
    <m/>
    <d v="2025-12-24T00:00:00"/>
    <n v="219"/>
    <n v="7"/>
    <n v="2026"/>
    <s v="4048/SPP/SBU/PLNICONPLUS/2024 | 4500023228"/>
    <s v="7693/SPP/SBU/PLNICONPLUS/2025"/>
    <s v="4500025320"/>
    <s v="Livia Indraswati"/>
    <s v="Asima"/>
    <m/>
    <m/>
    <m/>
    <m/>
    <m/>
    <m/>
    <m/>
    <m/>
    <m/>
    <n v="271"/>
    <m/>
  </r>
  <r>
    <n v="2350"/>
    <s v="DCI Indonesia"/>
    <s v="PT Arthatech Selaras"/>
    <s v="Equity Tower 17th floor suite F SCBD lot Jl Jend Sudirman Kav 52-53 Jakarta 12203"/>
    <x v="1"/>
    <m/>
    <s v="DCI CIBITUNG JK 1 RACK ICON XCONN JK5 RACK ARTHATECH JL. HALMAHERA NO.1 BLOK F1, DANAU INDAH, KEC. CIKARANG BAR., KABUPATEN BEKASI, JAWA BARAT 17530"/>
    <s v="Sewa Tahunan"/>
    <s v="Cross Connect"/>
    <s v="A111202012114"/>
    <m/>
    <m/>
    <s v="Metronet"/>
    <s v="30 Mbps"/>
    <n v="2000000"/>
    <n v="96000000"/>
    <m/>
    <n v="4000000"/>
    <n v="36000000"/>
    <m/>
    <d v="2025-06-16T00:00:00"/>
    <d v="2026-06-15T00:00:00"/>
    <x v="1"/>
    <m/>
    <d v="2025-12-24T00:00:00"/>
    <n v="173"/>
    <n v="6"/>
    <n v="2026"/>
    <s v="baru"/>
    <s v="7205/SPP/SBU/PLNICONPLUS/2025"/>
    <s v="4500025658"/>
    <s v="Livia Indraswati"/>
    <s v="Asima"/>
    <m/>
    <m/>
    <m/>
    <m/>
    <m/>
    <m/>
    <m/>
    <m/>
    <m/>
    <n v="221"/>
    <m/>
  </r>
  <r>
    <n v="2351"/>
    <s v="DCI Indonesia"/>
    <s v="PT Tokopedia"/>
    <s v="Equity Tower 17th floor suite F SCBD lot Jl Jend Sudirman Kav 52-53 Jakarta 12203"/>
    <x v="1"/>
    <s v="H2H, (Backhaul) DCI Data Center Jl. Halmahera Blok F1 No.1, Danau Indah, Kec. Cikarang Barat, Kota Bekasi, Jawa Barat"/>
    <s v="Dirjen Pajak_x000a_H2H - Data Center KAI Bandung, Jl. Perintis Kemerdekaan No. 1 Babakan Ciamis, Kec. Sumur Bandung, Kota Bandung, Jawa Barat,_x000a_H2H, Gd. Plaza Mandiri Jl Jend Gatot Subroto Kab 36-38 Jakarta, Kec. Kebayoran Baru, Jakarta Selatan, DKI Jakarta, _x000a_H2H, Menara BCA, Jl. M.H. Thamrin No.1, RT.1/RW.5, Menteng, Kec Menteng, Jakarta Pusat, DKI Jakarta,_x000a_H2H, Gedung Teknologi Informasi Lt 4 Jl RM Harsono No.2 RT 6/7 Ragunan, KEC. Pasar Minggu, Jakarta Selatan, DKI Jakarta,_x000a_DC Telkomsigma BSD"/>
    <s v="Sewa Tahunan"/>
    <s v="Cross Connect"/>
    <m/>
    <s v="01000325646_x000a_'01000194976_x000a_'01000067620_x000a_'1000067728_x000a_'1000067736_x000a_'10006194976"/>
    <m/>
    <s v="IPVPN"/>
    <m/>
    <m/>
    <n v="396000000"/>
    <m/>
    <m/>
    <n v="54000000"/>
    <m/>
    <d v="2025-08-05T00:00:00"/>
    <d v="2026-08-04T00:00:00"/>
    <x v="1"/>
    <m/>
    <d v="2025-12-24T00:00:00"/>
    <n v="223"/>
    <n v="8"/>
    <n v="2026"/>
    <s v="5330/SPP/SBU/PLNICONPLUS/2024 | 4500024460"/>
    <s v="7433/SPP/SBU/PLNICONPLUS/2025"/>
    <s v="4500025938"/>
    <s v="Livia Indraswati"/>
    <s v="Asima"/>
    <m/>
    <m/>
    <m/>
    <m/>
    <m/>
    <m/>
    <m/>
    <m/>
    <m/>
    <n v="233"/>
    <m/>
  </r>
  <r>
    <n v="2352"/>
    <s v="DCI Indonesia"/>
    <s v="PT Tokopedia"/>
    <s v="Equity Tower 17th floor suite F SCBD lot Jl Jend Sudirman Kav 52-53 Jakarta 12203"/>
    <x v="1"/>
    <s v="H2H, (Backhaul) DCI Data Center Jl. Halmahera Blok F1 No.1, Danau Indah, Kec. Cikarang Barat, Kota Bekasi, Jawa Barat"/>
    <s v="Dirjen Pajak_x000a_H2H - Data Center KAI Bandung, Jl. Perintis Kemerdekaan No. 1 Babakan Ciamis, Kec. Sumur Bandung, Kota Bandung, Jawa Barat,_x000a_H2H, Gd. Plaza Mandiri Jl Jend Gatot Subroto Kab 36-38 Jakarta, Kec. Kebayoran Baru, Jakarta Selatan, DKI Jakarta, _x000a_H2H, Menara BCA, Jl. M.H. Thamrin No.1, RT.1/RW.5, Menteng, Kec Menteng, Jakarta Pusat, DKI Jakarta,_x000a_H2H, Gedung Teknologi Informasi Lt 4 Jl RM Harsono No.2 RT 6/7 Ragunan, KEC. Pasar Minggu, Jakarta Selatan, DKI Jakarta,_x000a_DC Telkomsigma BSD"/>
    <s v="Sewa Tahunan"/>
    <s v="Cross Connect"/>
    <m/>
    <s v="01000325646_x000a_'01000194976_x000a_'01000067620_x000a_'1000067728_x000a_'1000067736_x000a_'10006194976"/>
    <m/>
    <s v="IPVPN"/>
    <m/>
    <m/>
    <n v="396000000"/>
    <m/>
    <m/>
    <n v="18000000"/>
    <m/>
    <d v="2025-10-24T00:00:00"/>
    <d v="2026-10-23T00:00:00"/>
    <x v="1"/>
    <m/>
    <d v="2025-12-24T00:00:00"/>
    <n v="303"/>
    <n v="10"/>
    <n v="2026"/>
    <s v="5332/SPP/SBU/PLNICONPLUS/2024 | 4500024461"/>
    <s v="7434/SPP/SBU/PLNICONPLUS/2025"/>
    <s v="4500025939"/>
    <s v="Livia Indraswati"/>
    <s v="Asima"/>
    <m/>
    <m/>
    <m/>
    <m/>
    <m/>
    <m/>
    <m/>
    <m/>
    <m/>
    <n v="234"/>
    <m/>
  </r>
  <r>
    <n v="2353"/>
    <s v="DCI Indonesia"/>
    <s v="PT Tokopedia"/>
    <s v="Equity Tower 17th floor suite F SCBD lot Jl Jend Sudirman Kav 52-53 Jakarta 12203"/>
    <x v="1"/>
    <s v="H2H, (Backhaul) DCI Data Center Jl. Halmahera Blok F1 No.1, Danau Indah, Kec. Cikarang Barat, Kota Bekasi, Jawa Barat"/>
    <s v="Dirjen Pajak_x000a_H2H - Data Center KAI Bandung, Jl. Perintis Kemerdekaan No. 1 Babakan Ciamis, Kec. Sumur Bandung, Kota Bandung, Jawa Barat,_x000a_H2H, Gd. Plaza Mandiri Jl Jend Gatot Subroto Kab 36-38 Jakarta, Kec. Kebayoran Baru, Jakarta Selatan, DKI Jakarta, _x000a_H2H, Menara BCA, Jl. M.H. Thamrin No.1, RT.1/RW.5, Menteng, Kec Menteng, Jakarta Pusat, DKI Jakarta,_x000a_H2H, Gedung Teknologi Informasi Lt 4 Jl RM Harsono No.2 RT 6/7 Ragunan, KEC. Pasar Minggu, Jakarta Selatan, DKI Jakarta,_x000a_DC Telkomsigma BSD"/>
    <s v="Sewa Tahunan"/>
    <s v="Cross Connect"/>
    <m/>
    <s v="01000325646_x000a_'01000194976_x000a_'01000067620_x000a_'1000067728_x000a_'1000067736_x000a_'10006194976"/>
    <m/>
    <s v="IPVPN"/>
    <m/>
    <m/>
    <n v="396000000"/>
    <m/>
    <m/>
    <n v="18000000"/>
    <m/>
    <d v="2025-11-30T00:00:00"/>
    <d v="2026-11-29T00:00:00"/>
    <x v="1"/>
    <m/>
    <d v="2025-12-24T00:00:00"/>
    <n v="340"/>
    <n v="11"/>
    <n v="2026"/>
    <s v="5333/SPP/SBU/PLNICONPLUS/2024 | 4500024465"/>
    <s v="7436/SPP/SBU/PLNICONPLUS/2025"/>
    <s v="4500025940"/>
    <s v="Livia Indraswati"/>
    <s v="Asima"/>
    <m/>
    <m/>
    <m/>
    <m/>
    <m/>
    <m/>
    <m/>
    <m/>
    <m/>
    <n v="235"/>
    <m/>
  </r>
  <r>
    <n v="2354"/>
    <s v="Jekael Invesco"/>
    <s v="PT Indonesia Comnets Plus"/>
    <s v="Equity Tower 17th floor suite F SCBD lot Jl Jend Sudirman Kav 52-53 Jakarta 12203"/>
    <x v="1"/>
    <m/>
    <s v="Menara Jamsostek, Jalan Gatot Subroto, Kav 38. RT.6/RW.1, Kuningan Barat, Mampang Prapatan, Jakarta Selatan, Indonesia 12710"/>
    <s v="Sewa Tahunan"/>
    <s v="Colocation"/>
    <m/>
    <m/>
    <m/>
    <s v="IPVPN"/>
    <m/>
    <m/>
    <m/>
    <m/>
    <m/>
    <n v="5000000"/>
    <m/>
    <d v="2025-07-11T00:00:00"/>
    <d v="2026-07-10T00:00:00"/>
    <x v="1"/>
    <m/>
    <d v="2025-12-24T00:00:00"/>
    <n v="198"/>
    <n v="7"/>
    <n v="2026"/>
    <s v="baru"/>
    <s v="7488/SPP/SBU/PLNICONPLUS/2025"/>
    <s v="4500025758"/>
    <s v="Livia Indraswati"/>
    <s v="Tri"/>
    <m/>
    <m/>
    <m/>
    <m/>
    <m/>
    <m/>
    <m/>
    <m/>
    <m/>
    <n v="236"/>
    <m/>
  </r>
  <r>
    <n v="2355"/>
    <s v="Multitech Infomedia"/>
    <s v="Badan Nusantara Compnet Integrator"/>
    <s v="Gedung menara Selatan Lt.9 Jl. Jend. Gatot Subroto No. 38 Jakarta 12712"/>
    <x v="1"/>
    <m/>
    <s v="JL. KUNINGAN BARAT RAYA NO.8 10TH FLOOR, RT.1/RW.3, KUNINGAN BARU, KEC. MAMPANG PRAPATAN, KOTA JAKARTA SELATAN, DAERAH KHUSUS IBUKOTA JAKARTA 12710"/>
    <s v="Sewa Tahunan"/>
    <s v="Cross Connect"/>
    <s v="A121303000900"/>
    <m/>
    <m/>
    <s v="Internet Corporate"/>
    <s v="25 Mbps"/>
    <m/>
    <n v="54000000"/>
    <m/>
    <m/>
    <n v="30000000"/>
    <m/>
    <d v="2025-07-03T00:00:00"/>
    <d v="2026-07-02T00:00:00"/>
    <x v="1"/>
    <m/>
    <d v="2025-12-24T00:00:00"/>
    <n v="190"/>
    <n v="7"/>
    <n v="2026"/>
    <s v="3902/SPP/SBU/PLNICONPLUS/2024 | 4500023129"/>
    <s v="7337/SPP/SBU/PLNICONPLUS/2025"/>
    <s v="4500025647"/>
    <s v="Livia Indraswati"/>
    <s v="Liyana"/>
    <m/>
    <m/>
    <m/>
    <m/>
    <m/>
    <m/>
    <m/>
    <m/>
    <m/>
    <n v="195"/>
    <m/>
  </r>
  <r>
    <n v="2356"/>
    <s v="Dinamika Raya Prima"/>
    <s v="PT Cyberindo Aditama qq Biznet Gio"/>
    <s v="Jl. Daan Mogot 1 34"/>
    <x v="1"/>
    <m/>
    <s v="CBN - Biznet Technovillage, Jl. Riverside Golf Club No.1, Bojong Nangka, Gn. Putri, Kabupaten Bogor, Jawa Barat, Indonesia, 16965"/>
    <s v="Sewa Tahunan"/>
    <s v="Cross Connect"/>
    <s v="PA/ACT/1904/0253"/>
    <s v="110120208179 / 01000051525"/>
    <m/>
    <s v="Metronet Qinq Metro Ethernet"/>
    <s v="250 Mbps"/>
    <m/>
    <n v="143400000"/>
    <m/>
    <m/>
    <n v="12000000"/>
    <m/>
    <d v="2025-05-15T00:00:00"/>
    <d v="2026-05-14T00:00:00"/>
    <x v="1"/>
    <m/>
    <d v="2025-12-24T00:00:00"/>
    <n v="141"/>
    <n v="5"/>
    <n v="2026"/>
    <s v="4051/SPP/SBU/PLNICONPLUS/2024 | 4500023414"/>
    <s v="7313/SPP/SBU/PLNICONPLUS/2025"/>
    <s v="4500025639"/>
    <s v="Livia Indraswati"/>
    <s v="Farrah"/>
    <m/>
    <m/>
    <m/>
    <m/>
    <m/>
    <m/>
    <m/>
    <m/>
    <m/>
    <n v="217"/>
    <m/>
  </r>
  <r>
    <n v="2357"/>
    <s v="Agung Sedayu Propertindo / Badan Pengelola Harco Mangga Dua"/>
    <s v="PLN Disjaya"/>
    <s v="Gedung Pusat Komputer dan Elektronik Lt. Basement Jl. Mangga Dua Raya Jakarta 10730"/>
    <x v="4"/>
    <m/>
    <s v="PLN DISJAYA - [UP3 BANDENGAN] GH0226 "/>
    <s v="Sewa Tahunan"/>
    <s v="Colocation"/>
    <s v="A831205000116"/>
    <m/>
    <m/>
    <s v="IPVPN"/>
    <s v="0.0640 Mbps"/>
    <m/>
    <n v="35402400"/>
    <m/>
    <m/>
    <n v="20000000"/>
    <m/>
    <d v="2025-02-01T00:00:00"/>
    <d v="2026-01-31T00:00:00"/>
    <x v="1"/>
    <m/>
    <d v="2025-12-24T00:00:00"/>
    <n v="38"/>
    <n v="1"/>
    <n v="2026"/>
    <n v="4500021644"/>
    <s v="7378/SPP/SBU/PLNICONPLUS/2025"/>
    <s v="4500025713"/>
    <s v="Fajar Paramita"/>
    <s v="Fika Ririn"/>
    <m/>
    <m/>
    <m/>
    <m/>
    <m/>
    <m/>
    <m/>
    <m/>
    <m/>
    <n v="256"/>
    <m/>
  </r>
  <r>
    <n v="2358"/>
    <s v="Agung Sedayu Propertindo / Badan Pengelola Harco Mangga Dua"/>
    <s v="PT Aplikanusa Lintasarta qq Bank Woori Saudara"/>
    <s v="Gedung Pusat Komputer dan Elektronik Lt. Basement Jl. Mangga Dua Raya Jakarta 10730"/>
    <x v="1"/>
    <m/>
    <s v="BANK WOORI INDONESIA, KCP MANGGA DUA , KOMPLEK RUKO HARCO MANGGA DUA ( BWS KCP MANGGA DUA JKT ) KOMPLEK RUKO HARKO MANGGA DUA BLOK L NO. 5, -, JAKARTA PUSAT, DKI JAKARTA, INDONESIA"/>
    <s v="Sewa Tahunan"/>
    <s v="Colocation"/>
    <m/>
    <s v="01000171880"/>
    <m/>
    <s v="Metronet"/>
    <s v="2 Mbps"/>
    <m/>
    <n v="14832000"/>
    <m/>
    <m/>
    <n v="20000000"/>
    <m/>
    <d v="2025-06-11T00:00:00"/>
    <d v="2026-06-10T00:00:00"/>
    <x v="1"/>
    <m/>
    <d v="2025-12-24T00:00:00"/>
    <n v="168"/>
    <n v="6"/>
    <n v="2026"/>
    <s v="2939/SPP/SBU/ICON+/2024 | 4500022458"/>
    <s v="7455/SPP/SBU/PLNICONPLUS/2025"/>
    <s v="4500025760"/>
    <s v="Livia Indraswati"/>
    <s v="Fika Ririn"/>
    <m/>
    <m/>
    <m/>
    <m/>
    <m/>
    <m/>
    <m/>
    <m/>
    <m/>
    <n v="240"/>
    <m/>
  </r>
  <r>
    <n v="2359"/>
    <s v="Jakarta Industrial Estate Pulogadung (Persero) (JIEP) "/>
    <s v="PT Aplikanusa Lintasarta qq Bank CIMB Niaga"/>
    <s v="Gedung Pusat Komputer dan Elektronik Lt. Basement Jl. Mangga Dua Raya Jakarta 10730"/>
    <x v="1"/>
    <m/>
    <s v="(RELOKASI RUANG) BANK CIMB NIAGA TBK, PULOGADUNG POLIKLINIK PT. GIEP KAWASAN INDUSTRI PULOGADUNG, JL. RAWA TERATE II, JAKARTA TIMUR 13930 (2010001692), JAKARTA TIMUR, DKI JAKARTA_x000a_,INDONESIA"/>
    <s v="Sewa Tahunan"/>
    <s v="Colocation"/>
    <m/>
    <s v="01000146985"/>
    <m/>
    <s v="IPVPN"/>
    <s v="512 Kbps"/>
    <m/>
    <n v="42000000"/>
    <m/>
    <m/>
    <n v="44835000"/>
    <m/>
    <d v="2025-08-30T00:00:00"/>
    <d v="2026-08-29T00:00:00"/>
    <x v="1"/>
    <m/>
    <d v="2025-12-24T00:00:00"/>
    <n v="248"/>
    <n v="8"/>
    <n v="2026"/>
    <s v="4003/SPP/SBU/PLNICONPLUS/2024 | 4500024086"/>
    <s v="7458/SPP/SBU/PLNICONPLUS/2025"/>
    <s v="4500025759"/>
    <s v="Livia Indraswati"/>
    <s v="Dana"/>
    <m/>
    <m/>
    <m/>
    <m/>
    <m/>
    <m/>
    <m/>
    <m/>
    <m/>
    <n v="239"/>
    <m/>
  </r>
  <r>
    <n v="2360"/>
    <s v="Jakarta Industrial Estate Pulogadung (Persero) (JIEP) "/>
    <s v="PT Iforte Solusi Infotek qq Herlina Indah"/>
    <s v="Jl. Pulokambing No. 1 Lahan Industri Pulogadung Jakarta Timur 13294"/>
    <x v="1"/>
    <s v="IDC DUREN 3, -, JAKARTA SELATAN, DKI JAKARTA, INDONESIA, -"/>
    <s v="PT Herlina Indah, Kawasan Industri Pulogadung Blok DD 14,16 Jl. Rawa Sumur Jakarta Timur, Jakarta Timur, DKI Jakarta, Indonesia."/>
    <s v="Sewa Tahunan"/>
    <s v="Colocation"/>
    <s v="PA/UPG/2011/0101"/>
    <m/>
    <m/>
    <s v="Metronet"/>
    <s v="1 Gbps"/>
    <m/>
    <n v="273600000"/>
    <m/>
    <m/>
    <n v="56385000"/>
    <m/>
    <d v="2025-11-16T00:00:00"/>
    <d v="2026-11-15T00:00:00"/>
    <x v="1"/>
    <m/>
    <d v="2025-12-24T00:00:00"/>
    <n v="326"/>
    <n v="11"/>
    <n v="2026"/>
    <s v="3758/SPP/SBU/PLNICONPLUS/2024 | 4500022991"/>
    <s v="7657/SPP/SBU/PLNICONPLUS/2025"/>
    <s v="4500025941"/>
    <s v="Livia Indraswati"/>
    <s v="Dana"/>
    <m/>
    <m/>
    <m/>
    <m/>
    <m/>
    <m/>
    <m/>
    <m/>
    <m/>
    <n v="243"/>
    <m/>
  </r>
  <r>
    <n v="2361"/>
    <s v="Jakarta Industrial Estate Pulogadung (Persero) (JIEP) "/>
    <s v="PT Iforte Solusi Infotek qq Wahana Citra Nabati"/>
    <s v="Jl. Pulokambing No. 1 Lahan Industri Pulogadung Jakarta Timur 13294"/>
    <x v="1"/>
    <s v="IFORTE IDC DUREN 3"/>
    <s v="PT WAHANA CITRA NABATI, Jl. Rawa Sumur 1 Blok EE NO.5 Kawasan Industri Pulogadung Jaktim,- ,- ,- ,Indonesia"/>
    <s v="Sewa Tahunan"/>
    <s v="Colocation"/>
    <s v="PA/UPG/2008/0151/TER"/>
    <m/>
    <m/>
    <s v="Metronet"/>
    <s v="72 Mbps"/>
    <m/>
    <n v="99590400"/>
    <m/>
    <m/>
    <n v="27930000"/>
    <m/>
    <d v="2025-10-16T00:00:00"/>
    <d v="2026-10-15T00:00:00"/>
    <x v="1"/>
    <m/>
    <d v="2025-12-24T00:00:00"/>
    <n v="295"/>
    <n v="10"/>
    <n v="2026"/>
    <s v="3761/SPP/SBU/PLNICONPLUS/2024 | 4500022993"/>
    <s v="7658/SPP/SBU/PLNICONPLUS/2025"/>
    <s v="4500025942"/>
    <s v="Livia Indraswati"/>
    <s v="Dana"/>
    <m/>
    <m/>
    <m/>
    <m/>
    <m/>
    <m/>
    <m/>
    <m/>
    <m/>
    <n v="244"/>
    <m/>
  </r>
  <r>
    <n v="2362"/>
    <s v="Grahaniaga Tatautama"/>
    <s v="Bank Woori Saudara_x000a_BUT Sarulla Operations Ltd"/>
    <s v="Jl. Pulokambing No. 1 Lahan Industri Pulogadung Jakarta Timur 13294"/>
    <x v="1"/>
    <m/>
    <s v="Gedung Graha Niaga"/>
    <s v="Sewa Tahunan"/>
    <s v="Colocation"/>
    <s v="ICON-00/ACT/1709/1154_x000a_ ICON-00/ACT/1302/0085"/>
    <m/>
    <m/>
    <s v="Metronet"/>
    <s v="5 Mbps"/>
    <m/>
    <n v="252000000"/>
    <m/>
    <m/>
    <n v="26889339"/>
    <m/>
    <d v="2025-07-21T00:00:00"/>
    <d v="2026-07-20T00:00:00"/>
    <x v="1"/>
    <m/>
    <d v="2025-12-24T00:00:00"/>
    <n v="208"/>
    <n v="7"/>
    <n v="2026"/>
    <s v="3939/SPP/SBU/PLNICONPLUS/2024 | 4500023191"/>
    <s v="7613/SPP/SBU/PLNICONPLUS/2025"/>
    <s v="4500025907"/>
    <s v="Livia Indraswati"/>
    <s v="Kun Suta"/>
    <m/>
    <m/>
    <m/>
    <m/>
    <m/>
    <m/>
    <m/>
    <m/>
    <m/>
    <n v="241"/>
    <m/>
  </r>
  <r>
    <n v="2363"/>
    <s v="Dinamika Raya Prima"/>
    <s v="PT Nap Info"/>
    <s v="Gedung Graha Niaga Lantai 1 Jl. Jendral Sudirman Kav. 58 Jakarta 12190"/>
    <x v="1"/>
    <s v="PT NAP INFO LINTASNUSA Plaza Kuningan DC, -, Jakarta Selatan, DKI Jakarta, Indonesia"/>
    <s v="PT. Jakarta Futures Exchange, Jl. Biznet Technovillage No 1, Bojong Nangka, Gunung Putri, Depok, Jawa Barat, Indonesia, 1696"/>
    <s v="Sewa Tahunan"/>
    <s v="Cross Connect"/>
    <s v="AL/1905/14081"/>
    <m/>
    <m/>
    <s v="Metronet"/>
    <s v="8 Mbps"/>
    <m/>
    <n v="42000000"/>
    <m/>
    <m/>
    <n v="6000000"/>
    <m/>
    <d v="2025-11-01T00:00:00"/>
    <d v="2026-10-31T00:00:00"/>
    <x v="1"/>
    <m/>
    <d v="2025-12-24T00:00:00"/>
    <n v="311"/>
    <n v="10"/>
    <n v="2026"/>
    <s v="3944/SPP/SBU/PLNICONPLUS/2024 | 4500023248"/>
    <m/>
    <m/>
    <s v="Livia Indraswati"/>
    <s v="Farrah"/>
    <m/>
    <m/>
    <m/>
    <m/>
    <m/>
    <m/>
    <m/>
    <m/>
    <m/>
    <m/>
    <m/>
  </r>
  <r>
    <n v="2364"/>
    <s v="Aplikanusa Lintasarta"/>
    <s v="PT Solusi Net Internusa"/>
    <s v="MidPlaza 2 Lt. 8 Jl Jend. Sudirman 10-11 Jakarta 10222"/>
    <x v="1"/>
    <m/>
    <s v="LINTASARTA TECHNOPARK DATA CENTER, SETU, KEC. SETU, KOTA TANGERANG"/>
    <s v="Sewa Tahunan"/>
    <s v="Cross Connect"/>
    <s v="A821303001435"/>
    <s v="111303015510"/>
    <m/>
    <s v="Internet Corporate"/>
    <s v="150 Mbps"/>
    <n v="3500000"/>
    <n v="96000000"/>
    <m/>
    <n v="2060000"/>
    <n v="12360000"/>
    <m/>
    <d v="2025-08-15T00:00:00"/>
    <d v="2026-08-14T00:00:00"/>
    <x v="1"/>
    <m/>
    <d v="2025-12-24T00:00:00"/>
    <n v="233"/>
    <n v="8"/>
    <n v="2026"/>
    <s v="baru"/>
    <s v="7651/SPP/SBU/PLNICONPLUS/2025"/>
    <s v="4500026097"/>
    <s v="Livia Indraswati"/>
    <s v="Syarifah"/>
    <m/>
    <m/>
    <m/>
    <m/>
    <m/>
    <m/>
    <m/>
    <m/>
    <m/>
    <n v="266"/>
    <m/>
  </r>
  <r>
    <n v="2365"/>
    <s v="CBN Nusantara"/>
    <s v="PT Narindo Solusi Telekomunikasi"/>
    <s v="Cyber 2 Tower 2nd Floor Jl HR Rasuna Said Kav X-5 No 13 Jakarta 12950"/>
    <x v="1"/>
    <m/>
    <s v="Cyber 2 Tower"/>
    <s v="Sewa Tahunan"/>
    <s v="Cross Connect"/>
    <s v="A111205014152"/>
    <m/>
    <m/>
    <s v="IPVPN"/>
    <s v="1 Mbps"/>
    <n v="1500000"/>
    <n v="24000000"/>
    <m/>
    <n v="4000000"/>
    <n v="8000000"/>
    <m/>
    <d v="2025-04-29T00:00:00"/>
    <d v="2026-04-28T00:00:00"/>
    <x v="1"/>
    <m/>
    <d v="2025-12-24T00:00:00"/>
    <n v="125"/>
    <n v="4"/>
    <n v="2026"/>
    <s v="Baru"/>
    <s v="7575/SPP/SBU/PLNICONPLUS/2025"/>
    <s v="4500025866"/>
    <s v="Livia Indraswati"/>
    <s v="Erni Monalena"/>
    <m/>
    <m/>
    <m/>
    <m/>
    <m/>
    <m/>
    <m/>
    <m/>
    <m/>
    <n v="265"/>
    <m/>
  </r>
  <r>
    <n v="2366"/>
    <s v="Telkom Data Ekosistem"/>
    <s v="Komisi Pemberantasan Korupsi"/>
    <s v="German Centre Building 3rd and 5th floor Jl. Kapt. Subijanto DJ Bumi Serpong Damai"/>
    <x v="1"/>
    <s v="DC KPK BSD GRAHA TELKOM SIGMA BSD JL BUMI SERPONG DAMAI, JALAN KAPTEN SUBIJANTO, LENGKONG GUDANG, KEC. SERPONG, KOTA TANGERANG SELATAN, BANTEN 15321"/>
    <s v="Backhaul Bank DKI,Data Center German Center Lt.5 , Jl. Kapt. Subijanto No. 1 BSD, Serpong, Tanggerang,- ,- ,- ,Indonesia ,-_x000a_PRIMACOM SIGMA BSD , -, KABUPATEN TANGERANG, BANTEN, INDONESIA, -  _x000a_PRIMACOM SIGMA BSD , -, KABUPATEN TANGERANG, BANTEN, INDONESIA, - PRIMACOM SIGMA GERMAN GENTER BSD BACKHAUL IPVN (NNI), -, KOTA TANGERANG, BANTEN, INDONESIA_x000a_PRIMACOM SIGMA GERMAN GENTER BSD ,- ,- ,- ,INDONESIA ,-"/>
    <s v="Sewa Tahunan"/>
    <s v="Cross Connect"/>
    <s v="A111202008331_x000a_'A111202008329_x000a_'A111202008319_x000a_'A111202008314_x000a_'A111202008312"/>
    <s v="111202021504_x000a_'111202021502_x000a_'111202021492_x000a_'111202021487_x000a_'111202021485"/>
    <m/>
    <s v="Metronet"/>
    <m/>
    <m/>
    <n v="694054032"/>
    <m/>
    <m/>
    <n v="6000000"/>
    <m/>
    <d v="2025-09-09T00:00:00"/>
    <d v="2026-09-08T00:00:00"/>
    <x v="1"/>
    <m/>
    <d v="2025-12-24T00:00:00"/>
    <n v="258"/>
    <n v="9"/>
    <n v="2026"/>
    <s v="4619/SPP/SBU/PLNICONPLUS/2024 | 4500023672"/>
    <s v="7680/SPP/SBU/PLNICONPLUS/2025"/>
    <s v="4500025949"/>
    <s v="Livia Indraswati"/>
    <s v="Yudhi Sukma"/>
    <m/>
    <m/>
    <m/>
    <m/>
    <m/>
    <m/>
    <m/>
    <m/>
    <m/>
    <n v="267"/>
    <m/>
  </r>
  <r>
    <n v="2367"/>
    <s v="Telkom Data Ekosistem"/>
    <s v="Komisi Pemberantasan Korupsi"/>
    <s v="German Centre Building 3rd and 5th floor Jl. Kapt. Subijanto DJ Bumi Serpong Damai"/>
    <x v="1"/>
    <s v="DC KPK BSD GRAHA TELKOM SIGMA BSD JL BUMI SERPONG DAMAI, JALAN KAPTEN SUBIJANTO, LENGKONG GUDANG, KEC. SERPONG, KOTA TANGERANG SELATAN, BANTEN 15321"/>
    <s v="TELKOMSEL TCC BUARAN 2 JL. RADIN INTEN II NO.5 9, RT.9/RW.15, DUREN SAWIT, KEC. DUREN SAWIT, KOTA JAKARTA TIMUR, DAERAH KHUSUS IBUKOTA JAKARTA 13440_x000a_INDOSAT OREDEOO KPPTI , JL. MEDAN MERDEKA BARAT NO.21, RT.2/RW.3, GAMBIR, KECAMATAN GAMBIR, KOTA JAKARTA PUSAT, DAERAH KHUSUS IBUKOTA JAKARTA 10110_x000a_PT. XL AXIATA. TBK KAWASAN INDUSTRI MM2100 (INBUILDING JNB 2) BUILDING DI JL. SUMBA BLOK A-B MM2100 , CIBITUNG, BEKASI (RAK KPK)_x000a_GEDUNG KPK MERAH PUTIH , JL. KUNINGAN PERSADA NO.KAV 4, RT.1/RW.6, GUNTUR, KECAMATAN SETIABUDI, KOTA JAKARTA SELATAN, DAERAH KHUSUS IBUKOTA JAKARTA 12950"/>
    <s v="Sewa Tahunan"/>
    <s v="Cross Connect"/>
    <s v="A111202008331_x000a_'A111202008329_x000a_'A111202008319_x000a_'A111202008314_x000a_'A111202008312"/>
    <s v="111202021504_x000a_'111202021502_x000a_'111202021492_x000a_'111202021487_x000a_'111202021485"/>
    <m/>
    <s v="Metronet"/>
    <m/>
    <m/>
    <n v="694054032"/>
    <m/>
    <m/>
    <n v="18000000"/>
    <m/>
    <d v="2025-09-09T00:00:00"/>
    <d v="2026-09-08T00:00:00"/>
    <x v="1"/>
    <m/>
    <d v="2025-12-24T00:00:00"/>
    <n v="258"/>
    <n v="9"/>
    <n v="2026"/>
    <s v="4618/SPP/SBU/PLNICONPLUS/2024 | 4500023671"/>
    <s v="7682/SPP/SBU/PLNICONPLUS/2025"/>
    <s v="4500025950"/>
    <s v="Livia Indraswati"/>
    <s v="Yudhi Sukma"/>
    <m/>
    <m/>
    <m/>
    <m/>
    <m/>
    <m/>
    <m/>
    <m/>
    <m/>
    <n v="268"/>
    <m/>
  </r>
  <r>
    <n v="2368"/>
    <s v="Telkom Data Ekosistem"/>
    <s v="Komisi Pemberantasan Korupsi"/>
    <s v="German Centre Building 3rd and 5th floor Jl. Kapt. Subijanto DJ Bumi Serpong Damai"/>
    <x v="1"/>
    <s v="DC KPK BSD GRAHA TELKOM SIGMA BSD JL BUMI SERPONG DAMAI, JALAN KAPTEN SUBIJANTO, LENGKONG GUDANG, KEC. SERPONG, KOTA TANGERANG SELATAN, BANTEN 15321"/>
    <s v="TELKOMSEL TCC BUARAN 2 JL. RADIN INTEN II NO.5 9, RT.9/RW.15, DUREN SAWIT, KEC. DUREN SAWIT, KOTA JAKARTA TIMUR, DAERAH KHUSUS IBUKOTA JAKARTA 13440_x000a_INDOSAT OREDEOO KPPTI , JL. MEDAN MERDEKA BARAT NO.21, RT.2/RW.3, GAMBIR, KECAMATAN GAMBIR, KOTA JAKARTA PUSAT, DAERAH KHUSUS IBUKOTA JAKARTA 10110_x000a_PT. XL AXIATA. TBK KAWASAN INDUSTRI MM2100 (INBUILDING JNB 2) BUILDING DI JL. SUMBA BLOK A-B MM2100 , CIBITUNG, BEKASI (RAK KPK)_x000a_GEDUNG KPK MERAH PUTIH , JL. KUNINGAN PERSADA NO.KAV 4, RT.1/RW.6, GUNTUR, KECAMATAN SETIABUDI, KOTA JAKARTA SELATAN, DAERAH KHUSUS IBUKOTA JAKARTA 12950"/>
    <s v="Sewa Tahunan"/>
    <s v="Colocation"/>
    <s v="A111202008331_x000a_'A111202008329_x000a_'A111202008319_x000a_'A111202008314_x000a_'A111202008312"/>
    <s v="111202021504_x000a_'111202021502_x000a_'111202021492_x000a_'111202021487_x000a_'111202021485"/>
    <m/>
    <s v="Metronet"/>
    <m/>
    <m/>
    <n v="694054032"/>
    <m/>
    <m/>
    <n v="276000000"/>
    <m/>
    <d v="2025-09-06T00:00:00"/>
    <d v="2026-09-05T00:00:00"/>
    <x v="1"/>
    <m/>
    <d v="2025-12-24T00:00:00"/>
    <n v="255"/>
    <n v="9"/>
    <n v="2026"/>
    <s v="4617/SPP/SBU/PLNICONPLUS/2024 | 4500023670"/>
    <s v="7683/SPP/SBU/PLNICONPLUS/2025"/>
    <s v="4500025951"/>
    <s v="Livia Indraswati"/>
    <s v="Yudhi Sukma"/>
    <m/>
    <m/>
    <m/>
    <m/>
    <m/>
    <m/>
    <m/>
    <m/>
    <m/>
    <n v="269"/>
    <m/>
  </r>
  <r>
    <n v="2369"/>
    <s v="Telkom Data Ekosistem"/>
    <s v="PT Sigma Cipta Caraka_x000a_Bank DKI_x000a_PT Primacom Interbuana"/>
    <s v="German Centre Building 3rd and 5th floor Jl. Kapt. Subijanto DJ Bumi Serpong Damai"/>
    <x v="1"/>
    <s v="Backhaul Bank DKI,Data Center German Center Lt.5 , Jl. Kapt. Subijanto No. 1 BSD, Serpong, Tanggerang,- ,- ,- ,Indonesia ,-_x000a_PRIMACOM SIGMA BSD , -, KABUPATEN TANGERANG, BANTEN, INDONESIA, -  _x000a_PRIMACOM SIGMA BSD , -, KABUPATEN TANGERANG, BANTEN, INDONESIA, - PRIMACOM SIGMA GERMAN GENTER BSD BACKHAUL IPVN (NNI), -, KOTA TANGERANG, BANTEN, INDONESIA_x000a_PRIMACOM SIGMA GERMAN GENTER BSD ,- ,- ,- ,INDONESIA ,-"/>
    <s v="BANK DKI (BACKHAUL) GRAHA TELKOMSIGMA LT.5 TIMUR JL. KAPT. SUBIJANTO DJ. BSD TANGERANG 15321, INDONESIA _x000a_LENGKONG GUDANG, SERPONG, KOTA TANGERANG SELATAN, BANTEN_x000a_PT PRIMACOM INTERBUANA GEDUNG PRIMA SEJAHTERA JL. JALUR SUTERA KAV 5A, KUNCIRAN PINANG, KOTA TANGERANG.BANTEN 15144 - INDONESIA TITIK KORDINATE : 6°13'26.4&quot;S 106°39'52.8&quot;E, TANGERANG, KABUPATEN TANGERANG, BANTEN, INDONESIA_x000a_PRIMACOM SIGMA GERMAN GENTER BSD BACKHAUL IPVN (NNI), -, KOTA TANGERANG, BANTEN, INDONESIA, - _x000a_PRIMACOM MENARA BCA LT 15 ,- ,- ,- ,INDONESIA ,- "/>
    <s v="Sewa Tahunan"/>
    <s v="Colocation dan Cross Connect"/>
    <m/>
    <s v="110120512341 / 0990000320460067_x000a_'0990000320484431_x000a_'01000010268_x000a_'0990000320403514_x000a_'0990000320450560"/>
    <m/>
    <s v="Metronet"/>
    <m/>
    <m/>
    <n v="852000000"/>
    <m/>
    <m/>
    <n v="102000000"/>
    <m/>
    <d v="2025-08-27T00:00:00"/>
    <d v="2026-08-26T00:00:00"/>
    <x v="1"/>
    <m/>
    <d v="2025-12-24T00:00:00"/>
    <n v="245"/>
    <n v="8"/>
    <n v="2026"/>
    <s v="4406/SPP/SBU/PLNICONPLUS/2024 | 4500023598"/>
    <s v="7335/SPP/SBU/PLNICONPLUS/2025"/>
    <s v="4500025952"/>
    <s v="Livia Indraswati"/>
    <s v="Yudhi Sukma"/>
    <m/>
    <m/>
    <m/>
    <m/>
    <m/>
    <m/>
    <m/>
    <m/>
    <m/>
    <n v="237"/>
    <m/>
  </r>
  <r>
    <n v="2370"/>
    <s v="Telkom Data Ekosistem"/>
    <s v="PT Sigma Cipta Caraka_x000a_Bank DKI_x000a_PT Primacom Interbuana"/>
    <s v="German Centre Building 3rd and 5th floor Jl. Kapt. Subijanto DJ Bumi Serpong Damai"/>
    <x v="1"/>
    <s v="Backhaul Bank DKI,Data Center German Center Lt.5 , Jl. Kapt. Subijanto No. 1 BSD, Serpong, Tanggerang,- ,- ,- ,Indonesia ,-_x000a_PRIMACOM SIGMA BSD , -, KABUPATEN TANGERANG, BANTEN, INDONESIA, -  _x000a_PRIMACOM SIGMA BSD , -, KABUPATEN TANGERANG, BANTEN, INDONESIA, - PRIMACOM SIGMA GERMAN GENTER BSD BACKHAUL IPVN (NNI), -, KOTA TANGERANG, BANTEN, INDONESIA_x000a_PRIMACOM SIGMA GERMAN GENTER BSD ,- ,- ,- ,INDONESIA ,-"/>
    <s v="BANK DKI (BACKHAUL) GRAHA TELKOMSIGMA LT.5 TIMUR JL. KAPT. SUBIJANTO DJ. BSD TANGERANG 15321, INDONESIA _x000a_LENGKONG GUDANG, SERPONG, KOTA TANGERANG SELATAN, BANTEN_x000a_PT PRIMACOM INTERBUANA GEDUNG PRIMA SEJAHTERA JL. JALUR SUTERA KAV 5A, KUNCIRAN PINANG, KOTA TANGERANG.BANTEN 15144 - INDONESIA TITIK KORDINATE : 6°13'26.4&quot;S 106°39'52.8&quot;E, TANGERANG, KABUPATEN TANGERANG, BANTEN, INDONESIA_x000a_PRIMACOM SIGMA GERMAN GENTER BSD BACKHAUL IPVN (NNI), -, KOTA TANGERANG, BANTEN, INDONESIA, - _x000a_PRIMACOM MENARA BCA LT 15 ,- ,- ,- ,INDONESIA ,- "/>
    <s v="Sewa Tahunan"/>
    <s v="Colocation dan Cross Connect"/>
    <m/>
    <s v="110120512341 / 0990000320460067_x000a_'0990000320484431_x000a_'01000010268_x000a_'0990000320403514_x000a_'0990000320450560"/>
    <m/>
    <s v="Metronet"/>
    <m/>
    <m/>
    <n v="852000000"/>
    <m/>
    <n v="10000000"/>
    <n v="120000000"/>
    <m/>
    <d v="2025-08-07T00:00:00"/>
    <d v="2026-08-06T00:00:00"/>
    <x v="1"/>
    <m/>
    <d v="2025-12-24T00:00:00"/>
    <n v="225"/>
    <n v="8"/>
    <n v="2026"/>
    <s v="baru"/>
    <s v="7334/SPP/SBU/PLNICONPLUS/2025"/>
    <s v="4500025970"/>
    <s v="Livia Indraswati"/>
    <s v="Yudhi Sukma"/>
    <m/>
    <m/>
    <m/>
    <m/>
    <m/>
    <m/>
    <m/>
    <m/>
    <m/>
    <n v="238"/>
    <m/>
  </r>
  <r>
    <n v="2371"/>
    <s v="Gentamulia Infra"/>
    <s v="Bank Danamon_x000a_Astra Sedaya Finance_x000a_PT Kirana Megantara_x000a_PT Tirta Sari Surya _x000a_PT Mora Telematika Indonesia"/>
    <s v="German Centre Building 3rd and 5th floor Jl. Kapt. Subijanto DJ Bumi Serpong Damai"/>
    <x v="1"/>
    <m/>
    <s v="THE EAST BUILDING LANTAI 15, JL DR IDE ANAK AGUNG GEDE AGUNG KAV E3 NO.1 KAWASAN MEGA _x000a_KUNINGAN , JAKARTA 12950, KUNINGAN, JAKARTA SELATAN, DKI JAKARTA, INDONESIA"/>
    <s v="Sewa Tahunan"/>
    <s v="Colocation"/>
    <s v="A821202001424_x000a_'110120206814 / 01000028326 _x000a_'AR/UPG/1905/1913 _x000a_'AR/UPG/1905/1914 / 110120508430 / 0990000320361019 _x000a_'111090129049"/>
    <m/>
    <m/>
    <s v="Metronet"/>
    <m/>
    <m/>
    <n v="90000000"/>
    <m/>
    <m/>
    <n v="233400000"/>
    <m/>
    <d v="2025-08-01T00:00:00"/>
    <d v="2027-07-31T00:00:00"/>
    <x v="1"/>
    <m/>
    <d v="2025-12-24T00:00:00"/>
    <n v="584"/>
    <n v="7"/>
    <n v="2027"/>
    <s v="442/SPP/SBU/ICON+/2023 | 4500020733"/>
    <s v="7339/SPP/SBU/PLNICONPLUS/2025"/>
    <s v="4500025641"/>
    <s v="Livia Indraswati"/>
    <s v="Thalia"/>
    <m/>
    <m/>
    <m/>
    <m/>
    <m/>
    <m/>
    <m/>
    <m/>
    <m/>
    <n v="223"/>
    <m/>
  </r>
  <r>
    <n v="2372"/>
    <s v="Jakarta Infrastruktur Propertindo"/>
    <s v="PT Cyber Network Indonesia_x000a_PT Hipernet Indodata_x000a_Bank Mega_x000a_Bank Syariah Indonesia Tbk_x000a_PT Astra Sedaya Finance_x000a_PT PLN (Persero) [Pusmanpro]_x000a_PT PLN Kantor Pusat Rumah Dirut PLN_x000a_PT Marunda Distribusindo Raya"/>
    <s v="Gedung The East Building Lt. 32 Jl. Lingkar Mega Kuningan / Gedung The East Jl. DR.Ide Anak Agung Gde Agung Kav. E3.2 No. 1 Jakarta 12950_x000a__x000a_Jl. Pedurenan Masjid 1 No. 18"/>
    <x v="1"/>
    <m/>
    <s v="USER SEPANJANG MAMPANG PRAPATAN"/>
    <s v="Sewa Tahunan"/>
    <s v="Colocation"/>
    <m/>
    <s v="01000135134_x000a_'01000135134_x000a_'1000166223_x000a_'4000145400_x000a_'110120502844_x000a_'01000139820_x000a_'01000139895_x000a_'1000004008_x000a_'01000023416_x000a_'01000349260_x000a_'0990000320654173_x000a_'1000127404"/>
    <m/>
    <s v="Metronet"/>
    <m/>
    <m/>
    <n v="1407560400"/>
    <m/>
    <m/>
    <n v="325799125"/>
    <m/>
    <d v="2024-04-12T00:00:00"/>
    <d v="2026-04-11T00:00:00"/>
    <x v="1"/>
    <m/>
    <d v="2025-12-24T00:00:00"/>
    <n v="108"/>
    <n v="4"/>
    <n v="2026"/>
    <s v="98/SPP/SBU/ICON+/2023 | 4500020797"/>
    <s v="7332/SPP/SBU/PLNICONPLUS/2025"/>
    <s v="4500025666"/>
    <s v="Livia Indraswati"/>
    <s v="Indah"/>
    <m/>
    <m/>
    <m/>
    <m/>
    <m/>
    <m/>
    <m/>
    <m/>
    <m/>
    <n v="224"/>
    <m/>
  </r>
  <r>
    <n v="2373"/>
    <s v="Jakarta Infrastruktur Propertindo"/>
    <s v="PT Cyber Network Indonesia_x000a_PT Hipernet Indodata_x000a_Bank Mega_x000a_Bank Syariah Indonesia Tbk_x000a_PT Astra Sedaya Finance_x000a_PT PLN (Persero) [Pusmanpro]_x000a_PT PLN Kantor Pusat Rumah Dirut PLN_x000a_PT Marunda Distribusindo Raya"/>
    <s v="Gedung Thamrin City Lt.1 Jakarta 10230"/>
    <x v="1"/>
    <m/>
    <s v="USER SEPANJANG TENDEAN"/>
    <s v="Sewa Tahunan"/>
    <s v="Colocation"/>
    <m/>
    <s v="01000135134_x000a_'01000135134_x000a_'1000166223_x000a_'4000145400_x000a_'110120502844_x000a_'01000139820_x000a_'01000139895_x000a_'1000004008_x000a_'01000023416_x000a_'01000349260_x000a_'0990000320654173_x000a_'1000127404"/>
    <m/>
    <s v="Metronet"/>
    <m/>
    <m/>
    <n v="1407560400"/>
    <m/>
    <m/>
    <n v="138111588"/>
    <m/>
    <d v="2024-11-27T00:00:00"/>
    <d v="2026-11-26T00:00:00"/>
    <x v="1"/>
    <m/>
    <d v="2025-12-24T00:00:00"/>
    <n v="337"/>
    <n v="11"/>
    <n v="2026"/>
    <s v="3213/SPP/SBU/PLNICONPLUS/2024 | 4500022866"/>
    <s v="7333/SPP/SBU/PLNICONPLUS/2025"/>
    <s v="4500025665"/>
    <s v="Livia Indraswati"/>
    <s v="Indah"/>
    <m/>
    <m/>
    <m/>
    <m/>
    <m/>
    <m/>
    <m/>
    <m/>
    <m/>
    <n v="225"/>
    <m/>
  </r>
  <r>
    <n v="2374"/>
    <s v="Visionet Data International"/>
    <s v="PT Matahari Department Store Tbk"/>
    <s v="Gedung Thamrin City Lt.1 Jakarta 10230"/>
    <x v="1"/>
    <m/>
    <s v="UPH DATA CENTER LT5 KARAWACI TANGERANG, JALAN M.H. THAMRIN BOULEVARD NO.1100, KLP. DUA, KEC. KLP. DUA, KABUPATEN TANGERANG, BANTEN 15811 "/>
    <s v="Sewa Tahunan"/>
    <s v="Colocation"/>
    <s v="A821302000695"/>
    <m/>
    <m/>
    <s v="Internet Corporate IIX"/>
    <s v="100 Mbps"/>
    <n v="2000000"/>
    <n v="120000000"/>
    <m/>
    <m/>
    <n v="8400000"/>
    <m/>
    <d v="2025-08-14T00:00:00"/>
    <d v="2026-08-13T00:00:00"/>
    <x v="1"/>
    <m/>
    <d v="2025-12-24T00:00:00"/>
    <n v="232"/>
    <n v="8"/>
    <n v="2026"/>
    <s v="baru"/>
    <s v="7576/SPP/SBU/PLNICONPLUS/2025"/>
    <n v="4500025865"/>
    <s v="Livia Indraswati"/>
    <s v="Shinta Wijaya"/>
    <m/>
    <m/>
    <m/>
    <m/>
    <m/>
    <m/>
    <m/>
    <m/>
    <m/>
    <n v="274"/>
    <m/>
  </r>
  <r>
    <n v="2375"/>
    <s v="Indointernet"/>
    <s v="PT Mitra Pajakku"/>
    <s v="Rumah Indonet. Jl.Rempoa Raya No. 11 Ciputat. Tangerang Selatan – Banten 15412"/>
    <x v="1"/>
    <s v="JL. KUNINGAN BARAT RAYA NO.8, RT.1/RW.3, KUNINGAN BAR., KEC. MAMPANG PRPT., KOTA JAKARTA SELATAN, DAERAH KHUSUS IBUKOTA JAKARTA 12710"/>
    <s v="JL. MEDAN MERDEKA TIM., RT.6/RW.1, GAMBIR, KECAMATAN GAMBIR, KOTA JAKARTA PUSAT, DAERAH KHUSUS IBUKOTA JAKARTA 10110"/>
    <s v="Sewa Tahunan"/>
    <s v="Cross Connect"/>
    <m/>
    <s v="111202017511"/>
    <m/>
    <s v="Metronet"/>
    <s v="24 Mbps"/>
    <m/>
    <n v="60000000"/>
    <m/>
    <m/>
    <n v="12000000"/>
    <m/>
    <d v="2025-08-15T00:00:00"/>
    <d v="2026-08-14T00:00:00"/>
    <x v="1"/>
    <m/>
    <d v="2025-12-24T00:00:00"/>
    <n v="233"/>
    <n v="8"/>
    <n v="2026"/>
    <s v="4287/SPP/SBU/PLNICONPLUS/2024 | 4500023505"/>
    <s v="7695/SPP/SBU/PLNICONPLUS/2025"/>
    <s v="4500025943"/>
    <s v="Livia Indraswati"/>
    <s v="Supriatin"/>
    <m/>
    <m/>
    <m/>
    <m/>
    <m/>
    <m/>
    <m/>
    <m/>
    <m/>
    <n v="270"/>
    <m/>
  </r>
  <r>
    <n v="2376"/>
    <s v="Biru Hijau"/>
    <s v="PT. HIPERNET INDODATA  qq PT Samchem Prasandha"/>
    <s v="Rumah Indonet. Jl.Rempoa Raya No. 11 Ciputat. Tangerang Selatan – Banten 15412"/>
    <x v="1"/>
    <m/>
    <s v="PT Samchem Prasandha - The Blugreen Boutique Office Tower A-Blue Lantai 2 Unit AB-0, 2, Jl. Lkr. Luar Barat, RT.6/RW.1"/>
    <s v="Sewa Tahunan"/>
    <s v="Colocation "/>
    <s v="PA/ACT/2205/1858/TER"/>
    <m/>
    <m/>
    <m/>
    <m/>
    <m/>
    <n v="60000000"/>
    <m/>
    <m/>
    <n v="15000000"/>
    <m/>
    <d v="2025-10-01T00:00:00"/>
    <d v="2026-09-30T00:00:00"/>
    <x v="1"/>
    <m/>
    <d v="2025-12-24T00:00:00"/>
    <n v="280"/>
    <n v="9"/>
    <n v="2026"/>
    <s v="4050/SPP/SBU/PLNICONPLUS/2024 | 4500023314"/>
    <s v="7721/SPP/SBU/PLNICONPLUS/2025"/>
    <s v="4500026004"/>
    <s v="Livia Indraswati"/>
    <s v="Maria"/>
    <m/>
    <m/>
    <m/>
    <m/>
    <m/>
    <m/>
    <m/>
    <m/>
    <m/>
    <n v="242"/>
    <m/>
  </r>
  <r>
    <n v="2377"/>
    <s v="Infrastruktur Cakrawala Telekomunikasi"/>
    <s v="PT Fukoku Tokai Rubber_x000a_PT Jaya Refrigeration sebelumnya PT Softex Indonesia_x000a_PT Cikarang Listrindo Tbk_x000a_PT Mane Indonesia Jababeka_x000a_PT Rudolf Chemicals Indonesia_x000a_PT Rudolf Chemicals Indonesia_x000a_PT Nipsea Paint and Chemicals_x000a_PT Fukoku Tokai Rubber"/>
    <s v="Jl. Lingkar Luar Barat Kavling 88"/>
    <x v="3"/>
    <m/>
    <s v="Kawasan Industri Jababeka Jl. Jababeka IX B Blok Q2, Wangunharja, Cikarang Utara, Kabupaten Bekasi, Jawa Barat, Indonesia, 17530"/>
    <s v="Sewa Tahunan"/>
    <s v="Cross Connect"/>
    <s v="U121303001240 - 110130303564_x000a_PA/ACT/2109/1806_x000a_PA/UPG/2301/0510/TER - 04000041840_x000a_ PA/UPG/2211/0174/TER (SID : 0990000020265406)_x000a_A821303000076 - (SID : 111303010667) _x000a_A821303001330 - 111303014208_x000a_A821303000904 - 111303013966"/>
    <s v="110130303564_x000a_'04000041840_x000a_'0990000020265406_x000a_'111303010667 _x000a_'111303014208_x000a_'111303013966"/>
    <m/>
    <s v="Internet Corporate"/>
    <s v="50 Mbps"/>
    <m/>
    <n v="882000000"/>
    <m/>
    <m/>
    <n v="278451132"/>
    <m/>
    <d v="2025-01-01T00:00:00"/>
    <d v="2025-12-31T00:00:00"/>
    <x v="1"/>
    <m/>
    <d v="2025-12-24T00:00:00"/>
    <n v="7"/>
    <n v="12"/>
    <n v="2025"/>
    <s v="5010/SPP/SBU/PLNICONPLUS/2024 | 4500024222"/>
    <s v="7615/SPP/SBU/PLNICONPLUS/2025"/>
    <s v="4500025945"/>
    <s v="Livia Indraswati"/>
    <s v="Aksho"/>
    <m/>
    <m/>
    <m/>
    <m/>
    <m/>
    <m/>
    <m/>
    <m/>
    <m/>
    <n v="261"/>
    <m/>
  </r>
  <r>
    <n v="2378"/>
    <s v="Infrastruktur Cakrawala Telekomunikasi"/>
    <s v="PT Bumimulia Indah Lestari_x000a_PT Tokki Engineering and Fibrication_x000a_PT Bina Niaga Multiusaha_x000a_PT Genero Pharmaceuticals_x000a_PT Rudolf Chemicals Indonesia_x000a_PT Midi Utama Indonesia_x000a_PT Hitachi Astemo Bekasi Manufacturing_x000a_PT Ingress Malindo Ventures_x000a_PT Axalta Powder Coating System Indonesia_x000a_PT Menara Terus Makmur_x000a_PT Menara Terus Makmur_x000a_PT Menara Terus Makmur_x000a_PT Nipsea Paint and Chemicals"/>
    <s v="PT Infrastruktur Cakrawala Telekomunikasi, Jalan Kihajar Dewantara, Ruko Elite Blok 3B No. 66 Cikarang Utara, Kabupaten Bekasi, Jawa Barat"/>
    <x v="3"/>
    <m/>
    <s v="Kawasan Industri Jababeka Jl. Jababeka IX B Blok Q2, Wangunharja, Cikarang Utara, Kabupaten Bekasi, Jawa Barat, Indonesia, 17530"/>
    <s v="Sewa Tahunan"/>
    <s v="Cross Connect"/>
    <s v="PA/ACT/1911/0927_x000a_PA/UPG/2011/0178_x000a_PA/UPG/2206/0110_x000a_PA/UPG/2008/0089_x000a_PA/RLK/1810/0038_x000a_PA/ACT/2106/3311_x000a_PA/UPG/2103/0259 _x000a_A821303001330"/>
    <s v="110120202454 / 01000027926_x000a_'0990000320395877_x000a_'04000036070_x000a_'110130304609 / 0990000320493529_x000a_110130305990 / 0990000020265381_x000a_ '04000057296_x000a_110120203752 / 0990000020280784 _x000a_110130304059 / 0990000320418617_x000a_'111303014208"/>
    <m/>
    <s v="Internet Corporate"/>
    <s v="100 Mbps"/>
    <m/>
    <n v="1009200000"/>
    <m/>
    <m/>
    <n v="298655316"/>
    <m/>
    <d v="2025-01-01T00:00:00"/>
    <d v="2025-12-31T00:00:00"/>
    <x v="1"/>
    <m/>
    <d v="2025-12-24T00:00:00"/>
    <n v="7"/>
    <n v="12"/>
    <n v="2025"/>
    <s v="5008/SPP/SBU/PLNICONPLUS/2024 | 4500024139"/>
    <s v="7618/SPP/SBU/PLNICONPLUS/2025"/>
    <s v="4500025946"/>
    <s v="Livia Indraswati"/>
    <s v="Aksho"/>
    <m/>
    <m/>
    <m/>
    <m/>
    <m/>
    <m/>
    <m/>
    <m/>
    <m/>
    <n v="262"/>
    <m/>
  </r>
  <r>
    <n v="2379"/>
    <s v="Muklis"/>
    <s v="PT EDMI Indonesia"/>
    <s v="PT Infrastruktur Cakrawala Telekomunikasi, Jalan Kihajar Dewantara, Ruko Elite Blok 3B No. 66 Cikarang Utara, Kabupaten Bekasi, Jawa Barat"/>
    <x v="1"/>
    <m/>
    <s v="Tendean Square RT.16/RW.2, Petogogan,Kec. Kebayoran Baru, Jakarta Selatan, DKI Jakarta, Indonesia, 12170 "/>
    <s v="Sewa Tahunan"/>
    <s v="Colocation"/>
    <s v="PA/ACT/2207/0445/TER"/>
    <m/>
    <m/>
    <m/>
    <m/>
    <m/>
    <n v="30000000"/>
    <m/>
    <m/>
    <n v="5000000"/>
    <m/>
    <d v="2025-08-19T00:00:00"/>
    <d v="2026-08-18T00:00:00"/>
    <x v="1"/>
    <m/>
    <d v="2025-12-24T00:00:00"/>
    <n v="237"/>
    <n v="8"/>
    <n v="2026"/>
    <s v="4092/SPP/SBU/PLNICONPLUS/2024 | 4500021050"/>
    <s v="7720/SPP/SBU/PLNICONPLUS/2025"/>
    <s v="4500026006"/>
    <s v="Livia Indraswati"/>
    <s v="Muklis"/>
    <m/>
    <m/>
    <m/>
    <m/>
    <m/>
    <m/>
    <m/>
    <m/>
    <m/>
    <n v="264"/>
    <m/>
  </r>
  <r>
    <n v="2380"/>
    <s v="Media Nusantara Data Global"/>
    <s v="Join All Customer"/>
    <s v="Jl. Kuningan Barat No. 8 Cyber Building 1st &amp; 2nd Jakarta Selatan 12712"/>
    <x v="1"/>
    <s v="NER CDCI"/>
    <s v="CDCI"/>
    <s v="Sewa Tahunan"/>
    <s v="Colocation"/>
    <m/>
    <m/>
    <m/>
    <s v="Metronet"/>
    <s v="5 Mbps"/>
    <m/>
    <n v="252000000"/>
    <m/>
    <n v="2500000"/>
    <n v="104260000"/>
    <m/>
    <d v="2025-06-23T00:00:00"/>
    <d v="2026-06-22T00:00:00"/>
    <x v="1"/>
    <m/>
    <d v="2025-12-24T00:00:00"/>
    <n v="180"/>
    <n v="6"/>
    <n v="2026"/>
    <s v="Baru"/>
    <s v="7217/SPP/SBU/PLNICONPLUS/2025"/>
    <s v="4500025555"/>
    <s v="Syifa Fauziyah"/>
    <s v="Ira"/>
    <m/>
    <m/>
    <m/>
    <m/>
    <m/>
    <m/>
    <m/>
    <m/>
    <m/>
    <n v="168"/>
    <m/>
  </r>
  <r>
    <n v="2381"/>
    <s v="Media Nusantara Data Global"/>
    <s v="Join All Customer"/>
    <s v="Jl. Kuningan Barat No. 8 Cyber Building 1st &amp; 2nd Jakarta Selatan 12710"/>
    <x v="1"/>
    <m/>
    <s v="CDCI"/>
    <s v="Sewa Tahunan"/>
    <s v="Cross Connect"/>
    <m/>
    <m/>
    <m/>
    <s v="Kapasitas Besar"/>
    <m/>
    <m/>
    <n v="2640000000"/>
    <m/>
    <m/>
    <n v="36000000"/>
    <m/>
    <d v="2025-07-18T00:00:00"/>
    <d v="2026-07-17T00:00:00"/>
    <x v="1"/>
    <m/>
    <d v="2025-12-24T00:00:00"/>
    <n v="205"/>
    <n v="7"/>
    <n v="2026"/>
    <s v="Baru"/>
    <s v="7490/SPP/SBU/PLNICONPLUS/2025"/>
    <s v="4500025767"/>
    <s v="Syifa Fauziyah"/>
    <s v="Ira"/>
    <m/>
    <m/>
    <m/>
    <m/>
    <m/>
    <m/>
    <m/>
    <m/>
    <m/>
    <n v="226"/>
    <m/>
  </r>
  <r>
    <n v="2382"/>
    <s v="Infrastruktur Cakrawala Telekomunikasi"/>
    <s v="PT Jaya Refrigeration Equipment"/>
    <s v="Jl. Kuningan Barat No. 8 Cyber Building 1st &amp; 2nd Jakarta Selatan 12710"/>
    <x v="1"/>
    <m/>
    <s v="Jl. Jababeka Raya Q no.1"/>
    <s v="Sewa Tahunan"/>
    <s v="Cross Connect"/>
    <s v="A111202011417"/>
    <s v="111202022694"/>
    <m/>
    <s v="Metronet"/>
    <s v="25 Mbps"/>
    <n v="3000000"/>
    <n v="57000000"/>
    <m/>
    <m/>
    <n v="19180992"/>
    <m/>
    <d v="2025-06-16T00:00:00"/>
    <d v="2025-12-31T00:00:00"/>
    <x v="1"/>
    <m/>
    <d v="2025-08-02T00:00:00"/>
    <n v="151"/>
    <n v="12"/>
    <n v="2025"/>
    <s v="Baru"/>
    <s v="6962/SPP/SBU/PLNICONPLUS/2025"/>
    <s v="4500025354"/>
    <s v="Syifa Fauziyah"/>
    <s v="visakha"/>
    <m/>
    <m/>
    <m/>
    <m/>
    <m/>
    <m/>
    <m/>
    <m/>
    <m/>
    <n v="110"/>
    <m/>
  </r>
  <r>
    <n v="2383"/>
    <s v="Infrastruktur Cakrawala Telekomunikasi"/>
    <s v="PT KAO INDONESIA"/>
    <s v="WTP Building Jl. Jababeka IV"/>
    <x v="1"/>
    <m/>
    <s v="Kawasan jababeka VI/N2 Cikarang "/>
    <s v="Sewa Tahunan"/>
    <s v="Cross Connect"/>
    <s v="U11130307115"/>
    <s v="04000162862"/>
    <m/>
    <s v="Metronet"/>
    <s v="20 Mbps"/>
    <m/>
    <n v="20322581"/>
    <m/>
    <m/>
    <n v="8317310"/>
    <m/>
    <d v="2025-07-10T00:00:00"/>
    <d v="2025-12-31T00:00:00"/>
    <x v="1"/>
    <m/>
    <d v="2025-08-02T00:00:00"/>
    <n v="151"/>
    <n v="12"/>
    <n v="2025"/>
    <s v="Baru"/>
    <s v="7375/SPP/SBU/PLNICONPLUS/2025"/>
    <s v="4500025766"/>
    <s v="Syifa Fauziyah"/>
    <s v="visakha"/>
    <m/>
    <m/>
    <m/>
    <m/>
    <m/>
    <m/>
    <m/>
    <m/>
    <m/>
    <n v="197"/>
    <m/>
  </r>
  <r>
    <n v="2384"/>
    <s v="Infrastruktur Cakrawala Telekomunikasi"/>
    <s v="PT HIPERNET INDODATA"/>
    <s v="WTP Building Jl. Jababeka IV"/>
    <x v="1"/>
    <m/>
    <s v="NX LEMO indonesia logistik jl. dry port raya no.3"/>
    <s v="Sewa Tahunan"/>
    <s v="Cross Connect"/>
    <s v="A111202012432"/>
    <s v="111202022907"/>
    <m/>
    <s v="Metronet"/>
    <s v="50 Mbps"/>
    <n v="12000000"/>
    <n v="29419355"/>
    <m/>
    <m/>
    <n v="13723450"/>
    <m/>
    <d v="2025-07-22T00:00:00"/>
    <d v="2025-12-31T00:00:00"/>
    <x v="1"/>
    <m/>
    <d v="2025-08-02T00:00:00"/>
    <n v="151"/>
    <n v="12"/>
    <n v="2025"/>
    <s v="Baru"/>
    <s v="7457/SPP/SBU/PLNICONPLUS/2025"/>
    <s v="4500025764"/>
    <s v="Syifa Fauziyah"/>
    <s v="visakha"/>
    <m/>
    <m/>
    <m/>
    <m/>
    <m/>
    <m/>
    <m/>
    <m/>
    <m/>
    <n v="198"/>
    <m/>
  </r>
  <r>
    <n v="2385"/>
    <s v="Infrastruktur Cakrawala Telekomunikasi"/>
    <s v="PT MATTEL INDONESIA"/>
    <s v="WTP Building Jl. Jababeka IV"/>
    <x v="1"/>
    <m/>
    <s v="(pemindahan jalur direct icon) jl. industri utama blok SS kav 1-3, kawasan industri jababeka"/>
    <s v="Sewa Tahunan"/>
    <s v="Cross Connect"/>
    <s v="U111303006737"/>
    <s v="111303013881"/>
    <m/>
    <s v="Metronet"/>
    <s v="300 Mbps"/>
    <m/>
    <n v="768000000"/>
    <m/>
    <m/>
    <n v="64834624"/>
    <m/>
    <d v="2025-06-17T00:00:00"/>
    <d v="2025-12-31T00:00:00"/>
    <x v="1"/>
    <m/>
    <d v="2025-08-07T00:00:00"/>
    <n v="146"/>
    <n v="12"/>
    <n v="2025"/>
    <s v="Baru"/>
    <s v="6884/SPP/SBU/PLNICONPLUS/2026"/>
    <s v="4500025314"/>
    <s v="Syifa Fauziyah"/>
    <s v="Suci"/>
    <m/>
    <m/>
    <m/>
    <m/>
    <m/>
    <m/>
    <m/>
    <m/>
    <m/>
    <n v="109"/>
    <m/>
  </r>
  <r>
    <n v="2386"/>
    <s v="Cyberindo Aditama"/>
    <s v="PT Mulia Inti Pelangi"/>
    <s v="Gedung Cyber 2 Tower, Lt 33 Jl. HP Rasuna Said Blok X-5 No. 13 Kuningan Timur Setiabudi Jakarta Selatan 12950"/>
    <x v="1"/>
    <s v="(H2H) Plaza Bank Mandiri Jl. Gatot Subroto Kav 36-38 RT 7/RW 1 Senayan Jakarta Selatan DKI Jakarta 12190"/>
    <s v="(H2H) Mall Taman Anggrek Jl Letjen S Parman No 28 RT 9 RW 1, Tomang, Kec. Grogol Petamburan, Kota Jakarta Barat, Daerah Khusus Ibu Kota Jakarta 11440"/>
    <s v="Sewa Bulanan"/>
    <s v="Interkoneksi"/>
    <s v="PA/ACT/2001/3225/TER"/>
    <s v="01000100102"/>
    <s v="99,50%"/>
    <s v="IPVPN"/>
    <s v="512 Kbps"/>
    <m/>
    <n v="36000000"/>
    <m/>
    <m/>
    <n v="14400000"/>
    <m/>
    <d v="2025-07-01T00:00:00"/>
    <d v="2026-06-30T00:00:00"/>
    <x v="1"/>
    <m/>
    <d v="2025-12-24T00:00:00"/>
    <n v="188"/>
    <n v="6"/>
    <n v="2026"/>
    <s v="3287/SPP/SBU/PLNICONPLUS/2024"/>
    <s v="7487/SPP/SBU/PLNICONPLUS/2025"/>
    <s v="4500025894"/>
    <s v="Renata Simanjuntak"/>
    <s v="Christian"/>
    <s v="+62 812-9804-5188"/>
    <m/>
    <m/>
    <m/>
    <m/>
    <m/>
    <m/>
    <m/>
    <m/>
    <n v="232"/>
    <m/>
  </r>
  <r>
    <n v="2387"/>
    <s v="PT Solusi Jasa Teknologi"/>
    <s v="PT Cyberindo Aditama"/>
    <s v="Gedung Cyber 2 Tower, Lt 33 Jl. HP Rasuna Said Blok X-5 No. 13 Kuningan Timur Setiabudi Jakarta Selatan 12950"/>
    <x v="1"/>
    <s v="-"/>
    <s v="Elitery (PT RHB OSK Securities Indonesia) Jl. Pajajaran no. 17 Bogor Indonesia"/>
    <s v="BAGI HASIL"/>
    <s v="Revenue Sharing"/>
    <m/>
    <s v="990000320429056"/>
    <s v=" "/>
    <s v="Metronet"/>
    <s v=" "/>
    <s v=" "/>
    <n v="114000000"/>
    <s v=" "/>
    <s v=" "/>
    <s v=" "/>
    <n v="0.2"/>
    <d v="2026-05-01T00:00:00"/>
    <d v="2027-04-30T00:00:00"/>
    <x v="1"/>
    <s v=" "/>
    <d v="2025-08-28T00:00:00"/>
    <n v="976"/>
    <n v="4"/>
    <n v="2027"/>
    <s v=" "/>
    <s v=" "/>
    <s v=" "/>
    <s v="Syifa Fauziyah"/>
    <s v="Zulva, Danar"/>
    <m/>
    <m/>
    <m/>
    <m/>
    <m/>
    <m/>
    <m/>
    <m/>
    <m/>
    <m/>
    <m/>
  </r>
  <r>
    <n v="2388"/>
    <s v="PT Solusi Jasa Teknologi"/>
    <s v="PT Fujitsu Indonesia"/>
    <s v="Data Center Elitery Bogor-SOJATEK"/>
    <x v="1"/>
    <s v="-"/>
    <s v="PT. Fujitsu Indonesia Jl. Raya Pajajaran no 17 Bogor, Indonesia"/>
    <s v="BAGI HASIL"/>
    <s v="Revenue Sharing"/>
    <m/>
    <s v="990000320452699"/>
    <m/>
    <s v="IP Transit"/>
    <m/>
    <m/>
    <n v="60000000"/>
    <m/>
    <m/>
    <m/>
    <n v="0.2"/>
    <d v="2026-05-01T00:00:00"/>
    <d v="2027-04-30T00:00:00"/>
    <x v="1"/>
    <m/>
    <d v="2025-08-28T00:00:00"/>
    <n v="976"/>
    <n v="4"/>
    <n v="2027"/>
    <s v=" "/>
    <s v=" "/>
    <s v=" "/>
    <s v="Syifa Fauziyah"/>
    <s v="Zulva, Danar"/>
    <m/>
    <m/>
    <m/>
    <m/>
    <m/>
    <m/>
    <m/>
    <m/>
    <m/>
    <m/>
    <m/>
  </r>
  <r>
    <n v="2389"/>
    <s v="PT Solusi Jasa Teknologi"/>
    <s v="PT MAYBANK KIM ENG SECURITIES INDONESIA"/>
    <s v="Data Center Elitery Bogor-SOJATEK"/>
    <x v="1"/>
    <s v="Elitery Recovery Data Center,Jalan Padjajaran No.17 Sanggar Ksatria 5 Lantai 5 Bogor Jawa Barat"/>
    <s v="Sentral Senayan III, Lantai 22, Jl. Asia Afrika No. 8  Gelora Bung Karno, Senayan Jakarta 10270"/>
    <s v="BAGI HASIL"/>
    <s v="Revenue Sharing"/>
    <m/>
    <s v="990000320470177"/>
    <s v=" "/>
    <s v="Metronet"/>
    <s v=" "/>
    <s v=" "/>
    <n v="90600000"/>
    <s v=" "/>
    <s v=" "/>
    <s v=" "/>
    <n v="0.2"/>
    <d v="2026-05-01T00:00:00"/>
    <d v="2027-04-30T00:00:00"/>
    <x v="1"/>
    <s v=" "/>
    <d v="2025-08-28T00:00:00"/>
    <n v="976"/>
    <n v="4"/>
    <n v="2027"/>
    <s v=" "/>
    <s v=" "/>
    <s v=" "/>
    <s v="Syifa Fauziyah"/>
    <s v="Zulva, Danar"/>
    <m/>
    <m/>
    <m/>
    <m/>
    <m/>
    <m/>
    <m/>
    <m/>
    <m/>
    <m/>
    <m/>
  </r>
  <r>
    <n v="2390"/>
    <s v="PT Solusi Jasa Teknologi"/>
    <s v="PT EKA MAS REPUBLIK"/>
    <s v="Data Center Elitery Bogor-SOJATEK"/>
    <x v="1"/>
    <s v="POP IDC Duren Tiga"/>
    <s v="PT. Sinarmas Sekuritas, Elitery Data Center, Jl. Pajajaran No. 17, Bogor"/>
    <s v="BAGI HASIL"/>
    <s v="Revenue Sharing"/>
    <m/>
    <m/>
    <m/>
    <s v="Metronet"/>
    <m/>
    <m/>
    <n v="75900000"/>
    <m/>
    <m/>
    <m/>
    <n v="0.2"/>
    <d v="2026-05-01T00:00:00"/>
    <d v="2027-04-30T00:00:00"/>
    <x v="1"/>
    <m/>
    <d v="2025-08-28T00:00:00"/>
    <n v="976"/>
    <n v="4"/>
    <n v="2027"/>
    <s v=" "/>
    <s v=" "/>
    <s v=" "/>
    <s v="Syifa Fauziyah"/>
    <s v="Zulva, Danar"/>
    <m/>
    <m/>
    <m/>
    <m/>
    <m/>
    <m/>
    <m/>
    <m/>
    <m/>
    <m/>
    <m/>
  </r>
  <r>
    <n v="2391"/>
    <s v="PT Solusi Jasa Teknologi"/>
    <s v="PT SARANA YUKTI BANDHANA"/>
    <s v="Data Center Elitery Bogor-SOJATEK"/>
    <x v="1"/>
    <s v="Gedung Elitery LT 4 Rack SYB Jl. Raya Padjajaran, Bogor, Kota Bogor, Jawa Barat, Indonesia, 16143"/>
    <s v="Kota Bogor, Jawa Barat, Indonesia"/>
    <s v="BAGI HASIL"/>
    <s v="Revenue Sharing"/>
    <m/>
    <s v="1000193597"/>
    <s v=" "/>
    <s v="IPVPN"/>
    <s v=" "/>
    <s v=" "/>
    <n v="132000000"/>
    <s v=" "/>
    <s v=" "/>
    <s v=" "/>
    <n v="0.2"/>
    <d v="2026-05-01T00:00:00"/>
    <d v="2027-04-30T00:00:00"/>
    <x v="1"/>
    <s v=" "/>
    <d v="2025-08-28T00:00:00"/>
    <n v="976"/>
    <n v="4"/>
    <n v="2027"/>
    <s v=" "/>
    <s v=" "/>
    <s v=" "/>
    <s v="Syifa Fauziyah"/>
    <s v="Zulva, Danar"/>
    <m/>
    <s v=" "/>
    <m/>
    <m/>
    <m/>
    <m/>
    <m/>
    <m/>
    <m/>
    <m/>
    <m/>
  </r>
  <r>
    <n v="2392"/>
    <s v="PT Solusi Jasa Teknologi"/>
    <s v="PT Bahana Pembinaan Usaha Indonesia"/>
    <s v="Data Center Elitery Bogor-SOJATEK"/>
    <x v="1"/>
    <s v=" "/>
    <s v="(DCI) JL. HALMAHERA NO.1, DANAU INDAH, KEC. CIKARANG BAR., KABUPATEN BEKASI, JAWA BARAT 17530"/>
    <s v="BAGI HASIL"/>
    <s v="Revenue Sharing"/>
    <m/>
    <s v="111202018505"/>
    <s v=" "/>
    <s v="Ethernet "/>
    <s v="100 Mbps"/>
    <s v=" "/>
    <n v="148800000"/>
    <s v=" "/>
    <s v=" "/>
    <s v=" "/>
    <n v="0.2"/>
    <d v="2026-05-01T00:00:00"/>
    <d v="2027-04-30T00:00:00"/>
    <x v="1"/>
    <s v=" "/>
    <d v="2025-08-28T00:00:00"/>
    <n v="976"/>
    <n v="4"/>
    <n v="2027"/>
    <s v=" "/>
    <s v=" "/>
    <s v=" "/>
    <s v="Syifa Fauziyah"/>
    <s v="Zulva, Danar"/>
    <m/>
    <s v=" "/>
    <m/>
    <m/>
    <m/>
    <m/>
    <m/>
    <m/>
    <m/>
    <m/>
    <m/>
  </r>
  <r>
    <n v="2393"/>
    <s v="PT Solusi Jasa Teknologi"/>
    <s v="PT DATA SINERGITAMA JAYA"/>
    <s v="Data Center Elitery Bogor-SOJATEK"/>
    <x v="1"/>
    <s v=" "/>
    <s v="Toyota Astra Motor New Site 2, Jl. Selayar"/>
    <s v="BAGI HASIL"/>
    <s v="Revenue Sharing"/>
    <m/>
    <s v="990000320514810"/>
    <s v=" "/>
    <s v="Metronet "/>
    <s v="100 Mbps"/>
    <s v=" "/>
    <n v="354000000"/>
    <s v=" "/>
    <s v=" "/>
    <s v=" "/>
    <n v="0.2"/>
    <d v="2026-05-01T00:00:00"/>
    <d v="2027-04-30T00:00:00"/>
    <x v="1"/>
    <s v=" "/>
    <d v="2025-08-28T00:00:00"/>
    <n v="976"/>
    <n v="4"/>
    <n v="2027"/>
    <s v=" "/>
    <s v=" "/>
    <s v=" "/>
    <s v="Syifa Fauziyah"/>
    <s v="Zulva, Danar"/>
    <m/>
    <s v=" "/>
    <m/>
    <m/>
    <m/>
    <m/>
    <m/>
    <m/>
    <m/>
    <m/>
    <m/>
  </r>
  <r>
    <n v="2394"/>
    <s v="PT Solusi Jasa Teknologi"/>
    <s v="PT MAYBANK KIM ENG SECURITIES INDONESIA"/>
    <s v="Data Center Elitery Bogor-SOJATEK"/>
    <x v="1"/>
    <s v=" "/>
    <s v="Ruko Mega Mall Pluit/Lippo Village No. 48, Jalan Pluit Indah no. 1 Pluit, Pluit, Jakarta Utara, DKI Jakarta, Indonesia, 14450"/>
    <s v="BAGI HASIL"/>
    <s v="Revenue Sharing"/>
    <m/>
    <s v="01000058903"/>
    <s v=" "/>
    <s v="Metronet "/>
    <s v="10 Mbps"/>
    <s v=" "/>
    <n v="90600000"/>
    <s v=" "/>
    <s v=" "/>
    <s v=" "/>
    <n v="0.2"/>
    <d v="2026-05-01T00:00:00"/>
    <d v="2027-04-30T00:00:00"/>
    <x v="1"/>
    <s v=" "/>
    <d v="2025-08-28T00:00:00"/>
    <n v="976"/>
    <n v="4"/>
    <n v="2027"/>
    <s v=" "/>
    <s v=" "/>
    <s v=" "/>
    <s v="Syifa Fauziyah"/>
    <s v="Zulva, Danar"/>
    <m/>
    <s v=" "/>
    <m/>
    <m/>
    <m/>
    <m/>
    <m/>
    <m/>
    <m/>
    <m/>
    <m/>
  </r>
  <r>
    <n v="2395"/>
    <s v="PT Solusi Jasa Teknologi"/>
    <s v="PT. FAASRI UTAMA SAKTI"/>
    <s v="Data Center Elitery Bogor-SOJATEK"/>
    <x v="1"/>
    <s v=" "/>
    <s v="PT. Faasri Utama Sakti - Jl. Raya Padjajaran No.17 RT.006 RW.013 Baranangsiang,  Bogor Timur,  Kota Bogor,  Jawa Barat,  Indonesia,  16143"/>
    <s v="BAGI HASIL"/>
    <s v="Revenue Sharing"/>
    <m/>
    <s v="01000310307"/>
    <s v=" "/>
    <s v="Qinq Metro Ethernet"/>
    <s v="100 Mbps"/>
    <s v=" "/>
    <n v="52020000"/>
    <s v=" "/>
    <s v=" "/>
    <s v=" "/>
    <n v="0.2"/>
    <d v="2026-05-01T00:00:00"/>
    <d v="2027-04-30T00:00:00"/>
    <x v="1"/>
    <s v=" "/>
    <d v="2025-08-28T00:00:00"/>
    <n v="976"/>
    <n v="4"/>
    <n v="2027"/>
    <s v=" "/>
    <s v=" "/>
    <s v=" "/>
    <s v="Syifa Fauziyah"/>
    <s v="Zulva, Danar"/>
    <m/>
    <s v=" "/>
    <m/>
    <m/>
    <m/>
    <m/>
    <m/>
    <m/>
    <m/>
    <m/>
    <m/>
  </r>
  <r>
    <n v="2396"/>
    <s v="PT Solusi Jasa Teknologi"/>
    <s v="PT. BANK CENTRAL ASIA, TBK"/>
    <s v="Data Center Elitery Bogor-SOJATEK"/>
    <x v="1"/>
    <s v=" "/>
    <s v="H2H BCA Elitery Data Center; Jl. Raya Pajajaran No.61, RT.06/RW.13, Baranangsiang,  Bogor Timur,  Kota Bogor,  Jawa Barat,  Indonesia,  16143"/>
    <s v="BAGI HASIL"/>
    <s v="Revenue Sharing"/>
    <m/>
    <s v="01000135933"/>
    <s v=" "/>
    <s v="IPVPN "/>
    <s v="4 Mbps"/>
    <s v=" "/>
    <n v="36000000"/>
    <s v=" "/>
    <s v=" "/>
    <s v=" "/>
    <n v="0.2"/>
    <d v="2026-05-01T00:00:00"/>
    <d v="2027-04-30T00:00:00"/>
    <x v="1"/>
    <s v=" "/>
    <d v="2025-08-28T00:00:00"/>
    <n v="976"/>
    <n v="4"/>
    <n v="2027"/>
    <s v=" "/>
    <s v=" "/>
    <s v=" "/>
    <s v="Syifa Fauziyah"/>
    <s v="Zulva, Danar"/>
    <m/>
    <s v=" "/>
    <m/>
    <m/>
    <m/>
    <m/>
    <m/>
    <m/>
    <m/>
    <m/>
    <m/>
  </r>
  <r>
    <n v="2397"/>
    <s v="PT Solusi Jasa Teknologi"/>
    <s v="PT. TOYOTA MOTOR MANUFACTURING INDONESIA"/>
    <s v="Data Center Elitery Bogor-SOJATEK"/>
    <x v="1"/>
    <s v=" "/>
    <s v="PT. TOYOTA MOTOR MANUFACTURING INDONESIA GEDUNG ELITERY DATA CENTER AND MANAGED SERVICES LANTAI 3, JL. RAYA PAJAJARAN NO.17, RT.06/RW.13, BARANANGSIANG, KEC. BOGOR TIM., KOTA BOGOR, JAWA BARAT 16143"/>
    <s v="BAGI HASIL"/>
    <s v="Revenue Sharing"/>
    <m/>
    <s v="111202019445"/>
    <s v=" "/>
    <s v="METRONET "/>
    <s v="500 Mbps"/>
    <s v=" "/>
    <n v="359904000"/>
    <s v=" "/>
    <s v=" "/>
    <s v=" "/>
    <n v="0.2"/>
    <d v="2026-05-01T00:00:00"/>
    <d v="2027-04-30T00:00:00"/>
    <x v="1"/>
    <s v=" "/>
    <d v="2025-08-28T00:00:00"/>
    <n v="976"/>
    <n v="4"/>
    <n v="2027"/>
    <s v=" "/>
    <s v=" "/>
    <s v=" "/>
    <s v="Syifa Fauziyah"/>
    <s v="Zulva, Danar"/>
    <m/>
    <m/>
    <m/>
    <m/>
    <m/>
    <m/>
    <m/>
    <m/>
    <m/>
    <m/>
    <m/>
  </r>
  <r>
    <n v="2398"/>
    <s v="PT Solusi Jasa Teknologi"/>
    <s v="PT Cyberindo Aditama"/>
    <s v="Data Center Elitery Bogor-SOJATEK"/>
    <x v="1"/>
    <s v="-"/>
    <s v="Elitery (PT RHB OSK Securities Indonesia) Jl. Pajajaran no. 17 Bogor Indonesia"/>
    <s v="BAGI HASIL"/>
    <s v="Revenue Sharing"/>
    <m/>
    <s v="990000320429056"/>
    <s v=" "/>
    <s v="Metronet"/>
    <s v=" "/>
    <s v=" "/>
    <n v="114000000"/>
    <s v=" "/>
    <s v=" "/>
    <s v=" "/>
    <n v="0.2"/>
    <d v="2027-05-01T00:00:00"/>
    <d v="2028-04-30T00:00:00"/>
    <x v="1"/>
    <s v=" "/>
    <d v="2025-08-28T00:00:00"/>
    <n v="976"/>
    <n v="4"/>
    <n v="2028"/>
    <s v=" "/>
    <s v=" "/>
    <s v=" "/>
    <s v="Syifa Fauziyah"/>
    <s v="Zulva, Danar"/>
    <m/>
    <m/>
    <m/>
    <m/>
    <m/>
    <m/>
    <m/>
    <m/>
    <m/>
    <m/>
    <m/>
  </r>
  <r>
    <n v="2399"/>
    <s v="PT Solusi Jasa Teknologi"/>
    <s v="PT Fujitsu Indonesia"/>
    <s v="Data Center Elitery Bogor-SOJATEK"/>
    <x v="1"/>
    <s v="-"/>
    <s v="PT. Fujitsu Indonesia Jl. Raya Pajajaran no 17 Bogor, Indonesia"/>
    <s v="BAGI HASIL"/>
    <s v="Revenue Sharing"/>
    <m/>
    <s v="990000320452699"/>
    <m/>
    <s v="IP Transit"/>
    <m/>
    <m/>
    <n v="60000000"/>
    <m/>
    <m/>
    <m/>
    <n v="0.2"/>
    <d v="2027-05-01T00:00:00"/>
    <d v="2028-04-30T00:00:00"/>
    <x v="1"/>
    <m/>
    <d v="2025-08-28T00:00:00"/>
    <n v="976"/>
    <n v="4"/>
    <n v="2028"/>
    <s v=" "/>
    <s v=" "/>
    <s v=" "/>
    <s v="Syifa Fauziyah"/>
    <s v="Zulva, Danar"/>
    <m/>
    <m/>
    <m/>
    <m/>
    <m/>
    <m/>
    <m/>
    <m/>
    <m/>
    <m/>
    <m/>
  </r>
  <r>
    <n v="2400"/>
    <s v="PT Solusi Jasa Teknologi"/>
    <s v="PT MAYBANK KIM ENG SECURITIES INDONESIA"/>
    <s v="Data Center Elitery Bogor-SOJATEK"/>
    <x v="1"/>
    <s v="Elitery Recovery Data Center,Jalan Padjajaran No.17 Sanggar Ksatria 5 Lantai 5 Bogor Jawa Barat"/>
    <s v="Sentral Senayan III, Lantai 22, Jl. Asia Afrika No. 8  Gelora Bung Karno, Senayan Jakarta 10270"/>
    <s v="BAGI HASIL"/>
    <s v="Revenue Sharing"/>
    <m/>
    <s v="990000320470177"/>
    <s v=" "/>
    <s v="Metronet"/>
    <s v=" "/>
    <s v=" "/>
    <n v="90600000"/>
    <s v=" "/>
    <s v=" "/>
    <s v=" "/>
    <n v="0.2"/>
    <d v="2027-05-01T00:00:00"/>
    <d v="2028-04-30T00:00:00"/>
    <x v="1"/>
    <s v=" "/>
    <d v="2025-08-28T00:00:00"/>
    <n v="976"/>
    <n v="4"/>
    <n v="2028"/>
    <s v=" "/>
    <s v=" "/>
    <s v=" "/>
    <s v="Syifa Fauziyah"/>
    <s v="Zulva, Danar"/>
    <m/>
    <m/>
    <m/>
    <m/>
    <m/>
    <m/>
    <m/>
    <m/>
    <m/>
    <m/>
    <m/>
  </r>
  <r>
    <n v="2401"/>
    <s v="PT Solusi Jasa Teknologi"/>
    <s v="PT EKA MAS REPUBLIK"/>
    <s v="Data Center Elitery Bogor-SOJATEK"/>
    <x v="1"/>
    <s v="POP IDC Duren Tiga"/>
    <s v="PT. Sinarmas Sekuritas, Elitery Data Center, Jl. Pajajaran No. 17, Bogor"/>
    <s v="BAGI HASIL"/>
    <s v="Revenue Sharing"/>
    <m/>
    <m/>
    <m/>
    <s v="Metronet"/>
    <m/>
    <m/>
    <n v="75900000"/>
    <m/>
    <m/>
    <m/>
    <n v="0.2"/>
    <d v="2027-05-01T00:00:00"/>
    <d v="2028-04-30T00:00:00"/>
    <x v="1"/>
    <m/>
    <d v="2025-08-28T00:00:00"/>
    <n v="976"/>
    <n v="4"/>
    <n v="2028"/>
    <s v=" "/>
    <s v=" "/>
    <s v=" "/>
    <s v="Syifa Fauziyah"/>
    <s v="Zulva, Danar"/>
    <m/>
    <m/>
    <m/>
    <m/>
    <m/>
    <m/>
    <m/>
    <m/>
    <m/>
    <m/>
    <m/>
  </r>
  <r>
    <n v="2402"/>
    <s v="PT Solusi Jasa Teknologi"/>
    <s v="PT SARANA YUKTI BANDHANA"/>
    <s v="Data Center Elitery Bogor-SOJATEK"/>
    <x v="1"/>
    <s v="Gedung Elitery LT 4 Rack SYB Jl. Raya Padjajaran, Bogor, Kota Bogor, Jawa Barat, Indonesia, 16143"/>
    <s v="Kota Bogor, Jawa Barat, Indonesia"/>
    <s v="BAGI HASIL"/>
    <s v="Revenue Sharing"/>
    <m/>
    <s v="1000193597"/>
    <s v=" "/>
    <s v="IPVPN"/>
    <s v=" "/>
    <s v=" "/>
    <n v="132000000"/>
    <s v=" "/>
    <s v=" "/>
    <s v=" "/>
    <n v="0.2"/>
    <d v="2027-05-01T00:00:00"/>
    <d v="2028-04-30T00:00:00"/>
    <x v="1"/>
    <s v=" "/>
    <d v="2025-08-28T00:00:00"/>
    <n v="976"/>
    <n v="4"/>
    <n v="2028"/>
    <s v=" "/>
    <s v=" "/>
    <s v=" "/>
    <s v="Syifa Fauziyah"/>
    <s v="Zulva, Danar"/>
    <m/>
    <s v=" "/>
    <m/>
    <m/>
    <m/>
    <m/>
    <m/>
    <m/>
    <m/>
    <m/>
    <m/>
  </r>
  <r>
    <n v="2403"/>
    <s v="PT Solusi Jasa Teknologi"/>
    <s v="PT Bahana Pembinaan Usaha Indonesia"/>
    <s v="Data Center Elitery Bogor-SOJATEK"/>
    <x v="1"/>
    <s v=" "/>
    <s v="(DCI) JL. HALMAHERA NO.1, DANAU INDAH, KEC. CIKARANG BAR., KABUPATEN BEKASI, JAWA BARAT 17530"/>
    <s v="BAGI HASIL"/>
    <s v="Revenue Sharing"/>
    <m/>
    <s v="111202018505"/>
    <s v=" "/>
    <s v="Ethernet "/>
    <s v="100 Mbps"/>
    <s v=" "/>
    <n v="148800000"/>
    <s v=" "/>
    <s v=" "/>
    <s v=" "/>
    <n v="0.2"/>
    <d v="2027-05-01T00:00:00"/>
    <d v="2028-04-30T00:00:00"/>
    <x v="1"/>
    <s v=" "/>
    <d v="2025-08-28T00:00:00"/>
    <n v="976"/>
    <n v="4"/>
    <n v="2028"/>
    <s v=" "/>
    <s v=" "/>
    <s v=" "/>
    <s v="Syifa Fauziyah"/>
    <s v="Zulva, Danar"/>
    <m/>
    <s v=" "/>
    <m/>
    <m/>
    <m/>
    <m/>
    <m/>
    <m/>
    <m/>
    <m/>
    <m/>
  </r>
  <r>
    <n v="2404"/>
    <s v="PT Solusi Jasa Teknologi"/>
    <s v="PT DATA SINERGITAMA JAYA"/>
    <s v="Data Center Elitery Bogor-SOJATEK"/>
    <x v="1"/>
    <s v=" "/>
    <s v="Toyota Astra Motor New Site 2, Jl. Selayar"/>
    <s v="BAGI HASIL"/>
    <s v="Revenue Sharing"/>
    <m/>
    <s v="990000320514810"/>
    <s v=" "/>
    <s v="Metronet "/>
    <s v="100 Mbps"/>
    <s v=" "/>
    <n v="354000000"/>
    <s v=" "/>
    <s v=" "/>
    <s v=" "/>
    <n v="0.2"/>
    <d v="2027-05-01T00:00:00"/>
    <d v="2028-04-30T00:00:00"/>
    <x v="1"/>
    <s v=" "/>
    <d v="2025-08-28T00:00:00"/>
    <n v="976"/>
    <n v="4"/>
    <n v="2028"/>
    <s v=" "/>
    <s v=" "/>
    <s v=" "/>
    <s v="Syifa Fauziyah"/>
    <s v="Zulva, Danar"/>
    <m/>
    <s v=" "/>
    <m/>
    <m/>
    <m/>
    <m/>
    <m/>
    <m/>
    <m/>
    <m/>
    <m/>
  </r>
  <r>
    <n v="2405"/>
    <s v="PT Solusi Jasa Teknologi"/>
    <s v="PT MAYBANK KIM ENG SECURITIES INDONESIA"/>
    <s v="Data Center Elitery Bogor-SOJATEK"/>
    <x v="1"/>
    <s v=" "/>
    <s v="Ruko Mega Mall Pluit/Lippo Village No. 48, Jalan Pluit Indah no. 1 Pluit, Pluit, Jakarta Utara, DKI Jakarta, Indonesia, 14450"/>
    <s v="BAGI HASIL"/>
    <s v="Revenue Sharing"/>
    <m/>
    <s v="01000058903"/>
    <s v=" "/>
    <s v="Metronet "/>
    <s v="10 Mbps"/>
    <s v=" "/>
    <n v="90600000"/>
    <s v=" "/>
    <s v=" "/>
    <s v=" "/>
    <n v="0.2"/>
    <d v="2027-05-01T00:00:00"/>
    <d v="2028-04-30T00:00:00"/>
    <x v="1"/>
    <s v=" "/>
    <d v="2025-08-28T00:00:00"/>
    <n v="976"/>
    <n v="4"/>
    <n v="2028"/>
    <s v=" "/>
    <s v=" "/>
    <s v=" "/>
    <s v="Syifa Fauziyah"/>
    <s v="Zulva, Danar"/>
    <m/>
    <s v=" "/>
    <m/>
    <m/>
    <m/>
    <m/>
    <m/>
    <m/>
    <m/>
    <m/>
    <m/>
  </r>
  <r>
    <n v="2406"/>
    <s v="PT Solusi Jasa Teknologi"/>
    <s v="PT. FAASRI UTAMA SAKTI"/>
    <s v="Data Center Elitery Bogor-SOJATEK"/>
    <x v="1"/>
    <s v=" "/>
    <s v="PT. Faasri Utama Sakti - Jl. Raya Padjajaran No.17 RT.006 RW.013 Baranangsiang,  Bogor Timur,  Kota Bogor,  Jawa Barat,  Indonesia,  16143"/>
    <s v="BAGI HASIL"/>
    <s v="Revenue Sharing"/>
    <m/>
    <s v="01000310307"/>
    <s v=" "/>
    <s v="Qinq Metro Ethernet"/>
    <s v="100 Mbps"/>
    <s v=" "/>
    <n v="52020000"/>
    <s v=" "/>
    <s v=" "/>
    <s v=" "/>
    <n v="0.2"/>
    <d v="2027-05-01T00:00:00"/>
    <d v="2028-04-30T00:00:00"/>
    <x v="1"/>
    <s v=" "/>
    <d v="2025-08-28T00:00:00"/>
    <n v="976"/>
    <n v="4"/>
    <n v="2028"/>
    <s v=" "/>
    <s v=" "/>
    <s v=" "/>
    <s v="Syifa Fauziyah"/>
    <s v="Zulva, Danar"/>
    <m/>
    <s v=" "/>
    <m/>
    <m/>
    <m/>
    <m/>
    <m/>
    <m/>
    <m/>
    <m/>
    <m/>
  </r>
  <r>
    <n v="2407"/>
    <s v="PT Solusi Jasa Teknologi"/>
    <s v="PT. BANK CENTRAL ASIA, TBK"/>
    <s v="Data Center Elitery Bogor-SOJATEK"/>
    <x v="1"/>
    <s v=" "/>
    <s v="H2H BCA Elitery Data Center; Jl. Raya Pajajaran No.61, RT.06/RW.13, Baranangsiang,  Bogor Timur,  Kota Bogor,  Jawa Barat,  Indonesia,  16143"/>
    <s v="BAGI HASIL"/>
    <s v="Revenue Sharing"/>
    <m/>
    <s v="01000135933"/>
    <s v=" "/>
    <s v="IPVPN "/>
    <s v="4 Mbps"/>
    <s v=" "/>
    <n v="36000000"/>
    <s v=" "/>
    <s v=" "/>
    <s v=" "/>
    <n v="0.2"/>
    <d v="2027-05-01T00:00:00"/>
    <d v="2028-04-30T00:00:00"/>
    <x v="1"/>
    <s v=" "/>
    <d v="2025-08-28T00:00:00"/>
    <n v="976"/>
    <n v="4"/>
    <n v="2028"/>
    <s v=" "/>
    <s v=" "/>
    <s v=" "/>
    <s v="Syifa Fauziyah"/>
    <s v="Zulva, Danar"/>
    <m/>
    <s v=" "/>
    <m/>
    <m/>
    <m/>
    <m/>
    <m/>
    <m/>
    <m/>
    <m/>
    <m/>
  </r>
  <r>
    <n v="2408"/>
    <s v="PT Solusi Jasa Teknologi"/>
    <s v="PT. TOYOTA MOTOR MANUFACTURING INDONESIA"/>
    <s v="Data Center Elitery Bogor-SOJATEK"/>
    <x v="1"/>
    <s v=" "/>
    <s v="PT. TOYOTA MOTOR MANUFACTURING INDONESIA GEDUNG ELITERY DATA CENTER AND MANAGED SERVICES LANTAI 3, JL. RAYA PAJAJARAN NO.17, RT.06/RW.13, BARANANGSIANG, KEC. BOGOR TIM., KOTA BOGOR, JAWA BARAT 16143"/>
    <s v="BAGI HASIL"/>
    <s v="Revenue Sharing"/>
    <m/>
    <s v="111202019445"/>
    <s v=" "/>
    <s v="METRONET "/>
    <s v="500 Mbps"/>
    <s v=" "/>
    <n v="359904000"/>
    <s v=" "/>
    <s v=" "/>
    <s v=" "/>
    <n v="0.2"/>
    <d v="2027-05-01T00:00:00"/>
    <d v="2028-04-30T00:00:00"/>
    <x v="1"/>
    <s v=" "/>
    <d v="2025-08-28T00:00:00"/>
    <n v="976"/>
    <n v="4"/>
    <n v="2028"/>
    <s v=" "/>
    <s v=" "/>
    <s v=" "/>
    <s v="Syifa Fauziyah"/>
    <s v="Zulva, Danar"/>
    <m/>
    <m/>
    <m/>
    <m/>
    <m/>
    <m/>
    <m/>
    <m/>
    <m/>
    <m/>
    <m/>
  </r>
  <r>
    <n v="2409"/>
    <s v="PT Megalopolis Manunggal"/>
    <s v="PT ASTRA OTOPARTS"/>
    <s v="Data Center Elitery Bogor-SOJATEK"/>
    <x v="0"/>
    <s v="Depo Cibitung,Kawasan MM2100,Jl.Jawa Blok M-31 Cibitung,Bekasi"/>
    <s v="Collocation Server Astra Otoparts,Gedung AAB,Jl.TB Simatupang,Jakarta"/>
    <s v="BAGI HASIL"/>
    <s v="Revenue Sharing"/>
    <s v="PA/UPG/2208/0127"/>
    <s v="PA/UPG/2208/0127 - AL/2210/312450 - 0110120201945 / 0990000020278468"/>
    <m/>
    <s v="Metronet"/>
    <m/>
    <m/>
    <n v="162000000"/>
    <m/>
    <m/>
    <m/>
    <n v="0.1"/>
    <d v="2023-05-21T00:00:00"/>
    <d v="2024-05-20T00:00:00"/>
    <x v="0"/>
    <m/>
    <d v="2025-12-24T00:00:00"/>
    <n v="-583"/>
    <n v="5"/>
    <n v="2024"/>
    <m/>
    <m/>
    <m/>
    <s v="Syifa Fauziyah"/>
    <s v="Rita, Mario"/>
    <m/>
    <m/>
    <m/>
    <m/>
    <m/>
    <m/>
    <m/>
    <m/>
    <m/>
    <m/>
    <m/>
  </r>
  <r>
    <n v="2410"/>
    <s v="PT Megalopolis Manunggal"/>
    <s v="PT. FABER-CASTELL INTERNATIONAL INDONESIA"/>
    <s v="Kawasan Industri MM2100"/>
    <x v="0"/>
    <s v="PT Sanken MM2100 Industrial Town,Block GG-8,Cikarang Barat,Bekasi 17520,West Java,Indonesia (ID JAR 2013004247)"/>
    <s v="Sentra Latumenten Blok AA-10 Jln Prof Dr Latumenten no 50 JAKARTA 11460 (BACKHAUL )"/>
    <s v="BAGI HASIL"/>
    <s v="Revenue Sharing"/>
    <m/>
    <s v="110130305323 / 04000167262"/>
    <m/>
    <s v="Metronet"/>
    <m/>
    <m/>
    <n v="30000000"/>
    <m/>
    <m/>
    <m/>
    <n v="0.1"/>
    <d v="2023-05-21T00:00:00"/>
    <d v="2024-05-20T00:00:00"/>
    <x v="0"/>
    <m/>
    <d v="2025-12-24T00:00:00"/>
    <n v="-583"/>
    <n v="5"/>
    <n v="2024"/>
    <m/>
    <m/>
    <m/>
    <s v="Syifa Fauziyah"/>
    <s v="Rita, Mario"/>
    <m/>
    <m/>
    <m/>
    <m/>
    <m/>
    <m/>
    <m/>
    <m/>
    <m/>
    <m/>
    <m/>
  </r>
  <r>
    <n v="2411"/>
    <s v="PT Megalopolis Manunggal"/>
    <s v="KANSAI PAINT INDONESIA"/>
    <s v="Kawasan Industri MM2100"/>
    <x v="0"/>
    <s v="Kawasan Industri MM2100, Jln Irian bl 003 DS Jatiwangi,cibitung Bekasi, Jawa Barat 17520 (BACKUP BACKHAUL)   "/>
    <s v="PT. Kansai Paint Indonesia, Kawasan Industri MM2100 Blok DD-7 dan DD-6 Desa Danau Indah, Cikarang Barat 17520 "/>
    <s v="BAGI HASIL"/>
    <s v="Revenue Sharing"/>
    <s v="AL/2201/17342"/>
    <s v="AL/2108/69293 - 110130306001 / 0990000320518831"/>
    <m/>
    <s v="Metronet"/>
    <m/>
    <m/>
    <n v="156000000"/>
    <m/>
    <m/>
    <m/>
    <n v="0.1"/>
    <d v="2023-05-21T00:00:00"/>
    <d v="2024-05-20T00:00:00"/>
    <x v="0"/>
    <m/>
    <d v="2025-12-24T00:00:00"/>
    <n v="-583"/>
    <n v="5"/>
    <n v="2024"/>
    <m/>
    <m/>
    <m/>
    <s v="Syifa Fauziyah"/>
    <s v="Rita, Mario"/>
    <m/>
    <m/>
    <m/>
    <m/>
    <m/>
    <m/>
    <m/>
    <m/>
    <m/>
    <m/>
    <m/>
  </r>
  <r>
    <n v="2412"/>
    <s v="PT Megalopolis Manunggal"/>
    <s v="PT MITSUBA INDONESIA PIPE PARTS"/>
    <s v="Kawasan Industri MM2100"/>
    <x v="0"/>
    <s v="-"/>
    <s v="PT. Mitsuba Indonesia Pipe Parts, Kawasan Industri MM2100 Blok NN-12, Cikarang Barat, Bekasi 17520 Indonesia"/>
    <s v="BAGI HASIL"/>
    <s v="Revenue Sharing"/>
    <s v="PA/UPG/2106/0236"/>
    <s v="AL/1907/24929 - 110130306172 / 060000094260001"/>
    <m/>
    <s v="internet corporate"/>
    <s v="15 Mbps"/>
    <m/>
    <n v="84000000"/>
    <m/>
    <m/>
    <m/>
    <n v="0.1"/>
    <d v="2023-05-21T00:00:00"/>
    <d v="2024-05-20T00:00:00"/>
    <x v="0"/>
    <m/>
    <d v="2025-12-24T00:00:00"/>
    <n v="-583"/>
    <n v="5"/>
    <n v="2024"/>
    <m/>
    <m/>
    <m/>
    <s v="Syifa Fauziyah"/>
    <s v="Rita, Mario"/>
    <m/>
    <m/>
    <m/>
    <m/>
    <m/>
    <m/>
    <m/>
    <m/>
    <m/>
    <m/>
    <m/>
  </r>
  <r>
    <n v="2413"/>
    <s v="PT Megalopolis Manunggal"/>
    <s v="PT Tirta Alam Segar"/>
    <s v="Kawasan Industri MM2100"/>
    <x v="0"/>
    <s v="-"/>
    <s v="PT Tirta alam segar,Kawasan industri mm2100,Jln kalangan kav b1-2,Cikarang barat-bekasi"/>
    <s v="BAGI HASIL"/>
    <s v="Revenue Sharing"/>
    <s v="PA/UPG/1905/0161"/>
    <s v="AL/2101/0067 - 110130304776 / 0990000320471999"/>
    <m/>
    <s v="internet corporate"/>
    <s v="30 Mbps"/>
    <m/>
    <n v="84000000"/>
    <m/>
    <m/>
    <m/>
    <n v="0.1"/>
    <d v="2023-05-21T00:00:00"/>
    <d v="2024-05-20T00:00:00"/>
    <x v="0"/>
    <m/>
    <d v="2025-12-24T00:00:00"/>
    <n v="-583"/>
    <n v="5"/>
    <n v="2024"/>
    <m/>
    <m/>
    <m/>
    <s v="Syifa Fauziyah"/>
    <s v="Rita, Mario"/>
    <m/>
    <m/>
    <m/>
    <m/>
    <m/>
    <m/>
    <m/>
    <m/>
    <m/>
    <m/>
    <m/>
  </r>
  <r>
    <n v="2414"/>
    <s v="PT Megalopolis Manunggal"/>
    <s v="PT HANKYU HANSHIN LOGISTICS INDONESIA"/>
    <s v="Kawasan Industri MM2100"/>
    <x v="0"/>
    <s v="-"/>
    <s v="Kawasan Industri MM2100 Jl. Bali Block O 1-2 Cikarang Barat Bekasi – Jawa Barat 17520"/>
    <s v="BAGI HASIL"/>
    <s v="Revenue Sharing"/>
    <s v="PA/UPG/2012/0044 "/>
    <s v="AL/2105/32686 - 0990000320455374"/>
    <m/>
    <s v="Internet corporate"/>
    <s v="20 Mbps"/>
    <m/>
    <n v="120000000"/>
    <m/>
    <m/>
    <m/>
    <n v="0.1"/>
    <d v="2023-05-21T00:00:00"/>
    <d v="2024-05-20T00:00:00"/>
    <x v="0"/>
    <m/>
    <d v="2025-12-24T00:00:00"/>
    <n v="-583"/>
    <n v="5"/>
    <n v="2024"/>
    <m/>
    <m/>
    <m/>
    <s v="Syifa Fauziyah"/>
    <s v="Rita, Mario"/>
    <m/>
    <m/>
    <m/>
    <m/>
    <m/>
    <m/>
    <m/>
    <m/>
    <m/>
    <m/>
    <m/>
  </r>
  <r>
    <n v="2415"/>
    <s v="PT Megalopolis Manunggal"/>
    <s v="TOYOTA TSUSHO LOGISTIC CENTER"/>
    <s v="Kawasan Industri MM2100"/>
    <x v="0"/>
    <s v="-"/>
    <s v="Kawasan Industri MM2100 Jl. Irian V Blok. KK-8 Cibitung Bekasi 17520"/>
    <s v="BAGI HASIL"/>
    <s v="Revenue Sharing"/>
    <s v="PA/UPG/2211/0140"/>
    <s v="AL/2204/76781 - 110130306132 / 170000073260003"/>
    <m/>
    <s v="Internet Corporate"/>
    <s v="100 Mbps"/>
    <m/>
    <n v="252000000"/>
    <m/>
    <m/>
    <m/>
    <n v="0.1"/>
    <d v="2023-05-21T00:00:00"/>
    <d v="2024-05-20T00:00:00"/>
    <x v="0"/>
    <m/>
    <d v="2025-12-24T00:00:00"/>
    <n v="-583"/>
    <n v="5"/>
    <n v="2024"/>
    <m/>
    <m/>
    <m/>
    <s v="Syifa Fauziyah"/>
    <s v="Rita, Mario"/>
    <m/>
    <m/>
    <m/>
    <m/>
    <m/>
    <m/>
    <m/>
    <m/>
    <m/>
    <m/>
    <m/>
  </r>
  <r>
    <n v="2416"/>
    <s v="PT Megalopolis Manunggal"/>
    <s v="PT. COMTRONICS SYSTEMS"/>
    <s v="Kawasan Industri MM2100"/>
    <x v="0"/>
    <s v="-"/>
    <s v="Rayovac Battery Indonesia, PT site Hanggar Bea Cukai Jl. Irian Blok MM 1 MM2100, Jatiwangi,  Kec. Cikarang Bar.,,  Kabupaten Bekasi,  Jawa Barat,  Indonesia,  17520"/>
    <s v="BAGI HASIL"/>
    <s v="Revenue Sharing"/>
    <s v="PA/UPG/2104/0211"/>
    <s v="AL/2212/340046 - 110120210182 / 01000313204"/>
    <m/>
    <s v="Metronet"/>
    <s v="5 Mbps"/>
    <m/>
    <n v="33600000"/>
    <m/>
    <m/>
    <m/>
    <n v="0.1"/>
    <d v="2023-05-21T00:00:00"/>
    <d v="2024-05-20T00:00:00"/>
    <x v="0"/>
    <m/>
    <d v="2025-12-24T00:00:00"/>
    <n v="-583"/>
    <n v="5"/>
    <n v="2024"/>
    <m/>
    <m/>
    <m/>
    <s v="Syifa Fauziyah"/>
    <s v="Rita, Mario"/>
    <m/>
    <m/>
    <m/>
    <m/>
    <m/>
    <m/>
    <m/>
    <m/>
    <m/>
    <m/>
    <m/>
  </r>
  <r>
    <n v="2417"/>
    <s v="PT Megalopolis Manunggal"/>
    <s v="PT. ICHIKOH INDONESIA"/>
    <s v="Kawasan Industri MM2100"/>
    <x v="0"/>
    <s v="-"/>
    <s v="MM 2100 Industrial Town - Jl. Irian Blok LL1, Jatiwangi,  Kec. Cikarang Barat,  Kabupaten Bekasi,  Jawa Barat,  Indonesia,  17530"/>
    <s v="BAGI HASIL"/>
    <s v="Revenue Sharing"/>
    <s v="PA/DOW/2203/0051"/>
    <s v="AL/2212/336962 - 04000314835 "/>
    <m/>
    <s v="Internet Corporate"/>
    <s v="100 Mbps"/>
    <m/>
    <n v="151200000"/>
    <m/>
    <m/>
    <m/>
    <n v="0.1"/>
    <d v="2023-05-21T00:00:00"/>
    <d v="2024-05-20T00:00:00"/>
    <x v="0"/>
    <m/>
    <d v="2025-12-24T00:00:00"/>
    <n v="-583"/>
    <n v="5"/>
    <n v="2024"/>
    <m/>
    <m/>
    <m/>
    <s v="Syifa Fauziyah"/>
    <s v="Rita, Mario"/>
    <m/>
    <m/>
    <m/>
    <m/>
    <m/>
    <m/>
    <m/>
    <m/>
    <m/>
    <m/>
    <m/>
  </r>
  <r>
    <n v="2418"/>
    <s v="PT Megalopolis Manunggal"/>
    <s v="PT. ICHIKOH INDONESIA"/>
    <s v="Kawasan Industri MM2100"/>
    <x v="0"/>
    <s v="IDC Duren 3 Lantai 3, Rack 26. Jl. Duren Tiga Raya No.7, RT.9/RW.5, Duren Tiga,  Kec. Pancoran,  Jakarta Selatan,  DKI Jakarta,  Indonesia,  12760"/>
    <s v="MM 2100 Industrial Town - Jl. Irian Blok LL1, Jatiwangi,  Kec. Cikarang Barat,  Kabupaten Bekasi,  Jawa Barat,  Indonesia,  17530"/>
    <s v="BAGI HASIL"/>
    <s v="Revenue Sharing"/>
    <s v="PA/ACT/2210/0669"/>
    <s v="AL/2212/336961 -  04000314834 "/>
    <m/>
    <s v="Internet Corporate"/>
    <s v="60 Mbps"/>
    <m/>
    <n v="99900000"/>
    <m/>
    <m/>
    <m/>
    <n v="0.1"/>
    <d v="2023-05-21T00:00:00"/>
    <d v="2024-05-20T00:00:00"/>
    <x v="0"/>
    <m/>
    <d v="2025-12-24T00:00:00"/>
    <n v="-583"/>
    <n v="5"/>
    <n v="2024"/>
    <m/>
    <m/>
    <m/>
    <s v="Syifa Fauziyah"/>
    <s v="Rita, Mario"/>
    <m/>
    <m/>
    <m/>
    <m/>
    <m/>
    <m/>
    <m/>
    <m/>
    <m/>
    <m/>
    <m/>
  </r>
  <r>
    <n v="2419"/>
    <s v="PT Megalopolis Manunggal"/>
    <s v="PT. COMTRONICS SYSTEMS"/>
    <s v="Kawasan Industri MM2100"/>
    <x v="0"/>
    <m/>
    <s v="PT. Hitachi Astemo Powertrain Systems Kawasan Industri MM 2100 Blok JJ No. 1, Jatiwangi,  Kec. Cikarang Bar.,  Kabupaten Bekasi,  Jawa Barat,  Indonesia,  17520"/>
    <s v="BAGI HASIL"/>
    <s v="Revenue Sharing"/>
    <s v="PA/ACT/2210/1250"/>
    <s v="AL/2208/244018 -  01000208269 "/>
    <m/>
    <s v="Metronet"/>
    <s v="40 Mbps"/>
    <m/>
    <n v="38400000"/>
    <m/>
    <m/>
    <m/>
    <n v="0.1"/>
    <d v="2023-05-21T00:00:00"/>
    <d v="2024-05-20T00:00:00"/>
    <x v="0"/>
    <m/>
    <d v="2025-12-24T00:00:00"/>
    <n v="-583"/>
    <n v="5"/>
    <n v="2024"/>
    <m/>
    <m/>
    <m/>
    <s v="Syifa Fauziyah"/>
    <s v="Rita, Mario"/>
    <m/>
    <m/>
    <m/>
    <m/>
    <m/>
    <m/>
    <m/>
    <m/>
    <m/>
    <m/>
    <m/>
  </r>
  <r>
    <n v="2420"/>
    <s v="PT Megalopolis Manunggal"/>
    <s v="PT. APLIKANUSA LINTASARTA"/>
    <s v="Kawasan Industri MM2100"/>
    <x v="0"/>
    <m/>
    <s v="PT Ichikoh Indonesia, MM 2100 Industrial Town, Jl. Irian Blok LL1, Jatiwangi,  Kec. Cikarang Barat,  Kabupaten Bekasi,  Jawa Barat,  Indonesia,  17530"/>
    <s v="BAGI HASIL"/>
    <s v="Revenue Sharing"/>
    <s v="PA/ACT/2210/1173"/>
    <s v=" AL/2208/247493 -  01000218286"/>
    <m/>
    <s v="Metronet"/>
    <s v="40 Mbps"/>
    <m/>
    <n v="99600000"/>
    <m/>
    <m/>
    <m/>
    <n v="0.1"/>
    <d v="2023-05-21T00:00:00"/>
    <d v="2024-05-20T00:00:00"/>
    <x v="0"/>
    <m/>
    <d v="2025-12-24T00:00:00"/>
    <n v="-583"/>
    <n v="5"/>
    <n v="2024"/>
    <m/>
    <m/>
    <m/>
    <s v="Syifa Fauziyah"/>
    <s v="Rita, Mario"/>
    <m/>
    <m/>
    <m/>
    <m/>
    <m/>
    <m/>
    <m/>
    <m/>
    <m/>
    <m/>
    <m/>
  </r>
  <r>
    <n v="2421"/>
    <s v="PT Megalopolis Manunggal"/>
    <s v="PT. HIPERNET INDODATA"/>
    <s v="Kawasan Industri MM2100"/>
    <x v="0"/>
    <m/>
    <s v="PT Toyota Auto Body Tokai Extrusion, Kawasan Industri MM2100, Jalan Irian Blok LL-3, Jatiwangi,  Kec. Cikarang Bar.,  Kabupaten Bekasi,  Jawa Barat,  Indonesia,  17530"/>
    <s v="BAGI HASIL"/>
    <s v="Revenue Sharing"/>
    <s v="PA/ACT/2209/3711"/>
    <s v="AL/2204/76947 - 01000195662"/>
    <m/>
    <s v="Metronet"/>
    <s v="20 Mbps"/>
    <m/>
    <n v="35400000"/>
    <m/>
    <m/>
    <m/>
    <n v="0.1"/>
    <d v="2023-05-21T00:00:00"/>
    <d v="2024-05-20T00:00:00"/>
    <x v="0"/>
    <m/>
    <d v="2025-12-24T00:00:00"/>
    <n v="-583"/>
    <n v="5"/>
    <n v="2024"/>
    <m/>
    <m/>
    <m/>
    <s v="Syifa Fauziyah"/>
    <s v="Rita, Mario"/>
    <m/>
    <m/>
    <m/>
    <m/>
    <m/>
    <m/>
    <m/>
    <m/>
    <m/>
    <m/>
    <m/>
  </r>
  <r>
    <n v="2422"/>
    <s v="PT Megalopolis Manunggal"/>
    <s v="PT. SHINSEI DENSHI INDONESIA"/>
    <s v="Kawasan Industri MM2100"/>
    <x v="0"/>
    <m/>
    <s v="Kawasan MM 2100 Jl. Jawa Blok HH No. 4 , Jatiwangi,  Kec. Cikarang Barat,  Kabupaten Bekasi,  Jawa Barat,  Indonesia,  17520"/>
    <s v="BAGI HASIL"/>
    <s v="Revenue Sharing"/>
    <s v="PA/ACT/2206/16445"/>
    <s v="AL/2203/53988 - 04000187994 "/>
    <m/>
    <s v="Internet Corporate"/>
    <m/>
    <m/>
    <n v="120000000"/>
    <m/>
    <m/>
    <m/>
    <n v="0.1"/>
    <d v="2023-05-21T00:00:00"/>
    <d v="2024-05-20T00:00:00"/>
    <x v="0"/>
    <m/>
    <d v="2025-12-24T00:00:00"/>
    <n v="-583"/>
    <n v="5"/>
    <n v="2024"/>
    <m/>
    <m/>
    <m/>
    <s v="Syifa Fauziyah"/>
    <s v="Rita, Mario"/>
    <m/>
    <m/>
    <m/>
    <m/>
    <m/>
    <m/>
    <m/>
    <m/>
    <m/>
    <m/>
    <m/>
  </r>
  <r>
    <n v="2423"/>
    <s v="PT Megalopolis Manunggal"/>
    <s v="PT. HIPERNET INDODATA"/>
    <s v="Kawasan Industri MM2100"/>
    <x v="0"/>
    <m/>
    <s v="PT. Shinto Kogyo Indonesia-Kawasan Industri MM2100, Jl. Bali Blok J No.17-2, Gandamekar,Kec. Cikarang Barat ,Kabupaten Bekasi ,Jawa Barat ,Indonesia ,17530   "/>
    <s v="BAGI HASIL"/>
    <s v="Revenue Sharing"/>
    <s v=" PA/ACT/2206/16168"/>
    <s v="AL/2206/142556 - 01000187621"/>
    <m/>
    <s v="Metronet"/>
    <m/>
    <m/>
    <n v="56700000"/>
    <m/>
    <m/>
    <m/>
    <n v="0.1"/>
    <d v="2023-05-21T00:00:00"/>
    <d v="2024-05-20T00:00:00"/>
    <x v="0"/>
    <m/>
    <d v="2025-12-24T00:00:00"/>
    <n v="-583"/>
    <n v="5"/>
    <n v="2024"/>
    <m/>
    <m/>
    <m/>
    <s v="Syifa Fauziyah"/>
    <s v="Rita, Mario"/>
    <m/>
    <m/>
    <m/>
    <m/>
    <m/>
    <m/>
    <m/>
    <m/>
    <m/>
    <m/>
    <m/>
  </r>
  <r>
    <n v="2424"/>
    <s v="PT Megalopolis Manunggal"/>
    <s v="PT SHIBAURA SHEARING INDONESIA"/>
    <s v="Kawasan Industri MM2100"/>
    <x v="0"/>
    <m/>
    <s v="KAWASAN INDUSTRI MM2100, JALAN JAWA BLOK II, JATIWANGI, CIKARANG BARAT, BEKASI, JAWA BARAT 17530"/>
    <s v="BAGI HASIL"/>
    <s v="Revenue Sharing"/>
    <s v="PA/ACT/2203/1822 "/>
    <s v="A221303000063 - 1303000009"/>
    <m/>
    <s v="Internet Corporate"/>
    <s v="52 Mbps"/>
    <m/>
    <n v="94800000"/>
    <m/>
    <m/>
    <m/>
    <n v="0.1"/>
    <d v="2023-05-21T00:00:00"/>
    <d v="2024-05-20T00:00:00"/>
    <x v="0"/>
    <m/>
    <d v="2025-12-24T00:00:00"/>
    <n v="-583"/>
    <n v="5"/>
    <n v="2024"/>
    <m/>
    <m/>
    <m/>
    <s v="Syifa Fauziyah"/>
    <s v="Rita, Mario"/>
    <m/>
    <m/>
    <m/>
    <m/>
    <m/>
    <m/>
    <m/>
    <m/>
    <m/>
    <m/>
    <m/>
  </r>
  <r>
    <n v="2425"/>
    <s v="PT Megalopolis Manunggal"/>
    <s v="PT VENDAMART RETAIL INDONESIA"/>
    <s v="Kawasan Industri MM2100"/>
    <x v="0"/>
    <m/>
    <s v="KAWASAN INDUSTRI MM2100 CIBITUNG MM2100 INDUSTRIAL TOWN, JL. IRIAN V BLOK KK-8, JATIWANGI, KEC. CIKARANG BAR., KABUPATEN BEKASI, JAWA BARAT"/>
    <s v="BAGI HASIL"/>
    <s v="Revenue Sharing"/>
    <s v="PA/ACT/2203/0942 "/>
    <s v="A821303000466 - 111303011349"/>
    <m/>
    <s v="internet corporate "/>
    <s v="10 Mbps"/>
    <m/>
    <n v="66000000"/>
    <m/>
    <m/>
    <m/>
    <n v="0.1"/>
    <d v="2023-05-21T00:00:00"/>
    <d v="2024-05-20T00:00:00"/>
    <x v="0"/>
    <m/>
    <d v="2025-12-24T00:00:00"/>
    <n v="-583"/>
    <n v="5"/>
    <n v="2024"/>
    <m/>
    <m/>
    <m/>
    <s v="Syifa Fauziyah"/>
    <s v="Rita, Mario"/>
    <m/>
    <m/>
    <m/>
    <m/>
    <m/>
    <m/>
    <m/>
    <m/>
    <m/>
    <m/>
    <m/>
  </r>
  <r>
    <n v="2426"/>
    <s v="PT Megalopolis Manunggal"/>
    <s v="PT. IFORTE SOLUSI INFOTEK "/>
    <s v="Kawasan Industri MM2100"/>
    <x v="0"/>
    <m/>
    <s v="JL. IRIAN V BLOK KK-8, JATIWANGI, KEC. CIKARANG"/>
    <s v="BAGI HASIL"/>
    <s v="Revenue Sharing"/>
    <s v="PA/ACT/2201/2528"/>
    <s v="A821202001002 - 111202018838"/>
    <m/>
    <s v="Metronet"/>
    <s v="10 Mbps"/>
    <m/>
    <n v="48000000"/>
    <m/>
    <m/>
    <m/>
    <n v="0.1"/>
    <d v="2023-05-21T00:00:00"/>
    <d v="2024-05-20T00:00:00"/>
    <x v="0"/>
    <m/>
    <d v="2025-12-24T00:00:00"/>
    <n v="-583"/>
    <n v="5"/>
    <n v="2024"/>
    <m/>
    <m/>
    <m/>
    <s v="Syifa Fauziyah"/>
    <s v="Rita, Mario"/>
    <m/>
    <m/>
    <m/>
    <m/>
    <m/>
    <m/>
    <m/>
    <m/>
    <m/>
    <m/>
    <m/>
  </r>
  <r>
    <n v="2427"/>
    <s v="PT Megalopolis Manunggal"/>
    <s v="PT CIPTA TELEKOMUNIKASI MANDIRI "/>
    <s v="Kawasan Industri MM2100"/>
    <x v="0"/>
    <m/>
    <s v="JL. KW. INDUSTRI, GANDAMEKAR, KEC. CIKARANG BAR., KABUPATEN BEKASI, JAWA BARAT 17620"/>
    <s v="BAGI HASIL"/>
    <s v="Revenue Sharing"/>
    <s v="PA/ACT/2201/1715 "/>
    <s v="A111303003368 - 111303012943"/>
    <m/>
    <s v="internet corporate"/>
    <s v="52 Mbps"/>
    <m/>
    <n v="48000000"/>
    <m/>
    <m/>
    <m/>
    <n v="0.1"/>
    <d v="2023-05-21T00:00:00"/>
    <d v="2024-05-20T00:00:00"/>
    <x v="0"/>
    <m/>
    <d v="2025-12-24T00:00:00"/>
    <n v="-583"/>
    <n v="5"/>
    <n v="2024"/>
    <m/>
    <m/>
    <m/>
    <s v="Syifa Fauziyah"/>
    <s v="Rita, Mario"/>
    <m/>
    <m/>
    <m/>
    <m/>
    <m/>
    <m/>
    <m/>
    <m/>
    <m/>
    <m/>
    <m/>
  </r>
  <r>
    <n v="2428"/>
    <s v="PT Megalopolis Manunggal"/>
    <s v="ASTRA HONDA MOTOR"/>
    <s v="Kawasan Industri MM2100"/>
    <x v="0"/>
    <m/>
    <s v="CIKARANG (PLANT 3) JL. RAYA KALIMANTAN BLOK AA-1 KAWASAN INDUSTRI MM2100 CIKARANG BARAT, BEKASI, CIKARANG, KABUPATEN BEKASI, JAWA BARAT, INDONESIA, 17"/>
    <s v="BAGI HASIL"/>
    <s v="Revenue Sharing"/>
    <m/>
    <s v="110120201929 - 01000002848"/>
    <m/>
    <s v="Metronet"/>
    <s v="300 Mbps"/>
    <m/>
    <n v="348000000"/>
    <m/>
    <m/>
    <m/>
    <n v="0.1"/>
    <d v="2023-05-21T00:00:00"/>
    <d v="2024-05-20T00:00:00"/>
    <x v="0"/>
    <m/>
    <d v="2025-12-24T00:00:00"/>
    <n v="-583"/>
    <n v="5"/>
    <n v="2024"/>
    <m/>
    <m/>
    <m/>
    <s v="Syifa Fauziyah"/>
    <s v="Rita, Mario"/>
    <m/>
    <m/>
    <m/>
    <m/>
    <m/>
    <m/>
    <m/>
    <m/>
    <m/>
    <m/>
    <m/>
  </r>
  <r>
    <n v="2429"/>
    <s v="PT Megalopolis Manunggal"/>
    <s v="PT. SOLUSINDO BINTANG PRATAMA"/>
    <s v="Kawasan Industri MM2100"/>
    <x v="0"/>
    <s v=" "/>
    <s v="PT. Kojin Indonesia, Block Ll-8-1 Mm2100 Industrial Town Cikarang Barat Bekasi, Jatiwangi, West Cikarang, Bekasi, West Java 17530 "/>
    <s v="BAGI HASIL"/>
    <s v="Revenue Sharing"/>
    <m/>
    <s v="110120205774 - 01000143987"/>
    <m/>
    <s v="Metronet "/>
    <s v="10 Mbps"/>
    <m/>
    <n v="30000000"/>
    <m/>
    <m/>
    <m/>
    <n v="0.1"/>
    <d v="2023-05-21T00:00:00"/>
    <d v="2024-05-20T00:00:00"/>
    <x v="0"/>
    <m/>
    <d v="2025-12-24T00:00:00"/>
    <n v="-583"/>
    <n v="5"/>
    <n v="2024"/>
    <m/>
    <m/>
    <m/>
    <s v="Syifa Fauziyah"/>
    <s v="Rita, Mario"/>
    <m/>
    <m/>
    <m/>
    <m/>
    <m/>
    <m/>
    <m/>
    <m/>
    <m/>
    <m/>
    <m/>
  </r>
  <r>
    <n v="2430"/>
    <s v="PT Megalopolis Manunggal"/>
    <s v="PT. NETTOCYBER INDONESIA"/>
    <s v="Kawasan Industri MM2100"/>
    <x v="0"/>
    <s v="KOTA JAKARTA SELATAN, KUNINGAN TIMUR, SETIA BUDI, DKI JAKARTA"/>
    <s v="PT. LG Electronics Indonesia, Block - G, MM2100 Industrial Town"/>
    <s v="BAGI HASIL"/>
    <s v="Revenue Sharing"/>
    <m/>
    <s v="110120213519 - '01000172108"/>
    <m/>
    <s v="Metronet "/>
    <s v="1 Gbps"/>
    <m/>
    <n v="396000000"/>
    <m/>
    <m/>
    <m/>
    <n v="0.1"/>
    <d v="2023-05-21T00:00:00"/>
    <d v="2024-05-20T00:00:00"/>
    <x v="0"/>
    <m/>
    <d v="2025-12-24T00:00:00"/>
    <n v="-583"/>
    <n v="5"/>
    <n v="2024"/>
    <m/>
    <m/>
    <m/>
    <s v="Syifa Fauziyah"/>
    <s v="Rita, Mario"/>
    <m/>
    <m/>
    <m/>
    <m/>
    <m/>
    <m/>
    <m/>
    <m/>
    <m/>
    <m/>
    <m/>
  </r>
  <r>
    <n v="2431"/>
    <s v="PT Megalopolis Manunggal"/>
    <s v="PT. APLIKANUSA LINTASARTA"/>
    <s v="Kawasan Industri MM2100"/>
    <x v="0"/>
    <s v="LA TBS"/>
    <s v="PT. WAHANA DIRGANTARA KAWASAN INDUSTRI MM-2100 BLOK H-7-1 BEKASI (2011007138) "/>
    <s v="BAGI HASIL"/>
    <s v="Revenue Sharing"/>
    <m/>
    <s v="0990000020273074"/>
    <m/>
    <s v="Metronet "/>
    <s v="4 Mbps"/>
    <m/>
    <n v="64800000"/>
    <m/>
    <m/>
    <m/>
    <n v="0.1"/>
    <d v="2023-05-21T00:00:00"/>
    <d v="2024-05-20T00:00:00"/>
    <x v="0"/>
    <m/>
    <d v="2025-12-24T00:00:00"/>
    <n v="-583"/>
    <n v="5"/>
    <n v="2024"/>
    <m/>
    <m/>
    <m/>
    <s v="Syifa Fauziyah"/>
    <s v="Rita, Mario"/>
    <m/>
    <m/>
    <m/>
    <m/>
    <m/>
    <m/>
    <m/>
    <m/>
    <m/>
    <m/>
    <m/>
  </r>
  <r>
    <n v="2432"/>
    <s v="PT Megalopolis Manunggal"/>
    <s v="PT. APLIKANUSA LINTASARTA"/>
    <s v="Kawasan Industri MM2100"/>
    <x v="0"/>
    <s v="LA TBS"/>
    <s v="PT. Mandom Indonesia, Kawasan Industri MM2100 Blok PP, Jalan Irian, Jatiwangi"/>
    <s v="BAGI HASIL"/>
    <s v="Revenue Sharing"/>
    <m/>
    <s v="01000070275"/>
    <m/>
    <s v="Metro "/>
    <s v="10 Mbps"/>
    <m/>
    <n v="76950000"/>
    <m/>
    <m/>
    <m/>
    <n v="0.1"/>
    <d v="2023-05-21T00:00:00"/>
    <d v="2024-05-20T00:00:00"/>
    <x v="0"/>
    <m/>
    <d v="2025-12-24T00:00:00"/>
    <n v="-583"/>
    <n v="5"/>
    <n v="2024"/>
    <m/>
    <m/>
    <m/>
    <s v="Syifa Fauziyah"/>
    <s v="Rita, Mario"/>
    <m/>
    <m/>
    <m/>
    <m/>
    <m/>
    <m/>
    <m/>
    <m/>
    <m/>
    <m/>
    <m/>
  </r>
  <r>
    <n v="2433"/>
    <s v="PT Megalopolis Manunggal"/>
    <s v="PT. HIPERNET INDODATA  "/>
    <s v="Kawasan Industri MM2100"/>
    <x v="0"/>
    <s v=" "/>
    <s v="PT. Jotun Indonesia, Kawasan Industri MM2100 Blok KK-1"/>
    <s v="BAGI HASIL"/>
    <s v="Revenue Sharing"/>
    <m/>
    <s v="01000076040"/>
    <m/>
    <s v="Metronet "/>
    <s v="80 Mbps"/>
    <m/>
    <n v="63600000"/>
    <m/>
    <m/>
    <m/>
    <n v="0.1"/>
    <d v="2023-05-21T00:00:00"/>
    <d v="2024-05-20T00:00:00"/>
    <x v="0"/>
    <m/>
    <d v="2025-12-24T00:00:00"/>
    <n v="-583"/>
    <n v="5"/>
    <n v="2024"/>
    <m/>
    <m/>
    <m/>
    <s v="Syifa Fauziyah"/>
    <s v="Rita, Mario"/>
    <m/>
    <m/>
    <m/>
    <m/>
    <m/>
    <m/>
    <m/>
    <m/>
    <m/>
    <m/>
    <m/>
  </r>
  <r>
    <n v="2434"/>
    <s v="PT Megalopolis Manunggal"/>
    <s v="PT Netmarks Indonesia"/>
    <s v="Kawasan Industri MM2100"/>
    <x v="0"/>
    <s v=" "/>
    <s v=" PT. Yamaha Motor Mold Indonesia Jalan Irian XIII Blok QQ"/>
    <s v="BAGI HASIL"/>
    <s v="Revenue Sharing"/>
    <m/>
    <s v="04000354882"/>
    <m/>
    <s v="internet corp "/>
    <s v="10 Mbps"/>
    <m/>
    <n v="72000000"/>
    <m/>
    <m/>
    <m/>
    <n v="0.1"/>
    <d v="2023-05-21T00:00:00"/>
    <d v="2024-05-20T00:00:00"/>
    <x v="0"/>
    <m/>
    <d v="2025-12-24T00:00:00"/>
    <n v="-583"/>
    <n v="5"/>
    <n v="2024"/>
    <m/>
    <m/>
    <m/>
    <s v="Syifa Fauziyah"/>
    <s v="Rita, Mario"/>
    <m/>
    <m/>
    <m/>
    <m/>
    <m/>
    <m/>
    <m/>
    <m/>
    <m/>
    <m/>
    <m/>
  </r>
  <r>
    <n v="2435"/>
    <s v="PT Megalopolis Manunggal"/>
    <s v="PT. PERTAMINA GAS"/>
    <s v="Kawasan Industri MM2100"/>
    <x v="0"/>
    <s v=" "/>
    <s v="Kawasan Industri MM2100 Jl. Jawa, Gandamekar, Kec. Cikarang Barat, Bekasi, Jawa Barat 17530"/>
    <s v="BAGI HASIL"/>
    <s v="Revenue Sharing"/>
    <m/>
    <s v="01000146610"/>
    <m/>
    <s v="IPVPN "/>
    <s v="512 Kbps"/>
    <m/>
    <n v="19449000"/>
    <m/>
    <m/>
    <m/>
    <n v="0.1"/>
    <d v="2023-05-21T00:00:00"/>
    <d v="2024-05-20T00:00:00"/>
    <x v="0"/>
    <m/>
    <d v="2025-12-24T00:00:00"/>
    <n v="-583"/>
    <n v="5"/>
    <n v="2024"/>
    <m/>
    <m/>
    <m/>
    <s v="Syifa Fauziyah"/>
    <s v="Rita, Mario"/>
    <m/>
    <m/>
    <m/>
    <m/>
    <m/>
    <m/>
    <m/>
    <m/>
    <m/>
    <m/>
    <m/>
  </r>
  <r>
    <n v="2436"/>
    <s v="PT Megalopolis Manunggal"/>
    <s v="PT. PARSAORAN GLOBAL DATATRANS"/>
    <s v="Kawasan Industri MM2100"/>
    <x v="0"/>
    <s v=" "/>
    <s v="PT SUGITY CIKARANG JL. BALI BLOK J NO. 17-20 KAWASAN INDUSTRI MM2100, CIKARANG BARAT"/>
    <s v="BAGI HASIL"/>
    <s v="Revenue Sharing"/>
    <m/>
    <s v="110120204034 - 01000144258"/>
    <m/>
    <s v="Metronet "/>
    <s v="50 Mbps"/>
    <m/>
    <n v="96000000"/>
    <m/>
    <m/>
    <m/>
    <n v="0.1"/>
    <d v="2023-05-21T00:00:00"/>
    <d v="2024-05-20T00:00:00"/>
    <x v="0"/>
    <m/>
    <d v="2025-12-24T00:00:00"/>
    <n v="-583"/>
    <n v="5"/>
    <n v="2024"/>
    <m/>
    <m/>
    <m/>
    <s v="Syifa Fauziyah"/>
    <s v="Rita, Mario"/>
    <m/>
    <m/>
    <m/>
    <m/>
    <m/>
    <m/>
    <m/>
    <m/>
    <m/>
    <m/>
    <m/>
  </r>
  <r>
    <n v="2437"/>
    <s v="PT Megalopolis Manunggal"/>
    <s v="PT. COMTRONICS SYSTEMS "/>
    <s v="Kawasan Industri MM2100"/>
    <x v="0"/>
    <s v="IDC DUREN TIGA, PANCORAN, KOTA JAKARTA SELATAN, DKI JAKARTA"/>
    <s v="PT. NSK Bearing Manufacturing Indonesia, Kawasan Berikat MM2100 Blok M4, Gandamekar"/>
    <s v="BAGI HASIL"/>
    <s v="Revenue Sharing"/>
    <m/>
    <s v="01000049639"/>
    <m/>
    <s v="METRO P2MP "/>
    <s v="10 Mbps"/>
    <m/>
    <n v="58200000"/>
    <m/>
    <m/>
    <m/>
    <n v="0.1"/>
    <d v="2023-05-21T00:00:00"/>
    <d v="2024-05-20T00:00:00"/>
    <x v="0"/>
    <m/>
    <d v="2025-12-24T00:00:00"/>
    <n v="-583"/>
    <n v="5"/>
    <n v="2024"/>
    <m/>
    <m/>
    <m/>
    <s v="Syifa Fauziyah"/>
    <s v="Rita, Mario"/>
    <m/>
    <m/>
    <m/>
    <m/>
    <m/>
    <m/>
    <m/>
    <m/>
    <m/>
    <m/>
    <m/>
  </r>
  <r>
    <n v="2438"/>
    <s v="PT Megalopolis Manunggal"/>
    <s v="PT ASTRA OTOPARTS"/>
    <s v="Kawasan Industri MM2100"/>
    <x v="0"/>
    <s v="Depo Cibitung,Kawasan MM2100,Jl.Jawa Blok M-31 Cibitung,Bekasi"/>
    <s v="Collocation Server Astra Otoparts,Gedung AAB,Jl.TB Simatupang,Jakarta"/>
    <s v="BAGI HASIL"/>
    <s v="Revenue Sharing"/>
    <s v="PA/UPG/2208/0127"/>
    <s v="PA/UPG/2208/0127 - AL/2210/312450 - 0110120201945 / 0990000020278468"/>
    <m/>
    <s v="Metronet"/>
    <m/>
    <m/>
    <n v="162000000"/>
    <m/>
    <m/>
    <m/>
    <n v="0.1"/>
    <d v="2024-05-21T00:00:00"/>
    <d v="2025-05-20T00:00:00"/>
    <x v="0"/>
    <m/>
    <d v="2025-12-24T00:00:00"/>
    <n v="-218"/>
    <n v="5"/>
    <n v="2025"/>
    <m/>
    <m/>
    <m/>
    <s v="Syifa Fauziyah"/>
    <s v="Rita, Mario"/>
    <m/>
    <m/>
    <m/>
    <m/>
    <m/>
    <m/>
    <m/>
    <m/>
    <m/>
    <m/>
    <m/>
  </r>
  <r>
    <n v="2439"/>
    <s v="PT Megalopolis Manunggal"/>
    <s v="PT. FABER-CASTELL INTERNATIONAL INDONESIA"/>
    <s v="Kawasan Industri MM2100"/>
    <x v="0"/>
    <s v="PT Sanken MM2100 Industrial Town,Block GG-8,Cikarang Barat,Bekasi 17520,West Java,Indonesia (ID JAR 2013004247)"/>
    <s v="Sentra Latumenten Blok AA-10 Jln Prof Dr Latumenten no 50 JAKARTA 11460 (BACKHAUL )"/>
    <s v="BAGI HASIL"/>
    <s v="Revenue Sharing"/>
    <m/>
    <s v="110130305323 / 04000167262"/>
    <m/>
    <s v="Metronet"/>
    <m/>
    <m/>
    <n v="30000000"/>
    <m/>
    <m/>
    <m/>
    <n v="0.1"/>
    <d v="2024-05-21T00:00:00"/>
    <d v="2025-05-20T00:00:00"/>
    <x v="0"/>
    <m/>
    <d v="2025-12-24T00:00:00"/>
    <n v="-218"/>
    <n v="5"/>
    <n v="2025"/>
    <m/>
    <m/>
    <m/>
    <s v="Syifa Fauziyah"/>
    <s v="Rita, Mario"/>
    <m/>
    <m/>
    <m/>
    <m/>
    <m/>
    <m/>
    <m/>
    <m/>
    <m/>
    <m/>
    <m/>
  </r>
  <r>
    <n v="2440"/>
    <s v="PT Megalopolis Manunggal"/>
    <s v="KANSAI PAINT INDONESIA"/>
    <s v="Kawasan Industri MM2100"/>
    <x v="0"/>
    <s v="Kawasan Industri MM2100, Jln Irian bl 003 DS Jatiwangi,cibitung Bekasi, Jawa Barat 17520 (BACKUP BACKHAUL)   "/>
    <s v="PT. Kansai Paint Indonesia, Kawasan Industri MM2100 Blok DD-7 dan DD-6 Desa Danau Indah, Cikarang Barat 17520 "/>
    <s v="BAGI HASIL"/>
    <s v="Revenue Sharing"/>
    <s v="AL/2201/17342"/>
    <s v="AL/2108/69293 - 110130306001 / 0990000320518831"/>
    <m/>
    <s v="Metronet"/>
    <m/>
    <m/>
    <n v="156000000"/>
    <m/>
    <m/>
    <m/>
    <n v="0.1"/>
    <d v="2024-05-21T00:00:00"/>
    <d v="2025-05-20T00:00:00"/>
    <x v="0"/>
    <m/>
    <d v="2025-12-24T00:00:00"/>
    <n v="-218"/>
    <n v="5"/>
    <n v="2025"/>
    <m/>
    <m/>
    <m/>
    <s v="Syifa Fauziyah"/>
    <s v="Rita, Mario"/>
    <m/>
    <m/>
    <m/>
    <m/>
    <m/>
    <m/>
    <m/>
    <m/>
    <m/>
    <m/>
    <m/>
  </r>
  <r>
    <n v="2441"/>
    <s v="PT Megalopolis Manunggal"/>
    <s v="PT MITSUBA INDONESIA PIPE PARTS"/>
    <s v="Kawasan Industri MM2100"/>
    <x v="0"/>
    <s v="-"/>
    <s v="PT. Mitsuba Indonesia Pipe Parts, Kawasan Industri MM2100 Blok NN-12, Cikarang Barat, Bekasi 17520 Indonesia"/>
    <s v="BAGI HASIL"/>
    <s v="Revenue Sharing"/>
    <s v="PA/UPG/2106/0236"/>
    <s v="AL/1907/24929 - 110130306172 / 060000094260001"/>
    <m/>
    <s v="internet corporate"/>
    <s v="15 Mbps"/>
    <m/>
    <n v="84000000"/>
    <m/>
    <m/>
    <m/>
    <n v="0.1"/>
    <d v="2024-05-21T00:00:00"/>
    <d v="2025-05-20T00:00:00"/>
    <x v="0"/>
    <m/>
    <d v="2025-12-24T00:00:00"/>
    <n v="-218"/>
    <n v="5"/>
    <n v="2025"/>
    <m/>
    <m/>
    <m/>
    <s v="Syifa Fauziyah"/>
    <s v="Rita, Mario"/>
    <m/>
    <m/>
    <m/>
    <m/>
    <m/>
    <m/>
    <m/>
    <m/>
    <m/>
    <m/>
    <m/>
  </r>
  <r>
    <n v="2442"/>
    <s v="PT Megalopolis Manunggal"/>
    <s v="PT Tirta Alam Segar"/>
    <s v="Kawasan Industri MM2100"/>
    <x v="0"/>
    <s v="-"/>
    <s v="PT Tirta alam segar,Kawasan industri mm2100,Jln kalangan kav b1-2,Cikarang barat-bekasi"/>
    <s v="BAGI HASIL"/>
    <s v="Revenue Sharing"/>
    <s v="PA/UPG/1905/0161"/>
    <s v="AL/2101/0067 - 110130304776 / 0990000320471999"/>
    <m/>
    <s v="internet corporate"/>
    <s v="30 Mbps"/>
    <m/>
    <n v="84000000"/>
    <m/>
    <m/>
    <m/>
    <n v="0.1"/>
    <d v="2024-05-21T00:00:00"/>
    <d v="2025-05-20T00:00:00"/>
    <x v="0"/>
    <m/>
    <d v="2025-12-24T00:00:00"/>
    <n v="-218"/>
    <n v="5"/>
    <n v="2025"/>
    <m/>
    <m/>
    <m/>
    <s v="Syifa Fauziyah"/>
    <s v="Rita, Mario"/>
    <m/>
    <m/>
    <m/>
    <m/>
    <m/>
    <m/>
    <m/>
    <m/>
    <m/>
    <m/>
    <m/>
  </r>
  <r>
    <n v="2443"/>
    <s v="PT Megalopolis Manunggal"/>
    <s v="PT HANKYU HANSHIN LOGISTICS INDONESIA"/>
    <s v="Kawasan Industri MM2100"/>
    <x v="0"/>
    <s v="-"/>
    <s v="Kawasan Industri MM2100 Jl. Bali Block O 1-2 Cikarang Barat Bekasi – Jawa Barat 17520"/>
    <s v="BAGI HASIL"/>
    <s v="Revenue Sharing"/>
    <s v="PA/UPG/2012/0044 "/>
    <s v="AL/2105/32686 - 0990000320455374"/>
    <m/>
    <s v="Internet corporate"/>
    <s v="20 Mbps"/>
    <m/>
    <n v="120000000"/>
    <m/>
    <m/>
    <m/>
    <n v="0.1"/>
    <d v="2024-05-21T00:00:00"/>
    <d v="2025-05-20T00:00:00"/>
    <x v="0"/>
    <m/>
    <d v="2025-12-24T00:00:00"/>
    <n v="-218"/>
    <n v="5"/>
    <n v="2025"/>
    <m/>
    <m/>
    <m/>
    <s v="Syifa Fauziyah"/>
    <s v="Rita, Mario"/>
    <m/>
    <m/>
    <m/>
    <m/>
    <m/>
    <m/>
    <m/>
    <m/>
    <m/>
    <m/>
    <m/>
  </r>
  <r>
    <n v="2444"/>
    <s v="PT Megalopolis Manunggal"/>
    <s v="TOYOTA TSUSHO LOGISTIC CENTER"/>
    <s v="Kawasan Industri MM2100"/>
    <x v="0"/>
    <s v="-"/>
    <s v="Kawasan Industri MM2100 Jl. Irian V Blok. KK-8 Cibitung Bekasi 17520"/>
    <s v="BAGI HASIL"/>
    <s v="Revenue Sharing"/>
    <s v="PA/UPG/2211/0140"/>
    <s v="AL/2204/76781 - 110130306132 / 170000073260003"/>
    <m/>
    <s v="Internet Corporate"/>
    <s v="100 Mbps"/>
    <m/>
    <n v="252000000"/>
    <m/>
    <m/>
    <m/>
    <n v="0.1"/>
    <d v="2024-05-21T00:00:00"/>
    <d v="2025-05-20T00:00:00"/>
    <x v="0"/>
    <m/>
    <d v="2025-12-24T00:00:00"/>
    <n v="-218"/>
    <n v="5"/>
    <n v="2025"/>
    <m/>
    <m/>
    <m/>
    <s v="Syifa Fauziyah"/>
    <s v="Rita, Mario"/>
    <m/>
    <m/>
    <m/>
    <m/>
    <m/>
    <m/>
    <m/>
    <m/>
    <m/>
    <m/>
    <m/>
  </r>
  <r>
    <n v="2445"/>
    <s v="PT Megalopolis Manunggal"/>
    <s v="PT. COMTRONICS SYSTEMS"/>
    <s v="Kawasan Industri MM2100"/>
    <x v="0"/>
    <s v="-"/>
    <s v="Rayovac Battery Indonesia, PT site Hanggar Bea Cukai Jl. Irian Blok MM 1 MM2100, Jatiwangi,  Kec. Cikarang Bar.,,  Kabupaten Bekasi,  Jawa Barat,  Indonesia,  17520"/>
    <s v="BAGI HASIL"/>
    <s v="Revenue Sharing"/>
    <s v="PA/UPG/2104/0211"/>
    <s v="AL/2212/340046 - 110120210182 / 01000313204"/>
    <m/>
    <s v="Metronet"/>
    <s v="5 Mbps"/>
    <m/>
    <n v="33600000"/>
    <m/>
    <m/>
    <m/>
    <n v="0.1"/>
    <d v="2024-05-21T00:00:00"/>
    <d v="2025-05-20T00:00:00"/>
    <x v="0"/>
    <m/>
    <d v="2025-12-24T00:00:00"/>
    <n v="-218"/>
    <n v="5"/>
    <n v="2025"/>
    <m/>
    <m/>
    <m/>
    <s v="Syifa Fauziyah"/>
    <s v="Rita, Mario"/>
    <m/>
    <m/>
    <m/>
    <m/>
    <m/>
    <m/>
    <m/>
    <m/>
    <m/>
    <m/>
    <m/>
  </r>
  <r>
    <n v="2446"/>
    <s v="PT Megalopolis Manunggal"/>
    <s v="PT. ICHIKOH INDONESIA"/>
    <s v="Kawasan Industri MM2100"/>
    <x v="0"/>
    <s v="-"/>
    <s v="MM 2100 Industrial Town - Jl. Irian Blok LL1, Jatiwangi,  Kec. Cikarang Barat,  Kabupaten Bekasi,  Jawa Barat,  Indonesia,  17530"/>
    <s v="BAGI HASIL"/>
    <s v="Revenue Sharing"/>
    <s v="PA/DOW/2203/0051"/>
    <s v="AL/2212/336962 - 04000314835 "/>
    <m/>
    <s v="Internet Corporate"/>
    <s v="100 Mbps"/>
    <m/>
    <n v="151200000"/>
    <m/>
    <m/>
    <m/>
    <n v="0.1"/>
    <d v="2024-05-21T00:00:00"/>
    <d v="2025-05-20T00:00:00"/>
    <x v="0"/>
    <m/>
    <d v="2025-12-24T00:00:00"/>
    <n v="-218"/>
    <n v="5"/>
    <n v="2025"/>
    <m/>
    <m/>
    <m/>
    <s v="Syifa Fauziyah"/>
    <s v="Rita, Mario"/>
    <m/>
    <m/>
    <m/>
    <m/>
    <m/>
    <m/>
    <m/>
    <m/>
    <m/>
    <m/>
    <m/>
  </r>
  <r>
    <n v="2447"/>
    <s v="PT Megalopolis Manunggal"/>
    <s v="PT. ICHIKOH INDONESIA"/>
    <s v="Kawasan Industri MM2100"/>
    <x v="0"/>
    <s v="IDC Duren 3 Lantai 3, Rack 26. Jl. Duren Tiga Raya No.7, RT.9/RW.5, Duren Tiga,  Kec. Pancoran,  Jakarta Selatan,  DKI Jakarta,  Indonesia,  12760"/>
    <s v="MM 2100 Industrial Town - Jl. Irian Blok LL1, Jatiwangi,  Kec. Cikarang Barat,  Kabupaten Bekasi,  Jawa Barat,  Indonesia,  17530"/>
    <s v="BAGI HASIL"/>
    <s v="Revenue Sharing"/>
    <s v="PA/ACT/2210/0669"/>
    <s v="AL/2212/336961 -  04000314834 "/>
    <m/>
    <s v="Internet Corporate"/>
    <s v="60 Mbps"/>
    <m/>
    <n v="99900000"/>
    <m/>
    <m/>
    <m/>
    <n v="0.1"/>
    <d v="2024-05-21T00:00:00"/>
    <d v="2025-05-20T00:00:00"/>
    <x v="0"/>
    <m/>
    <d v="2025-12-24T00:00:00"/>
    <n v="-218"/>
    <n v="5"/>
    <n v="2025"/>
    <m/>
    <m/>
    <m/>
    <s v="Syifa Fauziyah"/>
    <s v="Rita, Mario"/>
    <m/>
    <m/>
    <m/>
    <m/>
    <m/>
    <m/>
    <m/>
    <m/>
    <m/>
    <m/>
    <m/>
  </r>
  <r>
    <n v="2448"/>
    <s v="PT Megalopolis Manunggal"/>
    <s v="PT. COMTRONICS SYSTEMS"/>
    <s v="Kawasan Industri MM2100"/>
    <x v="0"/>
    <m/>
    <s v="PT. Hitachi Astemo Powertrain Systems Kawasan Industri MM 2100 Blok JJ No. 1, Jatiwangi,  Kec. Cikarang Bar.,  Kabupaten Bekasi,  Jawa Barat,  Indonesia,  17520"/>
    <s v="BAGI HASIL"/>
    <s v="Revenue Sharing"/>
    <s v="PA/ACT/2210/1250"/>
    <s v="AL/2208/244018 -  01000208269 "/>
    <m/>
    <s v="Metronet"/>
    <s v="40 Mbps"/>
    <m/>
    <n v="38400000"/>
    <m/>
    <m/>
    <m/>
    <n v="0.1"/>
    <d v="2024-05-21T00:00:00"/>
    <d v="2025-05-20T00:00:00"/>
    <x v="0"/>
    <m/>
    <d v="2025-12-24T00:00:00"/>
    <n v="-218"/>
    <n v="5"/>
    <n v="2025"/>
    <m/>
    <m/>
    <m/>
    <s v="Syifa Fauziyah"/>
    <s v="Rita, Mario"/>
    <m/>
    <m/>
    <m/>
    <m/>
    <m/>
    <m/>
    <m/>
    <m/>
    <m/>
    <m/>
    <m/>
  </r>
  <r>
    <n v="2449"/>
    <s v="PT Megalopolis Manunggal"/>
    <s v="PT. APLIKANUSA LINTASARTA"/>
    <s v="Kawasan Industri MM2100"/>
    <x v="0"/>
    <m/>
    <s v="PT Ichikoh Indonesia, MM 2100 Industrial Town, Jl. Irian Blok LL1, Jatiwangi,  Kec. Cikarang Barat,  Kabupaten Bekasi,  Jawa Barat,  Indonesia,  17530"/>
    <s v="BAGI HASIL"/>
    <s v="Revenue Sharing"/>
    <s v="PA/ACT/2210/1173"/>
    <s v=" AL/2208/247493 -  01000218286"/>
    <m/>
    <s v="Metronet"/>
    <s v="40 Mbps"/>
    <m/>
    <n v="99600000"/>
    <m/>
    <m/>
    <m/>
    <n v="0.1"/>
    <d v="2024-05-21T00:00:00"/>
    <d v="2025-05-20T00:00:00"/>
    <x v="0"/>
    <m/>
    <d v="2025-12-24T00:00:00"/>
    <n v="-218"/>
    <n v="5"/>
    <n v="2025"/>
    <m/>
    <m/>
    <m/>
    <s v="Syifa Fauziyah"/>
    <s v="Rita, Mario"/>
    <m/>
    <m/>
    <m/>
    <m/>
    <m/>
    <m/>
    <m/>
    <m/>
    <m/>
    <m/>
    <m/>
  </r>
  <r>
    <n v="2450"/>
    <s v="PT Megalopolis Manunggal"/>
    <s v="PT. HIPERNET INDODATA"/>
    <s v="Kawasan Industri MM2100"/>
    <x v="0"/>
    <m/>
    <s v="PT Toyota Auto Body Tokai Extrusion, Kawasan Industri MM2100, Jalan Irian Blok LL-3, Jatiwangi,  Kec. Cikarang Bar.,  Kabupaten Bekasi,  Jawa Barat,  Indonesia,  17530"/>
    <s v="BAGI HASIL"/>
    <s v="Revenue Sharing"/>
    <s v="PA/ACT/2209/3711"/>
    <s v="AL/2204/76947 - 01000195662"/>
    <m/>
    <s v="Metronet"/>
    <s v="20 Mbps"/>
    <m/>
    <n v="35400000"/>
    <m/>
    <m/>
    <m/>
    <n v="0.1"/>
    <d v="2024-05-21T00:00:00"/>
    <d v="2025-05-20T00:00:00"/>
    <x v="0"/>
    <m/>
    <d v="2025-12-24T00:00:00"/>
    <n v="-218"/>
    <n v="5"/>
    <n v="2025"/>
    <m/>
    <m/>
    <m/>
    <s v="Syifa Fauziyah"/>
    <s v="Rita, Mario"/>
    <m/>
    <m/>
    <m/>
    <m/>
    <m/>
    <m/>
    <m/>
    <m/>
    <m/>
    <m/>
    <m/>
  </r>
  <r>
    <n v="2451"/>
    <s v="PT Megalopolis Manunggal"/>
    <s v="PT. SHINSEI DENSHI INDONESIA"/>
    <s v="Kawasan Industri MM2100"/>
    <x v="0"/>
    <m/>
    <s v="Kawasan MM 2100 Jl. Jawa Blok HH No. 4 , Jatiwangi,  Kec. Cikarang Barat,  Kabupaten Bekasi,  Jawa Barat,  Indonesia,  17520"/>
    <s v="BAGI HASIL"/>
    <s v="Revenue Sharing"/>
    <s v="PA/ACT/2206/16445"/>
    <s v="AL/2203/53988 - 04000187994 "/>
    <m/>
    <s v="Internet Corporate"/>
    <m/>
    <m/>
    <n v="120000000"/>
    <m/>
    <m/>
    <m/>
    <n v="0.1"/>
    <d v="2024-05-21T00:00:00"/>
    <d v="2025-05-20T00:00:00"/>
    <x v="0"/>
    <m/>
    <d v="2025-12-24T00:00:00"/>
    <n v="-218"/>
    <n v="5"/>
    <n v="2025"/>
    <m/>
    <m/>
    <m/>
    <s v="Syifa Fauziyah"/>
    <s v="Rita, Mario"/>
    <m/>
    <m/>
    <m/>
    <m/>
    <m/>
    <m/>
    <m/>
    <m/>
    <m/>
    <m/>
    <m/>
  </r>
  <r>
    <n v="2452"/>
    <s v="PT Megalopolis Manunggal"/>
    <s v="PT. HIPERNET INDODATA"/>
    <s v="Kawasan Industri MM2100"/>
    <x v="0"/>
    <m/>
    <s v="PT. Shinto Kogyo Indonesia-Kawasan Industri MM2100, Jl. Bali Blok J No.17-2, Gandamekar,Kec. Cikarang Barat ,Kabupaten Bekasi ,Jawa Barat ,Indonesia ,17530   "/>
    <s v="BAGI HASIL"/>
    <s v="Revenue Sharing"/>
    <s v=" PA/ACT/2206/16168"/>
    <s v="AL/2206/142556 - 01000187621"/>
    <m/>
    <s v="Metronet"/>
    <m/>
    <m/>
    <n v="56700000"/>
    <m/>
    <m/>
    <m/>
    <n v="0.1"/>
    <d v="2024-05-21T00:00:00"/>
    <d v="2025-05-20T00:00:00"/>
    <x v="0"/>
    <m/>
    <d v="2025-12-24T00:00:00"/>
    <n v="-218"/>
    <n v="5"/>
    <n v="2025"/>
    <m/>
    <m/>
    <m/>
    <s v="Syifa Fauziyah"/>
    <s v="Rita, Mario"/>
    <m/>
    <m/>
    <m/>
    <m/>
    <m/>
    <m/>
    <m/>
    <m/>
    <m/>
    <m/>
    <m/>
  </r>
  <r>
    <n v="2453"/>
    <s v="PT Megalopolis Manunggal"/>
    <s v="PT SHIBAURA SHEARING INDONESIA"/>
    <s v="Kawasan Industri MM2100"/>
    <x v="0"/>
    <m/>
    <s v="KAWASAN INDUSTRI MM2100, JALAN JAWA BLOK II, JATIWANGI, CIKARANG BARAT, BEKASI, JAWA BARAT 17530"/>
    <s v="BAGI HASIL"/>
    <s v="Revenue Sharing"/>
    <s v="PA/ACT/2203/1822 "/>
    <s v="A221303000063 - 1303000009"/>
    <m/>
    <s v="Internet Corporate"/>
    <s v="52 Mbps"/>
    <m/>
    <n v="94800000"/>
    <m/>
    <m/>
    <m/>
    <n v="0.1"/>
    <d v="2024-05-21T00:00:00"/>
    <d v="2025-05-20T00:00:00"/>
    <x v="0"/>
    <m/>
    <d v="2025-12-24T00:00:00"/>
    <n v="-218"/>
    <n v="5"/>
    <n v="2025"/>
    <m/>
    <m/>
    <m/>
    <s v="Syifa Fauziyah"/>
    <s v="Rita, Mario"/>
    <m/>
    <m/>
    <m/>
    <m/>
    <m/>
    <m/>
    <m/>
    <m/>
    <m/>
    <m/>
    <m/>
  </r>
  <r>
    <n v="2454"/>
    <s v="PT Megalopolis Manunggal"/>
    <s v="PT VENDAMART RETAIL INDONESIA"/>
    <s v="Kawasan Industri MM2100"/>
    <x v="0"/>
    <m/>
    <s v="KAWASAN INDUSTRI MM2100 CIBITUNG MM2100 INDUSTRIAL TOWN, JL. IRIAN V BLOK KK-8, JATIWANGI, KEC. CIKARANG BAR., KABUPATEN BEKASI, JAWA BARAT"/>
    <s v="BAGI HASIL"/>
    <s v="Revenue Sharing"/>
    <s v="PA/ACT/2203/0942 "/>
    <s v="A821303000466 - 111303011349"/>
    <m/>
    <s v="internet corporate "/>
    <s v="10 Mbps"/>
    <m/>
    <n v="66000000"/>
    <m/>
    <m/>
    <m/>
    <n v="0.1"/>
    <d v="2024-05-21T00:00:00"/>
    <d v="2025-05-20T00:00:00"/>
    <x v="0"/>
    <m/>
    <d v="2025-12-24T00:00:00"/>
    <n v="-218"/>
    <n v="5"/>
    <n v="2025"/>
    <m/>
    <m/>
    <m/>
    <s v="Syifa Fauziyah"/>
    <s v="Rita, Mario"/>
    <m/>
    <m/>
    <m/>
    <m/>
    <m/>
    <m/>
    <m/>
    <m/>
    <m/>
    <m/>
    <m/>
  </r>
  <r>
    <n v="2455"/>
    <s v="PT Megalopolis Manunggal"/>
    <s v="PT. IFORTE SOLUSI INFOTEK "/>
    <s v="Kawasan Industri MM2100"/>
    <x v="0"/>
    <m/>
    <s v="JL. IRIAN V BLOK KK-8, JATIWANGI, KEC. CIKARANG"/>
    <s v="BAGI HASIL"/>
    <s v="Revenue Sharing"/>
    <s v="PA/ACT/2201/2528"/>
    <s v="A821202001002 - 111202018838"/>
    <m/>
    <s v="Metronet"/>
    <s v="10 Mbps"/>
    <m/>
    <n v="48000000"/>
    <m/>
    <m/>
    <m/>
    <n v="0.1"/>
    <d v="2024-05-21T00:00:00"/>
    <d v="2025-05-20T00:00:00"/>
    <x v="0"/>
    <m/>
    <d v="2025-12-24T00:00:00"/>
    <n v="-218"/>
    <n v="5"/>
    <n v="2025"/>
    <m/>
    <m/>
    <m/>
    <s v="Syifa Fauziyah"/>
    <s v="Rita, Mario"/>
    <m/>
    <m/>
    <m/>
    <m/>
    <m/>
    <m/>
    <m/>
    <m/>
    <m/>
    <m/>
    <m/>
  </r>
  <r>
    <n v="2456"/>
    <s v="PT Megalopolis Manunggal"/>
    <s v="PT CIPTA TELEKOMUNIKASI MANDIRI "/>
    <s v="Kawasan Industri MM2100"/>
    <x v="0"/>
    <m/>
    <s v="JL. KW. INDUSTRI, GANDAMEKAR, KEC. CIKARANG BAR., KABUPATEN BEKASI, JAWA BARAT 17620"/>
    <s v="BAGI HASIL"/>
    <s v="Revenue Sharing"/>
    <s v="PA/ACT/2201/1715 "/>
    <s v="A111303003368 - 111303012943"/>
    <m/>
    <s v="internet corporate"/>
    <s v="52 Mbps"/>
    <m/>
    <n v="48000000"/>
    <m/>
    <m/>
    <m/>
    <n v="0.1"/>
    <d v="2024-05-21T00:00:00"/>
    <d v="2025-05-20T00:00:00"/>
    <x v="0"/>
    <m/>
    <d v="2025-12-24T00:00:00"/>
    <n v="-218"/>
    <n v="5"/>
    <n v="2025"/>
    <m/>
    <m/>
    <m/>
    <s v="Syifa Fauziyah"/>
    <s v="Rita, Mario"/>
    <m/>
    <m/>
    <m/>
    <m/>
    <m/>
    <m/>
    <m/>
    <m/>
    <m/>
    <m/>
    <m/>
  </r>
  <r>
    <n v="2457"/>
    <s v="PT Megalopolis Manunggal"/>
    <s v="ASTRA HONDA MOTOR"/>
    <s v="Kawasan Industri MM2100"/>
    <x v="0"/>
    <m/>
    <s v="CIKARANG (PLANT 3) JL. RAYA KALIMANTAN BLOK AA-1 KAWASAN INDUSTRI MM2100 CIKARANG BARAT, BEKASI, CIKARANG, KABUPATEN BEKASI, JAWA BARAT, INDONESIA, 17"/>
    <s v="BAGI HASIL"/>
    <s v="Revenue Sharing"/>
    <m/>
    <s v="110120201929 - 01000002848"/>
    <m/>
    <s v="Metronet"/>
    <s v="300 Mbps"/>
    <m/>
    <n v="348000000"/>
    <m/>
    <m/>
    <m/>
    <n v="0.1"/>
    <d v="2024-05-21T00:00:00"/>
    <d v="2025-05-20T00:00:00"/>
    <x v="0"/>
    <m/>
    <d v="2025-12-24T00:00:00"/>
    <n v="-218"/>
    <n v="5"/>
    <n v="2025"/>
    <m/>
    <m/>
    <m/>
    <s v="Syifa Fauziyah"/>
    <s v="Rita, Mario"/>
    <m/>
    <m/>
    <m/>
    <m/>
    <m/>
    <m/>
    <m/>
    <m/>
    <m/>
    <m/>
    <m/>
  </r>
  <r>
    <n v="2458"/>
    <s v="PT Megalopolis Manunggal"/>
    <s v="PT. SOLUSINDO BINTANG PRATAMA"/>
    <s v="Kawasan Industri MM2100"/>
    <x v="0"/>
    <s v=" "/>
    <s v="PT. Kojin Indonesia, Block Ll-8-1 Mm2100 Industrial Town Cikarang Barat Bekasi, Jatiwangi, West Cikarang, Bekasi, West Java 17530 "/>
    <s v="BAGI HASIL"/>
    <s v="Revenue Sharing"/>
    <m/>
    <s v="110120205774 - 01000143987"/>
    <m/>
    <s v="Metronet "/>
    <s v="10 Mbps"/>
    <m/>
    <n v="30000000"/>
    <m/>
    <m/>
    <m/>
    <n v="0.1"/>
    <d v="2024-05-21T00:00:00"/>
    <d v="2025-05-20T00:00:00"/>
    <x v="0"/>
    <m/>
    <d v="2025-12-24T00:00:00"/>
    <n v="-218"/>
    <n v="5"/>
    <n v="2025"/>
    <m/>
    <m/>
    <m/>
    <s v="Syifa Fauziyah"/>
    <s v="Rita, Mario"/>
    <m/>
    <m/>
    <m/>
    <m/>
    <m/>
    <m/>
    <m/>
    <m/>
    <m/>
    <m/>
    <m/>
  </r>
  <r>
    <n v="2459"/>
    <s v="PT Megalopolis Manunggal"/>
    <s v="PT. NETTOCYBER INDONESIA"/>
    <s v="Kawasan Industri MM2100"/>
    <x v="0"/>
    <s v="KOTA JAKARTA SELATAN, KUNINGAN TIMUR, SETIA BUDI, DKI JAKARTA"/>
    <s v="PT. LG Electronics Indonesia, Block - G, MM2100 Industrial Town"/>
    <s v="BAGI HASIL"/>
    <s v="Revenue Sharing"/>
    <m/>
    <s v="110120213519 - '01000172108"/>
    <m/>
    <s v="Metronet "/>
    <s v="1 Gbps"/>
    <m/>
    <n v="396000000"/>
    <m/>
    <m/>
    <m/>
    <n v="0.1"/>
    <d v="2024-05-21T00:00:00"/>
    <d v="2025-05-20T00:00:00"/>
    <x v="0"/>
    <m/>
    <d v="2025-12-24T00:00:00"/>
    <n v="-218"/>
    <n v="5"/>
    <n v="2025"/>
    <m/>
    <m/>
    <m/>
    <s v="Syifa Fauziyah"/>
    <s v="Rita, Mario"/>
    <m/>
    <m/>
    <m/>
    <m/>
    <m/>
    <m/>
    <m/>
    <m/>
    <m/>
    <m/>
    <m/>
  </r>
  <r>
    <n v="2460"/>
    <s v="PT Megalopolis Manunggal"/>
    <s v="PT. APLIKANUSA LINTASARTA"/>
    <s v="Kawasan Industri MM2100"/>
    <x v="0"/>
    <s v="LA TBS"/>
    <s v="PT. WAHANA DIRGANTARA KAWASAN INDUSTRI MM-2100 BLOK H-7-1 BEKASI (2011007138) "/>
    <s v="BAGI HASIL"/>
    <s v="Revenue Sharing"/>
    <m/>
    <s v="0990000020273074"/>
    <m/>
    <s v="Metronet "/>
    <s v="4 Mbps"/>
    <m/>
    <n v="64800000"/>
    <m/>
    <m/>
    <m/>
    <n v="0.1"/>
    <d v="2024-05-21T00:00:00"/>
    <d v="2025-05-20T00:00:00"/>
    <x v="0"/>
    <m/>
    <d v="2025-12-24T00:00:00"/>
    <n v="-218"/>
    <n v="5"/>
    <n v="2025"/>
    <m/>
    <m/>
    <m/>
    <s v="Syifa Fauziyah"/>
    <s v="Rita, Mario"/>
    <m/>
    <m/>
    <m/>
    <m/>
    <m/>
    <m/>
    <m/>
    <m/>
    <m/>
    <m/>
    <m/>
  </r>
  <r>
    <n v="2461"/>
    <s v="PT Megalopolis Manunggal"/>
    <s v="PT. APLIKANUSA LINTASARTA"/>
    <s v="Kawasan Industri MM2100"/>
    <x v="0"/>
    <s v="LA TBS"/>
    <s v="PT. Mandom Indonesia, Kawasan Industri MM2100 Blok PP, Jalan Irian, Jatiwangi"/>
    <s v="BAGI HASIL"/>
    <s v="Revenue Sharing"/>
    <m/>
    <s v="01000070275"/>
    <m/>
    <s v="Metro "/>
    <s v="10 Mbps"/>
    <m/>
    <n v="76950000"/>
    <m/>
    <m/>
    <m/>
    <n v="0.1"/>
    <d v="2024-05-21T00:00:00"/>
    <d v="2025-05-20T00:00:00"/>
    <x v="0"/>
    <m/>
    <d v="2025-12-24T00:00:00"/>
    <n v="-218"/>
    <n v="5"/>
    <n v="2025"/>
    <m/>
    <m/>
    <m/>
    <s v="Syifa Fauziyah"/>
    <s v="Rita, Mario"/>
    <m/>
    <m/>
    <m/>
    <m/>
    <m/>
    <m/>
    <m/>
    <m/>
    <m/>
    <m/>
    <m/>
  </r>
  <r>
    <n v="2462"/>
    <s v="PT Megalopolis Manunggal"/>
    <s v="PT. HIPERNET INDODATA  "/>
    <s v="Kawasan Industri MM2100"/>
    <x v="0"/>
    <s v=" "/>
    <s v="PT. Jotun Indonesia, Kawasan Industri MM2100 Blok KK-1"/>
    <s v="BAGI HASIL"/>
    <s v="Revenue Sharing"/>
    <m/>
    <s v="01000076040"/>
    <m/>
    <s v="Metronet "/>
    <s v="80 Mbps"/>
    <m/>
    <n v="63600000"/>
    <m/>
    <m/>
    <m/>
    <n v="0.1"/>
    <d v="2024-05-21T00:00:00"/>
    <d v="2025-05-20T00:00:00"/>
    <x v="0"/>
    <m/>
    <d v="2025-12-24T00:00:00"/>
    <n v="-218"/>
    <n v="5"/>
    <n v="2025"/>
    <m/>
    <m/>
    <m/>
    <s v="Syifa Fauziyah"/>
    <s v="Rita, Mario"/>
    <m/>
    <m/>
    <m/>
    <m/>
    <m/>
    <m/>
    <m/>
    <m/>
    <m/>
    <m/>
    <m/>
  </r>
  <r>
    <n v="2463"/>
    <s v="PT Megalopolis Manunggal"/>
    <s v="PT Netmarks Indonesia"/>
    <s v="Kawasan Industri MM2100"/>
    <x v="0"/>
    <s v=" "/>
    <s v=" PT. Yamaha Motor Mold Indonesia Jalan Irian XIII Blok QQ"/>
    <s v="BAGI HASIL"/>
    <s v="Revenue Sharing"/>
    <m/>
    <s v="04000354882"/>
    <m/>
    <s v="internet corp "/>
    <s v="10 Mbps"/>
    <m/>
    <n v="72000000"/>
    <m/>
    <m/>
    <m/>
    <n v="0.1"/>
    <d v="2024-05-21T00:00:00"/>
    <d v="2025-05-20T00:00:00"/>
    <x v="0"/>
    <m/>
    <d v="2025-12-24T00:00:00"/>
    <n v="-218"/>
    <n v="5"/>
    <n v="2025"/>
    <m/>
    <m/>
    <m/>
    <s v="Syifa Fauziyah"/>
    <s v="Rita, Mario"/>
    <m/>
    <m/>
    <m/>
    <m/>
    <m/>
    <m/>
    <m/>
    <m/>
    <m/>
    <m/>
    <m/>
  </r>
  <r>
    <n v="2464"/>
    <s v="PT Megalopolis Manunggal"/>
    <s v="PT. PERTAMINA GAS"/>
    <s v="Kawasan Industri MM2100"/>
    <x v="0"/>
    <s v=" "/>
    <s v="Kawasan Industri MM2100 Jl. Jawa, Gandamekar, Kec. Cikarang Barat, Bekasi, Jawa Barat 17530"/>
    <s v="BAGI HASIL"/>
    <s v="Revenue Sharing"/>
    <m/>
    <s v="01000146610"/>
    <m/>
    <s v="IPVPN "/>
    <s v="512 Kbps"/>
    <m/>
    <n v="19449000"/>
    <m/>
    <m/>
    <m/>
    <n v="0.1"/>
    <d v="2024-05-21T00:00:00"/>
    <d v="2025-05-20T00:00:00"/>
    <x v="0"/>
    <m/>
    <d v="2025-12-24T00:00:00"/>
    <n v="-218"/>
    <n v="5"/>
    <n v="2025"/>
    <m/>
    <m/>
    <m/>
    <s v="Syifa Fauziyah"/>
    <s v="Rita, Mario"/>
    <m/>
    <m/>
    <m/>
    <m/>
    <m/>
    <m/>
    <m/>
    <m/>
    <m/>
    <m/>
    <m/>
  </r>
  <r>
    <n v="2465"/>
    <s v="PT Megalopolis Manunggal"/>
    <s v="PT. PARSAORAN GLOBAL DATATRANS"/>
    <s v="Kawasan Industri MM2100"/>
    <x v="0"/>
    <s v=" "/>
    <s v="PT SUGITY CIKARANG JL. BALI BLOK J NO. 17-20 KAWASAN INDUSTRI MM2100, CIKARANG BARAT"/>
    <s v="BAGI HASIL"/>
    <s v="Revenue Sharing"/>
    <m/>
    <s v="110120204034 - 01000144258"/>
    <m/>
    <s v="Metronet "/>
    <s v="50 Mbps"/>
    <m/>
    <n v="96000000"/>
    <m/>
    <m/>
    <m/>
    <n v="0.1"/>
    <d v="2024-05-21T00:00:00"/>
    <d v="2025-05-20T00:00:00"/>
    <x v="0"/>
    <m/>
    <d v="2025-12-24T00:00:00"/>
    <n v="-218"/>
    <n v="5"/>
    <n v="2025"/>
    <m/>
    <m/>
    <m/>
    <s v="Syifa Fauziyah"/>
    <s v="Rita, Mario"/>
    <m/>
    <m/>
    <m/>
    <m/>
    <m/>
    <m/>
    <m/>
    <m/>
    <m/>
    <m/>
    <m/>
  </r>
  <r>
    <n v="2466"/>
    <s v="PT Megalopolis Manunggal"/>
    <s v="PT. COMTRONICS SYSTEMS "/>
    <s v="Kawasan Industri MM2100"/>
    <x v="0"/>
    <s v="IDC DUREN TIGA, PANCORAN, KOTA JAKARTA SELATAN, DKI JAKARTA"/>
    <s v="PT. NSK Bearing Manufacturing Indonesia, Kawasan Berikat MM2100 Blok M4, Gandamekar"/>
    <s v="BAGI HASIL"/>
    <s v="Revenue Sharing"/>
    <m/>
    <s v="01000049639"/>
    <m/>
    <s v="METRO P2MP "/>
    <s v="10 Mbps"/>
    <m/>
    <n v="58200000"/>
    <m/>
    <m/>
    <m/>
    <n v="0.1"/>
    <d v="2024-05-21T00:00:00"/>
    <d v="2025-05-20T00:00:00"/>
    <x v="0"/>
    <m/>
    <d v="2025-12-24T00:00:00"/>
    <n v="-218"/>
    <n v="5"/>
    <n v="2025"/>
    <m/>
    <m/>
    <m/>
    <s v="Syifa Fauziyah"/>
    <s v="Rita, Mario"/>
    <m/>
    <m/>
    <m/>
    <m/>
    <m/>
    <m/>
    <m/>
    <m/>
    <m/>
    <m/>
    <m/>
  </r>
  <r>
    <n v="2467"/>
    <s v="PT Megalopolis Manunggal"/>
    <s v="PT ASTRA OTOPARTS"/>
    <s v="Kawasan Industri MM2100"/>
    <x v="1"/>
    <s v="Depo Cibitung,Kawasan MM2100,Jl.Jawa Blok M-31 Cibitung,Bekasi"/>
    <s v="Collocation Server Astra Otoparts,Gedung AAB,Jl.TB Simatupang,Jakarta"/>
    <s v="BAGI HASIL"/>
    <s v="Revenue Sharing"/>
    <s v="PA/UPG/2208/0127"/>
    <s v="PA/UPG/2208/0127 - AL/2210/312450 - 0110120201945 / 0990000020278468"/>
    <m/>
    <s v="Metronet"/>
    <m/>
    <m/>
    <n v="162000000"/>
    <m/>
    <m/>
    <m/>
    <n v="0.15"/>
    <d v="2025-05-21T00:00:00"/>
    <d v="2026-05-20T00:00:00"/>
    <x v="1"/>
    <m/>
    <d v="2025-12-24T00:00:00"/>
    <n v="147"/>
    <n v="5"/>
    <n v="2026"/>
    <m/>
    <m/>
    <m/>
    <s v="Syifa Fauziyah"/>
    <s v="Rita, Mario"/>
    <m/>
    <m/>
    <m/>
    <m/>
    <m/>
    <m/>
    <m/>
    <m/>
    <m/>
    <m/>
    <m/>
  </r>
  <r>
    <n v="2468"/>
    <s v="PT Megalopolis Manunggal"/>
    <s v="PT. FABER-CASTELL INTERNATIONAL INDONESIA"/>
    <s v="Kawasan Industri MM2100"/>
    <x v="1"/>
    <s v="PT Sanken MM2100 Industrial Town,Block GG-8,Cikarang Barat,Bekasi 17520,West Java,Indonesia (ID JAR 2013004247)"/>
    <s v="Sentra Latumenten Blok AA-10 Jln Prof Dr Latumenten no 50 JAKARTA 11460 (BACKHAUL )"/>
    <s v="BAGI HASIL"/>
    <s v="Revenue Sharing"/>
    <m/>
    <s v="110130305323 / 04000167262"/>
    <m/>
    <s v="Metronet"/>
    <m/>
    <m/>
    <n v="30000000"/>
    <m/>
    <m/>
    <m/>
    <n v="0.15"/>
    <d v="2025-05-21T00:00:00"/>
    <d v="2026-05-20T00:00:00"/>
    <x v="1"/>
    <m/>
    <d v="2025-12-24T00:00:00"/>
    <n v="147"/>
    <n v="5"/>
    <n v="2026"/>
    <m/>
    <m/>
    <m/>
    <s v="Syifa Fauziyah"/>
    <s v="Rita, Mario"/>
    <m/>
    <m/>
    <m/>
    <m/>
    <m/>
    <m/>
    <m/>
    <m/>
    <m/>
    <m/>
    <m/>
  </r>
  <r>
    <n v="2469"/>
    <s v="PT Megalopolis Manunggal"/>
    <s v="KANSAI PAINT INDONESIA"/>
    <s v="Kawasan Industri MM2100"/>
    <x v="1"/>
    <s v="Kawasan Industri MM2100, Jln Irian bl 003 DS Jatiwangi,cibitung Bekasi, Jawa Barat 17520 (BACKUP BACKHAUL)   "/>
    <s v="PT. Kansai Paint Indonesia, Kawasan Industri MM2100 Blok DD-7 dan DD-6 Desa Danau Indah, Cikarang Barat 17520 "/>
    <s v="BAGI HASIL"/>
    <s v="Revenue Sharing"/>
    <s v="AL/2201/17342"/>
    <s v="AL/2108/69293 - 110130306001 / 0990000320518831"/>
    <m/>
    <s v="Metronet"/>
    <m/>
    <m/>
    <n v="156000000"/>
    <m/>
    <m/>
    <m/>
    <n v="0.15"/>
    <d v="2025-05-21T00:00:00"/>
    <d v="2026-05-20T00:00:00"/>
    <x v="1"/>
    <m/>
    <d v="2025-12-24T00:00:00"/>
    <n v="147"/>
    <n v="5"/>
    <n v="2026"/>
    <m/>
    <m/>
    <m/>
    <s v="Syifa Fauziyah"/>
    <s v="Rita, Mario"/>
    <m/>
    <m/>
    <m/>
    <m/>
    <m/>
    <m/>
    <m/>
    <m/>
    <m/>
    <m/>
    <m/>
  </r>
  <r>
    <n v="2470"/>
    <s v="PT Megalopolis Manunggal"/>
    <s v="PT MITSUBA INDONESIA PIPE PARTS"/>
    <s v="Kawasan Industri MM2100"/>
    <x v="1"/>
    <s v="-"/>
    <s v="PT. Mitsuba Indonesia Pipe Parts, Kawasan Industri MM2100 Blok NN-12, Cikarang Barat, Bekasi 17520 Indonesia"/>
    <s v="BAGI HASIL"/>
    <s v="Revenue Sharing"/>
    <s v="PA/UPG/2106/0236"/>
    <s v="AL/1907/24929 - 110130306172 / 060000094260001"/>
    <m/>
    <s v="internet corporate"/>
    <s v="15 Mbps"/>
    <m/>
    <n v="84000000"/>
    <m/>
    <m/>
    <m/>
    <n v="0.15"/>
    <d v="2025-05-21T00:00:00"/>
    <d v="2026-05-20T00:00:00"/>
    <x v="1"/>
    <m/>
    <d v="2025-12-24T00:00:00"/>
    <n v="147"/>
    <n v="5"/>
    <n v="2026"/>
    <m/>
    <m/>
    <m/>
    <s v="Syifa Fauziyah"/>
    <s v="Rita, Mario"/>
    <m/>
    <m/>
    <m/>
    <m/>
    <m/>
    <m/>
    <m/>
    <m/>
    <m/>
    <m/>
    <m/>
  </r>
  <r>
    <n v="2471"/>
    <s v="PT Megalopolis Manunggal"/>
    <s v="PT Tirta Alam Segar"/>
    <s v="Kawasan Industri MM2100"/>
    <x v="1"/>
    <s v="-"/>
    <s v="PT Tirta alam segar,Kawasan industri mm2100,Jln kalangan kav b1-2,Cikarang barat-bekasi"/>
    <s v="BAGI HASIL"/>
    <s v="Revenue Sharing"/>
    <s v="PA/UPG/1905/0161"/>
    <s v="AL/2101/0067 - 110130304776 / 0990000320471999"/>
    <m/>
    <s v="internet corporate"/>
    <s v="30 Mbps"/>
    <m/>
    <n v="84000000"/>
    <m/>
    <m/>
    <m/>
    <n v="0.15"/>
    <d v="2025-05-21T00:00:00"/>
    <d v="2026-05-20T00:00:00"/>
    <x v="1"/>
    <m/>
    <d v="2025-12-24T00:00:00"/>
    <n v="147"/>
    <n v="5"/>
    <n v="2026"/>
    <m/>
    <m/>
    <m/>
    <s v="Syifa Fauziyah"/>
    <s v="Rita, Mario"/>
    <m/>
    <m/>
    <m/>
    <m/>
    <m/>
    <m/>
    <m/>
    <m/>
    <m/>
    <m/>
    <m/>
  </r>
  <r>
    <n v="2472"/>
    <s v="PT Megalopolis Manunggal"/>
    <s v="PT HANKYU HANSHIN LOGISTICS INDONESIA"/>
    <s v="Kawasan Industri MM2100"/>
    <x v="1"/>
    <s v="-"/>
    <s v="Kawasan Industri MM2100 Jl. Bali Block O 1-2 Cikarang Barat Bekasi – Jawa Barat 17520"/>
    <s v="BAGI HASIL"/>
    <s v="Revenue Sharing"/>
    <s v="PA/UPG/2012/0044 "/>
    <s v="AL/2105/32686 - 0990000320455374"/>
    <m/>
    <s v="Internet corporate"/>
    <s v="20 Mbps"/>
    <m/>
    <n v="120000000"/>
    <m/>
    <m/>
    <m/>
    <n v="0.15"/>
    <d v="2025-05-21T00:00:00"/>
    <d v="2026-05-20T00:00:00"/>
    <x v="1"/>
    <m/>
    <d v="2025-12-24T00:00:00"/>
    <n v="147"/>
    <n v="5"/>
    <n v="2026"/>
    <m/>
    <m/>
    <m/>
    <s v="Syifa Fauziyah"/>
    <s v="Rita, Mario"/>
    <m/>
    <m/>
    <m/>
    <m/>
    <m/>
    <m/>
    <m/>
    <m/>
    <m/>
    <m/>
    <m/>
  </r>
  <r>
    <n v="2473"/>
    <s v="PT Megalopolis Manunggal"/>
    <s v="TOYOTA TSUSHO LOGISTIC CENTER"/>
    <s v="Kawasan Industri MM2100"/>
    <x v="1"/>
    <s v="-"/>
    <s v="Kawasan Industri MM2100 Jl. Irian V Blok. KK-8 Cibitung Bekasi 17520"/>
    <s v="BAGI HASIL"/>
    <s v="Revenue Sharing"/>
    <s v="PA/UPG/2211/0140"/>
    <s v="AL/2204/76781 - 110130306132 / 170000073260003"/>
    <m/>
    <s v="Internet Corporate"/>
    <s v="100 Mbps"/>
    <m/>
    <n v="252000000"/>
    <m/>
    <m/>
    <m/>
    <n v="0.15"/>
    <d v="2025-05-21T00:00:00"/>
    <d v="2026-05-20T00:00:00"/>
    <x v="1"/>
    <m/>
    <d v="2025-12-24T00:00:00"/>
    <n v="147"/>
    <n v="5"/>
    <n v="2026"/>
    <m/>
    <m/>
    <m/>
    <s v="Syifa Fauziyah"/>
    <s v="Rita, Mario"/>
    <m/>
    <m/>
    <m/>
    <m/>
    <m/>
    <m/>
    <m/>
    <m/>
    <m/>
    <m/>
    <m/>
  </r>
  <r>
    <n v="2474"/>
    <s v="PT Megalopolis Manunggal"/>
    <s v="PT. COMTRONICS SYSTEMS"/>
    <s v="Kawasan Industri MM2100"/>
    <x v="1"/>
    <s v="-"/>
    <s v="Rayovac Battery Indonesia, PT site Hanggar Bea Cukai Jl. Irian Blok MM 1 MM2100, Jatiwangi,  Kec. Cikarang Bar.,,  Kabupaten Bekasi,  Jawa Barat,  Indonesia,  17520"/>
    <s v="BAGI HASIL"/>
    <s v="Revenue Sharing"/>
    <s v="PA/UPG/2104/0211"/>
    <s v="AL/2212/340046 - 110120210182 / 01000313204"/>
    <m/>
    <s v="Metronet"/>
    <s v="5 Mbps"/>
    <m/>
    <n v="33600000"/>
    <m/>
    <m/>
    <m/>
    <n v="0.15"/>
    <d v="2025-05-21T00:00:00"/>
    <d v="2026-05-20T00:00:00"/>
    <x v="1"/>
    <m/>
    <d v="2025-12-24T00:00:00"/>
    <n v="147"/>
    <n v="5"/>
    <n v="2026"/>
    <m/>
    <m/>
    <m/>
    <s v="Syifa Fauziyah"/>
    <s v="Rita, Mario"/>
    <m/>
    <m/>
    <m/>
    <m/>
    <m/>
    <m/>
    <m/>
    <m/>
    <m/>
    <m/>
    <m/>
  </r>
  <r>
    <n v="2475"/>
    <s v="PT Megalopolis Manunggal"/>
    <s v="PT. ICHIKOH INDONESIA"/>
    <s v="Kawasan Industri MM2100"/>
    <x v="1"/>
    <s v="-"/>
    <s v="MM 2100 Industrial Town - Jl. Irian Blok LL1, Jatiwangi,  Kec. Cikarang Barat,  Kabupaten Bekasi,  Jawa Barat,  Indonesia,  17530"/>
    <s v="BAGI HASIL"/>
    <s v="Revenue Sharing"/>
    <s v="PA/DOW/2203/0051"/>
    <s v="AL/2212/336962 - 04000314835 "/>
    <m/>
    <s v="Internet Corporate"/>
    <s v="100 Mbps"/>
    <m/>
    <n v="151200000"/>
    <m/>
    <m/>
    <m/>
    <n v="0.15"/>
    <d v="2025-05-21T00:00:00"/>
    <d v="2026-05-20T00:00:00"/>
    <x v="1"/>
    <m/>
    <d v="2025-12-24T00:00:00"/>
    <n v="147"/>
    <n v="5"/>
    <n v="2026"/>
    <m/>
    <m/>
    <m/>
    <s v="Syifa Fauziyah"/>
    <s v="Rita, Mario"/>
    <m/>
    <m/>
    <m/>
    <m/>
    <m/>
    <m/>
    <m/>
    <m/>
    <m/>
    <m/>
    <m/>
  </r>
  <r>
    <n v="2476"/>
    <s v="PT Megalopolis Manunggal"/>
    <s v="PT. ICHIKOH INDONESIA"/>
    <s v="Kawasan Industri MM2100"/>
    <x v="1"/>
    <s v="IDC Duren 3 Lantai 3, Rack 26. Jl. Duren Tiga Raya No.7, RT.9/RW.5, Duren Tiga,  Kec. Pancoran,  Jakarta Selatan,  DKI Jakarta,  Indonesia,  12760"/>
    <s v="MM 2100 Industrial Town - Jl. Irian Blok LL1, Jatiwangi,  Kec. Cikarang Barat,  Kabupaten Bekasi,  Jawa Barat,  Indonesia,  17530"/>
    <s v="BAGI HASIL"/>
    <s v="Revenue Sharing"/>
    <s v="PA/ACT/2210/0669"/>
    <s v="AL/2212/336961 -  04000314834 "/>
    <m/>
    <s v="Internet Corporate"/>
    <s v="60 Mbps"/>
    <m/>
    <n v="99900000"/>
    <m/>
    <m/>
    <m/>
    <n v="0.15"/>
    <d v="2025-05-21T00:00:00"/>
    <d v="2026-05-20T00:00:00"/>
    <x v="1"/>
    <m/>
    <d v="2025-12-24T00:00:00"/>
    <n v="147"/>
    <n v="5"/>
    <n v="2026"/>
    <m/>
    <m/>
    <m/>
    <s v="Syifa Fauziyah"/>
    <s v="Rita, Mario"/>
    <m/>
    <m/>
    <m/>
    <m/>
    <m/>
    <m/>
    <m/>
    <m/>
    <m/>
    <m/>
    <m/>
  </r>
  <r>
    <n v="2477"/>
    <s v="PT Megalopolis Manunggal"/>
    <s v="PT. COMTRONICS SYSTEMS"/>
    <s v="Kawasan Industri MM2100"/>
    <x v="1"/>
    <m/>
    <s v="PT. Hitachi Astemo Powertrain Systems Kawasan Industri MM 2100 Blok JJ No. 1, Jatiwangi,  Kec. Cikarang Bar.,  Kabupaten Bekasi,  Jawa Barat,  Indonesia,  17520"/>
    <s v="BAGI HASIL"/>
    <s v="Revenue Sharing"/>
    <s v="PA/ACT/2210/1250"/>
    <s v="AL/2208/244018 -  01000208269 "/>
    <m/>
    <s v="Metronet"/>
    <s v="40 Mbps"/>
    <m/>
    <n v="38400000"/>
    <m/>
    <m/>
    <m/>
    <n v="0.15"/>
    <d v="2025-05-21T00:00:00"/>
    <d v="2026-05-20T00:00:00"/>
    <x v="1"/>
    <m/>
    <d v="2025-12-24T00:00:00"/>
    <n v="147"/>
    <n v="5"/>
    <n v="2026"/>
    <m/>
    <m/>
    <m/>
    <s v="Syifa Fauziyah"/>
    <s v="Rita, Mario"/>
    <m/>
    <m/>
    <m/>
    <m/>
    <m/>
    <m/>
    <m/>
    <m/>
    <m/>
    <m/>
    <m/>
  </r>
  <r>
    <n v="2478"/>
    <s v="PT Megalopolis Manunggal"/>
    <s v="PT. APLIKANUSA LINTASARTA"/>
    <s v="Kawasan Industri MM2100"/>
    <x v="1"/>
    <m/>
    <s v="PT Ichikoh Indonesia, MM 2100 Industrial Town, Jl. Irian Blok LL1, Jatiwangi,  Kec. Cikarang Barat,  Kabupaten Bekasi,  Jawa Barat,  Indonesia,  17530"/>
    <s v="BAGI HASIL"/>
    <s v="Revenue Sharing"/>
    <s v="PA/ACT/2210/1173"/>
    <s v=" AL/2208/247493 -  01000218286"/>
    <m/>
    <s v="Metronet"/>
    <s v="40 Mbps"/>
    <m/>
    <n v="99600000"/>
    <m/>
    <m/>
    <m/>
    <n v="0.15"/>
    <d v="2025-05-21T00:00:00"/>
    <d v="2026-05-20T00:00:00"/>
    <x v="1"/>
    <m/>
    <d v="2025-12-24T00:00:00"/>
    <n v="147"/>
    <n v="5"/>
    <n v="2026"/>
    <m/>
    <m/>
    <m/>
    <s v="Syifa Fauziyah"/>
    <s v="Rita, Mario"/>
    <m/>
    <m/>
    <m/>
    <m/>
    <m/>
    <m/>
    <m/>
    <m/>
    <m/>
    <m/>
    <m/>
  </r>
  <r>
    <n v="2479"/>
    <s v="PT Megalopolis Manunggal"/>
    <s v="PT. HIPERNET INDODATA"/>
    <s v="Kawasan Industri MM2100"/>
    <x v="1"/>
    <m/>
    <s v="PT Toyota Auto Body Tokai Extrusion, Kawasan Industri MM2100, Jalan Irian Blok LL-3, Jatiwangi,  Kec. Cikarang Bar.,  Kabupaten Bekasi,  Jawa Barat,  Indonesia,  17530"/>
    <s v="BAGI HASIL"/>
    <s v="Revenue Sharing"/>
    <s v="PA/ACT/2209/3711"/>
    <s v="AL/2204/76947 - 01000195662"/>
    <m/>
    <s v="Metronet"/>
    <s v="20 Mbps"/>
    <m/>
    <n v="35400000"/>
    <m/>
    <m/>
    <m/>
    <n v="0.15"/>
    <d v="2025-05-21T00:00:00"/>
    <d v="2026-05-20T00:00:00"/>
    <x v="1"/>
    <m/>
    <d v="2025-12-24T00:00:00"/>
    <n v="147"/>
    <n v="5"/>
    <n v="2026"/>
    <m/>
    <m/>
    <m/>
    <s v="Syifa Fauziyah"/>
    <s v="Rita, Mario"/>
    <m/>
    <m/>
    <m/>
    <m/>
    <m/>
    <m/>
    <m/>
    <m/>
    <m/>
    <m/>
    <m/>
  </r>
  <r>
    <n v="2480"/>
    <s v="PT Megalopolis Manunggal"/>
    <s v="PT. SHINSEI DENSHI INDONESIA"/>
    <s v="Kawasan Industri MM2100"/>
    <x v="1"/>
    <m/>
    <s v="Kawasan MM 2100 Jl. Jawa Blok HH No. 4 , Jatiwangi,  Kec. Cikarang Barat,  Kabupaten Bekasi,  Jawa Barat,  Indonesia,  17520"/>
    <s v="BAGI HASIL"/>
    <s v="Revenue Sharing"/>
    <s v="PA/ACT/2206/16445"/>
    <s v="AL/2203/53988 - 04000187994 "/>
    <m/>
    <s v="Internet Corporate"/>
    <m/>
    <m/>
    <n v="120000000"/>
    <m/>
    <m/>
    <m/>
    <n v="0.15"/>
    <d v="2025-05-21T00:00:00"/>
    <d v="2026-05-20T00:00:00"/>
    <x v="1"/>
    <m/>
    <d v="2025-12-24T00:00:00"/>
    <n v="147"/>
    <n v="5"/>
    <n v="2026"/>
    <m/>
    <m/>
    <m/>
    <s v="Syifa Fauziyah"/>
    <s v="Rita, Mario"/>
    <m/>
    <m/>
    <m/>
    <m/>
    <m/>
    <m/>
    <m/>
    <m/>
    <m/>
    <m/>
    <m/>
  </r>
  <r>
    <n v="2481"/>
    <s v="PT Megalopolis Manunggal"/>
    <s v="PT. HIPERNET INDODATA"/>
    <s v="Kawasan Industri MM2100"/>
    <x v="1"/>
    <m/>
    <s v="PT. Shinto Kogyo Indonesia-Kawasan Industri MM2100, Jl. Bali Blok J No.17-2, Gandamekar,Kec. Cikarang Barat ,Kabupaten Bekasi ,Jawa Barat ,Indonesia ,17530   "/>
    <s v="BAGI HASIL"/>
    <s v="Revenue Sharing"/>
    <s v=" PA/ACT/2206/16168"/>
    <s v="AL/2206/142556 - 01000187621"/>
    <m/>
    <s v="Metronet"/>
    <m/>
    <m/>
    <n v="56700000"/>
    <m/>
    <m/>
    <m/>
    <n v="0.15"/>
    <d v="2025-05-21T00:00:00"/>
    <d v="2026-05-20T00:00:00"/>
    <x v="1"/>
    <m/>
    <d v="2025-12-24T00:00:00"/>
    <n v="147"/>
    <n v="5"/>
    <n v="2026"/>
    <m/>
    <m/>
    <m/>
    <s v="Syifa Fauziyah"/>
    <s v="Rita, Mario"/>
    <m/>
    <m/>
    <m/>
    <m/>
    <m/>
    <m/>
    <m/>
    <m/>
    <m/>
    <m/>
    <m/>
  </r>
  <r>
    <n v="2482"/>
    <s v="PT Megalopolis Manunggal"/>
    <s v="PT SHIBAURA SHEARING INDONESIA"/>
    <s v="Kawasan Industri MM2100"/>
    <x v="1"/>
    <m/>
    <s v="KAWASAN INDUSTRI MM2100, JALAN JAWA BLOK II, JATIWANGI, CIKARANG BARAT, BEKASI, JAWA BARAT 17530"/>
    <s v="BAGI HASIL"/>
    <s v="Revenue Sharing"/>
    <s v="PA/ACT/2203/1822 "/>
    <s v="A221303000063 - 1303000009"/>
    <m/>
    <s v="Internet Corporate"/>
    <s v="52 Mbps"/>
    <m/>
    <n v="94800000"/>
    <m/>
    <m/>
    <m/>
    <n v="0.15"/>
    <d v="2025-05-21T00:00:00"/>
    <d v="2026-05-20T00:00:00"/>
    <x v="1"/>
    <m/>
    <d v="2025-12-24T00:00:00"/>
    <n v="147"/>
    <n v="5"/>
    <n v="2026"/>
    <m/>
    <m/>
    <m/>
    <s v="Syifa Fauziyah"/>
    <s v="Rita, Mario"/>
    <m/>
    <m/>
    <m/>
    <m/>
    <m/>
    <m/>
    <m/>
    <m/>
    <m/>
    <m/>
    <m/>
  </r>
  <r>
    <n v="2483"/>
    <s v="PT Megalopolis Manunggal"/>
    <s v="PT VENDAMART RETAIL INDONESIA"/>
    <s v="Kawasan Industri MM2100"/>
    <x v="1"/>
    <m/>
    <s v="KAWASAN INDUSTRI MM2100 CIBITUNG MM2100 INDUSTRIAL TOWN, JL. IRIAN V BLOK KK-8, JATIWANGI, KEC. CIKARANG BAR., KABUPATEN BEKASI, JAWA BARAT"/>
    <s v="BAGI HASIL"/>
    <s v="Revenue Sharing"/>
    <s v="PA/ACT/2203/0942 "/>
    <s v="A821303000466 - 111303011349"/>
    <m/>
    <s v="internet corporate "/>
    <s v="10 Mbps"/>
    <m/>
    <n v="66000000"/>
    <m/>
    <m/>
    <m/>
    <n v="0.15"/>
    <d v="2025-05-21T00:00:00"/>
    <d v="2026-05-20T00:00:00"/>
    <x v="1"/>
    <m/>
    <d v="2025-12-24T00:00:00"/>
    <n v="147"/>
    <n v="5"/>
    <n v="2026"/>
    <m/>
    <m/>
    <m/>
    <s v="Syifa Fauziyah"/>
    <s v="Rita, Mario"/>
    <m/>
    <m/>
    <m/>
    <m/>
    <m/>
    <m/>
    <m/>
    <m/>
    <m/>
    <m/>
    <m/>
  </r>
  <r>
    <n v="2484"/>
    <s v="PT Megalopolis Manunggal"/>
    <s v="PT. IFORTE SOLUSI INFOTEK "/>
    <s v="Kawasan Industri MM2100"/>
    <x v="1"/>
    <m/>
    <s v="JL. IRIAN V BLOK KK-8, JATIWANGI, KEC. CIKARANG"/>
    <s v="BAGI HASIL"/>
    <s v="Revenue Sharing"/>
    <s v="PA/ACT/2201/2528"/>
    <s v="A821202001002 - 111202018838"/>
    <m/>
    <s v="Metronet"/>
    <s v="10 Mbps"/>
    <m/>
    <n v="48000000"/>
    <m/>
    <m/>
    <m/>
    <n v="0.15"/>
    <d v="2025-05-21T00:00:00"/>
    <d v="2026-05-20T00:00:00"/>
    <x v="1"/>
    <m/>
    <d v="2025-12-24T00:00:00"/>
    <n v="147"/>
    <n v="5"/>
    <n v="2026"/>
    <m/>
    <m/>
    <m/>
    <s v="Syifa Fauziyah"/>
    <s v="Rita, Mario"/>
    <m/>
    <m/>
    <m/>
    <m/>
    <m/>
    <m/>
    <m/>
    <m/>
    <m/>
    <m/>
    <m/>
  </r>
  <r>
    <n v="2485"/>
    <s v="PT Megalopolis Manunggal"/>
    <s v="PT CIPTA TELEKOMUNIKASI MANDIRI "/>
    <s v="Kawasan Industri MM2100"/>
    <x v="1"/>
    <m/>
    <s v="JL. KW. INDUSTRI, GANDAMEKAR, KEC. CIKARANG BAR., KABUPATEN BEKASI, JAWA BARAT 17620"/>
    <s v="BAGI HASIL"/>
    <s v="Revenue Sharing"/>
    <s v="PA/ACT/2201/1715 "/>
    <s v="A111303003368 - 111303012943"/>
    <m/>
    <s v="internet corporate"/>
    <s v="52 Mbps"/>
    <m/>
    <n v="48000000"/>
    <m/>
    <m/>
    <m/>
    <n v="0.15"/>
    <d v="2025-05-21T00:00:00"/>
    <d v="2026-05-20T00:00:00"/>
    <x v="1"/>
    <m/>
    <d v="2025-12-24T00:00:00"/>
    <n v="147"/>
    <n v="5"/>
    <n v="2026"/>
    <m/>
    <m/>
    <m/>
    <s v="Syifa Fauziyah"/>
    <s v="Rita, Mario"/>
    <m/>
    <m/>
    <m/>
    <m/>
    <m/>
    <m/>
    <m/>
    <m/>
    <m/>
    <m/>
    <m/>
  </r>
  <r>
    <n v="2486"/>
    <s v="PT Megalopolis Manunggal"/>
    <s v="ASTRA HONDA MOTOR"/>
    <s v="Kawasan Industri MM2100"/>
    <x v="1"/>
    <m/>
    <s v="CIKARANG (PLANT 3) JL. RAYA KALIMANTAN BLOK AA-1 KAWASAN INDUSTRI MM2100 CIKARANG BARAT, BEKASI, CIKARANG, KABUPATEN BEKASI, JAWA BARAT, INDONESIA, 17"/>
    <s v="BAGI HASIL"/>
    <s v="Revenue Sharing"/>
    <m/>
    <s v="110120201929 - 01000002848"/>
    <m/>
    <s v="Metronet"/>
    <s v="300 Mbps"/>
    <m/>
    <n v="348000000"/>
    <m/>
    <m/>
    <m/>
    <n v="0.15"/>
    <d v="2025-05-21T00:00:00"/>
    <d v="2026-05-20T00:00:00"/>
    <x v="1"/>
    <m/>
    <d v="2025-12-24T00:00:00"/>
    <n v="147"/>
    <n v="5"/>
    <n v="2026"/>
    <m/>
    <m/>
    <m/>
    <s v="Syifa Fauziyah"/>
    <s v="Rita, Mario"/>
    <m/>
    <m/>
    <m/>
    <m/>
    <m/>
    <m/>
    <m/>
    <m/>
    <m/>
    <m/>
    <m/>
  </r>
  <r>
    <n v="2487"/>
    <s v="PT Megalopolis Manunggal"/>
    <s v="PT. SOLUSINDO BINTANG PRATAMA"/>
    <s v="Kawasan Industri MM2100"/>
    <x v="1"/>
    <s v=" "/>
    <s v="PT. Kojin Indonesia, Block Ll-8-1 Mm2100 Industrial Town Cikarang Barat Bekasi, Jatiwangi, West Cikarang, Bekasi, West Java 17530 "/>
    <s v="BAGI HASIL"/>
    <s v="Revenue Sharing"/>
    <m/>
    <s v="110120205774 - 01000143987"/>
    <m/>
    <s v="Metronet "/>
    <s v="10 Mbps"/>
    <m/>
    <n v="30000000"/>
    <m/>
    <m/>
    <m/>
    <n v="0.15"/>
    <d v="2025-05-21T00:00:00"/>
    <d v="2026-05-20T00:00:00"/>
    <x v="1"/>
    <m/>
    <d v="2025-12-24T00:00:00"/>
    <n v="147"/>
    <n v="5"/>
    <n v="2026"/>
    <m/>
    <m/>
    <m/>
    <s v="Syifa Fauziyah"/>
    <s v="Rita, Mario"/>
    <m/>
    <m/>
    <m/>
    <m/>
    <m/>
    <m/>
    <m/>
    <m/>
    <m/>
    <m/>
    <m/>
  </r>
  <r>
    <n v="2488"/>
    <s v="PT Megalopolis Manunggal"/>
    <s v="PT. NETTOCYBER INDONESIA"/>
    <s v="Kawasan Industri MM2100"/>
    <x v="1"/>
    <s v="KOTA JAKARTA SELATAN, KUNINGAN TIMUR, SETIA BUDI, DKI JAKARTA"/>
    <s v="PT. LG Electronics Indonesia, Block - G, MM2100 Industrial Town"/>
    <s v="BAGI HASIL"/>
    <s v="Revenue Sharing"/>
    <m/>
    <s v="110120213519 - '01000172108"/>
    <m/>
    <s v="Metronet "/>
    <s v="1 Gbps"/>
    <m/>
    <n v="396000000"/>
    <m/>
    <m/>
    <m/>
    <n v="0.15"/>
    <d v="2025-05-21T00:00:00"/>
    <d v="2026-05-20T00:00:00"/>
    <x v="1"/>
    <m/>
    <d v="2025-12-24T00:00:00"/>
    <n v="147"/>
    <n v="5"/>
    <n v="2026"/>
    <m/>
    <m/>
    <m/>
    <s v="Syifa Fauziyah"/>
    <s v="Rita, Mario"/>
    <m/>
    <m/>
    <m/>
    <m/>
    <m/>
    <m/>
    <m/>
    <m/>
    <m/>
    <m/>
    <m/>
  </r>
  <r>
    <n v="2489"/>
    <s v="PT Megalopolis Manunggal"/>
    <s v="PT. APLIKANUSA LINTASARTA"/>
    <s v="Kawasan Industri MM2100"/>
    <x v="1"/>
    <s v="LA TBS"/>
    <s v="PT. WAHANA DIRGANTARA KAWASAN INDUSTRI MM-2100 BLOK H-7-1 BEKASI (2011007138) "/>
    <s v="BAGI HASIL"/>
    <s v="Revenue Sharing"/>
    <m/>
    <s v="0990000020273074"/>
    <m/>
    <s v="Metronet "/>
    <s v="4 Mbps"/>
    <m/>
    <n v="64800000"/>
    <m/>
    <m/>
    <m/>
    <n v="0.15"/>
    <d v="2025-05-21T00:00:00"/>
    <d v="2026-05-20T00:00:00"/>
    <x v="1"/>
    <m/>
    <d v="2025-12-24T00:00:00"/>
    <n v="147"/>
    <n v="5"/>
    <n v="2026"/>
    <m/>
    <m/>
    <m/>
    <s v="Syifa Fauziyah"/>
    <s v="Rita, Mario"/>
    <m/>
    <m/>
    <m/>
    <m/>
    <m/>
    <m/>
    <m/>
    <m/>
    <m/>
    <m/>
    <m/>
  </r>
  <r>
    <n v="2490"/>
    <s v="PT Megalopolis Manunggal"/>
    <s v="PT. APLIKANUSA LINTASARTA"/>
    <s v="Kawasan Industri MM2100"/>
    <x v="1"/>
    <s v="LA TBS"/>
    <s v="PT. Mandom Indonesia, Kawasan Industri MM2100 Blok PP, Jalan Irian, Jatiwangi"/>
    <s v="BAGI HASIL"/>
    <s v="Revenue Sharing"/>
    <m/>
    <s v="01000070275"/>
    <m/>
    <s v="Metro "/>
    <s v="10 Mbps"/>
    <m/>
    <n v="76950000"/>
    <m/>
    <m/>
    <m/>
    <n v="0.15"/>
    <d v="2025-05-21T00:00:00"/>
    <d v="2026-05-20T00:00:00"/>
    <x v="1"/>
    <m/>
    <d v="2025-12-24T00:00:00"/>
    <n v="147"/>
    <n v="5"/>
    <n v="2026"/>
    <m/>
    <m/>
    <m/>
    <s v="Syifa Fauziyah"/>
    <s v="Rita, Mario"/>
    <m/>
    <m/>
    <m/>
    <m/>
    <m/>
    <m/>
    <m/>
    <m/>
    <m/>
    <m/>
    <m/>
  </r>
  <r>
    <n v="2491"/>
    <s v="PT Megalopolis Manunggal"/>
    <s v="PT. HIPERNET INDODATA  "/>
    <s v="Kawasan Industri MM2100"/>
    <x v="1"/>
    <s v=" "/>
    <s v="PT. Jotun Indonesia, Kawasan Industri MM2100 Blok KK-1"/>
    <s v="BAGI HASIL"/>
    <s v="Revenue Sharing"/>
    <m/>
    <s v="01000076040"/>
    <m/>
    <s v="Metronet "/>
    <s v="80 Mbps"/>
    <m/>
    <n v="63600000"/>
    <m/>
    <m/>
    <m/>
    <n v="0.15"/>
    <d v="2025-05-21T00:00:00"/>
    <d v="2026-05-20T00:00:00"/>
    <x v="1"/>
    <m/>
    <d v="2025-12-24T00:00:00"/>
    <n v="147"/>
    <n v="5"/>
    <n v="2026"/>
    <m/>
    <m/>
    <m/>
    <s v="Syifa Fauziyah"/>
    <s v="Rita, Mario"/>
    <m/>
    <m/>
    <m/>
    <m/>
    <m/>
    <m/>
    <m/>
    <m/>
    <m/>
    <m/>
    <m/>
  </r>
  <r>
    <n v="2492"/>
    <s v="PT Megalopolis Manunggal"/>
    <s v="PT Netmarks Indonesia"/>
    <s v="Kawasan Industri MM2100"/>
    <x v="1"/>
    <s v=" "/>
    <s v=" PT. Yamaha Motor Mold Indonesia Jalan Irian XIII Blok QQ"/>
    <s v="BAGI HASIL"/>
    <s v="Revenue Sharing"/>
    <m/>
    <s v="04000354882"/>
    <m/>
    <s v="internet corp "/>
    <s v="10 Mbps"/>
    <m/>
    <n v="72000000"/>
    <m/>
    <m/>
    <m/>
    <n v="0.15"/>
    <d v="2025-05-21T00:00:00"/>
    <d v="2026-05-20T00:00:00"/>
    <x v="1"/>
    <m/>
    <d v="2025-12-24T00:00:00"/>
    <n v="147"/>
    <n v="5"/>
    <n v="2026"/>
    <m/>
    <m/>
    <m/>
    <s v="Syifa Fauziyah"/>
    <s v="Rita, Mario"/>
    <m/>
    <m/>
    <m/>
    <m/>
    <m/>
    <m/>
    <m/>
    <m/>
    <m/>
    <m/>
    <m/>
  </r>
  <r>
    <n v="2493"/>
    <s v="PT Megalopolis Manunggal"/>
    <s v="PT. PERTAMINA GAS"/>
    <s v="Kawasan Industri MM2100"/>
    <x v="1"/>
    <s v=" "/>
    <s v="Kawasan Industri MM2100 Jl. Jawa, Gandamekar, Kec. Cikarang Barat, Bekasi, Jawa Barat 17530"/>
    <s v="BAGI HASIL"/>
    <s v="Revenue Sharing"/>
    <m/>
    <s v="01000146610"/>
    <m/>
    <s v="IPVPN "/>
    <s v="512 Kbps"/>
    <m/>
    <n v="19449000"/>
    <m/>
    <m/>
    <m/>
    <n v="0.15"/>
    <d v="2025-05-21T00:00:00"/>
    <d v="2026-05-20T00:00:00"/>
    <x v="1"/>
    <m/>
    <d v="2025-12-24T00:00:00"/>
    <n v="147"/>
    <n v="5"/>
    <n v="2026"/>
    <m/>
    <m/>
    <m/>
    <s v="Syifa Fauziyah"/>
    <s v="Rita, Mario"/>
    <m/>
    <m/>
    <m/>
    <m/>
    <m/>
    <m/>
    <m/>
    <m/>
    <m/>
    <m/>
    <m/>
  </r>
  <r>
    <n v="2494"/>
    <s v="PT Megalopolis Manunggal"/>
    <s v="PT. PARSAORAN GLOBAL DATATRANS"/>
    <s v="Kawasan Industri MM2100"/>
    <x v="1"/>
    <s v=" "/>
    <s v="PT SUGITY CIKARANG JL. BALI BLOK J NO. 17-20 KAWASAN INDUSTRI MM2100, CIKARANG BARAT"/>
    <s v="BAGI HASIL"/>
    <s v="Revenue Sharing"/>
    <m/>
    <s v="110120204034 - 01000144258"/>
    <m/>
    <s v="Metronet "/>
    <s v="50 Mbps"/>
    <m/>
    <n v="96000000"/>
    <m/>
    <m/>
    <m/>
    <n v="0.15"/>
    <d v="2025-05-21T00:00:00"/>
    <d v="2026-05-20T00:00:00"/>
    <x v="1"/>
    <m/>
    <d v="2025-12-24T00:00:00"/>
    <n v="147"/>
    <n v="5"/>
    <n v="2026"/>
    <m/>
    <m/>
    <m/>
    <s v="Syifa Fauziyah"/>
    <s v="Rita, Mario"/>
    <m/>
    <m/>
    <m/>
    <m/>
    <m/>
    <m/>
    <m/>
    <m/>
    <m/>
    <m/>
    <m/>
  </r>
  <r>
    <n v="2495"/>
    <s v="PT Megalopolis Manunggal"/>
    <s v="PT. COMTRONICS SYSTEMS "/>
    <s v="Kawasan Industri MM2100"/>
    <x v="1"/>
    <s v="IDC DUREN TIGA, PANCORAN, KOTA JAKARTA SELATAN, DKI JAKARTA"/>
    <s v="PT. NSK Bearing Manufacturing Indonesia, Kawasan Berikat MM2100 Blok M4, Gandamekar"/>
    <s v="BAGI HASIL"/>
    <s v="Revenue Sharing"/>
    <m/>
    <s v="01000049639"/>
    <m/>
    <s v="METRO P2MP "/>
    <s v="10 Mbps"/>
    <m/>
    <n v="58200000"/>
    <m/>
    <m/>
    <m/>
    <n v="0.15"/>
    <d v="2025-05-21T00:00:00"/>
    <d v="2026-05-20T00:00:00"/>
    <x v="1"/>
    <m/>
    <d v="2025-12-24T00:00:00"/>
    <n v="147"/>
    <n v="5"/>
    <n v="2026"/>
    <m/>
    <m/>
    <m/>
    <s v="Syifa Fauziyah"/>
    <s v="Rita, Mario"/>
    <m/>
    <m/>
    <m/>
    <m/>
    <m/>
    <m/>
    <m/>
    <m/>
    <m/>
    <m/>
    <m/>
  </r>
  <r>
    <n v="2496"/>
    <s v="PT Megalopolis Manunggal"/>
    <s v="PT ASTRA OTOPARTS"/>
    <s v="Kawasan Industri MM2100"/>
    <x v="1"/>
    <s v="Depo Cibitung,Kawasan MM2100,Jl.Jawa Blok M-31 Cibitung,Bekasi"/>
    <s v="Collocation Server Astra Otoparts,Gedung AAB,Jl.TB Simatupang,Jakarta"/>
    <s v="BAGI HASIL"/>
    <s v="Revenue Sharing"/>
    <s v="PA/UPG/2208/0127"/>
    <s v="PA/UPG/2208/0127 - AL/2210/312450 - 0110120201945 / 0990000020278468"/>
    <m/>
    <s v="Metronet"/>
    <m/>
    <m/>
    <n v="162000000"/>
    <m/>
    <m/>
    <m/>
    <n v="0.15"/>
    <d v="2026-05-21T00:00:00"/>
    <d v="2027-05-20T00:00:00"/>
    <x v="1"/>
    <m/>
    <d v="2025-12-24T00:00:00"/>
    <n v="512"/>
    <n v="5"/>
    <n v="2027"/>
    <m/>
    <m/>
    <m/>
    <s v="Syifa Fauziyah"/>
    <s v="Rita, Mario"/>
    <m/>
    <m/>
    <m/>
    <m/>
    <m/>
    <m/>
    <m/>
    <m/>
    <m/>
    <m/>
    <m/>
  </r>
  <r>
    <n v="2497"/>
    <s v="PT Megalopolis Manunggal"/>
    <s v="PT. FABER-CASTELL INTERNATIONAL INDONESIA"/>
    <s v="Kawasan Industri MM2100"/>
    <x v="1"/>
    <s v="PT Sanken MM2100 Industrial Town,Block GG-8,Cikarang Barat,Bekasi 17520,West Java,Indonesia (ID JAR 2013004247)"/>
    <s v="Sentra Latumenten Blok AA-10 Jln Prof Dr Latumenten no 50 JAKARTA 11460 (BACKHAUL )"/>
    <s v="BAGI HASIL"/>
    <s v="Revenue Sharing"/>
    <m/>
    <s v="110130305323 / 04000167262"/>
    <m/>
    <s v="Metronet"/>
    <m/>
    <m/>
    <n v="30000000"/>
    <m/>
    <m/>
    <m/>
    <n v="0.15"/>
    <d v="2026-05-21T00:00:00"/>
    <d v="2027-05-20T00:00:00"/>
    <x v="1"/>
    <m/>
    <d v="2025-12-24T00:00:00"/>
    <n v="512"/>
    <n v="5"/>
    <n v="2027"/>
    <m/>
    <m/>
    <m/>
    <s v="Syifa Fauziyah"/>
    <s v="Rita, Mario"/>
    <m/>
    <m/>
    <m/>
    <m/>
    <m/>
    <m/>
    <m/>
    <m/>
    <m/>
    <m/>
    <m/>
  </r>
  <r>
    <n v="2498"/>
    <s v="PT Megalopolis Manunggal"/>
    <s v="KANSAI PAINT INDONESIA"/>
    <s v="Kawasan Industri MM2100"/>
    <x v="1"/>
    <s v="Kawasan Industri MM2100, Jln Irian bl 003 DS Jatiwangi,cibitung Bekasi, Jawa Barat 17520 (BACKUP BACKHAUL)   "/>
    <s v="PT. Kansai Paint Indonesia, Kawasan Industri MM2100 Blok DD-7 dan DD-6 Desa Danau Indah, Cikarang Barat 17520 "/>
    <s v="BAGI HASIL"/>
    <s v="Revenue Sharing"/>
    <s v="AL/2201/17342"/>
    <s v="AL/2108/69293 - 110130306001 / 0990000320518831"/>
    <m/>
    <s v="Metronet"/>
    <m/>
    <m/>
    <n v="156000000"/>
    <m/>
    <m/>
    <m/>
    <n v="0.15"/>
    <d v="2026-05-21T00:00:00"/>
    <d v="2027-05-20T00:00:00"/>
    <x v="1"/>
    <m/>
    <d v="2025-12-24T00:00:00"/>
    <n v="512"/>
    <n v="5"/>
    <n v="2027"/>
    <m/>
    <m/>
    <m/>
    <s v="Syifa Fauziyah"/>
    <s v="Rita, Mario"/>
    <m/>
    <m/>
    <m/>
    <m/>
    <m/>
    <m/>
    <m/>
    <m/>
    <m/>
    <m/>
    <m/>
  </r>
  <r>
    <n v="2499"/>
    <s v="PT Megalopolis Manunggal"/>
    <s v="PT MITSUBA INDONESIA PIPE PARTS"/>
    <s v="Kawasan Industri MM2100"/>
    <x v="1"/>
    <s v="-"/>
    <s v="PT. Mitsuba Indonesia Pipe Parts, Kawasan Industri MM2100 Blok NN-12, Cikarang Barat, Bekasi 17520 Indonesia"/>
    <s v="BAGI HASIL"/>
    <s v="Revenue Sharing"/>
    <s v="PA/UPG/2106/0236"/>
    <s v="AL/1907/24929 - 110130306172 / 060000094260001"/>
    <m/>
    <s v="internet corporate"/>
    <s v="15 Mbps"/>
    <m/>
    <n v="84000000"/>
    <m/>
    <m/>
    <m/>
    <n v="0.15"/>
    <d v="2026-05-21T00:00:00"/>
    <d v="2027-05-20T00:00:00"/>
    <x v="1"/>
    <m/>
    <d v="2025-12-24T00:00:00"/>
    <n v="512"/>
    <n v="5"/>
    <n v="2027"/>
    <m/>
    <m/>
    <m/>
    <s v="Syifa Fauziyah"/>
    <s v="Rita, Mario"/>
    <m/>
    <m/>
    <m/>
    <m/>
    <m/>
    <m/>
    <m/>
    <m/>
    <m/>
    <m/>
    <m/>
  </r>
  <r>
    <n v="2500"/>
    <s v="PT Megalopolis Manunggal"/>
    <s v="PT Tirta Alam Segar"/>
    <s v="Kawasan Industri MM2100"/>
    <x v="1"/>
    <s v="-"/>
    <s v="PT Tirta alam segar,Kawasan industri mm2100,Jln kalangan kav b1-2,Cikarang barat-bekasi"/>
    <s v="BAGI HASIL"/>
    <s v="Revenue Sharing"/>
    <s v="PA/UPG/1905/0161"/>
    <s v="AL/2101/0067 - 110130304776 / 0990000320471999"/>
    <m/>
    <s v="internet corporate"/>
    <s v="30 Mbps"/>
    <m/>
    <n v="84000000"/>
    <m/>
    <m/>
    <m/>
    <n v="0.15"/>
    <d v="2026-05-21T00:00:00"/>
    <d v="2027-05-20T00:00:00"/>
    <x v="1"/>
    <m/>
    <d v="2025-12-24T00:00:00"/>
    <n v="512"/>
    <n v="5"/>
    <n v="2027"/>
    <m/>
    <m/>
    <m/>
    <s v="Syifa Fauziyah"/>
    <s v="Rita, Mario"/>
    <m/>
    <m/>
    <m/>
    <m/>
    <m/>
    <m/>
    <m/>
    <m/>
    <m/>
    <m/>
    <m/>
  </r>
  <r>
    <n v="2501"/>
    <s v="PT Megalopolis Manunggal"/>
    <s v="PT HANKYU HANSHIN LOGISTICS INDONESIA"/>
    <s v="Kawasan Industri MM2100"/>
    <x v="1"/>
    <s v="-"/>
    <s v="Kawasan Industri MM2100 Jl. Bali Block O 1-2 Cikarang Barat Bekasi – Jawa Barat 17520"/>
    <s v="BAGI HASIL"/>
    <s v="Revenue Sharing"/>
    <s v="PA/UPG/2012/0044 "/>
    <s v="AL/2105/32686 - 0990000320455374"/>
    <m/>
    <s v="Internet corporate"/>
    <s v="20 Mbps"/>
    <m/>
    <n v="120000000"/>
    <m/>
    <m/>
    <m/>
    <n v="0.15"/>
    <d v="2026-05-21T00:00:00"/>
    <d v="2027-05-20T00:00:00"/>
    <x v="1"/>
    <m/>
    <d v="2025-12-24T00:00:00"/>
    <n v="512"/>
    <n v="5"/>
    <n v="2027"/>
    <m/>
    <m/>
    <m/>
    <s v="Syifa Fauziyah"/>
    <s v="Rita, Mario"/>
    <m/>
    <m/>
    <m/>
    <m/>
    <m/>
    <m/>
    <m/>
    <m/>
    <m/>
    <m/>
    <m/>
  </r>
  <r>
    <n v="2502"/>
    <s v="PT Megalopolis Manunggal"/>
    <s v="TOYOTA TSUSHO LOGISTIC CENTER"/>
    <s v="Kawasan Industri MM2100"/>
    <x v="1"/>
    <s v="-"/>
    <s v="Kawasan Industri MM2100 Jl. Irian V Blok. KK-8 Cibitung Bekasi 17520"/>
    <s v="BAGI HASIL"/>
    <s v="Revenue Sharing"/>
    <s v="PA/UPG/2211/0140"/>
    <s v="AL/2204/76781 - 110130306132 / 170000073260003"/>
    <m/>
    <s v="Internet Corporate"/>
    <s v="100 Mbps"/>
    <m/>
    <n v="252000000"/>
    <m/>
    <m/>
    <m/>
    <n v="0.15"/>
    <d v="2026-05-21T00:00:00"/>
    <d v="2027-05-20T00:00:00"/>
    <x v="1"/>
    <m/>
    <d v="2025-12-24T00:00:00"/>
    <n v="512"/>
    <n v="5"/>
    <n v="2027"/>
    <m/>
    <m/>
    <m/>
    <s v="Syifa Fauziyah"/>
    <s v="Rita, Mario"/>
    <m/>
    <m/>
    <m/>
    <m/>
    <m/>
    <m/>
    <m/>
    <m/>
    <m/>
    <m/>
    <m/>
  </r>
  <r>
    <n v="2503"/>
    <s v="PT Megalopolis Manunggal"/>
    <s v="PT. COMTRONICS SYSTEMS"/>
    <s v="Kawasan Industri MM2100"/>
    <x v="1"/>
    <s v="-"/>
    <s v="Rayovac Battery Indonesia, PT site Hanggar Bea Cukai Jl. Irian Blok MM 1 MM2100, Jatiwangi,  Kec. Cikarang Bar.,,  Kabupaten Bekasi,  Jawa Barat,  Indonesia,  17520"/>
    <s v="BAGI HASIL"/>
    <s v="Revenue Sharing"/>
    <s v="PA/UPG/2104/0211"/>
    <s v="AL/2212/340046 - 110120210182 / 01000313204"/>
    <m/>
    <s v="Metronet"/>
    <s v="5 Mbps"/>
    <m/>
    <n v="33600000"/>
    <m/>
    <m/>
    <m/>
    <n v="0.15"/>
    <d v="2026-05-21T00:00:00"/>
    <d v="2027-05-20T00:00:00"/>
    <x v="1"/>
    <m/>
    <d v="2025-12-24T00:00:00"/>
    <n v="512"/>
    <n v="5"/>
    <n v="2027"/>
    <m/>
    <m/>
    <m/>
    <s v="Syifa Fauziyah"/>
    <s v="Rita, Mario"/>
    <m/>
    <m/>
    <m/>
    <m/>
    <m/>
    <m/>
    <m/>
    <m/>
    <m/>
    <m/>
    <m/>
  </r>
  <r>
    <n v="2504"/>
    <s v="PT Megalopolis Manunggal"/>
    <s v="PT. ICHIKOH INDONESIA"/>
    <s v="Kawasan Industri MM2100"/>
    <x v="1"/>
    <s v="-"/>
    <s v="MM 2100 Industrial Town - Jl. Irian Blok LL1, Jatiwangi,  Kec. Cikarang Barat,  Kabupaten Bekasi,  Jawa Barat,  Indonesia,  17530"/>
    <s v="BAGI HASIL"/>
    <s v="Revenue Sharing"/>
    <s v="PA/DOW/2203/0051"/>
    <s v="AL/2212/336962 - 04000314835 "/>
    <m/>
    <s v="Internet Corporate"/>
    <s v="100 Mbps"/>
    <m/>
    <n v="151200000"/>
    <m/>
    <m/>
    <m/>
    <n v="0.15"/>
    <d v="2026-05-21T00:00:00"/>
    <d v="2027-05-20T00:00:00"/>
    <x v="1"/>
    <m/>
    <d v="2025-12-24T00:00:00"/>
    <n v="512"/>
    <n v="5"/>
    <n v="2027"/>
    <m/>
    <m/>
    <m/>
    <s v="Syifa Fauziyah"/>
    <s v="Rita, Mario"/>
    <m/>
    <m/>
    <m/>
    <m/>
    <m/>
    <m/>
    <m/>
    <m/>
    <m/>
    <m/>
    <m/>
  </r>
  <r>
    <n v="2505"/>
    <s v="PT Megalopolis Manunggal"/>
    <s v="PT. ICHIKOH INDONESIA"/>
    <s v="Kawasan Industri MM2100"/>
    <x v="1"/>
    <s v="IDC Duren 3 Lantai 3, Rack 26. Jl. Duren Tiga Raya No.7, RT.9/RW.5, Duren Tiga,  Kec. Pancoran,  Jakarta Selatan,  DKI Jakarta,  Indonesia,  12760"/>
    <s v="MM 2100 Industrial Town - Jl. Irian Blok LL1, Jatiwangi,  Kec. Cikarang Barat,  Kabupaten Bekasi,  Jawa Barat,  Indonesia,  17530"/>
    <s v="BAGI HASIL"/>
    <s v="Revenue Sharing"/>
    <s v="PA/ACT/2210/0669"/>
    <s v="AL/2212/336961 -  04000314834 "/>
    <m/>
    <s v="Internet Corporate"/>
    <s v="60 Mbps"/>
    <m/>
    <n v="99900000"/>
    <m/>
    <m/>
    <m/>
    <n v="0.15"/>
    <d v="2026-05-21T00:00:00"/>
    <d v="2027-05-20T00:00:00"/>
    <x v="1"/>
    <m/>
    <d v="2025-12-24T00:00:00"/>
    <n v="512"/>
    <n v="5"/>
    <n v="2027"/>
    <m/>
    <m/>
    <m/>
    <s v="Syifa Fauziyah"/>
    <s v="Rita, Mario"/>
    <m/>
    <m/>
    <m/>
    <m/>
    <m/>
    <m/>
    <m/>
    <m/>
    <m/>
    <m/>
    <m/>
  </r>
  <r>
    <n v="2506"/>
    <s v="PT Megalopolis Manunggal"/>
    <s v="PT. COMTRONICS SYSTEMS"/>
    <s v="Kawasan Industri MM2100"/>
    <x v="1"/>
    <m/>
    <s v="PT. Hitachi Astemo Powertrain Systems Kawasan Industri MM 2100 Blok JJ No. 1, Jatiwangi,  Kec. Cikarang Bar.,  Kabupaten Bekasi,  Jawa Barat,  Indonesia,  17520"/>
    <s v="BAGI HASIL"/>
    <s v="Revenue Sharing"/>
    <s v="PA/ACT/2210/1250"/>
    <s v="AL/2208/244018 -  01000208269 "/>
    <m/>
    <s v="Metronet"/>
    <s v="40 Mbps"/>
    <m/>
    <n v="38400000"/>
    <m/>
    <m/>
    <m/>
    <n v="0.15"/>
    <d v="2026-05-21T00:00:00"/>
    <d v="2027-05-20T00:00:00"/>
    <x v="1"/>
    <m/>
    <d v="2025-12-24T00:00:00"/>
    <n v="512"/>
    <n v="5"/>
    <n v="2027"/>
    <m/>
    <m/>
    <m/>
    <s v="Syifa Fauziyah"/>
    <s v="Rita, Mario"/>
    <m/>
    <m/>
    <m/>
    <m/>
    <m/>
    <m/>
    <m/>
    <m/>
    <m/>
    <m/>
    <m/>
  </r>
  <r>
    <n v="2507"/>
    <s v="PT Megalopolis Manunggal"/>
    <s v="PT. APLIKANUSA LINTASARTA"/>
    <s v="Kawasan Industri MM2100"/>
    <x v="1"/>
    <m/>
    <s v="PT Ichikoh Indonesia, MM 2100 Industrial Town, Jl. Irian Blok LL1, Jatiwangi,  Kec. Cikarang Barat,  Kabupaten Bekasi,  Jawa Barat,  Indonesia,  17530"/>
    <s v="BAGI HASIL"/>
    <s v="Revenue Sharing"/>
    <s v="PA/ACT/2210/1173"/>
    <s v=" AL/2208/247493 -  01000218286"/>
    <m/>
    <s v="Metronet"/>
    <s v="40 Mbps"/>
    <m/>
    <n v="99600000"/>
    <m/>
    <m/>
    <m/>
    <n v="0.15"/>
    <d v="2026-05-21T00:00:00"/>
    <d v="2027-05-20T00:00:00"/>
    <x v="1"/>
    <m/>
    <d v="2025-12-24T00:00:00"/>
    <n v="512"/>
    <n v="5"/>
    <n v="2027"/>
    <m/>
    <m/>
    <m/>
    <s v="Syifa Fauziyah"/>
    <s v="Rita, Mario"/>
    <m/>
    <m/>
    <m/>
    <m/>
    <m/>
    <m/>
    <m/>
    <m/>
    <m/>
    <m/>
    <m/>
  </r>
  <r>
    <n v="2508"/>
    <s v="PT Megalopolis Manunggal"/>
    <s v="PT. HIPERNET INDODATA"/>
    <s v="Kawasan Industri MM2100"/>
    <x v="1"/>
    <m/>
    <s v="PT Toyota Auto Body Tokai Extrusion, Kawasan Industri MM2100, Jalan Irian Blok LL-3, Jatiwangi,  Kec. Cikarang Bar.,  Kabupaten Bekasi,  Jawa Barat,  Indonesia,  17530"/>
    <s v="BAGI HASIL"/>
    <s v="Revenue Sharing"/>
    <s v="PA/ACT/2209/3711"/>
    <s v="AL/2204/76947 - 01000195662"/>
    <m/>
    <s v="Metronet"/>
    <s v="20 Mbps"/>
    <m/>
    <n v="35400000"/>
    <m/>
    <m/>
    <m/>
    <n v="0.15"/>
    <d v="2026-05-21T00:00:00"/>
    <d v="2027-05-20T00:00:00"/>
    <x v="1"/>
    <m/>
    <d v="2025-12-24T00:00:00"/>
    <n v="512"/>
    <n v="5"/>
    <n v="2027"/>
    <m/>
    <m/>
    <m/>
    <s v="Syifa Fauziyah"/>
    <s v="Rita, Mario"/>
    <m/>
    <m/>
    <m/>
    <m/>
    <m/>
    <m/>
    <m/>
    <m/>
    <m/>
    <m/>
    <m/>
  </r>
  <r>
    <n v="2509"/>
    <s v="PT Megalopolis Manunggal"/>
    <s v="PT. SHINSEI DENSHI INDONESIA"/>
    <s v="Kawasan Industri MM2100"/>
    <x v="1"/>
    <m/>
    <s v="Kawasan MM 2100 Jl. Jawa Blok HH No. 4 , Jatiwangi,  Kec. Cikarang Barat,  Kabupaten Bekasi,  Jawa Barat,  Indonesia,  17520"/>
    <s v="BAGI HASIL"/>
    <s v="Revenue Sharing"/>
    <s v="PA/ACT/2206/16445"/>
    <s v="AL/2203/53988 - 04000187994 "/>
    <m/>
    <s v="Internet Corporate"/>
    <m/>
    <m/>
    <n v="120000000"/>
    <m/>
    <m/>
    <m/>
    <n v="0.15"/>
    <d v="2026-05-21T00:00:00"/>
    <d v="2027-05-20T00:00:00"/>
    <x v="1"/>
    <m/>
    <d v="2025-12-24T00:00:00"/>
    <n v="512"/>
    <n v="5"/>
    <n v="2027"/>
    <m/>
    <m/>
    <m/>
    <s v="Syifa Fauziyah"/>
    <s v="Rita, Mario"/>
    <m/>
    <m/>
    <m/>
    <m/>
    <m/>
    <m/>
    <m/>
    <m/>
    <m/>
    <m/>
    <m/>
  </r>
  <r>
    <n v="2510"/>
    <s v="PT Megalopolis Manunggal"/>
    <s v="PT. HIPERNET INDODATA"/>
    <s v="Kawasan Industri MM2100"/>
    <x v="1"/>
    <m/>
    <s v="PT. Shinto Kogyo Indonesia-Kawasan Industri MM2100, Jl. Bali Blok J No.17-2, Gandamekar,Kec. Cikarang Barat ,Kabupaten Bekasi ,Jawa Barat ,Indonesia ,17530   "/>
    <s v="BAGI HASIL"/>
    <s v="Revenue Sharing"/>
    <s v=" PA/ACT/2206/16168"/>
    <s v="AL/2206/142556 - 01000187621"/>
    <m/>
    <s v="Metronet"/>
    <m/>
    <m/>
    <n v="56700000"/>
    <m/>
    <m/>
    <m/>
    <n v="0.15"/>
    <d v="2026-05-21T00:00:00"/>
    <d v="2027-05-20T00:00:00"/>
    <x v="1"/>
    <m/>
    <d v="2025-12-24T00:00:00"/>
    <n v="512"/>
    <n v="5"/>
    <n v="2027"/>
    <m/>
    <m/>
    <m/>
    <s v="Syifa Fauziyah"/>
    <s v="Rita, Mario"/>
    <m/>
    <m/>
    <m/>
    <m/>
    <m/>
    <m/>
    <m/>
    <m/>
    <m/>
    <m/>
    <m/>
  </r>
  <r>
    <n v="2511"/>
    <s v="PT Megalopolis Manunggal"/>
    <s v="PT SHIBAURA SHEARING INDONESIA"/>
    <s v="Kawasan Industri MM2100"/>
    <x v="1"/>
    <m/>
    <s v="KAWASAN INDUSTRI MM2100, JALAN JAWA BLOK II, JATIWANGI, CIKARANG BARAT, BEKASI, JAWA BARAT 17530"/>
    <s v="BAGI HASIL"/>
    <s v="Revenue Sharing"/>
    <s v="PA/ACT/2203/1822 "/>
    <s v="A221303000063 - 1303000009"/>
    <m/>
    <s v="Internet Corporate"/>
    <s v="52 Mbps"/>
    <m/>
    <n v="94800000"/>
    <m/>
    <m/>
    <m/>
    <n v="0.15"/>
    <d v="2026-05-21T00:00:00"/>
    <d v="2027-05-20T00:00:00"/>
    <x v="1"/>
    <m/>
    <d v="2025-12-24T00:00:00"/>
    <n v="512"/>
    <n v="5"/>
    <n v="2027"/>
    <m/>
    <m/>
    <m/>
    <s v="Syifa Fauziyah"/>
    <s v="Rita, Mario"/>
    <m/>
    <m/>
    <m/>
    <m/>
    <m/>
    <m/>
    <m/>
    <m/>
    <m/>
    <m/>
    <m/>
  </r>
  <r>
    <n v="2512"/>
    <s v="PT Megalopolis Manunggal"/>
    <s v="PT VENDAMART RETAIL INDONESIA"/>
    <s v="Kawasan Industri MM2100"/>
    <x v="1"/>
    <m/>
    <s v="KAWASAN INDUSTRI MM2100 CIBITUNG MM2100 INDUSTRIAL TOWN, JL. IRIAN V BLOK KK-8, JATIWANGI, KEC. CIKARANG BAR., KABUPATEN BEKASI, JAWA BARAT"/>
    <s v="BAGI HASIL"/>
    <s v="Revenue Sharing"/>
    <s v="PA/ACT/2203/0942 "/>
    <s v="A821303000466 - 111303011349"/>
    <m/>
    <s v="internet corporate "/>
    <s v="10 Mbps"/>
    <m/>
    <n v="66000000"/>
    <m/>
    <m/>
    <m/>
    <n v="0.15"/>
    <d v="2026-05-21T00:00:00"/>
    <d v="2027-05-20T00:00:00"/>
    <x v="1"/>
    <m/>
    <d v="2025-12-24T00:00:00"/>
    <n v="512"/>
    <n v="5"/>
    <n v="2027"/>
    <m/>
    <m/>
    <m/>
    <s v="Syifa Fauziyah"/>
    <s v="Rita, Mario"/>
    <m/>
    <m/>
    <m/>
    <m/>
    <m/>
    <m/>
    <m/>
    <m/>
    <m/>
    <m/>
    <m/>
  </r>
  <r>
    <n v="2513"/>
    <s v="PT Megalopolis Manunggal"/>
    <s v="PT. IFORTE SOLUSI INFOTEK "/>
    <s v="Kawasan Industri MM2100"/>
    <x v="1"/>
    <m/>
    <s v="JL. IRIAN V BLOK KK-8, JATIWANGI, KEC. CIKARANG"/>
    <s v="BAGI HASIL"/>
    <s v="Revenue Sharing"/>
    <s v="PA/ACT/2201/2528"/>
    <s v="A821202001002 - 111202018838"/>
    <m/>
    <s v="Metronet"/>
    <s v="10 Mbps"/>
    <m/>
    <n v="48000000"/>
    <m/>
    <m/>
    <m/>
    <n v="0.15"/>
    <d v="2026-05-21T00:00:00"/>
    <d v="2027-05-20T00:00:00"/>
    <x v="1"/>
    <m/>
    <d v="2025-12-24T00:00:00"/>
    <n v="512"/>
    <n v="5"/>
    <n v="2027"/>
    <m/>
    <m/>
    <m/>
    <s v="Syifa Fauziyah"/>
    <s v="Rita, Mario"/>
    <m/>
    <m/>
    <m/>
    <m/>
    <m/>
    <m/>
    <m/>
    <m/>
    <m/>
    <m/>
    <m/>
  </r>
  <r>
    <n v="2514"/>
    <s v="PT Megalopolis Manunggal"/>
    <s v="PT CIPTA TELEKOMUNIKASI MANDIRI "/>
    <s v="Kawasan Industri MM2100"/>
    <x v="1"/>
    <m/>
    <s v="JL. KW. INDUSTRI, GANDAMEKAR, KEC. CIKARANG BAR., KABUPATEN BEKASI, JAWA BARAT 17620"/>
    <s v="BAGI HASIL"/>
    <s v="Revenue Sharing"/>
    <s v="PA/ACT/2201/1715 "/>
    <s v="A111303003368 - 111303012943"/>
    <m/>
    <s v="internet corporate"/>
    <s v="52 Mbps"/>
    <m/>
    <n v="48000000"/>
    <m/>
    <m/>
    <m/>
    <n v="0.15"/>
    <d v="2026-05-21T00:00:00"/>
    <d v="2027-05-20T00:00:00"/>
    <x v="1"/>
    <m/>
    <d v="2025-12-24T00:00:00"/>
    <n v="512"/>
    <n v="5"/>
    <n v="2027"/>
    <m/>
    <m/>
    <m/>
    <s v="Syifa Fauziyah"/>
    <s v="Rita, Mario"/>
    <m/>
    <m/>
    <m/>
    <m/>
    <m/>
    <m/>
    <m/>
    <m/>
    <m/>
    <m/>
    <m/>
  </r>
  <r>
    <n v="2515"/>
    <s v="PT Megalopolis Manunggal"/>
    <s v="ASTRA HONDA MOTOR"/>
    <s v="Kawasan Industri MM2100"/>
    <x v="1"/>
    <m/>
    <s v="CIKARANG (PLANT 3) JL. RAYA KALIMANTAN BLOK AA-1 KAWASAN INDUSTRI MM2100 CIKARANG BARAT, BEKASI, CIKARANG, KABUPATEN BEKASI, JAWA BARAT, INDONESIA, 17"/>
    <s v="BAGI HASIL"/>
    <s v="Revenue Sharing"/>
    <m/>
    <s v="110120201929 - 01000002848"/>
    <m/>
    <s v="Metronet"/>
    <s v="300 Mbps"/>
    <m/>
    <n v="348000000"/>
    <m/>
    <m/>
    <m/>
    <n v="0.15"/>
    <d v="2026-05-21T00:00:00"/>
    <d v="2027-05-20T00:00:00"/>
    <x v="1"/>
    <m/>
    <d v="2025-12-24T00:00:00"/>
    <n v="512"/>
    <n v="5"/>
    <n v="2027"/>
    <m/>
    <m/>
    <m/>
    <s v="Syifa Fauziyah"/>
    <s v="Rita, Mario"/>
    <m/>
    <m/>
    <m/>
    <m/>
    <m/>
    <m/>
    <m/>
    <m/>
    <m/>
    <m/>
    <m/>
  </r>
  <r>
    <n v="2516"/>
    <s v="PT Megalopolis Manunggal"/>
    <s v="PT. SOLUSINDO BINTANG PRATAMA"/>
    <s v="Kawasan Industri MM2100"/>
    <x v="1"/>
    <s v=" "/>
    <s v="PT. Kojin Indonesia, Block Ll-8-1 Mm2100 Industrial Town Cikarang Barat Bekasi, Jatiwangi, West Cikarang, Bekasi, West Java 17530 "/>
    <s v="BAGI HASIL"/>
    <s v="Revenue Sharing"/>
    <m/>
    <s v="110120205774 - 01000143987"/>
    <m/>
    <s v="Metronet "/>
    <s v="10 Mbps"/>
    <m/>
    <n v="30000000"/>
    <m/>
    <m/>
    <m/>
    <n v="0.15"/>
    <d v="2026-05-21T00:00:00"/>
    <d v="2027-05-20T00:00:00"/>
    <x v="1"/>
    <m/>
    <d v="2025-12-24T00:00:00"/>
    <n v="512"/>
    <n v="5"/>
    <n v="2027"/>
    <m/>
    <m/>
    <m/>
    <s v="Syifa Fauziyah"/>
    <s v="Rita, Mario"/>
    <m/>
    <m/>
    <m/>
    <m/>
    <m/>
    <m/>
    <m/>
    <m/>
    <m/>
    <m/>
    <m/>
  </r>
  <r>
    <n v="2517"/>
    <s v="PT Megalopolis Manunggal"/>
    <s v="PT. NETTOCYBER INDONESIA"/>
    <s v="Kawasan Industri MM2100"/>
    <x v="1"/>
    <s v="KOTA JAKARTA SELATAN, KUNINGAN TIMUR, SETIA BUDI, DKI JAKARTA"/>
    <s v="PT. LG Electronics Indonesia, Block - G, MM2100 Industrial Town"/>
    <s v="BAGI HASIL"/>
    <s v="Revenue Sharing"/>
    <m/>
    <s v="110120213519 - '01000172108"/>
    <m/>
    <s v="Metronet "/>
    <s v="1 Gbps"/>
    <m/>
    <n v="396000000"/>
    <m/>
    <m/>
    <m/>
    <n v="0.15"/>
    <d v="2026-05-21T00:00:00"/>
    <d v="2027-05-20T00:00:00"/>
    <x v="1"/>
    <m/>
    <d v="2025-12-24T00:00:00"/>
    <n v="512"/>
    <n v="5"/>
    <n v="2027"/>
    <m/>
    <m/>
    <m/>
    <s v="Syifa Fauziyah"/>
    <s v="Rita, Mario"/>
    <m/>
    <m/>
    <m/>
    <m/>
    <m/>
    <m/>
    <m/>
    <m/>
    <m/>
    <m/>
    <m/>
  </r>
  <r>
    <n v="2518"/>
    <s v="PT Megalopolis Manunggal"/>
    <s v="PT. APLIKANUSA LINTASARTA"/>
    <s v="Kawasan Industri MM2100"/>
    <x v="1"/>
    <s v="LA TBS"/>
    <s v="PT. WAHANA DIRGANTARA KAWASAN INDUSTRI MM-2100 BLOK H-7-1 BEKASI (2011007138) "/>
    <s v="BAGI HASIL"/>
    <s v="Revenue Sharing"/>
    <m/>
    <s v="0990000020273074"/>
    <m/>
    <s v="Metronet "/>
    <s v="4 Mbps"/>
    <m/>
    <n v="64800000"/>
    <m/>
    <m/>
    <m/>
    <n v="0.15"/>
    <d v="2026-05-21T00:00:00"/>
    <d v="2027-05-20T00:00:00"/>
    <x v="1"/>
    <m/>
    <d v="2025-12-24T00:00:00"/>
    <n v="512"/>
    <n v="5"/>
    <n v="2027"/>
    <m/>
    <m/>
    <m/>
    <s v="Syifa Fauziyah"/>
    <s v="Rita, Mario"/>
    <m/>
    <m/>
    <m/>
    <m/>
    <m/>
    <m/>
    <m/>
    <m/>
    <m/>
    <m/>
    <m/>
  </r>
  <r>
    <n v="2519"/>
    <s v="PT Megalopolis Manunggal"/>
    <s v="PT. APLIKANUSA LINTASARTA"/>
    <s v="Kawasan Industri MM2100"/>
    <x v="1"/>
    <s v="LA TBS"/>
    <s v="PT. Mandom Indonesia, Kawasan Industri MM2100 Blok PP, Jalan Irian, Jatiwangi"/>
    <s v="BAGI HASIL"/>
    <s v="Revenue Sharing"/>
    <m/>
    <s v="01000070275"/>
    <m/>
    <s v="Metro "/>
    <s v="10 Mbps"/>
    <m/>
    <n v="76950000"/>
    <m/>
    <m/>
    <m/>
    <n v="0.15"/>
    <d v="2026-05-21T00:00:00"/>
    <d v="2027-05-20T00:00:00"/>
    <x v="1"/>
    <m/>
    <d v="2025-12-24T00:00:00"/>
    <n v="512"/>
    <n v="5"/>
    <n v="2027"/>
    <m/>
    <m/>
    <m/>
    <s v="Syifa Fauziyah"/>
    <s v="Rita, Mario"/>
    <m/>
    <m/>
    <m/>
    <m/>
    <m/>
    <m/>
    <m/>
    <m/>
    <m/>
    <m/>
    <m/>
  </r>
  <r>
    <n v="2520"/>
    <s v="PT Megalopolis Manunggal"/>
    <s v="PT. HIPERNET INDODATA  "/>
    <s v="Kawasan Industri MM2100"/>
    <x v="1"/>
    <s v=" "/>
    <s v="PT. Jotun Indonesia, Kawasan Industri MM2100 Blok KK-1"/>
    <s v="BAGI HASIL"/>
    <s v="Revenue Sharing"/>
    <m/>
    <s v="01000076040"/>
    <m/>
    <s v="Metronet "/>
    <s v="80 Mbps"/>
    <m/>
    <n v="63600000"/>
    <m/>
    <m/>
    <m/>
    <n v="0.15"/>
    <d v="2026-05-21T00:00:00"/>
    <d v="2027-05-20T00:00:00"/>
    <x v="1"/>
    <m/>
    <d v="2025-12-24T00:00:00"/>
    <n v="512"/>
    <n v="5"/>
    <n v="2027"/>
    <m/>
    <m/>
    <m/>
    <s v="Syifa Fauziyah"/>
    <s v="Rita, Mario"/>
    <m/>
    <m/>
    <m/>
    <m/>
    <m/>
    <m/>
    <m/>
    <m/>
    <m/>
    <m/>
    <m/>
  </r>
  <r>
    <n v="2521"/>
    <s v="PT Megalopolis Manunggal"/>
    <s v="PT Netmarks Indonesia"/>
    <s v="Kawasan Industri MM2100"/>
    <x v="1"/>
    <s v=" "/>
    <s v=" PT. Yamaha Motor Mold Indonesia Jalan Irian XIII Blok QQ"/>
    <s v="BAGI HASIL"/>
    <s v="Revenue Sharing"/>
    <m/>
    <s v="04000354882"/>
    <m/>
    <s v="internet corp "/>
    <s v="10 Mbps"/>
    <m/>
    <n v="72000000"/>
    <m/>
    <m/>
    <m/>
    <n v="0.15"/>
    <d v="2026-05-21T00:00:00"/>
    <d v="2027-05-20T00:00:00"/>
    <x v="1"/>
    <m/>
    <d v="2025-12-24T00:00:00"/>
    <n v="512"/>
    <n v="5"/>
    <n v="2027"/>
    <m/>
    <m/>
    <m/>
    <s v="Syifa Fauziyah"/>
    <s v="Rita, Mario"/>
    <m/>
    <m/>
    <m/>
    <m/>
    <m/>
    <m/>
    <m/>
    <m/>
    <m/>
    <m/>
    <m/>
  </r>
  <r>
    <n v="2522"/>
    <s v="PT Megalopolis Manunggal"/>
    <s v="PT. PERTAMINA GAS"/>
    <s v="Kawasan Industri MM2100"/>
    <x v="1"/>
    <s v=" "/>
    <s v="Kawasan Industri MM2100 Jl. Jawa, Gandamekar, Kec. Cikarang Barat, Bekasi, Jawa Barat 17530"/>
    <s v="BAGI HASIL"/>
    <s v="Revenue Sharing"/>
    <m/>
    <s v="01000146610"/>
    <m/>
    <s v="IPVPN "/>
    <s v="512 Kbps"/>
    <m/>
    <n v="19449000"/>
    <m/>
    <m/>
    <m/>
    <n v="0.15"/>
    <d v="2026-05-21T00:00:00"/>
    <d v="2027-05-20T00:00:00"/>
    <x v="1"/>
    <m/>
    <d v="2025-12-24T00:00:00"/>
    <n v="512"/>
    <n v="5"/>
    <n v="2027"/>
    <m/>
    <m/>
    <m/>
    <s v="Syifa Fauziyah"/>
    <s v="Rita, Mario"/>
    <m/>
    <m/>
    <m/>
    <m/>
    <m/>
    <m/>
    <m/>
    <m/>
    <m/>
    <m/>
    <m/>
  </r>
  <r>
    <n v="2523"/>
    <s v="PT Megalopolis Manunggal"/>
    <s v="PT. PARSAORAN GLOBAL DATATRANS"/>
    <s v="Kawasan Industri MM2100"/>
    <x v="1"/>
    <s v=" "/>
    <s v="PT SUGITY CIKARANG JL. BALI BLOK J NO. 17-20 KAWASAN INDUSTRI MM2100, CIKARANG BARAT"/>
    <s v="BAGI HASIL"/>
    <s v="Revenue Sharing"/>
    <m/>
    <s v="110120204034 - 01000144258"/>
    <m/>
    <s v="Metronet "/>
    <s v="50 Mbps"/>
    <m/>
    <n v="96000000"/>
    <m/>
    <m/>
    <m/>
    <n v="0.15"/>
    <d v="2026-05-21T00:00:00"/>
    <d v="2027-05-20T00:00:00"/>
    <x v="1"/>
    <m/>
    <d v="2025-12-24T00:00:00"/>
    <n v="512"/>
    <n v="5"/>
    <n v="2027"/>
    <m/>
    <m/>
    <m/>
    <s v="Syifa Fauziyah"/>
    <s v="Rita, Mario"/>
    <m/>
    <m/>
    <m/>
    <m/>
    <m/>
    <m/>
    <m/>
    <m/>
    <m/>
    <m/>
    <m/>
  </r>
  <r>
    <n v="2524"/>
    <s v="PT Megalopolis Manunggal"/>
    <s v="PT. COMTRONICS SYSTEMS "/>
    <s v="Kawasan Industri MM2100"/>
    <x v="1"/>
    <s v="IDC DUREN TIGA, PANCORAN, KOTA JAKARTA SELATAN, DKI JAKARTA"/>
    <s v="PT. NSK Bearing Manufacturing Indonesia, Kawasan Berikat MM2100 Blok M4, Gandamekar"/>
    <s v="BAGI HASIL"/>
    <s v="Revenue Sharing"/>
    <m/>
    <s v="01000049639"/>
    <m/>
    <s v="METRO P2MP "/>
    <s v="10 Mbps"/>
    <m/>
    <n v="58200000"/>
    <m/>
    <m/>
    <m/>
    <n v="0.15"/>
    <d v="2026-05-21T00:00:00"/>
    <d v="2027-05-20T00:00:00"/>
    <x v="1"/>
    <m/>
    <d v="2025-12-24T00:00:00"/>
    <n v="512"/>
    <n v="5"/>
    <n v="2027"/>
    <m/>
    <m/>
    <m/>
    <s v="Syifa Fauziyah"/>
    <s v="Rita, Mario"/>
    <m/>
    <m/>
    <m/>
    <m/>
    <m/>
    <m/>
    <m/>
    <m/>
    <m/>
    <m/>
    <m/>
  </r>
  <r>
    <n v="2525"/>
    <s v="PT Megalopolis Manunggal"/>
    <s v="PT ASTRA OTOPARTS"/>
    <s v="Kawasan Industri MM2100"/>
    <x v="1"/>
    <s v="Depo Cibitung,Kawasan MM2100,Jl.Jawa Blok M-31 Cibitung,Bekasi"/>
    <s v="Collocation Server Astra Otoparts,Gedung AAB,Jl.TB Simatupang,Jakarta"/>
    <s v="BAGI HASIL"/>
    <s v="Revenue Sharing"/>
    <s v="PA/UPG/2208/0127"/>
    <s v="PA/UPG/2208/0127 - AL/2210/312450 - 0110120201945 / 0990000020278468"/>
    <m/>
    <s v="Metronet"/>
    <m/>
    <m/>
    <n v="162000000"/>
    <m/>
    <m/>
    <m/>
    <n v="0.15"/>
    <d v="2027-05-21T00:00:00"/>
    <d v="2028-05-20T00:00:00"/>
    <x v="1"/>
    <m/>
    <d v="2025-12-24T00:00:00"/>
    <n v="878"/>
    <n v="5"/>
    <n v="2028"/>
    <m/>
    <m/>
    <m/>
    <s v="Syifa Fauziyah"/>
    <s v="Rita, Mario"/>
    <m/>
    <m/>
    <m/>
    <m/>
    <m/>
    <m/>
    <m/>
    <m/>
    <m/>
    <m/>
    <m/>
  </r>
  <r>
    <n v="2526"/>
    <s v="PT Megalopolis Manunggal"/>
    <s v="PT. FABER-CASTELL INTERNATIONAL INDONESIA"/>
    <s v="Kawasan Industri MM2100"/>
    <x v="1"/>
    <s v="PT Sanken MM2100 Industrial Town,Block GG-8,Cikarang Barat,Bekasi 17520,West Java,Indonesia (ID JAR 2013004247)"/>
    <s v="Sentra Latumenten Blok AA-10 Jln Prof Dr Latumenten no 50 JAKARTA 11460 (BACKHAUL )"/>
    <s v="BAGI HASIL"/>
    <s v="Revenue Sharing"/>
    <m/>
    <s v="110130305323 / 04000167262"/>
    <m/>
    <s v="Metronet"/>
    <m/>
    <m/>
    <n v="30000000"/>
    <m/>
    <m/>
    <m/>
    <n v="0.15"/>
    <d v="2027-05-21T00:00:00"/>
    <d v="2028-05-20T00:00:00"/>
    <x v="1"/>
    <m/>
    <d v="2025-12-24T00:00:00"/>
    <n v="878"/>
    <n v="5"/>
    <n v="2028"/>
    <m/>
    <m/>
    <m/>
    <s v="Syifa Fauziyah"/>
    <s v="Rita, Mario"/>
    <m/>
    <m/>
    <m/>
    <m/>
    <m/>
    <m/>
    <m/>
    <m/>
    <m/>
    <m/>
    <m/>
  </r>
  <r>
    <n v="2527"/>
    <s v="PT Megalopolis Manunggal"/>
    <s v="KANSAI PAINT INDONESIA"/>
    <s v="Kawasan Industri MM2100"/>
    <x v="1"/>
    <s v="Kawasan Industri MM2100, Jln Irian bl 003 DS Jatiwangi,cibitung Bekasi, Jawa Barat 17520 (BACKUP BACKHAUL)   "/>
    <s v="PT. Kansai Paint Indonesia, Kawasan Industri MM2100 Blok DD-7 dan DD-6 Desa Danau Indah, Cikarang Barat 17520 "/>
    <s v="BAGI HASIL"/>
    <s v="Revenue Sharing"/>
    <s v="AL/2201/17342"/>
    <s v="AL/2108/69293 - 110130306001 / 0990000320518831"/>
    <m/>
    <s v="Metronet"/>
    <m/>
    <m/>
    <n v="156000000"/>
    <m/>
    <m/>
    <m/>
    <n v="0.15"/>
    <d v="2027-05-21T00:00:00"/>
    <d v="2028-05-20T00:00:00"/>
    <x v="1"/>
    <m/>
    <d v="2025-12-24T00:00:00"/>
    <n v="878"/>
    <n v="5"/>
    <n v="2028"/>
    <m/>
    <m/>
    <m/>
    <s v="Syifa Fauziyah"/>
    <s v="Rita, Mario"/>
    <m/>
    <m/>
    <m/>
    <m/>
    <m/>
    <m/>
    <m/>
    <m/>
    <m/>
    <m/>
    <m/>
  </r>
  <r>
    <n v="2528"/>
    <s v="PT Megalopolis Manunggal"/>
    <s v="PT MITSUBA INDONESIA PIPE PARTS"/>
    <s v="Kawasan Industri MM2100"/>
    <x v="1"/>
    <s v="-"/>
    <s v="PT. Mitsuba Indonesia Pipe Parts, Kawasan Industri MM2100 Blok NN-12, Cikarang Barat, Bekasi 17520 Indonesia"/>
    <s v="BAGI HASIL"/>
    <s v="Revenue Sharing"/>
    <s v="PA/UPG/2106/0236"/>
    <s v="AL/1907/24929 - 110130306172 / 060000094260001"/>
    <m/>
    <s v="internet corporate"/>
    <s v="15 Mbps"/>
    <m/>
    <n v="84000000"/>
    <m/>
    <m/>
    <m/>
    <n v="0.15"/>
    <d v="2027-05-21T00:00:00"/>
    <d v="2028-05-20T00:00:00"/>
    <x v="1"/>
    <m/>
    <d v="2025-12-24T00:00:00"/>
    <n v="878"/>
    <n v="5"/>
    <n v="2028"/>
    <m/>
    <m/>
    <m/>
    <s v="Syifa Fauziyah"/>
    <s v="Rita, Mario"/>
    <m/>
    <m/>
    <m/>
    <m/>
    <m/>
    <m/>
    <m/>
    <m/>
    <m/>
    <m/>
    <m/>
  </r>
  <r>
    <n v="2529"/>
    <s v="PT Megalopolis Manunggal"/>
    <s v="PT Tirta Alam Segar"/>
    <s v="Kawasan Industri MM2100"/>
    <x v="1"/>
    <s v="-"/>
    <s v="PT Tirta alam segar,Kawasan industri mm2100,Jln kalangan kav b1-2,Cikarang barat-bekasi"/>
    <s v="BAGI HASIL"/>
    <s v="Revenue Sharing"/>
    <s v="PA/UPG/1905/0161"/>
    <s v="AL/2101/0067 - 110130304776 / 0990000320471999"/>
    <m/>
    <s v="internet corporate"/>
    <s v="30 Mbps"/>
    <m/>
    <n v="84000000"/>
    <m/>
    <m/>
    <m/>
    <n v="0.15"/>
    <d v="2027-05-21T00:00:00"/>
    <d v="2028-05-20T00:00:00"/>
    <x v="1"/>
    <m/>
    <d v="2025-12-24T00:00:00"/>
    <n v="878"/>
    <n v="5"/>
    <n v="2028"/>
    <m/>
    <m/>
    <m/>
    <s v="Syifa Fauziyah"/>
    <s v="Rita, Mario"/>
    <m/>
    <m/>
    <m/>
    <m/>
    <m/>
    <m/>
    <m/>
    <m/>
    <m/>
    <m/>
    <m/>
  </r>
  <r>
    <n v="2530"/>
    <s v="PT Megalopolis Manunggal"/>
    <s v="PT HANKYU HANSHIN LOGISTICS INDONESIA"/>
    <s v="Kawasan Industri MM2100"/>
    <x v="1"/>
    <s v="-"/>
    <s v="Kawasan Industri MM2100 Jl. Bali Block O 1-2 Cikarang Barat Bekasi – Jawa Barat 17520"/>
    <s v="BAGI HASIL"/>
    <s v="Revenue Sharing"/>
    <s v="PA/UPG/2012/0044 "/>
    <s v="AL/2105/32686 - 0990000320455374"/>
    <m/>
    <s v="Internet corporate"/>
    <s v="20 Mbps"/>
    <m/>
    <n v="120000000"/>
    <m/>
    <m/>
    <m/>
    <n v="0.15"/>
    <d v="2027-05-21T00:00:00"/>
    <d v="2028-05-20T00:00:00"/>
    <x v="1"/>
    <m/>
    <d v="2025-12-24T00:00:00"/>
    <n v="878"/>
    <n v="5"/>
    <n v="2028"/>
    <m/>
    <m/>
    <m/>
    <s v="Syifa Fauziyah"/>
    <s v="Rita, Mario"/>
    <m/>
    <m/>
    <m/>
    <m/>
    <m/>
    <m/>
    <m/>
    <m/>
    <m/>
    <m/>
    <m/>
  </r>
  <r>
    <n v="2531"/>
    <s v="PT Megalopolis Manunggal"/>
    <s v="TOYOTA TSUSHO LOGISTIC CENTER"/>
    <s v="Kawasan Industri MM2100"/>
    <x v="1"/>
    <s v="-"/>
    <s v="Kawasan Industri MM2100 Jl. Irian V Blok. KK-8 Cibitung Bekasi 17520"/>
    <s v="BAGI HASIL"/>
    <s v="Revenue Sharing"/>
    <s v="PA/UPG/2211/0140"/>
    <s v="AL/2204/76781 - 110130306132 / 170000073260003"/>
    <m/>
    <s v="Internet Corporate"/>
    <s v="100 Mbps"/>
    <m/>
    <n v="252000000"/>
    <m/>
    <m/>
    <m/>
    <n v="0.15"/>
    <d v="2027-05-21T00:00:00"/>
    <d v="2028-05-20T00:00:00"/>
    <x v="1"/>
    <m/>
    <d v="2025-12-24T00:00:00"/>
    <n v="878"/>
    <n v="5"/>
    <n v="2028"/>
    <m/>
    <m/>
    <m/>
    <s v="Syifa Fauziyah"/>
    <s v="Rita, Mario"/>
    <m/>
    <m/>
    <m/>
    <m/>
    <m/>
    <m/>
    <m/>
    <m/>
    <m/>
    <m/>
    <m/>
  </r>
  <r>
    <n v="2532"/>
    <s v="PT Megalopolis Manunggal"/>
    <s v="PT. COMTRONICS SYSTEMS"/>
    <s v="Kawasan Industri MM2100"/>
    <x v="1"/>
    <s v="-"/>
    <s v="Rayovac Battery Indonesia, PT site Hanggar Bea Cukai Jl. Irian Blok MM 1 MM2100, Jatiwangi,  Kec. Cikarang Bar.,,  Kabupaten Bekasi,  Jawa Barat,  Indonesia,  17520"/>
    <s v="BAGI HASIL"/>
    <s v="Revenue Sharing"/>
    <s v="PA/UPG/2104/0211"/>
    <s v="AL/2212/340046 - 110120210182 / 01000313204"/>
    <m/>
    <s v="Metronet"/>
    <s v="5 Mbps"/>
    <m/>
    <n v="33600000"/>
    <m/>
    <m/>
    <m/>
    <n v="0.15"/>
    <d v="2027-05-21T00:00:00"/>
    <d v="2028-05-20T00:00:00"/>
    <x v="1"/>
    <m/>
    <d v="2025-12-24T00:00:00"/>
    <n v="878"/>
    <n v="5"/>
    <n v="2028"/>
    <m/>
    <m/>
    <m/>
    <s v="Syifa Fauziyah"/>
    <s v="Rita, Mario"/>
    <m/>
    <m/>
    <m/>
    <m/>
    <m/>
    <m/>
    <m/>
    <m/>
    <m/>
    <m/>
    <m/>
  </r>
  <r>
    <n v="2533"/>
    <s v="PT Megalopolis Manunggal"/>
    <s v="PT. ICHIKOH INDONESIA"/>
    <s v="Kawasan Industri MM2100"/>
    <x v="1"/>
    <s v="-"/>
    <s v="MM 2100 Industrial Town - Jl. Irian Blok LL1, Jatiwangi,  Kec. Cikarang Barat,  Kabupaten Bekasi,  Jawa Barat,  Indonesia,  17530"/>
    <s v="BAGI HASIL"/>
    <s v="Revenue Sharing"/>
    <s v="PA/DOW/2203/0051"/>
    <s v="AL/2212/336962 - 04000314835 "/>
    <m/>
    <s v="Internet Corporate"/>
    <s v="100 Mbps"/>
    <m/>
    <n v="151200000"/>
    <m/>
    <m/>
    <m/>
    <n v="0.15"/>
    <d v="2027-05-21T00:00:00"/>
    <d v="2028-05-20T00:00:00"/>
    <x v="1"/>
    <m/>
    <d v="2025-12-24T00:00:00"/>
    <n v="878"/>
    <n v="5"/>
    <n v="2028"/>
    <m/>
    <m/>
    <m/>
    <s v="Syifa Fauziyah"/>
    <s v="Rita, Mario"/>
    <m/>
    <m/>
    <m/>
    <m/>
    <m/>
    <m/>
    <m/>
    <m/>
    <m/>
    <m/>
    <m/>
  </r>
  <r>
    <n v="2534"/>
    <s v="PT Megalopolis Manunggal"/>
    <s v="PT. ICHIKOH INDONESIA"/>
    <s v="Kawasan Industri MM2100"/>
    <x v="1"/>
    <s v="IDC Duren 3 Lantai 3, Rack 26. Jl. Duren Tiga Raya No.7, RT.9/RW.5, Duren Tiga,  Kec. Pancoran,  Jakarta Selatan,  DKI Jakarta,  Indonesia,  12760"/>
    <s v="MM 2100 Industrial Town - Jl. Irian Blok LL1, Jatiwangi,  Kec. Cikarang Barat,  Kabupaten Bekasi,  Jawa Barat,  Indonesia,  17530"/>
    <s v="BAGI HASIL"/>
    <s v="Revenue Sharing"/>
    <s v="PA/ACT/2210/0669"/>
    <s v="AL/2212/336961 -  04000314834 "/>
    <m/>
    <s v="Internet Corporate"/>
    <s v="60 Mbps"/>
    <m/>
    <n v="99900000"/>
    <m/>
    <m/>
    <m/>
    <n v="0.15"/>
    <d v="2027-05-21T00:00:00"/>
    <d v="2028-05-20T00:00:00"/>
    <x v="1"/>
    <m/>
    <d v="2025-12-24T00:00:00"/>
    <n v="878"/>
    <n v="5"/>
    <n v="2028"/>
    <m/>
    <m/>
    <m/>
    <s v="Syifa Fauziyah"/>
    <s v="Rita, Mario"/>
    <m/>
    <m/>
    <m/>
    <m/>
    <m/>
    <m/>
    <m/>
    <m/>
    <m/>
    <m/>
    <m/>
  </r>
  <r>
    <n v="2535"/>
    <s v="PT Megalopolis Manunggal"/>
    <s v="PT. COMTRONICS SYSTEMS"/>
    <s v="Kawasan Industri MM2100"/>
    <x v="1"/>
    <m/>
    <s v="PT. Hitachi Astemo Powertrain Systems Kawasan Industri MM 2100 Blok JJ No. 1, Jatiwangi,  Kec. Cikarang Bar.,  Kabupaten Bekasi,  Jawa Barat,  Indonesia,  17520"/>
    <s v="BAGI HASIL"/>
    <s v="Revenue Sharing"/>
    <s v="PA/ACT/2210/1250"/>
    <s v="AL/2208/244018 -  01000208269 "/>
    <m/>
    <s v="Metronet"/>
    <s v="40 Mbps"/>
    <m/>
    <n v="38400000"/>
    <m/>
    <m/>
    <m/>
    <n v="0.15"/>
    <d v="2027-05-21T00:00:00"/>
    <d v="2028-05-20T00:00:00"/>
    <x v="1"/>
    <m/>
    <d v="2025-12-24T00:00:00"/>
    <n v="878"/>
    <n v="5"/>
    <n v="2028"/>
    <m/>
    <m/>
    <m/>
    <s v="Syifa Fauziyah"/>
    <s v="Rita, Mario"/>
    <m/>
    <m/>
    <m/>
    <m/>
    <m/>
    <m/>
    <m/>
    <m/>
    <m/>
    <m/>
    <m/>
  </r>
  <r>
    <n v="2536"/>
    <s v="PT Megalopolis Manunggal"/>
    <s v="PT. APLIKANUSA LINTASARTA"/>
    <s v="Kawasan Industri MM2100"/>
    <x v="1"/>
    <m/>
    <s v="PT Ichikoh Indonesia, MM 2100 Industrial Town, Jl. Irian Blok LL1, Jatiwangi,  Kec. Cikarang Barat,  Kabupaten Bekasi,  Jawa Barat,  Indonesia,  17530"/>
    <s v="BAGI HASIL"/>
    <s v="Revenue Sharing"/>
    <s v="PA/ACT/2210/1173"/>
    <s v=" AL/2208/247493 -  01000218286"/>
    <m/>
    <s v="Metronet"/>
    <s v="40 Mbps"/>
    <m/>
    <n v="99600000"/>
    <m/>
    <m/>
    <m/>
    <n v="0.15"/>
    <d v="2027-05-21T00:00:00"/>
    <d v="2028-05-20T00:00:00"/>
    <x v="1"/>
    <m/>
    <d v="2025-12-24T00:00:00"/>
    <n v="878"/>
    <n v="5"/>
    <n v="2028"/>
    <m/>
    <m/>
    <m/>
    <s v="Syifa Fauziyah"/>
    <s v="Rita, Mario"/>
    <m/>
    <m/>
    <m/>
    <m/>
    <m/>
    <m/>
    <m/>
    <m/>
    <m/>
    <m/>
    <m/>
  </r>
  <r>
    <n v="2537"/>
    <s v="PT Megalopolis Manunggal"/>
    <s v="PT. HIPERNET INDODATA"/>
    <s v="Kawasan Industri MM2100"/>
    <x v="1"/>
    <m/>
    <s v="PT Toyota Auto Body Tokai Extrusion, Kawasan Industri MM2100, Jalan Irian Blok LL-3, Jatiwangi,  Kec. Cikarang Bar.,  Kabupaten Bekasi,  Jawa Barat,  Indonesia,  17530"/>
    <s v="BAGI HASIL"/>
    <s v="Revenue Sharing"/>
    <s v="PA/ACT/2209/3711"/>
    <s v="AL/2204/76947 - 01000195662"/>
    <m/>
    <s v="Metronet"/>
    <s v="20 Mbps"/>
    <m/>
    <n v="35400000"/>
    <m/>
    <m/>
    <m/>
    <n v="0.15"/>
    <d v="2027-05-21T00:00:00"/>
    <d v="2028-05-20T00:00:00"/>
    <x v="1"/>
    <m/>
    <d v="2025-12-24T00:00:00"/>
    <n v="878"/>
    <n v="5"/>
    <n v="2028"/>
    <m/>
    <m/>
    <m/>
    <s v="Syifa Fauziyah"/>
    <s v="Rita, Mario"/>
    <m/>
    <m/>
    <m/>
    <m/>
    <m/>
    <m/>
    <m/>
    <m/>
    <m/>
    <m/>
    <m/>
  </r>
  <r>
    <n v="2538"/>
    <s v="PT Megalopolis Manunggal"/>
    <s v="PT. SHINSEI DENSHI INDONESIA"/>
    <s v="Kawasan Industri MM2100"/>
    <x v="1"/>
    <m/>
    <s v="Kawasan MM 2100 Jl. Jawa Blok HH No. 4 , Jatiwangi,  Kec. Cikarang Barat,  Kabupaten Bekasi,  Jawa Barat,  Indonesia,  17520"/>
    <s v="BAGI HASIL"/>
    <s v="Revenue Sharing"/>
    <s v="PA/ACT/2206/16445"/>
    <s v="AL/2203/53988 - 04000187994 "/>
    <m/>
    <s v="Internet Corporate"/>
    <m/>
    <m/>
    <n v="120000000"/>
    <m/>
    <m/>
    <m/>
    <n v="0.15"/>
    <d v="2027-05-21T00:00:00"/>
    <d v="2028-05-20T00:00:00"/>
    <x v="1"/>
    <m/>
    <d v="2025-12-24T00:00:00"/>
    <n v="878"/>
    <n v="5"/>
    <n v="2028"/>
    <m/>
    <m/>
    <m/>
    <s v="Syifa Fauziyah"/>
    <s v="Rita, Mario"/>
    <m/>
    <m/>
    <m/>
    <m/>
    <m/>
    <m/>
    <m/>
    <m/>
    <m/>
    <m/>
    <m/>
  </r>
  <r>
    <n v="2539"/>
    <s v="PT Megalopolis Manunggal"/>
    <s v="PT. HIPERNET INDODATA"/>
    <s v="Kawasan Industri MM2100"/>
    <x v="1"/>
    <m/>
    <s v="PT. Shinto Kogyo Indonesia-Kawasan Industri MM2100, Jl. Bali Blok J No.17-2, Gandamekar,Kec. Cikarang Barat ,Kabupaten Bekasi ,Jawa Barat ,Indonesia ,17530   "/>
    <s v="BAGI HASIL"/>
    <s v="Revenue Sharing"/>
    <s v=" PA/ACT/2206/16168"/>
    <s v="AL/2206/142556 - 01000187621"/>
    <m/>
    <s v="Metronet"/>
    <m/>
    <m/>
    <n v="56700000"/>
    <m/>
    <m/>
    <m/>
    <n v="0.15"/>
    <d v="2027-05-21T00:00:00"/>
    <d v="2028-05-20T00:00:00"/>
    <x v="1"/>
    <m/>
    <d v="2025-12-24T00:00:00"/>
    <n v="878"/>
    <n v="5"/>
    <n v="2028"/>
    <m/>
    <m/>
    <m/>
    <s v="Syifa Fauziyah"/>
    <s v="Rita, Mario"/>
    <m/>
    <m/>
    <m/>
    <m/>
    <m/>
    <m/>
    <m/>
    <m/>
    <m/>
    <m/>
    <m/>
  </r>
  <r>
    <n v="2540"/>
    <s v="PT Megalopolis Manunggal"/>
    <s v="PT SHIBAURA SHEARING INDONESIA"/>
    <s v="Kawasan Industri MM2100"/>
    <x v="1"/>
    <m/>
    <s v="KAWASAN INDUSTRI MM2100, JALAN JAWA BLOK II, JATIWANGI, CIKARANG BARAT, BEKASI, JAWA BARAT 17530"/>
    <s v="BAGI HASIL"/>
    <s v="Revenue Sharing"/>
    <s v="PA/ACT/2203/1822 "/>
    <s v="A221303000063 - 1303000009"/>
    <m/>
    <s v="Internet Corporate"/>
    <s v="52 Mbps"/>
    <m/>
    <n v="94800000"/>
    <m/>
    <m/>
    <m/>
    <n v="0.15"/>
    <d v="2027-05-21T00:00:00"/>
    <d v="2028-05-20T00:00:00"/>
    <x v="1"/>
    <m/>
    <d v="2025-12-24T00:00:00"/>
    <n v="878"/>
    <n v="5"/>
    <n v="2028"/>
    <m/>
    <m/>
    <m/>
    <s v="Syifa Fauziyah"/>
    <s v="Rita, Mario"/>
    <m/>
    <m/>
    <m/>
    <m/>
    <m/>
    <m/>
    <m/>
    <m/>
    <m/>
    <m/>
    <m/>
  </r>
  <r>
    <n v="2541"/>
    <s v="PT Megalopolis Manunggal"/>
    <s v="PT VENDAMART RETAIL INDONESIA"/>
    <s v="Kawasan Industri MM2100"/>
    <x v="1"/>
    <m/>
    <s v="KAWASAN INDUSTRI MM2100 CIBITUNG MM2100 INDUSTRIAL TOWN, JL. IRIAN V BLOK KK-8, JATIWANGI, KEC. CIKARANG BAR., KABUPATEN BEKASI, JAWA BARAT"/>
    <s v="BAGI HASIL"/>
    <s v="Revenue Sharing"/>
    <s v="PA/ACT/2203/0942 "/>
    <s v="A821303000466 - 111303011349"/>
    <m/>
    <s v="internet corporate "/>
    <s v="10 Mbps"/>
    <m/>
    <n v="66000000"/>
    <m/>
    <m/>
    <m/>
    <n v="0.15"/>
    <d v="2027-05-21T00:00:00"/>
    <d v="2028-05-20T00:00:00"/>
    <x v="1"/>
    <m/>
    <d v="2025-12-24T00:00:00"/>
    <n v="878"/>
    <n v="5"/>
    <n v="2028"/>
    <m/>
    <m/>
    <m/>
    <s v="Syifa Fauziyah"/>
    <s v="Rita, Mario"/>
    <m/>
    <m/>
    <m/>
    <m/>
    <m/>
    <m/>
    <m/>
    <m/>
    <m/>
    <m/>
    <m/>
  </r>
  <r>
    <n v="2542"/>
    <s v="PT Megalopolis Manunggal"/>
    <s v="PT. IFORTE SOLUSI INFOTEK "/>
    <s v="Kawasan Industri MM2100"/>
    <x v="1"/>
    <m/>
    <s v="JL. IRIAN V BLOK KK-8, JATIWANGI, KEC. CIKARANG"/>
    <s v="BAGI HASIL"/>
    <s v="Revenue Sharing"/>
    <s v="PA/ACT/2201/2528"/>
    <s v="A821202001002 - 111202018838"/>
    <m/>
    <s v="Metronet"/>
    <s v="10 Mbps"/>
    <m/>
    <n v="48000000"/>
    <m/>
    <m/>
    <m/>
    <n v="0.15"/>
    <d v="2027-05-21T00:00:00"/>
    <d v="2028-05-20T00:00:00"/>
    <x v="1"/>
    <m/>
    <d v="2025-12-24T00:00:00"/>
    <n v="878"/>
    <n v="5"/>
    <n v="2028"/>
    <m/>
    <m/>
    <m/>
    <s v="Syifa Fauziyah"/>
    <s v="Rita, Mario"/>
    <m/>
    <m/>
    <m/>
    <m/>
    <m/>
    <m/>
    <m/>
    <m/>
    <m/>
    <m/>
    <m/>
  </r>
  <r>
    <n v="2543"/>
    <s v="PT Megalopolis Manunggal"/>
    <s v="PT CIPTA TELEKOMUNIKASI MANDIRI "/>
    <s v="Kawasan Industri MM2100"/>
    <x v="1"/>
    <m/>
    <s v="JL. KW. INDUSTRI, GANDAMEKAR, KEC. CIKARANG BAR., KABUPATEN BEKASI, JAWA BARAT 17620"/>
    <s v="BAGI HASIL"/>
    <s v="Revenue Sharing"/>
    <s v="PA/ACT/2201/1715 "/>
    <s v="A111303003368 - 111303012943"/>
    <m/>
    <s v="internet corporate"/>
    <s v="52 Mbps"/>
    <m/>
    <n v="48000000"/>
    <m/>
    <m/>
    <m/>
    <n v="0.15"/>
    <d v="2027-05-21T00:00:00"/>
    <d v="2028-05-20T00:00:00"/>
    <x v="1"/>
    <m/>
    <d v="2025-12-24T00:00:00"/>
    <n v="878"/>
    <n v="5"/>
    <n v="2028"/>
    <m/>
    <m/>
    <m/>
    <s v="Syifa Fauziyah"/>
    <s v="Rita, Mario"/>
    <m/>
    <m/>
    <m/>
    <m/>
    <m/>
    <m/>
    <m/>
    <m/>
    <m/>
    <m/>
    <m/>
  </r>
  <r>
    <n v="2544"/>
    <s v="PT Megalopolis Manunggal"/>
    <s v="ASTRA HONDA MOTOR"/>
    <s v="Kawasan Industri MM2100"/>
    <x v="1"/>
    <m/>
    <s v="CIKARANG (PLANT 3) JL. RAYA KALIMANTAN BLOK AA-1 KAWASAN INDUSTRI MM2100 CIKARANG BARAT, BEKASI, CIKARANG, KABUPATEN BEKASI, JAWA BARAT, INDONESIA, 17"/>
    <s v="BAGI HASIL"/>
    <s v="Revenue Sharing"/>
    <m/>
    <s v="110120201929 - 01000002848"/>
    <m/>
    <s v="Metronet"/>
    <s v="300 Mbps"/>
    <m/>
    <n v="348000000"/>
    <m/>
    <m/>
    <m/>
    <n v="0.15"/>
    <d v="2027-05-21T00:00:00"/>
    <d v="2028-05-20T00:00:00"/>
    <x v="1"/>
    <m/>
    <d v="2025-12-24T00:00:00"/>
    <n v="878"/>
    <n v="5"/>
    <n v="2028"/>
    <m/>
    <m/>
    <m/>
    <s v="Syifa Fauziyah"/>
    <s v="Rita, Mario"/>
    <m/>
    <m/>
    <m/>
    <m/>
    <m/>
    <m/>
    <m/>
    <m/>
    <m/>
    <m/>
    <m/>
  </r>
  <r>
    <n v="2545"/>
    <s v="PT Megalopolis Manunggal"/>
    <s v="PT. SOLUSINDO BINTANG PRATAMA"/>
    <s v="Kawasan Industri MM2100"/>
    <x v="1"/>
    <s v=" "/>
    <s v="PT. Kojin Indonesia, Block Ll-8-1 Mm2100 Industrial Town Cikarang Barat Bekasi, Jatiwangi, West Cikarang, Bekasi, West Java 17530 "/>
    <s v="BAGI HASIL"/>
    <s v="Revenue Sharing"/>
    <m/>
    <s v="110120205774 - 01000143987"/>
    <m/>
    <s v="Metronet "/>
    <s v="10 Mbps"/>
    <m/>
    <n v="30000000"/>
    <m/>
    <m/>
    <m/>
    <n v="0.15"/>
    <d v="2027-05-21T00:00:00"/>
    <d v="2028-05-20T00:00:00"/>
    <x v="1"/>
    <m/>
    <d v="2025-12-24T00:00:00"/>
    <n v="878"/>
    <n v="5"/>
    <n v="2028"/>
    <m/>
    <m/>
    <m/>
    <s v="Syifa Fauziyah"/>
    <s v="Rita, Mario"/>
    <m/>
    <m/>
    <m/>
    <m/>
    <m/>
    <m/>
    <m/>
    <m/>
    <m/>
    <m/>
    <m/>
  </r>
  <r>
    <n v="2546"/>
    <s v="PT Megalopolis Manunggal"/>
    <s v="PT. NETTOCYBER INDONESIA"/>
    <s v="Kawasan Industri MM2100"/>
    <x v="1"/>
    <s v="KOTA JAKARTA SELATAN, KUNINGAN TIMUR, SETIA BUDI, DKI JAKARTA"/>
    <s v="PT. LG Electronics Indonesia, Block - G, MM2100 Industrial Town"/>
    <s v="BAGI HASIL"/>
    <s v="Revenue Sharing"/>
    <m/>
    <s v="110120213519 - '01000172108"/>
    <m/>
    <s v="Metronet "/>
    <s v="1 Gbps"/>
    <m/>
    <n v="396000000"/>
    <m/>
    <m/>
    <m/>
    <n v="0.15"/>
    <d v="2027-05-21T00:00:00"/>
    <d v="2028-05-20T00:00:00"/>
    <x v="1"/>
    <m/>
    <d v="2025-12-24T00:00:00"/>
    <n v="878"/>
    <n v="5"/>
    <n v="2028"/>
    <m/>
    <m/>
    <m/>
    <s v="Syifa Fauziyah"/>
    <s v="Rita, Mario"/>
    <m/>
    <m/>
    <m/>
    <m/>
    <m/>
    <m/>
    <m/>
    <m/>
    <m/>
    <m/>
    <m/>
  </r>
  <r>
    <n v="2547"/>
    <s v="PT Megalopolis Manunggal"/>
    <s v="PT. APLIKANUSA LINTASARTA"/>
    <s v="Kawasan Industri MM2100"/>
    <x v="1"/>
    <s v="LA TBS"/>
    <s v="PT. WAHANA DIRGANTARA KAWASAN INDUSTRI MM-2100 BLOK H-7-1 BEKASI (2011007138) "/>
    <s v="BAGI HASIL"/>
    <s v="Revenue Sharing"/>
    <m/>
    <s v="0990000020273074"/>
    <m/>
    <s v="Metronet "/>
    <s v="4 Mbps"/>
    <m/>
    <n v="64800000"/>
    <m/>
    <m/>
    <m/>
    <n v="0.15"/>
    <d v="2027-05-21T00:00:00"/>
    <d v="2028-05-20T00:00:00"/>
    <x v="1"/>
    <m/>
    <d v="2025-12-24T00:00:00"/>
    <n v="878"/>
    <n v="5"/>
    <n v="2028"/>
    <m/>
    <m/>
    <m/>
    <s v="Syifa Fauziyah"/>
    <s v="Rita, Mario"/>
    <m/>
    <m/>
    <m/>
    <m/>
    <m/>
    <m/>
    <m/>
    <m/>
    <m/>
    <m/>
    <m/>
  </r>
  <r>
    <n v="2548"/>
    <s v="PT Megalopolis Manunggal"/>
    <s v="PT. APLIKANUSA LINTASARTA"/>
    <s v="Kawasan Industri MM2100"/>
    <x v="1"/>
    <s v="LA TBS"/>
    <s v="PT. Mandom Indonesia, Kawasan Industri MM2100 Blok PP, Jalan Irian, Jatiwangi"/>
    <s v="BAGI HASIL"/>
    <s v="Revenue Sharing"/>
    <m/>
    <s v="01000070275"/>
    <m/>
    <s v="Metro "/>
    <s v="10 Mbps"/>
    <m/>
    <n v="76950000"/>
    <m/>
    <m/>
    <m/>
    <n v="0.15"/>
    <d v="2027-05-21T00:00:00"/>
    <d v="2028-05-20T00:00:00"/>
    <x v="1"/>
    <m/>
    <d v="2025-12-24T00:00:00"/>
    <n v="878"/>
    <n v="5"/>
    <n v="2028"/>
    <m/>
    <m/>
    <m/>
    <s v="Syifa Fauziyah"/>
    <s v="Rita, Mario"/>
    <m/>
    <m/>
    <m/>
    <m/>
    <m/>
    <m/>
    <m/>
    <m/>
    <m/>
    <m/>
    <m/>
  </r>
  <r>
    <n v="2549"/>
    <s v="PT Megalopolis Manunggal"/>
    <s v="PT. HIPERNET INDODATA  "/>
    <s v="Kawasan Industri MM2100"/>
    <x v="1"/>
    <s v=" "/>
    <s v="PT. Jotun Indonesia, Kawasan Industri MM2100 Blok KK-1"/>
    <s v="BAGI HASIL"/>
    <s v="Revenue Sharing"/>
    <m/>
    <s v="01000076040"/>
    <m/>
    <s v="Metronet "/>
    <s v="80 Mbps"/>
    <m/>
    <n v="63600000"/>
    <m/>
    <m/>
    <m/>
    <n v="0.15"/>
    <d v="2027-05-21T00:00:00"/>
    <d v="2028-05-20T00:00:00"/>
    <x v="1"/>
    <m/>
    <d v="2025-12-24T00:00:00"/>
    <n v="878"/>
    <n v="5"/>
    <n v="2028"/>
    <m/>
    <m/>
    <m/>
    <s v="Syifa Fauziyah"/>
    <s v="Rita, Mario"/>
    <m/>
    <m/>
    <m/>
    <m/>
    <m/>
    <m/>
    <m/>
    <m/>
    <m/>
    <m/>
    <m/>
  </r>
  <r>
    <n v="2550"/>
    <s v="PT Megalopolis Manunggal"/>
    <s v="PT Netmarks Indonesia"/>
    <s v="Kawasan Industri MM2100"/>
    <x v="1"/>
    <s v=" "/>
    <s v=" PT. Yamaha Motor Mold Indonesia Jalan Irian XIII Blok QQ"/>
    <s v="BAGI HASIL"/>
    <s v="Revenue Sharing"/>
    <m/>
    <s v="04000354882"/>
    <m/>
    <s v="internet corp "/>
    <s v="10 Mbps"/>
    <m/>
    <n v="72000000"/>
    <m/>
    <m/>
    <m/>
    <n v="0.15"/>
    <d v="2027-05-21T00:00:00"/>
    <d v="2028-05-20T00:00:00"/>
    <x v="1"/>
    <m/>
    <d v="2025-12-24T00:00:00"/>
    <n v="878"/>
    <n v="5"/>
    <n v="2028"/>
    <m/>
    <m/>
    <m/>
    <s v="Syifa Fauziyah"/>
    <s v="Rita, Mario"/>
    <m/>
    <m/>
    <m/>
    <m/>
    <m/>
    <m/>
    <m/>
    <m/>
    <m/>
    <m/>
    <m/>
  </r>
  <r>
    <n v="2551"/>
    <s v="PT Megalopolis Manunggal"/>
    <s v="PT. PERTAMINA GAS"/>
    <s v="Kawasan Industri MM2100"/>
    <x v="1"/>
    <s v=" "/>
    <s v="Kawasan Industri MM2100 Jl. Jawa, Gandamekar, Kec. Cikarang Barat, Bekasi, Jawa Barat 17530"/>
    <s v="BAGI HASIL"/>
    <s v="Revenue Sharing"/>
    <m/>
    <s v="01000146610"/>
    <m/>
    <s v="IPVPN "/>
    <s v="512 Kbps"/>
    <m/>
    <n v="19449000"/>
    <m/>
    <m/>
    <m/>
    <n v="0.15"/>
    <d v="2027-05-21T00:00:00"/>
    <d v="2028-05-20T00:00:00"/>
    <x v="1"/>
    <m/>
    <d v="2025-12-24T00:00:00"/>
    <n v="878"/>
    <n v="5"/>
    <n v="2028"/>
    <m/>
    <m/>
    <m/>
    <s v="Syifa Fauziyah"/>
    <s v="Rita, Mario"/>
    <m/>
    <m/>
    <m/>
    <m/>
    <m/>
    <m/>
    <m/>
    <m/>
    <m/>
    <m/>
    <m/>
  </r>
  <r>
    <n v="2552"/>
    <s v="PT Megalopolis Manunggal"/>
    <s v="PT. PARSAORAN GLOBAL DATATRANS"/>
    <s v="Kawasan Industri MM2100"/>
    <x v="1"/>
    <s v=" "/>
    <s v="PT SUGITY CIKARANG JL. BALI BLOK J NO. 17-20 KAWASAN INDUSTRI MM2100, CIKARANG BARAT"/>
    <s v="BAGI HASIL"/>
    <s v="Revenue Sharing"/>
    <m/>
    <s v="110120204034 - 01000144258"/>
    <m/>
    <s v="Metronet "/>
    <s v="50 Mbps"/>
    <m/>
    <n v="96000000"/>
    <m/>
    <m/>
    <m/>
    <n v="0.15"/>
    <d v="2027-05-21T00:00:00"/>
    <d v="2028-05-20T00:00:00"/>
    <x v="1"/>
    <m/>
    <d v="2025-12-24T00:00:00"/>
    <n v="878"/>
    <n v="5"/>
    <n v="2028"/>
    <m/>
    <m/>
    <m/>
    <s v="Syifa Fauziyah"/>
    <s v="Rita, Mario"/>
    <m/>
    <m/>
    <m/>
    <m/>
    <m/>
    <m/>
    <m/>
    <m/>
    <m/>
    <m/>
    <m/>
  </r>
  <r>
    <n v="2553"/>
    <s v="PT Megalopolis Manunggal"/>
    <s v="PT. COMTRONICS SYSTEMS "/>
    <s v="Kawasan Industri MM2100"/>
    <x v="1"/>
    <s v="IDC DUREN TIGA, PANCORAN, KOTA JAKARTA SELATAN, DKI JAKARTA"/>
    <s v="PT. NSK Bearing Manufacturing Indonesia, Kawasan Berikat MM2100 Blok M4, Gandamekar"/>
    <s v="BAGI HASIL"/>
    <s v="Revenue Sharing"/>
    <m/>
    <s v="01000049639"/>
    <m/>
    <s v="METRO P2MP "/>
    <s v="10 Mbps"/>
    <m/>
    <n v="58200000"/>
    <m/>
    <m/>
    <m/>
    <n v="0.15"/>
    <d v="2027-05-21T00:00:00"/>
    <d v="2028-05-20T00:00:00"/>
    <x v="1"/>
    <m/>
    <d v="2025-12-24T00:00:00"/>
    <n v="878"/>
    <n v="5"/>
    <n v="2028"/>
    <m/>
    <m/>
    <m/>
    <s v="Syifa Fauziyah"/>
    <s v="Rita, Mario"/>
    <m/>
    <m/>
    <m/>
    <m/>
    <m/>
    <m/>
    <m/>
    <m/>
    <m/>
    <m/>
    <m/>
  </r>
  <r>
    <n v="2554"/>
    <s v="PT Api Metra Graha"/>
    <s v="BANK WOORI SAUDARA"/>
    <s v="Kawasan Industri MM2100"/>
    <x v="0"/>
    <m/>
    <s v="Jl. Gedung The Energy  (Medco Tower) Lot 11A SCB Jalan Sudirman Kav.52-53 Jakarta 12190"/>
    <s v="BAGI HASIL"/>
    <s v="Revenue Sharing"/>
    <m/>
    <s v="0990000320309838"/>
    <m/>
    <s v="Metronet"/>
    <m/>
    <m/>
    <n v="132000000"/>
    <m/>
    <m/>
    <m/>
    <n v="0.12"/>
    <d v="2024-10-30T00:00:00"/>
    <d v="2025-10-29T00:00:00"/>
    <x v="0"/>
    <m/>
    <d v="2025-12-24T00:00:00"/>
    <n v="-56"/>
    <n v="10"/>
    <n v="2025"/>
    <m/>
    <m/>
    <m/>
    <s v="Syifa Fauziyah"/>
    <s v="Putra"/>
    <m/>
    <m/>
    <m/>
    <m/>
    <m/>
    <m/>
    <m/>
    <m/>
    <m/>
    <m/>
    <m/>
  </r>
  <r>
    <n v="2555"/>
    <s v="PT Api Metra Graha"/>
    <s v="BUT. SARULLA OPERATIONS LTD"/>
    <s v="Data Center The Energy-PT Api Metra Graha"/>
    <x v="0"/>
    <m/>
    <s v="Jl. Gedung The Energy  (Medco Tower) Lot 11A SCB Jalan Sudirman Kav.52-53 Jakarta 12190"/>
    <s v="BAGI HASIL"/>
    <s v="Revenue Sharing"/>
    <m/>
    <s v="06000197361"/>
    <m/>
    <s v="IPVPN"/>
    <m/>
    <m/>
    <n v="228000000"/>
    <m/>
    <m/>
    <m/>
    <n v="0.12"/>
    <d v="2024-10-30T00:00:00"/>
    <d v="2025-10-29T00:00:00"/>
    <x v="0"/>
    <m/>
    <d v="2025-12-24T00:00:00"/>
    <n v="-56"/>
    <n v="10"/>
    <n v="2025"/>
    <m/>
    <m/>
    <m/>
    <s v="Syifa Fauziyah"/>
    <s v="Putra"/>
    <m/>
    <m/>
    <m/>
    <m/>
    <m/>
    <m/>
    <m/>
    <m/>
    <m/>
    <m/>
    <m/>
  </r>
  <r>
    <n v="2556"/>
    <s v="PT Api Metra Graha"/>
    <s v="BANK WOORI SAUDARA"/>
    <s v="Data Center The Energy-PT Api Metra Graha"/>
    <x v="1"/>
    <m/>
    <s v="Jl. Gedung The Energy  (Medco Tower) Lot 11A SCB Jalan Sudirman Kav.52-53 Jakarta 12190"/>
    <s v="BAGI HASIL"/>
    <s v="Revenue Sharing"/>
    <m/>
    <s v="0990000320309838"/>
    <m/>
    <s v="Metronet"/>
    <m/>
    <m/>
    <n v="132000000"/>
    <m/>
    <m/>
    <m/>
    <n v="0.12"/>
    <d v="2025-10-30T00:00:00"/>
    <d v="2026-10-29T00:00:00"/>
    <x v="1"/>
    <m/>
    <d v="2025-12-24T00:00:00"/>
    <n v="309"/>
    <n v="10"/>
    <n v="2026"/>
    <m/>
    <m/>
    <m/>
    <s v="Syifa Fauziyah"/>
    <s v="Putra"/>
    <m/>
    <m/>
    <m/>
    <m/>
    <m/>
    <m/>
    <m/>
    <m/>
    <m/>
    <m/>
    <m/>
  </r>
  <r>
    <n v="2557"/>
    <s v="PT Api Metra Graha"/>
    <s v="BUT. SARULLA OPERATIONS LTD"/>
    <s v="Data Center The Energy-PT Api Metra Graha"/>
    <x v="1"/>
    <m/>
    <s v="Jl. Gedung The Energy  (Medco Tower) Lot 11A SCB Jalan Sudirman Kav.52-53 Jakarta 12190"/>
    <s v="BAGI HASIL"/>
    <s v="Revenue Sharing"/>
    <m/>
    <s v="06000197361"/>
    <m/>
    <s v="IPVPN"/>
    <m/>
    <m/>
    <n v="228000000"/>
    <m/>
    <m/>
    <m/>
    <n v="0.12"/>
    <d v="2025-10-30T00:00:00"/>
    <d v="2026-10-29T00:00:00"/>
    <x v="1"/>
    <m/>
    <d v="2025-12-24T00:00:00"/>
    <n v="309"/>
    <n v="10"/>
    <n v="2026"/>
    <m/>
    <m/>
    <m/>
    <s v="Syifa Fauziyah"/>
    <s v="Putra"/>
    <m/>
    <m/>
    <m/>
    <m/>
    <m/>
    <m/>
    <m/>
    <m/>
    <m/>
    <m/>
    <m/>
  </r>
  <r>
    <n v="2558"/>
    <s v="PT Api Metra Graha"/>
    <s v="BANK WOORI SAUDARA"/>
    <s v="Data Center The Energy-PT Api Metra Graha"/>
    <x v="1"/>
    <m/>
    <s v="Jl. Gedung The Energy  (Medco Tower) Lot 11A SCB Jalan Sudirman Kav.52-53 Jakarta 12190"/>
    <s v="BAGI HASIL"/>
    <s v="Revenue Sharing"/>
    <m/>
    <s v="0990000320309838"/>
    <m/>
    <s v="Metronet"/>
    <m/>
    <m/>
    <n v="132000000"/>
    <m/>
    <m/>
    <m/>
    <n v="0.12"/>
    <d v="2026-10-10T00:00:00"/>
    <d v="2027-10-29T00:00:00"/>
    <x v="1"/>
    <m/>
    <d v="2025-12-24T00:00:00"/>
    <n v="674"/>
    <n v="10"/>
    <n v="2027"/>
    <m/>
    <m/>
    <m/>
    <s v="Syifa Fauziyah"/>
    <s v="Putra"/>
    <m/>
    <m/>
    <m/>
    <m/>
    <m/>
    <m/>
    <m/>
    <m/>
    <m/>
    <m/>
    <m/>
  </r>
  <r>
    <n v="2559"/>
    <s v="PT Api Metra Graha"/>
    <s v="BUT. SARULLA OPERATIONS LTD"/>
    <s v="Data Center The Energy-PT Api Metra Graha"/>
    <x v="1"/>
    <m/>
    <s v="Jl. Gedung The Energy  (Medco Tower) Lot 11A SCB Jalan Sudirman Kav.52-53 Jakarta 12190"/>
    <s v="BAGI HASIL"/>
    <s v="Revenue Sharing"/>
    <m/>
    <s v="06000197361"/>
    <m/>
    <s v="IPVPN"/>
    <m/>
    <m/>
    <n v="228000000"/>
    <m/>
    <m/>
    <m/>
    <n v="0.12"/>
    <d v="2026-10-10T00:00:00"/>
    <d v="2027-10-29T00:00:00"/>
    <x v="1"/>
    <m/>
    <d v="2025-12-24T00:00:00"/>
    <n v="674"/>
    <n v="10"/>
    <n v="2027"/>
    <m/>
    <m/>
    <m/>
    <s v="Syifa Fauziyah"/>
    <s v="Putra"/>
    <m/>
    <m/>
    <m/>
    <m/>
    <m/>
    <m/>
    <m/>
    <m/>
    <m/>
    <m/>
    <m/>
  </r>
  <r>
    <n v="2560"/>
    <s v="PT Wisma keiai Indonesia"/>
    <s v="PT Mitsui Chemical Polyurethanes Indonesia"/>
    <s v="Data Center The Energy-PT Api Metra Graha"/>
    <x v="0"/>
    <m/>
    <s v="Kawasan Industri Indotaisei, Sektor IA Blok F-1A Kalihurip, Cikampek 41373, Jawa Barat"/>
    <s v="BAGI HASIL"/>
    <s v="Revenue Sharing"/>
    <m/>
    <m/>
    <m/>
    <s v="Metronet"/>
    <m/>
    <m/>
    <n v="144000000"/>
    <m/>
    <m/>
    <m/>
    <n v="0.2"/>
    <d v="2024-12-01T00:00:00"/>
    <d v="2025-11-30T00:00:00"/>
    <x v="0"/>
    <m/>
    <d v="2025-12-24T00:00:00"/>
    <n v="-24"/>
    <n v="11"/>
    <n v="2025"/>
    <m/>
    <m/>
    <m/>
    <s v="Syifa Fauziyah"/>
    <s v="Ella, Reza"/>
    <m/>
    <m/>
    <m/>
    <m/>
    <m/>
    <m/>
    <m/>
    <m/>
    <m/>
    <m/>
    <m/>
  </r>
  <r>
    <n v="2561"/>
    <s v="PT Wisma keiai Indonesia"/>
    <s v="PT Mitsui Chemical Polyurethanes Indonesia"/>
    <s v="Gedung Wisma Keia/wisma kyoe prince"/>
    <x v="1"/>
    <m/>
    <s v="Kawasan Industri Indotaisei, Sektor IA Blok F-1A Kalihurip, Cikampek 41373, Jawa Barat"/>
    <s v="BAGI HASIL"/>
    <s v="Revenue Sharing"/>
    <m/>
    <m/>
    <m/>
    <s v="Metronet"/>
    <m/>
    <m/>
    <n v="144000000"/>
    <m/>
    <m/>
    <m/>
    <n v="0.2"/>
    <d v="2025-12-01T00:00:00"/>
    <d v="2026-11-30T00:00:00"/>
    <x v="1"/>
    <m/>
    <d v="2025-12-24T00:00:00"/>
    <n v="341"/>
    <n v="11"/>
    <n v="2026"/>
    <m/>
    <m/>
    <m/>
    <s v="Syifa Fauziyah"/>
    <s v="Ella, Reza"/>
    <m/>
    <m/>
    <m/>
    <m/>
    <m/>
    <m/>
    <m/>
    <m/>
    <m/>
    <m/>
    <m/>
  </r>
  <r>
    <n v="2562"/>
    <s v="PT Netciti Persada"/>
    <s v="PT. RAJAWALI NUSANTARA INDONESIA (RNI)"/>
    <s v="Gedung Wisma Keia/wisma kyoe prince"/>
    <x v="0"/>
    <m/>
    <s v="Gd. Waskita Rajawali tower Jl. MT Haryono Jl. Letjen M.T. Haryono No.Kav. 12-13, RT.4/RW.11, Bidara Cina, Kecamatan Jatinegara, Kota Jakarta Timur, Daerah Khusus Ibukota Jakarta 13330,Jati Negara ,Jakarta Timur"/>
    <s v="BAGI HASIL"/>
    <s v="Revenue Sharing"/>
    <m/>
    <s v="08000192117"/>
    <m/>
    <s v="internet corporate"/>
    <m/>
    <m/>
    <n v="139560000"/>
    <m/>
    <m/>
    <m/>
    <n v="0.25"/>
    <d v="2023-03-08T00:00:00"/>
    <d v="2024-03-07T00:00:00"/>
    <x v="0"/>
    <m/>
    <d v="2025-12-24T00:00:00"/>
    <n v="-657"/>
    <n v="3"/>
    <n v="2024"/>
    <m/>
    <m/>
    <m/>
    <s v="Syifa Fauziyah"/>
    <s v="Carolline, Bayu"/>
    <m/>
    <m/>
    <m/>
    <m/>
    <m/>
    <m/>
    <m/>
    <m/>
    <m/>
    <m/>
    <m/>
  </r>
  <r>
    <n v="2563"/>
    <s v="PT Netciti Persada"/>
    <s v="PT. RAJAWALI NUSANTARA INDONESIA (RNI)"/>
    <s v="kawasan alam sutera- Netciti Persada"/>
    <x v="0"/>
    <m/>
    <s v="Gd. Waskita Rajawali tower Jl. MT Haryono Jl. Letjen M.T. Haryono No.Kav. 12-13, RT.4/RW.11, Bidara Cina, Kecamatan Jatinegara, Kota Jakarta Timur, Daerah Khusus Ibukota Jakarta 13330,Jati Negara ,Jakarta Timur"/>
    <s v="BAGI HASIL"/>
    <s v="Revenue Sharing"/>
    <m/>
    <s v="08000192117"/>
    <m/>
    <s v="internet corporate"/>
    <m/>
    <m/>
    <n v="139560000"/>
    <m/>
    <m/>
    <m/>
    <n v="0.25"/>
    <d v="2024-03-08T00:00:00"/>
    <d v="2025-03-07T00:00:00"/>
    <x v="0"/>
    <m/>
    <d v="2025-12-24T00:00:00"/>
    <n v="-292"/>
    <n v="3"/>
    <n v="2025"/>
    <m/>
    <m/>
    <m/>
    <s v="Syifa Fauziyah"/>
    <s v="Carolline, Bayu"/>
    <m/>
    <m/>
    <m/>
    <m/>
    <m/>
    <m/>
    <m/>
    <m/>
    <m/>
    <m/>
    <m/>
  </r>
  <r>
    <n v="2564"/>
    <s v="PT Netciti Persada"/>
    <s v="PT. RAJAWALI NUSANTARA INDONESIA (RNI)"/>
    <s v="kawasan alam sutera- Netciti Persada"/>
    <x v="1"/>
    <m/>
    <s v="Gd. Waskita Rajawali tower Jl. MT Haryono Jl. Letjen M.T. Haryono No.Kav. 12-13, RT.4/RW.11, Bidara Cina, Kecamatan Jatinegara, Kota Jakarta Timur, Daerah Khusus Ibukota Jakarta 13330,Jati Negara ,Jakarta Timur"/>
    <s v="BAGI HASIL"/>
    <s v="Revenue Sharing"/>
    <m/>
    <s v="08000192117"/>
    <m/>
    <s v="internet corporate"/>
    <m/>
    <m/>
    <n v="139560000"/>
    <m/>
    <m/>
    <m/>
    <n v="0.25"/>
    <d v="2025-03-08T00:00:00"/>
    <d v="2026-03-07T00:00:00"/>
    <x v="1"/>
    <m/>
    <d v="2025-12-24T00:00:00"/>
    <n v="73"/>
    <n v="3"/>
    <n v="2026"/>
    <m/>
    <m/>
    <m/>
    <s v="Syifa Fauziyah"/>
    <s v="Carolline, Bayu"/>
    <m/>
    <m/>
    <m/>
    <m/>
    <m/>
    <m/>
    <m/>
    <m/>
    <m/>
    <m/>
    <m/>
  </r>
  <r>
    <n v="2565"/>
    <s v="PT Jejaring Ultra Prima"/>
    <s v="PT TOYOTA ASTRA FINANCIAL SERVICES"/>
    <s v="kawasan alam sutera- Netciti Persada"/>
    <x v="0"/>
    <m/>
    <s v="Toyota Astra Finance Bekasi, Ruko Emerald Blok UA No. 12 Summarecon Bekasi,"/>
    <s v="BAGI HASIL"/>
    <s v="Revenue Sharing"/>
    <s v="AL/1809/9320"/>
    <m/>
    <m/>
    <s v="Metronet"/>
    <m/>
    <m/>
    <n v="15600000"/>
    <m/>
    <m/>
    <m/>
    <n v="0.12"/>
    <d v="2024-06-06T00:00:00"/>
    <d v="2025-06-05T00:00:00"/>
    <x v="0"/>
    <m/>
    <d v="2025-12-24T00:00:00"/>
    <n v="-202"/>
    <n v="6"/>
    <n v="2025"/>
    <m/>
    <m/>
    <m/>
    <s v="Syifa Fauziyah"/>
    <s v="Cynthia"/>
    <m/>
    <m/>
    <m/>
    <m/>
    <m/>
    <m/>
    <m/>
    <m/>
    <m/>
    <m/>
    <m/>
  </r>
  <r>
    <n v="2566"/>
    <s v="PT Jejaring Ultra Prima"/>
    <s v="PT TOYOTA ASTRA FINANCIAL SERVICES"/>
    <s v="Kawasan Summarecon Bekasi- JJUP"/>
    <x v="1"/>
    <m/>
    <s v="Toyota Astra Finance Bekasi, Ruko Emerald Blok UA No. 12 Summarecon Bekasi,"/>
    <s v="BAGI HASIL"/>
    <s v="Revenue Sharing"/>
    <s v="AL/1809/9320"/>
    <m/>
    <m/>
    <s v="Metronet"/>
    <m/>
    <m/>
    <n v="15600000"/>
    <m/>
    <m/>
    <m/>
    <n v="0.12"/>
    <d v="2025-06-06T00:00:00"/>
    <d v="2026-06-05T00:00:00"/>
    <x v="1"/>
    <m/>
    <d v="2025-12-24T00:00:00"/>
    <n v="163"/>
    <n v="6"/>
    <n v="2026"/>
    <m/>
    <m/>
    <m/>
    <s v="Syifa Fauziyah"/>
    <s v="Cynthia"/>
    <m/>
    <m/>
    <m/>
    <m/>
    <m/>
    <m/>
    <m/>
    <m/>
    <m/>
    <m/>
    <m/>
  </r>
  <r>
    <n v="2567"/>
    <s v="PT Jejaring Ultra Prima"/>
    <s v="PT TOYOTA ASTRA FINANCIAL SERVICES"/>
    <s v="Kawasan Summarecon Bekasi- JJUP"/>
    <x v="1"/>
    <m/>
    <s v="Toyota Astra Finance Bekasi, Ruko Emerald Blok UA No. 12 Summarecon Bekasi,"/>
    <s v="BAGI HASIL"/>
    <s v="Revenue Sharing"/>
    <s v="AL/1809/9320"/>
    <m/>
    <m/>
    <s v="Metronet"/>
    <m/>
    <m/>
    <n v="15600000"/>
    <m/>
    <m/>
    <m/>
    <n v="0.12"/>
    <d v="2025-06-06T00:00:00"/>
    <d v="2026-06-05T00:00:00"/>
    <x v="1"/>
    <m/>
    <d v="2025-12-24T00:00:00"/>
    <n v="163"/>
    <n v="6"/>
    <n v="2026"/>
    <m/>
    <m/>
    <m/>
    <s v="Syifa Fauziyah"/>
    <s v="Cynthia"/>
    <m/>
    <m/>
    <m/>
    <m/>
    <m/>
    <m/>
    <m/>
    <m/>
    <m/>
    <m/>
    <m/>
  </r>
  <r>
    <n v="2568"/>
    <s v="PT Jejaring Ultra Prima"/>
    <s v="PT TOYOTA ASTRA FINANCIAL SERVICES"/>
    <s v="Kawasan Summarecon Bekasi- JJUP"/>
    <x v="1"/>
    <m/>
    <s v="Toyota Astra Finance Bekasi, Ruko Emerald Blok UA No. 12 Summarecon Bekasi,"/>
    <s v="BAGI HASIL"/>
    <s v="Revenue Sharing"/>
    <s v="AL/1809/9320"/>
    <m/>
    <m/>
    <s v="Metronet"/>
    <m/>
    <m/>
    <n v="15600000"/>
    <m/>
    <m/>
    <m/>
    <n v="0.12"/>
    <d v="2026-06-06T00:00:00"/>
    <d v="2027-06-05T00:00:00"/>
    <x v="1"/>
    <m/>
    <d v="2025-12-24T00:00:00"/>
    <n v="528"/>
    <n v="6"/>
    <n v="2027"/>
    <m/>
    <m/>
    <m/>
    <s v="Syifa Fauziyah"/>
    <s v="Cynthia"/>
    <m/>
    <m/>
    <m/>
    <m/>
    <m/>
    <m/>
    <m/>
    <m/>
    <m/>
    <m/>
    <m/>
  </r>
  <r>
    <n v="2569"/>
    <s v="PT Jejaring Ultra Prima"/>
    <s v="PT TOYOTA ASTRA FINANCIAL SERVICES"/>
    <s v="Kawasan Summarecon Bekasi- JJUP"/>
    <x v="1"/>
    <m/>
    <s v="Toyota Astra Finance Bekasi, Ruko Emerald Blok UA No. 12 Summarecon Bekasi,"/>
    <s v="BAGI HASIL"/>
    <s v="Revenue Sharing"/>
    <s v="AL/1809/9320"/>
    <m/>
    <m/>
    <s v="Metronet"/>
    <m/>
    <m/>
    <n v="15600000"/>
    <m/>
    <m/>
    <m/>
    <n v="0.12"/>
    <d v="2027-06-06T00:00:00"/>
    <d v="2028-06-05T00:00:00"/>
    <x v="1"/>
    <m/>
    <d v="2025-12-24T00:00:00"/>
    <n v="894"/>
    <n v="6"/>
    <n v="2028"/>
    <m/>
    <m/>
    <m/>
    <s v="Syifa Fauziyah"/>
    <s v="Cynthia"/>
    <m/>
    <m/>
    <m/>
    <m/>
    <m/>
    <m/>
    <m/>
    <m/>
    <m/>
    <m/>
    <m/>
  </r>
  <r>
    <n v="2570"/>
    <s v="PT Jejaring Ultra Prima"/>
    <s v="PT BANK MANDIRI BEKASI "/>
    <s v="Kawasan Summarecon Bekasi- JJUP"/>
    <x v="0"/>
    <m/>
    <s v="Menara Mandiri Bekasi, Jl. Boulevard ahmad yani RT06/02 Marga mulya(lokasi persis Kantor Pemasaran Summarecon Bekasi). Kec. Bekasi Utara Kota Bekasi."/>
    <s v="BAGI HASIL"/>
    <s v="Revenue Sharing"/>
    <s v="AL/2012/78362"/>
    <m/>
    <m/>
    <s v="Metronet"/>
    <m/>
    <m/>
    <n v="163636368"/>
    <m/>
    <m/>
    <m/>
    <n v="0.25"/>
    <d v="2022-01-01T00:00:00"/>
    <d v="2023-01-02T00:00:00"/>
    <x v="0"/>
    <m/>
    <d v="2025-12-24T00:00:00"/>
    <n v="-1087"/>
    <n v="1"/>
    <n v="2023"/>
    <m/>
    <m/>
    <m/>
    <s v="Syifa Fauziyah"/>
    <s v="Cynthia"/>
    <m/>
    <m/>
    <m/>
    <m/>
    <m/>
    <m/>
    <m/>
    <m/>
    <m/>
    <m/>
    <m/>
  </r>
  <r>
    <n v="2571"/>
    <s v="PT Jejaring Ultra Prima"/>
    <s v="PT BANK MANDIRI BEKASI "/>
    <s v="Kawasan Summarecon Bekasi- JJUP"/>
    <x v="0"/>
    <m/>
    <s v="Menara Mandiri Bekasi, Jl. Boulevard ahmad yani RT06/02 Marga mulya(lokasi persis Kantor Pemasaran Summarecon Bekasi). Kec. Bekasi Utara Kota Bekasi."/>
    <s v="BAGI HASIL"/>
    <s v="Revenue Sharing"/>
    <s v="AL/2012/78362"/>
    <m/>
    <m/>
    <s v="Metronet"/>
    <m/>
    <m/>
    <n v="163636368"/>
    <m/>
    <m/>
    <m/>
    <n v="0.25"/>
    <d v="2023-01-01T00:00:00"/>
    <d v="2024-01-02T00:00:00"/>
    <x v="0"/>
    <m/>
    <d v="2025-08-28T00:00:00"/>
    <n v="-604"/>
    <n v="1"/>
    <n v="2024"/>
    <m/>
    <m/>
    <m/>
    <s v="Syifa Fauziyah"/>
    <s v="Cynthia"/>
    <m/>
    <m/>
    <m/>
    <m/>
    <m/>
    <m/>
    <m/>
    <m/>
    <m/>
    <m/>
    <m/>
  </r>
  <r>
    <n v="2572"/>
    <s v="PT Jejaring Ultra Prima"/>
    <s v="PT BANK MANDIRI BEKASI "/>
    <s v="Kawasan Summarecon Bekasi- JJUP"/>
    <x v="0"/>
    <m/>
    <s v="Menara Mandiri Bekasi, Jl. Boulevard ahmad yani RT06/02 Marga mulya(lokasi persis Kantor Pemasaran Summarecon Bekasi). Kec. Bekasi Utara Kota Bekasi."/>
    <s v="BAGI HASIL"/>
    <s v="Revenue Sharing"/>
    <s v="AL/2012/78362"/>
    <m/>
    <m/>
    <s v="Metronet"/>
    <m/>
    <m/>
    <n v="163636368"/>
    <m/>
    <m/>
    <m/>
    <n v="0.25"/>
    <d v="2024-01-01T00:00:00"/>
    <d v="2025-01-02T00:00:00"/>
    <x v="0"/>
    <m/>
    <d v="2025-08-28T00:00:00"/>
    <n v="-238"/>
    <n v="1"/>
    <n v="2025"/>
    <m/>
    <m/>
    <m/>
    <s v="Syifa Fauziyah"/>
    <s v="Cynthia"/>
    <m/>
    <m/>
    <m/>
    <m/>
    <m/>
    <m/>
    <m/>
    <m/>
    <m/>
    <m/>
    <m/>
  </r>
  <r>
    <n v="2573"/>
    <s v="PT Jejaring Ultra Prima"/>
    <s v="PT BANK MANDIRI BEKASI "/>
    <s v="Kawasan Summarecon Bekasi- JJUP"/>
    <x v="1"/>
    <m/>
    <s v="Menara Mandiri Bekasi, Jl. Boulevard ahmad yani RT06/02 Marga mulya(lokasi persis Kantor Pemasaran Summarecon Bekasi). Kec. Bekasi Utara Kota Bekasi."/>
    <s v="BAGI HASIL"/>
    <s v="Revenue Sharing"/>
    <s v="AL/2012/78362"/>
    <m/>
    <m/>
    <s v="Metronet"/>
    <m/>
    <m/>
    <n v="163636368"/>
    <m/>
    <m/>
    <m/>
    <n v="0.25"/>
    <d v="2025-01-01T00:00:00"/>
    <d v="2026-01-02T00:00:00"/>
    <x v="1"/>
    <m/>
    <d v="2025-08-28T00:00:00"/>
    <n v="127"/>
    <n v="1"/>
    <n v="2026"/>
    <m/>
    <m/>
    <m/>
    <s v="Syifa Fauziyah"/>
    <s v="Cynthia"/>
    <m/>
    <m/>
    <m/>
    <m/>
    <m/>
    <m/>
    <m/>
    <m/>
    <m/>
    <m/>
    <m/>
  </r>
  <r>
    <n v="2574"/>
    <s v="PT Krakatau Information Technology"/>
    <s v="PT FKS MULTI AGRO"/>
    <s v="Kawasan Summarecon Bekasi- JJUP"/>
    <x v="0"/>
    <m/>
    <s v="PT sentral grain terminal site Cilegon, tegalratu, ciwandan, kota cilegon, banten"/>
    <s v="BAGI HASIL"/>
    <s v="Revenue Sharing"/>
    <m/>
    <s v="0111303011280"/>
    <m/>
    <s v="Internet Corporate"/>
    <s v="20 Mbps"/>
    <m/>
    <n v="97200000"/>
    <m/>
    <m/>
    <m/>
    <n v="0.35"/>
    <d v="2024-09-01T00:00:00"/>
    <d v="2025-08-31T00:00:00"/>
    <x v="0"/>
    <m/>
    <d v="2025-12-24T00:00:00"/>
    <n v="-115"/>
    <n v="8"/>
    <n v="2025"/>
    <m/>
    <m/>
    <m/>
    <s v="Syifa Fauziyah"/>
    <s v="Diki, Desy"/>
    <m/>
    <m/>
    <m/>
    <m/>
    <m/>
    <m/>
    <m/>
    <m/>
    <m/>
    <m/>
    <m/>
  </r>
  <r>
    <n v="2575"/>
    <s v="PT Krakatau Information Technology"/>
    <s v="PT PANCA PURI PERKASA"/>
    <s v="Kawasan Krakatau Steel- KIT"/>
    <x v="0"/>
    <m/>
    <s v="JL. Amerika 1 kaw. Industri krakatau citangkil, kota cilegon, banten"/>
    <s v="BAGI HASIL"/>
    <s v="Revenue Sharing"/>
    <m/>
    <s v="04000148243"/>
    <m/>
    <s v="Internet Corporate"/>
    <s v="100 Mbps"/>
    <m/>
    <n v="171000000"/>
    <m/>
    <m/>
    <m/>
    <n v="0.35"/>
    <d v="2024-09-01T00:00:00"/>
    <d v="2025-08-31T00:00:00"/>
    <x v="0"/>
    <m/>
    <d v="2025-12-24T00:00:00"/>
    <n v="-115"/>
    <n v="8"/>
    <n v="2025"/>
    <m/>
    <m/>
    <m/>
    <s v="Syifa Fauziyah"/>
    <s v="Diki, Desy"/>
    <m/>
    <m/>
    <m/>
    <m/>
    <m/>
    <m/>
    <m/>
    <m/>
    <m/>
    <m/>
    <m/>
  </r>
  <r>
    <n v="2576"/>
    <s v="PT Krakatau Information Technology"/>
    <s v="PT. KNAUF PLASTERBOARD INDONESIA"/>
    <s v="Kawasan Krakatau Steel- KIT"/>
    <x v="0"/>
    <m/>
    <s v="Jl. Asia 1 Kav G3. Kawasan Industri Krakatau. Kel. Kotasari, Ramanuju, Kec. Purwakarta, Cilegon, Banten, Indonesia 42436"/>
    <s v="BAGI HASIL"/>
    <s v="Revenue Sharing"/>
    <m/>
    <s v="04000193847"/>
    <m/>
    <s v="Internet Corporate"/>
    <s v="5 Mbps"/>
    <m/>
    <n v="90000000"/>
    <m/>
    <m/>
    <m/>
    <n v="0.35"/>
    <d v="2024-09-01T00:00:00"/>
    <d v="2025-08-31T00:00:00"/>
    <x v="0"/>
    <m/>
    <d v="2025-12-24T00:00:00"/>
    <n v="-115"/>
    <n v="8"/>
    <n v="2025"/>
    <m/>
    <m/>
    <m/>
    <s v="Syifa Fauziyah"/>
    <s v="Diki, Desy"/>
    <m/>
    <m/>
    <m/>
    <m/>
    <m/>
    <m/>
    <m/>
    <m/>
    <m/>
    <m/>
    <m/>
  </r>
  <r>
    <n v="2577"/>
    <s v="PT Krakatau Information Technology"/>
    <s v="PT TOKKI ENGINEERING AND FABRICATION"/>
    <s v="Kawasan Krakatau Steel- KIT"/>
    <x v="0"/>
    <m/>
    <s v="PT. Tokki EF (Ex PT GSU) Kawasan IEC, Jl. Australia I, Warnasari, Kec. Citangkil, Kota Cilegon, Banten, Indonesia 42443"/>
    <s v="BAGI HASIL"/>
    <s v="Revenue Sharing"/>
    <m/>
    <s v="AL/2109/80801 - 04000164401"/>
    <m/>
    <s v="Internet Corporate"/>
    <s v="50 mbps "/>
    <m/>
    <n v="96000000"/>
    <m/>
    <m/>
    <m/>
    <n v="0.35"/>
    <d v="2024-09-01T00:00:00"/>
    <d v="2025-08-31T00:00:00"/>
    <x v="0"/>
    <m/>
    <d v="2025-12-24T00:00:00"/>
    <n v="-115"/>
    <n v="8"/>
    <n v="2025"/>
    <m/>
    <m/>
    <m/>
    <s v="Syifa Fauziyah"/>
    <s v="Diki, Desy"/>
    <m/>
    <m/>
    <m/>
    <m/>
    <m/>
    <m/>
    <m/>
    <m/>
    <m/>
    <m/>
    <m/>
  </r>
  <r>
    <n v="2578"/>
    <s v="PT Krakatau Information Technology"/>
    <s v="PT IX Telecom qq"/>
    <s v="Kawasan Krakatau Steel- KIT"/>
    <x v="0"/>
    <m/>
    <s v="PT SCG Barito Logistics (Pergudangan Australia) Cilegon, Ramanuju, Kec. Purwakarta, Kota Cilegon Banten, Indonesia 42432"/>
    <s v="BAGI HASIL"/>
    <s v="Revenue Sharing"/>
    <m/>
    <s v="AL/2112/144587 - 04000164335"/>
    <m/>
    <s v="Internet Corporate"/>
    <s v="30 Mbps"/>
    <m/>
    <n v="64800000"/>
    <m/>
    <m/>
    <m/>
    <n v="0.35"/>
    <d v="2024-09-01T00:00:00"/>
    <d v="2025-08-31T00:00:00"/>
    <x v="0"/>
    <m/>
    <d v="2025-12-24T00:00:00"/>
    <n v="-115"/>
    <n v="8"/>
    <n v="2025"/>
    <m/>
    <m/>
    <m/>
    <s v="Syifa Fauziyah"/>
    <s v="Diki, Desy"/>
    <m/>
    <m/>
    <m/>
    <m/>
    <m/>
    <m/>
    <m/>
    <m/>
    <m/>
    <m/>
    <m/>
  </r>
  <r>
    <n v="2579"/>
    <s v="PT Krakatau Information Technology"/>
    <s v="PT DAEKYUNG  INDAH INDUSTRY"/>
    <s v="Kawasan Krakatau Steel- KIT"/>
    <x v="0"/>
    <m/>
    <s v="PT Rohm and Haas Indonesia  Jl. Eropa III Kav M2 Krakatau Industrial Estate Cilegon Warnasari,  Citangkil,  Kota Cilegon,  Banten"/>
    <s v="BAGI HASIL"/>
    <s v="Revenue Sharing"/>
    <m/>
    <s v="AL/2209/286295 - 04000299154"/>
    <m/>
    <s v="Internet Corporate"/>
    <s v="5 Mbps"/>
    <m/>
    <n v="60000000"/>
    <m/>
    <m/>
    <m/>
    <n v="0.35"/>
    <d v="2024-09-01T00:00:00"/>
    <d v="2025-08-31T00:00:00"/>
    <x v="0"/>
    <m/>
    <d v="2025-12-24T00:00:00"/>
    <n v="-115"/>
    <n v="8"/>
    <n v="2025"/>
    <m/>
    <m/>
    <m/>
    <s v="Syifa Fauziyah"/>
    <s v="Diki, Desy"/>
    <m/>
    <m/>
    <m/>
    <m/>
    <m/>
    <m/>
    <m/>
    <m/>
    <m/>
    <m/>
    <m/>
  </r>
  <r>
    <n v="2580"/>
    <s v="PT Krakatau Information Technology"/>
    <s v="PT. COMMUNICATION CABLE SYSTEMS INDONESIA TBK (JL. Eropa II)"/>
    <s v="Kawasan Krakatau Steel- KIT"/>
    <x v="0"/>
    <m/>
    <s v="PT Daekyung Heavy Industry Kawasan KIEC Jalan Australia II Kavling 1, Kec. Citangkil, Kota Cilegon, Banten, Indonesia. 42443"/>
    <s v="BAGI HASIL"/>
    <s v="Revenue Sharing"/>
    <m/>
    <s v="AL/2208/242322 - 04000300253"/>
    <m/>
    <s v="Internet Corporate"/>
    <s v="20 Mbps"/>
    <m/>
    <n v="117000000"/>
    <m/>
    <m/>
    <m/>
    <n v="0.35"/>
    <d v="2024-09-01T00:00:00"/>
    <d v="2025-08-31T00:00:00"/>
    <x v="0"/>
    <m/>
    <d v="2025-12-24T00:00:00"/>
    <n v="-115"/>
    <n v="8"/>
    <n v="2025"/>
    <m/>
    <m/>
    <m/>
    <s v="Syifa Fauziyah"/>
    <s v="Diki, Desy"/>
    <m/>
    <m/>
    <m/>
    <m/>
    <m/>
    <m/>
    <m/>
    <m/>
    <m/>
    <m/>
    <m/>
  </r>
  <r>
    <n v="2581"/>
    <s v="PT Krakatau Information Technology"/>
    <s v="PT. LINK NET"/>
    <s v="Kawasan Krakatau Steel- KIT"/>
    <x v="0"/>
    <m/>
    <s v="Jl. Eropa II, Kav E3 KIEC. Cilegon - Banten, Cilegon, Banten, Indonesia, 42435"/>
    <s v="BAGI HASIL"/>
    <s v="Revenue Sharing"/>
    <m/>
    <s v="AL/2208/244252 - 01000209466"/>
    <m/>
    <s v="Internet Corporate"/>
    <s v="50 Mbps dan Bronze Units"/>
    <m/>
    <n v="78000000"/>
    <m/>
    <m/>
    <m/>
    <n v="0.35"/>
    <d v="2024-09-01T00:00:00"/>
    <d v="2025-08-31T00:00:00"/>
    <x v="0"/>
    <m/>
    <d v="2025-12-24T00:00:00"/>
    <n v="-115"/>
    <n v="8"/>
    <n v="2025"/>
    <m/>
    <m/>
    <m/>
    <s v="Syifa Fauziyah"/>
    <s v="Diki, Desy"/>
    <m/>
    <m/>
    <m/>
    <m/>
    <m/>
    <m/>
    <m/>
    <m/>
    <m/>
    <m/>
    <m/>
  </r>
  <r>
    <n v="2582"/>
    <s v="PT Krakatau Information Technology"/>
    <s v="PT THERMAX INTERNATIONAL INDONESIA"/>
    <s v="Kawasan Krakatau Steel- KIT"/>
    <x v="0"/>
    <m/>
    <s v="PT Timah Industri Jl. Eropa 1 Kav A3 Kawasan Industrial Estate, Kotasari, Kec. Cilegon, Cilegon, Banten, Indonesia 42435"/>
    <s v="BAGI HASIL"/>
    <s v="Revenue Sharing"/>
    <m/>
    <s v="AL/2302/5805 - 04000315179"/>
    <m/>
    <s v="Internet Corporate"/>
    <s v="50 Mbps"/>
    <m/>
    <n v="120000000"/>
    <m/>
    <m/>
    <m/>
    <n v="0.35"/>
    <d v="2024-09-01T00:00:00"/>
    <d v="2025-08-31T00:00:00"/>
    <x v="0"/>
    <m/>
    <d v="2025-12-24T00:00:00"/>
    <n v="-115"/>
    <n v="8"/>
    <n v="2025"/>
    <m/>
    <m/>
    <m/>
    <s v="Syifa Fauziyah"/>
    <s v="Diki, Desy"/>
    <m/>
    <m/>
    <m/>
    <m/>
    <m/>
    <m/>
    <m/>
    <m/>
    <m/>
    <m/>
    <m/>
  </r>
  <r>
    <n v="2583"/>
    <s v="PT Krakatau Information Technology"/>
    <s v="PT NS BLUESCOPE INDONESIA"/>
    <s v="Kawasan Krakatau Steel- KIT"/>
    <x v="0"/>
    <m/>
    <s v="Jl. Eropa 1 Kav P2 KOTASARI CILEGON Kawasan Industrial Estate, Kotasari, Kec. Cilegon, Cilegon, Banten, Indonesia 42435"/>
    <s v="BAGI HASIL"/>
    <s v="Revenue Sharing"/>
    <m/>
    <s v="0111303010377"/>
    <m/>
    <s v="internet corporate"/>
    <s v="50 Mbps"/>
    <m/>
    <n v="162000000"/>
    <m/>
    <m/>
    <m/>
    <n v="0.35"/>
    <d v="2024-09-01T00:00:00"/>
    <d v="2025-08-31T00:00:00"/>
    <x v="0"/>
    <m/>
    <d v="2025-12-24T00:00:00"/>
    <n v="-115"/>
    <n v="8"/>
    <n v="2025"/>
    <m/>
    <m/>
    <m/>
    <s v="Syifa Fauziyah"/>
    <s v="Diki, Desy"/>
    <m/>
    <m/>
    <m/>
    <m/>
    <m/>
    <m/>
    <m/>
    <m/>
    <m/>
    <m/>
    <m/>
  </r>
  <r>
    <n v="2584"/>
    <s v="PT Krakatau Information Technology"/>
    <s v="PT PERTAMINA GAS"/>
    <s v="Kawasan Krakatau Steel- KIT"/>
    <x v="0"/>
    <m/>
    <s v="Jl. Amerika I, Kawasan Industri Krakatau, Citangkil, Kota Cilegon, Banten, Indonesia, 42443"/>
    <s v="BAGI HASIL"/>
    <s v="Revenue Sharing"/>
    <m/>
    <s v="01000362396"/>
    <m/>
    <s v="internet corporate"/>
    <s v="51 Mbps"/>
    <m/>
    <n v="29400000"/>
    <m/>
    <m/>
    <m/>
    <n v="0.35"/>
    <d v="2024-09-01T00:00:00"/>
    <d v="2025-08-31T00:00:00"/>
    <x v="0"/>
    <m/>
    <d v="2025-12-24T00:00:00"/>
    <n v="-115"/>
    <n v="8"/>
    <n v="2025"/>
    <m/>
    <m/>
    <m/>
    <s v="Syifa Fauziyah"/>
    <s v="Diki, Desy"/>
    <m/>
    <m/>
    <m/>
    <m/>
    <m/>
    <m/>
    <m/>
    <m/>
    <m/>
    <m/>
    <m/>
  </r>
  <r>
    <n v="2585"/>
    <s v="PT Krakatau Information Technology"/>
    <s v="PT FKS MULTI AGRO"/>
    <s v="Kawasan Krakatau Steel- KIT"/>
    <x v="1"/>
    <m/>
    <s v="PT sentral grain terminal site Cilegon, tegalratu, ciwandan, kota cilegon, banten"/>
    <s v="BAGI HASIL"/>
    <s v="Revenue Sharing"/>
    <m/>
    <s v="0111303011280"/>
    <m/>
    <s v="Internet Corporate"/>
    <s v="20 Mbps"/>
    <m/>
    <n v="97200000"/>
    <m/>
    <m/>
    <m/>
    <n v="0.35"/>
    <d v="2025-09-01T00:00:00"/>
    <d v="2026-08-31T00:00:00"/>
    <x v="1"/>
    <m/>
    <d v="2025-12-24T00:00:00"/>
    <n v="250"/>
    <n v="8"/>
    <n v="2026"/>
    <m/>
    <m/>
    <m/>
    <s v="Syifa Fauziyah"/>
    <s v="Diki, Desy"/>
    <m/>
    <m/>
    <m/>
    <m/>
    <m/>
    <m/>
    <m/>
    <m/>
    <m/>
    <m/>
    <m/>
  </r>
  <r>
    <n v="2586"/>
    <s v="PT Krakatau Information Technology"/>
    <s v="PT PANCA PURI PERKASA"/>
    <s v="Kawasan Krakatau Steel- KIT"/>
    <x v="1"/>
    <m/>
    <s v="JL. Amerika 1 kaw. Industri krakatau citangkil, kota cilegon, banten"/>
    <s v="BAGI HASIL"/>
    <s v="Revenue Sharing"/>
    <m/>
    <s v="04000148243"/>
    <m/>
    <s v="Internet Corporate"/>
    <s v="100 Mbps"/>
    <m/>
    <n v="171000000"/>
    <m/>
    <m/>
    <m/>
    <n v="0.35"/>
    <d v="2025-09-01T00:00:00"/>
    <d v="2026-08-31T00:00:00"/>
    <x v="1"/>
    <m/>
    <d v="2025-12-24T00:00:00"/>
    <n v="250"/>
    <n v="8"/>
    <n v="2026"/>
    <m/>
    <m/>
    <m/>
    <s v="Syifa Fauziyah"/>
    <s v="Diki, Desy"/>
    <m/>
    <m/>
    <m/>
    <m/>
    <m/>
    <m/>
    <m/>
    <m/>
    <m/>
    <m/>
    <m/>
  </r>
  <r>
    <n v="2587"/>
    <s v="PT Krakatau Information Technology"/>
    <s v="PT. KNAUF PLASTERBOARD INDONESIA"/>
    <s v="Kawasan Krakatau Steel- KIT"/>
    <x v="1"/>
    <m/>
    <s v="Jl. Asia 1 Kav G3. Kawasan Industri Krakatau. Kel. Kotasari, Ramanuju, Kec. Purwakarta, Cilegon, Banten, Indonesia 42436"/>
    <s v="BAGI HASIL"/>
    <s v="Revenue Sharing"/>
    <m/>
    <s v="04000193847"/>
    <m/>
    <s v="Internet Corporate"/>
    <s v="5 Mbps"/>
    <m/>
    <n v="90000000"/>
    <m/>
    <m/>
    <m/>
    <n v="0.35"/>
    <d v="2025-09-01T00:00:00"/>
    <d v="2026-08-31T00:00:00"/>
    <x v="1"/>
    <m/>
    <d v="2025-12-24T00:00:00"/>
    <n v="250"/>
    <n v="8"/>
    <n v="2026"/>
    <m/>
    <m/>
    <m/>
    <s v="Syifa Fauziyah"/>
    <s v="Diki, Desy"/>
    <m/>
    <m/>
    <m/>
    <m/>
    <m/>
    <m/>
    <m/>
    <m/>
    <m/>
    <m/>
    <m/>
  </r>
  <r>
    <n v="2588"/>
    <s v="PT Krakatau Information Technology"/>
    <s v="PT TOKKI ENGINEERING AND FABRICATION"/>
    <s v="Kawasan Krakatau Steel- KIT"/>
    <x v="1"/>
    <m/>
    <s v="PT. Tokki EF (Ex PT GSU) Kawasan IEC, Jl. Australia I, Warnasari, Kec. Citangkil, Kota Cilegon, Banten, Indonesia 42443"/>
    <s v="BAGI HASIL"/>
    <s v="Revenue Sharing"/>
    <m/>
    <s v="AL/2109/80801 - 04000164401"/>
    <m/>
    <s v="Internet Corporate"/>
    <s v="50 mbps "/>
    <m/>
    <n v="96000000"/>
    <m/>
    <m/>
    <m/>
    <n v="0.35"/>
    <d v="2025-09-01T00:00:00"/>
    <d v="2026-08-31T00:00:00"/>
    <x v="1"/>
    <m/>
    <d v="2025-12-24T00:00:00"/>
    <n v="250"/>
    <n v="8"/>
    <n v="2026"/>
    <m/>
    <m/>
    <m/>
    <s v="Syifa Fauziyah"/>
    <s v="Diki, Desy"/>
    <m/>
    <m/>
    <m/>
    <m/>
    <m/>
    <m/>
    <m/>
    <m/>
    <m/>
    <m/>
    <m/>
  </r>
  <r>
    <n v="2589"/>
    <s v="PT Krakatau Information Technology"/>
    <s v="PT IX Telecom qq"/>
    <s v="Kawasan Krakatau Steel- KIT"/>
    <x v="1"/>
    <m/>
    <s v="PT SCG Barito Logistics (Pergudangan Australia) Cilegon, Ramanuju, Kec. Purwakarta, Kota Cilegon Banten, Indonesia 42432"/>
    <s v="BAGI HASIL"/>
    <s v="Revenue Sharing"/>
    <m/>
    <s v="AL/2112/144587 - 04000164335"/>
    <m/>
    <s v="Internet Corporate"/>
    <s v="30 Mbps"/>
    <m/>
    <n v="64800000"/>
    <m/>
    <m/>
    <m/>
    <n v="0.35"/>
    <d v="2025-09-01T00:00:00"/>
    <d v="2026-08-31T00:00:00"/>
    <x v="1"/>
    <m/>
    <d v="2025-12-24T00:00:00"/>
    <n v="250"/>
    <n v="8"/>
    <n v="2026"/>
    <m/>
    <m/>
    <m/>
    <s v="Syifa Fauziyah"/>
    <s v="Diki, Desy"/>
    <m/>
    <m/>
    <m/>
    <m/>
    <m/>
    <m/>
    <m/>
    <m/>
    <m/>
    <m/>
    <m/>
  </r>
  <r>
    <n v="2590"/>
    <s v="PT Krakatau Information Technology"/>
    <s v="PT DAEKYUNG  INDAH INDUSTRY"/>
    <s v="Kawasan Krakatau Steel- KIT"/>
    <x v="1"/>
    <m/>
    <s v="PT Rohm and Haas Indonesia  Jl. Eropa III Kav M2 Krakatau Industrial Estate Cilegon Warnasari,  Citangkil,  Kota Cilegon,  Banten"/>
    <s v="BAGI HASIL"/>
    <s v="Revenue Sharing"/>
    <m/>
    <s v="AL/2209/286295 - 04000299154"/>
    <m/>
    <s v="Internet Corporate"/>
    <s v="5 Mbps"/>
    <m/>
    <n v="60000000"/>
    <m/>
    <m/>
    <m/>
    <n v="0.35"/>
    <d v="2025-09-01T00:00:00"/>
    <d v="2026-08-31T00:00:00"/>
    <x v="1"/>
    <m/>
    <d v="2025-12-24T00:00:00"/>
    <n v="250"/>
    <n v="8"/>
    <n v="2026"/>
    <m/>
    <m/>
    <m/>
    <s v="Syifa Fauziyah"/>
    <s v="Diki, Desy"/>
    <m/>
    <m/>
    <m/>
    <m/>
    <m/>
    <m/>
    <m/>
    <m/>
    <m/>
    <m/>
    <m/>
  </r>
  <r>
    <n v="2591"/>
    <s v="PT Krakatau Information Technology"/>
    <s v="PT. COMMUNICATION CABLE SYSTEMS INDONESIA TBK (JL. Eropa II)"/>
    <s v="Kawasan Krakatau Steel- KIT"/>
    <x v="1"/>
    <m/>
    <s v="PT Daekyung Heavy Industry Kawasan KIEC Jalan Australia II Kavling 1, Kec. Citangkil, Kota Cilegon, Banten, Indonesia. 42443"/>
    <s v="BAGI HASIL"/>
    <s v="Revenue Sharing"/>
    <m/>
    <s v="AL/2208/242322 - 04000300253"/>
    <m/>
    <s v="Internet Corporate"/>
    <s v="20 Mbps"/>
    <m/>
    <n v="117000000"/>
    <m/>
    <m/>
    <m/>
    <n v="0.35"/>
    <d v="2025-09-01T00:00:00"/>
    <d v="2026-08-31T00:00:00"/>
    <x v="1"/>
    <m/>
    <d v="2025-12-24T00:00:00"/>
    <n v="250"/>
    <n v="8"/>
    <n v="2026"/>
    <m/>
    <m/>
    <m/>
    <s v="Syifa Fauziyah"/>
    <s v="Diki, Desy"/>
    <m/>
    <m/>
    <m/>
    <m/>
    <m/>
    <m/>
    <m/>
    <m/>
    <m/>
    <m/>
    <m/>
  </r>
  <r>
    <n v="2592"/>
    <s v="PT Krakatau Information Technology"/>
    <s v="PT. LINK NET"/>
    <s v="Kawasan Krakatau Steel- KIT"/>
    <x v="1"/>
    <m/>
    <s v="Jl. Eropa II, Kav E3 KIEC. Cilegon - Banten, Cilegon, Banten, Indonesia, 42435"/>
    <s v="BAGI HASIL"/>
    <s v="Revenue Sharing"/>
    <m/>
    <s v="AL/2208/244252 - 01000209466"/>
    <m/>
    <s v="Internet Corporate"/>
    <s v="50 Mbps dan Bronze Units"/>
    <m/>
    <n v="78000000"/>
    <m/>
    <m/>
    <m/>
    <n v="0.35"/>
    <d v="2025-09-01T00:00:00"/>
    <d v="2026-08-31T00:00:00"/>
    <x v="1"/>
    <m/>
    <d v="2025-12-24T00:00:00"/>
    <n v="250"/>
    <n v="8"/>
    <n v="2026"/>
    <m/>
    <m/>
    <m/>
    <s v="Syifa Fauziyah"/>
    <s v="Diki, Desy"/>
    <m/>
    <m/>
    <m/>
    <m/>
    <m/>
    <m/>
    <m/>
    <m/>
    <m/>
    <m/>
    <m/>
  </r>
  <r>
    <n v="2593"/>
    <s v="PT Krakatau Information Technology"/>
    <s v="PT THERMAX INTERNATIONAL INDONESIA"/>
    <s v="Kawasan Krakatau Steel- KIT"/>
    <x v="1"/>
    <m/>
    <s v="PT Timah Industri Jl. Eropa 1 Kav A3 Kawasan Industrial Estate, Kotasari, Kec. Cilegon, Cilegon, Banten, Indonesia 42435"/>
    <s v="BAGI HASIL"/>
    <s v="Revenue Sharing"/>
    <m/>
    <s v="AL/2302/5805 - 04000315179"/>
    <m/>
    <s v="Internet Corporate"/>
    <s v="50 Mbps"/>
    <m/>
    <n v="120000000"/>
    <m/>
    <m/>
    <m/>
    <n v="0.35"/>
    <d v="2025-09-01T00:00:00"/>
    <d v="2026-08-31T00:00:00"/>
    <x v="1"/>
    <m/>
    <d v="2025-12-24T00:00:00"/>
    <n v="250"/>
    <n v="8"/>
    <n v="2026"/>
    <m/>
    <m/>
    <m/>
    <s v="Syifa Fauziyah"/>
    <s v="Diki, Desy"/>
    <m/>
    <m/>
    <m/>
    <m/>
    <m/>
    <m/>
    <m/>
    <m/>
    <m/>
    <m/>
    <m/>
  </r>
  <r>
    <n v="2594"/>
    <s v="PT Krakatau Information Technology"/>
    <s v="PT NS BLUESCOPE INDONESIA"/>
    <s v="Kawasan Krakatau Steel- KIT"/>
    <x v="1"/>
    <m/>
    <s v="Jl. Eropa 1 Kav P2 KOTASARI CILEGON Kawasan Industrial Estate, Kotasari, Kec. Cilegon, Cilegon, Banten, Indonesia 42435"/>
    <s v="BAGI HASIL"/>
    <s v="Revenue Sharing"/>
    <m/>
    <s v="0111303010377"/>
    <m/>
    <s v="internet corporate"/>
    <s v="50 Mbps"/>
    <m/>
    <n v="162000000"/>
    <m/>
    <m/>
    <m/>
    <n v="0.35"/>
    <d v="2025-09-01T00:00:00"/>
    <d v="2026-08-31T00:00:00"/>
    <x v="1"/>
    <m/>
    <d v="2025-12-24T00:00:00"/>
    <n v="250"/>
    <n v="8"/>
    <n v="2026"/>
    <m/>
    <m/>
    <m/>
    <s v="Syifa Fauziyah"/>
    <s v="Diki, Desy"/>
    <m/>
    <m/>
    <m/>
    <m/>
    <m/>
    <m/>
    <m/>
    <m/>
    <m/>
    <m/>
    <m/>
  </r>
  <r>
    <n v="2595"/>
    <s v="PT Krakatau Information Technology"/>
    <s v="PT PERTAMINA GAS"/>
    <s v="Kawasan Krakatau Steel- KIT"/>
    <x v="1"/>
    <m/>
    <s v="Jl. Amerika I, Kawasan Industri Krakatau, Citangkil, Kota Cilegon, Banten, Indonesia, 42443"/>
    <s v="BAGI HASIL"/>
    <s v="Revenue Sharing"/>
    <m/>
    <s v="01000362396"/>
    <m/>
    <s v="internet corporate"/>
    <s v="51 Mbps"/>
    <m/>
    <n v="29400000"/>
    <m/>
    <m/>
    <m/>
    <n v="0.35"/>
    <d v="2025-09-01T00:00:00"/>
    <d v="2026-08-31T00:00:00"/>
    <x v="1"/>
    <m/>
    <d v="2025-12-24T00:00:00"/>
    <n v="250"/>
    <n v="8"/>
    <n v="2026"/>
    <m/>
    <m/>
    <m/>
    <s v="Syifa Fauziyah"/>
    <s v="Diki, Desy"/>
    <m/>
    <m/>
    <m/>
    <m/>
    <m/>
    <m/>
    <m/>
    <m/>
    <m/>
    <m/>
    <m/>
  </r>
  <r>
    <n v="2596"/>
    <s v="PT Krakatau Information Technology"/>
    <s v="PT FKS MULTI AGRO"/>
    <s v="Kawasan Krakatau Steel- KIT"/>
    <x v="1"/>
    <m/>
    <s v="PT sentral grain terminal site Cilegon, tegalratu, ciwandan, kota cilegon, banten"/>
    <s v="BAGI HASIL"/>
    <s v="Revenue Sharing"/>
    <m/>
    <s v="0111303011280"/>
    <m/>
    <s v="Internet Corporate"/>
    <s v="20 Mbps"/>
    <m/>
    <n v="97200000"/>
    <m/>
    <m/>
    <m/>
    <n v="0.35"/>
    <d v="2026-09-01T00:00:00"/>
    <d v="2027-08-31T00:00:00"/>
    <x v="1"/>
    <m/>
    <d v="2025-12-24T00:00:00"/>
    <n v="615"/>
    <n v="8"/>
    <n v="2027"/>
    <m/>
    <m/>
    <m/>
    <s v="Syifa Fauziyah"/>
    <s v="Diki, Desy"/>
    <m/>
    <m/>
    <m/>
    <m/>
    <m/>
    <m/>
    <m/>
    <m/>
    <m/>
    <m/>
    <m/>
  </r>
  <r>
    <n v="2597"/>
    <s v="PT Krakatau Information Technology"/>
    <s v="PT PANCA PURI PERKASA"/>
    <s v="Kawasan Krakatau Steel- KIT"/>
    <x v="1"/>
    <m/>
    <s v="JL. Amerika 1 kaw. Industri krakatau citangkil, kota cilegon, banten"/>
    <s v="BAGI HASIL"/>
    <s v="Revenue Sharing"/>
    <m/>
    <s v="04000148243"/>
    <m/>
    <s v="Internet Corporate"/>
    <s v="100 Mbps"/>
    <m/>
    <n v="171000000"/>
    <m/>
    <m/>
    <m/>
    <n v="0.35"/>
    <d v="2026-09-01T00:00:00"/>
    <d v="2027-08-31T00:00:00"/>
    <x v="1"/>
    <m/>
    <d v="2025-12-24T00:00:00"/>
    <n v="615"/>
    <n v="8"/>
    <n v="2027"/>
    <m/>
    <m/>
    <m/>
    <s v="Syifa Fauziyah"/>
    <s v="Diki, Desy"/>
    <m/>
    <m/>
    <m/>
    <m/>
    <m/>
    <m/>
    <m/>
    <m/>
    <m/>
    <m/>
    <m/>
  </r>
  <r>
    <n v="2598"/>
    <s v="PT Krakatau Information Technology"/>
    <s v="PT. KNAUF PLASTERBOARD INDONESIA"/>
    <s v="Kawasan Krakatau Steel- KIT"/>
    <x v="1"/>
    <m/>
    <s v="Jl. Asia 1 Kav G3. Kawasan Industri Krakatau. Kel. Kotasari, Ramanuju, Kec. Purwakarta, Cilegon, Banten, Indonesia 42436"/>
    <s v="BAGI HASIL"/>
    <s v="Revenue Sharing"/>
    <m/>
    <s v="04000193847"/>
    <m/>
    <s v="Internet Corporate"/>
    <s v="5 Mbps"/>
    <m/>
    <n v="90000000"/>
    <m/>
    <m/>
    <m/>
    <n v="0.35"/>
    <d v="2026-09-01T00:00:00"/>
    <d v="2027-08-31T00:00:00"/>
    <x v="1"/>
    <m/>
    <d v="2025-12-24T00:00:00"/>
    <n v="615"/>
    <n v="8"/>
    <n v="2027"/>
    <m/>
    <m/>
    <m/>
    <s v="Syifa Fauziyah"/>
    <s v="Diki, Desy"/>
    <m/>
    <m/>
    <m/>
    <m/>
    <m/>
    <m/>
    <m/>
    <m/>
    <m/>
    <m/>
    <m/>
  </r>
  <r>
    <n v="2599"/>
    <s v="PT Krakatau Information Technology"/>
    <s v="PT TOKKI ENGINEERING AND FABRICATION"/>
    <s v="Kawasan Krakatau Steel- KIT"/>
    <x v="1"/>
    <m/>
    <s v="PT. Tokki EF (Ex PT GSU) Kawasan IEC, Jl. Australia I, Warnasari, Kec. Citangkil, Kota Cilegon, Banten, Indonesia 42443"/>
    <s v="BAGI HASIL"/>
    <s v="Revenue Sharing"/>
    <m/>
    <s v="AL/2109/80801 - 04000164401"/>
    <m/>
    <s v="Internet Corporate"/>
    <s v="50 mbps "/>
    <m/>
    <n v="96000000"/>
    <m/>
    <m/>
    <m/>
    <n v="0.35"/>
    <d v="2026-09-01T00:00:00"/>
    <d v="2027-08-31T00:00:00"/>
    <x v="1"/>
    <m/>
    <d v="2025-12-24T00:00:00"/>
    <n v="615"/>
    <n v="8"/>
    <n v="2027"/>
    <m/>
    <m/>
    <m/>
    <s v="Syifa Fauziyah"/>
    <s v="Diki, Desy"/>
    <m/>
    <m/>
    <m/>
    <m/>
    <m/>
    <m/>
    <m/>
    <m/>
    <m/>
    <m/>
    <m/>
  </r>
  <r>
    <n v="2600"/>
    <s v="PT Krakatau Information Technology"/>
    <s v="PT IX Telecom qq"/>
    <s v="Kawasan Krakatau Steel- KIT"/>
    <x v="1"/>
    <m/>
    <s v="PT SCG Barito Logistics (Pergudangan Australia) Cilegon, Ramanuju, Kec. Purwakarta, Kota Cilegon Banten, Indonesia 42432"/>
    <s v="BAGI HASIL"/>
    <s v="Revenue Sharing"/>
    <m/>
    <s v="AL/2112/144587 - 04000164335"/>
    <m/>
    <s v="Internet Corporate"/>
    <s v="30 Mbps"/>
    <m/>
    <n v="64800000"/>
    <m/>
    <m/>
    <m/>
    <n v="0.35"/>
    <d v="2026-09-01T00:00:00"/>
    <d v="2027-08-31T00:00:00"/>
    <x v="1"/>
    <m/>
    <d v="2025-12-24T00:00:00"/>
    <n v="615"/>
    <n v="8"/>
    <n v="2027"/>
    <m/>
    <m/>
    <m/>
    <s v="Syifa Fauziyah"/>
    <s v="Diki, Desy"/>
    <m/>
    <m/>
    <m/>
    <m/>
    <m/>
    <m/>
    <m/>
    <m/>
    <m/>
    <m/>
    <m/>
  </r>
  <r>
    <n v="2601"/>
    <s v="PT Krakatau Information Technology"/>
    <s v="PT DAEKYUNG  INDAH INDUSTRY"/>
    <s v="Kawasan Krakatau Steel- KIT"/>
    <x v="1"/>
    <m/>
    <s v="PT Rohm and Haas Indonesia  Jl. Eropa III Kav M2 Krakatau Industrial Estate Cilegon Warnasari,  Citangkil,  Kota Cilegon,  Banten"/>
    <s v="BAGI HASIL"/>
    <s v="Revenue Sharing"/>
    <m/>
    <s v="AL/2209/286295 - 04000299154"/>
    <m/>
    <s v="Internet Corporate"/>
    <s v="5 Mbps"/>
    <m/>
    <n v="60000000"/>
    <m/>
    <m/>
    <m/>
    <n v="0.35"/>
    <d v="2026-09-01T00:00:00"/>
    <d v="2027-08-31T00:00:00"/>
    <x v="1"/>
    <m/>
    <d v="2025-12-24T00:00:00"/>
    <n v="615"/>
    <n v="8"/>
    <n v="2027"/>
    <m/>
    <m/>
    <m/>
    <s v="Syifa Fauziyah"/>
    <s v="Diki, Desy"/>
    <m/>
    <m/>
    <m/>
    <m/>
    <m/>
    <m/>
    <m/>
    <m/>
    <m/>
    <m/>
    <m/>
  </r>
  <r>
    <n v="2602"/>
    <s v="PT Krakatau Information Technology"/>
    <s v="PT. COMMUNICATION CABLE SYSTEMS INDONESIA TBK (JL. Eropa II)"/>
    <s v="Kawasan Krakatau Steel- KIT"/>
    <x v="1"/>
    <m/>
    <s v="PT Daekyung Heavy Industry Kawasan KIEC Jalan Australia II Kavling 1, Kec. Citangkil, Kota Cilegon, Banten, Indonesia. 42443"/>
    <s v="BAGI HASIL"/>
    <s v="Revenue Sharing"/>
    <m/>
    <s v="AL/2208/242322 - 04000300253"/>
    <m/>
    <s v="Internet Corporate"/>
    <s v="20 Mbps"/>
    <m/>
    <n v="117000000"/>
    <m/>
    <m/>
    <m/>
    <n v="0.35"/>
    <d v="2026-09-01T00:00:00"/>
    <d v="2027-08-31T00:00:00"/>
    <x v="1"/>
    <m/>
    <d v="2025-12-24T00:00:00"/>
    <n v="615"/>
    <n v="8"/>
    <n v="2027"/>
    <m/>
    <m/>
    <m/>
    <s v="Syifa Fauziyah"/>
    <s v="Diki, Desy"/>
    <m/>
    <m/>
    <m/>
    <m/>
    <m/>
    <m/>
    <m/>
    <m/>
    <m/>
    <m/>
    <m/>
  </r>
  <r>
    <n v="2603"/>
    <s v="PT Krakatau Information Technology"/>
    <s v="PT. LINK NET"/>
    <s v="Kawasan Krakatau Steel- KIT"/>
    <x v="1"/>
    <m/>
    <s v="Jl. Eropa II, Kav E3 KIEC. Cilegon - Banten, Cilegon, Banten, Indonesia, 42435"/>
    <s v="BAGI HASIL"/>
    <s v="Revenue Sharing"/>
    <m/>
    <s v="AL/2208/244252 - 01000209466"/>
    <m/>
    <s v="Internet Corporate"/>
    <s v="50 Mbps dan Bronze Units"/>
    <m/>
    <n v="78000000"/>
    <m/>
    <m/>
    <m/>
    <n v="0.35"/>
    <d v="2026-09-01T00:00:00"/>
    <d v="2027-08-31T00:00:00"/>
    <x v="1"/>
    <m/>
    <d v="2025-12-24T00:00:00"/>
    <n v="615"/>
    <n v="8"/>
    <n v="2027"/>
    <m/>
    <m/>
    <m/>
    <s v="Syifa Fauziyah"/>
    <s v="Diki, Desy"/>
    <m/>
    <m/>
    <m/>
    <m/>
    <m/>
    <m/>
    <m/>
    <m/>
    <m/>
    <m/>
    <m/>
  </r>
  <r>
    <n v="2604"/>
    <s v="PT Krakatau Information Technology"/>
    <s v="PT THERMAX INTERNATIONAL INDONESIA"/>
    <s v="Kawasan Krakatau Steel- KIT"/>
    <x v="1"/>
    <m/>
    <s v="PT Timah Industri Jl. Eropa 1 Kav A3 Kawasan Industrial Estate, Kotasari, Kec. Cilegon, Cilegon, Banten, Indonesia 42435"/>
    <s v="BAGI HASIL"/>
    <s v="Revenue Sharing"/>
    <m/>
    <s v="AL/2302/5805 - 04000315179"/>
    <m/>
    <s v="Internet Corporate"/>
    <s v="50 Mbps"/>
    <m/>
    <n v="120000000"/>
    <m/>
    <m/>
    <m/>
    <n v="0.35"/>
    <d v="2026-09-01T00:00:00"/>
    <d v="2027-08-31T00:00:00"/>
    <x v="1"/>
    <m/>
    <d v="2025-12-24T00:00:00"/>
    <n v="615"/>
    <n v="8"/>
    <n v="2027"/>
    <m/>
    <m/>
    <m/>
    <s v="Syifa Fauziyah"/>
    <s v="Diki, Desy"/>
    <m/>
    <m/>
    <m/>
    <m/>
    <m/>
    <m/>
    <m/>
    <m/>
    <m/>
    <m/>
    <m/>
  </r>
  <r>
    <n v="2605"/>
    <s v="PT Krakatau Information Technology"/>
    <s v="PT NS BLUESCOPE INDONESIA"/>
    <s v="Kawasan Krakatau Steel- KIT"/>
    <x v="1"/>
    <m/>
    <s v="Jl. Eropa 1 Kav P2 KOTASARI CILEGON Kawasan Industrial Estate, Kotasari, Kec. Cilegon, Cilegon, Banten, Indonesia 42435"/>
    <s v="BAGI HASIL"/>
    <s v="Revenue Sharing"/>
    <m/>
    <s v="0111303010377"/>
    <m/>
    <s v="internet corporate"/>
    <s v="50 Mbps"/>
    <m/>
    <n v="162000000"/>
    <m/>
    <m/>
    <m/>
    <n v="0.35"/>
    <d v="2026-09-01T00:00:00"/>
    <d v="2027-08-31T00:00:00"/>
    <x v="1"/>
    <m/>
    <d v="2025-12-24T00:00:00"/>
    <n v="615"/>
    <n v="8"/>
    <n v="2027"/>
    <m/>
    <m/>
    <m/>
    <s v="Syifa Fauziyah"/>
    <s v="Diki, Desy"/>
    <m/>
    <m/>
    <m/>
    <m/>
    <m/>
    <m/>
    <m/>
    <m/>
    <m/>
    <m/>
    <m/>
  </r>
  <r>
    <n v="2606"/>
    <s v="PT Krakatau Information Technology"/>
    <s v="PT PERTAMINA GAS"/>
    <s v="Kawasan Krakatau Steel- KIT"/>
    <x v="1"/>
    <m/>
    <s v="Jl. Amerika I, Kawasan Industri Krakatau, Citangkil, Kota Cilegon, Banten, Indonesia, 42443"/>
    <s v="BAGI HASIL"/>
    <s v="Revenue Sharing"/>
    <m/>
    <s v="01000362396"/>
    <m/>
    <s v="internet corporate"/>
    <s v="51 Mbps"/>
    <m/>
    <n v="29400000"/>
    <m/>
    <m/>
    <m/>
    <n v="0.35"/>
    <d v="2026-09-01T00:00:00"/>
    <d v="2027-08-31T00:00:00"/>
    <x v="1"/>
    <m/>
    <d v="2025-12-24T00:00:00"/>
    <n v="615"/>
    <n v="8"/>
    <n v="2027"/>
    <m/>
    <m/>
    <m/>
    <s v="Syifa Fauziyah"/>
    <s v="Diki, Desy"/>
    <m/>
    <m/>
    <m/>
    <m/>
    <m/>
    <m/>
    <m/>
    <m/>
    <m/>
    <m/>
    <m/>
  </r>
  <r>
    <n v="2607"/>
    <s v="PT Krakatau Information Technology"/>
    <s v="PT FKS MULTI AGRO"/>
    <s v="Kawasan Krakatau Steel- KIT"/>
    <x v="1"/>
    <m/>
    <s v="PT sentral grain terminal site Cilegon, tegalratu, ciwandan, kota cilegon, banten"/>
    <s v="BAGI HASIL"/>
    <s v="Revenue Sharing"/>
    <m/>
    <s v="0111303011280"/>
    <m/>
    <s v="Internet Corporate"/>
    <s v="20 Mbps"/>
    <m/>
    <n v="97200000"/>
    <m/>
    <m/>
    <m/>
    <n v="0.35"/>
    <d v="2027-09-01T00:00:00"/>
    <d v="2028-08-31T00:00:00"/>
    <x v="1"/>
    <m/>
    <d v="2025-12-24T00:00:00"/>
    <n v="981"/>
    <n v="8"/>
    <n v="2028"/>
    <m/>
    <m/>
    <m/>
    <s v="Syifa Fauziyah"/>
    <s v="Diki, Desy"/>
    <m/>
    <m/>
    <m/>
    <m/>
    <m/>
    <m/>
    <m/>
    <m/>
    <m/>
    <m/>
    <m/>
  </r>
  <r>
    <n v="2608"/>
    <s v="PT Krakatau Information Technology"/>
    <s v="PT PANCA PURI PERKASA"/>
    <s v="Kawasan Krakatau Steel- KIT"/>
    <x v="1"/>
    <m/>
    <s v="JL. Amerika 1 kaw. Industri krakatau citangkil, kota cilegon, banten"/>
    <s v="BAGI HASIL"/>
    <s v="Revenue Sharing"/>
    <m/>
    <s v="04000148243"/>
    <m/>
    <s v="Internet Corporate"/>
    <s v="100 Mbps"/>
    <m/>
    <n v="171000000"/>
    <m/>
    <m/>
    <m/>
    <n v="0.35"/>
    <d v="2027-09-01T00:00:00"/>
    <d v="2028-08-31T00:00:00"/>
    <x v="1"/>
    <m/>
    <d v="2025-12-24T00:00:00"/>
    <n v="981"/>
    <n v="8"/>
    <n v="2028"/>
    <m/>
    <m/>
    <m/>
    <s v="Syifa Fauziyah"/>
    <s v="Diki, Desy"/>
    <m/>
    <m/>
    <m/>
    <m/>
    <m/>
    <m/>
    <m/>
    <m/>
    <m/>
    <m/>
    <m/>
  </r>
  <r>
    <n v="2609"/>
    <s v="PT Krakatau Information Technology"/>
    <s v="PT. KNAUF PLASTERBOARD INDONESIA"/>
    <s v="Kawasan Krakatau Steel- KIT"/>
    <x v="1"/>
    <m/>
    <s v="Jl. Asia 1 Kav G3. Kawasan Industri Krakatau. Kel. Kotasari, Ramanuju, Kec. Purwakarta, Cilegon, Banten, Indonesia 42436"/>
    <s v="BAGI HASIL"/>
    <s v="Revenue Sharing"/>
    <m/>
    <s v="04000193847"/>
    <m/>
    <s v="Internet Corporate"/>
    <s v="5 Mbps"/>
    <m/>
    <n v="90000000"/>
    <m/>
    <m/>
    <m/>
    <n v="0.35"/>
    <d v="2027-09-01T00:00:00"/>
    <d v="2028-08-31T00:00:00"/>
    <x v="1"/>
    <m/>
    <d v="2025-12-24T00:00:00"/>
    <n v="981"/>
    <n v="8"/>
    <n v="2028"/>
    <m/>
    <m/>
    <m/>
    <s v="Syifa Fauziyah"/>
    <s v="Diki, Desy"/>
    <m/>
    <m/>
    <m/>
    <m/>
    <m/>
    <m/>
    <m/>
    <m/>
    <m/>
    <m/>
    <m/>
  </r>
  <r>
    <n v="2610"/>
    <s v="PT Krakatau Information Technology"/>
    <s v="PT TOKKI ENGINEERING AND FABRICATION"/>
    <s v="Kawasan Krakatau Steel- KIT"/>
    <x v="1"/>
    <m/>
    <s v="PT. Tokki EF (Ex PT GSU) Kawasan IEC, Jl. Australia I, Warnasari, Kec. Citangkil, Kota Cilegon, Banten, Indonesia 42443"/>
    <s v="BAGI HASIL"/>
    <s v="Revenue Sharing"/>
    <m/>
    <s v="AL/2109/80801 - 04000164401"/>
    <m/>
    <s v="Internet Corporate"/>
    <s v="50 mbps "/>
    <m/>
    <n v="96000000"/>
    <m/>
    <m/>
    <m/>
    <n v="0.35"/>
    <d v="2027-09-01T00:00:00"/>
    <d v="2028-08-31T00:00:00"/>
    <x v="1"/>
    <m/>
    <d v="2025-12-24T00:00:00"/>
    <n v="981"/>
    <n v="8"/>
    <n v="2028"/>
    <m/>
    <m/>
    <m/>
    <s v="Syifa Fauziyah"/>
    <s v="Diki, Desy"/>
    <m/>
    <m/>
    <m/>
    <m/>
    <m/>
    <m/>
    <m/>
    <m/>
    <m/>
    <m/>
    <m/>
  </r>
  <r>
    <n v="2611"/>
    <s v="PT Krakatau Information Technology"/>
    <s v="PT IX Telecom qq"/>
    <s v="Kawasan Krakatau Steel- KIT"/>
    <x v="1"/>
    <m/>
    <s v="PT SCG Barito Logistics (Pergudangan Australia) Cilegon, Ramanuju, Kec. Purwakarta, Kota Cilegon Banten, Indonesia 42432"/>
    <s v="BAGI HASIL"/>
    <s v="Revenue Sharing"/>
    <m/>
    <s v="AL/2112/144587 - 04000164335"/>
    <m/>
    <s v="Internet Corporate"/>
    <s v="30 Mbps"/>
    <m/>
    <n v="64800000"/>
    <m/>
    <m/>
    <m/>
    <n v="0.35"/>
    <d v="2027-09-01T00:00:00"/>
    <d v="2028-08-31T00:00:00"/>
    <x v="1"/>
    <m/>
    <d v="2025-12-24T00:00:00"/>
    <n v="981"/>
    <n v="8"/>
    <n v="2028"/>
    <m/>
    <m/>
    <m/>
    <s v="Syifa Fauziyah"/>
    <s v="Diki, Desy"/>
    <m/>
    <m/>
    <m/>
    <m/>
    <m/>
    <m/>
    <m/>
    <m/>
    <m/>
    <m/>
    <m/>
  </r>
  <r>
    <n v="2612"/>
    <s v="PT Krakatau Information Technology"/>
    <s v="PT DAEKYUNG  INDAH INDUSTRY"/>
    <s v="Kawasan Krakatau Steel- KIT"/>
    <x v="1"/>
    <m/>
    <s v="PT Rohm and Haas Indonesia  Jl. Eropa III Kav M2 Krakatau Industrial Estate Cilegon Warnasari,  Citangkil,  Kota Cilegon,  Banten"/>
    <s v="BAGI HASIL"/>
    <s v="Revenue Sharing"/>
    <m/>
    <s v="AL/2209/286295 - 04000299154"/>
    <m/>
    <s v="Internet Corporate"/>
    <s v="5 Mbps"/>
    <m/>
    <n v="60000000"/>
    <m/>
    <m/>
    <m/>
    <n v="0.35"/>
    <d v="2027-09-01T00:00:00"/>
    <d v="2028-08-31T00:00:00"/>
    <x v="1"/>
    <m/>
    <d v="2025-12-24T00:00:00"/>
    <n v="981"/>
    <n v="8"/>
    <n v="2028"/>
    <m/>
    <m/>
    <m/>
    <s v="Syifa Fauziyah"/>
    <s v="Diki, Desy"/>
    <m/>
    <m/>
    <m/>
    <m/>
    <m/>
    <m/>
    <m/>
    <m/>
    <m/>
    <m/>
    <m/>
  </r>
  <r>
    <n v="2613"/>
    <s v="PT Krakatau Information Technology"/>
    <s v="PT. COMMUNICATION CABLE SYSTEMS INDONESIA TBK (JL. Eropa II)"/>
    <s v="Kawasan Krakatau Steel- KIT"/>
    <x v="1"/>
    <m/>
    <s v="PT Daekyung Heavy Industry Kawasan KIEC Jalan Australia II Kavling 1, Kec. Citangkil, Kota Cilegon, Banten, Indonesia. 42443"/>
    <s v="BAGI HASIL"/>
    <s v="Revenue Sharing"/>
    <m/>
    <s v="AL/2208/242322 - 04000300253"/>
    <m/>
    <s v="Internet Corporate"/>
    <s v="20 Mbps"/>
    <m/>
    <n v="117000000"/>
    <m/>
    <m/>
    <m/>
    <n v="0.35"/>
    <d v="2027-09-01T00:00:00"/>
    <d v="2028-08-31T00:00:00"/>
    <x v="1"/>
    <m/>
    <d v="2025-12-24T00:00:00"/>
    <n v="981"/>
    <n v="8"/>
    <n v="2028"/>
    <m/>
    <m/>
    <m/>
    <s v="Syifa Fauziyah"/>
    <s v="Diki, Desy"/>
    <m/>
    <m/>
    <m/>
    <m/>
    <m/>
    <m/>
    <m/>
    <m/>
    <m/>
    <m/>
    <m/>
  </r>
  <r>
    <n v="2614"/>
    <s v="PT Krakatau Information Technology"/>
    <s v="PT. LINK NET"/>
    <s v="Kawasan Krakatau Steel- KIT"/>
    <x v="1"/>
    <m/>
    <s v="Jl. Eropa II, Kav E3 KIEC. Cilegon - Banten, Cilegon, Banten, Indonesia, 42435"/>
    <s v="BAGI HASIL"/>
    <s v="Revenue Sharing"/>
    <m/>
    <s v="AL/2208/244252 - 01000209466"/>
    <m/>
    <s v="Internet Corporate"/>
    <s v="50 Mbps dan Bronze Units"/>
    <m/>
    <n v="78000000"/>
    <m/>
    <m/>
    <m/>
    <n v="0.35"/>
    <d v="2027-09-01T00:00:00"/>
    <d v="2028-08-31T00:00:00"/>
    <x v="1"/>
    <m/>
    <d v="2025-12-24T00:00:00"/>
    <n v="981"/>
    <n v="8"/>
    <n v="2028"/>
    <m/>
    <m/>
    <m/>
    <s v="Syifa Fauziyah"/>
    <s v="Diki, Desy"/>
    <m/>
    <m/>
    <m/>
    <m/>
    <m/>
    <m/>
    <m/>
    <m/>
    <m/>
    <m/>
    <m/>
  </r>
  <r>
    <n v="2615"/>
    <s v="PT Krakatau Information Technology"/>
    <s v="PT THERMAX INTERNATIONAL INDONESIA"/>
    <s v="Kawasan Krakatau Steel- KIT"/>
    <x v="1"/>
    <m/>
    <s v="PT Timah Industri Jl. Eropa 1 Kav A3 Kawasan Industrial Estate, Kotasari, Kec. Cilegon, Cilegon, Banten, Indonesia 42435"/>
    <s v="BAGI HASIL"/>
    <s v="Revenue Sharing"/>
    <m/>
    <s v="AL/2302/5805 - 04000315179"/>
    <m/>
    <s v="Internet Corporate"/>
    <s v="50 Mbps"/>
    <m/>
    <n v="120000000"/>
    <m/>
    <m/>
    <m/>
    <n v="0.35"/>
    <d v="2027-09-01T00:00:00"/>
    <d v="2028-08-31T00:00:00"/>
    <x v="1"/>
    <m/>
    <d v="2025-12-24T00:00:00"/>
    <n v="981"/>
    <n v="8"/>
    <n v="2028"/>
    <m/>
    <m/>
    <m/>
    <s v="Syifa Fauziyah"/>
    <s v="Diki, Desy"/>
    <m/>
    <m/>
    <m/>
    <m/>
    <m/>
    <m/>
    <m/>
    <m/>
    <m/>
    <m/>
    <m/>
  </r>
  <r>
    <n v="2616"/>
    <s v="PT Krakatau Information Technology"/>
    <s v="PT NS BLUESCOPE INDONESIA"/>
    <s v="Kawasan Krakatau Steel- KIT"/>
    <x v="1"/>
    <m/>
    <s v="Jl. Eropa 1 Kav P2 KOTASARI CILEGON Kawasan Industrial Estate, Kotasari, Kec. Cilegon, Cilegon, Banten, Indonesia 42435"/>
    <s v="BAGI HASIL"/>
    <s v="Revenue Sharing"/>
    <m/>
    <s v="0111303010377"/>
    <m/>
    <s v="internet corporate"/>
    <s v="50 Mbps"/>
    <m/>
    <n v="162000000"/>
    <m/>
    <m/>
    <m/>
    <n v="0.35"/>
    <d v="2027-09-01T00:00:00"/>
    <d v="2028-08-31T00:00:00"/>
    <x v="1"/>
    <m/>
    <d v="2025-12-24T00:00:00"/>
    <n v="981"/>
    <n v="8"/>
    <n v="2028"/>
    <m/>
    <m/>
    <m/>
    <s v="Syifa Fauziyah"/>
    <s v="Diki, Desy"/>
    <m/>
    <m/>
    <m/>
    <m/>
    <m/>
    <m/>
    <m/>
    <m/>
    <m/>
    <m/>
    <m/>
  </r>
  <r>
    <n v="2617"/>
    <s v="PT Krakatau Information Technology"/>
    <s v="PT PERTAMINA GAS"/>
    <s v="Kawasan Krakatau Steel- KIT"/>
    <x v="1"/>
    <m/>
    <s v="Jl. Amerika I, Kawasan Industri Krakatau, Citangkil, Kota Cilegon, Banten, Indonesia, 42443"/>
    <s v="BAGI HASIL"/>
    <s v="Revenue Sharing"/>
    <m/>
    <s v="01000362396"/>
    <m/>
    <s v="internet corporate"/>
    <s v="51 Mbps"/>
    <m/>
    <n v="29400000"/>
    <m/>
    <m/>
    <m/>
    <n v="0.35"/>
    <d v="2027-09-01T00:00:00"/>
    <d v="2028-08-31T00:00:00"/>
    <x v="1"/>
    <m/>
    <d v="2025-12-24T00:00:00"/>
    <n v="981"/>
    <n v="8"/>
    <n v="2028"/>
    <m/>
    <m/>
    <m/>
    <s v="Syifa Fauziyah"/>
    <s v="Diki, Desy"/>
    <m/>
    <m/>
    <m/>
    <m/>
    <m/>
    <m/>
    <m/>
    <m/>
    <m/>
    <m/>
    <m/>
  </r>
  <r>
    <n v="2618"/>
    <s v="PT Centra Global Investama"/>
    <s v="PT NIKOMAS GEMILANG"/>
    <s v="Kawasan Krakatau Steel- KIT"/>
    <x v="1"/>
    <m/>
    <s v="Jakarta office UOB plaza, Lt.37, unit 2- jl. M.H. thamrin no. kav. 8-10, rt.14/rw.20, kb. Melati, kec. Tanah abang, jakarta pusat"/>
    <s v="BAGI HASIL"/>
    <s v="Revenue Sharing"/>
    <m/>
    <s v="1000118630"/>
    <m/>
    <s v="IPVPN"/>
    <s v="5 Mbps"/>
    <m/>
    <n v="36000000"/>
    <m/>
    <m/>
    <m/>
    <n v="0.2"/>
    <d v="2025-05-01T00:00:00"/>
    <d v="2026-04-30T00:00:00"/>
    <x v="1"/>
    <m/>
    <d v="2025-12-24T00:00:00"/>
    <n v="127"/>
    <n v="4"/>
    <n v="2026"/>
    <m/>
    <m/>
    <m/>
    <s v="Syifa Fauziyah"/>
    <s v="Elsa"/>
    <m/>
    <m/>
    <m/>
    <m/>
    <m/>
    <m/>
    <m/>
    <m/>
    <m/>
    <m/>
    <m/>
  </r>
  <r>
    <n v="2619"/>
    <s v="PT Centra Global Investama"/>
    <s v="PT NIKOMAS GEMILANG"/>
    <s v="Jl. MH Thamrin kav. 3 Jakarta Pusat"/>
    <x v="1"/>
    <m/>
    <s v="Jakarta office UOB plaza, Lt.37, unit 2- jl. M.H. thamrin no. kav. 8-10, rt.14/rw.20, kb. Melati, kec. Tanah abang, jakarta pusat"/>
    <s v="BAGI HASIL"/>
    <s v="Revenue Sharing"/>
    <m/>
    <s v="1000118630"/>
    <m/>
    <s v="IPVPN"/>
    <s v="5 Mbps"/>
    <m/>
    <n v="36000000"/>
    <m/>
    <m/>
    <m/>
    <n v="0.2"/>
    <d v="2026-05-01T00:00:00"/>
    <d v="2027-04-30T00:00:00"/>
    <x v="1"/>
    <m/>
    <d v="2025-12-24T00:00:00"/>
    <n v="492"/>
    <n v="4"/>
    <n v="2027"/>
    <m/>
    <m/>
    <m/>
    <s v="Syifa Fauziyah"/>
    <s v="Elsa"/>
    <m/>
    <m/>
    <m/>
    <m/>
    <m/>
    <m/>
    <m/>
    <m/>
    <m/>
    <m/>
    <m/>
  </r>
  <r>
    <n v="2620"/>
    <s v="PT CBN Nusantara"/>
    <s v="PT. BIMASAKTI MULTI SINERGI"/>
    <s v="Jl. MH Thamrin kav. 3 Jakarta Pusat"/>
    <x v="0"/>
    <m/>
    <s v="NEX Data Center  (gedung Menara Tendean). Jl. Kapt Tendean no. 20C,,Kuningan Barat ,Jakarta Selatan ,DKI Jakarta ,Indonesia ,12710   "/>
    <s v="BAGI HASIL"/>
    <s v="Revenue Sharing"/>
    <s v="AL/2209/293807"/>
    <m/>
    <m/>
    <s v="IPVPN"/>
    <m/>
    <m/>
    <n v="36000000"/>
    <m/>
    <m/>
    <m/>
    <n v="0.15"/>
    <d v="2023-06-15T00:00:00"/>
    <d v="2024-06-14T00:00:00"/>
    <x v="0"/>
    <m/>
    <d v="2025-12-24T00:00:00"/>
    <n v="-558"/>
    <n v="6"/>
    <n v="2024"/>
    <m/>
    <m/>
    <m/>
    <s v="Syifa Fauziyah"/>
    <s v="Haryanto"/>
    <m/>
    <m/>
    <m/>
    <m/>
    <m/>
    <m/>
    <m/>
    <m/>
    <m/>
    <m/>
    <m/>
  </r>
  <r>
    <n v="2621"/>
    <s v="PT CBN Nusantara"/>
    <s v=" PT MITRA VISIONER PRATAMA"/>
    <s v="Nex Data Center- CBN"/>
    <x v="0"/>
    <m/>
    <s v="Perumahan puri krakatau hijau blok b3 no 12,  Gerogol,  Kota Cilegon,  Banten,  Indonesia,  "/>
    <s v="BAGI HASIL"/>
    <s v="Revenue Sharing"/>
    <s v="AL/2210/311086"/>
    <m/>
    <m/>
    <s v="Metronet"/>
    <m/>
    <m/>
    <n v="198000000"/>
    <m/>
    <m/>
    <m/>
    <n v="0.15"/>
    <d v="2023-06-15T00:00:00"/>
    <d v="2024-06-14T00:00:00"/>
    <x v="0"/>
    <m/>
    <d v="2025-12-24T00:00:00"/>
    <n v="-558"/>
    <n v="6"/>
    <n v="2024"/>
    <m/>
    <m/>
    <m/>
    <s v="Syifa Fauziyah"/>
    <s v="Haryanto"/>
    <m/>
    <m/>
    <m/>
    <m/>
    <m/>
    <m/>
    <m/>
    <m/>
    <m/>
    <m/>
    <m/>
  </r>
  <r>
    <n v="2622"/>
    <s v="PT CBN Nusantara"/>
    <s v="PT. ADHI PRADANA MAKAYASA"/>
    <s v="Nex Data Center- CBN"/>
    <x v="0"/>
    <m/>
    <s v="Desa Pasurenan RT 03/02 Pasurenan Batur, Banjarnegara 53456,  Batur,  Kabupaten Banjarnegara,  Jawa Tengah,  Indonesia,  53456"/>
    <s v="BAGI HASIL"/>
    <s v="Revenue Sharing"/>
    <s v="AL/2210/318170"/>
    <m/>
    <m/>
    <s v="Metronet"/>
    <m/>
    <m/>
    <n v="180000000"/>
    <m/>
    <m/>
    <m/>
    <n v="0.15"/>
    <d v="2023-06-15T00:00:00"/>
    <d v="2024-06-14T00:00:00"/>
    <x v="0"/>
    <m/>
    <d v="2025-12-24T00:00:00"/>
    <n v="-558"/>
    <n v="6"/>
    <n v="2024"/>
    <m/>
    <m/>
    <m/>
    <s v="Syifa Fauziyah"/>
    <s v="Haryanto"/>
    <m/>
    <m/>
    <m/>
    <m/>
    <m/>
    <m/>
    <m/>
    <m/>
    <m/>
    <m/>
    <m/>
  </r>
  <r>
    <n v="2623"/>
    <s v="PT CBN Nusantara"/>
    <s v="PT MARSILIAN AKUSARA LESTARI"/>
    <s v="Nex Data Center- CBN"/>
    <x v="0"/>
    <m/>
    <s v="NEX Data Center Menara Tendean Lt. 6, Jl. Kapten Tendean No.20C,  Mampang Prapatan,  Jakarta Selatan,  DKI Jakarta,  Indonesia,  12710"/>
    <s v="BAGI HASIL"/>
    <s v="Revenue Sharing"/>
    <s v="AL/2211/331356"/>
    <m/>
    <m/>
    <s v="Metronet"/>
    <m/>
    <m/>
    <n v="42000000"/>
    <m/>
    <m/>
    <m/>
    <n v="0.15"/>
    <d v="2023-06-15T00:00:00"/>
    <d v="2024-06-14T00:00:00"/>
    <x v="0"/>
    <m/>
    <d v="2025-12-24T00:00:00"/>
    <n v="-558"/>
    <n v="6"/>
    <n v="2024"/>
    <m/>
    <m/>
    <m/>
    <s v="Syifa Fauziyah"/>
    <s v="Haryanto"/>
    <m/>
    <m/>
    <m/>
    <m/>
    <m/>
    <m/>
    <m/>
    <m/>
    <m/>
    <m/>
    <m/>
  </r>
  <r>
    <n v="2624"/>
    <s v="PT CBN Nusantara"/>
    <s v="BPH MIGAS 30 Mbps"/>
    <s v="Nex Data Center- CBN"/>
    <x v="0"/>
    <m/>
    <s v="Gd. Mten Jl. Kap. Tendean Jakarta selatan"/>
    <s v="BAGI HASIL"/>
    <s v="Revenue Sharing"/>
    <m/>
    <s v="111202017456"/>
    <m/>
    <s v="Metronet"/>
    <s v=" 30 Mbps"/>
    <m/>
    <n v="36216240"/>
    <m/>
    <m/>
    <m/>
    <n v="0.15"/>
    <d v="2023-06-15T00:00:00"/>
    <d v="2024-06-14T00:00:00"/>
    <x v="0"/>
    <m/>
    <d v="2025-12-24T00:00:00"/>
    <n v="-558"/>
    <n v="6"/>
    <n v="2024"/>
    <m/>
    <m/>
    <m/>
    <s v="Syifa Fauziyah"/>
    <s v="Haryanto"/>
    <m/>
    <m/>
    <m/>
    <m/>
    <m/>
    <m/>
    <m/>
    <m/>
    <m/>
    <m/>
    <m/>
  </r>
  <r>
    <n v="2625"/>
    <s v="PT CBN Nusantara"/>
    <s v="BPH MIGAS MSR PLATINUM"/>
    <s v="Nex Data Center- CBN"/>
    <x v="0"/>
    <m/>
    <s v="Gd. Mten Jl. Kap. Tendean Jakarta selatan"/>
    <s v="BAGI HASIL"/>
    <s v="Revenue Sharing"/>
    <m/>
    <s v="111601011685"/>
    <m/>
    <s v="Metronet"/>
    <m/>
    <m/>
    <n v="75675672"/>
    <m/>
    <m/>
    <m/>
    <n v="0.15"/>
    <d v="2023-06-15T00:00:00"/>
    <d v="2024-06-14T00:00:00"/>
    <x v="0"/>
    <m/>
    <d v="2025-12-24T00:00:00"/>
    <n v="-558"/>
    <n v="6"/>
    <n v="2024"/>
    <m/>
    <m/>
    <m/>
    <s v="Syifa Fauziyah"/>
    <s v="Haryanto"/>
    <m/>
    <m/>
    <m/>
    <m/>
    <m/>
    <m/>
    <m/>
    <m/>
    <m/>
    <m/>
    <m/>
  </r>
  <r>
    <n v="2626"/>
    <s v="PT CBN Nusantara"/>
    <s v="PT. BIMASAKTI MULTI SINERGI"/>
    <s v="Nex Data Center- CBN"/>
    <x v="0"/>
    <m/>
    <s v="NEX Data Center  (gedung Menara Tendean). Jl. Kapt Tendean no. 20C,,Kuningan Barat ,Jakarta Selatan ,DKI Jakarta ,Indonesia ,12710   "/>
    <s v="BAGI HASIL"/>
    <s v="Revenue Sharing"/>
    <s v="AL/2209/293807"/>
    <m/>
    <m/>
    <s v="IPVPN"/>
    <m/>
    <m/>
    <n v="36000000"/>
    <m/>
    <m/>
    <m/>
    <n v="0.15"/>
    <d v="2024-06-15T00:00:00"/>
    <d v="2025-06-14T00:00:00"/>
    <x v="0"/>
    <m/>
    <d v="2025-12-24T00:00:00"/>
    <n v="-193"/>
    <n v="6"/>
    <n v="2025"/>
    <m/>
    <m/>
    <m/>
    <s v="Syifa Fauziyah"/>
    <s v="Haryanto"/>
    <m/>
    <m/>
    <m/>
    <m/>
    <m/>
    <m/>
    <m/>
    <m/>
    <m/>
    <m/>
    <m/>
  </r>
  <r>
    <n v="2627"/>
    <s v="PT CBN Nusantara"/>
    <s v=" PT MITRA VISIONER PRATAMA"/>
    <s v="Nex Data Center- CBN"/>
    <x v="0"/>
    <m/>
    <s v="Perumahan puri krakatau hijau blok b3 no 12,  Gerogol,  Kota Cilegon,  Banten,  Indonesia,  "/>
    <s v="BAGI HASIL"/>
    <s v="Revenue Sharing"/>
    <s v="AL/2210/311086"/>
    <m/>
    <m/>
    <s v="Metronet"/>
    <m/>
    <m/>
    <n v="198000000"/>
    <m/>
    <m/>
    <m/>
    <n v="0.15"/>
    <d v="2024-06-15T00:00:00"/>
    <d v="2025-06-14T00:00:00"/>
    <x v="0"/>
    <m/>
    <d v="2025-12-24T00:00:00"/>
    <n v="-193"/>
    <n v="6"/>
    <n v="2025"/>
    <m/>
    <m/>
    <m/>
    <s v="Syifa Fauziyah"/>
    <s v="Haryanto"/>
    <m/>
    <m/>
    <m/>
    <m/>
    <m/>
    <m/>
    <m/>
    <m/>
    <m/>
    <m/>
    <m/>
  </r>
  <r>
    <n v="2628"/>
    <s v="PT CBN Nusantara"/>
    <s v="PT. ADHI PRADANA MAKAYASA"/>
    <s v="Nex Data Center- CBN"/>
    <x v="0"/>
    <m/>
    <s v="Desa Pasurenan RT 03/02 Pasurenan Batur, Banjarnegara 53456,  Batur,  Kabupaten Banjarnegara,  Jawa Tengah,  Indonesia,  53456"/>
    <s v="BAGI HASIL"/>
    <s v="Revenue Sharing"/>
    <s v="AL/2210/318170"/>
    <m/>
    <m/>
    <s v="Metronet"/>
    <m/>
    <m/>
    <n v="180000000"/>
    <m/>
    <m/>
    <m/>
    <n v="0.15"/>
    <d v="2024-06-15T00:00:00"/>
    <d v="2025-06-14T00:00:00"/>
    <x v="0"/>
    <m/>
    <d v="2025-12-24T00:00:00"/>
    <n v="-193"/>
    <n v="6"/>
    <n v="2025"/>
    <m/>
    <m/>
    <m/>
    <s v="Syifa Fauziyah"/>
    <s v="Haryanto"/>
    <m/>
    <m/>
    <m/>
    <m/>
    <m/>
    <m/>
    <m/>
    <m/>
    <m/>
    <m/>
    <m/>
  </r>
  <r>
    <n v="2629"/>
    <s v="PT CBN Nusantara"/>
    <s v="PT MARSILIAN AKUSARA LESTARI"/>
    <s v="Nex Data Center- CBN"/>
    <x v="0"/>
    <m/>
    <s v="NEX Data Center Menara Tendean Lt. 6, Jl. Kapten Tendean No.20C,  Mampang Prapatan,  Jakarta Selatan,  DKI Jakarta,  Indonesia,  12710"/>
    <s v="BAGI HASIL"/>
    <s v="Revenue Sharing"/>
    <s v="AL/2211/331356"/>
    <m/>
    <m/>
    <s v="Metronet"/>
    <m/>
    <m/>
    <n v="42000000"/>
    <m/>
    <m/>
    <m/>
    <n v="0.15"/>
    <d v="2024-06-15T00:00:00"/>
    <d v="2025-06-14T00:00:00"/>
    <x v="0"/>
    <m/>
    <d v="2025-12-24T00:00:00"/>
    <n v="-193"/>
    <n v="6"/>
    <n v="2025"/>
    <m/>
    <m/>
    <m/>
    <s v="Syifa Fauziyah"/>
    <s v="Haryanto"/>
    <m/>
    <m/>
    <m/>
    <m/>
    <m/>
    <m/>
    <m/>
    <m/>
    <m/>
    <m/>
    <m/>
  </r>
  <r>
    <n v="2630"/>
    <s v="PT CBN Nusantara"/>
    <s v="BPH MIGAS 30 Mbps"/>
    <s v="Nex Data Center- CBN"/>
    <x v="0"/>
    <m/>
    <s v="Gd. Mten Jl. Kap. Tendean Jakarta selatan"/>
    <s v="BAGI HASIL"/>
    <s v="Revenue Sharing"/>
    <m/>
    <s v="111202017456"/>
    <m/>
    <s v="Metronet"/>
    <s v=" 30 Mbps"/>
    <m/>
    <n v="36216240"/>
    <m/>
    <m/>
    <m/>
    <n v="0.15"/>
    <d v="2024-06-15T00:00:00"/>
    <d v="2025-06-14T00:00:00"/>
    <x v="0"/>
    <m/>
    <d v="2025-12-24T00:00:00"/>
    <n v="-193"/>
    <n v="6"/>
    <n v="2025"/>
    <m/>
    <m/>
    <m/>
    <s v="Syifa Fauziyah"/>
    <s v="Haryanto"/>
    <m/>
    <m/>
    <m/>
    <m/>
    <m/>
    <m/>
    <m/>
    <m/>
    <m/>
    <m/>
    <m/>
  </r>
  <r>
    <n v="2631"/>
    <s v="PT CBN Nusantara"/>
    <s v="BPH MIGAS MSR PLATINUM"/>
    <s v="Nex Data Center- CBN"/>
    <x v="0"/>
    <m/>
    <s v="Gd. Mten Jl. Kap. Tendean Jakarta selatan"/>
    <s v="BAGI HASIL"/>
    <s v="Revenue Sharing"/>
    <m/>
    <s v="111601011685"/>
    <m/>
    <s v="Metronet"/>
    <m/>
    <m/>
    <n v="75675672"/>
    <m/>
    <m/>
    <m/>
    <n v="0.15"/>
    <d v="2024-06-15T00:00:00"/>
    <d v="2025-06-14T00:00:00"/>
    <x v="0"/>
    <m/>
    <d v="2025-12-24T00:00:00"/>
    <n v="-193"/>
    <n v="6"/>
    <n v="2025"/>
    <m/>
    <m/>
    <m/>
    <s v="Syifa Fauziyah"/>
    <s v="Haryanto"/>
    <m/>
    <m/>
    <m/>
    <m/>
    <m/>
    <m/>
    <m/>
    <m/>
    <m/>
    <m/>
    <m/>
  </r>
  <r>
    <n v="2632"/>
    <s v="PT CBN Nusantara"/>
    <s v="PT. BIMASAKTI MULTI SINERGI"/>
    <s v="Nex Data Center- CBN"/>
    <x v="1"/>
    <m/>
    <s v="NEX Data Center  (gedung Menara Tendean). Jl. Kapt Tendean no. 20C,,Kuningan Barat ,Jakarta Selatan ,DKI Jakarta ,Indonesia ,12710   "/>
    <s v="BAGI HASIL"/>
    <s v="Revenue Sharing"/>
    <s v="AL/2209/293807"/>
    <m/>
    <m/>
    <s v="IPVPN"/>
    <m/>
    <m/>
    <n v="36000000"/>
    <m/>
    <m/>
    <m/>
    <n v="0.15"/>
    <d v="2025-06-15T00:00:00"/>
    <d v="2026-06-14T00:00:00"/>
    <x v="1"/>
    <m/>
    <d v="2025-12-24T00:00:00"/>
    <n v="172"/>
    <n v="6"/>
    <n v="2026"/>
    <m/>
    <m/>
    <m/>
    <s v="Syifa Fauziyah"/>
    <s v="Haryanto"/>
    <m/>
    <m/>
    <m/>
    <m/>
    <m/>
    <m/>
    <m/>
    <m/>
    <m/>
    <m/>
    <m/>
  </r>
  <r>
    <n v="2633"/>
    <s v="PT CBN Nusantara"/>
    <s v=" PT MITRA VISIONER PRATAMA"/>
    <s v="Nex Data Center- CBN"/>
    <x v="1"/>
    <m/>
    <s v="Perumahan puri krakatau hijau blok b3 no 12,  Gerogol,  Kota Cilegon,  Banten,  Indonesia,  "/>
    <s v="BAGI HASIL"/>
    <s v="Revenue Sharing"/>
    <s v="AL/2210/311086"/>
    <m/>
    <m/>
    <s v="Metronet"/>
    <m/>
    <m/>
    <n v="198000000"/>
    <m/>
    <m/>
    <m/>
    <n v="0.15"/>
    <d v="2025-06-15T00:00:00"/>
    <d v="2026-06-14T00:00:00"/>
    <x v="1"/>
    <m/>
    <d v="2025-12-24T00:00:00"/>
    <n v="172"/>
    <n v="6"/>
    <n v="2026"/>
    <m/>
    <m/>
    <m/>
    <s v="Syifa Fauziyah"/>
    <s v="Haryanto"/>
    <m/>
    <m/>
    <m/>
    <m/>
    <m/>
    <m/>
    <m/>
    <m/>
    <m/>
    <m/>
    <m/>
  </r>
  <r>
    <n v="2634"/>
    <s v="PT CBN Nusantara"/>
    <s v="PT. ADHI PRADANA MAKAYASA"/>
    <s v="Nex Data Center- CBN"/>
    <x v="1"/>
    <m/>
    <s v="Desa Pasurenan RT 03/02 Pasurenan Batur, Banjarnegara 53456,  Batur,  Kabupaten Banjarnegara,  Jawa Tengah,  Indonesia,  53456"/>
    <s v="BAGI HASIL"/>
    <s v="Revenue Sharing"/>
    <s v="AL/2210/318170"/>
    <m/>
    <m/>
    <s v="Metronet"/>
    <m/>
    <m/>
    <n v="180000000"/>
    <m/>
    <m/>
    <m/>
    <n v="0.15"/>
    <d v="2025-06-15T00:00:00"/>
    <d v="2026-06-14T00:00:00"/>
    <x v="1"/>
    <m/>
    <d v="2025-12-24T00:00:00"/>
    <n v="172"/>
    <n v="6"/>
    <n v="2026"/>
    <m/>
    <m/>
    <m/>
    <s v="Syifa Fauziyah"/>
    <s v="Haryanto"/>
    <m/>
    <m/>
    <m/>
    <m/>
    <m/>
    <m/>
    <m/>
    <m/>
    <m/>
    <m/>
    <m/>
  </r>
  <r>
    <n v="2635"/>
    <s v="PT CBN Nusantara"/>
    <s v="PT MARSILIAN AKUSARA LESTARI"/>
    <s v="Nex Data Center- CBN"/>
    <x v="1"/>
    <m/>
    <s v="NEX Data Center Menara Tendean Lt. 6, Jl. Kapten Tendean No.20C,  Mampang Prapatan,  Jakarta Selatan,  DKI Jakarta,  Indonesia,  12710"/>
    <s v="BAGI HASIL"/>
    <s v="Revenue Sharing"/>
    <s v="AL/2211/331356"/>
    <m/>
    <m/>
    <s v="Metronet"/>
    <m/>
    <m/>
    <n v="42000000"/>
    <m/>
    <m/>
    <m/>
    <n v="0.15"/>
    <d v="2025-06-15T00:00:00"/>
    <d v="2026-06-14T00:00:00"/>
    <x v="1"/>
    <m/>
    <d v="2025-12-24T00:00:00"/>
    <n v="172"/>
    <n v="6"/>
    <n v="2026"/>
    <m/>
    <m/>
    <m/>
    <s v="Syifa Fauziyah"/>
    <s v="Haryanto"/>
    <m/>
    <m/>
    <m/>
    <m/>
    <m/>
    <m/>
    <m/>
    <m/>
    <m/>
    <m/>
    <m/>
  </r>
  <r>
    <n v="2636"/>
    <s v="PT CBN Nusantara"/>
    <s v="BPH MIGAS 30 Mbps"/>
    <s v="Nex Data Center- CBN"/>
    <x v="1"/>
    <m/>
    <s v="Gd. Mten Jl. Kap. Tendean Jakarta selatan"/>
    <s v="BAGI HASIL"/>
    <s v="Revenue Sharing"/>
    <m/>
    <s v="111202017456"/>
    <m/>
    <s v="Metronet"/>
    <s v=" 30 Mbps"/>
    <m/>
    <n v="36216240"/>
    <m/>
    <m/>
    <m/>
    <n v="0.15"/>
    <d v="2025-06-15T00:00:00"/>
    <d v="2026-06-14T00:00:00"/>
    <x v="1"/>
    <m/>
    <d v="2025-12-24T00:00:00"/>
    <n v="172"/>
    <n v="6"/>
    <n v="2026"/>
    <m/>
    <m/>
    <m/>
    <s v="Syifa Fauziyah"/>
    <s v="Haryanto"/>
    <m/>
    <m/>
    <m/>
    <m/>
    <m/>
    <m/>
    <m/>
    <m/>
    <m/>
    <m/>
    <m/>
  </r>
  <r>
    <n v="2637"/>
    <s v="PT CBN Nusantara"/>
    <s v="BPH MIGAS MSR PLATINUM"/>
    <s v="Nex Data Center- CBN"/>
    <x v="1"/>
    <m/>
    <s v="Gd. Mten Jl. Kap. Tendean Jakarta selatan"/>
    <s v="BAGI HASIL"/>
    <s v="Revenue Sharing"/>
    <m/>
    <s v="111601011685"/>
    <m/>
    <s v="Metronet"/>
    <m/>
    <m/>
    <n v="75675672"/>
    <m/>
    <m/>
    <m/>
    <n v="0.15"/>
    <d v="2025-06-15T00:00:00"/>
    <d v="2026-06-14T00:00:00"/>
    <x v="1"/>
    <m/>
    <d v="2025-12-24T00:00:00"/>
    <n v="172"/>
    <n v="6"/>
    <n v="2026"/>
    <m/>
    <m/>
    <m/>
    <s v="Syifa Fauziyah"/>
    <s v="Haryanto"/>
    <m/>
    <m/>
    <m/>
    <m/>
    <m/>
    <m/>
    <m/>
    <m/>
    <m/>
    <m/>
    <m/>
  </r>
  <r>
    <n v="2638"/>
    <s v="PT CBN Nusantara"/>
    <s v="PT. BIMASAKTI MULTI SINERGI"/>
    <s v="Nex Data Center- CBN"/>
    <x v="1"/>
    <m/>
    <s v="NEX Data Center  (gedung Menara Tendean). Jl. Kapt Tendean no. 20C,,Kuningan Barat ,Jakarta Selatan ,DKI Jakarta ,Indonesia ,12710   "/>
    <s v="BAGI HASIL"/>
    <s v="Revenue Sharing"/>
    <s v="AL/2209/293807"/>
    <m/>
    <m/>
    <s v="IPVPN"/>
    <m/>
    <m/>
    <n v="36000000"/>
    <m/>
    <m/>
    <m/>
    <n v="0.15"/>
    <d v="2026-06-15T00:00:00"/>
    <d v="2027-06-14T00:00:00"/>
    <x v="1"/>
    <m/>
    <d v="2025-12-24T00:00:00"/>
    <n v="537"/>
    <n v="6"/>
    <n v="2027"/>
    <m/>
    <m/>
    <m/>
    <s v="Syifa Fauziyah"/>
    <s v="Haryanto"/>
    <m/>
    <m/>
    <m/>
    <m/>
    <m/>
    <m/>
    <m/>
    <m/>
    <m/>
    <m/>
    <m/>
  </r>
  <r>
    <n v="2639"/>
    <s v="PT CBN Nusantara"/>
    <s v=" PT MITRA VISIONER PRATAMA"/>
    <s v="Nex Data Center- CBN"/>
    <x v="1"/>
    <m/>
    <s v="Perumahan puri krakatau hijau blok b3 no 12,  Gerogol,  Kota Cilegon,  Banten,  Indonesia,  "/>
    <s v="BAGI HASIL"/>
    <s v="Revenue Sharing"/>
    <s v="AL/2210/311086"/>
    <m/>
    <m/>
    <s v="Metronet"/>
    <m/>
    <m/>
    <n v="198000000"/>
    <m/>
    <m/>
    <m/>
    <n v="0.15"/>
    <d v="2026-06-15T00:00:00"/>
    <d v="2027-06-14T00:00:00"/>
    <x v="1"/>
    <m/>
    <d v="2025-12-24T00:00:00"/>
    <n v="537"/>
    <n v="6"/>
    <n v="2027"/>
    <m/>
    <m/>
    <m/>
    <s v="Syifa Fauziyah"/>
    <s v="Haryanto"/>
    <m/>
    <m/>
    <m/>
    <m/>
    <m/>
    <m/>
    <m/>
    <m/>
    <m/>
    <m/>
    <m/>
  </r>
  <r>
    <n v="2640"/>
    <s v="PT CBN Nusantara"/>
    <s v="PT. ADHI PRADANA MAKAYASA"/>
    <s v="Nex Data Center- CBN"/>
    <x v="1"/>
    <m/>
    <s v="Desa Pasurenan RT 03/02 Pasurenan Batur, Banjarnegara 53456,  Batur,  Kabupaten Banjarnegara,  Jawa Tengah,  Indonesia,  53456"/>
    <s v="BAGI HASIL"/>
    <s v="Revenue Sharing"/>
    <s v="AL/2210/318170"/>
    <m/>
    <m/>
    <s v="Metronet"/>
    <m/>
    <m/>
    <n v="180000000"/>
    <m/>
    <m/>
    <m/>
    <n v="0.15"/>
    <d v="2026-06-15T00:00:00"/>
    <d v="2027-06-14T00:00:00"/>
    <x v="1"/>
    <m/>
    <d v="2025-12-24T00:00:00"/>
    <n v="537"/>
    <n v="6"/>
    <n v="2027"/>
    <m/>
    <m/>
    <m/>
    <s v="Syifa Fauziyah"/>
    <s v="Haryanto"/>
    <m/>
    <m/>
    <m/>
    <m/>
    <m/>
    <m/>
    <m/>
    <m/>
    <m/>
    <m/>
    <m/>
  </r>
  <r>
    <n v="2641"/>
    <s v="PT CBN Nusantara"/>
    <s v="PT MARSILIAN AKUSARA LESTARI"/>
    <s v="Nex Data Center- CBN"/>
    <x v="1"/>
    <m/>
    <s v="NEX Data Center Menara Tendean Lt. 6, Jl. Kapten Tendean No.20C,  Mampang Prapatan,  Jakarta Selatan,  DKI Jakarta,  Indonesia,  12710"/>
    <s v="BAGI HASIL"/>
    <s v="Revenue Sharing"/>
    <s v="AL/2211/331356"/>
    <m/>
    <m/>
    <s v="Metronet"/>
    <m/>
    <m/>
    <n v="42000000"/>
    <m/>
    <m/>
    <m/>
    <n v="0.15"/>
    <d v="2026-06-15T00:00:00"/>
    <d v="2027-06-14T00:00:00"/>
    <x v="1"/>
    <m/>
    <d v="2025-12-24T00:00:00"/>
    <n v="537"/>
    <n v="6"/>
    <n v="2027"/>
    <m/>
    <m/>
    <m/>
    <s v="Syifa Fauziyah"/>
    <s v="Haryanto"/>
    <m/>
    <m/>
    <m/>
    <m/>
    <m/>
    <m/>
    <m/>
    <m/>
    <m/>
    <m/>
    <m/>
  </r>
  <r>
    <n v="2642"/>
    <s v="PT CBN Nusantara"/>
    <s v="BPH MIGAS 30 Mbps"/>
    <s v="Nex Data Center- CBN"/>
    <x v="1"/>
    <m/>
    <s v="Gd. Mten Jl. Kap. Tendean Jakarta selatan"/>
    <s v="BAGI HASIL"/>
    <s v="Revenue Sharing"/>
    <m/>
    <s v="111202017456"/>
    <m/>
    <s v="Metronet"/>
    <s v=" 30 Mbps"/>
    <m/>
    <n v="36216240"/>
    <m/>
    <m/>
    <m/>
    <n v="0.15"/>
    <d v="2026-06-15T00:00:00"/>
    <d v="2027-06-14T00:00:00"/>
    <x v="1"/>
    <m/>
    <d v="2025-12-24T00:00:00"/>
    <n v="537"/>
    <n v="6"/>
    <n v="2027"/>
    <m/>
    <m/>
    <m/>
    <s v="Syifa Fauziyah"/>
    <s v="Haryanto"/>
    <m/>
    <m/>
    <m/>
    <m/>
    <m/>
    <m/>
    <m/>
    <m/>
    <m/>
    <m/>
    <m/>
  </r>
  <r>
    <n v="2643"/>
    <s v="PT CBN Nusantara"/>
    <s v="BPH MIGAS MSR PLATINUM"/>
    <s v="Nex Data Center- CBN"/>
    <x v="1"/>
    <m/>
    <s v="Gd. Mten Jl. Kap. Tendean Jakarta selatan"/>
    <s v="BAGI HASIL"/>
    <s v="Revenue Sharing"/>
    <m/>
    <s v="111601011685"/>
    <m/>
    <s v="Metronet"/>
    <m/>
    <m/>
    <n v="75675672"/>
    <m/>
    <m/>
    <m/>
    <n v="0.15"/>
    <d v="2026-06-15T00:00:00"/>
    <d v="2027-06-14T00:00:00"/>
    <x v="1"/>
    <m/>
    <d v="2025-12-24T00:00:00"/>
    <n v="537"/>
    <n v="6"/>
    <n v="2027"/>
    <m/>
    <m/>
    <m/>
    <s v="Syifa Fauziyah"/>
    <s v="Haryanto"/>
    <m/>
    <m/>
    <m/>
    <m/>
    <m/>
    <m/>
    <m/>
    <m/>
    <m/>
    <m/>
    <m/>
  </r>
  <r>
    <n v="2644"/>
    <s v="PT Binapratama Sakatojaya"/>
    <s v="PT SELAGO MAKMUR PLANTATION"/>
    <s v="Nex Data Center- CBN"/>
    <x v="0"/>
    <m/>
    <s v="PT Selago Makmur Plantation Jl. Raya Perjuangan No. 8 Kebon Jeruk, Jakarta Barat 11530"/>
    <s v="BAGI HASIL"/>
    <s v="Revenue Sharing"/>
    <m/>
    <s v="04000006625"/>
    <m/>
    <s v="Akses internet"/>
    <s v="10 Mbps"/>
    <m/>
    <n v="54000000"/>
    <m/>
    <m/>
    <m/>
    <n v="0.15"/>
    <d v="2024-11-01T00:00:00"/>
    <d v="2025-10-31T00:00:00"/>
    <x v="0"/>
    <m/>
    <d v="2025-12-24T00:00:00"/>
    <n v="-54"/>
    <n v="10"/>
    <n v="2025"/>
    <m/>
    <m/>
    <m/>
    <s v="Syifa Fauziyah"/>
    <s v="Bili Haksari, Nuni"/>
    <m/>
    <m/>
    <m/>
    <m/>
    <m/>
    <m/>
    <m/>
    <m/>
    <m/>
    <m/>
    <m/>
  </r>
  <r>
    <n v="2645"/>
    <s v="PT Binapratama Sakatojaya"/>
    <s v="PT SELAGO MAKMUR PLANTATION"/>
    <s v="Gedung The Vida"/>
    <x v="1"/>
    <m/>
    <s v="PT Selago Makmur Plantation Jl. Raya Perjuangan No. 8 Kebon Jeruk, Jakarta Barat 11530"/>
    <s v="BAGI HASIL"/>
    <s v="Revenue Sharing"/>
    <m/>
    <s v="04000006625"/>
    <m/>
    <s v="Akses internet"/>
    <s v="10 Mbps"/>
    <m/>
    <n v="54000000"/>
    <m/>
    <m/>
    <m/>
    <n v="0.15"/>
    <d v="2025-11-01T00:00:00"/>
    <d v="2026-10-31T00:00:00"/>
    <x v="1"/>
    <m/>
    <d v="2025-12-24T00:00:00"/>
    <n v="311"/>
    <n v="10"/>
    <n v="2026"/>
    <m/>
    <m/>
    <m/>
    <s v="Syifa Fauziyah"/>
    <s v="Bili Haksari, Nuni"/>
    <m/>
    <m/>
    <m/>
    <m/>
    <m/>
    <m/>
    <m/>
    <m/>
    <m/>
    <m/>
    <m/>
  </r>
  <r>
    <n v="2646"/>
    <s v="PT AMSL INDONESIA"/>
    <s v="PT AMSL INDONESIA"/>
    <s v="Gedung The Vida"/>
    <x v="1"/>
    <m/>
    <s v="PT AEON INDONESIA Jl. BSD Raya Utama Unit M-02 Mezzanine Floor desa pagedangan, pagedangan, kabupaten tangerang, banten.15820"/>
    <s v="BAGI HASIL"/>
    <s v="Revenue Sharing"/>
    <m/>
    <s v="04000300722"/>
    <m/>
    <s v="Internet Corporate"/>
    <s v="20 Mbps"/>
    <m/>
    <n v="114000000"/>
    <m/>
    <m/>
    <m/>
    <n v="0.15"/>
    <d v="2025-09-02T00:00:00"/>
    <d v="2026-09-01T00:00:00"/>
    <x v="1"/>
    <m/>
    <d v="2025-12-24T00:00:00"/>
    <n v="251"/>
    <n v="9"/>
    <n v="2026"/>
    <m/>
    <m/>
    <m/>
    <s v="Syifa Fauziyah"/>
    <s v="Riki"/>
    <m/>
    <m/>
    <m/>
    <m/>
    <m/>
    <m/>
    <m/>
    <m/>
    <m/>
    <m/>
    <s v="tahap reminder pengelola"/>
  </r>
  <r>
    <n v="2647"/>
    <s v="PT AMSL INDONESIA"/>
    <s v="PT AMSL INDONESIA"/>
    <s v="AEON MALL"/>
    <x v="1"/>
    <m/>
    <s v="PT AEON INDONESIA Jl. BSD Raya Utama Unit M-02 Mezzanine Floor desa pagedangan, pagedangan, kabupaten tangerang, banten.15820"/>
    <s v="BAGI HASIL"/>
    <s v="Revenue Sharing"/>
    <m/>
    <s v="04000300722"/>
    <m/>
    <s v="Internet Corporate"/>
    <s v="20 Mbps"/>
    <m/>
    <n v="114000000"/>
    <m/>
    <m/>
    <m/>
    <n v="0.15"/>
    <d v="2026-09-02T00:00:00"/>
    <d v="2027-09-01T00:00:00"/>
    <x v="1"/>
    <m/>
    <d v="2025-12-24T00:00:00"/>
    <n v="616"/>
    <n v="9"/>
    <n v="2027"/>
    <m/>
    <m/>
    <m/>
    <s v="Syifa Fauziyah"/>
    <s v="Riki"/>
    <m/>
    <m/>
    <m/>
    <m/>
    <m/>
    <m/>
    <m/>
    <m/>
    <m/>
    <m/>
    <s v="tahap reminder pengelola"/>
  </r>
  <r>
    <n v="2648"/>
    <s v="PT AMSL INDONESIA"/>
    <s v="PT AMSL INDONESIA"/>
    <s v="AEON MALL"/>
    <x v="1"/>
    <m/>
    <s v="PT AEON INDONESIA Jl. BSD Raya Utama Unit M-02 Mezzanine Floor desa pagedangan, pagedangan, kabupaten tangerang, banten.15820"/>
    <s v="BAGI HASIL"/>
    <s v="Revenue Sharing"/>
    <m/>
    <s v="04000300722"/>
    <m/>
    <s v="Internet Corporate"/>
    <s v="20 Mbps"/>
    <m/>
    <n v="114000000"/>
    <m/>
    <m/>
    <m/>
    <n v="0.15"/>
    <d v="2027-09-02T00:00:00"/>
    <d v="2028-09-01T00:00:00"/>
    <x v="1"/>
    <m/>
    <d v="2025-12-24T00:00:00"/>
    <n v="982"/>
    <n v="9"/>
    <n v="2028"/>
    <m/>
    <m/>
    <m/>
    <s v="Syifa Fauziyah"/>
    <s v="Riki"/>
    <m/>
    <m/>
    <m/>
    <m/>
    <m/>
    <m/>
    <m/>
    <m/>
    <m/>
    <m/>
    <s v="tahap reminder pengelola"/>
  </r>
  <r>
    <n v="2649"/>
    <s v="PT AMSL INDONESIA"/>
    <s v="PT AMSL INDONESIA"/>
    <s v="AEON MALL"/>
    <x v="1"/>
    <m/>
    <s v="PT AEON INDONESIA Jl. BSD Raya Utama Unit M-02 Mezzanine Floor desa pagedangan, pagedangan, kabupaten tangerang, banten.15820"/>
    <s v="BAGI HASIL"/>
    <s v="Revenue Sharing"/>
    <m/>
    <s v="04000300722"/>
    <m/>
    <s v="Internet Corporate"/>
    <s v="20 Mbps"/>
    <m/>
    <n v="114000000"/>
    <m/>
    <m/>
    <m/>
    <n v="0.15"/>
    <d v="2028-09-02T00:00:00"/>
    <d v="2029-09-01T00:00:00"/>
    <x v="1"/>
    <m/>
    <d v="2025-12-24T00:00:00"/>
    <n v="1347"/>
    <n v="9"/>
    <n v="2029"/>
    <m/>
    <m/>
    <m/>
    <s v="Syifa Fauziyah"/>
    <s v="Riki"/>
    <m/>
    <m/>
    <m/>
    <m/>
    <m/>
    <m/>
    <m/>
    <m/>
    <m/>
    <m/>
    <s v="tahap reminder pengelola"/>
  </r>
  <r>
    <n v="2650"/>
    <s v="PT Kurnadi Abadi "/>
    <s v="Kemenkominfo Ditjen Aplikasi Informatika (Aptika)"/>
    <s v="AEON MALL"/>
    <x v="1"/>
    <m/>
    <s v="Jl. H. Fachrudin No.26, RT.9/RW.5, Kp. Bali, Kecamatan Tanah Abang, Kota Jakarta Pusat, Daerah Khusus Ibukota Jakarta,- ,Jakarta Pusat ,DKI Jakarta ,Indonesia ,10250"/>
    <s v="BAGI HASIL"/>
    <s v="Revenue Sharing"/>
    <m/>
    <s v="0111303012934"/>
    <m/>
    <s v=" Internet Corporate Basic"/>
    <s v="50 Mbps"/>
    <m/>
    <n v="59459448"/>
    <m/>
    <m/>
    <m/>
    <n v="0.2"/>
    <d v="2025-03-01T00:00:00"/>
    <d v="2026-02-28T00:00:00"/>
    <x v="1"/>
    <m/>
    <d v="2025-12-24T00:00:00"/>
    <n v="66"/>
    <n v="2"/>
    <n v="2026"/>
    <m/>
    <m/>
    <m/>
    <s v="Syifa Fauziyah"/>
    <s v="Hendro"/>
    <m/>
    <m/>
    <m/>
    <m/>
    <m/>
    <m/>
    <m/>
    <m/>
    <m/>
    <m/>
    <m/>
  </r>
  <r>
    <n v="2651"/>
    <s v="PT Kurnadi Abadi "/>
    <s v="Kemenkominfo Ditjen Aplikasi Informatika (Aptika)"/>
    <s v="Gd. Midpoint"/>
    <x v="1"/>
    <m/>
    <s v="Jl. H. Fachrudin No.26, RT.9/RW.5, Kp. Bali, Kecamatan Tanah Abang, Kota Jakarta Pusat, Daerah Khusus Ibukota Jakarta,- ,Jakarta Pusat ,DKI Jakarta ,Indonesia ,10250"/>
    <s v="BAGI HASIL"/>
    <s v="Revenue Sharing"/>
    <m/>
    <s v="0111601012412"/>
    <m/>
    <s v="Manage Service Router"/>
    <s v="50 Mbps"/>
    <m/>
    <n v="23783784"/>
    <m/>
    <m/>
    <m/>
    <n v="0.2"/>
    <d v="2025-03-01T00:00:00"/>
    <d v="2026-02-28T00:00:00"/>
    <x v="1"/>
    <m/>
    <d v="2025-12-24T00:00:00"/>
    <n v="66"/>
    <n v="2"/>
    <n v="2026"/>
    <m/>
    <m/>
    <m/>
    <s v="Syifa Fauziyah"/>
    <s v="Hendro"/>
    <m/>
    <m/>
    <m/>
    <m/>
    <m/>
    <m/>
    <m/>
    <m/>
    <m/>
    <m/>
    <m/>
  </r>
  <r>
    <n v="2652"/>
    <s v="PT Kurnadi Abadi "/>
    <s v="Kemenkominfo Ditjen Aplikasi Informatika (Aptika)"/>
    <s v="Gd. Midpoint"/>
    <x v="1"/>
    <m/>
    <s v="Jl. H. Fachrudin No.26, RT.9/RW.5, Kp. Bali, Kecamatan Tanah Abang, Kota Jakarta Pusat, Daerah Khusus Ibukota Jakarta,- ,Jakarta Pusat ,DKI Jakarta ,Indonesia ,10250"/>
    <s v="BAGI HASIL"/>
    <s v="Revenue Sharing"/>
    <m/>
    <s v="0111610004173"/>
    <m/>
    <s v="I-WIN / Manage Service Router"/>
    <m/>
    <m/>
    <n v="12432432"/>
    <m/>
    <m/>
    <m/>
    <n v="0.2"/>
    <d v="2025-03-01T00:00:00"/>
    <d v="2026-02-28T00:00:00"/>
    <x v="1"/>
    <m/>
    <d v="2025-12-24T00:00:00"/>
    <n v="66"/>
    <n v="2"/>
    <n v="2026"/>
    <m/>
    <m/>
    <m/>
    <s v="Syifa Fauziyah"/>
    <s v="Hendro"/>
    <m/>
    <m/>
    <m/>
    <m/>
    <m/>
    <m/>
    <m/>
    <m/>
    <m/>
    <m/>
    <m/>
  </r>
  <r>
    <n v="2653"/>
    <s v="PT Kurnadi Abadi "/>
    <s v="Kemenkominfo Ditjen Aplikasi Informatika (Aptika)"/>
    <s v="Gd. Midpoint"/>
    <x v="1"/>
    <m/>
    <s v="Jl. H. Fachrudin No.26, RT.9/RW.5, Kp. Bali, Kecamatan Tanah Abang, Kota Jakarta Pusat, Daerah Khusus Ibukota Jakarta,- ,Jakarta Pusat ,DKI Jakarta ,Indonesia ,10251"/>
    <s v="BAGI HASIL"/>
    <s v="Revenue Sharing"/>
    <m/>
    <s v="0111610004174"/>
    <m/>
    <s v="I-WIN / Manage Service Router"/>
    <m/>
    <m/>
    <n v="12432432"/>
    <m/>
    <m/>
    <m/>
    <n v="0.2"/>
    <d v="2025-03-01T00:00:00"/>
    <d v="2026-02-28T00:00:00"/>
    <x v="1"/>
    <m/>
    <d v="2025-12-24T00:00:00"/>
    <n v="66"/>
    <n v="2"/>
    <n v="2026"/>
    <m/>
    <m/>
    <m/>
    <s v="Syifa Fauziyah"/>
    <s v="Hendro"/>
    <m/>
    <m/>
    <m/>
    <m/>
    <m/>
    <m/>
    <m/>
    <m/>
    <m/>
    <m/>
    <m/>
  </r>
  <r>
    <n v="2654"/>
    <s v="PT Kurnadi Abadi "/>
    <s v="PT. BUKAN SEKADAR AIR "/>
    <s v="Gd. Midpoint"/>
    <x v="1"/>
    <m/>
    <s v="Jl. H. Fachrudin No.26, RT.9/RW.5, Kp. Bali, Kecamatan Tanah Abang, Kota Jakarta Pusat, Daerah Khusus Ibukota Jakarta,- ,Jakarta Pusat ,DKI Jakarta ,Indonesia ,10252"/>
    <s v="BAGI HASIL"/>
    <s v="Revenue Sharing"/>
    <m/>
    <s v="0141401002218"/>
    <m/>
    <s v="INTERNET CORPORATE 200 Mbps"/>
    <m/>
    <m/>
    <n v="42000000"/>
    <m/>
    <m/>
    <m/>
    <n v="0.2"/>
    <d v="2025-03-01T00:00:00"/>
    <d v="2026-02-28T00:00:00"/>
    <x v="1"/>
    <m/>
    <d v="2025-12-24T00:00:00"/>
    <n v="66"/>
    <n v="2"/>
    <n v="2026"/>
    <m/>
    <m/>
    <m/>
    <s v="Syifa Fauziyah"/>
    <s v="Hendro"/>
    <m/>
    <m/>
    <m/>
    <m/>
    <m/>
    <m/>
    <m/>
    <m/>
    <m/>
    <m/>
    <m/>
  </r>
  <r>
    <n v="2655"/>
    <s v="PT Kurnadi Abadi "/>
    <s v=" PT INDOMARCO PRISMATAMA"/>
    <s v="Gd. Midpoint"/>
    <x v="1"/>
    <m/>
    <s v="Jl. H. Fachrudin No.26, RT.9/RW.5, Kp. Bali, Kecamatan Tanah Abang, Kota Jakarta Pusat, Daerah Khusus Ibukota Jakarta,- ,Jakarta Pusat ,DKI Jakarta ,Indonesia ,10253"/>
    <s v="BAGI HASIL"/>
    <s v="Revenue Sharing"/>
    <m/>
    <s v="0111401007826"/>
    <m/>
    <s v="IBBC "/>
    <s v="20 Mbps"/>
    <m/>
    <n v="6000000"/>
    <m/>
    <m/>
    <m/>
    <n v="0.2"/>
    <d v="2025-03-01T00:00:00"/>
    <d v="2026-02-28T00:00:00"/>
    <x v="1"/>
    <m/>
    <d v="2025-12-24T00:00:00"/>
    <n v="66"/>
    <n v="2"/>
    <n v="2026"/>
    <m/>
    <m/>
    <m/>
    <s v="Syifa Fauziyah"/>
    <s v="Hendro"/>
    <m/>
    <m/>
    <m/>
    <m/>
    <m/>
    <m/>
    <m/>
    <m/>
    <m/>
    <m/>
    <m/>
  </r>
  <r>
    <n v="2656"/>
    <s v="PT Kurnadi Abadi "/>
    <s v="Kemenkominfo Ditjen Aplikasi Informatika (Aptika)"/>
    <s v="Gd. Midpoint"/>
    <x v="1"/>
    <m/>
    <s v="Jl. H. Fachrudin No.26, RT.9/RW.5, Kp. Bali, Kecamatan Tanah Abang, Kota Jakarta Pusat, Daerah Khusus Ibukota Jakarta,- ,Jakarta Pusat ,DKI Jakarta ,Indonesia ,10254"/>
    <s v="BAGI HASIL"/>
    <s v="Revenue Sharing"/>
    <m/>
    <s v="0111303012934"/>
    <m/>
    <s v=" Internet Corporate Basic"/>
    <s v="50 Mbps"/>
    <m/>
    <n v="59459448"/>
    <m/>
    <m/>
    <m/>
    <n v="0.2"/>
    <d v="2025-03-01T00:00:00"/>
    <d v="2026-02-28T00:00:00"/>
    <x v="1"/>
    <m/>
    <d v="2025-12-24T00:00:00"/>
    <n v="66"/>
    <n v="2"/>
    <n v="2026"/>
    <m/>
    <m/>
    <m/>
    <s v="Syifa Fauziyah"/>
    <s v="Hendro"/>
    <m/>
    <m/>
    <m/>
    <m/>
    <m/>
    <m/>
    <m/>
    <m/>
    <m/>
    <m/>
    <m/>
  </r>
  <r>
    <n v="2657"/>
    <s v="PT Kurnadi Abadi "/>
    <s v="Kemenkominfo Ditjen Aplikasi Informatika (Aptika)"/>
    <s v="Gd. Midpoint"/>
    <x v="1"/>
    <m/>
    <s v="Jl. H. Fachrudin No.26, RT.9/RW.5, Kp. Bali, Kecamatan Tanah Abang, Kota Jakarta Pusat, Daerah Khusus Ibukota Jakarta,- ,Jakarta Pusat ,DKI Jakarta ,Indonesia ,10255"/>
    <s v="BAGI HASIL"/>
    <s v="Revenue Sharing"/>
    <m/>
    <s v="0111601012412"/>
    <m/>
    <s v="Manage Service Router"/>
    <m/>
    <m/>
    <n v="23783784"/>
    <m/>
    <m/>
    <m/>
    <n v="0.2"/>
    <d v="2025-03-01T00:00:00"/>
    <d v="2026-02-28T00:00:00"/>
    <x v="1"/>
    <m/>
    <d v="2025-12-24T00:00:00"/>
    <n v="66"/>
    <n v="2"/>
    <n v="2026"/>
    <m/>
    <m/>
    <m/>
    <s v="Syifa Fauziyah"/>
    <s v="Hendro"/>
    <m/>
    <m/>
    <m/>
    <m/>
    <m/>
    <m/>
    <m/>
    <m/>
    <m/>
    <m/>
    <m/>
  </r>
  <r>
    <n v="2658"/>
    <s v="PT Kurnadi Abadi "/>
    <s v="Kemenkominfo Ditjen Aplikasi Informatika (Aptika)"/>
    <s v="Gd. Midpoint"/>
    <x v="1"/>
    <m/>
    <s v="Jl. H. Fachrudin No.26, RT.9/RW.5, Kp. Bali, Kecamatan Tanah Abang, Kota Jakarta Pusat, Daerah Khusus Ibukota Jakarta,- ,Jakarta Pusat ,DKI Jakarta ,Indonesia ,10256"/>
    <s v="BAGI HASIL"/>
    <s v="Revenue Sharing"/>
    <m/>
    <s v="0111610004173"/>
    <m/>
    <s v="I-WIN / Manage Service Router"/>
    <m/>
    <m/>
    <n v="12432432"/>
    <m/>
    <m/>
    <m/>
    <n v="0.2"/>
    <d v="2025-03-01T00:00:00"/>
    <d v="2026-02-28T00:00:00"/>
    <x v="1"/>
    <m/>
    <d v="2025-12-24T00:00:00"/>
    <n v="66"/>
    <n v="2"/>
    <n v="2026"/>
    <m/>
    <m/>
    <m/>
    <s v="Syifa Fauziyah"/>
    <s v="Hendro"/>
    <m/>
    <m/>
    <m/>
    <m/>
    <m/>
    <m/>
    <m/>
    <m/>
    <m/>
    <m/>
    <m/>
  </r>
  <r>
    <n v="2659"/>
    <s v="PT Kurnadi Abadi "/>
    <s v="Kemenkominfo Ditjen Aplikasi Informatika (Aptika)"/>
    <s v="Gd. Midpoint"/>
    <x v="1"/>
    <m/>
    <s v="Jl. H. Fachrudin No.26, RT.9/RW.5, Kp. Bali, Kecamatan Tanah Abang, Kota Jakarta Pusat, Daerah Khusus Ibukota Jakarta,- ,Jakarta Pusat ,DKI Jakarta ,Indonesia ,10250"/>
    <s v="BAGI HASIL"/>
    <s v="Revenue Sharing"/>
    <m/>
    <s v="0111610004174"/>
    <m/>
    <s v="I-WIN / Manage Service Router"/>
    <m/>
    <m/>
    <n v="12432432"/>
    <m/>
    <m/>
    <m/>
    <n v="0.2"/>
    <d v="2026-03-01T00:00:00"/>
    <d v="2027-02-28T00:00:00"/>
    <x v="1"/>
    <m/>
    <d v="2025-12-24T00:00:00"/>
    <n v="431"/>
    <n v="2"/>
    <n v="2027"/>
    <m/>
    <m/>
    <m/>
    <s v="Syifa Fauziyah"/>
    <s v="Hendro"/>
    <m/>
    <m/>
    <m/>
    <m/>
    <m/>
    <m/>
    <m/>
    <m/>
    <m/>
    <m/>
    <m/>
  </r>
  <r>
    <n v="2660"/>
    <s v="PT Kurnadi Abadi "/>
    <s v="PT. BUKAN SEKADAR AIR "/>
    <s v="Gd. Midpoint"/>
    <x v="1"/>
    <m/>
    <s v="Jl. H. Fachrudin No.26, RT.9/RW.5, Kp. Bali, Kecamatan Tanah Abang, Kota Jakarta Pusat, Daerah Khusus Ibukota Jakarta,- ,Jakarta Pusat ,DKI Jakarta ,Indonesia ,10250"/>
    <s v="BAGI HASIL"/>
    <s v="Revenue Sharing"/>
    <m/>
    <s v="0141401002218"/>
    <m/>
    <s v="INTERNET CORPORATE 200 Mbps"/>
    <m/>
    <m/>
    <n v="42000000"/>
    <m/>
    <m/>
    <m/>
    <n v="0.2"/>
    <d v="2026-03-01T00:00:00"/>
    <d v="2027-02-28T00:00:00"/>
    <x v="1"/>
    <m/>
    <d v="2025-12-24T00:00:00"/>
    <n v="431"/>
    <n v="2"/>
    <n v="2027"/>
    <m/>
    <m/>
    <m/>
    <s v="Syifa Fauziyah"/>
    <s v="Hendro"/>
    <m/>
    <m/>
    <m/>
    <m/>
    <m/>
    <m/>
    <m/>
    <m/>
    <m/>
    <m/>
    <m/>
  </r>
  <r>
    <n v="2661"/>
    <s v="PT Kurnadi Abadi "/>
    <s v="PT INDOMARCO PRISMATAMA"/>
    <s v="Gd. Midpoint"/>
    <x v="1"/>
    <m/>
    <s v="Jl. H. Fachrudin No.26, RT.9/RW.5, Kp. Bali, Kecamatan Tanah Abang, Kota Jakarta Pusat, Daerah Khusus Ibukota Jakarta,- ,Jakarta Pusat ,DKI Jakarta ,Indonesia ,10250"/>
    <s v="BAGI HASIL"/>
    <s v="Revenue Sharing"/>
    <m/>
    <s v="0111401007826"/>
    <m/>
    <s v="IBBC "/>
    <s v="20 Mbps"/>
    <m/>
    <n v="6000000"/>
    <m/>
    <m/>
    <m/>
    <n v="0.2"/>
    <d v="2026-03-01T00:00:00"/>
    <d v="2027-02-28T00:00:00"/>
    <x v="1"/>
    <m/>
    <d v="2025-12-24T00:00:00"/>
    <n v="431"/>
    <n v="2"/>
    <n v="2027"/>
    <m/>
    <m/>
    <m/>
    <s v="Syifa Fauziyah"/>
    <s v="Hendro"/>
    <m/>
    <m/>
    <m/>
    <m/>
    <m/>
    <m/>
    <m/>
    <m/>
    <m/>
    <m/>
    <m/>
  </r>
  <r>
    <n v="2662"/>
    <s v="DCI Indonesia"/>
    <s v="PT Airpay International Indonesia"/>
    <s v="Equity Tower 17th floor suite F SCBD lot Jl Jend Sudirman Kav 52-53 Jakarta 12196"/>
    <x v="1"/>
    <s v="H2H Gedung Menara BCA Grand Indonesia, Jl. MH. Thamrin No. 1, Menteng, RT.1/RW.5, Menteng, Jakarta Pusat, DKI Jakarta. 10310"/>
    <s v="H2H PT DCI Indonesia, Gedung JK2, Jl. Irian I Blok GG 5-1, Kawasan MM 2100, Cibitung, Bekasi, Jawa Barat"/>
    <s v="Sewa Tahunan"/>
    <s v="Cross Connect"/>
    <s v="PA/ACT/1908/0899"/>
    <m/>
    <m/>
    <s v="IPVPN"/>
    <s v="3 Mbps"/>
    <m/>
    <n v="66000000"/>
    <m/>
    <m/>
    <n v="36000000"/>
    <m/>
    <d v="2025-08-16T00:00:00"/>
    <d v="2026-08-15T00:00:00"/>
    <x v="1"/>
    <m/>
    <d v="2025-12-24T00:00:00"/>
    <n v="234"/>
    <n v="8"/>
    <n v="2026"/>
    <s v="3892/SPP/SBU/PLNICONPLUS/2024 | 4500023416"/>
    <s v="7432/SPP/SBU/PLNICONPLUS/2025"/>
    <s v="4500026038"/>
    <s v="Livia Indraswati"/>
    <s v="Asima"/>
    <m/>
    <m/>
    <m/>
    <m/>
    <m/>
    <m/>
    <m/>
    <m/>
    <m/>
    <n v="272"/>
    <m/>
  </r>
  <r>
    <n v="2663"/>
    <s v="Kawasan Lintas Biru Digital"/>
    <s v="PT Nutrifood Indonesia"/>
    <s v="Equity Tower 17th floor suite F SCBD lot Jl Jend Sudirman Kav 52-53 Jakarta 12196"/>
    <x v="1"/>
    <m/>
    <s v="KAWASAN INDUSTRI MM2100 JALAN SELAYAR II BLOK. H7-H8, JATIWANGI, CIKARANG BARAT, BEKASI REGENCY, WEST JAVA 17530"/>
    <s v="Sewa Tahunan"/>
    <s v="Colocation"/>
    <s v="A821303001179 "/>
    <s v="111303012682"/>
    <m/>
    <s v="METRONET"/>
    <s v="50 Mbps"/>
    <m/>
    <n v="108000000"/>
    <m/>
    <m/>
    <n v="78000000"/>
    <m/>
    <d v="2025-07-20T00:00:00"/>
    <d v="2026-07-19T00:00:00"/>
    <x v="1"/>
    <m/>
    <d v="2025-12-24T00:00:00"/>
    <n v="207"/>
    <n v="7"/>
    <n v="2026"/>
    <s v="3821/SPP/SBU/PLNICONPLUS/2024 | 4500023020"/>
    <s v="7574/SPP/SBU/PLNICONPLUS/2025"/>
    <s v="4500025944"/>
    <s v="Livia Indraswati"/>
    <s v="Marisa"/>
    <m/>
    <m/>
    <m/>
    <m/>
    <m/>
    <m/>
    <m/>
    <m/>
    <m/>
    <n v="273"/>
    <m/>
  </r>
  <r>
    <n v="2664"/>
    <s v="Jakarta Industrial Estate Pulogadung (Persero) (JIEP) "/>
    <s v="PT Astra Agro Lestari"/>
    <s v="Jl. Kalimantan Gandasari MM2100 Kaw. Befa"/>
    <x v="1"/>
    <m/>
    <s v="PT Astra Agro Lestari, Kawasan Industri Pulogadung, Jakarta Timur"/>
    <s v="Sewa Tahunan"/>
    <s v="Colocation"/>
    <m/>
    <n v="110120214842"/>
    <m/>
    <s v="Qinq Metro Ethernet"/>
    <s v="50 Mbps"/>
    <m/>
    <n v="42750000"/>
    <m/>
    <m/>
    <n v="27720000"/>
    <m/>
    <d v="2025-09-26T00:00:00"/>
    <d v="2026-09-25T00:00:00"/>
    <x v="1"/>
    <m/>
    <d v="2025-12-24T00:00:00"/>
    <n v="275"/>
    <n v="9"/>
    <n v="2026"/>
    <s v="4155/SPP/SBU/PLNICONPLUS/2024 | 4500023839"/>
    <s v="7723/SPP/SBU/PLNICONPLUS/2025"/>
    <s v="4500026005"/>
    <s v="Livia Indraswati"/>
    <s v="Dana"/>
    <m/>
    <m/>
    <m/>
    <m/>
    <m/>
    <m/>
    <m/>
    <m/>
    <m/>
    <n v="245"/>
    <m/>
  </r>
  <r>
    <n v="2665"/>
    <s v="Sanggarcipta Kreasitama"/>
    <s v="Satuan Kerja Khusus Pelaksana Kegiatan Usaha Hulu Minyak dan Gas"/>
    <s v="Jl. Pulokambing No. 1 Lahan Industri Pulogadung Jakarta Timur 13294"/>
    <x v="1"/>
    <m/>
    <s v="Wisma Mulia Jl. Jend. Gatot Subroto No. 42 Jakarta"/>
    <s v="Sewa Tahunan"/>
    <s v="Colocation"/>
    <s v="PA/ACT/2202/1029"/>
    <m/>
    <m/>
    <m/>
    <m/>
    <m/>
    <n v="542124000"/>
    <m/>
    <m/>
    <n v="167800000"/>
    <m/>
    <d v="2025-08-01T00:00:00"/>
    <d v="2026-07-31T00:00:00"/>
    <x v="1"/>
    <m/>
    <d v="2025-12-24T00:00:00"/>
    <n v="219"/>
    <n v="7"/>
    <n v="2026"/>
    <s v="3979/SPP/SBU/PLNICONPLUS/2024 | 4500023159"/>
    <s v="7716/SPP/SBU/PLNICONPLUS/2025"/>
    <s v="4500025954"/>
    <s v="Fajar Paramita"/>
    <s v="Metty"/>
    <m/>
    <m/>
    <m/>
    <m/>
    <m/>
    <m/>
    <m/>
    <m/>
    <m/>
    <n v="257"/>
    <m/>
  </r>
  <r>
    <n v="2666"/>
    <s v="Alfa Goldland Realty"/>
    <s v="Bank Syariah Indonesia"/>
    <s v="Wisma Mulia Jalan Gatot Subroto No. 42 Kuningan Barat Mampang Prapatan Jakarta 12710"/>
    <x v="1"/>
    <m/>
    <s v="The Tower Lantai 5 Jl. Gatot Subroto No. 27, RT.2/RW.4, Karet Semanggi, Kec. Setiabudi, Jakarta Selatan, DKI Jakarta, 12930"/>
    <s v="Sewa Bulanan"/>
    <s v="Colocation"/>
    <s v="AL/2112/149582"/>
    <m/>
    <m/>
    <s v="IWIN_x000a_Metronet_x000a_Internet"/>
    <m/>
    <m/>
    <n v="1922540544"/>
    <m/>
    <m/>
    <n v="64000000"/>
    <m/>
    <d v="2025-07-23T00:00:00"/>
    <d v="2026-07-22T00:00:00"/>
    <x v="1"/>
    <m/>
    <d v="2025-12-24T00:00:00"/>
    <n v="210"/>
    <n v="7"/>
    <n v="2025"/>
    <s v="3750/SPP/SBU/PLNICONPLUS/2024 | 4500023039"/>
    <s v="7431/SPP/SBU/PLNICONPLUS/2024"/>
    <s v="4500025768"/>
    <s v="Fajar Paramita"/>
    <m/>
    <m/>
    <m/>
    <m/>
    <m/>
    <m/>
    <m/>
    <m/>
    <m/>
    <m/>
    <n v="258"/>
    <m/>
  </r>
  <r>
    <n v="2667"/>
    <s v="Centrin Online Prima"/>
    <s v="PT GH EMM Indonesia"/>
    <s v="The Tower Jl. Gatot Subroto Karet Semanggi, Kec. Setiabudi, Jakarta Selatan, DKI Jakarta, Indonesia, 12930"/>
    <x v="4"/>
    <s v="Dusun II Gunung Raja Kel. Rambang Dangku Muara Enim, Sumatera Selatan, Indonesia"/>
    <s v="PT.GH EMM Indonesia, APL Tower 39 floor T1, Jalan Letnan Jendral S. Parman Kav. 28 Jakarta Barat, DKI Jakarta, Indonesia"/>
    <s v="Sewa Tahunan"/>
    <s v="Colocation"/>
    <s v="PA/UPG/2001/0203"/>
    <s v="0990000320336400"/>
    <m/>
    <s v="Metronet"/>
    <s v="50 Mbps"/>
    <m/>
    <n v="262500000"/>
    <m/>
    <m/>
    <n v="5104850"/>
    <m/>
    <d v="2025-07-07T00:00:00"/>
    <d v="2026-01-31T00:00:00"/>
    <x v="1"/>
    <m/>
    <d v="2025-12-24T00:00:00"/>
    <n v="38"/>
    <n v="1"/>
    <n v="2026"/>
    <s v="3947/SPP/SBU/PLNICONPLUS/2024 | 4500023158"/>
    <s v="7089/SPP/SBU/PLNICONPLUS/2025"/>
    <s v="4500025901"/>
    <s v="Fajar Paramita"/>
    <s v="Vitasari"/>
    <m/>
    <m/>
    <m/>
    <m/>
    <m/>
    <m/>
    <m/>
    <m/>
    <m/>
    <n v="259"/>
    <m/>
  </r>
  <r>
    <n v="2668"/>
    <s v="IDC (Internetindo Data Centra Indonesia) "/>
    <s v="Join All Customer (Rack Summer 263)"/>
    <s v="Rukan Duren Tiga No. 7H_x000a_Jl. Duren Tiga Raya No. 7 Jakarta Selatan 12760"/>
    <x v="1"/>
    <m/>
    <s v="IDC DUREN3"/>
    <s v="Sewa Tahunan"/>
    <s v="Colocation"/>
    <m/>
    <m/>
    <m/>
    <s v="Kapasitas besar"/>
    <m/>
    <m/>
    <m/>
    <m/>
    <m/>
    <n v="142500000"/>
    <m/>
    <d v="2025-10-20T00:00:00"/>
    <d v="2026-10-19T00:00:00"/>
    <x v="1"/>
    <m/>
    <d v="2025-12-24T00:00:00"/>
    <n v="299"/>
    <n v="10"/>
    <n v="2026"/>
    <n v="4500023668"/>
    <s v="8039/SPP/SBU/PLNICONPLUS/2025"/>
    <s v="4500026275"/>
    <s v="Fajar Paramita"/>
    <m/>
    <m/>
    <m/>
    <m/>
    <m/>
    <m/>
    <m/>
    <m/>
    <m/>
    <m/>
    <n v="315"/>
    <m/>
  </r>
  <r>
    <n v="2669"/>
    <s v="Infrastruktur Cakrawala Telekomunikasi"/>
    <s v="Join All Customer"/>
    <m/>
    <x v="0"/>
    <m/>
    <m/>
    <m/>
    <m/>
    <m/>
    <m/>
    <m/>
    <m/>
    <m/>
    <m/>
    <m/>
    <m/>
    <m/>
    <m/>
    <m/>
    <m/>
    <m/>
    <x v="3"/>
    <m/>
    <m/>
    <n v="0"/>
    <m/>
    <m/>
    <m/>
    <m/>
    <m/>
    <m/>
    <m/>
    <m/>
    <m/>
    <m/>
    <m/>
    <m/>
    <m/>
    <m/>
    <m/>
    <m/>
    <m/>
    <m/>
  </r>
  <r>
    <n v="2670"/>
    <s v="Aplikanusa Lintasarta"/>
    <s v="PT Hipernet Indodata"/>
    <m/>
    <x v="1"/>
    <m/>
    <s v="DC LINTAS ARTA TAMAN TEKNO BSD KOMPLEK PERGUDANGAN TAMAN TEKNO BLOK D NO. 8, BSD, SETU, KEC. SETU. KOTA TANGERANG SELATAN, BANTEN 15314"/>
    <s v="Sewa Tahunan"/>
    <s v="Cross Connect"/>
    <s v=" A111202013483"/>
    <m/>
    <m/>
    <s v="Metronet"/>
    <s v="200 Mbps"/>
    <m/>
    <n v="218360000"/>
    <m/>
    <n v="3000000"/>
    <n v="30000000"/>
    <m/>
    <d v="2025-09-09T00:00:00"/>
    <d v="2026-09-08T00:00:00"/>
    <x v="1"/>
    <m/>
    <d v="2025-12-24T00:00:00"/>
    <n v="258"/>
    <n v="9"/>
    <n v="2026"/>
    <s v="baru"/>
    <s v="7954/SPP/SBU/PLNICONPLUS/2025"/>
    <s v="4500026238"/>
    <s v="Syifa Fauziyah"/>
    <s v="Syarifah"/>
    <m/>
    <m/>
    <m/>
    <m/>
    <m/>
    <m/>
    <m/>
    <m/>
    <m/>
    <n v="230"/>
    <m/>
  </r>
  <r>
    <n v="2671"/>
    <s v="PT Detik Ini Juga"/>
    <s v="PT Trans Rekreasindo Surabaya"/>
    <s v="Jl. M.H Thamrin Kav 3"/>
    <x v="1"/>
    <s v="Menara Bank Mega Lt.8 Jl. Kapten Tendean No.12-14A, RT.2/RW.2, Mampang Prapatan, -,Jakarta Selatan, DKI Jakarta, Indonesia, 12790"/>
    <s v="(Interkoneksi dengan Detik di Cyber) Trans Rekreasindo Surabaya, Jl. Ahmad Yani No.260, Siwalankerto, Wonocolo, Surabaya, Jawa Timur, Indonesia, 60235"/>
    <s v="Sewa Bulanan"/>
    <s v="Interkoneksi"/>
    <s v="PA/ACT/2207/3855"/>
    <s v="110120521933 / 01000301813"/>
    <s v="99,50%"/>
    <s v="IPVPN"/>
    <s v="1 Mbps"/>
    <m/>
    <n v="56400000"/>
    <m/>
    <m/>
    <n v="39600000"/>
    <m/>
    <d v="2025-08-02T00:00:00"/>
    <d v="2026-08-01T00:00:00"/>
    <x v="1"/>
    <m/>
    <d v="2025-12-24T00:00:00"/>
    <n v="220"/>
    <n v="8"/>
    <n v="2026"/>
    <s v="4148/SPP/SBU/PLNICONPLUS/2024"/>
    <s v="7870/SPP/SBU/PLNICONPLUS/2025"/>
    <s v="4500026126"/>
    <s v="Renata Simanjuntak"/>
    <s v="Diby"/>
    <m/>
    <m/>
    <m/>
    <m/>
    <m/>
    <m/>
    <m/>
    <m/>
    <m/>
    <n v="277"/>
    <m/>
  </r>
  <r>
    <n v="2672"/>
    <s v="Cyberindo Aditama"/>
    <s v="PT Bank Mandiri"/>
    <s v="Gedung Cyber 2 Tower, Lt 33 Jl. HP Rasuna Said Blok X-5 No. 13 Kuningan Timur Setiabudi Jakarta Selatan 12950"/>
    <x v="1"/>
    <m/>
    <s v="Bidakara Jl Jend Gatot Subroto Kav 71-73 Jakarta Selatan, Indonesia"/>
    <s v="Sewa Bulanan"/>
    <s v="Interkoneksi"/>
    <s v="A821205000170"/>
    <n v="990000320452408"/>
    <s v="99,50%"/>
    <s v="IPVPN"/>
    <s v="2 Mbps"/>
    <m/>
    <n v="30545460"/>
    <m/>
    <m/>
    <n v="30000000"/>
    <m/>
    <d v="2025-07-01T00:00:00"/>
    <d v="2026-06-30T00:00:00"/>
    <x v="1"/>
    <m/>
    <d v="2025-12-24T00:00:00"/>
    <n v="188"/>
    <n v="6"/>
    <n v="2026"/>
    <s v="3982/SPP/SBU/PLNICONPLUS/2024"/>
    <s v="7718/SPP/SBU/PLNICONPLUS/2025"/>
    <s v="4500026054"/>
    <s v="Renata Simanjuntak"/>
    <s v="Christian"/>
    <s v="+62 812-9804-5188"/>
    <m/>
    <m/>
    <m/>
    <m/>
    <m/>
    <m/>
    <m/>
    <m/>
    <n v="254"/>
    <m/>
  </r>
  <r>
    <n v="2673"/>
    <s v="Serpong Mas Telematika"/>
    <s v="PT Goldtree Energi Berjaya"/>
    <s v="Gedung Cyber 2 Tower, Lt 33 Jl. HP Rasuna Said Blok X-5 No. 13 Kuningan Timur Setiabudi Jakarta Selatan 12950"/>
    <x v="1"/>
    <m/>
    <s v="BP The Icon BSD, Jl. BSD Raya Utama"/>
    <s v="Sewa Bulanan"/>
    <s v="Interkoneksi"/>
    <s v="A111303006814"/>
    <s v="111303015134 / 0200027192"/>
    <s v="99,50%"/>
    <s v="Internet Corporate"/>
    <s v="12 Mbps"/>
    <n v="12000000"/>
    <n v="42000000"/>
    <m/>
    <n v="6000000"/>
    <n v="51120000"/>
    <m/>
    <d v="2025-07-09T00:00:00"/>
    <d v="2026-07-08T00:00:00"/>
    <x v="1"/>
    <m/>
    <d v="2025-12-24T00:00:00"/>
    <n v="196"/>
    <n v="7"/>
    <n v="2026"/>
    <m/>
    <s v="7047/SPP/SBU/PLNICONPLUS/2025"/>
    <s v="4500026026"/>
    <s v="Renata Simanjuntak"/>
    <s v="Masrukhan"/>
    <s v="+62 812-9844-8648"/>
    <m/>
    <m/>
    <m/>
    <m/>
    <m/>
    <m/>
    <m/>
    <m/>
    <n v="177"/>
    <m/>
  </r>
  <r>
    <n v="2674"/>
    <s v="PT Mega Akses Persada "/>
    <s v="PT Indomarco Prismatama"/>
    <s v="MyRepublic Plaza lt 2 Wing A Jakarta 15345"/>
    <x v="1"/>
    <m/>
    <s v="Indomaret Tower, Rt.6/Rw.2 Kamal Muara, Kec. Penjaringan (Interkoneksi Fiberstar), -, Jakarta Utara, DKI Jakarta, Indonesia, 14470"/>
    <s v="Sewa Bulanan"/>
    <s v="Interkoneksi"/>
    <s v="PA/UPG/2107/0003"/>
    <n v="1000125261"/>
    <s v="99,50%"/>
    <s v="IPVPN"/>
    <s v="100 Mbps"/>
    <m/>
    <n v="492000000"/>
    <m/>
    <m/>
    <n v="120000000"/>
    <m/>
    <d v="2025-07-09T00:00:00"/>
    <d v="2026-07-08T00:00:00"/>
    <x v="1"/>
    <m/>
    <d v="2025-12-24T00:00:00"/>
    <n v="196"/>
    <n v="7"/>
    <n v="2026"/>
    <s v="3695/SPP/SBU/PLNICONPLUS/2024"/>
    <s v="7749/SPP/SBU/PLNICONPLUS/2025"/>
    <s v="4500026162"/>
    <s v="Renata Simanjuntak"/>
    <s v="Rustam"/>
    <m/>
    <m/>
    <m/>
    <m/>
    <m/>
    <m/>
    <m/>
    <m/>
    <m/>
    <n v="281"/>
    <m/>
  </r>
  <r>
    <n v="2675"/>
    <s v="Telkom Indonesia"/>
    <s v="PT PLN Indonesia Power "/>
    <s v="Jl. HR. Rasuna Said x-5 Kav 2-3, Jakarta Selatan"/>
    <x v="1"/>
    <m/>
    <s v="[Internet Corporate Backup PLN IP (Telkom)], Backup DC Gandul PLN Icon Plus]"/>
    <s v="Sewa Bulanan"/>
    <s v="Interkoneksi"/>
    <s v="A111303006871"/>
    <s v="111303015160 / 831190009497"/>
    <s v="99,00%"/>
    <s v="Internet Corporate"/>
    <s v="50 Mbps"/>
    <n v="5000000"/>
    <n v="150586800"/>
    <m/>
    <n v="2500000"/>
    <n v="120000000"/>
    <m/>
    <d v="2025-07-01T00:00:00"/>
    <d v="2026-06-30T00:00:00"/>
    <x v="1"/>
    <m/>
    <d v="2025-12-24T00:00:00"/>
    <n v="188"/>
    <n v="6"/>
    <n v="2026"/>
    <m/>
    <s v="7002/SPP/SBU/PLNICONPLUS/2025"/>
    <s v="4500025398"/>
    <s v="Renata Simanjuntak"/>
    <s v="Ajeng "/>
    <m/>
    <m/>
    <m/>
    <m/>
    <m/>
    <m/>
    <m/>
    <m/>
    <m/>
    <n v="175"/>
    <m/>
  </r>
  <r>
    <n v="2676"/>
    <s v="Telkom Indonesia"/>
    <s v="PT Prodia Widyahusada Boulevard"/>
    <s v="PT Telkom Indonesia Graha Merah Putih Jakarta Selatan 12017"/>
    <x v="1"/>
    <s v="MM2001 Cibitung, Kota Bekasi, Jawa Barat, Indonesia"/>
    <s v="Jl Celebration Boulevard Kav 1 Blok AA 5 No.9, Grand Wisata Tambun, Kabupaten Bekasi, Jawa Barat."/>
    <s v="Sewa Bulanan"/>
    <s v="Interkoneksi"/>
    <s v="PA/ACT/2211/5293"/>
    <s v="01000320982"/>
    <n v="0.98"/>
    <s v="Metro P2P"/>
    <s v="4 Mbps"/>
    <m/>
    <n v="25200000"/>
    <m/>
    <m/>
    <n v="43920000"/>
    <m/>
    <d v="2025-08-02T00:00:00"/>
    <d v="2026-08-01T00:00:00"/>
    <x v="1"/>
    <m/>
    <d v="2025-12-24T00:00:00"/>
    <n v="220"/>
    <n v="8"/>
    <n v="2026"/>
    <s v="3375/SPP/SBU/PLNICONPLUS/2024 | 4500022820"/>
    <s v="7627/SPP/SBU/PLNICONPLUS/2025"/>
    <s v="4500025967"/>
    <s v="Syifa Artianingsih"/>
    <s v="Rosdiana"/>
    <s v="0813-6147-5293"/>
    <m/>
    <m/>
    <m/>
    <m/>
    <m/>
    <m/>
    <m/>
    <m/>
    <n v="248"/>
    <m/>
  </r>
  <r>
    <n v="2677"/>
    <s v="Mora Telematika Indonesia"/>
    <s v="PT Pegadaian Persero ITC Fatmawati"/>
    <s v="Business Service Telkom lt. 3 Kav. semper Jl. Yos Sudarso, Kav. 23-24, Jakarta Utara, Indonesia"/>
    <x v="1"/>
    <m/>
    <s v="UPC ITC Fatmawati - Jl. RS Fatmawati Lt.1 No.41 RT.1 Kel.Cipete Selatan, Kec. Cilandak, Kab/Kota Jakarta Selatan Prov. DKI Jakarta"/>
    <s v="Sewa Bulanan"/>
    <s v="Interkoneksi"/>
    <s v="A811401000656"/>
    <s v="111401009361 / 111090082568"/>
    <s v="99,5%"/>
    <s v="Internet Corporate"/>
    <s v="10 Mbps"/>
    <n v="5500000"/>
    <n v="10800000"/>
    <m/>
    <n v="5000000"/>
    <n v="48000000"/>
    <m/>
    <d v="2025-06-05T00:00:00"/>
    <d v="2026-06-04T00:00:00"/>
    <x v="1"/>
    <m/>
    <d v="2025-12-24T00:00:00"/>
    <n v="162"/>
    <n v="6"/>
    <n v="2026"/>
    <m/>
    <s v="6767/SPP/SBU/PLNICONPLUS/2025"/>
    <s v="4500025467"/>
    <s v="Renata Simanjuntak"/>
    <s v="Alwin"/>
    <m/>
    <m/>
    <m/>
    <m/>
    <m/>
    <m/>
    <m/>
    <m/>
    <m/>
    <n v="173"/>
    <m/>
  </r>
  <r>
    <n v="2678"/>
    <s v="Serpong Mas Telematika"/>
    <s v="PT Bank HSBC Indonesia"/>
    <s v="Graha 9 lt 6 Jl. Penataran 9 Jakarta Pusat Jakarta Pusat 10320"/>
    <x v="1"/>
    <m/>
    <s v="Ruko Perkantoran Jl. BSD Raya Utama No.31, Pagedangan, Kec. Pagedangan, Kabupaten Tangerang, Banten 15339. (Foresta Business Loft 2)"/>
    <s v="Sewa Bulanan"/>
    <s v="Interkoneksi"/>
    <s v="PA/ACT/2111/4084"/>
    <s v="111202017283"/>
    <s v="99,50%"/>
    <s v="Metronet"/>
    <s v="10 Mbps"/>
    <m/>
    <n v="243780000"/>
    <m/>
    <m/>
    <n v="60480000"/>
    <m/>
    <d v="2025-08-09T00:00:00"/>
    <d v="2026-08-08T00:00:00"/>
    <x v="1"/>
    <m/>
    <d v="2025-12-24T00:00:00"/>
    <n v="227"/>
    <n v="8"/>
    <n v="2026"/>
    <s v="4078/SPP/SBU/PLNICONPLUS/2024"/>
    <s v="7747/SPP/SBU/PLNICONPLUS/2025"/>
    <s v="4500025957"/>
    <s v="Renata Simanjuntak"/>
    <s v="Masrukhan"/>
    <s v="+62 812-9844-8648"/>
    <m/>
    <m/>
    <m/>
    <m/>
    <m/>
    <m/>
    <m/>
    <m/>
    <n v="249"/>
    <m/>
  </r>
  <r>
    <n v="2679"/>
    <s v="Telkom Indonesia"/>
    <s v="PT Prodia Widyahusada Gunung Putri"/>
    <s v="MyRepublic Plaza lt 2 Wing A Jakarta 15345"/>
    <x v="1"/>
    <m/>
    <s v="(Prodia Gunung Putri) Kota Wisata, Ruko Boston Square Rk 1 Nomor 15-16, Kelurahan Ciangsana, Kec Gunung Putri, Kab Bogor Jawa Barat"/>
    <s v="Sewa Bulanan"/>
    <s v="Interkoneksi"/>
    <s v="A111205004521"/>
    <s v="111205026285"/>
    <n v="0.99"/>
    <s v="IPVPN"/>
    <s v="4 Mbps"/>
    <m/>
    <n v="25200000"/>
    <m/>
    <m/>
    <n v="16372800"/>
    <m/>
    <d v="2025-07-31T00:00:00"/>
    <d v="2026-07-30T00:00:00"/>
    <x v="1"/>
    <m/>
    <d v="2025-12-24T00:00:00"/>
    <n v="218"/>
    <n v="7"/>
    <n v="2026"/>
    <s v="3853/SPP/SBU/PLNICONPLUS/2024 | 4500023118"/>
    <s v="7460/SPP/SBU/PLNICONPLUS/2025"/>
    <s v="4500025772"/>
    <s v="Syifa Artianingsih"/>
    <s v="Rahayu"/>
    <s v="0813-8527-2407"/>
    <m/>
    <m/>
    <m/>
    <m/>
    <m/>
    <m/>
    <m/>
    <m/>
    <n v="228"/>
    <m/>
  </r>
  <r>
    <n v="2680"/>
    <s v="Telkom Indonesia"/>
    <s v="PT Pertamina Retail"/>
    <s v="Jl. Sisingamangaraja Kav 4 - 6 Kebayoran Baru Jakarta selatan"/>
    <x v="1"/>
    <m/>
    <s v="SPBU-Cikupa Citra Raya, Jl Citraraya Utama Timur Cikupa, Kota Tangerang, Banten, Indonesia"/>
    <s v="Sewa Bulanan"/>
    <s v="Interkoneksi"/>
    <s v="PA/ACT/2205/2040"/>
    <s v="110140100471 / 04000206699"/>
    <n v="0.99"/>
    <s v="Internet Broadband"/>
    <s v="10 Mbps"/>
    <m/>
    <n v="24000000"/>
    <m/>
    <m/>
    <n v="15360000"/>
    <m/>
    <d v="2025-08-15T00:00:00"/>
    <d v="2026-08-14T00:00:00"/>
    <x v="1"/>
    <m/>
    <d v="2025-12-24T00:00:00"/>
    <n v="233"/>
    <n v="8"/>
    <n v="2026"/>
    <s v="3841/SPP/SBU/PLNICONPLUS/2024 | 4500023260"/>
    <s v="7717/SPP/SBU/PLNICONPLUS/2025"/>
    <s v="4500025968"/>
    <s v="Syifa Artianingsih"/>
    <s v="Ikhsan"/>
    <s v="0822-3382-4661"/>
    <m/>
    <m/>
    <m/>
    <m/>
    <m/>
    <m/>
    <m/>
    <m/>
    <n v="246"/>
    <m/>
  </r>
  <r>
    <n v="2681"/>
    <s v="Mora Telematika Indonesia"/>
    <s v="PT Pegadaian Persero ITC Kuningan"/>
    <s v="Jl.Kebon Sirih No.12, 10110 Jakarta Pusat"/>
    <x v="1"/>
    <m/>
    <s v="UPC ITC Kuningan - Jl. Prof. Dr. Satrio Kav 10 Setia Budi RT. Kel. Karet, Kec. Setia Budi"/>
    <s v="Sewa Bulanan"/>
    <s v="Interkoneksi"/>
    <s v="A811401000655"/>
    <s v="111401009367 / 111090082568"/>
    <s v="99,5%"/>
    <s v="Internet Broadband"/>
    <s v="10 Mbps"/>
    <n v="5500000"/>
    <n v="10800000"/>
    <m/>
    <n v="5000000"/>
    <n v="48000000"/>
    <m/>
    <d v="2025-06-05T00:00:00"/>
    <d v="2026-06-04T00:00:00"/>
    <x v="1"/>
    <m/>
    <d v="2025-12-24T00:00:00"/>
    <n v="162"/>
    <n v="6"/>
    <n v="2026"/>
    <m/>
    <s v="6783/SPP/SBU/PLNICONPLUS/2025"/>
    <s v="4500025465"/>
    <s v="Renata Simanjuntak"/>
    <s v="Alwin"/>
    <m/>
    <m/>
    <m/>
    <m/>
    <m/>
    <m/>
    <m/>
    <m/>
    <m/>
    <n v="174"/>
    <m/>
  </r>
  <r>
    <n v="2682"/>
    <s v="Serpong Mas Telematika"/>
    <s v="PT Prodia Widyahusada"/>
    <s v="Graha 9 lt 6 Jl. Penataran 9 Jakarta Pusat Jakarta Pusat 10320"/>
    <x v="1"/>
    <m/>
    <s v="Ruko Golden Madrid II Blok A 1-2,Bumi Serpong Damai ,Kota Tangerang Selatan ,Banten ,Indonesia ,15311   "/>
    <s v="Sewa Bulanan"/>
    <s v="Interkoneksi"/>
    <s v="PA/ACT/2202/1626"/>
    <s v="01000191767"/>
    <s v="99,50%"/>
    <s v="IPVPN"/>
    <s v="5 Mbps"/>
    <m/>
    <n v="30000000"/>
    <m/>
    <m/>
    <n v="86400000"/>
    <m/>
    <d v="2025-09-01T00:00:00"/>
    <d v="2026-08-31T00:00:00"/>
    <x v="1"/>
    <m/>
    <d v="2025-12-24T00:00:00"/>
    <n v="250"/>
    <n v="8"/>
    <n v="2026"/>
    <s v="4386/SPP/SBU/PLNICONPLUS/2024 | 4500023587"/>
    <s v="7731/SPP/SBU/PLNICONPLUS/2025"/>
    <s v="4500026069"/>
    <s v="Syifa Artianingsih"/>
    <s v="Masrukhan"/>
    <s v="+62 812-9844-8648"/>
    <m/>
    <m/>
    <m/>
    <m/>
    <m/>
    <m/>
    <m/>
    <m/>
    <n v="247"/>
    <m/>
  </r>
  <r>
    <n v="2683"/>
    <s v="Serpong Mas Telematika"/>
    <s v="PT Sinarmas Teknologi"/>
    <s v="MyRepublik plaza lt 2 Wing A"/>
    <x v="1"/>
    <s v="Plaza Sinarmas Jl. Fachrudin 18 Lt.6, Jakarta Pusat, DKI Jakarta, Indonesia, 10250 "/>
    <s v="(TANGERANG-BSD GOP 6) GREEN OFFICE PARK 6-BSD CITY WING A-GROUND FLOOR JL GRAND BOULEVARD BSD GREEN OFFICE PARK BSD CITY"/>
    <s v="Sewa Bulanan"/>
    <s v="Interkoneksi"/>
    <s v="A821205000292"/>
    <s v="111205024521"/>
    <s v="99,50%"/>
    <s v="IPVPN "/>
    <s v="1 Mbps"/>
    <m/>
    <n v="22339728"/>
    <m/>
    <m/>
    <n v="12873600"/>
    <m/>
    <d v="2025-08-02T00:00:00"/>
    <d v="2026-08-01T00:00:00"/>
    <x v="1"/>
    <m/>
    <d v="2025-12-24T00:00:00"/>
    <n v="220"/>
    <n v="8"/>
    <n v="2026"/>
    <s v="2512/SPP/SBU/ICON+/2024 | 4500022755"/>
    <s v="7628/SPP/SBU/PLNICONPLUS/2025"/>
    <s v="4500025969"/>
    <s v="Syifa Artianingsih"/>
    <s v="Masrukhan"/>
    <s v="+62 812-9844-8648"/>
    <m/>
    <m/>
    <m/>
    <m/>
    <m/>
    <m/>
    <m/>
    <m/>
    <n v="251"/>
    <m/>
  </r>
  <r>
    <n v="2684"/>
    <s v="Link Net"/>
    <s v="Pertamina Bina Medika"/>
    <s v="MyRepublik plaza lt 2 Wing A"/>
    <x v="3"/>
    <s v="PSDC Graha Pertamina - Jl Medan Merdeka Timur, Gambir, Jakarta Pusat"/>
    <s v="Menara Sentraya Lt.26, Jl Iskandarsyah Raya No.1A, Rt.3/Rw.1, Blok M, Kebayoran Baru, Jakarta Selatan"/>
    <s v="Sewa Bulanan"/>
    <s v="Interkoneksi"/>
    <s v="U111202003214"/>
    <s v="110120204249 / 01000319538"/>
    <n v="0.995"/>
    <s v="Metronet"/>
    <s v="150 Mbps"/>
    <m/>
    <n v="512400000"/>
    <m/>
    <m/>
    <n v="468000000"/>
    <m/>
    <d v="2025-07-01T00:00:00"/>
    <d v="2025-12-31T00:00:00"/>
    <x v="1"/>
    <m/>
    <d v="2025-12-24T00:00:00"/>
    <n v="7"/>
    <n v="12"/>
    <n v="2025"/>
    <s v="5619/SPP/SBU/PLNICONPLUS/2025 | 4500024537"/>
    <s v="7959/SPP/SBU/PLNICONPLUS/2025"/>
    <s v="4500026241"/>
    <s v="Syifa Artianingsih"/>
    <s v="Bunga"/>
    <m/>
    <m/>
    <m/>
    <m/>
    <m/>
    <m/>
    <m/>
    <m/>
    <m/>
    <n v="252"/>
    <m/>
  </r>
  <r>
    <n v="2685"/>
    <s v="Mora Telematika Indonesia"/>
    <s v="PT Pegadaian Persero ITC Permata Hijau"/>
    <s v="Centennial Tower 26th Floor, Unit D Jl. Gatot Subroto Kav 24-25 Jakarta 12950"/>
    <x v="1"/>
    <m/>
    <s v="Jl. ITC Permata Hijau Lt. D/C. 10/2-3 Letjen Soepono RT.0 RW.0 Kebayoran Lama, Kab/Kota Jakarta Selatan, Prov. DKI Jakarta"/>
    <s v="Sewa Bulanan"/>
    <s v="Interkoneksi"/>
    <s v="A81140100655"/>
    <s v="111401009363"/>
    <s v="99,50%"/>
    <s v="Internet Broadband"/>
    <s v="10 Mbps"/>
    <n v="5500000"/>
    <n v="10800000"/>
    <m/>
    <n v="5000000"/>
    <n v="48000000"/>
    <m/>
    <d v="2025-07-23T00:00:00"/>
    <d v="2026-07-22T00:00:00"/>
    <x v="1"/>
    <m/>
    <d v="2025-12-24T00:00:00"/>
    <n v="210"/>
    <n v="7"/>
    <n v="2026"/>
    <m/>
    <s v="7232/SPP/SBU/PLNICONPLUS/2025"/>
    <s v="4500025774"/>
    <s v="Renata Simanjuntak"/>
    <s v="Alwin"/>
    <s v="+62 816-999-222"/>
    <m/>
    <m/>
    <m/>
    <m/>
    <m/>
    <m/>
    <m/>
    <m/>
    <n v="179"/>
    <m/>
  </r>
  <r>
    <n v="2686"/>
    <s v="Serpong Mas Telematika"/>
    <s v="PT Asuransi Astra Buana"/>
    <s v="Graha 9 lt 6 Jl. Penataran 9 Jakarta Pusat Jakarta Pusat 10320"/>
    <x v="1"/>
    <s v="-"/>
    <s v="AAB Astra Biz Center BSD, Bumi Serpong Damai, Lengkong Kulon, Pagedangan, Tangerang, Banten, 15331, Indonesia"/>
    <s v="Sewa Bulanan"/>
    <s v="Interkoneksi"/>
    <s v="AL/1910/46824"/>
    <s v="0990000320510452 / 110120206956"/>
    <n v="0.995"/>
    <s v="Metronet"/>
    <s v="1 Mbps"/>
    <m/>
    <n v="26400000"/>
    <m/>
    <m/>
    <n v="13200000"/>
    <m/>
    <d v="2025-07-01T00:00:00"/>
    <d v="2026-06-30T00:00:00"/>
    <x v="1"/>
    <m/>
    <d v="2025-12-24T00:00:00"/>
    <n v="188"/>
    <n v="6"/>
    <n v="2026"/>
    <s v="3219/SPP/SBU/PLNICONPLUS/2024 | 4500022619"/>
    <s v="7221/SPP/SBU/PLNICONPLUS/2025"/>
    <s v="4500025589"/>
    <s v="Syifa Artianingsih"/>
    <s v="Masrukhan"/>
    <s v="+62 812-9844-8648"/>
    <m/>
    <m/>
    <m/>
    <m/>
    <m/>
    <m/>
    <m/>
    <m/>
    <n v="214"/>
    <m/>
  </r>
  <r>
    <m/>
    <s v="Serpong Mas Telematika"/>
    <s v="PT Agriculture Indonesia"/>
    <s v="MyRepublik plaza lt 2 Wing A"/>
    <x v="1"/>
    <s v="-"/>
    <s v="Green Office Park 6 Wing A, 3rd Floor, Zone 6 Jl. Grand Boulevard BSD Green Office Park BSD City - Tangerang 15345 INDONESIA"/>
    <s v="Sewa Bulanan"/>
    <s v="Interkoneksi"/>
    <s v="ICON-00/SBC/1708/1420"/>
    <s v="0990000320514382 / 110130303338"/>
    <n v="0.995"/>
    <s v="Internet Corporate "/>
    <s v="8 Mbps"/>
    <m/>
    <n v="108000000"/>
    <m/>
    <m/>
    <n v="57360000"/>
    <m/>
    <d v="2025-07-01T00:00:00"/>
    <d v="2026-06-30T00:00:00"/>
    <x v="1"/>
    <m/>
    <d v="2025-12-24T00:00:00"/>
    <n v="188"/>
    <n v="6"/>
    <n v="2026"/>
    <s v="3219/SPP/SBU/PLNICONPLUS/2024 | 4500022619"/>
    <s v="7221/SPP/SBU/PLNICONPLUS/2025"/>
    <s v="4500025589"/>
    <s v="Syifa Artianingsih"/>
    <s v="Masrukhan"/>
    <s v="+62 812-9844-8648"/>
    <m/>
    <m/>
    <m/>
    <m/>
    <m/>
    <m/>
    <m/>
    <m/>
    <n v="214"/>
    <m/>
  </r>
  <r>
    <m/>
    <s v="Serpong Mas Telematika"/>
    <s v="PT Federal Internanational Finance BSD Green Park"/>
    <s v="MyRepublik plaza lt 2 Wing A"/>
    <x v="1"/>
    <s v="-"/>
    <s v="FIF Ruko The Icon A1-A2 West BSD"/>
    <s v="Sewa Bulanan"/>
    <s v="Interkoneksi"/>
    <s v="PA/ACT/1805/0412"/>
    <s v="01000014517 / 110120502219"/>
    <n v="0.995"/>
    <s v="IPVPN"/>
    <s v="2 Mbps"/>
    <m/>
    <n v="50400000"/>
    <m/>
    <m/>
    <n v="25200000"/>
    <m/>
    <d v="2025-07-01T00:00:00"/>
    <d v="2026-06-30T00:00:00"/>
    <x v="1"/>
    <m/>
    <d v="2025-12-24T00:00:00"/>
    <n v="188"/>
    <n v="6"/>
    <n v="2026"/>
    <s v="3219/SPP/SBU/PLNICONPLUS/2024 | 4500022619"/>
    <s v="7221/SPP/SBU/PLNICONPLUS/2025"/>
    <s v="4500025589"/>
    <s v="Syifa Artianingsih"/>
    <s v="Masrukhan"/>
    <s v="+62 812-9844-8648"/>
    <m/>
    <m/>
    <m/>
    <m/>
    <m/>
    <m/>
    <m/>
    <m/>
    <n v="214"/>
    <m/>
  </r>
  <r>
    <m/>
    <s v="Serpong Mas Telematika"/>
    <s v="PT Toyota Astra Financial Service"/>
    <s v="MyRepublik plaza lt 2 Wing A"/>
    <x v="1"/>
    <s v="-"/>
    <s v="Jl. A. Yani, Wua-WUA, Kota Kendari Sulawesi Tenggara, Indonesia 93117"/>
    <s v="Sewa Bulanan"/>
    <s v="Interkoneksi"/>
    <s v="AL/2204/74288"/>
    <s v="01000187625 / 110120206009"/>
    <n v="0.995"/>
    <s v="Metronet"/>
    <s v="1 Mbps"/>
    <m/>
    <n v="15600000"/>
    <m/>
    <m/>
    <n v="13200000"/>
    <m/>
    <d v="2025-07-01T00:00:00"/>
    <d v="2026-06-30T00:00:00"/>
    <x v="1"/>
    <m/>
    <d v="2025-12-24T00:00:00"/>
    <n v="188"/>
    <n v="6"/>
    <n v="2026"/>
    <s v="3219/SPP/SBU/PLNICONPLUS/2024 | 4500022619"/>
    <s v="7221/SPP/SBU/PLNICONPLUS/2025"/>
    <s v="4500025589"/>
    <s v="Syifa Artianingsih"/>
    <s v="Masrukhan"/>
    <s v="+62 812-9844-8648"/>
    <m/>
    <m/>
    <m/>
    <m/>
    <m/>
    <m/>
    <m/>
    <m/>
    <n v="214"/>
    <m/>
  </r>
  <r>
    <m/>
    <s v="Serpong Mas Telematika"/>
    <s v="PT Astra Sedaya Finance"/>
    <s v="MyRepublik plaza lt 2 Wing A"/>
    <x v="1"/>
    <s v="-"/>
    <s v="ACC, BSD di ruko No. 7 dan No. 8 kawasan AFFCO Center, Asia Biz Center, BSD Indonesia"/>
    <s v="Sewa Bulanan"/>
    <s v="Interkoneksi"/>
    <s v="PA/UPG/2101/0503"/>
    <s v="110120206851"/>
    <n v="0.995"/>
    <s v="Metronet"/>
    <s v="2 Mbps"/>
    <m/>
    <n v="33600000"/>
    <m/>
    <m/>
    <n v="25200000"/>
    <m/>
    <d v="2025-07-01T00:00:00"/>
    <d v="2026-06-30T00:00:00"/>
    <x v="1"/>
    <m/>
    <d v="2025-12-24T00:00:00"/>
    <n v="188"/>
    <n v="6"/>
    <n v="2026"/>
    <s v="3219/SPP/SBU/PLNICONPLUS/2024 | 4500022619"/>
    <s v="7221/SPP/SBU/PLNICONPLUS/2025"/>
    <s v="4500025589"/>
    <s v="Syifa Artianingsih"/>
    <s v="Masrukhan"/>
    <s v="+62 812-9844-8648"/>
    <m/>
    <m/>
    <m/>
    <m/>
    <m/>
    <m/>
    <m/>
    <m/>
    <n v="214"/>
    <m/>
  </r>
  <r>
    <m/>
    <s v="Serpong Mas Telematika"/>
    <s v="PT Federal internastional Finance Astra Biz Center"/>
    <s v="MyRepublik plaza lt 2 Wing A"/>
    <x v="1"/>
    <s v="-"/>
    <s v="Astra Biz Center BSD, Lengkong Kulon, Pagedangan, Tangerang Banten, 15331"/>
    <s v="Sewa Bulanan"/>
    <s v="Interkoneksi"/>
    <s v="AR/CHT/1809/1926"/>
    <s v="110120502245"/>
    <n v="0.995"/>
    <s v="IPVPN "/>
    <s v="2 Mbps"/>
    <m/>
    <n v="69600000"/>
    <m/>
    <m/>
    <n v="25200000"/>
    <m/>
    <d v="2025-07-01T00:00:00"/>
    <d v="2026-06-30T00:00:00"/>
    <x v="1"/>
    <m/>
    <d v="2025-12-24T00:00:00"/>
    <n v="188"/>
    <n v="6"/>
    <n v="2026"/>
    <s v="3219/SPP/SBU/PLNICONPLUS/2024 | 4500022619"/>
    <s v="7221/SPP/SBU/PLNICONPLUS/2025"/>
    <s v="4500025589"/>
    <s v="Syifa Artianingsih"/>
    <s v="Masrukhan"/>
    <s v="+62 812-9844-8648"/>
    <m/>
    <m/>
    <m/>
    <m/>
    <m/>
    <m/>
    <m/>
    <m/>
    <n v="214"/>
    <m/>
  </r>
  <r>
    <n v="2697"/>
    <s v="Circlecom Nusantara Indonesia"/>
    <s v="Bank Woori Saudara"/>
    <s v="Roof Top Slot B – Fresh Market Building, Jl. Pantai Indah Kapuk No. 30, Jakarta Utara 14470"/>
    <x v="1"/>
    <m/>
    <s v="Kantor Pusat Bank Woori Saudara Treasury Tower - District 8 Lt.26-27 Jl. Jend. Sudirman Kav. 52-53 Kel. Senayan, Kec. Kebayoran Baru, Jakarta Selatan, DKI Jakarta, Indonesia, 12190"/>
    <s v="Sewa Bulanan"/>
    <s v="Interkoneksi"/>
    <s v="PA/ACT/1809/1782"/>
    <s v="04000028182"/>
    <n v="0.99"/>
    <s v="Internet Corporate"/>
    <s v="20 Mbps"/>
    <m/>
    <n v="156000000"/>
    <m/>
    <m/>
    <n v="168000000"/>
    <m/>
    <d v="2025-07-01T00:00:00"/>
    <d v="2026-06-30T00:00:00"/>
    <x v="1"/>
    <m/>
    <d v="2025-12-24T00:00:00"/>
    <n v="188"/>
    <n v="6"/>
    <n v="2026"/>
    <s v="3565/SPP/SBU/PLNICONPLUS/2024"/>
    <s v="7223/SPP/SBU/PLNICONPLUS/2024"/>
    <s v="4500025606"/>
    <s v="Renata Simanjuntak "/>
    <s v="Halley"/>
    <s v="+62 856-9800-999"/>
    <m/>
    <m/>
    <m/>
    <m/>
    <m/>
    <m/>
    <m/>
    <m/>
    <n v="176"/>
    <m/>
  </r>
  <r>
    <n v="2698"/>
    <s v="Artha Telekomindo"/>
    <s v="Lembaga Penjamin Simpanan"/>
    <s v="Jl. Jendral Sudirman Kav523"/>
    <x v="1"/>
    <s v="Cyber 1 Via Arthatel"/>
    <s v="LPS Lt.30, Gedung Pacific Centuty Place. Jl Jend Sudirman N0.52-53, Rt.5/Rw.3, Senayan, Kec Kby Baru, Jakarta Selatan, DKI Jakarta, 12190"/>
    <s v="Sewa Bulanan"/>
    <s v="Interkoneksi"/>
    <s v="A811303001385"/>
    <s v="111303014911"/>
    <s v="99,50%"/>
    <s v="Internet Corporate"/>
    <s v="250 Mbps"/>
    <m/>
    <n v="547485000"/>
    <m/>
    <m/>
    <n v="474000000"/>
    <m/>
    <d v="2025-10-01T00:00:00"/>
    <d v="2026-03-31T00:00:00"/>
    <x v="1"/>
    <m/>
    <d v="2025-12-24T00:00:00"/>
    <n v="97"/>
    <n v="3"/>
    <n v="2026"/>
    <s v="6252/SPP/SBU/PLNICONPLUS/2025 | 4500024846"/>
    <s v="8065/SPP/SBU/PLNICONPLUS/2025"/>
    <s v="4500026259"/>
    <s v="Syifa Artianingsih"/>
    <s v="Boggy"/>
    <m/>
    <m/>
    <m/>
    <m/>
    <m/>
    <m/>
    <m/>
    <m/>
    <m/>
    <n v="300"/>
    <m/>
  </r>
  <r>
    <n v="2698"/>
    <s v="Jala Lintas Media"/>
    <s v="BCA Finance"/>
    <s v="Jl. Mayor Oking No. 89 KM 2, Cibinong Bogor 16819_x000a_"/>
    <x v="1"/>
    <s v="-"/>
    <s v="BCAF BEKASI JL. HARAPAN INDAH BOULEVARD-KOMPLEK MEGA OFFICE PARK BLOK P5 NO. 08, MEDAN SATRIA, KECAMATAN MEDAN SATRIA, KOTA BEKASI JAWA BARAT, 17132"/>
    <s v="Sewa Bulanan"/>
    <s v="Interkoneksi"/>
    <s v="U111303002817"/>
    <s v="111303011435"/>
    <s v="99,50%"/>
    <s v="Internet Corporate"/>
    <s v="30 Mbps"/>
    <m/>
    <n v="74400000"/>
    <m/>
    <m/>
    <n v="48000000"/>
    <m/>
    <d v="2025-08-01T00:00:00"/>
    <d v="2026-07-31T00:00:00"/>
    <x v="1"/>
    <m/>
    <d v="2025-12-24T00:00:00"/>
    <n v="219"/>
    <n v="7"/>
    <n v="2026"/>
    <s v="3994/SPP/SBU/PLNICONPLUS/2024 | 4500023237"/>
    <s v="7611/SPP/SBU/PLNICONPLUS/2025"/>
    <s v="4500025964"/>
    <s v="Syifa Artianingsih"/>
    <s v="Dianita Putri"/>
    <s v="0821-1212-8868"/>
    <m/>
    <m/>
    <m/>
    <m/>
    <m/>
    <m/>
    <m/>
    <m/>
    <n v="302"/>
    <s v="PO Belum Kembali"/>
  </r>
  <r>
    <n v="2699"/>
    <s v="Graha Telekomunikasi Indonesia"/>
    <s v="PT Toyota Motor Manufacturing Indonesia"/>
    <s v="Gedung Graha Dirgantara, Jl Raya Protokol Halim Perdana Kusuma No.8"/>
    <x v="1"/>
    <s v="Jalan Yos Sudarso, Sunter Jaya, Tj. Priok, Jakarta Utara, DKI Jakarta, Indonesia"/>
    <s v="Gedung Permata Kuningan Jl. Kuningan Mulia Kav 9C Lantai 9 Guntur, Setiabudi, Jakarta Selatan, DKI Jakarta, Indonesia,"/>
    <s v="Sewa Bulanan"/>
    <s v="Interkoneksi"/>
    <s v="PA/ACT/2202/1469       "/>
    <s v="110120209018 / 01000192190"/>
    <s v="99,50%"/>
    <s v="Metronet"/>
    <s v="50 Mbps"/>
    <m/>
    <n v="222000000"/>
    <m/>
    <m/>
    <n v="126000000"/>
    <m/>
    <d v="2025-09-09T00:00:00"/>
    <d v="2026-09-08T00:00:00"/>
    <x v="1"/>
    <m/>
    <d v="2025-12-24T00:00:00"/>
    <n v="258"/>
    <n v="9"/>
    <n v="2026"/>
    <s v="4150/SPP/SBU/PLNICONPLUS/2024 | 4500023263"/>
    <s v="7963/SPP/SBU/PLNICONPLUS/2025"/>
    <s v="4500026243"/>
    <s v="Syifa Artianingsih"/>
    <s v="Norman"/>
    <m/>
    <m/>
    <m/>
    <m/>
    <m/>
    <m/>
    <m/>
    <m/>
    <m/>
    <n v="304"/>
    <m/>
  </r>
  <r>
    <n v="2700"/>
    <s v="CBN Nusantara"/>
    <s v="PT Infomedia Nusantara"/>
    <s v="Cyber 2 Tower 2nd Floor Jl HR Rasuna Said Kav X-5 No 13 Jakarta 12950"/>
    <x v="1"/>
    <s v="CYBER 2 TOWER JL. H. R. RASUNA SAID NO.13, RT.7/RW.2, KUNINGAN, KECAMATAN SETIABUDI, KOTA JAKARTA SELATAN, DKI JAKARTA 12950 ND2 ROOM CAGE N2C1-02-01 RACK NO 1 SERVER"/>
    <s v="DC INFOMEDIA JATINEGARA, GD TELKOM OPMC LT. 3, JL. DI PANJAITAN KAV 24 JAKARTA TIMUR"/>
    <s v="Sewa Tahunan"/>
    <s v="Cross Connect"/>
    <s v="A821202001611"/>
    <m/>
    <m/>
    <s v="Metronet"/>
    <s v="1 Gbps"/>
    <n v="5000000"/>
    <n v="52800000"/>
    <m/>
    <n v="4000000"/>
    <n v="8000000"/>
    <m/>
    <d v="2025-07-11T00:00:00"/>
    <d v="2026-07-10T00:00:00"/>
    <x v="1"/>
    <m/>
    <d v="2025-12-24T00:00:00"/>
    <n v="198"/>
    <n v="7"/>
    <n v="2026"/>
    <s v="Baru"/>
    <s v="7261/SPP/SBU/PLNICONPLUS/2025"/>
    <s v="4500025604"/>
    <s v="Livia Indraswati"/>
    <s v="Erni Monalena"/>
    <m/>
    <m/>
    <m/>
    <m/>
    <m/>
    <m/>
    <m/>
    <m/>
    <m/>
    <n v="193"/>
    <m/>
  </r>
  <r>
    <n v="2701"/>
    <s v="CBN Nusantara"/>
    <s v="BUMN/BUMD Jasa Tirta"/>
    <s v="Cyber 2 Tower 2nd Floor Jl HR Rasuna Said Kav X-5 No 13 Jakarta 12950"/>
    <x v="1"/>
    <s v="JL. LURAH KAWI NO. 1 JATILUHUR, KAB. PURWAKARTA, JAWA BARAT"/>
    <s v="CBN NEX DC | CYBER2 TOWER 2ND FLOOR - JL. H. R. RASUNA SAID BLOK X-5 NO. 13 RT.7/RW.2, KUNINGAN TIMUR, KEC. SETIABUDI, KOTA JAKARTA SELATAN, DKI JAKARTA 12950"/>
    <s v="Sewa Tahunan"/>
    <s v="Cross Connect"/>
    <s v="A121202001067"/>
    <s v="121202001577"/>
    <m/>
    <s v="Metronet"/>
    <s v="100 Mbps"/>
    <m/>
    <n v="144000000"/>
    <m/>
    <m/>
    <n v="8000000"/>
    <m/>
    <d v="2025-10-07T00:00:00"/>
    <d v="2026-10-06T00:00:00"/>
    <x v="1"/>
    <m/>
    <d v="2025-12-24T00:00:00"/>
    <n v="286"/>
    <n v="10"/>
    <n v="2026"/>
    <s v="4710/SPP/SBU/PLNICONPLUS/2024 | 4500023665"/>
    <s v="8048/SPP/SBU/PLNICONPLUS/2025"/>
    <s v="4500026235"/>
    <s v="Livia Indraswati"/>
    <s v="Erni Monalena"/>
    <m/>
    <m/>
    <m/>
    <m/>
    <m/>
    <m/>
    <m/>
    <m/>
    <m/>
    <n v="299"/>
    <m/>
  </r>
  <r>
    <n v="2702"/>
    <s v="Aplikanusa Lintasarta"/>
    <s v="PT Jatelindo Perkasa Abadi"/>
    <s v="Cyber 2 Tower 2nd Floor Jl HR Rasuna Said Kav X-5 No 13 Jakarta 12950"/>
    <x v="1"/>
    <s v="LINTASARTA TECHNOPARK DATA CENTER, KOMPLEK PERGUDANGAN TAMAN TEKNO BLOK D NO.8, BSD, SETU, KEC. SETU, KOTA TANGERANG SELATAN, BANTEN 15314"/>
    <s v="DC PLN GEDUNG 2 LT.2 JL.TRUNOJOYO BLOK M I-135 JAKARTA 12160, INDONESIA_x000a_DRC PLN, DATA CENTER ICON JL.PLN EHAVE NO 1 GANDUL CINERE DEPOK, INDONESIA"/>
    <s v="Sewa Tahunan"/>
    <s v="Cross Connect"/>
    <m/>
    <s v="110120203481_x000a_'110120203482"/>
    <m/>
    <s v="Metronet_x000a_Metronet"/>
    <s v="1 Mbps_x000a_50 Mbps"/>
    <m/>
    <n v="216000000"/>
    <m/>
    <m/>
    <n v="24000000"/>
    <m/>
    <d v="2025-09-12T00:00:00"/>
    <d v="2026-09-11T00:00:00"/>
    <x v="1"/>
    <m/>
    <d v="2025-12-24T00:00:00"/>
    <n v="261"/>
    <n v="9"/>
    <n v="2026"/>
    <s v="3936/SPP/SBU/PLNICONPLUS/2024 | 4500023190"/>
    <s v="7816/SPP/SBU/PLNICONPLUS/2025"/>
    <s v="4500026172"/>
    <s v="Livia Indraswati"/>
    <s v="Syarifah"/>
    <m/>
    <m/>
    <m/>
    <m/>
    <m/>
    <m/>
    <m/>
    <m/>
    <m/>
    <n v="290"/>
    <m/>
  </r>
  <r>
    <n v="2703"/>
    <s v="Perhimpunan Penghuni Crown Court Executive Condominium"/>
    <s v="PT Hanasta Dakara"/>
    <s v="Lintasarta Building , Jl.TB Simatupang Kav 10. Jakarta Selatan 12434"/>
    <x v="1"/>
    <m/>
    <s v="Apartement Crown Court Lippo Cikarang (Jl. Padjajaran Lippo Cikarang)"/>
    <s v="Sewa Tahunan"/>
    <s v="Colocation"/>
    <m/>
    <s v="01000029813"/>
    <m/>
    <s v="Metronet"/>
    <m/>
    <m/>
    <n v="78000000"/>
    <m/>
    <m/>
    <n v="25832400"/>
    <m/>
    <d v="2025-10-01T00:00:00"/>
    <d v="2026-09-30T00:00:00"/>
    <x v="1"/>
    <m/>
    <d v="2025-12-24T00:00:00"/>
    <n v="280"/>
    <n v="9"/>
    <n v="2026"/>
    <s v="4622/SPP/SBU/PLNICONPLUS/2024 | 4500023687"/>
    <s v="8045/SPP/SBU/PLNICONPLUS/2025"/>
    <s v="4500026232"/>
    <s v="Livia Indraswati"/>
    <s v="Nurul"/>
    <m/>
    <m/>
    <m/>
    <m/>
    <m/>
    <m/>
    <m/>
    <m/>
    <m/>
    <n v="298"/>
    <m/>
  </r>
  <r>
    <n v="2704"/>
    <s v="Jekael Invesco"/>
    <s v="PT Indonesia Comnets Plus"/>
    <s v="Jl. Padjajaran Lippo Cikarang"/>
    <x v="1"/>
    <m/>
    <s v="Menara Jamsostek, Jalan Gatot Subroto, Kav 38. RT.6/RW.1, Kuningan Barat, Mampang Prapatan, Jakarta Selatan, Indonesia 12710"/>
    <s v="Sewa Tahunan"/>
    <s v="Colocation"/>
    <m/>
    <m/>
    <m/>
    <s v="IPVPN"/>
    <m/>
    <m/>
    <m/>
    <m/>
    <m/>
    <n v="5000000"/>
    <m/>
    <d v="2025-09-26T00:00:00"/>
    <d v="2026-09-25T00:00:00"/>
    <x v="1"/>
    <m/>
    <d v="2025-12-24T00:00:00"/>
    <n v="275"/>
    <n v="9"/>
    <n v="2026"/>
    <s v="4531/SPP/SBU/PLNICONPLUS/2024 | 4500023542"/>
    <s v="8085/SPP/SBU/PLNICONPLUS/2025"/>
    <s v="4500026237"/>
    <s v="Livia Indraswati"/>
    <s v="Tri"/>
    <m/>
    <m/>
    <m/>
    <m/>
    <m/>
    <m/>
    <m/>
    <m/>
    <m/>
    <n v="284"/>
    <m/>
  </r>
  <r>
    <n v="2705"/>
    <s v="Jekael Invesco"/>
    <s v="PT Indonesia Comnets Plus"/>
    <s v="Gedung menara Selatan Lt.9 Jl. Jend. Gatot Subroto No. 38 Jakarta 12712"/>
    <x v="1"/>
    <m/>
    <s v="Menara Jamsostek, Jalan Gatot Subroto, Kav 38. RT.6/RW.1, Kuningan Barat, Mampang Prapatan, Jakarta Selatan, Indonesia 12710"/>
    <s v="Sewa Tahunan"/>
    <s v="Colocation"/>
    <m/>
    <m/>
    <m/>
    <s v="IPVPN"/>
    <m/>
    <m/>
    <m/>
    <m/>
    <m/>
    <n v="10000000"/>
    <m/>
    <d v="2025-10-30T00:00:00"/>
    <d v="2026-10-29T00:00:00"/>
    <x v="1"/>
    <m/>
    <d v="2025-12-24T00:00:00"/>
    <n v="309"/>
    <n v="10"/>
    <n v="2026"/>
    <s v="4801/SPP/SBU/PLNICONPLUS/2024 | 4500023798"/>
    <s v="8083/SPP/SBU/PLNICONPLUS/2025"/>
    <s v="4500026236"/>
    <s v="Livia Indraswati"/>
    <s v="Tri"/>
    <m/>
    <m/>
    <m/>
    <m/>
    <m/>
    <m/>
    <m/>
    <m/>
    <m/>
    <n v="285"/>
    <m/>
  </r>
  <r>
    <n v="2706"/>
    <s v="Asosiasi Penyelenggara Jasa Internet Indonesia (APJII)"/>
    <s v="PT Mora Telematika Indonesia_x000a_PT Mora Telematika Indonesia_x000a_PT Cyberindo Aditama_x000a_PT Faasri Utama Sakti_x000a_PT Fiber Networks Indonesia_x000a_PT Centrin Online Prima"/>
    <s v="Gedung Cyber Lt.11 Jl. Kuningan Barat No.8 Kuningan Barat Jakarta"/>
    <x v="1"/>
    <m/>
    <s v="Cyber APJII, Jalan Kuningan Barat, Mampang, Jakarta Selatan"/>
    <s v="Sewa Tahunan"/>
    <s v="Colocation"/>
    <s v="AL/2102/3854 - 110120203886 / 0990000320497141_x000a_'AL/2102/3853 - 0990000320655389_x000a_'AL/2011/66992_x000a_'PA/ACT/2209/1811_x000a_'AL/2112/151305 - 110120202881 / 01000077695_x000a_'AL/2112/151305 - 110120202881 / 01000077695"/>
    <m/>
    <m/>
    <s v="Metronet"/>
    <m/>
    <m/>
    <n v="472020000"/>
    <m/>
    <m/>
    <n v="120000000"/>
    <m/>
    <d v="2025-11-11T00:00:00"/>
    <d v="2026-11-10T00:00:00"/>
    <x v="1"/>
    <m/>
    <d v="2025-12-24T00:00:00"/>
    <n v="321"/>
    <n v="11"/>
    <n v="2026"/>
    <s v="4640/SPP/SBU/PLNICONPLUS/2024 | 4500023729"/>
    <s v="8047/SPP/SBU/PLNICONPLUS/2025"/>
    <s v="4500026234"/>
    <s v="Livia Indraswati"/>
    <m/>
    <s v="Fatmah"/>
    <m/>
    <m/>
    <m/>
    <m/>
    <m/>
    <m/>
    <m/>
    <m/>
    <n v="286"/>
    <m/>
  </r>
  <r>
    <n v="2707"/>
    <s v="Asosiasi Penyelenggara Jasa Internet Indonesia (APJII)"/>
    <s v="PT Mora Telematika Indonesia_x000a_PT Mora Telematika Indonesia_x000a_PT Cyberindo Aditama_x000a_PT Faasri Utama Sakti_x000a_PT Fiber Networks Indonesia_x000a_PT Centrin Online Prima"/>
    <s v="Gedung Cyber Lt.11 Jl. Kuningan Barat No.8 Kuningan Barat Jakarta"/>
    <x v="1"/>
    <m/>
    <s v="Cyber APJII, Jalan Kuningan Barat, Mampang, Jakarta Selatan"/>
    <s v="Sewa Tahunan"/>
    <s v="Colocation"/>
    <s v="AL/2102/3854 - 110120203886 / 0990000320497141_x000a_'AL/2102/3853 - 0990000320655389_x000a_'AL/2011/66992_x000a_'PA/ACT/2209/1811_x000a_'AL/2112/151305 - 110120202881 / 01000077695_x000a_'AL/2112/151305 - 110120202881 / 01000077695"/>
    <m/>
    <m/>
    <s v="Metronet"/>
    <m/>
    <m/>
    <n v="472020000"/>
    <m/>
    <m/>
    <n v="12000000"/>
    <m/>
    <d v="2025-10-29T00:00:00"/>
    <d v="2026-10-28T00:00:00"/>
    <x v="1"/>
    <m/>
    <d v="2025-12-24T00:00:00"/>
    <n v="308"/>
    <n v="10"/>
    <n v="2026"/>
    <s v="4641/SPP/SBU/PLNICONPLUS/2024 | 4500023730"/>
    <s v="8046/SPP/SBU/PLNICONPLUS/2025"/>
    <s v="4500026233"/>
    <s v="Livia Indraswati"/>
    <m/>
    <s v="Fatmah"/>
    <m/>
    <m/>
    <m/>
    <m/>
    <m/>
    <m/>
    <m/>
    <m/>
    <n v="287"/>
    <m/>
  </r>
  <r>
    <n v="2708"/>
    <s v="Phinisindo Zamrud Nusantara"/>
    <s v="PT Oto Multiartha"/>
    <s v="Jl. Margonda No.56, Depok, Kec. Pancoran Mas, Kota Depok, Jawa Barat 16431"/>
    <x v="1"/>
    <m/>
    <s v="(OTO Depok) Ruko ITC Depok No. 40 &amp; 41, Jl. Margonda Raya"/>
    <s v="Sewa Tahunan"/>
    <s v="Colocation"/>
    <s v="PA/ACT/2304/1755/TER"/>
    <m/>
    <m/>
    <s v="Internet Corporate"/>
    <s v="6 Mbps"/>
    <m/>
    <n v="33000000"/>
    <m/>
    <m/>
    <n v="26460000"/>
    <m/>
    <d v="2025-09-01T00:00:00"/>
    <d v="2026-08-31T00:00:00"/>
    <x v="1"/>
    <m/>
    <d v="2025-12-24T00:00:00"/>
    <n v="250"/>
    <n v="8"/>
    <n v="2026"/>
    <s v="4293/SPP/SBU/PLNICONPLUS/2024 | 4500023588"/>
    <s v="7992/SPP/SBU/PLNICONPLUS/2025"/>
    <s v="4500026231"/>
    <s v="Livia Indraswati"/>
    <m/>
    <s v="Puji"/>
    <m/>
    <m/>
    <m/>
    <m/>
    <m/>
    <m/>
    <m/>
    <m/>
    <n v="297"/>
    <m/>
  </r>
  <r>
    <n v="2709"/>
    <s v="Jakarta Land"/>
    <s v="PT Worley Sea Indonesia"/>
    <s v="Jl. Margonda Raya No. 56 Pancoran Mas Depok 16431"/>
    <x v="1"/>
    <s v="GEDUNG WORLD TRADE CENTRE (WTC) 3 LANTAI 18 JALAN JEND. SUDIRMAN KAV. 29-31 SUDIRMAN, JAKARTA SELATAN, DKI JAKARTA 12920"/>
    <s v="GEDUNG WORLD TRADE CENTRE (WTC) 2 LANTAI 6 JALAN JEND. SUDIRMAN KAV. 29-31 SUDIRMAN, JAKARTA SELATAN, DKI JAKARTA 12920     "/>
    <s v="Sewa Tahunan"/>
    <s v="Colocation"/>
    <s v="A111202013332"/>
    <m/>
    <m/>
    <s v="Qinq Metro Ethernet"/>
    <s v="1 Gbps"/>
    <n v="10000000"/>
    <n v="330000000"/>
    <m/>
    <m/>
    <n v="35000000"/>
    <m/>
    <d v="2025-09-01T00:00:00"/>
    <d v="2026-08-31T00:00:00"/>
    <x v="1"/>
    <m/>
    <d v="2025-12-24T00:00:00"/>
    <n v="250"/>
    <n v="8"/>
    <n v="2026"/>
    <s v="baru"/>
    <s v="7874/SPP/SBU/PLNICONPLUS/2025"/>
    <s v="4500026186"/>
    <s v="Livia Indraswati"/>
    <m/>
    <s v="Raisha"/>
    <m/>
    <m/>
    <m/>
    <m/>
    <m/>
    <m/>
    <m/>
    <m/>
    <n v="283"/>
    <m/>
  </r>
  <r>
    <n v="2710"/>
    <s v="NTT Indonesia"/>
    <s v="PT Gpay Digital Asia"/>
    <s v="Wisma 46 Kota BNI Lt. 5, Jl. Jend. Sudirman, Tanah Abang, Kota Jak Pusat, Daerah Khusus Ibukota Jak 10250, Indonesia"/>
    <x v="1"/>
    <s v="PT. NTT INDONESIA NEXCENTER CYBER CSF BUILDING, FLOOR 2 ROOM 2-2, JL. KUNINGAN BARAT NO. 8, JAKARTA, JAKARTA SELATAN, DKI JAKARTA, INDONESIA, 12710"/>
    <s v="KOTA JAKARTA SELATAN, KUNINGAN BARAT, MAMPANG PRAPATAN, DKI JAKARTA"/>
    <s v="Sewa Tahunan"/>
    <s v="Cross Connect"/>
    <s v="PA/ACT/2009/0739"/>
    <m/>
    <m/>
    <s v="IPVPN"/>
    <s v="2 Mbps"/>
    <m/>
    <n v="33000000"/>
    <m/>
    <m/>
    <n v="12000000"/>
    <m/>
    <d v="2025-10-26T00:00:00"/>
    <d v="2026-10-25T00:00:00"/>
    <x v="1"/>
    <m/>
    <d v="2025-12-24T00:00:00"/>
    <n v="305"/>
    <n v="10"/>
    <n v="2026"/>
    <s v="4403/SPP/SBU/PLNICONPLUS/2024 | 4500024433"/>
    <s v="7694/SPP/SBU/PLNICONPLUS/2025"/>
    <s v="4500026198"/>
    <s v="Livia Indraswati"/>
    <s v="Iffa"/>
    <m/>
    <m/>
    <m/>
    <m/>
    <m/>
    <m/>
    <m/>
    <m/>
    <m/>
    <n v="291"/>
    <m/>
  </r>
  <r>
    <n v="2711"/>
    <s v="NTT Indonesia"/>
    <s v="PT Graha Layar Prima"/>
    <s v="Wisma 46 Kota BNI Lt. 5, Jl. Jend. Sudirman, Tanah Abang, Kota Jak Pusat, Daerah Khusus Ibukota Jak 10250, Indonesia"/>
    <x v="2"/>
    <m/>
    <s v="CGV NTT Data Center Jl. Kuningan Barat Raya No.8, RT.6/RW.3, Kuningan Bar., Kec. Mampang Prpt., Kota Jakarta Selatan, Daerah Khusus Ibukota Jakarta 12710"/>
    <s v="Sewa Tahunan"/>
    <s v="Cross Connect"/>
    <s v="PA/ACT/2212/6008"/>
    <s v="110130100086 / 04000331777"/>
    <m/>
    <s v="IP Transit"/>
    <s v="100 Mbps"/>
    <m/>
    <n v="120000000"/>
    <m/>
    <m/>
    <n v="12000000"/>
    <m/>
    <d v="2024-01-24T00:00:00"/>
    <d v="2026-01-18T00:00:00"/>
    <x v="1"/>
    <m/>
    <d v="2025-12-24T00:00:00"/>
    <n v="25"/>
    <n v="1"/>
    <n v="2026"/>
    <s v="21065/SPP/008/PUSAT/ICON+/2023 | 4500022568"/>
    <s v="7837/SPP/SBU/PLNICONPLUS/2025"/>
    <n v="4500026202"/>
    <s v="Livia Indraswati"/>
    <s v="Iffa"/>
    <m/>
    <m/>
    <m/>
    <m/>
    <m/>
    <m/>
    <m/>
    <m/>
    <m/>
    <n v="292"/>
    <m/>
  </r>
  <r>
    <n v="2712"/>
    <s v="NTT Indonesia"/>
    <s v="PT Nusa Satu Inti Artha"/>
    <s v="Wisma 46 Kota BNI Lt. 5, Jl. Jend. Sudirman, Tanah Abang, Kota Jak Pusat, Daerah Khusus Ibukota Jak 10250, Indonesia"/>
    <x v="1"/>
    <s v="NTT CYBER JL. KUNINGAN BARAT RAYA NO.8, RT.6/RW.3, KUNINGAN BAR., KEC. MAMPANG PRPT, JAKARTA SELATAN, DKI JAKARTA, INDONESIA, 12710"/>
    <s v="DC ALFA CILEUNGSI KTR. CAB CILEUNGSI, DAYEUH, KEC. CILEUNGSI, KABUPATEN BOGOR, JAWA BARAT, INDONESIA, 16820"/>
    <s v="Sewa Tahunan"/>
    <s v="Cross Connect"/>
    <s v="PA/ACT/2208/2714"/>
    <m/>
    <m/>
    <s v="Metronet P2P"/>
    <s v="1 Mbps"/>
    <m/>
    <n v="42000000"/>
    <m/>
    <m/>
    <n v="12000000"/>
    <m/>
    <d v="2025-09-23T00:00:00"/>
    <d v="2026-09-22T00:00:00"/>
    <x v="1"/>
    <m/>
    <d v="2025-12-24T00:00:00"/>
    <n v="272"/>
    <n v="9"/>
    <n v="2026"/>
    <s v="6693/SPP/SBU/PLNICONPLUS/2025 | 4500025182"/>
    <s v="7814/SPP/SBU/PLNICONPLUS/2025"/>
    <s v="4500026200"/>
    <s v=" Livia Indraswati "/>
    <s v="Iffa"/>
    <m/>
    <m/>
    <m/>
    <m/>
    <m/>
    <m/>
    <m/>
    <m/>
    <m/>
    <n v="293"/>
    <m/>
  </r>
  <r>
    <n v="2713"/>
    <s v="NTT Indonesia"/>
    <s v="PT Maybank Sekuritas Indonesia"/>
    <s v="Wisma 46 Kota BNI Lt. 5, Jl. Jend. Sudirman, Tanah Abang, Kota Jak Pusat, Daerah Khusus Ibukota Jak 10250, Indonesia"/>
    <x v="4"/>
    <s v="NTT INDONESIA NEXCENTER JL. KUNINGAN BARAT RAYA NO.8, RT.6/RW.3, KUNINGAN BAR., KEC. MAMPANG PRPT., KUNINGAN, JAKARTA SELATAN, DKI JAKARTA, INDONESIA,"/>
    <s v="RUKO MEGA MALL PLUIT/LIPPO VILLAGE NO. 48 JALAN PLUIT INDAH NO. 1, PLUIT,,PLUIT ,JAKARTA UTARA ,DKI JAKARTA ,INDONESIA ,"/>
    <s v="Sewa Tahunan"/>
    <s v="Cross Connect"/>
    <s v="PA/ACT/2112/1610/TER"/>
    <m/>
    <m/>
    <m/>
    <m/>
    <m/>
    <n v="90600000"/>
    <m/>
    <m/>
    <n v="12000000"/>
    <m/>
    <d v="2022-01-27T00:00:00"/>
    <d v="2026-01-26T00:00:00"/>
    <x v="1"/>
    <m/>
    <d v="2025-12-24T00:00:00"/>
    <n v="33"/>
    <n v="1"/>
    <n v="2026"/>
    <s v="baru"/>
    <s v="7812/SPP/SBU/PLNICONPLUS/2025"/>
    <n v="4500026199"/>
    <s v="Livia Indraswati"/>
    <s v="Iffa"/>
    <m/>
    <m/>
    <m/>
    <m/>
    <m/>
    <m/>
    <m/>
    <m/>
    <m/>
    <n v="294"/>
    <m/>
  </r>
  <r>
    <n v="2714"/>
    <s v="NTT Indonesia"/>
    <s v="PT Bank CIMB Niaga"/>
    <s v="Wisma 46 Kota BNI Lt. 5, Jl. Jend. Sudirman, Tanah Abang, Kota Jak Pusat, Daerah Khusus Ibukota Jak 10250, Indonesia"/>
    <x v="1"/>
    <s v="BACKHAUL BANK CIMB NIAGA, GEDUNG CYBER LT. 4, JL. KUNINGAN BARAT RAYA NO.8, RT.1/RW.3, KUNINGAN BARAT, KEC. MAMPANG PRAPATAN, JAKARTA SELATAN, DKI JAKARTA, INDONESIA, 12910"/>
    <s v="JAKARTA SELATAN ,DKI JAKARTA ,INDONESIA "/>
    <s v="Sewa Tahunan"/>
    <s v="Cross Connect"/>
    <s v="PA/ACT/2108/2160"/>
    <m/>
    <m/>
    <m/>
    <m/>
    <m/>
    <n v="33600000"/>
    <m/>
    <m/>
    <n v="12000000"/>
    <m/>
    <d v="2023-09-21T00:00:00"/>
    <d v="2026-09-20T00:00:00"/>
    <x v="1"/>
    <m/>
    <d v="2025-12-24T00:00:00"/>
    <n v="270"/>
    <n v="9"/>
    <n v="2026"/>
    <s v="21186/SPP/008/PUSAT/ICON+/2023 | 4500025873"/>
    <s v="7838/SPP/SBU/PLNICONPLUS/2025"/>
    <n v="4500026203"/>
    <s v="Livia Indraswati"/>
    <s v="Iffa"/>
    <m/>
    <m/>
    <m/>
    <m/>
    <m/>
    <m/>
    <m/>
    <m/>
    <m/>
    <n v="295"/>
    <m/>
  </r>
  <r>
    <n v="2715"/>
    <s v="NTT Indonesia"/>
    <s v="PT Astra Daihatsu Motor"/>
    <s v="Wisma 46 Kota BNI Lt. 5, Jl. Jend. Sudirman, Tanah Abang, Kota Jak Pusat, Daerah Khusus Ibukota Jak 10250, Indonesia"/>
    <x v="1"/>
    <s v="CYBER 3 NTT JL. KUNINGAN BARAT RAYA NO.8, RT.6/RW.3"/>
    <s v="JL. SELAYAR BLOK A-6 KAWASAN MM2100 IDUSTRIAL ESTATE CIBITUNG (Interkoneksi Indonet), Indonesia "/>
    <s v="Sewa Tahunan"/>
    <s v="Cross Connect"/>
    <s v="A821205000115"/>
    <m/>
    <m/>
    <s v="IPVPN"/>
    <s v="100 Mbps"/>
    <m/>
    <n v="498000000"/>
    <m/>
    <m/>
    <n v="12000000"/>
    <m/>
    <d v="2025-08-29T00:00:00"/>
    <d v="2026-08-28T00:00:00"/>
    <x v="1"/>
    <m/>
    <d v="2025-12-24T00:00:00"/>
    <n v="247"/>
    <n v="8"/>
    <n v="2026"/>
    <s v="3863/SPP/SBU/PLNICONPLUS/2024 | 4500024431"/>
    <s v="7815/SPP/SBU/PLNICONPLUS/2025"/>
    <s v="4500026201"/>
    <s v="Livia Indraswati"/>
    <s v="Iffa"/>
    <m/>
    <m/>
    <m/>
    <m/>
    <m/>
    <m/>
    <m/>
    <m/>
    <m/>
    <n v="296"/>
    <m/>
  </r>
  <r>
    <n v="2716"/>
    <s v="Media Nusantara Data Global"/>
    <s v="Join All Customer"/>
    <s v="Jl. Kuningan Barat No. 8 Cyber Building 1st &amp; 2nd Jakarta Selatan 12712"/>
    <x v="2"/>
    <m/>
    <s v="CDCI"/>
    <s v="Sewa Tahunan"/>
    <s v="Colocation"/>
    <m/>
    <m/>
    <m/>
    <m/>
    <m/>
    <m/>
    <n v="328550000"/>
    <m/>
    <m/>
    <n v="453000000"/>
    <m/>
    <d v="2025-07-11T00:00:00"/>
    <d v="2026-01-10T00:00:00"/>
    <x v="1"/>
    <m/>
    <d v="2025-12-24T00:00:00"/>
    <n v="17"/>
    <n v="1"/>
    <n v="2026"/>
    <n v="4500024448"/>
    <s v="7282/SPP/SBU/PLNICONPLUS/2025"/>
    <s v="4500025683"/>
    <s v="Fajar Paramita"/>
    <m/>
    <s v="Ira"/>
    <m/>
    <m/>
    <m/>
    <m/>
    <m/>
    <m/>
    <m/>
    <m/>
    <n v="288"/>
    <m/>
  </r>
  <r>
    <n v="2717"/>
    <s v="Media Nusantara Data Global"/>
    <s v="Join All Customer"/>
    <s v="Jl. Kuningan Barat No. 8 Cyber Building 1st &amp; 2nd Jakarta Selatan 12710"/>
    <x v="0"/>
    <m/>
    <s v="CDCI"/>
    <s v="Sewa Tahunan"/>
    <s v="Cross Connect"/>
    <m/>
    <m/>
    <m/>
    <m/>
    <m/>
    <m/>
    <n v="328550000"/>
    <m/>
    <m/>
    <n v="18000000"/>
    <m/>
    <d v="2024-10-14T00:00:00"/>
    <d v="2025-10-13T00:00:00"/>
    <x v="0"/>
    <m/>
    <d v="2025-12-24T00:00:00"/>
    <n v="-72"/>
    <n v="10"/>
    <n v="2025"/>
    <n v="4500021815"/>
    <s v="7289/SPP/SBU/PLNICONPLUS/2025"/>
    <s v="4500025653"/>
    <s v="Fajar Paramita"/>
    <m/>
    <s v="Ira"/>
    <m/>
    <m/>
    <m/>
    <m/>
    <m/>
    <m/>
    <m/>
    <m/>
    <n v="289"/>
    <m/>
  </r>
  <r>
    <n v="2718"/>
    <s v="Jakarta Industrial Estate Pulogadung (Persero) (JIEP) "/>
    <s v="PT Nutrifood Indonesia"/>
    <s v="Jl. Kuningan Barat No. 8 Cyber Building 1st &amp; 2nd Jakarta Selatan 12710"/>
    <x v="3"/>
    <m/>
    <s v="Kawasan Industri JIEP Pulogadung, Jakarta Timur"/>
    <s v="Sewa Tahunan"/>
    <s v="Colocation"/>
    <m/>
    <s v="111303012536"/>
    <m/>
    <s v="Internet Dedicated"/>
    <m/>
    <m/>
    <n v="52200000"/>
    <m/>
    <m/>
    <n v="122757000"/>
    <m/>
    <d v="2024-03-13T00:00:00"/>
    <d v="2025-12-31T00:00:00"/>
    <x v="1"/>
    <m/>
    <d v="2025-12-24T00:00:00"/>
    <n v="7"/>
    <n v="12"/>
    <n v="2025"/>
    <n v="4500021242"/>
    <s v="7810/SPP/SBU/PLNICONPLUS/2025"/>
    <s v="4500026279"/>
    <s v="Livia Indraswati"/>
    <s v="Dana"/>
    <m/>
    <m/>
    <m/>
    <m/>
    <m/>
    <m/>
    <m/>
    <m/>
    <m/>
    <n v="308"/>
    <m/>
  </r>
  <r>
    <n v="2719"/>
    <s v="Jakarta Industrial Estate Pulogadung (Persero) (JIEP) "/>
    <s v="PT Pasifiktel Indotama qq Hexindo Adi Perkasa"/>
    <s v="Jl. Pulokambing No. 1 Lahan Industri Pulogadung Jakarta Timur 13294"/>
    <x v="1"/>
    <s v="JL. DUREN TIGA RAYA NO.7, RT.9/RW.5, DUREN TIGA, KEC. PANCORAN, KOTA JAKARTA SELATAN, DAERAH KHUSUS IBUKOTA JAKARTA 12760"/>
    <s v="HEXINDO ADI PERKASA, KAWASAN INDUSTRI PULO GADUNG JL. PULO KAMBING 2/33 KAV 1-2, -, JAKARTA TIMUR, DKI JAKARTA, INDONESIA, 13930"/>
    <s v="Sewa Tahunan"/>
    <s v="Colocation"/>
    <m/>
    <s v="110120204037 / 01000113384"/>
    <m/>
    <s v="Metronet"/>
    <s v="20 Mbps"/>
    <m/>
    <n v="6500000"/>
    <m/>
    <m/>
    <n v="32235000"/>
    <m/>
    <d v="2025-08-25T00:00:00"/>
    <d v="2026-08-24T00:00:00"/>
    <x v="1"/>
    <m/>
    <d v="2025-12-24T00:00:00"/>
    <n v="243"/>
    <n v="8"/>
    <n v="2026"/>
    <s v="5086/SPP/SBU/PLNICONPLUS/2024 | 4500024028"/>
    <s v="7808/SPP/SBU/PLNICONPLUS/2025"/>
    <s v="4500026277"/>
    <s v="Livia Indraswati"/>
    <s v="Dana"/>
    <m/>
    <m/>
    <m/>
    <m/>
    <m/>
    <m/>
    <m/>
    <m/>
    <m/>
    <n v="309"/>
    <m/>
  </r>
  <r>
    <n v="2720"/>
    <s v="Jakarta Industrial Estate Pulogadung (Persero) (JIEP) "/>
    <s v="PT Soho Industri Pharmasi"/>
    <s v="Jl. Pulokambing No. 1 Lahan Industri Pulogadung Jakarta Timur 13294"/>
    <x v="3"/>
    <m/>
    <s v="Kawasan Industri JIEP Pulogadung, Jakarta Timur"/>
    <s v="Sewa Tahunan"/>
    <s v="Colocation"/>
    <m/>
    <s v="111303012433"/>
    <m/>
    <s v="Internet Dedicated"/>
    <m/>
    <m/>
    <n v="15000000"/>
    <m/>
    <m/>
    <n v="32743125"/>
    <m/>
    <d v="2023-10-19T00:00:00"/>
    <d v="2025-12-31T00:00:00"/>
    <x v="1"/>
    <m/>
    <d v="2025-12-24T00:00:00"/>
    <n v="7"/>
    <n v="12"/>
    <n v="2025"/>
    <s v="20160/SPP/008/PUSAT/ICON+/2022 | 4500019272"/>
    <s v="7809/SPP/SBU/PLNICONPLUS/2025"/>
    <s v="4500026278"/>
    <s v="Livia Indraswati"/>
    <s v="Anggit"/>
    <m/>
    <m/>
    <m/>
    <m/>
    <m/>
    <m/>
    <m/>
    <m/>
    <m/>
    <n v="310"/>
    <m/>
  </r>
  <r>
    <n v="2721"/>
    <s v="Cyberindo Aditama"/>
    <s v="PT Indosat Tbk"/>
    <s v="Gedung Cyber 2 Tower, Lt 33 Jl. HP Rasuna Said Blok X-5 No. 13 Kuningan Timur Setiabudi Jakarta Selatan 12950"/>
    <x v="1"/>
    <s v="Gedung Indosat KPPTI, Jl Medan Merdeka Barat No.21, RT.2/RW.3, Kecamatan Gambir, Kota Jakarta Pusat, DKI Jakarta, 10110"/>
    <s v="DBS Marketing Office Citra Towers Kemayoran, Jl Benyamin Suaeb, RT.13/RW.06, Kebon Kosong, Kamayoran, Kota Jakarta Pusat, Jakarta, Indonesia"/>
    <s v="Sewa Bulanan"/>
    <s v="Interkoneksi"/>
    <s v="A821202000241"/>
    <s v="111202017399"/>
    <s v="99,50%"/>
    <s v="Metronet"/>
    <s v="2 Mbps"/>
    <m/>
    <n v="36000000"/>
    <m/>
    <m/>
    <n v="18000000"/>
    <m/>
    <d v="2025-08-22T00:00:00"/>
    <d v="2026-08-21T00:00:00"/>
    <x v="1"/>
    <m/>
    <d v="2025-12-24T00:00:00"/>
    <n v="240"/>
    <n v="8"/>
    <n v="2025"/>
    <s v="3833/SPP/SBU/PLNICONPLUS/2024 | 4500023087"/>
    <s v="8103/SPP/SBU/PLNICONPLUS/2025"/>
    <s v="4500026255"/>
    <s v="Renata Simanjuntak"/>
    <s v="Kharisma"/>
    <s v="+62 878-1104-9256"/>
    <m/>
    <m/>
    <m/>
    <m/>
    <m/>
    <m/>
    <m/>
    <m/>
    <n v="311"/>
    <m/>
  </r>
  <r>
    <n v="2722"/>
    <s v="Link Net"/>
    <s v="PT Bumimulia Indah Lestari"/>
    <s v="Gedung Cyber 2 Tower, Lt 33 Jl. HP Rasuna Said Blok X-5 No. 13 Kuningan Timur Setiabudi Jakarta Selatan 12950"/>
    <x v="1"/>
    <s v="-"/>
    <s v="PT. Bumimulia Indah Lestari Kawasan Industri, Jl. Kawasan Marunda Center No.1, Pantai makmur,  Tarumajaya,  Bekasi,  Jawa Barat, Indonesia, 17212"/>
    <s v="Sewa Bulanan"/>
    <s v="Interkoneksi"/>
    <s v="PA/ACT/2111/4084"/>
    <s v="110120202451"/>
    <n v="0.995"/>
    <s v="Metronet"/>
    <s v="10 Mbps"/>
    <m/>
    <n v="126000000"/>
    <m/>
    <m/>
    <n v="92400000"/>
    <m/>
    <d v="2025-06-20T00:00:00"/>
    <d v="2026-06-19T00:00:00"/>
    <x v="1"/>
    <m/>
    <d v="2025-12-24T00:00:00"/>
    <n v="177"/>
    <n v="6"/>
    <n v="2026"/>
    <s v="3098/SPP/SBU/PLNICONPLUS/2024 | 4500022572"/>
    <s v="7493/SPP/SBU/PLNICONPLUS/2025"/>
    <n v="4500022572"/>
    <s v="Renata Simanjuntak"/>
    <s v="Kharisma"/>
    <s v="Bunga"/>
    <m/>
    <m/>
    <m/>
    <m/>
    <m/>
    <m/>
    <m/>
    <m/>
    <n v="312"/>
    <m/>
  </r>
  <r>
    <n v="2723"/>
    <s v="Cyberindo Aditama"/>
    <s v="Bank BCA Central Park"/>
    <s v="Gedung Cyber 2 Tower, Lt 33 Jl. HP Rasuna Said Blok X-5 No. 13 Kuningan Timur Setiabudi Jakarta Selatan 12950"/>
    <x v="1"/>
    <s v="WSA2, Jl. Brigjen Katamso No.14, RT 4/RW.9, Kota Bambu Sel, Kec Palmerah, Kota Jakarta Barat, DKI Jakarta, 11420"/>
    <s v="BCA KCP Central Park, Kawasan Superblok Podomoro City (Central Park) Ruko Garden Shopping Arcade Blok B/08/CB.CC.CD Jl. S Parman, Grogol, Jakarta Barat"/>
    <s v="Sewa Bulanan"/>
    <s v="Interkoneksi"/>
    <s v="PA/ACT/2204/4125"/>
    <s v="110120207627/01000320390"/>
    <s v="99,50%"/>
    <s v="Metronet"/>
    <s v="6 Mbps"/>
    <m/>
    <n v="32400000"/>
    <m/>
    <m/>
    <n v="42000000"/>
    <m/>
    <d v="2025-08-12T00:00:00"/>
    <d v="2026-08-11T00:00:00"/>
    <x v="1"/>
    <m/>
    <d v="2025-12-24T00:00:00"/>
    <n v="230"/>
    <n v="8"/>
    <n v="2026"/>
    <s v="4385/SPP/SBU/PLNICONPLUS/2024 | 4500023586"/>
    <s v="7977/SPP/SBU/PLNICONPLUS/2025"/>
    <s v="4500026215"/>
    <s v="Renata Simanjuntak"/>
    <s v="Kharisma"/>
    <s v="+62 878-1104-9256"/>
    <m/>
    <m/>
    <m/>
    <m/>
    <m/>
    <m/>
    <m/>
    <m/>
    <n v="279"/>
    <m/>
  </r>
  <r>
    <n v="2724"/>
    <s v="Karyagraha Nusantara"/>
    <s v="Join All Customer"/>
    <s v="Gedung Cyber 2 Tower, Lt 33 Jl. HP Rasuna Said Blok X-5 No. 13 Kuningan Timur Setiabudi Jakarta Selatan 12950"/>
    <x v="1"/>
    <m/>
    <s v="INTERKONEKSI APJII LANTAI 1 RACKP - ASR920- UPE"/>
    <s v="Sewa Tahunan"/>
    <s v="Colocation"/>
    <m/>
    <m/>
    <m/>
    <s v="Metronet"/>
    <m/>
    <m/>
    <n v="252000000"/>
    <m/>
    <m/>
    <n v="95500000"/>
    <m/>
    <d v="2025-06-20T00:00:00"/>
    <d v="2026-06-19T00:00:00"/>
    <x v="1"/>
    <m/>
    <d v="2025-12-24T00:00:00"/>
    <n v="177"/>
    <n v="6"/>
    <n v="2026"/>
    <s v="Baru"/>
    <s v="6461/SPP/SBU/PLNICONPLUS/2025"/>
    <s v="4500025018"/>
    <s v="Syifa Fauziyah"/>
    <s v="Kharisma"/>
    <m/>
    <m/>
    <m/>
    <m/>
    <m/>
    <m/>
    <m/>
    <m/>
    <m/>
    <n v="102"/>
    <m/>
  </r>
  <r>
    <n v="2725"/>
    <s v="Infrastruktur Cakrawala Telekomunikasi"/>
    <s v="PT Hanasta Dakara"/>
    <s v="Jl. Kuningan Barat No. 8"/>
    <x v="1"/>
    <m/>
    <s v="PT. ITM SEMICONDUCTOR INDONESIA KAWASAN INDUSTRI JABABEKA TAHAP 3 JL. TEKNO RAYA, PASIRGOMBONG, KEC. CIKARANG UTARA, KABUPATEN BEKASI, JAWA BARAT 17530"/>
    <s v="Sewa Tahunan"/>
    <s v="Cross Connect"/>
    <s v="A111202013622"/>
    <s v="111202023187"/>
    <m/>
    <s v="Metronet"/>
    <s v="20 Mbps"/>
    <m/>
    <n v="19690000"/>
    <m/>
    <m/>
    <n v="5369986"/>
    <m/>
    <d v="2025-09-25T00:00:00"/>
    <d v="2025-12-31T00:00:00"/>
    <x v="1"/>
    <m/>
    <d v="2025-10-17T00:00:00"/>
    <n v="75"/>
    <n v="12"/>
    <n v="2025"/>
    <m/>
    <s v="7957/SPP/SBU/PLNICONPLUS/2025"/>
    <s v="4500026239"/>
    <s v="Syifa Fauziyah"/>
    <s v="Kharisma"/>
    <s v="aksho"/>
    <m/>
    <m/>
    <m/>
    <m/>
    <m/>
    <m/>
    <m/>
    <m/>
    <n v="255"/>
    <m/>
  </r>
  <r>
    <n v="2726"/>
    <s v="Cablenet Fiber Data"/>
    <s v="PT Xapiens Teknologi Indonesia"/>
    <s v="Jl Simprug Garden 1 Blok W No.11 RT.07/RW.03, Grogol Selatan, Kebayoran Lama, Jakarta Selatan, DKI Jakarta, 12220"/>
    <x v="1"/>
    <s v="GD Graha Mitra Lantai 3 Jl. Gatot Subroto No.Kav 21, RT.3/RW.2, Karet Semanggi, Kecamatan Setiabudi, Kota Jakarta Selatan, Daerah Khusus Ibukota Jakarta 12930"/>
    <s v="GD Graha Mitra Lantai 3 Jl. Gatot Subroto No.Kav 21, RT.3/RW.2, Karet Semanggi, Kecamatan Setiabudi, Kota Jakarta Selatan, Daerah Khusus Ibukota Jakarta 12930"/>
    <s v="Sewa Bulanan"/>
    <s v="Interkoneksi"/>
    <s v="A311303000965"/>
    <s v="311303001497"/>
    <n v="0.995"/>
    <s v="Internet Corporate"/>
    <s v="100 Mbps"/>
    <m/>
    <n v="51000000"/>
    <m/>
    <m/>
    <n v="42000000"/>
    <m/>
    <d v="2025-10-01T00:00:00"/>
    <d v="2026-09-30T00:00:00"/>
    <x v="1"/>
    <m/>
    <d v="2025-12-24T00:00:00"/>
    <n v="280"/>
    <n v="9"/>
    <n v="2026"/>
    <s v="4714/SPP/SBU/PLNICONPLUS/2024 | 4500024318"/>
    <s v="8225/SPP/SBU/PLNICONPLUS/2025"/>
    <s v="4500026386"/>
    <s v="Syifa Artianingsih"/>
    <s v="Cindy Pratiwi"/>
    <s v="0857-2207-8712"/>
    <m/>
    <m/>
    <m/>
    <m/>
    <m/>
    <m/>
    <m/>
    <m/>
    <n v="337"/>
    <m/>
  </r>
  <r>
    <n v="2727"/>
    <s v="Telnusa Intrakom"/>
    <s v="PT Mastersystem Infotama"/>
    <m/>
    <x v="1"/>
    <m/>
    <s v="Pulau Pabelokan PHE Offshore, Land Point Lontar CRS"/>
    <s v="Sewa Bulanan"/>
    <s v="Interkoneksi"/>
    <s v="A811303000117"/>
    <s v="111303010827"/>
    <n v="0.995"/>
    <s v="Internet Corporate  "/>
    <s v="75 Mbps"/>
    <m/>
    <n v="300000000"/>
    <m/>
    <m/>
    <n v="300000000"/>
    <m/>
    <d v="2025-07-24T00:00:00"/>
    <d v="2026-07-23T00:00:00"/>
    <x v="1"/>
    <m/>
    <d v="2025-12-24T00:00:00"/>
    <n v="211"/>
    <n v="7"/>
    <n v="2026"/>
    <s v="4075/SPP/SBU/PLNICONPLUS/2024 | 4500023368"/>
    <s v="7608/SPP/SBU/PLNICONPLUS/2025"/>
    <s v="4500026240"/>
    <s v="Syifa Artianingsih"/>
    <m/>
    <s v="Bayu Aji"/>
    <m/>
    <m/>
    <m/>
    <m/>
    <m/>
    <m/>
    <m/>
    <m/>
    <n v="301"/>
    <m/>
  </r>
  <r>
    <n v="2728"/>
    <s v="Envision"/>
    <s v="PT Bank Mandiri (Persero) Tbk"/>
    <m/>
    <x v="1"/>
    <s v="PLAZA MANDIRI JL. GATOT SUBROTO NO.KAV 36-38, RT.7/RW.3, SENAYAN, KEC. KBY. BARU, KOTA  JAKARTA SELATAN, DAERAH KHUSUS IBUKOTA JAKARTA 12190"/>
    <s v="10124 JAKARTA GANDARIA CITY, UG M-U 35 JL. SULTAN ISKANDAR MUDA. RT.10/RW.6, KEBAYORAN LAMA UTARA,KEC. KEBAYORAN LAMA ,JAKARTA SELATAN ,DKI JAKARTA"/>
    <s v="Sewa Bulanan"/>
    <s v="Interkoneksi"/>
    <s v="111090123271"/>
    <s v="110120501606"/>
    <s v="99,8%"/>
    <s v="IPVPN"/>
    <s v="5 Mbps"/>
    <m/>
    <n v="39272724"/>
    <m/>
    <m/>
    <n v="28050000"/>
    <m/>
    <d v="2025-10-01T00:00:00"/>
    <d v="2026-09-30T00:00:00"/>
    <x v="1"/>
    <m/>
    <d v="2025-12-24T00:00:00"/>
    <n v="280"/>
    <n v="9"/>
    <n v="2026"/>
    <s v="4589/SPP/SBU/PLNICONPLUS/2024 | 4500023713"/>
    <s v="8222/SPP/SBU/PLNICONPLUS/2025"/>
    <s v="4500023713"/>
    <s v="Syifa Artianingsih"/>
    <m/>
    <s v="Iman"/>
    <m/>
    <m/>
    <m/>
    <m/>
    <m/>
    <m/>
    <m/>
    <m/>
    <n v="336"/>
    <m/>
  </r>
  <r>
    <n v="2729"/>
    <s v="Internetwork Komunikasi Indonesia"/>
    <s v="PT Bank Danamon"/>
    <m/>
    <x v="1"/>
    <m/>
    <s v="Mitracomm The East Tower Lt.5, Mega Kuningan Kav E3.2 No.1, Mega Kuningan, Jakarta Selatan, DKI Jakarta, Indonesia"/>
    <s v="Sewa Bulanan"/>
    <s v="Interkoneksi"/>
    <s v="A821202001424"/>
    <s v="111202023014"/>
    <s v="99,50%"/>
    <s v="Metronet"/>
    <s v="1 Mbps"/>
    <n v="2500000"/>
    <n v="42000000"/>
    <m/>
    <n v="5000000"/>
    <n v="9600000"/>
    <m/>
    <d v="2025-08-06T00:00:00"/>
    <d v="2026-08-05T00:00:00"/>
    <x v="1"/>
    <m/>
    <d v="2025-12-24T00:00:00"/>
    <n v="224"/>
    <n v="8"/>
    <n v="2026"/>
    <s v="Baru"/>
    <s v="7813/SPP/SBU/PLNICONPLUS/2025"/>
    <s v="4500026109"/>
    <s v="Syifa Artianingsih"/>
    <m/>
    <s v="Dewi Yuliana"/>
    <m/>
    <m/>
    <m/>
    <m/>
    <m/>
    <m/>
    <m/>
    <m/>
    <n v="253"/>
    <m/>
  </r>
  <r>
    <n v="2730"/>
    <s v="Cyberindo Aditama"/>
    <s v="Kaldu Sari Nabati"/>
    <s v="Gedung Cyber 2 Tower, Lt 33 Jl. HP Rasuna Said Blok X-5 No. 13 Kuningan Timur Setiabudi Jakarta Selatan 12950"/>
    <x v="1"/>
    <m/>
    <s v="Gedung Cyber 2 Lt.2 - Jl H R Rasuna Said No.13, Rw.2, Kuningan, Kuningan Timur, Jakarta Selatan, DKI Jakarta"/>
    <s v="Sewa Bulanan"/>
    <s v="Interkoneksi"/>
    <s v="U121303000028"/>
    <s v="120130300301/ 04000021906"/>
    <n v="0.995"/>
    <s v="Internet Corporate"/>
    <s v="50 Mbps"/>
    <m/>
    <n v="115200000"/>
    <m/>
    <m/>
    <n v="121992000"/>
    <m/>
    <d v="2025-07-09T00:00:00"/>
    <d v="2026-07-08T00:00:00"/>
    <x v="1"/>
    <m/>
    <d v="2025-12-24T00:00:00"/>
    <n v="196"/>
    <n v="7"/>
    <n v="2026"/>
    <s v="4072/SPP/SBU/PLNICONPLUS/2024 | 4500023503"/>
    <s v="7873/SPP/SBU/PLNICONPLUS/2025"/>
    <s v="4500026214"/>
    <s v="Renata Simanjuntak"/>
    <s v="Kharisma"/>
    <s v="+62 878-1104-9256"/>
    <m/>
    <m/>
    <m/>
    <m/>
    <m/>
    <m/>
    <m/>
    <m/>
    <n v="278"/>
    <m/>
  </r>
  <r>
    <n v="2731"/>
    <s v="Cyberindo Aditama"/>
    <s v="BP Tapera"/>
    <s v="Gedung Cyber 2 Tower, Lt 33 Jl. HP Rasuna Said Blok X-5 No. 13 Kuningan Timur Setiabudi Jakarta Selatan 12950"/>
    <x v="1"/>
    <m/>
    <s v="GEDUNG MENARA MANDIRI II JL. JEND. SUDIRMAN, 8 FLOOR, KAV. 54-55 JAKARTA – 12190"/>
    <s v="SEWA BULANAN "/>
    <s v="Interkoneksi"/>
    <s v="A111303003660 "/>
    <s v="111303013296"/>
    <s v="99,50%"/>
    <s v="Internet Corporate"/>
    <s v="200 Mbps"/>
    <m/>
    <n v="119673600"/>
    <m/>
    <m/>
    <n v="96000000"/>
    <m/>
    <d v="2025-09-24T00:00:00"/>
    <d v="2026-09-23T00:00:00"/>
    <x v="1"/>
    <m/>
    <d v="2025-12-24T00:00:00"/>
    <n v="273"/>
    <n v="9"/>
    <n v="2026"/>
    <s v="4412/SPP/SBU/PLNICONPLUS/2024 | 4500023815"/>
    <s v="8221/SPP/SBU/PLNICONPLUS/2025"/>
    <s v="4500026333"/>
    <s v="Syifa Artianingsih"/>
    <s v="Kharisma"/>
    <s v="+62 878-1104-9256"/>
    <m/>
    <m/>
    <m/>
    <m/>
    <m/>
    <m/>
    <m/>
    <m/>
    <n v="342"/>
    <m/>
  </r>
  <r>
    <n v="2732"/>
    <s v="Cyberindo Aditama"/>
    <s v="PT Olam Indonesia"/>
    <s v="Gedung Cyber 2 Tower, Lt 33 Jl. HP Rasuna Said Blok X-5 No. 13 Kuningan Timur Setiabudi Jakarta Selatan 12950"/>
    <x v="1"/>
    <m/>
    <s v="South Quarter Tower A, lt.21 Jl. R. A Kartini No.Kav.8, Rt.10/Rw.4, Cilandak Barat, Kec. Cilandak, Jakarta Selatan"/>
    <s v="Sewa Bulanan"/>
    <s v="Interkoneksi"/>
    <s v="U111303004162"/>
    <s v="110130304105 / 04000128124 dan  110120503188 / 01000127809"/>
    <s v="99,50%"/>
    <s v="Internet Corporate dan IPVPN"/>
    <s v="150 dan 200 Mbps"/>
    <m/>
    <n v="474000000"/>
    <m/>
    <m/>
    <n v="150000000"/>
    <m/>
    <d v="2025-10-01T00:00:00"/>
    <d v="2026-09-30T00:00:00"/>
    <x v="1"/>
    <m/>
    <d v="2025-12-24T00:00:00"/>
    <n v="280"/>
    <n v="9"/>
    <n v="2026"/>
    <s v="4612/SPP/SBU/PLNICONPLUS/2024 | 4500023746"/>
    <s v="7990/SPP/SBU/PLNICONPLUS/2025"/>
    <s v="4500026181"/>
    <s v="Syifa Artianingsih"/>
    <s v="Kharisma"/>
    <s v="+62 878-1104-9256"/>
    <m/>
    <m/>
    <m/>
    <m/>
    <m/>
    <m/>
    <m/>
    <m/>
    <n v="303"/>
    <m/>
  </r>
  <r>
    <n v="2733"/>
    <s v="Cyberindo Aditama"/>
    <s v="PT Pegadaian (Persero) Tbk"/>
    <s v="Gedung Cyber 2 Tower, Lt 33 Jl. HP Rasuna Said Blok X-5 No. 13 Kuningan Timur Setiabudi Jakarta Selatan 12950"/>
    <x v="1"/>
    <m/>
    <s v="Jl Mal Kalibata City Lantai 1, Blok B, RT.1 RW.1, Kel. Rawa Jati, Kec. Pancoran, Kota Jakarta Selatan Prov.DKI Jakarta."/>
    <s v="Sewa Bulanan"/>
    <s v="Interkoneksi"/>
    <s v="A811401000663"/>
    <s v="111303015879"/>
    <s v="99,50%"/>
    <s v="Internet Corporate"/>
    <s v="5 Mbps"/>
    <n v="5500000"/>
    <n v="10800000"/>
    <m/>
    <n v="3000000"/>
    <n v="27600000"/>
    <m/>
    <d v="2025-09-10T00:00:00"/>
    <d v="2026-09-09T00:00:00"/>
    <x v="1"/>
    <m/>
    <d v="2025-12-24T00:00:00"/>
    <n v="259"/>
    <n v="9"/>
    <n v="2026"/>
    <s v="baru"/>
    <s v="6785/SPP/SBU/PLNICONPLUS/2025"/>
    <s v="4500025201"/>
    <s v="Syifa Artianingsih"/>
    <s v="Kharisma"/>
    <s v="+62 878-1104-9256"/>
    <m/>
    <m/>
    <m/>
    <m/>
    <m/>
    <m/>
    <m/>
    <m/>
    <n v="341"/>
    <m/>
  </r>
  <r>
    <n v="2734"/>
    <s v="BIT Teknologi Nusantara"/>
    <s v="PT NTT Indonesia qq Bank Mizuho (MMR - Tenant) "/>
    <m/>
    <x v="1"/>
    <s v="NTT Nexcenter (CSF) jl Kuningan Barat no 8 Jakarta 12710"/>
    <s v="Bank Mizuho Menara Astra Jl Jend Sudirman Kav 5-6, Rt.9/Rw.4, Gondangdia, Menteng, Sudirman, Jakarta Pusat, DKI Jakarta "/>
    <s v="Sewa Bulanan"/>
    <s v="Interkoneksi"/>
    <s v="PA/RLK/2201/0094"/>
    <s v="110120211171 / 01000190070"/>
    <n v="0.995"/>
    <s v="Metronet"/>
    <s v="150 Mbps"/>
    <m/>
    <n v="556800000"/>
    <m/>
    <m/>
    <n v="352800000"/>
    <m/>
    <d v="2025-07-22T00:00:00"/>
    <d v="2026-07-21T00:00:00"/>
    <x v="1"/>
    <m/>
    <d v="2025-12-24T00:00:00"/>
    <n v="209"/>
    <n v="7"/>
    <n v="2026"/>
    <s v="4073/SPP/SBU/PLNICONPLUS/2024 | 4500023319"/>
    <s v="7962/SPP/SBU/PLNICONPLUS/2025"/>
    <n v="4500026242"/>
    <s v="Syifa Artianingsih"/>
    <s v="Kharisma"/>
    <s v="Fenny"/>
    <m/>
    <m/>
    <m/>
    <m/>
    <m/>
    <m/>
    <m/>
    <m/>
    <n v="305"/>
    <m/>
  </r>
  <r>
    <n v="2735"/>
    <s v="BIT Teknologi Nusantara"/>
    <s v="PT NTT Indonesia qq Bank Mizuho (MMR - Cyber) "/>
    <m/>
    <x v="1"/>
    <s v="NTT Nexcenter (CSF) jl Kuningan Barat no 8 Jakarta 12710"/>
    <s v="Bank Mizuho Menara Astra Jl Jend Sudirman Kav 5-6, Rt.9/Rw.4, Gondangdia, Menteng, Sudirman, Jakarta Pusat, DKI Jakarta "/>
    <s v="Sewa Bulanan"/>
    <s v="Interkoneksi"/>
    <s v="PA/RLK/2201/0094"/>
    <s v="110120211171 / 01000190070"/>
    <n v="0.995"/>
    <s v="Metronet"/>
    <s v="150 Mbps"/>
    <m/>
    <m/>
    <m/>
    <m/>
    <n v="120000000"/>
    <m/>
    <d v="2025-07-22T00:00:00"/>
    <d v="2026-07-21T00:00:00"/>
    <x v="1"/>
    <m/>
    <d v="2025-12-24T00:00:00"/>
    <n v="209"/>
    <n v="7"/>
    <n v="2026"/>
    <s v="4074/SPP/SBU/PLNICONPLUS/2024 | 4500023318"/>
    <s v="7656/SPP/SBU/PLNICONPLUS/2025"/>
    <n v="4500025966"/>
    <s v="Syifa Artianingsih"/>
    <s v="Kharisma"/>
    <s v="Fenny"/>
    <m/>
    <m/>
    <m/>
    <m/>
    <m/>
    <m/>
    <m/>
    <m/>
    <n v="307"/>
    <m/>
  </r>
  <r>
    <n v="2736"/>
    <s v="BIT Teknologi Nusantara"/>
    <s v="PT Tanjungenim Lestari Pulp and Paper (MMR - Tenant)"/>
    <m/>
    <x v="1"/>
    <s v="Desa Niru Tebat Agung, Kec.Rambang Dangku, Kab, Muara Enim, Sumatera Selatan, 31172, Indonesia"/>
    <s v="MENARA ASTRA LT. 20. L. JENDERAL SUDIRMAN NO.KAVLING 5, RW.6, KARET TENGSIN, KECAMATAN TANAH ABANG, KOTA JAKARTA PUSAT, DAERAH KHUSUS IBUKOTA JAKARTA 10220"/>
    <s v="Sewa Bulanan"/>
    <s v="Interkoneksi"/>
    <s v="U211205000043"/>
    <s v="090000320321805"/>
    <n v="0.995"/>
    <s v="IPVPN"/>
    <s v="25 Mbps"/>
    <m/>
    <n v="744000000"/>
    <m/>
    <m/>
    <n v="147000000"/>
    <m/>
    <d v="2025-08-12T00:00:00"/>
    <d v="2027-08-11T00:00:00"/>
    <x v="1"/>
    <m/>
    <d v="2025-12-24T00:00:00"/>
    <n v="595"/>
    <n v="8"/>
    <n v="2027"/>
    <s v="813/SPP/SBU/ICON+/2023 | 4500020944 &amp; 4500021520"/>
    <s v="7655/SPP/SBU/PLNICONPLUS/2025"/>
    <n v="4500025965"/>
    <s v="Syifa Artianingsih"/>
    <m/>
    <s v="Fenny"/>
    <m/>
    <m/>
    <m/>
    <m/>
    <m/>
    <m/>
    <m/>
    <m/>
    <n v="250"/>
    <m/>
  </r>
  <r>
    <n v="2737"/>
    <s v="BIT Teknologi Nusantara"/>
    <s v="PT Tanjungenim Lestari Pulp and Paper (MMR - Cyber)"/>
    <m/>
    <x v="1"/>
    <s v="Desa Niru Tebat Agung, Kec.Rambang Dangku, Kab, Muara Enim, Sumatera Selatan, 31172, Indonesia"/>
    <s v="MENARA ASTRA LT. 20. L. JENDERAL SUDIRMAN NO.KAVLING 5, RW.6, KARET TENGSIN, KECAMATAN TANAH ABANG, KOTA JAKARTA PUSAT, DAERAH KHUSUS IBUKOTA JAKARTA 10220"/>
    <s v="Sewa Bulanan"/>
    <s v="Interkoneksi"/>
    <s v="U211205000043"/>
    <s v="090000320321805"/>
    <n v="0.995"/>
    <s v="IPVPN"/>
    <s v="25 Mbps"/>
    <m/>
    <m/>
    <m/>
    <m/>
    <n v="144000000"/>
    <m/>
    <d v="2025-08-12T00:00:00"/>
    <d v="2027-08-11T00:00:00"/>
    <x v="1"/>
    <m/>
    <d v="2025-12-24T00:00:00"/>
    <n v="595"/>
    <n v="8"/>
    <n v="2027"/>
    <s v="931/SPP/SBU/ICON+/2023 | 4500021130"/>
    <s v="7650/SPP/SBU/PLNICONPLUS/2025"/>
    <n v="4500026070"/>
    <s v="Syifa Artianingsih"/>
    <m/>
    <s v="Fenny"/>
    <m/>
    <m/>
    <m/>
    <m/>
    <m/>
    <m/>
    <m/>
    <m/>
    <n v="306"/>
    <m/>
  </r>
  <r>
    <n v="2738"/>
    <s v="BIT Teknologi Nusantara"/>
    <s v="PT Astra International TBK Lokasi T152 #Cyber"/>
    <m/>
    <x v="1"/>
    <s v="PT Astra International Gd. Amdi A JL. Gaya Motor Raya No.8 Sunter II (Backhaul), Indonesia"/>
    <s v="T152 -TSO Sudirman Menara Astra, Gedung Astra Tower, Lt 01-02, Jln. Jend. Sudirman Kav 5-6, Sudirman, Jakarta Pusat, DKI Jakarta, Indonesia"/>
    <s v="Sewa Bulanan"/>
    <s v="Interkoneksi"/>
    <s v="PA/UPG/2209/0126"/>
    <s v="01000045514 / 110120200462"/>
    <s v="99,50%"/>
    <s v="Metronet"/>
    <s v="3 Mbps"/>
    <m/>
    <n v="57600000"/>
    <m/>
    <m/>
    <n v="4620000"/>
    <m/>
    <d v="2025-10-10T00:00:00"/>
    <d v="2026-10-09T00:00:00"/>
    <x v="1"/>
    <m/>
    <d v="2025-12-24T00:00:00"/>
    <n v="289"/>
    <n v="10"/>
    <n v="2025"/>
    <s v="3839/SPP/SBU/PLNICONPLUS/2024 | 4500023084"/>
    <s v="8042/SPP/SBU/PLNICONPLUS/2025"/>
    <n v="4500026338"/>
    <s v="Syifa Artianingsih"/>
    <m/>
    <s v="Fenny"/>
    <m/>
    <m/>
    <m/>
    <m/>
    <m/>
    <m/>
    <m/>
    <m/>
    <n v="340"/>
    <m/>
  </r>
  <r>
    <n v="2739"/>
    <s v="BIT Teknologi Nusantara"/>
    <s v="PT Astra International TBK Lokasi T152 #Tenant"/>
    <m/>
    <x v="1"/>
    <s v="PT. Astra International Gd. Amdi A JL. Gaya Motor Raya No.8 Sunter II (Backhaul), Indonesia"/>
    <s v="t152 - TSO Sudirman Menara Astra, Gedung Astra Tower, Lt 01-02, Jln. Jend. Sudirman Kav 5-6, Sudirman, Jakarta Pusat, DKI Jakarta, Indonesia"/>
    <s v="Sewa Bulanan"/>
    <s v="Interkoneksi"/>
    <s v="PA/UPG/2209/0126"/>
    <s v="01000045514 / 110120200462"/>
    <s v="99,50%"/>
    <s v="Metronet"/>
    <s v="3 Mbps"/>
    <m/>
    <m/>
    <m/>
    <m/>
    <n v="11340000"/>
    <m/>
    <d v="2025-10-01T00:00:00"/>
    <d v="2026-09-30T00:00:00"/>
    <x v="1"/>
    <m/>
    <d v="2025-12-24T00:00:00"/>
    <n v="280"/>
    <n v="9"/>
    <n v="2025"/>
    <s v="3837/SPP/SBU/PLNICONPLUS/2024 | 4500023085"/>
    <s v="3837/SPP/SBU/PLNICONPLUS/2024"/>
    <n v="4500026339"/>
    <s v="Syifa Artianingsih"/>
    <m/>
    <s v="Fenny"/>
    <m/>
    <m/>
    <m/>
    <m/>
    <m/>
    <m/>
    <m/>
    <m/>
    <n v="343"/>
    <m/>
  </r>
  <r>
    <n v="2740"/>
    <s v="Telkom Data Ekosistem"/>
    <s v="PT Bank Nagari"/>
    <s v="German Centre Building 3rd and 5th floor Jl. Kapt. Subijanto DJ Bumi Serpong Damai"/>
    <x v="1"/>
    <m/>
    <s v="DRC TELKOM SIGMA BUMI SERPONG DAMAI, JALAN KAPTEN SUBIJANT"/>
    <s v="Sewa Tahunan"/>
    <s v="Cross Connect"/>
    <s v="A111205014260"/>
    <m/>
    <m/>
    <s v="IPVPN"/>
    <s v="1 Mbps"/>
    <n v="4000000"/>
    <n v="128200000"/>
    <m/>
    <n v="6000000"/>
    <n v="27600000"/>
    <m/>
    <d v="2025-09-29T00:00:00"/>
    <d v="2026-09-28T00:00:00"/>
    <x v="1"/>
    <m/>
    <d v="2025-12-01T00:00:00"/>
    <n v="301"/>
    <n v="9"/>
    <n v="2026"/>
    <m/>
    <s v="8084/SPP/SBU/PLNICONPLUS/2025"/>
    <n v="4500026317"/>
    <s v="Syifa Fauziyah"/>
    <m/>
    <s v="Yudhi Sukma"/>
    <m/>
    <m/>
    <m/>
    <m/>
    <m/>
    <m/>
    <m/>
    <m/>
    <n v="275"/>
    <m/>
  </r>
  <r>
    <n v="2741"/>
    <s v="Infrastruktur Cakrawala Telekomunikasi"/>
    <s v="PT Jaya Refrigeration Equipment"/>
    <m/>
    <x v="1"/>
    <m/>
    <s v="KAWASAN INDUSTRI JABABEKA JL. JABABEKA IX B BLOK Q2, WANGUNHARJA, CIKARANG UTARA, KABUPATEN BEKASI, JAWA BARAT, INDONESIA, 17530       "/>
    <s v="Sewa Tahunan"/>
    <s v="Cross Connect"/>
    <s v="U111303008096"/>
    <s v="111202022694"/>
    <m/>
    <s v="Internet Corporate"/>
    <s v="50 Mbps"/>
    <m/>
    <n v="27810000"/>
    <m/>
    <m/>
    <n v="6239580"/>
    <m/>
    <d v="2025-10-18T00:00:00"/>
    <d v="2025-12-31T00:00:00"/>
    <x v="1"/>
    <m/>
    <d v="2025-10-25T00:00:00"/>
    <n v="67"/>
    <n v="9"/>
    <n v="2025"/>
    <m/>
    <s v="8129/SPP/SBU/PLNICONPLUS/2025"/>
    <n v="4500026316"/>
    <s v="Syifa Fauziyah"/>
    <m/>
    <s v="aksho"/>
    <m/>
    <m/>
    <m/>
    <m/>
    <m/>
    <m/>
    <m/>
    <m/>
    <n v="276"/>
    <m/>
  </r>
  <r>
    <n v="2742"/>
    <s v="DCI Indonesia"/>
    <s v="PT Adira Dinamika Multifinance"/>
    <s v="Equity Tower 17th floor suite F SCBD lot Jl Jend Sudirman Kav 52-53 Jakarta 12196"/>
    <x v="1"/>
    <s v="PT DCI INDONESIA  Jalan Jawa Blok GG-5-1. Kawasan Industri MM 2100,  Cikarang,  Kota Bekasi,  Jawa Barat,  Indonesia,  17520"/>
    <s v="Kota Bekasi,  Jawa Barat,  Indonesia,  "/>
    <s v="Sewa Tahunan"/>
    <s v="Cross Connect"/>
    <s v="AL/2103/12970"/>
    <s v="110120508838 / 01000022279"/>
    <m/>
    <s v="IPVPN"/>
    <s v="30 Mbps"/>
    <m/>
    <n v="240000000"/>
    <m/>
    <m/>
    <n v="36000000"/>
    <m/>
    <d v="2025-09-01T00:00:00"/>
    <d v="2026-08-31T00:00:00"/>
    <x v="1"/>
    <m/>
    <d v="2025-12-24T00:00:00"/>
    <n v="250"/>
    <n v="8"/>
    <n v="2026"/>
    <s v="3861/SPP/SBU/PLNICONPLUS/2024 | 4500023104"/>
    <s v="7818/SPP/SBU/PLNICONPLUS/2025"/>
    <s v="4500026286"/>
    <s v="Livia Indraswati"/>
    <s v="Asima"/>
    <m/>
    <m/>
    <m/>
    <m/>
    <m/>
    <m/>
    <m/>
    <m/>
    <m/>
    <n v="328"/>
    <m/>
  </r>
  <r>
    <n v="2743"/>
    <s v="DCI Indonesia"/>
    <s v="PT Digital Karyaloka Nusantara"/>
    <s v="Equity Tower 17th floor suite F SCBD lot Jl Jend Sudirman Kav 52-53 Jakarta 12196"/>
    <x v="1"/>
    <s v="DCI Cibitung Jl. Halmahera No.1, Danau Indah, Kec. Cikarang Bar. Kabupaten Bekasi, Jawa Barat 17530"/>
    <s v="BNI DC Slipi Jl. Anggrek Neli Murni VI No.14, RT.13/RW.1, Kemanggisan, Kec. Palmerah, Kota Jakarta Barat, Daerah Khusus Ibukota Jakarta 11480"/>
    <s v="Sewa Tahunan"/>
    <s v="Cross Connect"/>
    <s v="A821205000211 "/>
    <m/>
    <m/>
    <s v="IPVPN"/>
    <s v="2 Mbps"/>
    <m/>
    <n v="54000000"/>
    <m/>
    <m/>
    <n v="36000000"/>
    <m/>
    <d v="2025-10-06T00:00:00"/>
    <d v="2026-10-05T00:00:00"/>
    <x v="1"/>
    <m/>
    <d v="2025-12-24T00:00:00"/>
    <n v="285"/>
    <n v="10"/>
    <n v="2026"/>
    <s v="4616/SPP/SBU/PLNICONPLUS/2024 | 4500023970"/>
    <s v="7968/SPP/SBU/PLNICONPLUS/2025"/>
    <s v="4500026287"/>
    <s v="Livia Indraswati"/>
    <s v="Asima"/>
    <m/>
    <m/>
    <m/>
    <m/>
    <m/>
    <m/>
    <m/>
    <m/>
    <m/>
    <n v="329"/>
    <m/>
  </r>
  <r>
    <n v="2744"/>
    <s v="DCI Indonesia"/>
    <s v="PT Magna Karsa Mulya"/>
    <s v="Equity Tower 17th floor suite F SCBD lot Jl Jend Sudirman Kav 52-53 Jakarta 12196"/>
    <x v="1"/>
    <s v="DCI Indonesia. Rack Magna. MM2100 Industrial Town. Jl. Irian 1 Blok GG5-1 Cikarang Barat, 17520"/>
    <s v="DC PLN Gandul, Jl Raya PLN Ehave, Gandul-Limo, Cinere Depok"/>
    <s v="Sewa Tahunan"/>
    <s v="Cross Connect"/>
    <m/>
    <s v="0990000320478064_x000a_'0990000320478063"/>
    <m/>
    <s v="Metronet"/>
    <s v="5 Mbps"/>
    <m/>
    <n v="120000000"/>
    <m/>
    <m/>
    <n v="18000000"/>
    <m/>
    <d v="2025-10-20T00:00:00"/>
    <d v="2026-10-19T00:00:00"/>
    <x v="1"/>
    <m/>
    <d v="2025-12-24T00:00:00"/>
    <n v="299"/>
    <n v="10"/>
    <n v="2026"/>
    <s v="4886/SPP/SBU/PLNICONPLUS/2024 | 4500023993"/>
    <s v="8044/SPP/SBU/PLNICONPLUS/2025"/>
    <s v="4500026288"/>
    <s v="Livia Indraswati"/>
    <s v="Asima"/>
    <m/>
    <m/>
    <m/>
    <m/>
    <m/>
    <m/>
    <m/>
    <m/>
    <m/>
    <n v="330"/>
    <m/>
  </r>
  <r>
    <n v="2745"/>
    <s v="DCI Indonesia"/>
    <s v="PT Jatelindo Perkasa Abadi"/>
    <s v="Equity Tower 17th floor suite F SCBD lot Jl Jend Sudirman Kav 52-53 Jakarta 12196"/>
    <x v="1"/>
    <s v="PLN TRUNOJOYO BLOK M   "/>
    <s v="PT DCI INDONESIA. RACK JATELINDO. MM2100 INDUSTRIAL TOWN. JL. IRIAN 1 BLOK GG5-1 CIKARANG BARAT, 17520,- ,- ,- ,INDONESIA ,-            "/>
    <s v="Sewa Tahunan"/>
    <s v="Cross Connect"/>
    <m/>
    <s v="110120203483"/>
    <m/>
    <s v="Metronet"/>
    <s v="100 Mbps"/>
    <m/>
    <n v="120000000"/>
    <m/>
    <m/>
    <n v="18000000"/>
    <m/>
    <d v="2025-11-12T00:00:00"/>
    <d v="2026-11-11T00:00:00"/>
    <x v="1"/>
    <m/>
    <d v="2025-12-24T00:00:00"/>
    <n v="322"/>
    <n v="11"/>
    <n v="2026"/>
    <s v="4798/SPP/SBU/PLNICONPLUS/2024 | 4500023803"/>
    <s v="8206/SPP/SBU/PLNICONPLUS/2025"/>
    <n v="4500026518"/>
    <s v="Livia Indraswati"/>
    <s v="Asima"/>
    <m/>
    <m/>
    <m/>
    <m/>
    <m/>
    <m/>
    <m/>
    <m/>
    <m/>
    <n v="354"/>
    <m/>
  </r>
  <r>
    <n v="2746"/>
    <s v="DCI Indonesia"/>
    <s v="Join All Customer"/>
    <s v="Equity Tower 17th floor suite F SCBD lot Jl Jend Sudirman Kav 52-53 Jakarta 12196"/>
    <x v="1"/>
    <m/>
    <s v="Jl. Halmahera No.1, Danau Indah, Kec. Cikarang Bar, Kabupaten Bekasi, Jawa Barat, Indonesia, 17530."/>
    <s v="Sewa Tahunan"/>
    <s v="Cross Connect"/>
    <s v="PA/ACT/1808/0070_x000a_'PA/ACT/1808/0071_x000a_'PA/ACT/2002/2527_x000a_'PA/UPG/1804/0439"/>
    <s v="110120503078_x000a_'110120503075_x000a_'110120203498 / 01000076040_x000a_'01000029852_x000a_'110120203483_x000a_'04000171469_x000a_'01000006696_x000a_'0990000320467445"/>
    <m/>
    <s v="IPVPN"/>
    <s v="2 Mbps"/>
    <m/>
    <n v="1605600000"/>
    <m/>
    <m/>
    <n v="156000000"/>
    <m/>
    <d v="2025-09-07T00:00:00"/>
    <d v="2026-09-06T00:00:00"/>
    <x v="1"/>
    <m/>
    <d v="2025-12-24T00:00:00"/>
    <n v="256"/>
    <n v="9"/>
    <n v="2026"/>
    <s v="4529/SPP/SBU/PLNICONPLUS/2024 | 4500023551"/>
    <s v="8203/SPP/SBU/PLNICONPLUS/2025"/>
    <n v="4500026520"/>
    <s v="Livia Indraswati"/>
    <s v="Asima"/>
    <m/>
    <m/>
    <m/>
    <m/>
    <m/>
    <m/>
    <m/>
    <m/>
    <m/>
    <n v="353"/>
    <m/>
  </r>
  <r>
    <n v="2747"/>
    <s v="Indointernet"/>
    <s v="PT Bank BCA Syariah"/>
    <s v="Rumah Indonet. Jl.Rempoa Raya No. 11 Ciputat. Tangerang Selatan – Banten 15412"/>
    <x v="1"/>
    <s v="(OPEN PORT) DRC IPVPN JL. REMPOA RAYA NO. 11, CIPUTAT TIMUR, KOTA TANGERANG SELATAN, BANTEN, INDONESIA, 15412"/>
    <s v="Kota Tangerang Selatan, Banten, Indonesia"/>
    <s v="Sewa Tahunan"/>
    <s v="Cross Connect"/>
    <m/>
    <s v="110120500876"/>
    <m/>
    <s v="IPVPN"/>
    <s v="6 Mbps"/>
    <m/>
    <n v="62400000"/>
    <m/>
    <m/>
    <n v="12000000"/>
    <m/>
    <d v="2025-10-07T00:00:00"/>
    <d v="2026-10-06T00:00:00"/>
    <x v="1"/>
    <m/>
    <d v="2025-12-24T00:00:00"/>
    <n v="286"/>
    <n v="10"/>
    <n v="2026"/>
    <s v="5174/SPP/SBU/PLNICONPLUS/2024 | 4500024145"/>
    <s v="8200/SPP/SBU/PLNICONPLUS/2025"/>
    <n v="4500026364"/>
    <s v="Livia Indraswati"/>
    <m/>
    <s v="Supriatin"/>
    <m/>
    <m/>
    <m/>
    <m/>
    <m/>
    <m/>
    <m/>
    <m/>
    <n v="327"/>
    <m/>
  </r>
  <r>
    <n v="2748"/>
    <s v="Indointernet"/>
    <s v="PT Bank BCA Syariah"/>
    <s v="Rumah Indonet. Jl.Rempoa Raya No. 11 Ciputat. Tangerang Selatan – Banten 15412"/>
    <x v="1"/>
    <s v="(BACKHAUL REDUNDANT) RUMAH INDONET,JL. REMPOA RAYA NO.11, RT.6/RW.3, REMPOA, KEC. CIPUTAT TIM., KOTA TANGERANG SELATAN, BANTEN 15412"/>
    <s v="RUMAH INDONET,JL. REMPOA RAYA NO.11, RT.6/RW.3, REMPOA, KEC. CIPUTAT TIM., KOTA TANGERANG SELATAN, BANTEN 15412"/>
    <s v="Sewa Tahunan"/>
    <s v="Cross Connect"/>
    <s v="A111202005586"/>
    <m/>
    <m/>
    <s v="IPVPN"/>
    <s v="20 Mbps"/>
    <m/>
    <n v="0"/>
    <m/>
    <m/>
    <n v="12000000"/>
    <m/>
    <d v="2025-10-17T00:00:00"/>
    <d v="2026-10-16T00:00:00"/>
    <x v="1"/>
    <m/>
    <d v="2025-12-24T00:00:00"/>
    <n v="296"/>
    <n v="10"/>
    <n v="2026"/>
    <s v="4719/SPP/SBU/PLNICONPLUS/2024 | 4500023734"/>
    <s v="8201/SPP/SBU/PLNICONPLUS/2025"/>
    <n v="4500026365"/>
    <s v="Livia Indraswati"/>
    <m/>
    <s v="Supriatin"/>
    <m/>
    <m/>
    <m/>
    <m/>
    <m/>
    <m/>
    <m/>
    <m/>
    <n v="326"/>
    <m/>
  </r>
  <r>
    <n v="2749"/>
    <s v="Telkom Data Ekosistem"/>
    <s v="PT Bank Woori Saudara"/>
    <s v="German Centre Building 3rd and 5th floor Jl. Kapt. Subijanto DJ Bumi Serpong Damai"/>
    <x v="1"/>
    <s v="JL. DIPONEGORO NO.28, CITARUM, KEC. BANDUNG WETAN, KOTA BANDUNG, JAWA BARAT, INDONESIA, 40115"/>
    <s v="GEDUNG SIGMA GERMAN CENTER - BSD TANGGERANG LANTAI 6, PAGEDANGAN, KABUPATEN TANGERANG, BANTEN, INDONESIA, 15339"/>
    <s v="Sewa Tahunan"/>
    <s v="Cross Connect"/>
    <s v="PA/ACT/2212/1831"/>
    <m/>
    <m/>
    <s v="Metronet"/>
    <s v="100 Mbps"/>
    <m/>
    <n v="300000000"/>
    <m/>
    <m/>
    <n v="12000000"/>
    <m/>
    <d v="2024-05-24T00:00:00"/>
    <d v="2026-05-23T00:00:00"/>
    <x v="1"/>
    <m/>
    <d v="2025-10-25T00:00:00"/>
    <n v="210"/>
    <n v="9"/>
    <n v="2026"/>
    <s v="21331/SPP/008/PUSAT/ICON+/2023 | 4500020164"/>
    <s v="7807/SPP/SBU/PLNICONPLUS/2025"/>
    <n v="4500026292"/>
    <s v="Livia Indraswati"/>
    <m/>
    <s v="Yudhi Sukma"/>
    <m/>
    <m/>
    <m/>
    <m/>
    <m/>
    <m/>
    <m/>
    <m/>
    <n v="332"/>
    <m/>
  </r>
  <r>
    <n v="2750"/>
    <s v="Telkom Data Ekosistem"/>
    <s v="PT Bank Pembangunan Daerah Jawa Timur"/>
    <s v="German Centre Building 3rd and 5th floor Jl. Kapt. Subijanto DJ Bumi Serpong Damai"/>
    <x v="2"/>
    <s v="Gedung German Center Lantai 3 Jl Kapt Subijanto Dj. Bumi Serpong Damai, Tangerang 15231"/>
    <s v="Gedung Sigma Lantai 3 Ciputra - Surabaya"/>
    <s v="Sewa Tahunan"/>
    <s v="Cross Connect"/>
    <s v="PA/ACT/2209/3781/ORI"/>
    <m/>
    <m/>
    <s v="Metronet"/>
    <s v="2 Gbps"/>
    <m/>
    <n v="540000000"/>
    <m/>
    <m/>
    <n v="14400000"/>
    <m/>
    <d v="2023-11-14T00:00:00"/>
    <d v="2025-11-13T00:00:00"/>
    <x v="1"/>
    <m/>
    <d v="2025-10-25T00:00:00"/>
    <n v="19"/>
    <n v="9"/>
    <n v="2025"/>
    <s v="20480/SPP/008/PUSAT/ICON+/2022 | 4500019381"/>
    <s v="7817/SPP/SBU/PLNICONPLUS/2025"/>
    <n v="4500026291"/>
    <s v="Livia Indraswati"/>
    <m/>
    <s v="Yudhi Sukma"/>
    <m/>
    <m/>
    <m/>
    <m/>
    <m/>
    <m/>
    <m/>
    <m/>
    <n v="333"/>
    <m/>
  </r>
  <r>
    <n v="2751"/>
    <s v="Telkom Data Ekosistem"/>
    <s v="PT Telekomunikasi Seluler"/>
    <s v="German Centre Building 3rd and 5th floor Jl. Kapt. Subijanto DJ Bumi Serpong Damai"/>
    <x v="1"/>
    <m/>
    <s v="DC Sentul"/>
    <s v="Sewa Tahunan"/>
    <s v="Cross Connect"/>
    <s v="A111204000238"/>
    <m/>
    <m/>
    <s v="Kapasitas Besar"/>
    <s v="1 Gbps"/>
    <m/>
    <n v="225000000"/>
    <m/>
    <m/>
    <n v="6000000"/>
    <m/>
    <d v="2025-10-10T00:00:00"/>
    <d v="2026-10-09T00:00:00"/>
    <x v="1"/>
    <m/>
    <d v="2025-10-25T00:00:00"/>
    <n v="349"/>
    <n v="9"/>
    <n v="2026"/>
    <s v="4720/SPP/SBU/PLNICONPLUS/2024 | 4500025084"/>
    <s v="7952/SPP/SBU/PLNICONPLUS/2025"/>
    <n v="4500026290"/>
    <s v="Livia Indraswati"/>
    <m/>
    <s v="Yudhi Sukma"/>
    <m/>
    <m/>
    <m/>
    <m/>
    <m/>
    <m/>
    <m/>
    <m/>
    <n v="334"/>
    <m/>
  </r>
  <r>
    <n v="2752"/>
    <s v="Telkom Data Ekosistem"/>
    <s v="PT Telekomunikasi Indonesia International"/>
    <s v="German Centre Building 3rd and 5th floor Jl. Kapt. Subijanto DJ Bumi Serpong Damai"/>
    <x v="1"/>
    <m/>
    <s v="GERMAN CENTER LANTAI 3 TIMUR DATA CENTER TELKOM SIGMA DJ, BUMI SERPONG DAMAI, JALAN KAPTEN SUBIJANTO, LENGKONG GUDANG,  KEC. SERPONG, KOTA TANGERANG SELATAN BANTEN 15321 "/>
    <s v="Sewa Tahunan"/>
    <s v="Cross Connect"/>
    <s v="A111202006032"/>
    <m/>
    <m/>
    <s v="Metronet"/>
    <s v=" 2 Mbps"/>
    <m/>
    <n v="148800000"/>
    <m/>
    <m/>
    <n v="18000000"/>
    <m/>
    <d v="2025-10-17T00:00:00"/>
    <d v="2026-10-16T00:00:00"/>
    <x v="1"/>
    <m/>
    <d v="2025-10-25T00:00:00"/>
    <n v="356"/>
    <n v="9"/>
    <n v="2026"/>
    <s v="4832/SPP/SBU/PLNICONPLUS/2024 | 4500023857"/>
    <s v="7924/SPP/SBU/PLNICONPLUS/2025"/>
    <n v="4500026289"/>
    <s v="Livia Indraswati"/>
    <m/>
    <s v="Yudhi Sukma"/>
    <m/>
    <m/>
    <m/>
    <m/>
    <m/>
    <m/>
    <m/>
    <m/>
    <n v="335"/>
    <m/>
  </r>
  <r>
    <n v="2753"/>
    <s v="Acarya Multindo Perkasa"/>
    <s v="PT Mitra Pajakku"/>
    <m/>
    <x v="1"/>
    <m/>
    <s v="JL. MEDAN MERDEKA TIM., RT.6/RW.1, GAMBIR, KECAMATAN GAMBIR, KOTA JAKARTA PUSAT, DAERAH KHUSUS IBUKOTA JAKARTA 10110_x000a_ JL. KEMANGGISAN UTAMA RAYA NO.J4, RT.10/RW.6, KEMANGGISAN, KEC. PALMERAH, KOTA JAKARTA BARAT, DAERAH KHUSUS IBUKOTA JAKARTA 11480, INDONESIA"/>
    <s v="Sewa Tahunan"/>
    <s v="Colocation"/>
    <s v="A111202000736_x000a_A111303002516"/>
    <m/>
    <m/>
    <s v="Metronet"/>
    <s v="25 Mbps"/>
    <m/>
    <n v="127200000"/>
    <m/>
    <m/>
    <n v="24000000"/>
    <m/>
    <d v="2025-08-15T00:00:00"/>
    <d v="2026-08-14T00:00:00"/>
    <x v="1"/>
    <m/>
    <d v="2025-10-25T00:00:00"/>
    <n v="293"/>
    <n v="9"/>
    <n v="2026"/>
    <s v="4638/SPP/SBU/PLNICONPLUS/2024 | 4500023703"/>
    <s v="7722/SPP/SBU/PLNICONPLUS/2025"/>
    <n v="4500026260"/>
    <s v="Livia Indraswati"/>
    <m/>
    <s v="Wahyu"/>
    <m/>
    <m/>
    <m/>
    <m/>
    <m/>
    <m/>
    <m/>
    <m/>
    <n v="320"/>
    <m/>
  </r>
  <r>
    <n v="2754"/>
    <s v="Samudera Data Indonesia"/>
    <s v="PT Telekomunikasi Indonesia International"/>
    <m/>
    <x v="1"/>
    <s v="CYBER 1 LT. 3, NNI / TRUNK"/>
    <s v="Jl. Jatitujuh, Jatitengah, Kec. Jatitujuh, Kabupaten Majalengka, Jawa Barat 45458, Majalengka, Indonesia"/>
    <s v="Sewa Tahunan"/>
    <s v="Colocation"/>
    <s v="A111202007568"/>
    <m/>
    <m/>
    <s v="Internet Corporate"/>
    <s v="8 Mbps"/>
    <m/>
    <n v="29064000"/>
    <m/>
    <m/>
    <n v="25200000"/>
    <m/>
    <d v="2025-07-01T00:00:00"/>
    <d v="2026-08-31T00:00:00"/>
    <x v="1"/>
    <m/>
    <d v="2025-12-24T00:00:00"/>
    <n v="250"/>
    <n v="8"/>
    <n v="2026"/>
    <s v="4337/SPP/SBU/PLNICONPLUS/2024 | 4500023722"/>
    <s v="7991/SPP/SBU/PLNICONPLUS/2025"/>
    <s v="45000"/>
    <s v="Fajar Paramita"/>
    <m/>
    <s v="Kania"/>
    <m/>
    <m/>
    <m/>
    <m/>
    <m/>
    <m/>
    <m/>
    <m/>
    <n v="317"/>
    <m/>
  </r>
  <r>
    <n v="2755"/>
    <s v="NTT Indonesia"/>
    <s v="PT Asuransi Umum BCA"/>
    <s v="Wisma 46 Kota BNI Lt. 5, Jl. Jend. Sudirman, Tanah Abang, Kota Jak Pusat, Daerah Khusus Ibukota Jak 10250, Indonesia"/>
    <x v="0"/>
    <s v="JL. LETJEN S. PARMAN, RT.4/RW.9, KOTA BAMBU SEL., KEC. PALMERAH, PALMERAH, JAKARTA BARAT, DKI JAKARTA, INDONESIA,"/>
    <s v="JL. KUNINGAN BARAT RAYA NO.8, RT.1/RW.3, KEC. MAMPANG PRAPATAN, KUNINGAN BARAT, JAKARTA SELATAN, DKI JAKARTA, INDONESIA,"/>
    <s v="Sewa Tahunan"/>
    <s v="Cross Connect"/>
    <s v="PA/ACT/2108/0015"/>
    <m/>
    <m/>
    <s v="IPVPN"/>
    <s v="5 Mbps"/>
    <m/>
    <n v="60000000"/>
    <m/>
    <m/>
    <n v="12000000"/>
    <m/>
    <d v="2022-09-03T00:00:00"/>
    <d v="2025-10-02T00:00:00"/>
    <x v="2"/>
    <m/>
    <d v="2025-12-24T00:00:00"/>
    <n v="-83"/>
    <n v="10"/>
    <n v="2025"/>
    <s v="16593/SPP/008/PUSAT/ICON+/2021 | 4500025853"/>
    <s v="8023/SPP/SBU/PLNICONPLUS/2025"/>
    <s v="4500026307"/>
    <s v="Livia Indraswati"/>
    <s v="Iffa"/>
    <m/>
    <m/>
    <m/>
    <m/>
    <m/>
    <m/>
    <m/>
    <m/>
    <m/>
    <m/>
    <m/>
  </r>
  <r>
    <n v="2756"/>
    <s v="Duta Parahyangan Lestari"/>
    <s v="PT BCA Syariah"/>
    <m/>
    <x v="1"/>
    <m/>
    <s v="Menara Citibank Lantai 1, Jalan Metro Pondok Indah Kav II BA No 2, Jakarta Selatan"/>
    <s v="Sewa Tahunan"/>
    <s v="Colocation"/>
    <s v="PA/ACT/2004/1362/TER"/>
    <s v="110120202383 / 01000114483 "/>
    <m/>
    <s v="Metronet"/>
    <s v="5 Mbps"/>
    <m/>
    <n v="60000000"/>
    <m/>
    <m/>
    <n v="30000000"/>
    <m/>
    <d v="2025-09-15T00:00:00"/>
    <d v="2026-09-14T00:00:00"/>
    <x v="1"/>
    <m/>
    <d v="2025-12-24T00:00:00"/>
    <n v="264"/>
    <n v="9"/>
    <n v="2026"/>
    <s v="4530/SPP/SBU/PLNICONPLUS/2024 | 4500023594"/>
    <s v="8063/SPP/SBU/PLNICONPLUS/2025"/>
    <n v="4500026318"/>
    <s v="Livia Indraswati"/>
    <m/>
    <s v="Alfi"/>
    <m/>
    <m/>
    <m/>
    <m/>
    <m/>
    <m/>
    <m/>
    <m/>
    <n v="324"/>
    <m/>
  </r>
  <r>
    <n v="2757"/>
    <s v="Kelola Graha Vinilon"/>
    <s v="PT Bank Central Asia Tbk"/>
    <m/>
    <x v="1"/>
    <m/>
    <s v="Gedung Vinilon Jl. Raden Saleh No. 13-17 Kenari Jakarta Pusat (Bank BCA)"/>
    <s v="Sewa Tahunan"/>
    <s v="Colocation"/>
    <s v="A111205010476 "/>
    <m/>
    <m/>
    <s v="IPVPN"/>
    <s v="6 Mbps"/>
    <m/>
    <n v="48000000"/>
    <m/>
    <m/>
    <n v="11000000"/>
    <m/>
    <d v="2025-12-01T00:00:00"/>
    <d v="2026-11-30T00:00:00"/>
    <x v="1"/>
    <m/>
    <d v="2025-12-24T00:00:00"/>
    <n v="341"/>
    <n v="11"/>
    <n v="2026"/>
    <s v="4797/SPP/SBU/PLNICONPLUS/2024 | 4500023800"/>
    <s v="8202/SPP/SBU/PLNICONPLUS/2025"/>
    <s v="4500026361"/>
    <s v="Livia Indraswati"/>
    <m/>
    <s v="Yunita"/>
    <m/>
    <m/>
    <m/>
    <m/>
    <m/>
    <m/>
    <m/>
    <m/>
    <n v="331"/>
    <m/>
  </r>
  <r>
    <n v="2758"/>
    <s v="Circlecom Nusantara Indonesia"/>
    <s v="PT Bank Central Asia"/>
    <s v="Roof Top Slot B – Fresh Market Building, Jl. Pantai Indah Kapuk No. 30, Jakarta Utara 14470"/>
    <x v="1"/>
    <s v="Menara Wisman Asia Jl. Letjen S. Parman No. Kav 79, RT.4/RW.9, Kota Bambu Sel., Kec. Palmerah, Jakarta Barat"/>
    <s v="BCA KCP Gading Square (GSQ), Ruko MOI, Jl. Boulevard Barat Raya Blok B No. 21-23, Jakarta"/>
    <s v="Sewa Tahunan"/>
    <s v="Colocation"/>
    <s v="ICON-00/SBC/1801/0268"/>
    <n v="111205023555"/>
    <m/>
    <m/>
    <m/>
    <m/>
    <n v="60000000"/>
    <m/>
    <m/>
    <n v="14400000"/>
    <m/>
    <d v="2025-10-11T00:00:00"/>
    <d v="2026-10-10T00:00:00"/>
    <x v="1"/>
    <m/>
    <d v="2025-12-24T00:00:00"/>
    <n v="290"/>
    <n v="10"/>
    <n v="2026"/>
    <s v="4615/SPP/SBU/PLNICONPLUS/2024 | 4500023601"/>
    <s v="8199/SPP/SBU/PLNICONPLUS/2025"/>
    <n v="4500026360"/>
    <s v="Livia Indraswati"/>
    <s v="Halley"/>
    <s v="+62 856-9800-999"/>
    <m/>
    <m/>
    <m/>
    <m/>
    <m/>
    <m/>
    <m/>
    <m/>
    <n v="323"/>
    <m/>
  </r>
  <r>
    <n v="2759"/>
    <s v="Kawasan Berikat Nusantara"/>
    <s v="PT Mastersystem Infotama"/>
    <s v="Lahan Berikat Nusantara SBU Lahan Tanjung Priok Marunda"/>
    <x v="1"/>
    <m/>
    <s v="MARUNDA JETTY, JL. MARUNDA 1 NO.5, RT.1/RW.7, CILINCING, KEC. CILINCING, JKT UTARA, DAERAH KHUSUS IBUKOTA JAKARTA"/>
    <s v="Sewa Tahunan"/>
    <s v="Colocation"/>
    <s v="A811303000054"/>
    <m/>
    <m/>
    <s v="Internet Corporate "/>
    <s v="10 Mbps"/>
    <m/>
    <n v="57951600"/>
    <m/>
    <m/>
    <n v="41343756"/>
    <m/>
    <d v="2025-07-21T00:00:00"/>
    <d v="2026-07-22T00:00:00"/>
    <x v="1"/>
    <m/>
    <d v="2025-12-24T00:00:00"/>
    <n v="210"/>
    <n v="7"/>
    <n v="2026"/>
    <s v="5541/SPP/SBU/PLNICONPLUS/2025 | 4500024440"/>
    <s v="7840/SPP/SBU/PLNICONPLUS/2025"/>
    <s v="45000"/>
    <s v="Livia Indraswati"/>
    <m/>
    <s v="Farida"/>
    <m/>
    <m/>
    <m/>
    <m/>
    <m/>
    <m/>
    <m/>
    <m/>
    <n v="321"/>
    <m/>
  </r>
  <r>
    <n v="2760"/>
    <s v="PT Prospero Realty"/>
    <s v="Join All Customer"/>
    <m/>
    <x v="1"/>
    <m/>
    <s v="Sequis Center Building 9th Floor, Jl. Jend Sudirman Kav. 71 Jakarta, Jakarta Pusat,  DKI Jakarta,  Indonesia,  "/>
    <s v="BAGI HASIL"/>
    <s v="Revenue Sharing"/>
    <m/>
    <m/>
    <m/>
    <m/>
    <m/>
    <m/>
    <m/>
    <m/>
    <m/>
    <m/>
    <n v="0.2"/>
    <d v="2025-10-16T00:00:00"/>
    <d v="2026-10-15T00:00:00"/>
    <x v="1"/>
    <m/>
    <d v="2025-11-10T00:00:00"/>
    <n v="339"/>
    <n v="10"/>
    <n v="2026"/>
    <m/>
    <m/>
    <m/>
    <s v="Syifa Fauziyah"/>
    <s v="Nadia"/>
    <s v="62 895-3758-31182"/>
    <m/>
    <m/>
    <m/>
    <m/>
    <m/>
    <m/>
    <m/>
    <m/>
    <m/>
    <m/>
  </r>
  <r>
    <n v="2761"/>
    <s v="PT Prospero Realty"/>
    <s v="Join All Customer"/>
    <m/>
    <x v="1"/>
    <m/>
    <s v="Sequis Center Building 9th Floor, Jl. Jend Sudirman Kav. 71 Jakarta, Jakarta Pusat,  DKI Jakarta,  Indonesia,  "/>
    <s v="BAGI HASIL"/>
    <s v="Revenue Sharing"/>
    <m/>
    <m/>
    <m/>
    <m/>
    <m/>
    <m/>
    <m/>
    <m/>
    <m/>
    <m/>
    <n v="0.2"/>
    <d v="2026-10-16T00:00:00"/>
    <d v="2027-10-15T00:00:00"/>
    <x v="1"/>
    <m/>
    <d v="2025-11-10T00:00:00"/>
    <n v="704"/>
    <n v="10"/>
    <n v="2027"/>
    <m/>
    <m/>
    <m/>
    <s v="Syifa Fauziyah"/>
    <s v="Nadia"/>
    <s v="62 895-3758-31182"/>
    <m/>
    <m/>
    <m/>
    <m/>
    <m/>
    <m/>
    <m/>
    <m/>
    <m/>
    <m/>
  </r>
  <r>
    <n v="2762"/>
    <s v="PT Prospero Realty"/>
    <s v="Join All Customer"/>
    <m/>
    <x v="1"/>
    <m/>
    <s v="Sequis Center Building 9th Floor, Jl. Jend Sudirman Kav. 71 Jakarta, Jakarta Pusat,  DKI Jakarta,  Indonesia,  "/>
    <s v="BAGI HASIL"/>
    <s v="Revenue Sharing"/>
    <m/>
    <m/>
    <m/>
    <m/>
    <m/>
    <m/>
    <m/>
    <m/>
    <m/>
    <m/>
    <n v="0.2"/>
    <d v="2027-10-16T00:00:00"/>
    <d v="2028-10-15T00:00:00"/>
    <x v="1"/>
    <m/>
    <d v="2025-11-10T00:00:00"/>
    <n v="1070"/>
    <n v="10"/>
    <n v="2028"/>
    <m/>
    <m/>
    <m/>
    <s v="Syifa Fauziyah"/>
    <s v="Nadia"/>
    <s v="62 895-3758-31182"/>
    <m/>
    <m/>
    <m/>
    <m/>
    <m/>
    <m/>
    <m/>
    <m/>
    <m/>
    <m/>
  </r>
  <r>
    <n v="2763"/>
    <s v="Infrastruktur Cakrawala Telekomunikasi"/>
    <s v="PT Tokki Engineering and Fabrication"/>
    <m/>
    <x v="4"/>
    <m/>
    <s v="KAWASAN INDUSTRI JABABEKA II, JL. INDUSTRI SEL. VII NO.1C BLOK FF, PASIRSARI, CIKARANG SEL., KABUPATEN BEKASI, JAWA BARAT 17530        "/>
    <s v="Sewa Tahunan"/>
    <s v="Cross Connect"/>
    <s v="U111303008153"/>
    <s v="04000089265"/>
    <m/>
    <s v="Internet Corporate"/>
    <s v="50 Mbps"/>
    <m/>
    <n v="29677419"/>
    <m/>
    <m/>
    <n v="5417645"/>
    <m/>
    <d v="2025-10-28T00:00:00"/>
    <d v="2025-12-31T00:00:00"/>
    <x v="1"/>
    <m/>
    <d v="2025-11-10T00:00:00"/>
    <n v="51"/>
    <n v="12"/>
    <n v="2025"/>
    <m/>
    <s v="8556/SPP/PLNICONPLUS/2025"/>
    <n v="4500026598"/>
    <s v="Syifa Fauziyah"/>
    <s v="aksho"/>
    <s v="+62 821-1496-4496"/>
    <m/>
    <m/>
    <m/>
    <m/>
    <m/>
    <m/>
    <m/>
    <m/>
    <n v="345"/>
    <m/>
  </r>
  <r>
    <n v="2764"/>
    <s v="Eka Mas Republik"/>
    <s v="PT Aneka Petroindo "/>
    <m/>
    <x v="5"/>
    <m/>
    <s v="Jl. Tambun Rengas / Jl. Jakarta Garden City Boulevard RT. 000 RW. 014 Kel. Cakung Timur, Kec. Cakung, Jakarta Timur."/>
    <s v="SEWA BULANAN "/>
    <s v="Interkoneksi"/>
    <s v="A111303005803"/>
    <s v="111303014950"/>
    <m/>
    <s v="Internet Corporate"/>
    <s v="6 Mbps"/>
    <n v="3500000"/>
    <n v="3500000"/>
    <m/>
    <n v="5000000"/>
    <n v="2500000"/>
    <m/>
    <d v="2025-07-07T00:00:00"/>
    <d v="2026-07-06T00:00:00"/>
    <x v="1"/>
    <m/>
    <d v="2025-12-24T00:00:00"/>
    <n v="194"/>
    <n v="7"/>
    <n v="2026"/>
    <s v="Baru"/>
    <s v="6893/SPP/SBU/PLNICONPLUS/2025"/>
    <n v="4500025333"/>
    <s v="Renata Simanjuntak"/>
    <s v="Shelly"/>
    <s v="+62 818-153-900"/>
    <m/>
    <m/>
    <m/>
    <m/>
    <m/>
    <m/>
    <m/>
    <m/>
    <n v="344"/>
    <m/>
  </r>
  <r>
    <n v="2765"/>
    <s v="Supra Primatama"/>
    <s v="PT Polytama Propindo"/>
    <m/>
    <x v="1"/>
    <s v="Head Office PT Polytama Propindo - Gedung Mid Plaza 2, Jl. Jenderal Sudrman No. 10-11 RT.10/RW.11, Karet Tengsin, Tanah Abang, Jakarta Pusat, DKI Jakarta, Indonesia, 10220."/>
    <s v="Jl. Juntinyuat KM. 13, Desa Limbangan Kab. Indramayu, Balongan, Kab Indramayu, Jawa Barat, Indonesia, 45282"/>
    <s v="Sewa Bulanan"/>
    <s v="Interkoneksi"/>
    <s v="PA/ACT/2201/2697"/>
    <n v="1000189276"/>
    <s v="99,50%"/>
    <s v="Metronet"/>
    <s v="30 Mbps"/>
    <m/>
    <n v="76800000"/>
    <m/>
    <m/>
    <n v="99000000"/>
    <m/>
    <d v="2025-06-10T00:00:00"/>
    <d v="2026-06-09T00:00:00"/>
    <x v="1"/>
    <m/>
    <d v="2025-12-24T00:00:00"/>
    <n v="167"/>
    <n v="6"/>
    <n v="2026"/>
    <s v="4500024474 | 4949/SPP/SBU/PLNICONPLUS/2024"/>
    <s v="8215/SPP/SBU/PLNICONPLUS/2025"/>
    <n v="4500026379"/>
    <s v="Renata Simanjuntak"/>
    <s v="Adhan"/>
    <s v="+62 813-1673-1414"/>
    <m/>
    <m/>
    <m/>
    <m/>
    <m/>
    <m/>
    <m/>
    <m/>
    <n v="347"/>
    <m/>
  </r>
  <r>
    <n v="2766"/>
    <s v="Akses Prima Indonesia"/>
    <s v="PT Bank Mandiri (Persero) Tbk"/>
    <m/>
    <x v="5"/>
    <s v="Plaza Mandiri Jl Gatot Subroto No Kav 36-38, Rt.7/Rw.3, Senayan, Kebayoran Baru, Jakarta Selatan, DKI Jakarta, 12190"/>
    <s v="13319 Bogor Sentul City, Jl. MH Thamrin Kav. 8 Sentul City Bogor,  Kec. Babakan Madang,  Kabupaten Bogor,  Jawa Barat,  Indonesia,  16810"/>
    <s v="Sewa Bulanan"/>
    <s v="Interkoneksi"/>
    <s v="PA/ACT/2206/16523"/>
    <s v="01000283859"/>
    <n v="0.99"/>
    <s v="IPVPN"/>
    <s v="10 Mbps"/>
    <m/>
    <n v="135818184"/>
    <m/>
    <m/>
    <n v="90000000"/>
    <m/>
    <d v="2025-08-18T00:00:00"/>
    <d v="2026-08-17T00:00:00"/>
    <x v="1"/>
    <m/>
    <d v="2025-12-24T00:00:00"/>
    <n v="236"/>
    <n v="8"/>
    <n v="2026"/>
    <s v="4522/SPP/SBU/PLNICONPLUS/2024 | 4500023663"/>
    <s v="8483/SPP/SBU/PLNICONPLUS/2025"/>
    <n v="4500026570"/>
    <s v="Renata Simanjuntak"/>
    <m/>
    <m/>
    <m/>
    <m/>
    <m/>
    <m/>
    <m/>
    <m/>
    <m/>
    <m/>
    <m/>
    <m/>
  </r>
  <r>
    <n v="2767"/>
    <s v="Perhimpunan Pemilik dan Penghuni Satuan Rumah Susun Komersial Hunian Campuran Residence 8 @ Senopati"/>
    <s v="PT Hasnur Informasi Teknologi"/>
    <m/>
    <x v="1"/>
    <m/>
    <s v="Office 8, Lantai 7, Ruang Server Rak 3 Jakarta Selatan RT.8/RW.3, Senayan Kec. Kebayoran Baru, Jakarta Selatan"/>
    <s v="Sewa Tahunan"/>
    <s v="Colocation"/>
    <s v="A311202001848"/>
    <m/>
    <m/>
    <s v="Internet Corporate"/>
    <s v="5 Mbps"/>
    <m/>
    <n v="102000000"/>
    <m/>
    <m/>
    <n v="8600000"/>
    <m/>
    <d v="2025-10-16T00:00:00"/>
    <d v="2026-10-15T00:00:00"/>
    <x v="1"/>
    <m/>
    <d v="2025-12-24T00:00:00"/>
    <n v="295"/>
    <n v="10"/>
    <n v="2025"/>
    <s v="4780/SPP/SBU/PLNICONPLUS/2024 | 4500023756"/>
    <s v="8450/SPP/SBU/PLNICONPLUS/2025"/>
    <n v="4500026642"/>
    <s v="Livia Indraswati"/>
    <s v="Fajar"/>
    <m/>
    <m/>
    <m/>
    <m/>
    <m/>
    <m/>
    <m/>
    <m/>
    <m/>
    <s v="H381"/>
    <m/>
  </r>
  <r>
    <n v="2768"/>
    <s v="Bahanasemesta Citranusantara"/>
    <s v="PT Bank BTPN"/>
    <m/>
    <x v="1"/>
    <s v="(Backhaul) Bahana Tower, Jl. Lingkar Mega Kuningan Lot 5.5 – 5.6 Jakarta"/>
    <s v="(BACKHAUL P2MP) MENARA SMBC, JL. DR. IDE ANAK AGUNG GDE AGUNG KAV. 5.5 - 5.6, KUNINGAN TIMUR, SETIABUDI, RT.5/RW.2, KUNINGAN, KUNINGAN TIMUR, SETIA BU"/>
    <s v="Sewa Tahunan"/>
    <s v="Colocation"/>
    <m/>
    <s v="'990000320433224_x000a_'990000320514319_x000a_'990000320423786_x000a_'990000320489734"/>
    <m/>
    <s v="Metronet"/>
    <s v="1 Mbps"/>
    <m/>
    <n v="77567568"/>
    <m/>
    <m/>
    <n v="59850000"/>
    <m/>
    <d v="2026-01-01T00:00:00"/>
    <d v="2027-12-31T00:00:00"/>
    <x v="1"/>
    <m/>
    <d v="2025-12-24T00:00:00"/>
    <n v="737"/>
    <n v="12"/>
    <n v="2027"/>
    <s v="5081/SPP/SBU/PLNICONPLUS/2024 | 4500024055"/>
    <s v="8494/SPP/SBU/PLNICONPLUS/2025"/>
    <s v="4500026704"/>
    <s v="Livia Indraswati"/>
    <s v="Risma"/>
    <m/>
    <m/>
    <m/>
    <m/>
    <m/>
    <m/>
    <m/>
    <m/>
    <m/>
    <n v="383"/>
    <m/>
  </r>
  <r>
    <n v="2769"/>
    <s v="Infrastruktur Bisnis Sejahtera"/>
    <s v="PT Sari Coffee Indonesia"/>
    <m/>
    <x v="1"/>
    <m/>
    <s v="Starbucks, Living Plaza Jababeka, Jl. Niaga Raya BB/2-4, Kel. Pasarsari, Cikarang Barat, Kota Bekasi, Jawa Barat, Indonesia, 17532"/>
    <s v="Sewa Tahunan"/>
    <s v="Cross Connect"/>
    <m/>
    <s v="110130306885 / 04000085566 "/>
    <m/>
    <s v="Internet Corporate"/>
    <s v="5 Mbps"/>
    <m/>
    <n v="54000000"/>
    <m/>
    <m/>
    <n v="18150000"/>
    <m/>
    <d v="2025-10-28T00:00:00"/>
    <d v="2026-10-27T00:00:00"/>
    <x v="1"/>
    <m/>
    <d v="2025-12-24T00:00:00"/>
    <n v="307"/>
    <n v="10"/>
    <n v="2026"/>
    <s v="5441/SPP/SBU/PLNICONPLUS/2024 | 4500024435"/>
    <s v="8360/SPP/SBU/PLNICONPLUS/2025"/>
    <s v="4500026634"/>
    <s v="Livia Indraswati"/>
    <s v="Siti Hapsah"/>
    <m/>
    <m/>
    <m/>
    <m/>
    <m/>
    <m/>
    <m/>
    <m/>
    <m/>
    <n v="380"/>
    <m/>
  </r>
  <r>
    <n v="2770"/>
    <s v="Ekagrata Data Gemilang"/>
    <s v="PT Airpay International Indonesia"/>
    <s v="Gedung Mten Lantai 22 unti D&amp;E, Jl. Kapten Tendean, Kuningan Barat, 12710"/>
    <x v="1"/>
    <s v="No rak EDGE-3-R029-005 Menara Tendean 22 fl, Jl. Kapten Tendean, Mampang prapatan, Jakarta Selatan, DKI Jakarta, Indonesia, 12710"/>
    <s v="H2H Gedung Menara BCA Grand Indonesia, Jl. MH Thamrin No.1, Menteng, RT.1/RW.5, Menteng, Menteng, Jakarta Pusat, DKI Jakarta, Indonesia, 10310"/>
    <s v="Sewa Tahunan"/>
    <s v="Cross Connect"/>
    <s v="PA/ACT/2212/0254"/>
    <m/>
    <m/>
    <s v="IPVPN"/>
    <s v="9 Mbps"/>
    <m/>
    <n v="90000000"/>
    <m/>
    <m/>
    <n v="24000000"/>
    <m/>
    <d v="2025-12-30T00:00:00"/>
    <d v="2026-12-29T00:00:00"/>
    <x v="1"/>
    <m/>
    <d v="2025-12-24T00:00:00"/>
    <n v="370"/>
    <n v="12"/>
    <n v="2026"/>
    <s v="5082/SPP/SBU/PLNICONPLUS/2024 | 4500024051"/>
    <s v="8446/SPP/SBU/PLNICONPLUS/2025"/>
    <n v="4500026651"/>
    <s v="Livia Indraswati"/>
    <s v="Hesti"/>
    <m/>
    <m/>
    <m/>
    <m/>
    <m/>
    <m/>
    <m/>
    <m/>
    <m/>
    <n v="379"/>
    <m/>
  </r>
  <r>
    <n v="2771"/>
    <s v="Jekael Invesco"/>
    <s v="PT Bank Mandiri (Persero), Tbk"/>
    <m/>
    <x v="1"/>
    <s v="DC PLAZA MANDIRI &amp; DRC MANDIRI CIKARANG, -, JAKARTA SELATAN, DKI JAKARTA, INDONESIA"/>
    <s v="GATOT SUBROTO, GEDUNG MENARA JAMSOSTEK, JL. JEND. GATOT SUBROTO KAV. 38,- ,- ,- ,INDONESIA "/>
    <s v="Sewa Tahunan"/>
    <s v="Colocation"/>
    <m/>
    <s v="110120501443 / 0990000020269731"/>
    <m/>
    <s v="IPVPN"/>
    <s v="2 Mbps"/>
    <m/>
    <m/>
    <m/>
    <m/>
    <n v="8000000"/>
    <m/>
    <d v="2025-12-01T00:00:00"/>
    <d v="2026-11-30T00:00:00"/>
    <x v="1"/>
    <m/>
    <d v="2025-12-24T00:00:00"/>
    <n v="341"/>
    <n v="11"/>
    <n v="2026"/>
    <s v="5160/SPP/SBU/PLNICONPLUS/2024 | 4500024132"/>
    <s v="8445/SPP/SBU/PLNICONPLUS/2025"/>
    <n v="4500026684"/>
    <s v="Livia Indraswati"/>
    <s v="Tri"/>
    <m/>
    <m/>
    <m/>
    <m/>
    <m/>
    <m/>
    <m/>
    <m/>
    <m/>
    <n v="382"/>
    <m/>
  </r>
  <r>
    <n v="2772"/>
    <s v="Jekael Invesco"/>
    <s v="PT Bank Mandiri (Persero), Tbk"/>
    <m/>
    <x v="1"/>
    <s v="DC PLAZA MANDIRI &amp; DRC MANDIRI CIKARANG, -, JAKARTA SELATAN, DKI JAKARTA, INDONESIA"/>
    <s v="GATOT SUBROTO, GEDUNG MENARA JAMSOSTEK, JL. JEND. GATOT SUBROTO KAV. 38,- ,- ,- ,INDONESIA "/>
    <s v="Sewa Tahunan"/>
    <s v="Colocation"/>
    <m/>
    <s v="110120501443 / 0990000020269731"/>
    <m/>
    <s v="IPVPN"/>
    <s v="2 Mbps"/>
    <m/>
    <m/>
    <m/>
    <m/>
    <n v="5000000"/>
    <m/>
    <d v="2025-12-01T00:00:00"/>
    <d v="2026-11-30T00:00:00"/>
    <x v="1"/>
    <m/>
    <d v="2025-12-24T00:00:00"/>
    <n v="341"/>
    <n v="11"/>
    <n v="2026"/>
    <s v="5192/SPP/SBU/PLNICONPLUS/2024 | 4500024140"/>
    <s v="8444/SPP/SBU/PLNICONPLUS/2025"/>
    <n v="4500026683"/>
    <s v="Livia Indraswati"/>
    <s v="Tri"/>
    <m/>
    <m/>
    <m/>
    <m/>
    <m/>
    <m/>
    <m/>
    <m/>
    <m/>
    <n v="372"/>
    <m/>
  </r>
  <r>
    <n v="2773"/>
    <s v="Dunia Virtual Online"/>
    <s v="PT Bank Mandiri"/>
    <s v="Jl. Raya Tapos No. 31, Depok, Jawa Barat"/>
    <x v="1"/>
    <m/>
    <s v="H2H E-MOBILE BMRI, (DATA CENTER TIFA BUILDING), JALAN KUNINGAN BARAT 1 NO.26,KEC. MAMPANG PRAPATAN, JAKARTA SELATAN, DKI JAKARTA, INDONESIA, 12710"/>
    <s v="Sewa Tahunan"/>
    <s v="Cross Connect"/>
    <m/>
    <s v="110120501636 / 01000316630"/>
    <m/>
    <s v="IPVPN"/>
    <s v="2 Mbps"/>
    <m/>
    <n v="30545460"/>
    <m/>
    <m/>
    <n v="5040000"/>
    <m/>
    <d v="2025-10-31T00:00:00"/>
    <d v="2026-10-30T00:00:00"/>
    <x v="1"/>
    <m/>
    <d v="2025-12-24T00:00:00"/>
    <n v="310"/>
    <n v="10"/>
    <n v="2026"/>
    <s v="5588/SPP/SBU/PLNICONPLUS/2025 | 4500024443"/>
    <s v="8140/SPP/SBU/PLNICONPLUS/2025"/>
    <n v="4500026530"/>
    <s v="Livia Indraswati"/>
    <s v="Zulharman"/>
    <m/>
    <m/>
    <m/>
    <m/>
    <m/>
    <m/>
    <m/>
    <m/>
    <m/>
    <n v="371"/>
    <m/>
  </r>
  <r>
    <n v="2774"/>
    <s v="Dunia Virtual Online"/>
    <s v="PT Indomarco Prismatama Tbk_x000a_PT Sarana Prima Telematika_x000a_PT Bank Mandiri"/>
    <s v="Jl. Raya Tapos No. 31, Depok, Jawa Barat"/>
    <x v="1"/>
    <s v="Tifa Arum Realty, Jl._x000a_Kuningan Bar. 1 No.26, RT.6/RW.1,_x000a_Kuningan Bar., Kec. Mampang Prpt.,_x000a_Kota Jakarta Selatan, Daerah Khusus_x000a_Ibukota Jakarta 12710, Kuningan Barat,_x000a_Jakarta Selatan, DKI Jakarta, Indonesia,_x000a_12710 -"/>
    <s v="H2H E-MOBILE BMRI, (DATA CENTER TIFA BUILDING), JALAN KUNINGAN BARAT 1 NO.26,KEC. MAMPANG PRAPATAN, JAKARTA SELATAN, DKI JAKARTA, INDONESIA, 12710"/>
    <s v="Sewa Tahunan"/>
    <s v="Colocation"/>
    <m/>
    <s v="01000105958_x000a_'110120211331 / 01000175662_x000a_'110120501636 / 01000316630"/>
    <m/>
    <s v="Metronet "/>
    <s v="1 Mbps"/>
    <m/>
    <n v="110945460"/>
    <m/>
    <m/>
    <n v="8000000"/>
    <m/>
    <d v="2025-11-01T00:00:00"/>
    <d v="2026-10-31T00:00:00"/>
    <x v="1"/>
    <m/>
    <d v="2025-12-24T00:00:00"/>
    <n v="311"/>
    <n v="10"/>
    <n v="2026"/>
    <s v="5523/SPP/SBU/PLNICONPLUS/2025 | 4500024445"/>
    <s v="8139/SPP/SBU/PLNICONPLUS/2025"/>
    <n v="4500026521"/>
    <s v="Livia Indraswati"/>
    <s v="Zulharman"/>
    <m/>
    <m/>
    <m/>
    <m/>
    <m/>
    <m/>
    <m/>
    <m/>
    <m/>
    <n v="370"/>
    <m/>
  </r>
  <r>
    <n v="2775"/>
    <s v="Wisma Calindra"/>
    <s v="PT Indonesia Libolon Fiber System "/>
    <m/>
    <x v="1"/>
    <m/>
    <s v="Wisma 76 Lantai 19 Jl. Letjen S. Parman No.76, Rt.4/Rw.3, Slipi, Kec. Palmerah, Kota Jakarta Barat, Daerah Khusus Ibukota Jakarta 11410."/>
    <s v="Sewa Tahunan"/>
    <s v="Colocation"/>
    <s v="R121202001069"/>
    <m/>
    <m/>
    <s v="Metronet"/>
    <m/>
    <m/>
    <n v="84851340"/>
    <m/>
    <m/>
    <n v="13500000"/>
    <m/>
    <d v="2025-10-24T00:00:00"/>
    <d v="2026-10-23T00:00:00"/>
    <x v="1"/>
    <m/>
    <d v="2025-12-24T00:00:00"/>
    <n v="303"/>
    <n v="10"/>
    <n v="2025"/>
    <s v="4906/SPP/SBU/PLNICONPLUS/2024 | 4500023879"/>
    <s v="8507/SPP/SBU/PLNICONPLUS/2025"/>
    <s v="4500026650"/>
    <s v="Livia Indraswati"/>
    <s v="Widya"/>
    <m/>
    <m/>
    <m/>
    <m/>
    <m/>
    <m/>
    <m/>
    <m/>
    <m/>
    <n v="369"/>
    <m/>
  </r>
  <r>
    <n v="2776"/>
    <s v="DCI Indonesia"/>
    <s v="PT Indosat"/>
    <s v="Equity Tower 17th floor suite F SCBD lot Jl Jend Sudirman Kav 52-53 Jakarta 12196"/>
    <x v="1"/>
    <m/>
    <s v="SUNLIFE DATA CENTER E1 ARIOBIMO. HR RASUNA SAID KAV X-2)"/>
    <s v="Sewa Tahunan"/>
    <s v="Cross Connect"/>
    <s v="A111202006131"/>
    <m/>
    <m/>
    <s v="Metronet"/>
    <s v="100 Mbps"/>
    <m/>
    <n v="192000000"/>
    <m/>
    <m/>
    <n v="102000000"/>
    <m/>
    <d v="2025-11-01T00:00:00"/>
    <d v="2026-10-31T00:00:00"/>
    <x v="1"/>
    <m/>
    <d v="2025-12-24T00:00:00"/>
    <n v="311"/>
    <n v="10"/>
    <n v="2026"/>
    <s v="4964/SPP/SBU/PLNICONPLUS/2024 | 4500024144"/>
    <s v="8495/SPP/SBU/PLNICONPLUS/2025"/>
    <s v="4500026687"/>
    <s v="Livia Indraswati"/>
    <s v="Amanda"/>
    <m/>
    <m/>
    <m/>
    <m/>
    <m/>
    <m/>
    <m/>
    <m/>
    <m/>
    <n v="362"/>
    <m/>
  </r>
  <r>
    <n v="2777"/>
    <s v="DCI Indonesia"/>
    <s v="PT Indosat"/>
    <s v="Equity Tower 17th floor suite F SCBD lot Jl Jend Sudirman Kav 52-53 Jakarta 12196"/>
    <x v="1"/>
    <m/>
    <s v="SUNLIFE DATA CENTER E1 ARIOBIMO. HR RASUNA SAID KAV X-2)"/>
    <s v="Sewa Tahunan"/>
    <s v="Cross Connect"/>
    <s v="A111202006131"/>
    <m/>
    <m/>
    <s v="Metronet"/>
    <s v="100 Mbps"/>
    <m/>
    <n v="192000000"/>
    <m/>
    <m/>
    <n v="24000000"/>
    <m/>
    <d v="2025-10-30T00:00:00"/>
    <d v="2026-10-30T00:00:00"/>
    <x v="1"/>
    <m/>
    <d v="2025-12-24T00:00:00"/>
    <n v="310"/>
    <n v="10"/>
    <n v="2026"/>
    <s v="6393/SPP/SBU/PLNICONPLUS/2025 | 4500024954"/>
    <s v="8496/SPP/SBU/PLNICONPLUS/2025"/>
    <s v="4500026688"/>
    <s v="Livia Indraswati"/>
    <s v="Amanda"/>
    <m/>
    <m/>
    <m/>
    <m/>
    <m/>
    <m/>
    <m/>
    <m/>
    <m/>
    <n v="361"/>
    <m/>
  </r>
  <r>
    <n v="2778"/>
    <s v="DCI Indonesia"/>
    <s v="All Pelanggan"/>
    <s v="Equity Tower 17th floor suite F SCBD lot Jl Jend Sudirman Kav 52-53 Jakarta 12196"/>
    <x v="1"/>
    <m/>
    <s v="DCI CIBITUNG | JL. HALMAHERA NO.1 BLOK F1, DANAU INDAH, KEC. CIKARANG BAR., KABUPATEN BEKASI, JAWA BARAT 17530"/>
    <s v="Sewa Tahunan"/>
    <s v="Colocation"/>
    <m/>
    <m/>
    <m/>
    <m/>
    <m/>
    <m/>
    <n v="1605600000"/>
    <m/>
    <m/>
    <n v="312000000"/>
    <m/>
    <d v="2025-08-26T00:00:00"/>
    <d v="2026-08-25T00:00:00"/>
    <x v="1"/>
    <m/>
    <d v="2025-12-24T00:00:00"/>
    <n v="244"/>
    <n v="8"/>
    <n v="2025"/>
    <s v="4532/SPP/SBU/PLNICONPLUS/2024 | 4500023591"/>
    <s v="8204/SPP/SBU/PLNICONPLUS/2025"/>
    <n v="4500026680"/>
    <s v="Livia Indraswati"/>
    <s v="Amanda"/>
    <m/>
    <m/>
    <m/>
    <m/>
    <m/>
    <m/>
    <m/>
    <m/>
    <m/>
    <n v="363"/>
    <m/>
  </r>
  <r>
    <n v="2779"/>
    <s v="DCI Indonesia"/>
    <s v="PT Sukanda Djaya"/>
    <s v="Equity Tower 17th floor suite F SCBD lot Jl Jend Sudirman Kav 52-53 Jakarta 12196"/>
    <x v="1"/>
    <m/>
    <s v="Gedung JK 3, Jl. Irian I Blok GG 5-1, Kawasan MM 2100, Cibitung, Kabupaten Bekasi, Jawa Barat, Indonesia,"/>
    <s v="Sewa Tahunan"/>
    <s v="Cross Connect"/>
    <s v="PA/ACT/2110/1649/TER"/>
    <m/>
    <m/>
    <s v="Internet Corporate "/>
    <s v="200 Mbps"/>
    <m/>
    <n v="324000000"/>
    <m/>
    <m/>
    <n v="36000000"/>
    <m/>
    <d v="2025-10-26T00:00:00"/>
    <d v="2026-10-25T00:00:00"/>
    <x v="1"/>
    <m/>
    <d v="2025-12-24T00:00:00"/>
    <n v="305"/>
    <n v="10"/>
    <n v="2025"/>
    <s v="4799/SPP/SBU/PLNICONPLUS/2024 | 4500023804"/>
    <s v="8205/SPP/SBU/PLNICONPLUS/2025"/>
    <n v="4500026519"/>
    <s v="Livia Indraswati"/>
    <s v="Amanda"/>
    <m/>
    <m/>
    <m/>
    <m/>
    <m/>
    <m/>
    <m/>
    <m/>
    <m/>
    <n v="364"/>
    <m/>
  </r>
  <r>
    <n v="2780"/>
    <s v="Jakarta Industrial Estate Pulogadung (Persero) (JIEP) "/>
    <s v="PT PLN (Persero) Unit Induk Distribusi Jakarta Raya PG 257 Sarana Steel"/>
    <m/>
    <x v="1"/>
    <m/>
    <s v="Kawasan Industri JIEP Pulogadung, Jakarta Timur"/>
    <s v="Sewa Tahunan"/>
    <s v="Colocation"/>
    <s v="PA/ACT/1801/1972"/>
    <s v="1000002027"/>
    <m/>
    <s v="IPVPN SCADA"/>
    <s v="2 Mbps"/>
    <m/>
    <n v="20300400"/>
    <m/>
    <m/>
    <n v="630000"/>
    <m/>
    <d v="2025-06-05T00:00:00"/>
    <d v="2026-06-04T00:00:00"/>
    <x v="1"/>
    <m/>
    <d v="2025-12-24T00:00:00"/>
    <n v="162"/>
    <n v="6"/>
    <n v="2026"/>
    <s v="5062/SPP/SBU/PLNICONPLUS/2024 | 4500024027"/>
    <s v="8410/SPP/SBU/PLNICONPLUS/2025"/>
    <n v="4500026681"/>
    <s v="Livia Indraswati"/>
    <s v="Anggit"/>
    <m/>
    <m/>
    <m/>
    <m/>
    <m/>
    <m/>
    <m/>
    <m/>
    <m/>
    <n v="365"/>
    <m/>
  </r>
  <r>
    <n v="2781"/>
    <s v="Jakarta Industrial Estate Pulogadung (Persero) (JIEP) "/>
    <s v="PT PLN (Persero) Unit Induk Distribusi Jakarta Raya PG 189 Enseval"/>
    <m/>
    <x v="1"/>
    <m/>
    <s v="Kawasan Industri JIEP Pulogadung, Jakarta Timur"/>
    <s v="Sewa Tahunan"/>
    <s v="Colocation"/>
    <s v="PA/ACT/1712/0247"/>
    <s v="1000001407"/>
    <m/>
    <s v="IPVPN SCADA"/>
    <s v="2 Mbps"/>
    <m/>
    <n v="20300400"/>
    <m/>
    <m/>
    <n v="16485000"/>
    <m/>
    <d v="2025-04-06T00:00:00"/>
    <d v="2026-04-05T00:00:00"/>
    <x v="1"/>
    <m/>
    <d v="2025-12-24T00:00:00"/>
    <n v="102"/>
    <n v="4"/>
    <n v="2026"/>
    <s v="5061/SPP/SBU/PLNICONPLUS/2024 | 4500024026"/>
    <s v="8411/SPP/SBU/PLNICONPLUS/2025"/>
    <n v="4500026682"/>
    <s v="Livia Indraswati"/>
    <s v="Anggit"/>
    <m/>
    <m/>
    <m/>
    <m/>
    <m/>
    <m/>
    <m/>
    <m/>
    <m/>
    <m/>
    <m/>
  </r>
  <r>
    <n v="2782"/>
    <s v="Jakarta Industrial Estate Pulogadung (Persero) (JIEP) "/>
    <s v="Join All Customer"/>
    <m/>
    <x v="2"/>
    <m/>
    <s v="Kawasan Industri JIEP Pulogadung, Jakarta Timur"/>
    <s v="Sewa Tahunan"/>
    <s v="Colocation"/>
    <m/>
    <m/>
    <m/>
    <s v="Metronet"/>
    <m/>
    <m/>
    <n v="2098302444"/>
    <m/>
    <m/>
    <n v="309750000"/>
    <m/>
    <d v="2025-01-01T00:00:00"/>
    <d v="2025-12-31T00:00:00"/>
    <x v="1"/>
    <m/>
    <d v="2025-12-24T00:00:00"/>
    <n v="7"/>
    <n v="12"/>
    <n v="2025"/>
    <n v="4500022093"/>
    <s v="8433/SPP/SBU/PLNICONPLUS/2025"/>
    <n v="4500026692"/>
    <s v="Livia Indraswati"/>
    <s v="Anggit"/>
    <m/>
    <m/>
    <m/>
    <m/>
    <m/>
    <m/>
    <m/>
    <m/>
    <m/>
    <m/>
    <m/>
  </r>
  <r>
    <n v="2783"/>
    <s v="Cablenet Fiber Data"/>
    <s v="PT Mastersystem Infotama"/>
    <s v="Jl Simprug Garden 1 Blok W No.11 RT.07/RW.03, Grogol Selatan, Kebayoran Lama, Jakarta Selatan, DKI Jakarta, 12220"/>
    <x v="1"/>
    <m/>
    <s v="Gedung RDTX, Jl. Prof. Dr. Satrio Kav. E-IV No.6, Jalan Kuningan Barat Raya No.2, Rt.5/Rw.Rw, Kuningan, Kuningan Tim., Kecamatan Setiabudi, Kota Jakarta Selatan, Daerah Khusus Ibukota Jakarta 12950"/>
    <s v="Sewa Tahunan"/>
    <s v="Colocation"/>
    <s v="U111303003022"/>
    <m/>
    <m/>
    <s v="Internet Corporate"/>
    <s v="1000 Mbps"/>
    <m/>
    <n v="130377600"/>
    <m/>
    <m/>
    <n v="36000000"/>
    <m/>
    <d v="2025-11-03T00:00:00"/>
    <d v="2026-11-02T00:00:00"/>
    <x v="1"/>
    <m/>
    <d v="2025-12-24T00:00:00"/>
    <n v="313"/>
    <n v="11"/>
    <n v="2026"/>
    <s v="5022/SPP/SBU/PLNICONPLUS/2024 | 4500023996"/>
    <s v="8361/SPP/SBU/PLNICONPLUS/2025"/>
    <n v="4500026635"/>
    <s v="Livia Indraswati"/>
    <s v="Cindy Pratiwi"/>
    <s v="0857-2207-8712"/>
    <m/>
    <m/>
    <m/>
    <m/>
    <m/>
    <m/>
    <m/>
    <m/>
    <n v="368"/>
    <m/>
  </r>
  <r>
    <n v="2784"/>
    <s v="Karyagraha Nusantara"/>
    <s v="PT Netciti Persada_x000a_PT Supra Primatama Nusantara_x000a_PT XL Axiata Tbk qq Bank BNI"/>
    <m/>
    <x v="1"/>
    <s v="Cyber Building, Jl. Kuningan Barat Raya, RT.6/RW.3, Kuningan Bar., Kec. Mampang Prpt., Kota Jakarta Selatan, Daerah Khusus Ibukota Jakarta 12710,  MAMPANG PRAPATAN,  Jakarta Selatan,  DKI Jakarta,  Indonesia,  "/>
    <s v="PT Netciti Persada - Ashoka Park Jl. Jampang Raya, Gn. Sindur,  Kec. Gn. Sindur,  Kabupaten Bogor,  Jawa Barat,  Indonesia,  16340"/>
    <s v="Sewa Tahunan"/>
    <s v="Colocation"/>
    <m/>
    <s v="01000334771_x000a_'110120205827 / 100000002820000_x000a_'01000315365"/>
    <m/>
    <s v="Metronet"/>
    <s v="1 Gbps"/>
    <m/>
    <n v="120000000"/>
    <m/>
    <m/>
    <n v="3500000"/>
    <m/>
    <d v="2025-03-02T00:00:00"/>
    <d v="2026-03-01T00:00:00"/>
    <x v="1"/>
    <m/>
    <d v="2025-12-24T00:00:00"/>
    <n v="67"/>
    <n v="3"/>
    <n v="2026"/>
    <s v="4307/SPP/SBU/PLNICONPLUS/2024 | 4500023482"/>
    <s v="8365/SPP/SBU/PLNICONPLUS/2025"/>
    <n v="4500026639"/>
    <s v=" Livia Indraswati "/>
    <s v="Tito"/>
    <m/>
    <m/>
    <m/>
    <m/>
    <m/>
    <m/>
    <m/>
    <m/>
    <m/>
    <n v="377"/>
    <m/>
  </r>
  <r>
    <n v="2785"/>
    <s v="Karyagraha Nusantara"/>
    <s v="PT Netciti Persada_x000a_PT Supra Primatama Nusantara_x000a_PT XL Axiata Tbk qq Bank BNI"/>
    <m/>
    <x v="1"/>
    <s v="Cyber Building, Jl. Kuningan Barat Raya, RT.6/RW.3, Kuningan Bar., Kec. Mampang Prpt., Kota Jakarta Selatan, Daerah Khusus Ibukota Jakarta 12710,  MAMPANG PRAPATAN,  Jakarta Selatan,  DKI Jakarta,  Indonesia,  "/>
    <s v="PT Netciti Persada - Ashoka Park Jl. Jampang Raya, Gn. Sindur,  Kec. Gn. Sindur,  Kabupaten Bogor,  Jawa Barat,  Indonesia,  16340"/>
    <s v="Sewa Tahunan"/>
    <s v="Colocation"/>
    <m/>
    <s v="01000334771_x000a_'110120205827 / 100000002820000_x000a_'01000315365"/>
    <m/>
    <s v="Metronet"/>
    <s v="1 Gbps"/>
    <m/>
    <n v="210000000"/>
    <m/>
    <m/>
    <n v="35000000"/>
    <m/>
    <d v="2025-08-23T00:00:00"/>
    <d v="2026-08-22T00:00:00"/>
    <x v="1"/>
    <m/>
    <d v="2025-12-24T00:00:00"/>
    <n v="241"/>
    <n v="8"/>
    <n v="2026"/>
    <s v="4301/SPP/SBU/PLNICONPLUS/2024 | 4500023486"/>
    <s v="8403/SPP/SBU/PLNICONPLUS/2025"/>
    <n v="4500026640"/>
    <s v=" Livia Indraswati "/>
    <s v="Tito"/>
    <m/>
    <m/>
    <m/>
    <m/>
    <m/>
    <m/>
    <m/>
    <m/>
    <m/>
    <n v="378"/>
    <m/>
  </r>
  <r>
    <n v="2786"/>
    <s v="Karyagraha Nusantara"/>
    <s v="PT Netciti Persada_x000a_PT Supra Primatama Nusantara_x000a_PT XL Axiata Tbk qq Bank BNI"/>
    <m/>
    <x v="1"/>
    <s v="Cyber Building, Jl. Kuningan Barat Raya, RT.6/RW.3, Kuningan Bar., Kec. Mampang Prpt., Kota Jakarta Selatan, Daerah Khusus Ibukota Jakarta 12710,  MAMPANG PRAPATAN,  Jakarta Selatan,  DKI Jakarta,  Indonesia,  "/>
    <s v="PT Netciti Persada - Ashoka Park Jl. Jampang Raya, Gn. Sindur,  Kec. Gn. Sindur,  Kabupaten Bogor,  Jawa Barat,  Indonesia,  16340"/>
    <s v="Sewa Tahunan"/>
    <s v="Colocation"/>
    <m/>
    <s v="01000334771_x000a_'110120205827 / 100000002820000_x000a_'01000315365"/>
    <m/>
    <s v="Metronet"/>
    <s v="1 Gbps"/>
    <m/>
    <n v="156000000"/>
    <m/>
    <m/>
    <n v="7000000"/>
    <m/>
    <d v="2025-06-02T00:00:00"/>
    <d v="2026-06-01T00:00:00"/>
    <x v="1"/>
    <m/>
    <d v="2025-12-24T00:00:00"/>
    <n v="159"/>
    <n v="6"/>
    <n v="2026"/>
    <s v="4303/SPP/SBU/PLNICONPLUS/2024 | 4500023480"/>
    <s v="8404/SPP/SBU/PLNICONPLUS/2025"/>
    <n v="4500026641"/>
    <s v=" Livia Indraswati "/>
    <s v="Tito"/>
    <m/>
    <m/>
    <m/>
    <m/>
    <m/>
    <m/>
    <m/>
    <m/>
    <m/>
    <n v="373"/>
    <m/>
  </r>
  <r>
    <n v="2787"/>
    <s v="Karyagraha Nusantara"/>
    <s v="PT Netciti Persada_x000a_PT Supra Primatama Nusantara_x000a_PT XL Axiata Tbk qq Bank BNI"/>
    <m/>
    <x v="1"/>
    <s v="Cyber Building, Jl. Kuningan Barat Raya, RT.6/RW.3, Kuningan Bar., Kec. Mampang Prpt., Kota Jakarta Selatan, Daerah Khusus Ibukota Jakarta 12710,  MAMPANG PRAPATAN,  Jakarta Selatan,  DKI Jakarta,  Indonesia,  "/>
    <s v="PT Netciti Persada - Ashoka Park Jl. Jampang Raya, Gn. Sindur,  Kec. Gn. Sindur,  Kabupaten Bogor,  Jawa Barat,  Indonesia,  16340"/>
    <s v="Sewa Tahunan"/>
    <s v="Colocation"/>
    <m/>
    <s v="01000334771_x000a_'110120205827 / 100000002820000_x000a_'01000315365"/>
    <m/>
    <s v="Metronet"/>
    <s v="1 Gbps"/>
    <m/>
    <n v="120000000"/>
    <m/>
    <m/>
    <n v="7000000"/>
    <m/>
    <d v="2025-05-04T00:00:00"/>
    <d v="2026-05-03T00:00:00"/>
    <x v="1"/>
    <m/>
    <d v="2025-12-24T00:00:00"/>
    <n v="130"/>
    <n v="5"/>
    <n v="2026"/>
    <s v="4309/SPP/SBU/PLNICONPLUS/2024 | 4500023483"/>
    <s v="8364/SPP/SBU/PLNICONPLUS/2025"/>
    <n v="4500026638"/>
    <s v=" Livia Indraswati "/>
    <s v="Tito"/>
    <m/>
    <m/>
    <m/>
    <m/>
    <m/>
    <m/>
    <m/>
    <m/>
    <m/>
    <n v="374"/>
    <m/>
  </r>
  <r>
    <n v="2788"/>
    <s v="Karyagraha Nusantara"/>
    <s v="PT Netciti Persada_x000a_PT Supra Primatama Nusantara_x000a_PT XL Axiata Tbk qq Bank BNI"/>
    <m/>
    <x v="1"/>
    <s v="Cyber Building, Jl. Kuningan Barat Raya, RT.6/RW.3, Kuningan Bar., Kec. Mampang Prpt., Kota Jakarta Selatan, Daerah Khusus Ibukota Jakarta 12710,  MAMPANG PRAPATAN,  Jakarta Selatan,  DKI Jakarta,  Indonesia,  "/>
    <s v="PT Netciti Persada - Ashoka Park Jl. Jampang Raya, Gn. Sindur,  Kec. Gn. Sindur,  Kabupaten Bogor,  Jawa Barat,  Indonesia,  16340"/>
    <s v="Sewa Tahunan"/>
    <s v="Colocation"/>
    <m/>
    <s v="01000334771_x000a_'110120205827 / 100000002820000_x000a_'01000315365"/>
    <m/>
    <s v="Metronet"/>
    <s v="1 Gbps"/>
    <m/>
    <n v="210000000"/>
    <m/>
    <m/>
    <n v="17000000"/>
    <m/>
    <d v="2025-06-30T00:00:00"/>
    <d v="2026-06-29T00:00:00"/>
    <x v="1"/>
    <m/>
    <d v="2025-12-24T00:00:00"/>
    <n v="187"/>
    <n v="6"/>
    <n v="2026"/>
    <s v="4306/SPP/SBU/PLNICONPLUS/2024 | 4500023481"/>
    <s v="8363/SPP/SBU/PLNICONPLUS/2025"/>
    <n v="4500026637"/>
    <s v=" Livia Indraswati "/>
    <s v="Tito"/>
    <m/>
    <m/>
    <m/>
    <m/>
    <m/>
    <m/>
    <m/>
    <m/>
    <m/>
    <n v="375"/>
    <m/>
  </r>
  <r>
    <n v="2789"/>
    <s v="Karyagraha Nusantara"/>
    <s v="PT Netciti Persada_x000a_PT Supra Primatama Nusantara_x000a_PT XL Axiata Tbk qq Bank BNI"/>
    <m/>
    <x v="1"/>
    <s v="Cyber Building, Jl. Kuningan Barat Raya, RT.6/RW.3, Kuningan Bar., Kec. Mampang Prpt., Kota Jakarta Selatan, Daerah Khusus Ibukota Jakarta 12710,  MAMPANG PRAPATAN,  Jakarta Selatan,  DKI Jakarta,  Indonesia,  "/>
    <s v="PT Netciti Persada - Ashoka Park Jl. Jampang Raya, Gn. Sindur,  Kec. Gn. Sindur,  Kabupaten Bogor,  Jawa Barat,  Indonesia,  16340"/>
    <s v="Sewa Tahunan"/>
    <s v="Colocation"/>
    <m/>
    <s v="01000334771_x000a_'110120205827 / 100000002820000_x000a_'01000315365"/>
    <m/>
    <s v="Metronet"/>
    <s v="1 Gbps"/>
    <m/>
    <n v="156000000"/>
    <m/>
    <m/>
    <n v="42500000"/>
    <m/>
    <d v="2025-05-10T00:00:00"/>
    <d v="2026-05-09T00:00:00"/>
    <x v="1"/>
    <m/>
    <d v="2025-12-24T00:00:00"/>
    <n v="136"/>
    <n v="5"/>
    <n v="2026"/>
    <s v="4304/SPP/SBU/PLNICONPLUS/2024 | 4500023484"/>
    <s v="8362/SPP/SBU/PLNICONPLUS/2025"/>
    <n v="4500026636"/>
    <s v=" Livia Indraswati "/>
    <s v="Tito"/>
    <m/>
    <m/>
    <m/>
    <m/>
    <m/>
    <m/>
    <m/>
    <m/>
    <m/>
    <n v="376"/>
    <m/>
  </r>
  <r>
    <n v="2790"/>
    <s v="Cyberindo Aditama"/>
    <s v="PT Semen Baturaja"/>
    <s v="Gedung Cyber 2 Tower, Lt 33 Jl. HP Rasuna Said Blok X-5 No. 13 Kuningan Timur Setiabudi Jakarta Selatan 12950"/>
    <x v="1"/>
    <m/>
    <s v="Gedung Graha Irama Lt.9 Blok B dan C. Jl HR Rasuna Said Kav.10, Jakarta, 12950"/>
    <s v="Sewa Bulanan"/>
    <s v="Interkoneksi"/>
    <s v="A211303000495"/>
    <s v="111303011676"/>
    <n v="0.995"/>
    <s v="Internet Corporate"/>
    <s v="10 Mbps"/>
    <m/>
    <n v="20700000"/>
    <m/>
    <m/>
    <n v="20700000"/>
    <m/>
    <d v="2025-10-01T00:00:00"/>
    <d v="2026-06-30T00:00:00"/>
    <x v="1"/>
    <m/>
    <d v="2025-12-24T00:00:00"/>
    <n v="188"/>
    <n v="6"/>
    <n v="2026"/>
    <s v="5801/SPP/SBU/PLNICONPLUS/2025 | 4500024667"/>
    <s v="8223/SPP/SBU/PLNICONPLUS/2025_x0009_"/>
    <s v="4500026397"/>
    <s v="Syifa Artianingsih"/>
    <s v="Kharisma"/>
    <s v="+62 878-1104-9256"/>
    <m/>
    <m/>
    <m/>
    <m/>
    <m/>
    <m/>
    <m/>
    <m/>
    <n v="338"/>
    <m/>
  </r>
  <r>
    <n v="2791"/>
    <s v="Circlecom Nusantara Indonesia"/>
    <s v="PT Bank Central Asia KCP Ebony"/>
    <s v="Roof Top Slot B – Fresh Market Building, Jl. Pantai Indah Kapuk No. 30, Jakarta Utara 14470"/>
    <x v="1"/>
    <s v="Menara Wisman Asia Jl. Letjen S. Parman No. Kav 79, RT.4/RW.9, Kota Bambu Sel., Kec. Palmerah, Jakarta Barat"/>
    <s v="KCP Ebony, Jl. Laksamana Yos Sudarso, Ruko Ebony Blok B2 No.30"/>
    <s v="Sewa Bulanan"/>
    <s v="Interkoneksi"/>
    <s v="A821202000562"/>
    <s v="111202018001"/>
    <n v="0.99"/>
    <s v="Metronet"/>
    <s v="6 Mbps"/>
    <m/>
    <n v="32400000"/>
    <m/>
    <m/>
    <n v="42000000"/>
    <m/>
    <d v="2025-10-10T00:00:00"/>
    <d v="2026-10-09T00:00:00"/>
    <x v="1"/>
    <m/>
    <d v="2025-12-24T00:00:00"/>
    <n v="289"/>
    <n v="10"/>
    <n v="2026"/>
    <s v="4428/SPP/SBU/PLNICONPLUS/2024 | 4500023702"/>
    <s v="8376/SPP/SBU/PLNICONPLUS/2025"/>
    <s v="4500026444"/>
    <s v="Syifa Artianingsih"/>
    <s v="Halley"/>
    <s v="+62 856-9800-999"/>
    <m/>
    <m/>
    <m/>
    <m/>
    <m/>
    <m/>
    <m/>
    <m/>
    <n v="355"/>
    <m/>
  </r>
  <r>
    <n v="2792"/>
    <s v="Circlecom Nusantara Indonesia"/>
    <s v="PT Bank Central Asia"/>
    <s v="Roof Top Slot B – Fresh Market Building, Jl. Pantai Indah Kapuk No. 30, Jakarta Utara 14470"/>
    <x v="1"/>
    <s v="Backhaul KCP Menara BCA, Jl. M.H. Thamrin No.1, Menteng, Jakarta Pusat, DKI Jakarta, Indonesia, 10230"/>
    <s v="BCA KCP Golf Island; Jl. Golf Island Boulevard Blok RGIG No.20 Penjaringan Jakarta Utara, DKI Jakarta, Indonesia, 14470"/>
    <s v="Sewa Bulanan"/>
    <s v="Interkoneksi"/>
    <s v="A821202000184"/>
    <s v="111202017280"/>
    <n v="0.99"/>
    <s v="Metronet"/>
    <s v="6 Mbps"/>
    <m/>
    <n v="32400000"/>
    <m/>
    <m/>
    <n v="72000000"/>
    <m/>
    <d v="2025-10-16T00:00:00"/>
    <d v="2026-10-15T00:00:00"/>
    <x v="1"/>
    <m/>
    <d v="2025-12-24T00:00:00"/>
    <n v="295"/>
    <n v="10"/>
    <n v="2026"/>
    <s v="4408/SPP/SBU/PLNICONPLUS/2024 | 4500023624"/>
    <s v="8374/SPP/SBU/PLNICONPLUS/2025"/>
    <n v="4500026473"/>
    <s v="Syifa Artianingsih"/>
    <s v="Halley"/>
    <s v="+62 856-9800-999"/>
    <m/>
    <m/>
    <m/>
    <m/>
    <m/>
    <m/>
    <m/>
    <m/>
    <n v="356"/>
    <m/>
  </r>
  <r>
    <n v="2793"/>
    <s v="Mora Telematika Indonesia"/>
    <s v="PT Mitsubishi Electric Indonesia"/>
    <m/>
    <x v="1"/>
    <s v="Trinity Tower, 43Rd Floor- Suites 09-16 &amp; 01 Jl. H.R. Rasuna Said Kav. C-22. Blok II-B RT.2/RW.5, Karet Kuningan, Setia Budi, Jakarta Selatan, DKI Jakarta"/>
    <s v="Lippo Cikarang, Delta Silicon 5, Jl. Kenari Raya No.7a, Sukamahi, Kec. Cikarang Pusat, Kabupaten Bekasi, Jawa Barat 17530              "/>
    <s v="Sewa Bulanan"/>
    <s v="Interkoneksi"/>
    <s v="A821205000047"/>
    <s v="111205023466"/>
    <n v="0.995"/>
    <s v="IPVPN "/>
    <s v="40 Mbps"/>
    <m/>
    <n v="168000000"/>
    <m/>
    <m/>
    <n v="114000000"/>
    <m/>
    <d v="2025-10-30T00:00:00"/>
    <d v="2026-10-29T00:00:00"/>
    <x v="1"/>
    <m/>
    <d v="2025-12-24T00:00:00"/>
    <n v="309"/>
    <n v="10"/>
    <n v="2026"/>
    <s v="4535/SPP/SBU/PLNICONPLUS/2024 | 4500023643"/>
    <s v="8375/SPP/SBU/PLNICONPLUS/2025"/>
    <s v="4500026569"/>
    <s v="Syifa Artianingsih"/>
    <s v="Riza Perdana"/>
    <s v="0895-2495-6050"/>
    <m/>
    <m/>
    <m/>
    <m/>
    <m/>
    <m/>
    <m/>
    <m/>
    <n v="357"/>
    <m/>
  </r>
  <r>
    <n v="2794"/>
    <s v="Fastel Sarana Indonesia"/>
    <s v="PT Bank Central Asia"/>
    <m/>
    <x v="1"/>
    <s v="Menara Wisma Asia, Jl. Letjen S, Parman No Kav.79/RT.4/RW.9, Kota Bambu Selatan, Kec. Palmerah"/>
    <s v="KCP Sopodel (SOO) (SDWAN) Jl. Mega Kuningan Barat III No. 23, Kuningan, Setiabudi, Jakarta Selatan, DKI Jakarta, Indonesia,12950"/>
    <s v="Sewa Bulanan"/>
    <s v="Interkoneksi"/>
    <s v="A821205000184"/>
    <s v="01000057869 / 111205023968"/>
    <n v="0.995"/>
    <s v="IPVPN"/>
    <s v="6 Mbps"/>
    <m/>
    <n v="48000000"/>
    <m/>
    <m/>
    <n v="48000000"/>
    <m/>
    <d v="2025-10-10T00:00:00"/>
    <d v="2026-10-09T00:00:00"/>
    <x v="1"/>
    <m/>
    <d v="2025-12-24T00:00:00"/>
    <n v="289"/>
    <n v="10"/>
    <n v="2026"/>
    <s v="4396/SPP/SBU/PLNICONPLUS/2024 | 4500023700"/>
    <s v="8372/SPP/SBU/PLNICONPLUS/2025"/>
    <s v="4500026443"/>
    <s v="Syifa Artianingsih"/>
    <s v="Vensca"/>
    <s v="0852-8083-2323"/>
    <m/>
    <m/>
    <m/>
    <m/>
    <m/>
    <m/>
    <m/>
    <m/>
    <n v="358"/>
    <m/>
  </r>
  <r>
    <n v="2795"/>
    <s v="Aplikanusa Lintasarta"/>
    <s v="PT Trakindo Utama"/>
    <m/>
    <x v="1"/>
    <m/>
    <s v="[BSD Java Office] Kavling Komersial Taman Tekno, Blok B no. 1 Sektor XI, BSD City,-, Kota Tangerang Selatan, Banten, Indonesia, 15317"/>
    <s v="Sewa Bulanan"/>
    <s v="Interkoneksi"/>
    <s v="PA/ACT/2209/2584"/>
    <s v="110130304788 / 04000310259 "/>
    <n v="0.995"/>
    <s v="Internet Corporate"/>
    <s v="30 Mbps"/>
    <m/>
    <n v="51000000"/>
    <m/>
    <m/>
    <n v="42000000"/>
    <m/>
    <d v="2025-10-10T00:00:00"/>
    <d v="2026-10-09T00:00:00"/>
    <x v="1"/>
    <m/>
    <d v="2025-12-24T00:00:00"/>
    <n v="289"/>
    <n v="10"/>
    <n v="2026"/>
    <s v="4388/SPP/SBU/PLNICONPLUS/2024 | 4500024052"/>
    <s v="8560/SPP/SBU/PLNICONPLUS/2025"/>
    <s v="4500026647"/>
    <s v="Syifa Artianingsih"/>
    <s v="Ilham"/>
    <s v="0823-6997-0039"/>
    <m/>
    <m/>
    <m/>
    <m/>
    <m/>
    <m/>
    <m/>
    <m/>
    <n v="385"/>
    <m/>
  </r>
  <r>
    <n v="2796"/>
    <s v="Aplikanusa Lintasarta"/>
    <s v="PT Mitsubishi Electric Indonesia"/>
    <m/>
    <x v="1"/>
    <m/>
    <s v="Jl. H.R Rasuna Said Kav C22, Block IIB, Jakarta 12940"/>
    <s v="Sewa Bulanan"/>
    <s v="Interkoneksi"/>
    <s v="A111303006819"/>
    <s v="111303015139"/>
    <n v="0.995"/>
    <s v="Internet Corporate"/>
    <s v="100 Mbps"/>
    <m/>
    <n v="174000000"/>
    <m/>
    <n v="5000000"/>
    <n v="126000000"/>
    <m/>
    <d v="2025-08-11T00:00:00"/>
    <d v="2026-08-10T00:00:00"/>
    <x v="1"/>
    <m/>
    <d v="2025-12-24T00:00:00"/>
    <n v="229"/>
    <n v="8"/>
    <n v="2026"/>
    <s v="baru"/>
    <s v="6907/SPP/SBU/PLNICONPLUS/2025"/>
    <n v="4500025346"/>
    <s v="Syifa Artianingsih"/>
    <s v="Ilham"/>
    <s v="0823-6997-0039"/>
    <m/>
    <m/>
    <m/>
    <m/>
    <m/>
    <m/>
    <m/>
    <m/>
    <n v="227"/>
    <m/>
  </r>
  <r>
    <n v="2797"/>
    <s v="Aplikanusa Lintasarta"/>
    <s v="PT Mitsubishi Electric Indonesia"/>
    <m/>
    <x v="1"/>
    <m/>
    <s v="(Backhaul) Jl. H.R Rasuna Said Kav C22, Block IIB, Jakarta 12940"/>
    <s v="Sewa Bulanan"/>
    <s v="Interkoneksi"/>
    <s v="A111205013785"/>
    <s v="111205031972"/>
    <n v="0.995"/>
    <s v="IPVPN"/>
    <s v="60 Mbps"/>
    <n v="5000000"/>
    <n v="162000000"/>
    <m/>
    <n v="5000000"/>
    <n v="84000000"/>
    <m/>
    <d v="2025-08-11T00:00:00"/>
    <d v="2026-08-10T00:00:00"/>
    <x v="1"/>
    <m/>
    <d v="2025-12-24T00:00:00"/>
    <n v="229"/>
    <n v="8"/>
    <n v="2026"/>
    <s v="baru"/>
    <s v="7986/SPP/SBU/PLNICONPLUS/2025"/>
    <n v="4500026163"/>
    <s v="Syifa Artianingsih"/>
    <s v="Ilham"/>
    <s v="0823-6997-0039"/>
    <m/>
    <m/>
    <m/>
    <m/>
    <m/>
    <m/>
    <m/>
    <m/>
    <n v="229"/>
    <m/>
  </r>
  <r>
    <n v="2798"/>
    <s v="Aplikanusa Lintasarta"/>
    <s v="PT Pertamina (Persero) Tbk"/>
    <m/>
    <x v="1"/>
    <m/>
    <s v="MOR 3 DPPU Soekarno Hatta - PT Pertamina (Persero) - DPPU Soekarno Hatta (SHAFTI), Bandar Udara International Soekarno Hatta, Kec Tangerang, RT.01/RW. 10, Pajang, Kec.Tangerang, Kota Tangerang, 15126"/>
    <s v="Sewa Bulanan"/>
    <s v="Interkoneksi"/>
    <s v="A811303001181"/>
    <s v="111303013354"/>
    <n v="0.995"/>
    <s v="Internet Corporate"/>
    <s v="10 Mbps"/>
    <n v="19000000"/>
    <n v="51348000"/>
    <m/>
    <n v="10000000"/>
    <n v="168000000"/>
    <m/>
    <d v="2025-10-07T00:00:00"/>
    <d v="2026-10-06T00:00:00"/>
    <x v="1"/>
    <m/>
    <d v="2025-12-24T00:00:00"/>
    <n v="286"/>
    <n v="10"/>
    <n v="2026"/>
    <s v="baru"/>
    <s v="6636/SPP/SBU/PLNICONPLUS/2025"/>
    <n v="4500025158"/>
    <s v="Syifa Artianingsih"/>
    <s v="Ilham"/>
    <s v="0823-6997-0039"/>
    <m/>
    <m/>
    <m/>
    <m/>
    <m/>
    <m/>
    <m/>
    <m/>
    <n v="387"/>
    <m/>
  </r>
  <r>
    <n v="2799"/>
    <s v="Aplikanusa Lintasarta"/>
    <s v="PT Pertamina (Persero) Tbk"/>
    <m/>
    <x v="1"/>
    <m/>
    <s v="MOR III - SHIPS 3 - Kantor Pertamina Patra Niaga Bandara International Soekarno Hatta Remote 87 Terminal 3, Pajang, Kec.Tangerang, Kota Tangerang, 15126"/>
    <s v="Sewa Bulanan"/>
    <s v="Interkoneksi"/>
    <s v="A811205000386"/>
    <s v="111205028904"/>
    <n v="0.995"/>
    <s v="IPVPN"/>
    <s v="5 Mbps"/>
    <n v="19000000"/>
    <n v="26400000"/>
    <m/>
    <n v="10000000"/>
    <n v="132000000"/>
    <m/>
    <d v="2025-10-16T00:00:00"/>
    <d v="2026-10-15T00:00:00"/>
    <x v="1"/>
    <m/>
    <d v="2025-12-24T00:00:00"/>
    <n v="295"/>
    <n v="10"/>
    <n v="2026"/>
    <s v="baru"/>
    <s v="7987/SPP/SBU/PLNICONPLUS/2025"/>
    <n v="4500026283"/>
    <s v="Syifa Artianingsih"/>
    <s v="Ilham"/>
    <s v="0823-6997-0039"/>
    <m/>
    <m/>
    <m/>
    <m/>
    <m/>
    <m/>
    <m/>
    <m/>
    <n v="384"/>
    <m/>
  </r>
  <r>
    <n v="2800"/>
    <s v="Aplikanusa Lintasarta"/>
    <s v="PT Pertamina (Persero) Tbk"/>
    <m/>
    <x v="1"/>
    <m/>
    <s v="MOR III - SHIPS 3 - Kantor Pertamina Patra Niaga Bandara International Soekarno Hatta Remote 87 Terminal 3, Pajang, Kec.Tangerang, Kota Tangerang, 15126"/>
    <s v="Sewa Bulanan"/>
    <s v="Interkoneksi"/>
    <s v="A811401000616"/>
    <s v="221303000909"/>
    <n v="0.995"/>
    <s v="Internet Corporate"/>
    <s v="3 Mbps"/>
    <m/>
    <n v="15404400"/>
    <m/>
    <n v="10000000"/>
    <n v="96000000"/>
    <m/>
    <d v="2025-10-16T00:00:00"/>
    <d v="2026-10-15T00:00:00"/>
    <x v="1"/>
    <m/>
    <d v="2025-12-24T00:00:00"/>
    <n v="295"/>
    <n v="10"/>
    <n v="2026"/>
    <s v="baru"/>
    <s v="7988/SPP/SBU/PLNICONPLUS/2025"/>
    <n v="4500026284"/>
    <s v="Syifa Artianingsih"/>
    <s v="Ilham"/>
    <s v="0823-6997-0039"/>
    <m/>
    <m/>
    <m/>
    <m/>
    <m/>
    <m/>
    <m/>
    <m/>
    <n v="386"/>
    <m/>
  </r>
  <r>
    <n v="2801"/>
    <s v="Akses Prima Indonesia"/>
    <s v="PT Bank Mandiri (Persero) Tbk"/>
    <s v="Menara MTH 11 Th Floor Jl. Letjen M.T haryono Kav 23 Jakarta 12820"/>
    <x v="1"/>
    <s v="Plaza Mandiri Jl Gatot Subroto No Kav 36-38, Rt.7/Rw.3, Senayan, Kebayoran Baru, Jakarta Selatan, DKI Jakarta, 12190"/>
    <s v="13319 Bogor Sentul City, Jl. MH Thamrin Kav. 8 Sentul City Bogor,  Kec. Babakan Madang,  Kabupaten Bogor,  Jawa Barat,  Indonesia,  16810"/>
    <s v="Sewa Bulanan"/>
    <s v="Interkoneksi"/>
    <s v="PA/ACT/2206/16523"/>
    <s v="01000283859"/>
    <n v="0.99"/>
    <s v="IPVPN"/>
    <s v="10 Mbps"/>
    <m/>
    <n v="135818184"/>
    <m/>
    <m/>
    <n v="90000000"/>
    <m/>
    <d v="2025-08-18T00:00:00"/>
    <d v="2026-08-17T00:00:00"/>
    <x v="1"/>
    <m/>
    <d v="2025-12-24T00:00:00"/>
    <n v="236"/>
    <n v="8"/>
    <n v="2026"/>
    <s v="4522/SPP/SBU/PLNICONPLUS/2024"/>
    <s v="8483/SPP/SBU/PLNICONPLUS/2025"/>
    <n v="4500026570"/>
    <s v="Renata Simanjuntak"/>
    <s v="Novandri"/>
    <s v="+62 812-9138-8314"/>
    <m/>
    <m/>
    <m/>
    <m/>
    <m/>
    <m/>
    <m/>
    <m/>
    <n v="349"/>
    <m/>
  </r>
  <r>
    <n v="2802"/>
    <s v="PT Multitech Infomedia"/>
    <s v="PT Jaringanku Sarana Nusantara"/>
    <m/>
    <x v="1"/>
    <m/>
    <s v="GEDUNG CYBER JL. KUNINGAN BARAT RAYA NO.8, RT.1/RW.3, KUNINGAN BAR., KEC. MAMPANG PRPT., KOTA JAKARTA SELATAN, DAERAH KHUSUS IBUKOTA JAKARTA 12710"/>
    <s v="Sewa Tahunan"/>
    <s v="Cross Connect"/>
    <s v="A221204000042"/>
    <m/>
    <m/>
    <s v="Metronet"/>
    <s v="2 Gbps"/>
    <n v="3500000"/>
    <n v="75500000"/>
    <m/>
    <n v="1500000"/>
    <n v="30000000"/>
    <m/>
    <d v="2025-11-27T00:00:00"/>
    <d v="2026-11-26T00:00:00"/>
    <x v="1"/>
    <m/>
    <d v="2025-12-09T00:00:00"/>
    <n v="352"/>
    <n v="11"/>
    <n v="2026"/>
    <m/>
    <s v="8891/SPP/SBU/PLNICONPLUS/2025"/>
    <n v="4500026804"/>
    <s v="Syifa Fauziyah"/>
    <s v="Liyana"/>
    <m/>
    <m/>
    <m/>
    <m/>
    <m/>
    <m/>
    <m/>
    <m/>
    <m/>
    <n v="352"/>
    <m/>
  </r>
  <r>
    <n v="2803"/>
    <s v="Infrastruktur Cakrawala Telekomunikasi"/>
    <s v="PT Jaya refrigeration Equipment"/>
    <m/>
    <x v="2"/>
    <m/>
    <s v="JL. JABABEKA RAYA Q NO.1, WANGUNHARJA, KEC. CIKARANG UTARA, KABUPATEN BEKASI, JAWA BARAT 17530."/>
    <s v="Sewa Tahunan"/>
    <s v="Cross Connect"/>
    <s v="U111303008096"/>
    <s v="111202022694"/>
    <m/>
    <s v="Internet Corporate"/>
    <s v="50 Mbps"/>
    <m/>
    <n v="27810000"/>
    <m/>
    <m/>
    <n v="6239580"/>
    <m/>
    <d v="2025-10-18T00:00:00"/>
    <d v="2025-12-31T00:00:00"/>
    <x v="1"/>
    <m/>
    <d v="2025-12-11T00:00:00"/>
    <n v="20"/>
    <n v="12"/>
    <n v="2025"/>
    <m/>
    <s v=" 8129/SPP/SBU/PLNICONPLUS/2025_x000d_"/>
    <n v="4500026316"/>
    <s v="Syifa Fauziyah"/>
    <s v="aksho"/>
    <m/>
    <m/>
    <m/>
    <m/>
    <m/>
    <m/>
    <m/>
    <m/>
    <m/>
    <n v="276"/>
    <m/>
  </r>
  <r>
    <n v="2804"/>
    <s v="Infrastruktur Cakrawala Telekomunikasi"/>
    <s v="Bank Mega"/>
    <m/>
    <x v="2"/>
    <m/>
    <s v="KAWASAN INDUSTRI JABABEKA II, JL. INDUSTRI SEL. VII NO.1C BLOK FF, PASIRSARI, CIKARANG SEL., KABUPATEN BEKASI, JAWA BARAT 17530"/>
    <s v="Sewa Tahunan"/>
    <s v="Cross Connect"/>
    <s v="A111303008484"/>
    <s v="111303016285"/>
    <m/>
    <s v="Internet Corporate"/>
    <s v="5 Mbps"/>
    <m/>
    <n v="10031613"/>
    <m/>
    <m/>
    <n v="2428775"/>
    <m/>
    <d v="2025-10-21T00:00:00"/>
    <d v="2025-12-31T00:00:00"/>
    <x v="1"/>
    <m/>
    <d v="2025-12-11T00:00:00"/>
    <n v="20"/>
    <n v="12"/>
    <n v="2025"/>
    <m/>
    <s v="8980/SPP/SBU/PLNICONPLUS/2025_x000d_"/>
    <n v="4500026858"/>
    <s v="Syifa Fauziyah"/>
    <s v="aksho"/>
    <m/>
    <m/>
    <m/>
    <m/>
    <m/>
    <m/>
    <m/>
    <m/>
    <m/>
    <n v="346"/>
    <m/>
  </r>
  <r>
    <n v="2805"/>
    <s v="IDC (Internetindo Data Centra Indonesia) "/>
    <s v="Join All Customer (Rack Winter 275)"/>
    <s v="Rukan Duren Tiga No. 7H_x000a_Jl. Duren Tiga Raya No. 7 Jakarta Selatan 12760"/>
    <x v="1"/>
    <m/>
    <s v="IDC DUREN3"/>
    <s v="Sewa Tahunan"/>
    <s v="Colocation"/>
    <m/>
    <m/>
    <m/>
    <s v="Kapasitas besar"/>
    <m/>
    <m/>
    <m/>
    <m/>
    <m/>
    <n v="119700000"/>
    <m/>
    <d v="2025-11-01T00:00:00"/>
    <d v="2026-10-31T00:00:00"/>
    <x v="1"/>
    <m/>
    <d v="2025-12-24T00:00:00"/>
    <n v="311"/>
    <n v="10"/>
    <n v="2026"/>
    <n v="4500023874"/>
    <s v="8106/SPP/SBU/PLNICONPLUS/2025"/>
    <n v="4500026383"/>
    <s v="Fajar Paramita"/>
    <m/>
    <m/>
    <m/>
    <m/>
    <m/>
    <m/>
    <m/>
    <m/>
    <m/>
    <m/>
    <n v="319"/>
    <m/>
  </r>
  <r>
    <n v="2806"/>
    <s v="IDC (Internetindo Data Centra Indonesia) "/>
    <s v="Join All Customer"/>
    <s v="Rukan Duren Tiga No. 7H_x000a_Jl. Duren Tiga Raya No. 7 Jakarta Selatan 12760"/>
    <x v="2"/>
    <m/>
    <s v="Cyber 1 Lantai 7 IDC Indonesia"/>
    <s v="Sewa Tahunan"/>
    <s v="Colocation"/>
    <m/>
    <m/>
    <m/>
    <s v="Kapasitas besar"/>
    <m/>
    <m/>
    <m/>
    <m/>
    <m/>
    <n v="168000000"/>
    <m/>
    <d v="2025-01-04T00:00:00"/>
    <d v="2026-01-03T00:00:00"/>
    <x v="1"/>
    <m/>
    <d v="2025-12-24T00:00:00"/>
    <n v="10"/>
    <n v="1"/>
    <n v="2026"/>
    <n v="4500023421"/>
    <s v="7280/SPP/SBU/PLNICONPLUS/2025"/>
    <n v="4500025630"/>
    <s v="Fajar Paramita"/>
    <m/>
    <m/>
    <m/>
    <m/>
    <m/>
    <m/>
    <m/>
    <m/>
    <m/>
    <m/>
    <n v="260"/>
    <m/>
  </r>
  <r>
    <n v="2807"/>
    <s v="Cyber Network Indonesia"/>
    <s v="Lembaga Penjamin Simpanan"/>
    <m/>
    <x v="1"/>
    <m/>
    <s v="Gedung Cyber 1 Lantai 9"/>
    <s v="Sewa Tahunan"/>
    <s v="Cross Connect"/>
    <s v="A811202000777"/>
    <m/>
    <m/>
    <s v="Metronet"/>
    <m/>
    <n v="18000000"/>
    <n v="60000000"/>
    <m/>
    <m/>
    <n v="108000000"/>
    <m/>
    <d v="2025-09-29T00:00:00"/>
    <d v="2026-09-28T00:00:00"/>
    <x v="1"/>
    <m/>
    <d v="2025-12-24T00:00:00"/>
    <n v="278"/>
    <n v="9"/>
    <n v="2026"/>
    <s v="baru"/>
    <s v="8231/SPP/SBU/PLNICONPLUS/2025"/>
    <n v="4500026502"/>
    <s v="Fajar Paramita"/>
    <m/>
    <m/>
    <m/>
    <m/>
    <m/>
    <m/>
    <m/>
    <m/>
    <m/>
    <m/>
    <n v="359"/>
    <m/>
  </r>
  <r>
    <n v="2808"/>
    <s v="IDC (Internetindo Data Centra Indonesia) "/>
    <s v="Join All Customer (Rack Summer 201)"/>
    <s v="Rukan Duren Tiga No. 7H_x000a_Jl. Duren Tiga Raya No. 7 Jakarta Selatan 12760"/>
    <x v="1"/>
    <m/>
    <s v="IDC DUREN3"/>
    <s v="Sewa Tahunan"/>
    <s v="Colocation"/>
    <m/>
    <m/>
    <m/>
    <s v="Kapasitas besar"/>
    <m/>
    <m/>
    <m/>
    <m/>
    <m/>
    <n v="119700000"/>
    <m/>
    <d v="2025-12-14T00:00:00"/>
    <d v="2026-12-13T00:00:00"/>
    <x v="1"/>
    <m/>
    <d v="2025-12-24T00:00:00"/>
    <n v="354"/>
    <n v="12"/>
    <n v="2026"/>
    <n v="4500023667"/>
    <s v="8105/SPP/SBU/PLNICONPLUS/2025"/>
    <n v="4500026384"/>
    <s v="Fajar Paramita"/>
    <m/>
    <m/>
    <m/>
    <m/>
    <m/>
    <m/>
    <m/>
    <m/>
    <m/>
    <m/>
    <n v="318"/>
    <m/>
  </r>
  <r>
    <n v="2809"/>
    <s v="Global Pahala Jasatama"/>
    <s v="PT Berlian Sistem Informasi qq PT Dipo Star Finance"/>
    <m/>
    <x v="1"/>
    <m/>
    <s v="PT Dipo Star Finance, Gedung Dipo Tower Lantai 8, Jl. Jendral Gatot Subroto Kav. 52-53, Tanah Abang, Jakarta Pusat, 10260"/>
    <s v="Sewa Tahunan"/>
    <s v="Colocation"/>
    <m/>
    <s v="110130306740 / 04000323214"/>
    <m/>
    <s v="Internet Corporate"/>
    <s v="15 Mbps"/>
    <m/>
    <n v="48000000"/>
    <m/>
    <m/>
    <n v="15000000"/>
    <m/>
    <d v="2025-11-02T00:00:00"/>
    <d v="2026-11-01T00:00:00"/>
    <x v="1"/>
    <m/>
    <d v="2025-12-24T00:00:00"/>
    <n v="312"/>
    <n v="11"/>
    <n v="2026"/>
    <s v="5171/SPP/SBU/PLNICONPLUS/2024 | 4500024155"/>
    <s v="8022/SPP/SBU/PLNICONPLUS/2025"/>
    <n v="4500026332"/>
    <s v="Fajar Paramita"/>
    <m/>
    <m/>
    <m/>
    <m/>
    <m/>
    <m/>
    <m/>
    <m/>
    <m/>
    <m/>
    <n v="399"/>
    <m/>
  </r>
  <r>
    <n v="2810"/>
    <s v="Kawasan Berikat Nusantara"/>
    <s v="PT Kawasan Berikat Nusantara"/>
    <s v="Lahan Berikat Nusantara SBU Lahan Tanjung Priok Cakung"/>
    <x v="1"/>
    <m/>
    <s v="Jl. Raya Cakung Cilincing, Jakarta Utara"/>
    <s v="Sewa Tahunan"/>
    <s v="Colocation"/>
    <m/>
    <m/>
    <m/>
    <m/>
    <m/>
    <m/>
    <m/>
    <m/>
    <m/>
    <n v="162000000"/>
    <m/>
    <d v="2024-03-02T00:00:00"/>
    <d v="2026-03-01T00:00:00"/>
    <x v="1"/>
    <m/>
    <d v="2025-12-24T00:00:00"/>
    <n v="67"/>
    <n v="3"/>
    <n v="2026"/>
    <n v="4500018679"/>
    <s v="7944/SPP/SBU/PLNICONPLUS/2025"/>
    <n v="4500026272"/>
    <s v="Fajar Paramita"/>
    <m/>
    <m/>
    <m/>
    <m/>
    <m/>
    <m/>
    <m/>
    <m/>
    <m/>
    <m/>
    <n v="400"/>
    <m/>
  </r>
  <r>
    <n v="2811"/>
    <s v="Media Nusantara Data Global"/>
    <s v="PT Perusahaan Perdagangan"/>
    <s v="Jl. Kuningan Barat No. 8 Cyber Building 1st &amp; 2nd Jakarta Selatan 12712"/>
    <x v="1"/>
    <m/>
    <s v="Gedung Cyber 1 Basement Jl. Kuningan Barat No. 8"/>
    <s v="Sewa Tahunan"/>
    <s v="Cross Connect"/>
    <m/>
    <m/>
    <m/>
    <s v="Internet Dedicated"/>
    <s v="150 Mbps"/>
    <m/>
    <n v="274200000"/>
    <m/>
    <m/>
    <n v="18000000"/>
    <m/>
    <d v="2025-06-29T00:00:00"/>
    <d v="2026-06-28T00:00:00"/>
    <x v="1"/>
    <m/>
    <d v="2025-12-24T00:00:00"/>
    <n v="186"/>
    <n v="6"/>
    <n v="2026"/>
    <n v="4500023616"/>
    <s v="7092/SPP/SBU/PLNICONPLUS/2025"/>
    <n v="4500025440"/>
    <s v="Fajar Paramita"/>
    <m/>
    <m/>
    <m/>
    <m/>
    <m/>
    <m/>
    <m/>
    <m/>
    <m/>
    <m/>
    <n v="401"/>
    <m/>
  </r>
  <r>
    <n v="2812"/>
    <s v="Media Nusantara Data Global"/>
    <s v="PT Djarum"/>
    <s v="Jl. Kuningan Barat No. 8 Cyber Building 1st &amp; 2nd Jakarta Selatan 12712"/>
    <x v="1"/>
    <m/>
    <s v="Gedung Cyber 1 CDC"/>
    <s v="Sewa Tahunan"/>
    <s v="Cross Connect"/>
    <m/>
    <s v="1301202000450 / 01000106664"/>
    <m/>
    <s v="Metronet"/>
    <s v="10 G"/>
    <m/>
    <n v="1476000000"/>
    <m/>
    <m/>
    <n v="2500000"/>
    <m/>
    <d v="2025-06-03T00:00:00"/>
    <d v="2026-06-02T00:00:00"/>
    <x v="1"/>
    <m/>
    <d v="2025-12-24T00:00:00"/>
    <n v="160"/>
    <n v="6"/>
    <n v="2026"/>
    <n v="4500022995"/>
    <s v="7041/SPP/SBU/PLNICONPLUS/2025"/>
    <n v="4500025439"/>
    <s v="Fajar Paramita"/>
    <m/>
    <m/>
    <m/>
    <m/>
    <m/>
    <m/>
    <m/>
    <m/>
    <m/>
    <m/>
    <n v="402"/>
    <m/>
  </r>
  <r>
    <n v="2813"/>
    <s v="Arthamas Cipta"/>
    <s v="Bank Negara Indonesia"/>
    <m/>
    <x v="1"/>
    <m/>
    <s v="KCP Tangerang City, Ruko Business Park Tanngerang City Blok A No.6, RT.005/RW.005,Babakan, Kec, Tangerang, Kota Tangerang, Banten,Indonesia, 15118"/>
    <s v="Sewa Bulanan"/>
    <s v="Interkoneksi"/>
    <s v="PA/ACT/2301/0826"/>
    <s v="04000334576"/>
    <n v="0.995"/>
    <s v="Internet Broadband"/>
    <s v="50 Mbps"/>
    <m/>
    <n v="17329428"/>
    <m/>
    <m/>
    <n v="12000000"/>
    <m/>
    <d v="2025-11-01T00:00:00"/>
    <d v="2026-10-31T00:00:00"/>
    <x v="1"/>
    <m/>
    <d v="2025-12-24T00:00:00"/>
    <n v="311"/>
    <n v="10"/>
    <n v="2026"/>
    <s v="4429/SPP/SBU/PLNICONPLUS/2024"/>
    <s v=" _x0009_8619/SPP/SBU/PLNICONPLUS/2025"/>
    <n v="4500026802"/>
    <s v="Renata Simanjuntak"/>
    <s v="Selvyra"/>
    <s v="+62 812-8757-7999"/>
    <m/>
    <m/>
    <m/>
    <m/>
    <m/>
    <m/>
    <m/>
    <m/>
    <n v="398"/>
    <m/>
  </r>
  <r>
    <n v="2814"/>
    <s v="Indointernet"/>
    <s v="PT Ungaran Sari Garment"/>
    <s v="Rumah Indonet. Jl.Rempoa Raya No. 11 Ciputat. Tangerang Selatan – Banten 15412"/>
    <x v="1"/>
    <s v="PT USG UNGARAN Jl. Diponegoro No 235 Ungaran,- ,- ,- ,Indonesia"/>
    <s v="AXA Tower Lt 43 Jl. Prof. Dr. Satrio Kec. Setiabudi Jakarta Selatan,- ,- ,- ,Indonesia ,-"/>
    <s v="SEWA  BULANAN"/>
    <s v="Interkoneksi"/>
    <s v="PA/UPG/2008/0002"/>
    <s v="0990000320458219"/>
    <n v="0.995"/>
    <s v="Metronet"/>
    <s v="20 Mbps"/>
    <m/>
    <n v="120000000"/>
    <m/>
    <m/>
    <n v="144000000"/>
    <m/>
    <d v="2025-12-06T00:00:00"/>
    <d v="2026-12-05T00:00:00"/>
    <x v="1"/>
    <m/>
    <d v="2025-12-24T00:00:00"/>
    <n v="346"/>
    <n v="12"/>
    <n v="2026"/>
    <s v="5039/SPP/SBU/PLNICONPLUS/2024"/>
    <s v="8489/SPP/SBU/PLNICONPLUS/2025"/>
    <n v="4500026623"/>
    <s v="Renata Simanjuntak"/>
    <s v="Asep "/>
    <s v="+62 857-7177-7685"/>
    <m/>
    <m/>
    <m/>
    <m/>
    <m/>
    <m/>
    <m/>
    <m/>
    <n v="411"/>
    <m/>
  </r>
  <r>
    <n v="2815"/>
    <s v="Iforte Solusi Infotek"/>
    <s v="PT Prodia Widyahusada"/>
    <m/>
    <x v="1"/>
    <m/>
    <s v="Ruko Kebayoran Arcade 2 Sektor 7, Blok B No.33-35, Bintaro, Tangerang, Jawa Barat, Indonesia"/>
    <s v="Sewa Bulanan"/>
    <s v="Interkoneksi"/>
    <s v="PA/UPG/2201/0520"/>
    <s v="01000003493"/>
    <n v="0.995"/>
    <s v="IPVPN"/>
    <s v="5 Mbps"/>
    <m/>
    <n v="30000000"/>
    <m/>
    <m/>
    <n v="78000000"/>
    <m/>
    <d v="2025-11-01T00:00:00"/>
    <d v="2026-10-31T00:00:00"/>
    <x v="1"/>
    <m/>
    <d v="2025-12-24T00:00:00"/>
    <n v="311"/>
    <n v="10"/>
    <n v="2026"/>
    <s v="4136/SPP/SBU/PLNICONPLUS/2024"/>
    <s v="8368/SPP/SBU/PLNICONPLUS/2025"/>
    <n v="4500026450"/>
    <s v="Renata Simanjuntak"/>
    <s v="Firdio Iksan"/>
    <s v="+62 815-9489-484"/>
    <m/>
    <m/>
    <m/>
    <m/>
    <m/>
    <m/>
    <m/>
    <m/>
    <n v="350"/>
    <s v="Menunggu PO kembali"/>
  </r>
  <r>
    <n v="2816"/>
    <s v="Cyberindo Aditama"/>
    <s v="PT Indosat Tbk"/>
    <s v="Gedung Cyber 2 Tower, Lt 33 Jl. HP Rasuna Said Blok X-5 No. 13 Kuningan Timur Setiabudi Jakarta Selatan 12950"/>
    <x v="1"/>
    <m/>
    <s v="CCBI KC Sahid Sudirman Center Gedung Sahid Sudirman Center Lt. 15 Jl. Jendral Sudirman Kav.86 Jakarta Pusat 10220"/>
    <s v="Sewa Bulanan"/>
    <s v="Interkoneksi"/>
    <s v="A111303007095"/>
    <s v="111090116089 / 111303015280"/>
    <n v="0.995"/>
    <s v="Local Loop"/>
    <s v="100 Mbps"/>
    <n v="5000000"/>
    <n v="81600000"/>
    <m/>
    <n v="3000000"/>
    <n v="56400000"/>
    <m/>
    <d v="2025-11-10T00:00:00"/>
    <d v="2026-11-09T00:00:00"/>
    <x v="1"/>
    <m/>
    <d v="2025-12-24T00:00:00"/>
    <n v="320"/>
    <n v="11"/>
    <n v="2026"/>
    <s v="baru"/>
    <s v="7835/SPP/SBU/PLNICONPLUS/2025"/>
    <n v="4500026669"/>
    <s v="Renata Simanjuntak"/>
    <s v="Kharisma"/>
    <s v="+62 878-1104-9256"/>
    <m/>
    <m/>
    <m/>
    <m/>
    <m/>
    <m/>
    <m/>
    <m/>
    <n v="396"/>
    <m/>
  </r>
  <r>
    <n v="2817"/>
    <s v="Aplikanusa Lintasarta"/>
    <s v="PT Telekomunikasi Indonesia International"/>
    <m/>
    <x v="1"/>
    <s v="Subduct Existing - PLTU Jawa 7, Jl. Raya Bojonegara, Desa Terate, Kec. Kramatwatu, Kab. Serang, Banten"/>
    <s v="APL Tower Lt. 39 Unit T9 Podomoro City Jl. Letjen S. Parman Kav. 28 Kel. Tanjung Duren Selatan, Kec. Grogol Petamburan Jakarta"/>
    <s v="Sewa Bulanan"/>
    <s v="Interkoneksi"/>
    <s v="A821202000679"/>
    <s v="111202018338"/>
    <n v="0.99"/>
    <s v="Metronet"/>
    <s v="50 Mbps"/>
    <m/>
    <n v="334800000"/>
    <m/>
    <m/>
    <n v="196560000"/>
    <m/>
    <d v="2026-01-06T00:00:00"/>
    <d v="2027-01-05T00:00:00"/>
    <x v="1"/>
    <m/>
    <d v="2025-12-24T00:00:00"/>
    <n v="377"/>
    <n v="1"/>
    <n v="2027"/>
    <s v="5237/SPP/SBU/PLNICONPLUS/2024"/>
    <s v="9060/SPP/SBU/PLNICONPLUS/2025"/>
    <n v="4500026952"/>
    <s v="Renata Simanjuntak"/>
    <s v="Ilham"/>
    <s v="+62 823-6997-0039"/>
    <m/>
    <m/>
    <m/>
    <m/>
    <m/>
    <m/>
    <m/>
    <m/>
    <m/>
    <s v="Menunggu PO Kembali"/>
  </r>
  <r>
    <n v="2818"/>
    <s v="Serpong Mas Telematika"/>
    <s v="PT PLN Kantor Pusat (Rumah Dirut PLN)"/>
    <s v="MyRepublik plaza lt 2 Wing A"/>
    <x v="1"/>
    <s v="PLN Kantor Pusat"/>
    <s v="PT PLN Kantor Pusat Rumah Dirut PLN (Bapak Darmawan P), The Green BSD, Clustur Grand Canyon Blok i-2 No 25, Kota Tangerang 15310"/>
    <s v="Sewa Bulanan"/>
    <s v="Interkoneksi"/>
    <s v=" _x0009_PA/UPG/2009/0134"/>
    <s v="04000099114"/>
    <s v="99,50%"/>
    <s v="Internet Corporate"/>
    <s v="50 Mbps"/>
    <m/>
    <n v="150586800"/>
    <m/>
    <m/>
    <n v="147000000"/>
    <m/>
    <d v="2025-09-29T00:00:00"/>
    <d v="2026-09-28T00:00:00"/>
    <x v="1"/>
    <m/>
    <d v="2025-12-24T00:00:00"/>
    <n v="278"/>
    <n v="9"/>
    <n v="2025"/>
    <s v="3848/SPP/SBU/PLNICONPLUS/2024"/>
    <s v="8563/SPP/SBU/PLNICONPLUS/2025"/>
    <n v="4500026727"/>
    <s v="Renata Simanjuntak"/>
    <s v="Masrukhan"/>
    <s v="+62 812-9844-8648"/>
    <m/>
    <m/>
    <m/>
    <m/>
    <m/>
    <m/>
    <m/>
    <m/>
    <n v="413"/>
    <m/>
  </r>
  <r>
    <n v="2819"/>
    <s v="Serpong Mas Telematika"/>
    <s v="PT Nippon Konpo Indonesia"/>
    <s v="MyRepublik plaza lt 2 Wing A"/>
    <x v="1"/>
    <m/>
    <s v="(Delta Mas Branch) H5WH+GFH, Sukamukti, Kec. Bojongmangu, Kabupaten Bekasi, Jawa Barat"/>
    <s v="Sewa Bulanan"/>
    <s v="Interkoneksi"/>
    <s v="A821303001338"/>
    <s v="111303014333"/>
    <s v="99,50%"/>
    <s v="Internet Corporate"/>
    <s v="50 Mbps"/>
    <m/>
    <n v="282000000"/>
    <m/>
    <m/>
    <n v="126000000"/>
    <m/>
    <d v="2025-12-30T00:00:00"/>
    <d v="2026-12-29T00:00:00"/>
    <x v="1"/>
    <m/>
    <d v="2025-12-24T00:00:00"/>
    <n v="370"/>
    <n v="12"/>
    <n v="2026"/>
    <s v="5456/SPP/SBU/PLNICONPLUS/2024"/>
    <s v="8755/SPP/SBU/PLNICONPLUS/2025"/>
    <n v="4500026800"/>
    <s v="Renata Simanjuntak"/>
    <s v="Masrukhan"/>
    <s v="+62 812-9844-8648"/>
    <m/>
    <m/>
    <m/>
    <m/>
    <m/>
    <m/>
    <m/>
    <m/>
    <n v="414"/>
    <s v="Menunggu PO kembali"/>
  </r>
  <r>
    <n v="2820"/>
    <s v="Fiber Media Indonesia"/>
    <s v="PT Oktri Syarief Group (OMDC)"/>
    <m/>
    <x v="1"/>
    <m/>
    <s v="PT Oktri Syarief Group (OMDC), Jl. Agung Utama Raya Blok A 36, A No.9, Sunter Agung"/>
    <s v="Sewa Bulanan"/>
    <s v="Interkoneksi"/>
    <s v="A821303001440"/>
    <n v="11130301567"/>
    <n v="0.99"/>
    <s v="Internet Corporate"/>
    <s v="50 Mbps"/>
    <n v="3000000"/>
    <n v="3500000"/>
    <m/>
    <n v="2500000"/>
    <n v="2000000"/>
    <m/>
    <d v="2025-11-04T00:00:00"/>
    <d v="2026-11-03T00:00:00"/>
    <x v="1"/>
    <m/>
    <d v="2025-12-24T00:00:00"/>
    <n v="314"/>
    <n v="11"/>
    <n v="2026"/>
    <s v="baru"/>
    <s v="8192/SPP/SBU/PLNICONPLUS/2025"/>
    <n v="4500026393"/>
    <s v="Renata Simanjuntak"/>
    <s v="Lukas"/>
    <s v="+62 817-6738-144"/>
    <m/>
    <m/>
    <m/>
    <m/>
    <m/>
    <m/>
    <m/>
    <m/>
    <n v="348"/>
    <m/>
  </r>
  <r>
    <n v="2821"/>
    <s v="PT Patra Jasa"/>
    <s v="PT. BANK RAKYAT INDONESIA TBK"/>
    <m/>
    <x v="3"/>
    <m/>
    <s v="H2H BRI Pertamina, PT. Patra Jasa Graha Pertamina Building Management, Ground Floor, JL. Medan Merdeka Timur Kav. 11-13, Gambir Jakarta Pusat, DKI Jakarta"/>
    <s v="BAGI HASIL"/>
    <s v="Revenue Sharing"/>
    <s v="AL/2109/82752"/>
    <m/>
    <m/>
    <s v="IPVPN"/>
    <m/>
    <m/>
    <n v="65454540"/>
    <m/>
    <m/>
    <m/>
    <n v="0.2"/>
    <d v="2022-03-04T00:00:00"/>
    <d v="2023-03-04T00:00:00"/>
    <x v="1"/>
    <m/>
    <d v="2025-12-24T00:00:00"/>
    <n v="-1026"/>
    <n v="3"/>
    <n v="2023"/>
    <m/>
    <m/>
    <m/>
    <s v="Syifa Fauziyah"/>
    <s v="Abel, Rudi"/>
    <m/>
    <m/>
    <m/>
    <m/>
    <m/>
    <m/>
    <m/>
    <m/>
    <m/>
    <m/>
    <m/>
  </r>
  <r>
    <n v="2822"/>
    <s v="PT Patra Jasa"/>
    <s v="PT. LANDMARK CONCURENT SOLUSI INDONESIA"/>
    <m/>
    <x v="3"/>
    <m/>
    <s v="Graha pertamina, II, Jl. Medan Merdeka Timur No. 6, RT6/RW1, Gambir, Kec. Gambir, Jakarta Pusat."/>
    <s v="BAGI HASIL"/>
    <s v="Revenue Sharing"/>
    <s v="AL/2111/129144"/>
    <m/>
    <m/>
    <s v="Metronet"/>
    <m/>
    <m/>
    <n v="240000000"/>
    <m/>
    <m/>
    <m/>
    <n v="0.2"/>
    <d v="2022-03-04T00:00:00"/>
    <d v="2023-03-04T00:00:00"/>
    <x v="1"/>
    <m/>
    <d v="2025-12-24T00:00:00"/>
    <n v="-1026"/>
    <n v="3"/>
    <n v="2023"/>
    <m/>
    <m/>
    <m/>
    <s v="Syifa Fauziyah"/>
    <s v="Abel, Rudi"/>
    <m/>
    <m/>
    <m/>
    <m/>
    <m/>
    <m/>
    <m/>
    <m/>
    <m/>
    <m/>
    <m/>
  </r>
  <r>
    <n v="2823"/>
    <s v="PT Patra Jasa"/>
    <s v="PT. LANDMARK CONCURENT SOLUSI INDONESIA"/>
    <m/>
    <x v="3"/>
    <m/>
    <s v="Graha pertamina, II, Jl. Medan Merdeka Timur No. 6, RT6/RW1, Gambir, Kec. Gambir, Jakarta Pusat."/>
    <s v="BAGI HASIL"/>
    <s v="Revenue Sharing"/>
    <s v="AL/2111/129154"/>
    <m/>
    <m/>
    <s v="Metronet"/>
    <m/>
    <m/>
    <n v="240000000"/>
    <m/>
    <m/>
    <m/>
    <n v="0.2"/>
    <d v="2022-03-04T00:00:00"/>
    <d v="2023-03-04T00:00:00"/>
    <x v="1"/>
    <m/>
    <d v="2025-12-24T00:00:00"/>
    <n v="-1026"/>
    <n v="3"/>
    <n v="2023"/>
    <m/>
    <m/>
    <m/>
    <s v="Syifa Fauziyah"/>
    <s v="Abel, Rudi"/>
    <m/>
    <m/>
    <m/>
    <m/>
    <m/>
    <m/>
    <m/>
    <m/>
    <m/>
    <m/>
    <m/>
  </r>
  <r>
    <n v="2824"/>
    <s v="PT Patra Jasa"/>
    <s v="PT. PERTAMINA (PERSERO)"/>
    <m/>
    <x v="3"/>
    <m/>
    <s v="Graha Pertamina, II, JL. Medan Merdeka Timur No. 6, Rt6/RW1, Gambir, Kec. Gambar, Jakarta Pusat"/>
    <s v="BAGI HASIL"/>
    <s v="Revenue Sharing"/>
    <s v="AL/2109/80255"/>
    <m/>
    <m/>
    <s v="IPVPN"/>
    <m/>
    <m/>
    <n v="450000000"/>
    <m/>
    <m/>
    <m/>
    <n v="0.2"/>
    <d v="2022-03-04T00:00:00"/>
    <d v="2023-03-04T00:00:00"/>
    <x v="1"/>
    <m/>
    <d v="2025-12-24T00:00:00"/>
    <n v="-1026"/>
    <n v="3"/>
    <n v="2023"/>
    <m/>
    <m/>
    <m/>
    <s v="Syifa Fauziyah"/>
    <s v="Abel, Rudi"/>
    <m/>
    <m/>
    <m/>
    <m/>
    <m/>
    <m/>
    <m/>
    <m/>
    <m/>
    <m/>
    <m/>
  </r>
  <r>
    <n v="2825"/>
    <s v="PT Patra Jasa"/>
    <s v="PT. PERTAMINA (PERSERO)"/>
    <m/>
    <x v="3"/>
    <m/>
    <s v="Graha Pertamina, II, JL. Medan Merdeka Timur No. 6, Rt6/RW1, Gambir, Kec. Gambar, Jakarta Pusat"/>
    <s v="BAGI HASIL"/>
    <s v="Revenue Sharing"/>
    <s v="AL/2104/23059"/>
    <m/>
    <m/>
    <s v="Metronet"/>
    <m/>
    <m/>
    <n v="172200000"/>
    <m/>
    <m/>
    <m/>
    <n v="0.2"/>
    <d v="2022-03-04T00:00:00"/>
    <d v="2023-03-04T00:00:00"/>
    <x v="1"/>
    <m/>
    <d v="2025-12-24T00:00:00"/>
    <n v="-1026"/>
    <n v="3"/>
    <n v="2023"/>
    <m/>
    <m/>
    <m/>
    <s v="Syifa Fauziyah"/>
    <s v="Abel, Rudi"/>
    <m/>
    <m/>
    <m/>
    <m/>
    <m/>
    <m/>
    <m/>
    <m/>
    <m/>
    <m/>
    <m/>
  </r>
  <r>
    <n v="2826"/>
    <s v="PT Patra Jasa"/>
    <s v="PT. PERTAMINA BINA MEDIKA "/>
    <m/>
    <x v="3"/>
    <m/>
    <s v="Graha Pertamina, II, JL. Medan Merdeka Timur No. 6, Rt6/RW1, Gambir, Kec. Gambar, Jakarta Pusat"/>
    <s v="BAGI HASIL"/>
    <s v="Revenue Sharing"/>
    <s v="AL/2110/97886"/>
    <m/>
    <m/>
    <s v="IP Transit IX_x000a_"/>
    <m/>
    <m/>
    <n v="307200000"/>
    <m/>
    <m/>
    <m/>
    <n v="0.2"/>
    <d v="2022-03-04T00:00:00"/>
    <d v="2023-03-04T00:00:00"/>
    <x v="1"/>
    <m/>
    <d v="2025-12-24T00:00:00"/>
    <n v="-1026"/>
    <n v="3"/>
    <n v="2023"/>
    <m/>
    <m/>
    <m/>
    <s v="Syifa Fauziyah"/>
    <s v="Abel, Rudi"/>
    <m/>
    <m/>
    <m/>
    <m/>
    <m/>
    <m/>
    <m/>
    <m/>
    <m/>
    <m/>
    <m/>
  </r>
  <r>
    <n v="2827"/>
    <s v="PT Patra Jasa"/>
    <s v="PT. PERTAMINA GAS "/>
    <m/>
    <x v="3"/>
    <m/>
    <s v="Graha Pertamina, II, JL. Medan Merdeka Timur No. 6, Rt6/RW1, Gambir, Kec. Gambar, Jakarta Pusat"/>
    <s v="BAGI HASIL"/>
    <s v="Revenue Sharing"/>
    <s v="AL/2211/326578"/>
    <m/>
    <m/>
    <s v="IPVPN"/>
    <m/>
    <m/>
    <n v="120000000"/>
    <m/>
    <m/>
    <m/>
    <n v="0.2"/>
    <d v="2022-03-04T00:00:00"/>
    <d v="2023-03-04T00:00:00"/>
    <x v="1"/>
    <m/>
    <d v="2025-12-24T00:00:00"/>
    <n v="-1026"/>
    <n v="3"/>
    <n v="2023"/>
    <m/>
    <m/>
    <m/>
    <s v="Syifa Fauziyah"/>
    <s v="Abel, Rudi"/>
    <m/>
    <m/>
    <m/>
    <m/>
    <m/>
    <m/>
    <m/>
    <m/>
    <m/>
    <m/>
    <m/>
  </r>
  <r>
    <n v="2828"/>
    <s v="PT Patra Jasa"/>
    <s v="PT. BANK RAKYAT INDONESIA TBK"/>
    <m/>
    <x v="3"/>
    <m/>
    <s v="H2H BRI Pertamina, PT. Patra Jasa Graha Pertamina Building Management, Ground Floor, JL. Medan Merdeka Timur Kav. 11-13, Gambir Jakarta Pusat, DKI Jakarta"/>
    <s v="BAGI HASIL"/>
    <s v="Revenue Sharing"/>
    <s v="AL/2109/82752"/>
    <m/>
    <m/>
    <s v="IPVPN"/>
    <m/>
    <m/>
    <n v="65454540"/>
    <m/>
    <m/>
    <m/>
    <n v="0.2"/>
    <d v="2023-03-04T00:00:00"/>
    <d v="2024-03-04T00:00:00"/>
    <x v="1"/>
    <m/>
    <d v="2025-12-24T00:00:00"/>
    <n v="-660"/>
    <n v="3"/>
    <n v="2024"/>
    <m/>
    <m/>
    <m/>
    <s v="Syifa Fauziyah"/>
    <s v="Ina"/>
    <s v="+62 878-8185-0288"/>
    <m/>
    <m/>
    <m/>
    <m/>
    <m/>
    <m/>
    <m/>
    <m/>
    <m/>
    <m/>
  </r>
  <r>
    <n v="2829"/>
    <s v="PT Patra Jasa"/>
    <s v="PT. LANDMARK CONCURENT SOLUSI INDONESIA"/>
    <m/>
    <x v="3"/>
    <m/>
    <s v="Graha pertamina, II, Jl. Medan Merdeka Timur No. 6, RT6/RW1, Gambir, Kec. Gambir, Jakarta Pusat."/>
    <s v="BAGI HASIL"/>
    <s v="Revenue Sharing"/>
    <s v="AL/2111/129144"/>
    <m/>
    <m/>
    <s v="Metronet"/>
    <m/>
    <m/>
    <n v="240000000"/>
    <m/>
    <m/>
    <m/>
    <n v="0.2"/>
    <d v="2023-03-04T00:00:00"/>
    <d v="2024-03-04T00:00:00"/>
    <x v="1"/>
    <m/>
    <d v="2025-12-24T00:00:00"/>
    <n v="-660"/>
    <n v="3"/>
    <n v="2024"/>
    <m/>
    <m/>
    <m/>
    <s v="Syifa Fauziyah"/>
    <s v="Ina"/>
    <s v="+62 878-8185-0288"/>
    <m/>
    <m/>
    <m/>
    <m/>
    <m/>
    <m/>
    <m/>
    <m/>
    <m/>
    <m/>
  </r>
  <r>
    <n v="2830"/>
    <s v="PT Patra Jasa"/>
    <s v="PT. LANDMARK CONCURENT SOLUSI INDONESIA"/>
    <m/>
    <x v="3"/>
    <m/>
    <s v="Graha pertamina, II, Jl. Medan Merdeka Timur No. 6, RT6/RW1, Gambir, Kec. Gambir, Jakarta Pusat."/>
    <s v="BAGI HASIL"/>
    <s v="Revenue Sharing"/>
    <s v="AL/2111/129154"/>
    <m/>
    <m/>
    <s v="Metronet"/>
    <m/>
    <m/>
    <n v="240000000"/>
    <m/>
    <m/>
    <m/>
    <n v="0.2"/>
    <d v="2023-03-04T00:00:00"/>
    <d v="2024-03-04T00:00:00"/>
    <x v="1"/>
    <m/>
    <d v="2025-12-24T00:00:00"/>
    <n v="-660"/>
    <n v="3"/>
    <n v="2024"/>
    <m/>
    <m/>
    <m/>
    <s v="Syifa Fauziyah"/>
    <s v="Ina"/>
    <s v="+62 878-8185-0288"/>
    <m/>
    <m/>
    <m/>
    <m/>
    <m/>
    <m/>
    <m/>
    <m/>
    <m/>
    <m/>
  </r>
  <r>
    <n v="2831"/>
    <s v="PT Patra Jasa"/>
    <s v="PT. PERTAMINA (PERSERO)"/>
    <m/>
    <x v="3"/>
    <m/>
    <s v="Graha Pertamina, II, JL. Medan Merdeka Timur No. 6, Rt6/RW1, Gambir, Kec. Gambar, Jakarta Pusat"/>
    <s v="BAGI HASIL"/>
    <s v="Revenue Sharing"/>
    <s v="AL/2109/80255"/>
    <m/>
    <m/>
    <s v="IPVPN"/>
    <m/>
    <m/>
    <n v="450000000"/>
    <m/>
    <m/>
    <m/>
    <n v="0.2"/>
    <d v="2023-03-04T00:00:00"/>
    <d v="2024-03-04T00:00:00"/>
    <x v="1"/>
    <m/>
    <d v="2025-12-24T00:00:00"/>
    <n v="-660"/>
    <n v="3"/>
    <n v="2024"/>
    <m/>
    <m/>
    <m/>
    <s v="Syifa Fauziyah"/>
    <s v="Ina"/>
    <s v="+62 878-8185-0288"/>
    <m/>
    <m/>
    <m/>
    <m/>
    <m/>
    <m/>
    <m/>
    <m/>
    <m/>
    <m/>
  </r>
  <r>
    <n v="2832"/>
    <s v="PT Patra Jasa"/>
    <s v="PT. PERTAMINA (PERSERO)"/>
    <m/>
    <x v="3"/>
    <m/>
    <s v="Graha Pertamina, II, JL. Medan Merdeka Timur No. 6, Rt6/RW1, Gambir, Kec. Gambar, Jakarta Pusat"/>
    <s v="BAGI HASIL"/>
    <s v="Revenue Sharing"/>
    <s v="AL/2104/23059"/>
    <m/>
    <m/>
    <s v="Metronet"/>
    <m/>
    <m/>
    <n v="172200000"/>
    <m/>
    <m/>
    <m/>
    <n v="0.2"/>
    <d v="2023-03-04T00:00:00"/>
    <d v="2024-03-04T00:00:00"/>
    <x v="1"/>
    <m/>
    <d v="2025-12-24T00:00:00"/>
    <n v="-660"/>
    <n v="3"/>
    <n v="2024"/>
    <m/>
    <m/>
    <m/>
    <s v="Syifa Fauziyah"/>
    <s v="Ina"/>
    <s v="+62 878-8185-0288"/>
    <m/>
    <m/>
    <m/>
    <m/>
    <m/>
    <m/>
    <m/>
    <m/>
    <m/>
    <m/>
  </r>
  <r>
    <n v="2833"/>
    <s v="PT Patra Jasa"/>
    <s v="PT. PERTAMINA BINA MEDIKA "/>
    <m/>
    <x v="3"/>
    <m/>
    <s v="Graha Pertamina, II, JL. Medan Merdeka Timur No. 6, Rt6/RW1, Gambir, Kec. Gambar, Jakarta Pusat"/>
    <s v="BAGI HASIL"/>
    <s v="Revenue Sharing"/>
    <s v="AL/2110/97886"/>
    <m/>
    <m/>
    <s v="IP Transit IX_x000a_"/>
    <m/>
    <m/>
    <n v="307200000"/>
    <m/>
    <m/>
    <m/>
    <n v="0.2"/>
    <d v="2023-03-04T00:00:00"/>
    <d v="2024-03-04T00:00:00"/>
    <x v="1"/>
    <m/>
    <d v="2025-12-24T00:00:00"/>
    <n v="-660"/>
    <n v="3"/>
    <n v="2024"/>
    <m/>
    <m/>
    <m/>
    <s v="Syifa Fauziyah"/>
    <s v="Ina"/>
    <s v="+62 878-8185-0288"/>
    <m/>
    <m/>
    <m/>
    <m/>
    <m/>
    <m/>
    <m/>
    <m/>
    <m/>
    <m/>
  </r>
  <r>
    <n v="2834"/>
    <s v="PT Patra Jasa"/>
    <s v="PT. PERTAMINA GAS "/>
    <m/>
    <x v="3"/>
    <m/>
    <s v="Graha Pertamina, II, JL. Medan Merdeka Timur No. 6, Rt6/RW1, Gambir, Kec. Gambar, Jakarta Pusat"/>
    <s v="BAGI HASIL"/>
    <s v="Revenue Sharing"/>
    <s v="AL/2211/326578"/>
    <m/>
    <m/>
    <s v="IPVPN"/>
    <m/>
    <m/>
    <n v="120000000"/>
    <m/>
    <m/>
    <m/>
    <n v="0.2"/>
    <d v="2023-03-04T00:00:00"/>
    <d v="2024-03-04T00:00:00"/>
    <x v="1"/>
    <m/>
    <d v="2025-12-24T00:00:00"/>
    <n v="-660"/>
    <n v="3"/>
    <n v="2024"/>
    <m/>
    <m/>
    <m/>
    <s v="Syifa Fauziyah"/>
    <s v="Ina"/>
    <s v="+62 878-8185-0288"/>
    <m/>
    <m/>
    <m/>
    <m/>
    <m/>
    <m/>
    <m/>
    <m/>
    <m/>
    <m/>
  </r>
  <r>
    <n v="2835"/>
    <s v="PT Patra Jasa"/>
    <s v="PT. BANK RAKYAT INDONESIA TBK"/>
    <m/>
    <x v="3"/>
    <m/>
    <s v="H2H BRI Pertamina, PT. Patra Jasa Graha Pertamina Building Management, Ground Floor, JL. Medan Merdeka Timur Kav. 11-13, Gambir Jakarta Pusat, DKI Jakarta"/>
    <s v="BAGI HASIL"/>
    <s v="Revenue Sharing"/>
    <s v="AL/2109/82752"/>
    <m/>
    <m/>
    <s v="IPVPN"/>
    <m/>
    <m/>
    <n v="65454540"/>
    <m/>
    <m/>
    <m/>
    <n v="0.2"/>
    <d v="2024-03-04T00:00:00"/>
    <d v="2025-03-04T00:00:00"/>
    <x v="1"/>
    <m/>
    <d v="2025-12-24T00:00:00"/>
    <n v="-295"/>
    <n v="3"/>
    <n v="2025"/>
    <m/>
    <m/>
    <m/>
    <s v="Syifa Fauziyah"/>
    <s v="Ina"/>
    <s v="+62 878-8185-0288"/>
    <m/>
    <m/>
    <m/>
    <m/>
    <m/>
    <m/>
    <m/>
    <m/>
    <m/>
    <m/>
  </r>
  <r>
    <n v="2836"/>
    <s v="PT Patra Jasa"/>
    <s v="PT. LANDMARK CONCURENT SOLUSI INDONESIA"/>
    <m/>
    <x v="3"/>
    <m/>
    <s v="Graha pertamina, II, Jl. Medan Merdeka Timur No. 6, RT6/RW1, Gambir, Kec. Gambir, Jakarta Pusat."/>
    <s v="BAGI HASIL"/>
    <s v="Revenue Sharing"/>
    <s v="AL/2111/129144"/>
    <m/>
    <m/>
    <s v="Metronet"/>
    <m/>
    <m/>
    <n v="240000000"/>
    <m/>
    <m/>
    <m/>
    <n v="0.2"/>
    <d v="2024-03-04T00:00:00"/>
    <d v="2025-03-04T00:00:00"/>
    <x v="1"/>
    <m/>
    <d v="2025-12-24T00:00:00"/>
    <n v="-295"/>
    <n v="3"/>
    <n v="2025"/>
    <m/>
    <m/>
    <m/>
    <s v="Syifa Fauziyah"/>
    <s v="Ina"/>
    <s v="+62 878-8185-0288"/>
    <m/>
    <m/>
    <m/>
    <m/>
    <m/>
    <m/>
    <m/>
    <m/>
    <m/>
    <m/>
  </r>
  <r>
    <n v="2837"/>
    <s v="PT Patra Jasa"/>
    <s v="PT. LANDMARK CONCURENT SOLUSI INDONESIA"/>
    <m/>
    <x v="3"/>
    <m/>
    <s v="Graha pertamina, II, Jl. Medan Merdeka Timur No. 6, RT6/RW1, Gambir, Kec. Gambir, Jakarta Pusat."/>
    <s v="BAGI HASIL"/>
    <s v="Revenue Sharing"/>
    <s v="AL/2111/129154"/>
    <m/>
    <m/>
    <s v="Metronet"/>
    <m/>
    <m/>
    <n v="240000000"/>
    <m/>
    <m/>
    <m/>
    <n v="0.2"/>
    <d v="2024-03-04T00:00:00"/>
    <d v="2025-03-04T00:00:00"/>
    <x v="1"/>
    <m/>
    <d v="2025-12-24T00:00:00"/>
    <n v="-295"/>
    <n v="3"/>
    <n v="2025"/>
    <m/>
    <m/>
    <m/>
    <s v="Syifa Fauziyah"/>
    <s v="Ina"/>
    <s v="+62 878-8185-0288"/>
    <m/>
    <m/>
    <m/>
    <m/>
    <m/>
    <m/>
    <m/>
    <m/>
    <m/>
    <m/>
  </r>
  <r>
    <n v="2838"/>
    <s v="PT Patra Jasa"/>
    <s v="PT. PERTAMINA (PERSERO)"/>
    <m/>
    <x v="3"/>
    <m/>
    <s v="Graha Pertamina, II, JL. Medan Merdeka Timur No. 6, Rt6/RW1, Gambir, Kec. Gambar, Jakarta Pusat"/>
    <s v="BAGI HASIL"/>
    <s v="Revenue Sharing"/>
    <s v="AL/2109/80255"/>
    <m/>
    <m/>
    <s v="IPVPN"/>
    <m/>
    <m/>
    <n v="450000000"/>
    <m/>
    <m/>
    <m/>
    <n v="0.2"/>
    <d v="2024-03-04T00:00:00"/>
    <d v="2025-03-04T00:00:00"/>
    <x v="1"/>
    <m/>
    <d v="2025-12-24T00:00:00"/>
    <n v="-295"/>
    <n v="3"/>
    <n v="2025"/>
    <m/>
    <m/>
    <m/>
    <s v="Syifa Fauziyah"/>
    <s v="Ina"/>
    <s v="+62 878-8185-0288"/>
    <m/>
    <m/>
    <m/>
    <m/>
    <m/>
    <m/>
    <m/>
    <m/>
    <m/>
    <m/>
  </r>
  <r>
    <n v="2839"/>
    <s v="PT Patra Jasa"/>
    <s v="PT. PERTAMINA (PERSERO)"/>
    <m/>
    <x v="3"/>
    <m/>
    <s v="Graha Pertamina, II, JL. Medan Merdeka Timur No. 6, Rt6/RW1, Gambir, Kec. Gambar, Jakarta Pusat"/>
    <s v="BAGI HASIL"/>
    <s v="Revenue Sharing"/>
    <s v="AL/2104/23059"/>
    <m/>
    <m/>
    <s v="Metronet"/>
    <m/>
    <m/>
    <n v="172200000"/>
    <m/>
    <m/>
    <m/>
    <n v="0.2"/>
    <d v="2024-03-04T00:00:00"/>
    <d v="2025-03-04T00:00:00"/>
    <x v="1"/>
    <m/>
    <d v="2025-12-24T00:00:00"/>
    <n v="-295"/>
    <n v="3"/>
    <n v="2025"/>
    <m/>
    <m/>
    <m/>
    <s v="Syifa Fauziyah"/>
    <s v="Ina"/>
    <s v="+62 878-8185-0288"/>
    <m/>
    <m/>
    <m/>
    <m/>
    <m/>
    <m/>
    <m/>
    <m/>
    <m/>
    <m/>
  </r>
  <r>
    <n v="2840"/>
    <s v="PT Patra Jasa"/>
    <s v="PT. PERTAMINA BINA MEDIKA "/>
    <m/>
    <x v="3"/>
    <m/>
    <s v="Graha Pertamina, II, JL. Medan Merdeka Timur No. 6, Rt6/RW1, Gambir, Kec. Gambar, Jakarta Pusat"/>
    <s v="BAGI HASIL"/>
    <s v="Revenue Sharing"/>
    <s v="AL/2110/97886"/>
    <m/>
    <m/>
    <s v="IP Transit IX_x000a_"/>
    <m/>
    <m/>
    <n v="307200000"/>
    <m/>
    <m/>
    <m/>
    <n v="0.2"/>
    <d v="2024-03-04T00:00:00"/>
    <d v="2025-03-04T00:00:00"/>
    <x v="1"/>
    <m/>
    <d v="2025-12-24T00:00:00"/>
    <n v="-295"/>
    <n v="3"/>
    <n v="2025"/>
    <m/>
    <m/>
    <m/>
    <s v="Syifa Fauziyah"/>
    <s v="Ina"/>
    <s v="+62 878-8185-0288"/>
    <m/>
    <m/>
    <m/>
    <m/>
    <m/>
    <m/>
    <m/>
    <m/>
    <m/>
    <m/>
  </r>
  <r>
    <n v="2841"/>
    <s v="PT Patra Jasa"/>
    <s v="PT. PERTAMINA GAS "/>
    <m/>
    <x v="3"/>
    <m/>
    <s v="Graha Pertamina, II, JL. Medan Merdeka Timur No. 6, Rt6/RW1, Gambir, Kec. Gambar, Jakarta Pusat"/>
    <s v="BAGI HASIL"/>
    <s v="Revenue Sharing"/>
    <s v="AL/2211/326578"/>
    <m/>
    <m/>
    <s v="IPVPN"/>
    <m/>
    <m/>
    <n v="120000000"/>
    <m/>
    <m/>
    <m/>
    <n v="0.2"/>
    <d v="2024-03-04T00:00:00"/>
    <d v="2025-03-04T00:00:00"/>
    <x v="1"/>
    <m/>
    <d v="2025-12-24T00:00:00"/>
    <n v="-295"/>
    <n v="3"/>
    <n v="2025"/>
    <m/>
    <m/>
    <m/>
    <s v="Syifa Fauziyah"/>
    <s v="Ina"/>
    <s v="+62 878-8185-0288"/>
    <m/>
    <m/>
    <m/>
    <m/>
    <m/>
    <m/>
    <m/>
    <m/>
    <m/>
    <m/>
  </r>
  <r>
    <n v="2842"/>
    <s v="PT Patra Jasa"/>
    <s v="PT. BANK RAKYAT INDONESIA TBK"/>
    <m/>
    <x v="1"/>
    <m/>
    <s v="H2H BRI Pertamina, PT. Patra Jasa Graha Pertamina Building Management, Ground Floor, JL. Medan Merdeka Timur Kav. 11-13, Gambir Jakarta Pusat, DKI Jakarta"/>
    <s v="BAGI HASIL"/>
    <s v="Revenue Sharing"/>
    <s v="AL/2109/82752"/>
    <s v="01000159201"/>
    <m/>
    <s v="IPVPN"/>
    <m/>
    <m/>
    <n v="65454540"/>
    <m/>
    <m/>
    <m/>
    <n v="0.2"/>
    <d v="2025-03-04T00:00:00"/>
    <d v="2026-03-04T00:00:00"/>
    <x v="1"/>
    <m/>
    <d v="2025-12-24T00:00:00"/>
    <n v="70"/>
    <n v="3"/>
    <n v="2026"/>
    <m/>
    <m/>
    <m/>
    <s v="Syifa Fauziyah"/>
    <s v="Ina"/>
    <s v="+62 878-8185-0288"/>
    <m/>
    <m/>
    <m/>
    <m/>
    <m/>
    <m/>
    <m/>
    <m/>
    <m/>
    <m/>
  </r>
  <r>
    <n v="2843"/>
    <s v="PT Patra Jasa"/>
    <s v="PT. LANDMARK CONCURENT SOLUSI INDONESIA"/>
    <m/>
    <x v="1"/>
    <m/>
    <s v="Graha pertamina, II, Jl. Medan Merdeka Timur No. 6, RT6/RW1, Gambir, Kec. Gambir, Jakarta Pusat."/>
    <s v="BAGI HASIL"/>
    <s v="Revenue Sharing"/>
    <s v="AL/2111/129144"/>
    <s v="01000160472"/>
    <m/>
    <s v="Metronet"/>
    <m/>
    <m/>
    <n v="240000000"/>
    <m/>
    <m/>
    <m/>
    <n v="0.2"/>
    <d v="2025-03-04T00:00:00"/>
    <d v="2026-03-04T00:00:00"/>
    <x v="1"/>
    <m/>
    <d v="2025-12-24T00:00:00"/>
    <n v="70"/>
    <n v="3"/>
    <n v="2026"/>
    <m/>
    <m/>
    <m/>
    <s v="Syifa Fauziyah"/>
    <s v="Ina"/>
    <s v="+62 878-8185-0288"/>
    <m/>
    <m/>
    <m/>
    <m/>
    <m/>
    <m/>
    <m/>
    <m/>
    <m/>
    <m/>
  </r>
  <r>
    <n v="2844"/>
    <s v="PT Patra Jasa"/>
    <s v="PT. LANDMARK CONCURENT SOLUSI INDONESIA"/>
    <m/>
    <x v="1"/>
    <m/>
    <s v="Graha pertamina, II, Jl. Medan Merdeka Timur No. 6, RT6/RW1, Gambir, Kec. Gambir, Jakarta Pusat."/>
    <s v="BAGI HASIL"/>
    <s v="Revenue Sharing"/>
    <s v="AL/2111/129154"/>
    <s v="01000160471"/>
    <m/>
    <s v="Metronet"/>
    <m/>
    <m/>
    <n v="240000000"/>
    <m/>
    <m/>
    <m/>
    <n v="0.2"/>
    <d v="2025-03-04T00:00:00"/>
    <d v="2026-03-04T00:00:00"/>
    <x v="1"/>
    <m/>
    <d v="2025-12-24T00:00:00"/>
    <n v="70"/>
    <n v="3"/>
    <n v="2026"/>
    <m/>
    <m/>
    <m/>
    <s v="Syifa Fauziyah"/>
    <s v="Ina"/>
    <s v="+62 878-8185-0288"/>
    <m/>
    <m/>
    <m/>
    <m/>
    <m/>
    <m/>
    <m/>
    <m/>
    <m/>
    <m/>
  </r>
  <r>
    <n v="2845"/>
    <s v="PT Patra Jasa"/>
    <s v="PT. PERTAMINA (PERSERO)"/>
    <m/>
    <x v="1"/>
    <m/>
    <s v="Graha Pertamina, II, JL. Medan Merdeka Timur No. 6, Rt6/RW1, Gambir, Kec. Gambar, Jakarta Pusat"/>
    <s v="BAGI HASIL"/>
    <s v="Revenue Sharing"/>
    <s v="AL/2109/80255"/>
    <s v="111202019553"/>
    <m/>
    <s v="IPVPN secondary"/>
    <m/>
    <m/>
    <n v="562800000"/>
    <m/>
    <m/>
    <m/>
    <n v="0.2"/>
    <d v="2025-03-04T00:00:00"/>
    <d v="2026-03-04T00:00:00"/>
    <x v="1"/>
    <m/>
    <d v="2025-12-24T00:00:00"/>
    <n v="70"/>
    <n v="3"/>
    <n v="2026"/>
    <m/>
    <m/>
    <m/>
    <s v="Syifa Fauziyah"/>
    <s v="Ina"/>
    <s v="+62 878-8185-0288"/>
    <m/>
    <m/>
    <m/>
    <m/>
    <m/>
    <m/>
    <m/>
    <m/>
    <m/>
    <m/>
  </r>
  <r>
    <n v="2846"/>
    <s v="PT Patra Jasa"/>
    <s v="PT. PERTAMINA (PERSERO)"/>
    <m/>
    <x v="1"/>
    <m/>
    <s v="Graha Pertamina, II, JL. Medan Merdeka Timur No. 6, Rt6/RW1, Gambir, Kec. Gambar, Jakarta Pusat"/>
    <s v="BAGI HASIL"/>
    <s v="Revenue Sharing"/>
    <m/>
    <s v="111202019554"/>
    <m/>
    <s v="IPVPN Primary"/>
    <m/>
    <m/>
    <n v="562800000"/>
    <m/>
    <m/>
    <m/>
    <n v="0.2"/>
    <d v="2025-03-04T00:00:00"/>
    <d v="2026-03-04T00:00:00"/>
    <x v="1"/>
    <m/>
    <d v="2025-12-18T00:00:00"/>
    <n v="76"/>
    <n v="3"/>
    <n v="2026"/>
    <m/>
    <m/>
    <m/>
    <s v="Syifa Fauziyah"/>
    <s v="Ina"/>
    <s v="+62 878-8185-0288"/>
    <m/>
    <m/>
    <m/>
    <m/>
    <m/>
    <m/>
    <m/>
    <m/>
    <m/>
    <m/>
  </r>
  <r>
    <n v="2847"/>
    <s v="PT Patra Jasa"/>
    <s v="PT. PERTAMINA (PERSERO)"/>
    <m/>
    <x v="1"/>
    <m/>
    <s v="Graha Pertamina, II, JL. Medan Merdeka Timur No. 6, Rt6/RW1, Gambir, Kec. Gambar, Jakarta Pusat"/>
    <s v="BAGI HASIL"/>
    <s v="Revenue Sharing"/>
    <s v="AL/2104/23059"/>
    <s v="111205028603"/>
    <m/>
    <s v="Metronet Secondary"/>
    <m/>
    <m/>
    <n v="756000000"/>
    <m/>
    <m/>
    <m/>
    <n v="0.2"/>
    <d v="2025-03-04T00:00:00"/>
    <d v="2026-03-04T00:00:00"/>
    <x v="1"/>
    <m/>
    <d v="2025-12-24T00:00:00"/>
    <n v="70"/>
    <n v="3"/>
    <n v="2026"/>
    <m/>
    <m/>
    <m/>
    <s v="Syifa Fauziyah"/>
    <s v="Ina"/>
    <s v="+62 878-8185-0288"/>
    <m/>
    <m/>
    <m/>
    <m/>
    <m/>
    <m/>
    <m/>
    <m/>
    <m/>
    <m/>
  </r>
  <r>
    <n v="2848"/>
    <s v="PT Patra Jasa"/>
    <s v="PT. PERTAMINA (PERSERO)"/>
    <m/>
    <x v="1"/>
    <m/>
    <s v="Graha Pertamina, II, JL. Medan Merdeka Timur No. 6, Rt6/RW1, Gambir, Kec. Gambar, Jakarta Pusat"/>
    <s v="BAGI HASIL"/>
    <s v="Revenue Sharing"/>
    <m/>
    <s v="111205028604"/>
    <m/>
    <s v="Metronet Primary"/>
    <m/>
    <m/>
    <n v="756000000"/>
    <m/>
    <m/>
    <m/>
    <n v="0.2"/>
    <d v="2025-03-04T00:00:00"/>
    <d v="2026-03-04T00:00:00"/>
    <x v="1"/>
    <m/>
    <d v="2025-12-18T00:00:00"/>
    <n v="76"/>
    <n v="3"/>
    <n v="2026"/>
    <m/>
    <m/>
    <m/>
    <s v="Syifa Fauziyah"/>
    <s v="Ina"/>
    <s v="+62 878-8185-0288"/>
    <m/>
    <m/>
    <m/>
    <m/>
    <m/>
    <m/>
    <m/>
    <m/>
    <m/>
    <m/>
  </r>
  <r>
    <n v="2849"/>
    <s v="PT Patra Jasa"/>
    <s v="PT. PERTAMINA BINA MEDIKA "/>
    <m/>
    <x v="1"/>
    <m/>
    <s v="Graha Pertamina, II, JL. Medan Merdeka Timur No. 6, Rt6/RW1, Gambir, Kec. Gambar, Jakarta Pusat"/>
    <s v="BAGI HASIL"/>
    <s v="Revenue Sharing"/>
    <s v="AL/2110/97886"/>
    <s v="04000154017 "/>
    <m/>
    <s v="IP Transit IX_x000a_"/>
    <m/>
    <m/>
    <n v="1075200000"/>
    <m/>
    <m/>
    <m/>
    <n v="0.2"/>
    <d v="2025-03-04T00:00:00"/>
    <d v="2026-03-04T00:00:00"/>
    <x v="1"/>
    <m/>
    <d v="2025-12-24T00:00:00"/>
    <n v="70"/>
    <n v="3"/>
    <n v="2026"/>
    <m/>
    <m/>
    <m/>
    <s v="Syifa Fauziyah"/>
    <s v="Ina"/>
    <s v="+62 878-8185-0288"/>
    <m/>
    <m/>
    <m/>
    <m/>
    <m/>
    <m/>
    <m/>
    <m/>
    <m/>
    <m/>
  </r>
  <r>
    <n v="2850"/>
    <s v="PT Patra Jasa"/>
    <s v="PT. PERTAMINA GAS "/>
    <m/>
    <x v="1"/>
    <m/>
    <s v="Graha Pertamina, II, JL. Medan Merdeka Timur No. 6, Rt6/RW1, Gambir, Kec. Gambar, Jakarta Pusat"/>
    <s v="BAGI HASIL"/>
    <s v="Revenue Sharing"/>
    <s v="AL/2211/326578"/>
    <s v="01000162676"/>
    <m/>
    <s v="IPVPN"/>
    <m/>
    <m/>
    <n v="120000000"/>
    <m/>
    <m/>
    <m/>
    <n v="0.2"/>
    <d v="2025-03-04T00:00:00"/>
    <d v="2026-03-04T00:00:00"/>
    <x v="1"/>
    <m/>
    <d v="2025-12-24T00:00:00"/>
    <n v="70"/>
    <n v="3"/>
    <n v="2026"/>
    <m/>
    <m/>
    <m/>
    <s v="Syifa Fauziyah"/>
    <s v="Ina"/>
    <s v="+62 878-8185-0288"/>
    <m/>
    <m/>
    <m/>
    <m/>
    <m/>
    <m/>
    <m/>
    <m/>
    <m/>
    <m/>
  </r>
  <r>
    <n v="2851"/>
    <s v="Aplikanusa Lintasarta"/>
    <s v="PT Softex Indonesia"/>
    <s v="Jl.M.H.Thamrin Kav 3, Jakarta Pusat, 10250"/>
    <x v="1"/>
    <m/>
    <s v="Trembersi Tower. Jl. Pahlawan Seribu Lot VIIA, CBD-BSD, Serpong Sub-District, South Tangerang City, Banten 15311"/>
    <s v="Sewa Bulanan"/>
    <s v="Interkoneksi"/>
    <s v="U111303006856"/>
    <s v="111303014995 / 200001126"/>
    <n v="0.995"/>
    <s v="Internet Corporate "/>
    <s v="550 Mbps"/>
    <m/>
    <n v="360000000"/>
    <m/>
    <m/>
    <n v="180000000"/>
    <m/>
    <d v="2025-06-02T00:00:00"/>
    <d v="2026-06-01T00:00:00"/>
    <x v="1"/>
    <m/>
    <d v="2025-12-24T00:00:00"/>
    <n v="159"/>
    <n v="6"/>
    <n v="2026"/>
    <m/>
    <s v="7257/SPP/SBU/PLNICONPLUS/2025"/>
    <n v="4500026876"/>
    <s v="Renata Simanjuntak"/>
    <s v="Ilham"/>
    <s v="+62 823-6997-0039"/>
    <m/>
    <m/>
    <m/>
    <m/>
    <m/>
    <m/>
    <m/>
    <m/>
    <n v="178"/>
    <m/>
  </r>
  <r>
    <n v="2852"/>
    <s v="Kawasan Berikat Nusantara"/>
    <s v="PT Sari Dumai Oleo"/>
    <s v="Lahan Berikat Nusantara SBU Lahan Tanjung Priok Marunda"/>
    <x v="1"/>
    <m/>
    <s v="Jl. Fak-Fak No. 6, RW. 2, Cilincing, Kec. Cilincing, Jakarta Utara, 14120"/>
    <s v="Sewa Tahunan"/>
    <s v="Colocation"/>
    <s v="111202017279 / 01000362968"/>
    <m/>
    <m/>
    <s v="Internet Corporate"/>
    <s v="100 Mbps"/>
    <m/>
    <n v="165000000"/>
    <m/>
    <m/>
    <m/>
    <m/>
    <d v="2025-08-05T00:00:00"/>
    <d v="2026-08-04T00:00:00"/>
    <x v="1"/>
    <m/>
    <d v="2025-12-24T00:00:00"/>
    <n v="223"/>
    <n v="8"/>
    <n v="2026"/>
    <s v="4518/SPP/SBU/PLNICONPLUS/2024 | 4500023615"/>
    <m/>
    <n v="4500026941"/>
    <s v="Fajar Paramita"/>
    <m/>
    <m/>
    <m/>
    <m/>
    <m/>
    <m/>
    <m/>
    <m/>
    <m/>
    <m/>
    <m/>
    <m/>
  </r>
  <r>
    <n v="2853"/>
    <s v="Kawasan Berikat Nusantara"/>
    <s v="PT Sari Dumai Oleo"/>
    <s v="Lahan Berikat Nusantara SBU Lahan Tanjung Priok Marunda"/>
    <x v="1"/>
    <m/>
    <s v="Jl. Semarang BI A-6 No. 1 Marunda Cilincing Jakarta Utara, 14120"/>
    <s v="Sewa Tahunan"/>
    <s v="Colocation"/>
    <n v="1000295933"/>
    <m/>
    <m/>
    <s v="Metronet"/>
    <s v="100 Mbps"/>
    <m/>
    <n v="165000000"/>
    <m/>
    <m/>
    <m/>
    <m/>
    <d v="2025-07-29T00:00:00"/>
    <d v="2026-07-28T00:00:00"/>
    <x v="1"/>
    <m/>
    <d v="2025-12-24T00:00:00"/>
    <n v="216"/>
    <n v="7"/>
    <n v="2026"/>
    <s v="4519/SPP/SBU/PLNICONPLUS/2024 | 4500023737"/>
    <m/>
    <n v="4500026940"/>
    <s v="Fajar Paramita"/>
    <m/>
    <m/>
    <m/>
    <m/>
    <m/>
    <m/>
    <m/>
    <m/>
    <m/>
    <m/>
    <m/>
    <m/>
  </r>
  <r>
    <n v="2854"/>
    <s v="Elnusa"/>
    <s v="PT Indosat Tbk"/>
    <s v="Graha Elnusa Lantai 16, Jl. TB Simatupang Kav. 1 B, RT.10/RW.3, Cilandak Tim., Ps. Minggu, Kota Jakarta Selatan, Daerah Khusus Ibukota Jakarta 12560"/>
    <x v="1"/>
    <m/>
    <s v="Graha Elnusa Lantai 16, Jl. TB Simatupang Kav. 1 B, RT.10/RW.3, Cilandak Tim., Ps. Minggu, Kota Jakarta Selatan, Daerah Khusus Ibukota Jakarta 12560"/>
    <s v="Sewa Tahunan"/>
    <s v="Colocation"/>
    <m/>
    <s v="111103002447"/>
    <m/>
    <s v="Dark Fiber"/>
    <m/>
    <m/>
    <n v="134874000"/>
    <m/>
    <m/>
    <n v="59199000"/>
    <m/>
    <d v="2025-09-30T00:00:00"/>
    <d v="2026-10-01T00:00:00"/>
    <x v="1"/>
    <m/>
    <d v="2025-12-24T00:00:00"/>
    <n v="281"/>
    <n v="10"/>
    <n v="2026"/>
    <s v="4882/SPP/SBU/PLNICONPLUS/2024 | 4500024372"/>
    <s v="8384/SPP/SBU/PLNICONPLUS/2025"/>
    <n v="4500026707"/>
    <s v="Fajar Paramita"/>
    <m/>
    <m/>
    <m/>
    <m/>
    <m/>
    <m/>
    <m/>
    <m/>
    <m/>
    <m/>
    <m/>
    <m/>
  </r>
  <r>
    <n v="2855"/>
    <s v="Pusat Pengelolaan Komplek Kemayoran"/>
    <s v="PT PLN Persero"/>
    <s v="Jl. Angkasa (Eks Gedung ADPEL Kemayoran Jakarta 10610"/>
    <x v="1"/>
    <s v="[UID JAYA - UP2D] [UP3 BANDENGAN]"/>
    <s v="GH0043 Wisma Atlet Barat"/>
    <s v="Sewa Tahunan"/>
    <s v="Colocation"/>
    <m/>
    <s v="111205023561_x000a_'110000005173 / 01000013145_x000a_'110130303181 / 04000052190"/>
    <m/>
    <m/>
    <m/>
    <m/>
    <n v="35402400"/>
    <m/>
    <m/>
    <n v="7344000"/>
    <m/>
    <d v="2024-09-24T00:00:00"/>
    <d v="2026-09-23T00:00:00"/>
    <x v="1"/>
    <m/>
    <d v="2025-12-24T00:00:00"/>
    <n v="273"/>
    <n v="9"/>
    <n v="2026"/>
    <n v="4500026777"/>
    <s v="8973/SPP/SBU/PLNICONPLUS/2025"/>
    <n v="4500026982"/>
    <s v="Fajar Paramita"/>
    <m/>
    <m/>
    <m/>
    <m/>
    <m/>
    <m/>
    <m/>
    <m/>
    <m/>
    <m/>
    <n v="409"/>
    <m/>
  </r>
  <r>
    <n v="2856"/>
    <s v="Pusat Pengelolaan Komplek Kemayoran"/>
    <s v="PT PLN Persero Kantor Pusat"/>
    <s v="Jl. Angkasa (Eks Gedung ADPEL Kemayoran Jakarta 10610"/>
    <x v="1"/>
    <s v="[UID JAYA - UP2D] [UP3 BANDENGAN]"/>
    <s v="GH0307"/>
    <s v="Sewa Tahunan"/>
    <s v="Colocation"/>
    <m/>
    <s v="111205023561_x000a_'110000005173 / 01000013145_x000a_'110130303181 / 04000052190"/>
    <m/>
    <m/>
    <m/>
    <m/>
    <n v="35402400"/>
    <m/>
    <m/>
    <n v="109080000"/>
    <m/>
    <d v="2024-07-15T00:00:00"/>
    <d v="2026-07-14T00:00:00"/>
    <x v="1"/>
    <m/>
    <d v="2025-12-24T00:00:00"/>
    <n v="202"/>
    <n v="7"/>
    <n v="2026"/>
    <n v="4500022195"/>
    <s v="8974/SPP/SBU/PLNICONPLUS/2025"/>
    <n v="4500026984"/>
    <s v="Fajar Paramita"/>
    <m/>
    <m/>
    <m/>
    <m/>
    <m/>
    <m/>
    <m/>
    <m/>
    <m/>
    <m/>
    <n v="410"/>
    <m/>
  </r>
  <r>
    <n v="2857"/>
    <s v="Megah Pratama Sejahtera"/>
    <s v="PT PLN Nusantara Power"/>
    <m/>
    <x v="3"/>
    <m/>
    <m/>
    <m/>
    <m/>
    <m/>
    <m/>
    <m/>
    <m/>
    <m/>
    <m/>
    <m/>
    <m/>
    <m/>
    <m/>
    <m/>
    <m/>
    <m/>
    <x v="3"/>
    <m/>
    <m/>
    <m/>
    <m/>
    <m/>
    <m/>
    <m/>
    <m/>
    <s v="Fajar Paramita"/>
    <m/>
    <m/>
    <m/>
    <m/>
    <m/>
    <m/>
    <m/>
    <m/>
    <m/>
    <m/>
    <m/>
    <m/>
  </r>
  <r>
    <n v="2858"/>
    <s v="Indointernet"/>
    <s v="PT Indointernet"/>
    <m/>
    <x v="3"/>
    <m/>
    <m/>
    <m/>
    <m/>
    <m/>
    <m/>
    <m/>
    <m/>
    <m/>
    <m/>
    <m/>
    <m/>
    <m/>
    <m/>
    <m/>
    <m/>
    <m/>
    <x v="3"/>
    <m/>
    <m/>
    <m/>
    <m/>
    <m/>
    <m/>
    <m/>
    <m/>
    <s v="Fajar Paramita"/>
    <m/>
    <m/>
    <m/>
    <m/>
    <m/>
    <m/>
    <m/>
    <m/>
    <m/>
    <m/>
    <m/>
    <m/>
  </r>
  <r>
    <n v="2859"/>
    <s v="Fauzi Panca Manunggal"/>
    <m/>
    <m/>
    <x v="3"/>
    <m/>
    <m/>
    <m/>
    <m/>
    <m/>
    <m/>
    <m/>
    <m/>
    <m/>
    <m/>
    <m/>
    <m/>
    <m/>
    <m/>
    <m/>
    <m/>
    <m/>
    <x v="3"/>
    <m/>
    <m/>
    <m/>
    <m/>
    <m/>
    <m/>
    <m/>
    <m/>
    <s v="Fajar Paramita"/>
    <m/>
    <m/>
    <m/>
    <m/>
    <m/>
    <m/>
    <m/>
    <m/>
    <m/>
    <m/>
    <m/>
    <m/>
  </r>
  <r>
    <n v="2860"/>
    <s v="Media Nusantara Data Global"/>
    <s v="Bank Central Asia"/>
    <m/>
    <x v="3"/>
    <m/>
    <m/>
    <m/>
    <m/>
    <m/>
    <m/>
    <m/>
    <m/>
    <m/>
    <m/>
    <m/>
    <m/>
    <m/>
    <m/>
    <m/>
    <m/>
    <m/>
    <x v="3"/>
    <m/>
    <m/>
    <m/>
    <m/>
    <m/>
    <m/>
    <m/>
    <m/>
    <s v="Fajar Paramita"/>
    <m/>
    <m/>
    <m/>
    <m/>
    <m/>
    <m/>
    <m/>
    <m/>
    <m/>
    <m/>
    <m/>
    <m/>
  </r>
  <r>
    <n v="2861"/>
    <s v="IDC (Internetindo Data Centra Indonesia) "/>
    <s v="Join All Customer (FO 68)"/>
    <s v="Rukan Duren Tiga No. 7H_x000a_Jl. Duren Tiga Raya No. 7 Jakarta Selatan 12760"/>
    <x v="2"/>
    <m/>
    <s v="IDC DUREN3"/>
    <s v="Sewa Tahunan"/>
    <s v="Cross Connect"/>
    <m/>
    <m/>
    <m/>
    <s v="Kapasitas besar"/>
    <m/>
    <m/>
    <m/>
    <m/>
    <m/>
    <n v="317500000"/>
    <m/>
    <d v="2025-01-01T00:00:00"/>
    <d v="2025-12-31T00:00:00"/>
    <x v="1"/>
    <m/>
    <d v="2025-12-24T00:00:00"/>
    <n v="7"/>
    <n v="12"/>
    <n v="2025"/>
    <n v="4500022782"/>
    <s v="9057/SPP/SBU/PLNICONPLUS/2025"/>
    <n v="4500026965"/>
    <s v="Fajar Paramita"/>
    <m/>
    <m/>
    <m/>
    <m/>
    <m/>
    <m/>
    <m/>
    <m/>
    <m/>
    <m/>
    <m/>
    <m/>
  </r>
  <r>
    <n v="2862"/>
    <s v="IDC (Internetindo Data Centra Indonesia) "/>
    <s v="Join All Customer (FO 56)"/>
    <s v="Rukan Duren Tiga No. 7H_x000a_Jl. Duren Tiga Raya No. 7 Jakarta Selatan 12760"/>
    <x v="2"/>
    <m/>
    <s v="IDC DUREN3"/>
    <s v="Sewa Tahunan"/>
    <s v="Cross Connect"/>
    <m/>
    <m/>
    <m/>
    <s v="Kapasitas besar"/>
    <m/>
    <m/>
    <m/>
    <m/>
    <m/>
    <n v="266500000"/>
    <m/>
    <d v="2025-01-01T00:00:00"/>
    <d v="2025-12-31T00:00:00"/>
    <x v="1"/>
    <m/>
    <d v="2025-12-24T00:00:00"/>
    <n v="7"/>
    <n v="12"/>
    <n v="2025"/>
    <n v="4500022782"/>
    <s v="9027/SPP/SBU/PLNICONPLUS/2025"/>
    <n v="4500026964"/>
    <s v="Fajar Paramita"/>
    <m/>
    <m/>
    <m/>
    <m/>
    <m/>
    <m/>
    <m/>
    <m/>
    <m/>
    <m/>
    <m/>
    <m/>
  </r>
  <r>
    <n v="2863"/>
    <s v="IDC (Internetindo Data Centra Indonesia) "/>
    <s v="Join All Customer (UTP 115)"/>
    <s v="Rukan Duren Tiga No. 7H_x000a_Jl. Duren Tiga Raya No. 7 Jakarta Selatan 12760"/>
    <x v="2"/>
    <m/>
    <s v="IDC DUREN3"/>
    <s v="Sewa Tahunan"/>
    <s v="Cross Connect"/>
    <m/>
    <m/>
    <m/>
    <s v="Kapasitas besar"/>
    <m/>
    <m/>
    <m/>
    <m/>
    <m/>
    <n v="376500000"/>
    <m/>
    <d v="2025-01-01T00:00:00"/>
    <d v="2025-12-31T00:00:00"/>
    <x v="1"/>
    <m/>
    <d v="2025-12-24T00:00:00"/>
    <n v="7"/>
    <n v="12"/>
    <n v="2025"/>
    <n v="4500022774"/>
    <s v="9028/SPP/SBU/PLNICONPLUS/2025"/>
    <m/>
    <s v="Fajar Paramita"/>
    <m/>
    <m/>
    <m/>
    <m/>
    <m/>
    <m/>
    <m/>
    <m/>
    <m/>
    <m/>
    <m/>
    <m/>
  </r>
  <r>
    <n v="2850"/>
    <s v="IDC (Internetindo Data Centra Indonesia) "/>
    <s v="Join All Customer (FO UTP D3)"/>
    <s v="Jl. Kuningan Barat No.8 Cyber Building 7, Jakarta Selatan 12710"/>
    <x v="1"/>
    <m/>
    <s v="Cyber 1 Lantai 7 IDC Indonesia"/>
    <s v="Sewa Tahunan"/>
    <s v="Cross Connect"/>
    <m/>
    <m/>
    <m/>
    <s v="Kapasitas besar"/>
    <m/>
    <m/>
    <m/>
    <m/>
    <m/>
    <n v="432000000"/>
    <m/>
    <d v="2025-04-01T00:00:00"/>
    <d v="2026-03-31T00:00:00"/>
    <x v="1"/>
    <m/>
    <d v="2025-12-24T00:00:00"/>
    <n v="97"/>
    <n v="3"/>
    <n v="2026"/>
    <n v="4500024071"/>
    <s v="8564/SPP/SBU/PLNICONPLUS/2025"/>
    <n v="4500026932"/>
    <s v="Fajar Paramita"/>
    <m/>
    <m/>
    <m/>
    <m/>
    <m/>
    <m/>
    <m/>
    <m/>
    <m/>
    <m/>
    <m/>
    <m/>
  </r>
  <r>
    <n v="2850"/>
    <s v="Duta Pertiwi"/>
    <s v="PT Bank Rakyat Indonesia"/>
    <s v="ITC Cempaka Mas Mega Grosir Lt. 5 Jl. Letjen Suprapto kav. 1 Jakarta 10640"/>
    <x v="1"/>
    <m/>
    <s v="JL. RUKO CEMP. MAS NO.27, RT.1671039, .27/RW.8, SUMUR BATU, KEC. KEMAYORAN, KOTA JAKARTA _x000a_PUSAT, DAERAH KHUSUS IBUKOTA JAKARTA 10640"/>
    <s v="Sewa Tahunan"/>
    <s v="Colocation"/>
    <s v="R111205001181"/>
    <s v="110120510581 / 140000008240414"/>
    <m/>
    <s v="IPVPN"/>
    <s v="3 Mbps"/>
    <m/>
    <n v="75272724"/>
    <m/>
    <m/>
    <n v="49115000"/>
    <m/>
    <d v="2025-12-01T00:00:00"/>
    <d v="2026-11-30T00:00:00"/>
    <x v="1"/>
    <m/>
    <d v="2025-12-24T00:00:00"/>
    <n v="341"/>
    <n v="11"/>
    <n v="2026"/>
    <s v="5000/SPP/SBU/PLNICONPLUS/2024 | 4500024134"/>
    <s v="9061/SPP/SBU/PLNICONPLUS/2025 "/>
    <n v="4500026950"/>
    <s v="Livia Indraswati"/>
    <m/>
    <m/>
    <m/>
    <m/>
    <m/>
    <m/>
    <m/>
    <m/>
    <m/>
    <m/>
    <m/>
    <m/>
  </r>
  <r>
    <n v="2850"/>
    <s v="Duta Pertiwi"/>
    <s v="PT Oto Multiartha"/>
    <s v="ITC Cempaka Mas Mega Grosir Lt. 5 Jl. Letjen Suprapto kav. 1 Jakarta 10640"/>
    <x v="1"/>
    <m/>
    <s v="(SUB HO CEMPAKA MAS) RUKO CEMPAKA MAS BLOK Q NO.12 &amp; 14, JL. LETJEN SOEPRAPTO, -, JAKARTA PUSAT, DKI JAKARTA, INDONESIA"/>
    <s v="Sewa Tahunan"/>
    <s v="Colocation"/>
    <s v="A821303000463"/>
    <m/>
    <m/>
    <s v="Internet Dedicated"/>
    <s v="11 Mbps"/>
    <m/>
    <n v="37800000"/>
    <m/>
    <m/>
    <n v="28500000"/>
    <m/>
    <d v="2025-12-01T00:00:00"/>
    <d v="2026-11-30T00:00:00"/>
    <x v="1"/>
    <m/>
    <d v="2025-12-24T00:00:00"/>
    <n v="341"/>
    <n v="11"/>
    <n v="2026"/>
    <s v="5159/SPP/SBU/PLNICONPLUS/2024 | 4500024133"/>
    <s v="9063/SPP/SBU/PLNICONPLUS/2025 "/>
    <n v="4500026919"/>
    <s v="Livia Indraswati"/>
    <m/>
    <m/>
    <m/>
    <m/>
    <m/>
    <m/>
    <m/>
    <m/>
    <m/>
    <m/>
    <m/>
    <m/>
  </r>
  <r>
    <n v="2850"/>
    <s v="Duta Pertiwi"/>
    <s v="PT Summit Oto Finance"/>
    <s v="ITC Cempaka Mas Mega Grosir Lt. 5 Jl. Letjen Suprapto kav. 1 Jakarta 10640"/>
    <x v="1"/>
    <m/>
    <s v="(SOF CEMPAKA MAS + OTO PEC) RUKO MEGA GROSIR CEMPAKA MAS BLOK E 11-12, KEMAYORAN, JAKARTA PUSAT, DKI JAKARTA, INDONESIA, 10640"/>
    <s v="Sewa Tahunan"/>
    <s v="Colocation"/>
    <s v="A821303000341"/>
    <m/>
    <m/>
    <s v="Internet Dedicated"/>
    <s v="6 Mbps"/>
    <m/>
    <n v="33000000"/>
    <m/>
    <m/>
    <n v="40850000"/>
    <m/>
    <d v="2025-12-01T00:00:00"/>
    <d v="2026-11-30T00:00:00"/>
    <x v="1"/>
    <m/>
    <d v="2025-12-24T00:00:00"/>
    <n v="341"/>
    <n v="11"/>
    <n v="2026"/>
    <s v="5191/SPP/SBU/PLNICONPLUS/2024 | 4500024293"/>
    <s v="9066/SPP/SBU/PLNICONPLUS/2025 "/>
    <n v="4500026921"/>
    <s v="Livia Indraswati"/>
    <m/>
    <m/>
    <m/>
    <m/>
    <m/>
    <m/>
    <m/>
    <m/>
    <m/>
    <m/>
    <m/>
    <m/>
  </r>
  <r>
    <n v="2850"/>
    <s v="Phinisindo Zamrud Nusantara"/>
    <s v="PT Smart Multi Finance"/>
    <s v="Jl. Margonda No.56, Depok, Kec. Pancoran Mas, Kota Depok, Jawa Barat 16431"/>
    <x v="1"/>
    <m/>
    <s v="PERTOKOAN ITC DEPOK NO. 48JL. MARGONDA RAYA NO. 56 DESA DEPOK KEC. PANCORAN MAS KAB. DEPOK JAWA BARAT."/>
    <s v="Sewa Tahunan"/>
    <s v="Colocation"/>
    <s v="R111401000262"/>
    <m/>
    <m/>
    <s v="Internet Broadband dan Bronze"/>
    <s v="10 Mbps"/>
    <m/>
    <n v="10200000"/>
    <m/>
    <m/>
    <n v="10500000"/>
    <m/>
    <d v="2025-11-20T00:00:00"/>
    <d v="2026-11-19T00:00:00"/>
    <x v="1"/>
    <m/>
    <d v="2025-12-24T00:00:00"/>
    <n v="330"/>
    <n v="11"/>
    <n v="2026"/>
    <s v="4998/SPP/SBU/PLNICONPLUS/2024 | 4500024004"/>
    <s v="SPP/2025/CEJ/000002"/>
    <n v="4500026966"/>
    <s v="Livia Indraswati"/>
    <s v="Puji"/>
    <m/>
    <m/>
    <m/>
    <m/>
    <m/>
    <m/>
    <m/>
    <m/>
    <m/>
    <m/>
    <m/>
  </r>
  <r>
    <n v="2850"/>
    <s v="CBN Nusantara"/>
    <s v="PT Cyberindo Aditama qq Universitas Pelita Bangsa"/>
    <s v="Cyber 2 Tower 2nd Floor Jl HR Rasuna Said Kav X-5 No 13 Jakarta 12950"/>
    <x v="1"/>
    <s v="Cyber2 Tower, Kuningan, East Kuningan, Setiabudi, South Jakarta City, Jakarta, Kuningan, Jakarta Selatan, DKI Jakarta, Indonesia"/>
    <s v="Universitas Pelita Bangsa Jl. Inspeksi Kalimalang No.9, Cibatu,  Kec. Cikarang Sel.,,  Kabupaten Bekasi,  Jawa Barat,  Indonesia,  17530"/>
    <s v="Sewa Tahunan"/>
    <s v="Cross Connect"/>
    <s v="PA/ACT/2211/3272/TER"/>
    <m/>
    <m/>
    <s v="Metronet"/>
    <s v="1 Gbps"/>
    <m/>
    <n v="210000000"/>
    <m/>
    <m/>
    <n v="8000000"/>
    <m/>
    <d v="2025-12-07T00:00:00"/>
    <d v="2026-12-06T00:00:00"/>
    <x v="1"/>
    <m/>
    <d v="2025-12-24T00:00:00"/>
    <n v="347"/>
    <n v="12"/>
    <n v="2026"/>
    <s v="5545/SPP/SBU/PLNICONPLUS/2025 | 4500024441"/>
    <s v="8997/SPP/SBU/PLNICONPLUS/2025"/>
    <n v="4500026857"/>
    <s v="Livia Indraswati"/>
    <s v="Erni Monalena"/>
    <m/>
    <m/>
    <m/>
    <m/>
    <m/>
    <m/>
    <m/>
    <m/>
    <m/>
    <m/>
    <m/>
  </r>
  <r>
    <n v="2850"/>
    <s v="CBN Nusantara"/>
    <s v="PT Transportasi Gas"/>
    <s v="Cyber 2 Tower 2nd Floor Jl HR Rasuna Said Kav X-5 No 13 Jakarta 12950"/>
    <x v="1"/>
    <m/>
    <s v="NEW BACKHAUL DC TGI- NEX NEX DC NOMOR NF3-01-03:, GED. CYBER 2, RASUNA SAID JAKSEL"/>
    <s v="Sewa Tahunan"/>
    <s v="Cross Connect"/>
    <m/>
    <s v="'110120211126 / 01000064074"/>
    <m/>
    <s v="Metronet"/>
    <s v="50 Mbps"/>
    <m/>
    <n v="96000000"/>
    <m/>
    <m/>
    <n v="8000000"/>
    <m/>
    <d v="2025-11-12T00:00:00"/>
    <d v="2026-11-11T00:00:00"/>
    <x v="1"/>
    <m/>
    <d v="2025-12-24T00:00:00"/>
    <n v="322"/>
    <n v="11"/>
    <n v="2026"/>
    <s v="5220/SPP/SBU/PLNICONPLUS/2025 | 4500024521"/>
    <s v="9065/SPP/SBU/PLNICONPLUS/2025"/>
    <n v="4500026922"/>
    <s v="Livia Indraswati"/>
    <s v="Erni Monalena"/>
    <m/>
    <m/>
    <m/>
    <m/>
    <m/>
    <m/>
    <m/>
    <m/>
    <m/>
    <m/>
    <m/>
  </r>
  <r>
    <n v="2850"/>
    <s v="CBN Nusantara"/>
    <s v="PT Systex Asia Indonesia"/>
    <s v="Cyber 2 Tower 2nd Floor Jl HR Rasuna Said Kav X-5 No 13 Jakarta 12950"/>
    <x v="1"/>
    <m/>
    <s v="CYBER 2, JL. H. R. RASUNA SAID NO.13, RT.7/RW.2, KUNINGAN, KUNINGAN TIM., KECAMATAN SETIABUDI, -, JAKARTA SELATAN, DKI JAKARTA, INDONESIA,"/>
    <s v="Sewa Tahunan"/>
    <s v="Cross Connect"/>
    <m/>
    <s v="130130301611 / 04000298551"/>
    <m/>
    <s v="Internet Corporate"/>
    <s v="80 Mbps"/>
    <m/>
    <n v="0"/>
    <m/>
    <m/>
    <n v="8000000"/>
    <m/>
    <d v="2025-07-15T00:00:00"/>
    <d v="2026-07-14T00:00:00"/>
    <x v="1"/>
    <m/>
    <d v="2025-12-24T00:00:00"/>
    <n v="202"/>
    <n v="7"/>
    <n v="2026"/>
    <s v="5221/SPP/SBU/PLNICONPLUS/2025 | 4500024548"/>
    <s v="SPP/2025/CEJ/000003 "/>
    <n v="4500026990"/>
    <s v="Livia Indraswati"/>
    <s v="Erni Monalena"/>
    <m/>
    <m/>
    <m/>
    <m/>
    <m/>
    <m/>
    <m/>
    <m/>
    <m/>
    <m/>
    <m/>
  </r>
  <r>
    <n v="2850"/>
    <s v="CBN Nusantara"/>
    <s v="PT Systex Asia Indonesia"/>
    <s v="Cyber 2 Tower 2nd Floor Jl HR Rasuna Said Kav X-5 No 13 Jakarta 12950"/>
    <x v="1"/>
    <m/>
    <s v="CYBER 2, JL. H. R. RASUNA SAID NO.13, RT.7/RW.2, KUNINGAN, KUNINGAN TIM., KECAMATAN SETIABUDI, -, JAKARTA SELATAN, DKI JAKARTA, INDONESIA,"/>
    <s v="Sewa Tahunan"/>
    <s v="Cross Connect"/>
    <m/>
    <s v="130130301612 / 04000298541"/>
    <m/>
    <s v="Internet Corporate"/>
    <s v="80 Mbps"/>
    <m/>
    <n v="151200000"/>
    <m/>
    <m/>
    <n v="8000000"/>
    <m/>
    <d v="2025-05-12T00:00:00"/>
    <d v="2026-05-11T00:00:00"/>
    <x v="1"/>
    <m/>
    <d v="2025-12-24T00:00:00"/>
    <n v="138"/>
    <n v="5"/>
    <n v="2026"/>
    <n v="4500022779"/>
    <s v="SPP/2025/CEJ/000002"/>
    <n v="4500026992"/>
    <s v="Livia Indraswati"/>
    <s v="Erni Monalena"/>
    <m/>
    <m/>
    <m/>
    <m/>
    <m/>
    <m/>
    <m/>
    <m/>
    <m/>
    <m/>
    <m/>
  </r>
  <r>
    <n v="2850"/>
    <s v="DCI Indonesia"/>
    <s v="PT Aplikanusa Lintasarta qq Artajasa"/>
    <s v="Equity Tower 17th floor suite F SCBD lot Jl Jend Sudirman Kav 52-53 Jakarta 12196"/>
    <x v="1"/>
    <m/>
    <s v="LA TB Simatupang - Artajasa DCI MM2100 "/>
    <s v="Sewa Tahunan"/>
    <s v="Cross Connect"/>
    <s v="AL/2007/35005"/>
    <m/>
    <m/>
    <s v="Metronet"/>
    <s v="1 Mbps"/>
    <m/>
    <n v="54000000"/>
    <m/>
    <m/>
    <n v="18000000"/>
    <m/>
    <d v="2025-11-01T00:00:00"/>
    <d v="2026-10-31T00:00:00"/>
    <x v="1"/>
    <m/>
    <d v="2025-12-24T00:00:00"/>
    <n v="311"/>
    <n v="10"/>
    <n v="2026"/>
    <s v="5477/SPP/SBU/PLNICONPLUS/2025 | 4500024663"/>
    <s v="8760/SPP/SBU/PLNICONPLUS/2025"/>
    <n v="4500026851"/>
    <s v="Livia Indraswati"/>
    <m/>
    <m/>
    <m/>
    <m/>
    <m/>
    <m/>
    <m/>
    <m/>
    <m/>
    <m/>
    <m/>
    <m/>
  </r>
  <r>
    <n v="2850"/>
    <s v="DCI Indonesia"/>
    <s v="PLN Icon Plus Gandul (SO 581)"/>
    <s v="Equity Tower 17th floor suite F SCBD lot Jl Jend Sudirman Kav 52-53 Jakarta 12196"/>
    <x v="1"/>
    <s v="DC GANDUL RACK SERVER PLN MOBILE"/>
    <s v="DCI MM2100 JL. HALMAHERA NO.1 BLOK F1, DANAU INDAH, KEC. CIKARANG BAR., KABUPATEN BEKASI, JAWA BARAT 17530"/>
    <s v="Sewa Tahunan"/>
    <s v="Cross Connect"/>
    <s v="A911202000063 - 111202019745 dan A911202000064 - 111202019746"/>
    <m/>
    <m/>
    <s v="Qinq Metro Ethernet"/>
    <m/>
    <m/>
    <m/>
    <m/>
    <m/>
    <n v="36000000"/>
    <m/>
    <d v="2025-09-12T00:00:00"/>
    <d v="2026-09-11T00:00:00"/>
    <x v="1"/>
    <m/>
    <d v="2025-12-24T00:00:00"/>
    <n v="261"/>
    <n v="9"/>
    <n v="2025"/>
    <s v="4942/SPP/SBU/PLNICONPLUS/2024 | 4500023991"/>
    <s v="8932/SPP/SBU/PLNICONPLUS/2025"/>
    <n v="4500026852"/>
    <s v="Livia Indraswati"/>
    <m/>
    <m/>
    <m/>
    <m/>
    <m/>
    <m/>
    <m/>
    <m/>
    <m/>
    <m/>
    <m/>
    <m/>
  </r>
  <r>
    <n v="2850"/>
    <s v="DCI Indonesia"/>
    <s v="PLN Icon Plus Gandul (SO 582)"/>
    <s v="Equity Tower 17th floor suite F SCBD lot Jl Jend Sudirman Kav 52-53 Jakarta 12196"/>
    <x v="1"/>
    <s v="DC GANDUL RACK SERVER PLN MOBILE"/>
    <s v="DCI MM2100 JL. HALMAHERA NO.1 BLOK F1, DANAU INDAH, KEC. CIKARANG BAR., KABUPATEN BEKASI, JAWA BARAT 17530"/>
    <s v="Sewa Tahunan"/>
    <s v="Cross Connect"/>
    <s v="A911202000063 - 111202019745 dan A911202000064 - 111202019746"/>
    <m/>
    <m/>
    <s v="Qinq Metro Ethernet"/>
    <m/>
    <m/>
    <m/>
    <m/>
    <m/>
    <n v="36000000"/>
    <m/>
    <d v="2025-08-31T00:00:00"/>
    <d v="2026-08-30T00:00:00"/>
    <x v="1"/>
    <m/>
    <d v="2025-12-24T00:00:00"/>
    <n v="249"/>
    <n v="8"/>
    <n v="2025"/>
    <s v="4943/SPP/SBU/PLNICONPLUS/2024 | 4500023992"/>
    <s v="8933/SPP/SBU/PLNICONPLUS/2025"/>
    <n v="4500026853"/>
    <s v="Livia Indraswati"/>
    <m/>
    <m/>
    <m/>
    <m/>
    <m/>
    <m/>
    <m/>
    <m/>
    <m/>
    <m/>
    <m/>
    <m/>
  </r>
  <r>
    <n v="2850"/>
    <s v="DCI Indonesia"/>
    <s v="PT Nosairis Teknologi Solutions"/>
    <s v="Equity Tower 17th floor suite F SCBD lot Jl Jend Sudirman Kav 52-53 Jakarta 12196"/>
    <x v="1"/>
    <s v="NTT DATA CENTER, CYBER 3. JL. KUNINGAN BARAT RAYA NO.8, RT.6/RW.3, KUNINGAN BAR., KEC. MAMPANG PRPT., KOTA JAKARTA SELATAN, DAERAH KHUSUS IBUKOTA JAKARTA 12710"/>
    <s v="DATA CENTER INDONESIA (DCI) JK1, CIBITUNG, JL. HALMAHERA NO.1, DANAU INDAH, KEC. CIKARANG BAR., KABUPATEN BEKASI, JAWA BARAT 17530"/>
    <s v="Sewa Tahunan"/>
    <s v="Cross Connect"/>
    <s v="A811202000017"/>
    <s v="111202017342"/>
    <m/>
    <s v="Metronet QnQ"/>
    <s v="5 Mbps"/>
    <m/>
    <n v="60000000"/>
    <m/>
    <m/>
    <n v="18000000"/>
    <m/>
    <d v="2025-07-20T00:00:00"/>
    <d v="2026-07-19T00:00:00"/>
    <x v="1"/>
    <m/>
    <d v="2025-12-24T00:00:00"/>
    <n v="207"/>
    <n v="7"/>
    <n v="2025"/>
    <s v="4313/SPP/SBU/PLNICONPLUS/2024 | 4500023491"/>
    <s v="8617/SPP/SBU/PLNICONPLUS/2025"/>
    <n v="4500026744"/>
    <s v="Livia Indraswati"/>
    <m/>
    <m/>
    <m/>
    <m/>
    <m/>
    <m/>
    <m/>
    <m/>
    <m/>
    <m/>
    <m/>
    <m/>
  </r>
  <r>
    <n v="2850"/>
    <s v="DCI Indonesia"/>
    <s v="PT Internet Madju Abadi Milenindo"/>
    <s v="Equity Tower 17th floor suite F SCBD lot Jl Jend Sudirman Kav 52-53 Jakarta 12196"/>
    <x v="1"/>
    <s v="PT. DCI INDONESIA : JL. HALMAHERA NO.1 BLOK F1, DANAU INDAH, KEC. CIKARANG BAR., KABUPATEN BEKASI, JAWA BARAT 17530"/>
    <s v="PT. INTERNET MADJU ABAD MILENINDO) JL. GATOT SUBROTO BARAT NO.333, PADANGSAMBIAN KAJA, KEC. DENPASAR BAR., KOTA DENPASAR, BALI 80117"/>
    <s v="Sewa Tahunan"/>
    <s v="Cross Connect"/>
    <s v="A151204000010"/>
    <m/>
    <m/>
    <s v="P2P ETH Kapasitas Besar "/>
    <s v="40 G"/>
    <m/>
    <n v="2400000000"/>
    <m/>
    <n v="1500000"/>
    <n v="18000000"/>
    <m/>
    <d v="2025-08-14T00:00:00"/>
    <d v="2026-08-13T00:00:00"/>
    <x v="1"/>
    <m/>
    <d v="2025-12-24T00:00:00"/>
    <n v="232"/>
    <n v="8"/>
    <n v="2025"/>
    <s v="baru"/>
    <s v="8615/SPP/SBU/PLNICONPLUS/2025"/>
    <n v="4500026745"/>
    <s v="Livia Indraswati"/>
    <m/>
    <m/>
    <m/>
    <m/>
    <m/>
    <m/>
    <m/>
    <m/>
    <m/>
    <m/>
    <m/>
    <m/>
  </r>
  <r>
    <n v="2850"/>
    <s v="DCI Indonesia"/>
    <s v="PT Bank Pembangunan Daerah Bali"/>
    <s v="Equity Tower 17th floor suite F SCBD lot Jl Jend Sudirman Kav 52-53 Jakarta 12196"/>
    <x v="1"/>
    <s v="KCP Baturiti, Jl. Gunung Agung No.23, Baturiti, Kec. Baturiti, Kabupaten Tabanan, Bali 82191 (- 8.328644978535914, 115.18610477301344)"/>
    <s v="PT. DCI Indonesia Cibitung, Jl. Halmahera No.1, Danau Indah, Kec. Cikarang Bar., Kabupaten Bekasi, Jawa Barat 17530 (-6.304343935233593, 107.09755011534227)"/>
    <s v="Sewa Tahunan"/>
    <s v="Cross Connect"/>
    <m/>
    <s v="1523112300001 / 151202000385 "/>
    <m/>
    <s v="Metronet"/>
    <s v="5 Mbps"/>
    <m/>
    <n v="66000000"/>
    <m/>
    <m/>
    <n v="18000000"/>
    <m/>
    <d v="2025-11-27T00:00:00"/>
    <d v="2026-11-26T00:00:00"/>
    <x v="1"/>
    <m/>
    <d v="2025-12-24T00:00:00"/>
    <n v="337"/>
    <n v="11"/>
    <n v="2025"/>
    <s v="5186/SPP/SBU/PLNICONPLUS/2024 | 4500024135"/>
    <s v="8616/SPP/SBU/PLNICONPLUS/2025"/>
    <n v="4500026863"/>
    <s v="Livia Indraswati"/>
    <m/>
    <m/>
    <m/>
    <m/>
    <m/>
    <m/>
    <m/>
    <m/>
    <m/>
    <m/>
    <m/>
    <m/>
  </r>
  <r>
    <n v="2850"/>
    <s v="Nusa Kirana Real Estate"/>
    <s v="PT BRI Asuransi Indonesia"/>
    <m/>
    <x v="1"/>
    <m/>
    <s v="KELAPA GADING - KOMPLEK RUKAN KIRANA BOUTIQUE OFFICE, JL. KIRANA AVENUE 3 BLOK A2 NO. 5 KELAPA GADING, JAKARTA UTARA"/>
    <s v="Sewa Tahunan"/>
    <s v="Colocation"/>
    <s v="R111303008011"/>
    <m/>
    <m/>
    <s v="Internet Corporate "/>
    <s v="10 Mbps"/>
    <n v="2500000"/>
    <n v="42000000"/>
    <m/>
    <m/>
    <n v="50000000"/>
    <m/>
    <d v="2025-09-22T00:00:00"/>
    <d v="2026-09-21T00:00:00"/>
    <x v="1"/>
    <m/>
    <d v="2025-12-24T00:00:00"/>
    <n v="271"/>
    <n v="9"/>
    <n v="2025"/>
    <s v="baru"/>
    <s v="8740/SPP/SBU/PLNICONPLUS/2025"/>
    <n v="4500026673"/>
    <s v="Livia Indraswati"/>
    <m/>
    <m/>
    <m/>
    <m/>
    <m/>
    <m/>
    <m/>
    <m/>
    <m/>
    <m/>
    <m/>
    <m/>
  </r>
  <r>
    <n v="2850"/>
    <s v="Ekagrata Data Gemilang"/>
    <s v="PT Bank Mandiri (Persero) Tbk"/>
    <s v="Gedung Mten Lantai 22 unti D&amp;E, Jl. Kapten Tendean, Kuningan Barat, 12710"/>
    <x v="1"/>
    <m/>
    <s v="H2H SHOPEE, GEDUNG EDGE LANTAI 3, JL. KUNINGAN BARAT RAYA NO.59, RT.1/RW.3, KUNINGAN BAR,KEC. MAMPANG PRAPATAN ,JAKARTA SELATAN ,DKI JAKARTA ,INDONESIA ,12710"/>
    <s v="Sewa Tahunan"/>
    <s v="Cross Connect"/>
    <s v="110120501119 / 01000320667"/>
    <m/>
    <m/>
    <s v="IPVPN "/>
    <s v="2 Mbps"/>
    <m/>
    <n v="66545460"/>
    <m/>
    <m/>
    <n v="24000000"/>
    <m/>
    <d v="2025-12-22T00:00:00"/>
    <d v="2026-12-21T00:00:00"/>
    <x v="1"/>
    <m/>
    <d v="2025-12-24T00:00:00"/>
    <n v="362"/>
    <n v="12"/>
    <n v="2026"/>
    <s v="5094/SPP/SBU/PLNICONPLUS/2024 | 4500024056"/>
    <s v="8448/SPP/SBU/PLNICONPLUS/2025"/>
    <n v="4500026685"/>
    <s v="Livia Indraswati"/>
    <m/>
    <m/>
    <m/>
    <m/>
    <m/>
    <m/>
    <m/>
    <m/>
    <m/>
    <m/>
    <m/>
    <m/>
  </r>
  <r>
    <n v="2850"/>
    <s v="EKagrata Data Gemilang"/>
    <s v="PT Bank Mandiri (Persero) Tbk_x000a_PT Airpay International Indonesia"/>
    <s v="Gedung Mten Lantai 22 unti D&amp;E, Jl. Kapten Tendean, Kuningan Barat, 12710"/>
    <x v="1"/>
    <m/>
    <s v="H2H SHOPEE, GEDUNG EDGE LANTAI 3, JL. KUNINGAN BARAT RAYA NO.59, RT.1/RW.3, KUNINGAN BAR,KEC. MAMPANG PRAPATAN ,JAKARTA SELATAN ,DKI JAKARTA ,INDONESIA ,12710"/>
    <s v="Sewa Tahunan"/>
    <s v="Colocation"/>
    <s v="110120501119 / 01000320667_x000a_PA/ACT/2212/0254"/>
    <m/>
    <m/>
    <s v="IPVPN "/>
    <s v="2 Mbps dan 3 Mbps"/>
    <m/>
    <n v="120545460"/>
    <m/>
    <m/>
    <n v="60000000"/>
    <m/>
    <d v="2025-12-16T00:00:00"/>
    <d v="2026-12-17T00:00:00"/>
    <x v="1"/>
    <m/>
    <d v="2025-12-24T00:00:00"/>
    <n v="358"/>
    <n v="12"/>
    <n v="2026"/>
    <s v="5553/SPP/SBU/PLNICONPLUS/2025 | 4500024519"/>
    <s v="8493/SPP/SBU/PLNICONPLUS/2025"/>
    <n v="4500026686"/>
    <s v="Livia Indraswati"/>
    <m/>
    <m/>
    <m/>
    <m/>
    <m/>
    <m/>
    <m/>
    <m/>
    <m/>
    <m/>
    <m/>
    <m/>
  </r>
  <r>
    <n v="2850"/>
    <s v="Agung Sedayu Propertindo / Badan Pengelola Harco Mangga Dua"/>
    <s v="PT Bank BCA Syariah"/>
    <s v="Gedung Pusat Komputer dan Elektronik Lt. Basement Jl. Mangga Dua Raya Jakarta 10730"/>
    <x v="1"/>
    <m/>
    <s v="KC MANGGA DUA : RUKO AGUNG SEDAYU (HARCO MG. DUA) BLOK E NO. 26, JL. MANGGA DUA RAYA – JAKARTA 10730,- ,- ,- ,INDONESIA"/>
    <s v="Sewa Tahunan"/>
    <s v="Colocation"/>
    <m/>
    <s v="111303012251"/>
    <m/>
    <s v="Internet Corporate"/>
    <s v="6 Mbps"/>
    <m/>
    <n v="32400000"/>
    <m/>
    <m/>
    <n v="22000000"/>
    <m/>
    <d v="2025-12-22T00:00:00"/>
    <d v="2026-12-21T00:00:00"/>
    <x v="1"/>
    <m/>
    <d v="2025-12-24T00:00:00"/>
    <n v="362"/>
    <n v="12"/>
    <n v="2026"/>
    <s v="5450/SPP/SBU/PLNICONPLUS/2024 | 4500024451"/>
    <s v="8874/SPP/SBU/PLNICONPLUS/2025"/>
    <n v="4500026861"/>
    <s v="Livia Indraswati"/>
    <s v="Fika Ririn"/>
    <m/>
    <m/>
    <m/>
    <m/>
    <m/>
    <m/>
    <m/>
    <m/>
    <m/>
    <m/>
    <m/>
  </r>
  <r>
    <n v="2850"/>
    <s v="NTT Indonesia"/>
    <s v="PT Nosairis Teknologi Solutions"/>
    <s v="Wisma 46 Kota BNI Lt. 5, Jl. Jend. Sudirman, Tanah Abang, Kota Jak Pusat, Daerah Khusus Ibukota Jak 10250, Indonesia"/>
    <x v="1"/>
    <s v="NTT DATA CENTER, CYBER 3. JL. KUNINGAN BARAT RAYA NO.8, RT.6/RW.3, KUNINGAN BAR., KEC. MAMPANG PRPT., KOTA JAKARTA SELATAN, DAERAH KHUSUS IBUKOTA JAKARTA 12710"/>
    <s v="DATA CENTER INDONESIA (DCI) JK1, CIBITUNG, JL. HALMAHERA NO.1, DANAU INDAH, KEC. CIKARANG BAR., KABUPATEN BEKASI, JAWA BARAT 17530"/>
    <s v="Sewa Tahunan"/>
    <s v="Cross Connect"/>
    <s v="A811202000017"/>
    <s v="111202017342"/>
    <m/>
    <s v="Metronet QnQ"/>
    <s v="5 Mbps"/>
    <m/>
    <n v="60000000"/>
    <m/>
    <m/>
    <n v="12000000"/>
    <m/>
    <d v="2025-08-19T00:00:00"/>
    <d v="2026-08-18T00:00:00"/>
    <x v="1"/>
    <m/>
    <d v="2025-12-24T00:00:00"/>
    <n v="237"/>
    <n v="8"/>
    <n v="2026"/>
    <s v="3864/SPP/SBU/PLNICONPLUS/2024 | 4500024432"/>
    <s v="8618/SPP/SBU/PLNICONPLUS/2025"/>
    <n v="4500026988"/>
    <s v="Livia Indraswati"/>
    <s v="Iffa"/>
    <m/>
    <m/>
    <m/>
    <m/>
    <m/>
    <m/>
    <m/>
    <m/>
    <m/>
    <m/>
    <m/>
  </r>
  <r>
    <n v="2850"/>
    <s v="NTT Indonesia"/>
    <s v="PT Bank Rakyat Indonesia"/>
    <s v="Wisma 46 Kota BNI Lt. 5, Jl. Jend. Sudirman, Tanah Abang, Kota Jak Pusat, Daerah Khusus Ibukota Jak 10250, Indonesia"/>
    <x v="1"/>
    <s v="JL. HARSONO RM NO.26, RT.6/RW.7, RAGUNAN, PS. MINGGU, KOTA JAKARTA SELATAN, DAERAH KHUSUS IBUKOTA JAKARTA 12550"/>
    <s v="H2H BRI - OVO NTT INDONESIA NEXCENTER JL. KUNINGAN BARAT RAYA NO.8, RT.6/RW.3, MAMPANG PRAPATAN, JAKARTA SELATAN, DKI JAKARTA, INDONESIA, 12710"/>
    <s v="Sewa Tahunan"/>
    <s v="Cross Connect"/>
    <m/>
    <s v="110120509892 / 01000312946"/>
    <m/>
    <s v="IPVPN"/>
    <s v="2 Mbps"/>
    <m/>
    <n v="47996112"/>
    <m/>
    <m/>
    <n v="24000000"/>
    <m/>
    <d v="2023-11-16T00:00:00"/>
    <d v="2026-11-15T00:00:00"/>
    <x v="1"/>
    <m/>
    <d v="2025-12-24T00:00:00"/>
    <n v="326"/>
    <n v="11"/>
    <n v="2026"/>
    <n v="4500022567"/>
    <s v="8879/SPP/SBU/PLNICONPLUS/2025"/>
    <n v="4500026987"/>
    <s v="Livia Indraswati"/>
    <s v="Iffa"/>
    <m/>
    <m/>
    <m/>
    <m/>
    <m/>
    <m/>
    <m/>
    <m/>
    <m/>
    <m/>
    <m/>
  </r>
  <r>
    <n v="2850"/>
    <s v="NTT Indonesia"/>
    <s v="PT Bank Rakyat Indonesia"/>
    <s v="Wisma 46 Kota BNI Lt. 5, Jl. Jend. Sudirman, Tanah Abang, Kota Jak Pusat, Daerah Khusus Ibukota Jak 10250, Indonesia"/>
    <x v="1"/>
    <s v="(BSCF TABANAN-DC DOKU) Jl. Patimura No.10, Dajan Peken"/>
    <s v="JL. KUNINGAN BARAT RAYA NO.8, RT.6/RW.3,  MAMPANG PRAPATAN,  JAKARTA SELATAN,  DKI JAKARTA,  INDONESIA,  12710"/>
    <s v="Sewa Tahunan"/>
    <s v="Cross Connect"/>
    <m/>
    <s v="151205001186"/>
    <m/>
    <s v="IPVPN"/>
    <s v="1 Mbps"/>
    <m/>
    <n v="47716560"/>
    <m/>
    <m/>
    <n v="12000000"/>
    <m/>
    <d v="2023-05-25T00:00:00"/>
    <d v="2026-05-24T00:00:00"/>
    <x v="1"/>
    <m/>
    <d v="2025-12-24T00:00:00"/>
    <n v="151"/>
    <n v="5"/>
    <n v="2026"/>
    <n v="4500022365"/>
    <s v="8878/SPP/SBU/PLNICONPLUS/2025"/>
    <n v="4500026986"/>
    <s v="Livia Indraswati"/>
    <s v="Iffa"/>
    <m/>
    <m/>
    <m/>
    <m/>
    <m/>
    <m/>
    <m/>
    <m/>
    <m/>
    <m/>
    <m/>
  </r>
  <r>
    <n v="2850"/>
    <s v="Wiratara Prima"/>
    <s v="PT Bank BTPN dan PT Primacom Interbuana"/>
    <s v="Jl. Dr. Ide Anak Agung Gde Agung Blok 6.2 Kuningan Timur Setiabudi Jakarta Selatan 12950"/>
    <x v="1"/>
    <s v="MENARA PRIMA LANTAI 29, JL. LINGKAR MEGA KUNINGAN,- ,- ,- ,Indonesia ,-"/>
    <s v="KCP BLORA KODE CABANG 251, JL. SUDIRMAN NO.101 KEL. KEDUNGJENAR BLORA, KEC. BLORA, KABUPATEN BLORA, JAWA TENGAH, INDONESIA,_x000a_199 KCP PACITAN JL. YOS SUDARSO NO.13 RT.01 RW.02 DESA BANGUNGSARI,KEC. PACITAN ,KABUPATEN PACITAN ,JAWA TIMUR ,INDONESIA_x000a_0368 KCP SUMENEP JL. TRUNOJOYO NO.132, SUMENEP,- ,- ,- ,INDONESIA ,-_x000a_BANK BTPN (HQ) BAHANA OFFICE TOWER LT. 10, MEGA KUNINGAN (LETAKNYA DI SEBERANG MENARA PRIMA),- ,- ,- ,INDONESIA ,-    "/>
    <s v="Sewa Tahunan"/>
    <s v="Colocation"/>
    <s v="110120207458 / 01000291559_x000a_'141202002592 / 01000205643_x000a_'110120207106 / 0990000320385420_x000a_'110120512281 / 0990000320470028"/>
    <m/>
    <m/>
    <s v="Metronet"/>
    <s v="1 Mbps"/>
    <m/>
    <n v="105720000"/>
    <m/>
    <m/>
    <n v="22365000"/>
    <m/>
    <d v="2025-12-10T00:00:00"/>
    <d v="2026-12-09T00:00:00"/>
    <x v="1"/>
    <m/>
    <d v="2025-12-24T00:00:00"/>
    <n v="350"/>
    <n v="12"/>
    <n v="2025"/>
    <s v="4887/SPP/SBU/PLNICONPLUS/2024 | 4500023880"/>
    <s v="8567/SPP/SBU/PLNICONPLUS/2025"/>
    <n v="4500026643"/>
    <s v="Livia Indraswati"/>
    <m/>
    <m/>
    <m/>
    <m/>
    <m/>
    <m/>
    <m/>
    <m/>
    <m/>
    <m/>
    <m/>
    <m/>
  </r>
  <r>
    <n v="2850"/>
    <s v="Indosat Tbk "/>
    <s v="PT Bank Central Asia"/>
    <s v="Jl.Medan Merdeka Selatan No.12"/>
    <x v="2"/>
    <s v="MENARA BCA GRAND INDONESIA, JL. M.H. THAMRIN NO.1, MENTENG, KEC. MENTENG, KOTA JAKARTA PUSAT, DAERAH KHUSUS IBUKOTA JAKARTA 10310"/>
    <s v="H2H BCA - BPJS KETENAGAKERJAAN; DC KPPTI KANTOR PUSAT PT. INDOSAT LANTAI 5, JL. MEDAN MERDEKA BARAT NO 21, GAMBIR, JAKARTA PUSAT, DKI JAKARTA, IND"/>
    <s v="Sewa Tahunan"/>
    <s v="Cross Connect"/>
    <s v="AL/2303/13840"/>
    <m/>
    <m/>
    <s v="IPVPN"/>
    <s v="0,256 Kbps"/>
    <m/>
    <n v="15600000"/>
    <m/>
    <m/>
    <n v="25200000"/>
    <m/>
    <d v="2026-01-08T00:00:00"/>
    <d v="2026-01-07T00:00:00"/>
    <x v="1"/>
    <m/>
    <d v="2025-12-24T00:00:00"/>
    <n v="14"/>
    <n v="1"/>
    <n v="2026"/>
    <s v="3329/SPP/SBU/PLNICONPLUS/2024 | 4500025885"/>
    <s v="7965/SPP/SBU/PLNICONPLUS/2025"/>
    <n v="4500026998"/>
    <s v="Livia Indraswati"/>
    <m/>
    <m/>
    <m/>
    <m/>
    <m/>
    <m/>
    <m/>
    <m/>
    <m/>
    <m/>
    <m/>
    <m/>
  </r>
  <r>
    <n v="2850"/>
    <s v="Indosat Tbk "/>
    <s v="Komisi Pemberantasan Korupsi"/>
    <s v="Jl.Medan Merdeka Selatan No.12"/>
    <x v="4"/>
    <s v="DC KPK BSD GRAHA TELKOM SIGMA BSD JL BUMI SERPONG DAMAI, JALAN KAPTEN SUBIJANTO, LENGKONG GUDANG, KEC. SERPONG, KOTA TANGERANG SELATAN, BANTEN 15322"/>
    <s v="INDOSAT OREDEOO KPPTI , JL. MEDAN MERDEKA BARAT NO.21, RT.2/RW.3, GAMBIR, KECAMATAN GAMBIR, KOTA JAKARTA PUSAT, DAERAH KHUSUS IBUKOTA JAKARTA 10110"/>
    <s v="Sewa Tahunan"/>
    <s v="Cross Connect"/>
    <s v="A111202008329"/>
    <s v="111202021502"/>
    <m/>
    <s v="Metronet"/>
    <s v="5 Mbps"/>
    <m/>
    <n v="84324324"/>
    <m/>
    <m/>
    <n v="25200000"/>
    <m/>
    <d v="2025-02-01T00:00:00"/>
    <d v="2026-01-31T00:00:00"/>
    <x v="1"/>
    <m/>
    <d v="2025-12-24T00:00:00"/>
    <n v="38"/>
    <n v="1"/>
    <n v="2026"/>
    <s v="3103/SPP/SBU/PLNICONPLUS/2024 | 4500025882"/>
    <s v="7806/SPP/SBU/PLNICONPLUS/2025"/>
    <n v="4500026999"/>
    <s v="Livia Indraswati"/>
    <m/>
    <m/>
    <m/>
    <m/>
    <m/>
    <m/>
    <m/>
    <m/>
    <m/>
    <m/>
    <m/>
    <m/>
  </r>
  <r>
    <n v="2850"/>
    <s v="Asosiasi Penyelenggara Jasa Internet Indonesia (APJII)"/>
    <s v="Badan Riset dan Inovasi Nasional"/>
    <s v="Gedung Cyber Lt.11 Jl. Kuningan Barat No.8 Kuningan Barat Jakarta"/>
    <x v="1"/>
    <m/>
    <s v="Cyber APJII, Jalan Kuningan Barat, Mampang, Jakarta Selatan"/>
    <s v="Sewa Tahunan"/>
    <s v="Colocation"/>
    <s v="U111301000194"/>
    <m/>
    <m/>
    <s v="IP Transit"/>
    <s v="10 Gbps"/>
    <m/>
    <s v="-"/>
    <m/>
    <m/>
    <n v="8100000"/>
    <m/>
    <d v="2025-12-01T00:00:00"/>
    <d v="2026-11-30T00:00:00"/>
    <x v="1"/>
    <m/>
    <d v="2025-12-24T00:00:00"/>
    <n v="341"/>
    <n v="11"/>
    <n v="2026"/>
    <s v="5043/SPP/SBU/PLNICONPLUS/2024 | 4500023995"/>
    <s v="8931/SPP/SBU/PLNICONPLUS/2025"/>
    <n v="4500026855"/>
    <s v="Livia Indraswati"/>
    <m/>
    <m/>
    <m/>
    <m/>
    <m/>
    <m/>
    <m/>
    <m/>
    <m/>
    <m/>
    <m/>
    <m/>
  </r>
  <r>
    <n v="2851"/>
    <s v="Cablenet Fiber Data"/>
    <s v="PT Kideco Jaya Agung"/>
    <s v="Jl Simprug Garden 1 Blok W No.11 RT.07/RW.03, Grogol Selatan, Kebayoran Lama, Jakarta Selatan, DKI Jakarta, 12220"/>
    <x v="1"/>
    <s v="-"/>
    <s v="Gedung Graha Mitra Lt.1, Jl Jendral Gatot Subroto Kav 21, Karet, Semanggi, Jakarta Selatan, DKI Jakarta, Indonesia"/>
    <s v="Sewa Bulanan"/>
    <s v="Interkoneksi"/>
    <s v="R311303000291"/>
    <s v="310130300670/ 04000139224"/>
    <n v="0.995"/>
    <s v="Internet Corporate"/>
    <s v="50 Mbps"/>
    <m/>
    <n v="300000000"/>
    <m/>
    <m/>
    <n v="42000000"/>
    <m/>
    <d v="2025-12-02T00:00:00"/>
    <d v="2026-12-01T00:00:00"/>
    <x v="1"/>
    <m/>
    <d v="2025-12-24T00:00:00"/>
    <n v="342"/>
    <n v="12"/>
    <n v="2026"/>
    <s v="4737/SPP/SBU/PLNICONPLUS/2024 | 4500023791"/>
    <s v="8745/SPP/SBU/PLNICONPLUS/2025"/>
    <s v="4500026714"/>
    <s v="Syifa Artianingsih"/>
    <s v="Cindy Pratiwi"/>
    <s v="0857-2207-8712"/>
    <m/>
    <m/>
    <m/>
    <m/>
    <m/>
    <m/>
    <m/>
    <m/>
    <n v="389"/>
    <m/>
  </r>
  <r>
    <n v="2852"/>
    <s v="Cablenet Fiber Data"/>
    <s v="PT Kideco Jaya Agung"/>
    <s v="Jl Simprug Garden 1 Blok W No.11 RT.07/RW.03, Grogol Selatan, Kebayoran Lama, Jakarta Selatan, DKI Jakarta, 12220"/>
    <x v="1"/>
    <s v="-"/>
    <s v="Gedung Graha Mitra Lt.1, Jl Jendral Gatot Subroto Kav 21, Karet, Semanggi, Jakarta Selatan, DKI Jakarta, Indonesia"/>
    <s v="Sewa Bulanan"/>
    <s v="Interkoneksi"/>
    <s v="R311202000311"/>
    <s v="310120201248/ 01000139233"/>
    <n v="0.995"/>
    <s v="Metronet"/>
    <s v="30 Mbps"/>
    <m/>
    <n v="240000000"/>
    <m/>
    <m/>
    <n v="25800000"/>
    <m/>
    <d v="2025-12-02T00:00:00"/>
    <d v="2026-12-01T00:00:00"/>
    <x v="1"/>
    <m/>
    <d v="2025-12-24T00:00:00"/>
    <n v="342"/>
    <n v="12"/>
    <n v="2026"/>
    <s v="4737/SPP/SBU/PLNICONPLUS/2024 | 4500023791"/>
    <s v="8745/SPP/SBU/PLNICONPLUS/2025"/>
    <s v="4500026714"/>
    <s v="Syifa Artianingsih"/>
    <s v="Cindy Pratiwi"/>
    <s v="0857-2207-8712"/>
    <m/>
    <m/>
    <m/>
    <m/>
    <m/>
    <m/>
    <m/>
    <m/>
    <n v="389"/>
    <m/>
  </r>
  <r>
    <n v="2853"/>
    <s v="Circlecom Nusantara Indonesia"/>
    <s v="PT Sumber Segara Primadaya"/>
    <s v="Roof Top Slot B – Fresh Market Building, Jl. Pantai Indah Kapuk No. 30, Jakarta Utara 14470"/>
    <x v="1"/>
    <s v=" Jl. Lingkar Timur karang Kandri Kecamatan Kesugihan Cilacap Jawa Tengah (Relokasi Jalur Baru),-,-,-,Indonesia,-Jawa"/>
    <s v="TREASURY TOWER, Lt. 39 Jln. Jend. Sudirman Kav 52-53 SCBD Jakarta Selatan - 12190,- ,Jakarta Selatan ,DKI Jakarta, Indonesia"/>
    <s v="Sewa Bulanan"/>
    <s v="Interkoneksi"/>
    <s v="PA/UPG/2111/0035"/>
    <s v="130120200737 / 01000030570"/>
    <n v="0.99"/>
    <s v="Metronet"/>
    <s v="15 Mbps"/>
    <m/>
    <n v="381600000"/>
    <m/>
    <m/>
    <n v="180000000"/>
    <m/>
    <d v="2026-01-01T00:00:00"/>
    <d v="2026-12-31T00:00:00"/>
    <x v="1"/>
    <m/>
    <d v="2025-12-24T00:00:00"/>
    <n v="372"/>
    <n v="12"/>
    <n v="2026"/>
    <s v="5371/SPP/SBU/PLNICONPLUS/2024 | 4500024316"/>
    <s v="SPP/2026/CEJ/000001"/>
    <s v="4500026954"/>
    <s v="Syifa Artianingsih"/>
    <s v="Halley "/>
    <s v="+62 856-9800-999"/>
    <m/>
    <m/>
    <m/>
    <m/>
    <m/>
    <m/>
    <m/>
    <m/>
    <n v="100"/>
    <m/>
  </r>
  <r>
    <n v="2854"/>
    <s v="Jala Lintas Media"/>
    <s v="BCA Finance"/>
    <s v="Jl. Mayor Oking No. 89 KM 2, Cibinong Bogor 16819_x000a_"/>
    <x v="1"/>
    <s v="Jl MH Thamrin No.1, Menteng, Kec Menteng, Kota Jakarta Pusat, DKI Jakarta, 10310"/>
    <s v="BCAF BEKASI JL. HARAPAN INDAH BOULEVARD-KOMPLEK MEGA OFFICE PARK BLOK P5 NO. 08, MEDAN SATRIA, KECAMATAN MEDAN SATRIA, KOTA BEKASI JAWA BARAT, 17132"/>
    <s v="Sewa Bulanan"/>
    <s v="Interkoneksi"/>
    <s v="A821303000494 "/>
    <s v="111202019661"/>
    <s v="99,50%"/>
    <s v="Metronet"/>
    <s v="6 Mbps"/>
    <m/>
    <n v="62400000"/>
    <m/>
    <m/>
    <n v="27600000"/>
    <m/>
    <d v="2026-01-01T00:00:00"/>
    <d v="2026-12-31T00:00:00"/>
    <x v="1"/>
    <m/>
    <d v="2025-12-24T00:00:00"/>
    <n v="372"/>
    <n v="12"/>
    <n v="2026"/>
    <s v="4946/SPP/SBU/PLNICONPLUS/2024 | 4500023921"/>
    <s v="9059/SPP/SBU/PLNICONPLUS/2025"/>
    <s v="4500026948"/>
    <s v="Syifa Artianingsih"/>
    <s v="Dianita Putri"/>
    <s v="0821-1212-8868"/>
    <m/>
    <m/>
    <m/>
    <m/>
    <m/>
    <m/>
    <m/>
    <m/>
    <n v="417"/>
    <m/>
  </r>
  <r>
    <n v="2855"/>
    <s v="PGAS Telekomunikasi Nusantara"/>
    <s v="PT Chandra Asri Petrochemical "/>
    <s v="Gedung B Lantai 3 Komplek PT. PGN (Persero) Tbk, Jl. KH Zainul Arifin, No 20, Jakarta Barat, 11140"/>
    <x v="1"/>
    <s v="Wisma Barito Pacific"/>
    <s v="PT Chandra Asri Petrochemical SMI Merak Plant, Mangunreja, Serang, Kabupaten Serang, Banten 42455"/>
    <s v="Sewa Bulanan"/>
    <s v="Interkoneksi"/>
    <s v="A821303000583"/>
    <s v="111202018274"/>
    <n v="0.99"/>
    <s v="Metronet"/>
    <s v="10 Mbps"/>
    <m/>
    <n v="63000000"/>
    <m/>
    <m/>
    <n v="36000000"/>
    <m/>
    <d v="2025-11-15T00:00:00"/>
    <d v="2026-11-14T00:00:00"/>
    <x v="1"/>
    <m/>
    <d v="2025-12-24T00:00:00"/>
    <n v="325"/>
    <n v="11"/>
    <n v="2026"/>
    <s v="4802/SPP/SBU/PLNICONPLUS/2024 | 4500023812"/>
    <s v="8644/SPP/SBU/PLNICONPLUS/2025"/>
    <s v="4500026713"/>
    <s v="Syifa Artianingsih"/>
    <s v="Ivan"/>
    <s v="0812-8324-4480"/>
    <m/>
    <m/>
    <m/>
    <m/>
    <m/>
    <m/>
    <m/>
    <m/>
    <n v="394"/>
    <m/>
  </r>
  <r>
    <n v="2856"/>
    <s v="PGAS Telekomunikasi Nusantara"/>
    <s v="PT Chandra Asri Petrochemical "/>
    <s v="Gedung B Lantai 3 Komplek PT. PGN (Persero) Tbk, Jl. KH Zainul Arifin, No 20, Jakarta Barat, 11140"/>
    <x v="1"/>
    <s v="Wisma Barito Pacific"/>
    <s v="PT Chandra Asri Petrochemical SO Jl.Brigadir Jendral Katamso No.40, Gunungsugih, Kec Ciwandan, Kota Cilegon, Banten 42447"/>
    <s v="Sewa Bulanan"/>
    <s v="Interkoneksi"/>
    <s v="A821303000582"/>
    <s v="111202018273"/>
    <n v="0.99"/>
    <s v="Metronet"/>
    <s v="30 Mbps"/>
    <m/>
    <n v="96000000"/>
    <m/>
    <m/>
    <n v="48000000"/>
    <m/>
    <d v="2025-11-15T00:00:00"/>
    <d v="2026-11-14T00:00:00"/>
    <x v="1"/>
    <m/>
    <d v="2025-12-24T00:00:00"/>
    <n v="325"/>
    <n v="11"/>
    <n v="2026"/>
    <s v="4802/SPP/SBU/PLNICONPLUS/2024 | 4500023812"/>
    <s v="8644/SPP/SBU/PLNICONPLUS/2025"/>
    <s v="4500026713"/>
    <s v="Syifa Artianingsih"/>
    <s v="Ivan"/>
    <s v="0812-8324-4480"/>
    <m/>
    <m/>
    <m/>
    <m/>
    <m/>
    <m/>
    <m/>
    <m/>
    <n v="394"/>
    <m/>
  </r>
  <r>
    <n v="2857"/>
    <s v="PGAS Telekomunikasi Nusantara"/>
    <s v="PT Chandra Asri Petrochemical "/>
    <s v="Gedung B Lantai 3 Komplek PT. PGN (Persero) Tbk, Jl. KH Zainul Arifin, No 20, Jakarta Barat, 11140"/>
    <x v="1"/>
    <s v="Wisma Barito Pacific"/>
    <s v="PT Chandra Asri Petrochemical SMI Merak Plant, Mangunreja, Serang, Kabupaten Serang, Banten 42455"/>
    <s v="Sewa Bulanan"/>
    <s v="Interkoneksi"/>
    <s v="A821303000244"/>
    <s v="111303011048"/>
    <n v="0.99"/>
    <s v="Metronet"/>
    <s v="150 Mbps"/>
    <m/>
    <n v="148200000"/>
    <m/>
    <m/>
    <n v="84000000"/>
    <m/>
    <d v="2025-11-15T00:00:00"/>
    <d v="2026-11-14T00:00:00"/>
    <x v="1"/>
    <m/>
    <d v="2025-12-24T00:00:00"/>
    <n v="325"/>
    <n v="11"/>
    <n v="2026"/>
    <s v="4802/SPP/SBU/PLNICONPLUS/2024 | 4500023812"/>
    <s v="8644/SPP/SBU/PLNICONPLUS/2025"/>
    <s v="4500026713"/>
    <s v="Syifa Artianingsih"/>
    <s v="Ivan"/>
    <s v="0812-8324-4480"/>
    <m/>
    <m/>
    <m/>
    <m/>
    <m/>
    <m/>
    <m/>
    <m/>
    <n v="394"/>
    <m/>
  </r>
  <r>
    <n v="2858"/>
    <s v="Global Teknologi Teraindo"/>
    <s v="PT Infomedia Nusantara"/>
    <s v="Gedung Cyber 1 Lantai 6 Jl. Kuningan Barat Raya No. 8 Jakarta Selatan 12710"/>
    <x v="1"/>
    <s v="Gedung Cyber APJII, Jl. Kuningan Barat Raya No.8, RT.1/RW.3,Kuningan Bar., Kec. Mampang PRPT., Jakarta Selatan, DKI Jakarta, Indonesia, 12710"/>
    <s v="(BNI Sekuritas) Jl. DI Panjaitan No.42, RT.12/RW.5, Rawa Bunga, Kec Jatinegara, Jakarta Timur, DKI Jakarta, 13350"/>
    <s v="Sewa Bulanan"/>
    <s v="Interkoneksi"/>
    <s v="A821202001377"/>
    <s v="111202019548"/>
    <s v="99,5%"/>
    <s v="Metronet"/>
    <s v="5 Mbps"/>
    <m/>
    <n v="54000000"/>
    <m/>
    <m/>
    <n v="24000000"/>
    <m/>
    <d v="2025-12-20T00:00:00"/>
    <d v="2026-12-19T00:00:00"/>
    <x v="1"/>
    <m/>
    <d v="2025-12-24T00:00:00"/>
    <n v="360"/>
    <n v="12"/>
    <n v="2026"/>
    <s v="4929/SPP/SBU/PLNICONPLUS/2024 | 4500024088"/>
    <s v="8643/SPP/SBU/PLNICONPLUS/2025"/>
    <s v="4500026722"/>
    <s v="Syifa Artianingsih"/>
    <s v="Akmal"/>
    <s v="0853-1210-7138"/>
    <m/>
    <m/>
    <m/>
    <m/>
    <m/>
    <m/>
    <m/>
    <m/>
    <n v="392"/>
    <m/>
  </r>
  <r>
    <n v="2859"/>
    <s v="Telkom Indonesia"/>
    <s v="PT PLN (Persero) Kantor Pusat"/>
    <s v="Jl. Sisingamangaraja Kav 4 - 6 Kebayoran Baru Jakarta selatan"/>
    <x v="1"/>
    <s v="[PLN KANTOR PUSAT] ICON+ SERVER GANDUL,Cinere gandul ,Depok ,Jawa Barat ,Indonesia ,   "/>
    <s v="TRUNOJOYO - CYBER TELKOM (DUKCAPIL VIA NNI TELKOMSEL),Gd Cyber Telkom, Gedung Cyber 1 Lt.6, Jl. Kuningan Barat Raya No.8, RT.1/RW.3, Kuningan Bar., Kec. M ,Jakarta Selatan ,DKI Jakarta ,Indonesia ,   "/>
    <s v="Sewa Bulanan"/>
    <s v="Interkoneksi"/>
    <s v="PA/ACT/2110/0120"/>
    <s v="01000169901"/>
    <n v="0.98"/>
    <s v="IPVPN"/>
    <s v="512 Kbps"/>
    <m/>
    <n v="72489600"/>
    <m/>
    <m/>
    <n v="65280000"/>
    <m/>
    <d v="2025-09-30T00:00:00"/>
    <d v="2026-09-29T00:00:00"/>
    <x v="1"/>
    <m/>
    <d v="2025-12-24T00:00:00"/>
    <n v="279"/>
    <n v="9"/>
    <n v="2026"/>
    <s v="4586/SPP/SBU/PLNICONPLUS/2024 | 4500023790"/>
    <s v="8216/SPP/SBU/PLNICONPLUS/2025"/>
    <n v="4500026568"/>
    <s v="Syifa Artianingsih"/>
    <s v="Rahayu"/>
    <s v="0813-8527-2407"/>
    <m/>
    <m/>
    <m/>
    <m/>
    <m/>
    <m/>
    <m/>
    <m/>
    <n v="388"/>
    <m/>
  </r>
  <r>
    <n v="2860"/>
    <s v="Serpong Mas Telematika"/>
    <s v="PT Unilever"/>
    <s v="MyRepublik plaza lt 2 Wing A"/>
    <x v="1"/>
    <m/>
    <s v="Backhaul Jabodetabek Gd Unilever BSD Tangerang Selatan (Eksisting),-,-, Banten, Indonesia"/>
    <s v="Sewa Bulanan"/>
    <s v="Interkoneksi"/>
    <s v="A111205014694"/>
    <s v="01000120403 / 111205032264"/>
    <s v="99,50%"/>
    <s v="IPVPN"/>
    <s v="4 Mbps"/>
    <m/>
    <n v="35700000"/>
    <m/>
    <m/>
    <n v="4320000"/>
    <m/>
    <d v="2026-01-01T00:00:00"/>
    <d v="2026-12-31T00:00:00"/>
    <x v="1"/>
    <m/>
    <d v="2025-12-24T00:00:00"/>
    <n v="372"/>
    <n v="12"/>
    <n v="2026"/>
    <s v="4904/SPP/SBU/PLNICONPLUS/2024 | 4500023853"/>
    <s v="8757/SPP/SBU/PLNICONPLUS/2025"/>
    <s v="4500026834"/>
    <s v="Syifa Artianingsih"/>
    <s v="Masrukhan"/>
    <s v="+62 812-9844-8648"/>
    <m/>
    <m/>
    <m/>
    <m/>
    <m/>
    <m/>
    <m/>
    <m/>
    <n v="422"/>
    <m/>
  </r>
  <r>
    <n v="2861"/>
    <s v="Cyberindo Aditama"/>
    <s v="Bank Danamon"/>
    <s v="Gedung Cyber 2 Tower, Lt 33 Jl. HP Rasuna Said Blok X-5 No. 13 Kuningan Timur Setiabudi Jakarta Selatan 12950"/>
    <x v="1"/>
    <m/>
    <s v="Jakarta-Taman Anggrek-Mall Taman Anggrek Ground Floor G-42, Jl S Parman Kav.21, Rt.12/Rw.1, Tanjung Duren Selatan, Grogol"/>
    <s v="Sewa Bulanan"/>
    <s v="Interkoneksi"/>
    <s v="A821303001228"/>
    <s v="111303014004"/>
    <s v="99,50%"/>
    <s v="Internet Corporate"/>
    <s v="2 Mbps"/>
    <m/>
    <n v="22800000"/>
    <m/>
    <m/>
    <n v="18000000"/>
    <m/>
    <d v="2025-11-07T00:00:00"/>
    <d v="2026-11-06T00:00:00"/>
    <x v="1"/>
    <m/>
    <d v="2025-12-24T00:00:00"/>
    <n v="317"/>
    <n v="11"/>
    <n v="2026"/>
    <s v="4804/SPP/SBU/PLNICONPLUS/2024 | 4500023793"/>
    <s v="8641/SPP/SBU/PLNICONPLUS/2025"/>
    <s v="4500026711"/>
    <s v="Syifa Artianingsih"/>
    <s v="Kharisma"/>
    <s v="+62 878-1104-9256"/>
    <m/>
    <m/>
    <m/>
    <m/>
    <m/>
    <m/>
    <m/>
    <m/>
    <n v="391"/>
    <m/>
  </r>
  <r>
    <n v="2862"/>
    <m/>
    <m/>
    <m/>
    <x v="3"/>
    <m/>
    <m/>
    <m/>
    <m/>
    <m/>
    <m/>
    <m/>
    <m/>
    <m/>
    <m/>
    <m/>
    <m/>
    <m/>
    <m/>
    <m/>
    <m/>
    <m/>
    <x v="3"/>
    <m/>
    <m/>
    <m/>
    <m/>
    <m/>
    <m/>
    <m/>
    <m/>
    <m/>
    <m/>
    <m/>
    <m/>
    <m/>
    <m/>
    <m/>
    <m/>
    <m/>
    <m/>
    <m/>
    <m/>
    <m/>
  </r>
  <r>
    <n v="2863"/>
    <m/>
    <m/>
    <m/>
    <x v="3"/>
    <m/>
    <m/>
    <m/>
    <m/>
    <m/>
    <m/>
    <m/>
    <m/>
    <m/>
    <m/>
    <m/>
    <m/>
    <m/>
    <m/>
    <m/>
    <m/>
    <m/>
    <x v="3"/>
    <m/>
    <m/>
    <m/>
    <m/>
    <m/>
    <m/>
    <m/>
    <m/>
    <m/>
    <m/>
    <m/>
    <m/>
    <m/>
    <m/>
    <m/>
    <m/>
    <m/>
    <m/>
    <m/>
    <m/>
    <m/>
  </r>
  <r>
    <m/>
    <m/>
    <m/>
    <m/>
    <x v="5"/>
    <m/>
    <m/>
    <m/>
    <m/>
    <m/>
    <m/>
    <m/>
    <m/>
    <m/>
    <m/>
    <m/>
    <m/>
    <m/>
    <m/>
    <m/>
    <m/>
    <m/>
    <x v="3"/>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1" cacheId="0"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location ref="A7:D164" firstHeaderRow="1" firstDataRow="1" firstDataCol="4" rowPageCount="5" colPageCount="1"/>
  <pivotFields count="42">
    <pivotField compact="0" outline="0" showAll="0" defaultSubtotal="0"/>
    <pivotField axis="axisRow" compact="0" outline="0" showAll="0" defaultSubtotal="0">
      <items count="553">
        <item x="440"/>
        <item x="220"/>
        <item x="446"/>
        <item x="448"/>
        <item x="452"/>
        <item x="455"/>
        <item x="457"/>
        <item x="458"/>
        <item x="461"/>
        <item x="466"/>
        <item x="467"/>
        <item x="469"/>
        <item x="470"/>
        <item x="472"/>
        <item x="473"/>
        <item x="474"/>
        <item x="478"/>
        <item x="481"/>
        <item x="482"/>
        <item x="483"/>
        <item x="484"/>
        <item x="335"/>
        <item x="158"/>
        <item x="336"/>
        <item x="32"/>
        <item x="239"/>
        <item x="154"/>
        <item x="337"/>
        <item x="272"/>
        <item x="338"/>
        <item x="339"/>
        <item x="148"/>
        <item x="79"/>
        <item x="340"/>
        <item x="219"/>
        <item x="259"/>
        <item x="341"/>
        <item x="441"/>
        <item x="442"/>
        <item x="266"/>
        <item x="443"/>
        <item x="85"/>
        <item x="524"/>
        <item x="95"/>
        <item x="128"/>
        <item x="342"/>
        <item x="12"/>
        <item x="343"/>
        <item x="181"/>
        <item x="523"/>
        <item x="299"/>
        <item x="345"/>
        <item x="346"/>
        <item x="347"/>
        <item x="348"/>
        <item x="349"/>
        <item x="350"/>
        <item x="351"/>
        <item x="0"/>
        <item x="352"/>
        <item x="264"/>
        <item x="50"/>
        <item x="54"/>
        <item x="74"/>
        <item x="18"/>
        <item x="61"/>
        <item x="48"/>
        <item x="211"/>
        <item x="82"/>
        <item x="295"/>
        <item x="353"/>
        <item x="55"/>
        <item x="221"/>
        <item x="249"/>
        <item x="354"/>
        <item x="522"/>
        <item x="355"/>
        <item x="544"/>
        <item x="444"/>
        <item x="356"/>
        <item x="278"/>
        <item x="229"/>
        <item x="5"/>
        <item x="280"/>
        <item x="34"/>
        <item x="53"/>
        <item x="197"/>
        <item x="233"/>
        <item x="286"/>
        <item x="7"/>
        <item x="241"/>
        <item x="212"/>
        <item x="81"/>
        <item x="17"/>
        <item x="357"/>
        <item x="201"/>
        <item x="358"/>
        <item x="137"/>
        <item x="291"/>
        <item x="445"/>
        <item x="225"/>
        <item x="186"/>
        <item x="256"/>
        <item x="359"/>
        <item x="64"/>
        <item x="69"/>
        <item x="9"/>
        <item x="29"/>
        <item x="276"/>
        <item x="447"/>
        <item x="182"/>
        <item x="131"/>
        <item x="155"/>
        <item x="175"/>
        <item x="202"/>
        <item x="360"/>
        <item x="361"/>
        <item x="362"/>
        <item x="1"/>
        <item x="363"/>
        <item x="35"/>
        <item x="203"/>
        <item x="171"/>
        <item x="293"/>
        <item x="274"/>
        <item x="258"/>
        <item x="364"/>
        <item x="76"/>
        <item x="365"/>
        <item x="260"/>
        <item x="292"/>
        <item x="449"/>
        <item x="238"/>
        <item x="199"/>
        <item x="366"/>
        <item x="189"/>
        <item x="273"/>
        <item x="520"/>
        <item x="367"/>
        <item x="368"/>
        <item x="265"/>
        <item x="369"/>
        <item x="78"/>
        <item x="300"/>
        <item x="450"/>
        <item x="370"/>
        <item x="269"/>
        <item x="209"/>
        <item x="2"/>
        <item x="516"/>
        <item x="190"/>
        <item x="98"/>
        <item x="3"/>
        <item x="371"/>
        <item x="230"/>
        <item x="33"/>
        <item x="550"/>
        <item x="451"/>
        <item x="372"/>
        <item x="178"/>
        <item x="373"/>
        <item x="164"/>
        <item x="374"/>
        <item x="375"/>
        <item x="376"/>
        <item x="453"/>
        <item x="218"/>
        <item x="184"/>
        <item x="267"/>
        <item x="275"/>
        <item x="378"/>
        <item x="165"/>
        <item x="454"/>
        <item x="191"/>
        <item x="521"/>
        <item x="75"/>
        <item x="379"/>
        <item x="42"/>
        <item x="30"/>
        <item x="377"/>
        <item x="246"/>
        <item x="380"/>
        <item x="381"/>
        <item x="179"/>
        <item x="456"/>
        <item x="382"/>
        <item x="383"/>
        <item x="301"/>
        <item x="113"/>
        <item x="127"/>
        <item x="316"/>
        <item x="217"/>
        <item x="193"/>
        <item x="116"/>
        <item x="90"/>
        <item x="279"/>
        <item x="384"/>
        <item x="296"/>
        <item x="44"/>
        <item x="261"/>
        <item x="162"/>
        <item x="385"/>
        <item x="224"/>
        <item x="459"/>
        <item x="250"/>
        <item x="386"/>
        <item x="243"/>
        <item x="387"/>
        <item x="257"/>
        <item x="248"/>
        <item x="388"/>
        <item x="389"/>
        <item x="390"/>
        <item x="205"/>
        <item x="11"/>
        <item x="517"/>
        <item x="460"/>
        <item x="192"/>
        <item x="391"/>
        <item x="392"/>
        <item x="297"/>
        <item x="393"/>
        <item x="394"/>
        <item x="485"/>
        <item x="15"/>
        <item x="395"/>
        <item x="235"/>
        <item x="4"/>
        <item x="87"/>
        <item x="45"/>
        <item x="37"/>
        <item x="228"/>
        <item x="396"/>
        <item x="253"/>
        <item x="344"/>
        <item x="519"/>
        <item x="285"/>
        <item x="397"/>
        <item x="398"/>
        <item x="399"/>
        <item x="400"/>
        <item x="515"/>
        <item x="401"/>
        <item x="86"/>
        <item x="161"/>
        <item x="462"/>
        <item x="183"/>
        <item x="207"/>
        <item x="41"/>
        <item x="402"/>
        <item x="245"/>
        <item x="52"/>
        <item x="403"/>
        <item x="232"/>
        <item x="166"/>
        <item x="404"/>
        <item x="247"/>
        <item x="405"/>
        <item x="195"/>
        <item x="406"/>
        <item x="8"/>
        <item x="71"/>
        <item x="194"/>
        <item x="62"/>
        <item x="551"/>
        <item x="407"/>
        <item x="231"/>
        <item x="408"/>
        <item x="206"/>
        <item x="409"/>
        <item x="410"/>
        <item x="287"/>
        <item x="411"/>
        <item x="412"/>
        <item x="413"/>
        <item x="414"/>
        <item x="270"/>
        <item x="6"/>
        <item x="157"/>
        <item x="415"/>
        <item x="463"/>
        <item x="92"/>
        <item x="28"/>
        <item x="464"/>
        <item x="465"/>
        <item x="222"/>
        <item x="548"/>
        <item x="281"/>
        <item x="227"/>
        <item x="545"/>
        <item x="416"/>
        <item x="84"/>
        <item x="47"/>
        <item x="283"/>
        <item x="417"/>
        <item x="418"/>
        <item x="177"/>
        <item x="419"/>
        <item x="420"/>
        <item x="31"/>
        <item x="310"/>
        <item x="213"/>
        <item x="422"/>
        <item x="421"/>
        <item x="423"/>
        <item x="167"/>
        <item x="424"/>
        <item x="43"/>
        <item x="198"/>
        <item x="70"/>
        <item x="468"/>
        <item x="425"/>
        <item x="426"/>
        <item x="427"/>
        <item x="251"/>
        <item x="176"/>
        <item x="27"/>
        <item x="26"/>
        <item x="428"/>
        <item x="80"/>
        <item x="13"/>
        <item x="153"/>
        <item x="60"/>
        <item x="549"/>
        <item x="429"/>
        <item x="10"/>
        <item x="430"/>
        <item x="431"/>
        <item x="89"/>
        <item x="174"/>
        <item x="242"/>
        <item x="51"/>
        <item x="432"/>
        <item x="226"/>
        <item x="512"/>
        <item x="22"/>
        <item x="433"/>
        <item x="271"/>
        <item x="204"/>
        <item x="240"/>
        <item x="216"/>
        <item x="223"/>
        <item x="434"/>
        <item x="435"/>
        <item x="255"/>
        <item x="169"/>
        <item x="436"/>
        <item x="437"/>
        <item x="63"/>
        <item x="49"/>
        <item x="163"/>
        <item x="471"/>
        <item x="40"/>
        <item x="438"/>
        <item x="208"/>
        <item x="439"/>
        <item x="122"/>
        <item x="538"/>
        <item x="138"/>
        <item x="97"/>
        <item x="528"/>
        <item x="130"/>
        <item x="108"/>
        <item x="140"/>
        <item x="126"/>
        <item x="133"/>
        <item x="537"/>
        <item x="290"/>
        <item x="118"/>
        <item x="107"/>
        <item x="314"/>
        <item x="156"/>
        <item x="306"/>
        <item x="326"/>
        <item x="110"/>
        <item x="105"/>
        <item x="142"/>
        <item x="117"/>
        <item x="535"/>
        <item x="121"/>
        <item x="120"/>
        <item x="302"/>
        <item x="304"/>
        <item x="152"/>
        <item x="294"/>
        <item x="123"/>
        <item x="282"/>
        <item x="332"/>
        <item x="99"/>
        <item x="331"/>
        <item x="325"/>
        <item x="330"/>
        <item x="320"/>
        <item x="77"/>
        <item x="540"/>
        <item x="136"/>
        <item x="14"/>
        <item x="146"/>
        <item x="114"/>
        <item x="552"/>
        <item x="129"/>
        <item x="135"/>
        <item x="305"/>
        <item x="244"/>
        <item x="215"/>
        <item x="333"/>
        <item x="334"/>
        <item x="327"/>
        <item x="531"/>
        <item x="106"/>
        <item x="147"/>
        <item x="533"/>
        <item x="321"/>
        <item x="104"/>
        <item x="119"/>
        <item x="323"/>
        <item x="534"/>
        <item x="547"/>
        <item x="539"/>
        <item x="132"/>
        <item x="134"/>
        <item x="23"/>
        <item x="525"/>
        <item x="307"/>
        <item x="526"/>
        <item x="298"/>
        <item x="319"/>
        <item x="150"/>
        <item x="149"/>
        <item x="530"/>
        <item x="329"/>
        <item x="20"/>
        <item x="58"/>
        <item x="112"/>
        <item x="315"/>
        <item x="103"/>
        <item x="317"/>
        <item x="536"/>
        <item x="111"/>
        <item x="25"/>
        <item x="311"/>
        <item x="139"/>
        <item x="100"/>
        <item x="284"/>
        <item x="151"/>
        <item x="527"/>
        <item x="532"/>
        <item x="180"/>
        <item x="93"/>
        <item x="109"/>
        <item x="21"/>
        <item x="67"/>
        <item x="313"/>
        <item x="24"/>
        <item x="318"/>
        <item x="145"/>
        <item x="143"/>
        <item x="91"/>
        <item x="328"/>
        <item x="324"/>
        <item x="312"/>
        <item x="144"/>
        <item x="303"/>
        <item x="308"/>
        <item x="102"/>
        <item x="101"/>
        <item x="141"/>
        <item x="94"/>
        <item x="529"/>
        <item x="115"/>
        <item x="185"/>
        <item x="65"/>
        <item x="56"/>
        <item x="88"/>
        <item x="486"/>
        <item x="125"/>
        <item x="487"/>
        <item x="488"/>
        <item x="200"/>
        <item x="541"/>
        <item x="288"/>
        <item x="489"/>
        <item x="160"/>
        <item x="263"/>
        <item x="322"/>
        <item x="490"/>
        <item x="196"/>
        <item x="491"/>
        <item x="492"/>
        <item x="493"/>
        <item x="66"/>
        <item x="494"/>
        <item x="495"/>
        <item x="173"/>
        <item x="262"/>
        <item x="19"/>
        <item x="168"/>
        <item x="39"/>
        <item x="16"/>
        <item x="159"/>
        <item x="73"/>
        <item x="36"/>
        <item x="187"/>
        <item x="57"/>
        <item x="172"/>
        <item x="68"/>
        <item x="496"/>
        <item x="497"/>
        <item x="498"/>
        <item x="499"/>
        <item x="500"/>
        <item x="210"/>
        <item x="501"/>
        <item x="514"/>
        <item x="476"/>
        <item x="475"/>
        <item x="268"/>
        <item x="502"/>
        <item x="503"/>
        <item x="59"/>
        <item x="254"/>
        <item x="46"/>
        <item x="170"/>
        <item x="504"/>
        <item x="252"/>
        <item x="237"/>
        <item x="214"/>
        <item x="542"/>
        <item x="505"/>
        <item x="477"/>
        <item x="479"/>
        <item x="513"/>
        <item x="506"/>
        <item x="124"/>
        <item x="96"/>
        <item x="507"/>
        <item x="480"/>
        <item x="518"/>
        <item x="508"/>
        <item x="234"/>
        <item x="546"/>
        <item x="72"/>
        <item x="509"/>
        <item x="510"/>
        <item x="38"/>
        <item x="543"/>
        <item x="277"/>
        <item x="236"/>
        <item x="511"/>
        <item x="309"/>
        <item x="83"/>
        <item x="289"/>
        <item x="188"/>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Page" compact="0" outline="0" multipleItemSelectionAllowed="1" showAll="0" defaultSubtotal="0">
      <items count="25">
        <item m="1" x="9"/>
        <item m="1" x="17"/>
        <item m="1" x="22"/>
        <item x="1"/>
        <item x="3"/>
        <item m="1" x="23"/>
        <item m="1" x="12"/>
        <item m="1" x="7"/>
        <item m="1" x="24"/>
        <item m="1" x="19"/>
        <item x="2"/>
        <item x="4"/>
        <item m="1" x="18"/>
        <item m="1" x="14"/>
        <item m="1" x="21"/>
        <item m="1" x="20"/>
        <item h="1" x="0"/>
        <item m="1" x="13"/>
        <item m="1" x="10"/>
        <item m="1" x="16"/>
        <item m="1" x="8"/>
        <item h="1" x="5"/>
        <item m="1" x="15"/>
        <item m="1" x="11"/>
        <item m="1" x="6"/>
      </items>
    </pivotField>
    <pivotField axis="axisRow" compact="0" outline="0" showAll="0" defaultSubtotal="0">
      <items count="1224">
        <item x="19"/>
        <item x="274"/>
        <item x="498"/>
        <item x="1200"/>
        <item x="1115"/>
        <item x="57"/>
        <item x="896"/>
        <item x="743"/>
        <item x="942"/>
        <item x="1061"/>
        <item x="1136"/>
        <item x="947"/>
        <item x="643"/>
        <item x="828"/>
        <item x="409"/>
        <item x="758"/>
        <item x="928"/>
        <item x="935"/>
        <item x="1110"/>
        <item x="1047"/>
        <item x="788"/>
        <item x="838"/>
        <item x="1002"/>
        <item x="841"/>
        <item x="1142"/>
        <item x="1141"/>
        <item x="225"/>
        <item x="1056"/>
        <item x="813"/>
        <item x="803"/>
        <item x="990"/>
        <item x="839"/>
        <item x="634"/>
        <item x="295"/>
        <item x="437"/>
        <item x="550"/>
        <item x="844"/>
        <item x="331"/>
        <item x="155"/>
        <item x="100"/>
        <item x="629"/>
        <item x="809"/>
        <item x="661"/>
        <item x="214"/>
        <item x="103"/>
        <item x="670"/>
        <item x="369"/>
        <item x="22"/>
        <item x="997"/>
        <item x="299"/>
        <item x="296"/>
        <item x="807"/>
        <item x="366"/>
        <item x="902"/>
        <item x="1007"/>
        <item x="818"/>
        <item x="582"/>
        <item x="744"/>
        <item x="849"/>
        <item x="774"/>
        <item x="1035"/>
        <item x="1192"/>
        <item x="1180"/>
        <item x="1182"/>
        <item x="1223"/>
        <item x="613"/>
        <item x="1195"/>
        <item x="898"/>
        <item x="1203"/>
        <item x="1109"/>
        <item x="995"/>
        <item x="1038"/>
        <item x="1104"/>
        <item x="796"/>
        <item x="772"/>
        <item x="1202"/>
        <item x="1184"/>
        <item x="1120"/>
        <item x="1174"/>
        <item x="1185"/>
        <item x="1112"/>
        <item x="674"/>
        <item x="1098"/>
        <item x="968"/>
        <item x="969"/>
        <item x="1204"/>
        <item x="1102"/>
        <item x="679"/>
        <item x="1186"/>
        <item x="1188"/>
        <item x="850"/>
        <item x="1111"/>
        <item x="891"/>
        <item x="697"/>
        <item x="1175"/>
        <item x="1213"/>
        <item x="984"/>
        <item x="1183"/>
        <item x="1095"/>
        <item x="1082"/>
        <item x="1081"/>
        <item x="1087"/>
        <item x="932"/>
        <item x="615"/>
        <item x="1024"/>
        <item x="832"/>
        <item x="938"/>
        <item x="698"/>
        <item x="675"/>
        <item x="1077"/>
        <item x="931"/>
        <item x="1096"/>
        <item x="678"/>
        <item x="1189"/>
        <item x="1190"/>
        <item x="1094"/>
        <item x="1181"/>
        <item x="1194"/>
        <item x="1215"/>
        <item x="1033"/>
        <item x="848"/>
        <item x="852"/>
        <item x="851"/>
        <item x="1093"/>
        <item x="1205"/>
        <item x="972"/>
        <item x="889"/>
        <item x="673"/>
        <item x="1049"/>
        <item x="940"/>
        <item x="677"/>
        <item x="1089"/>
        <item x="1106"/>
        <item x="1221"/>
        <item x="1220"/>
        <item x="1222"/>
        <item x="1214"/>
        <item x="970"/>
        <item x="773"/>
        <item x="625"/>
        <item x="1086"/>
        <item x="1085"/>
        <item x="1107"/>
        <item x="1210"/>
        <item x="1084"/>
        <item x="1083"/>
        <item x="1179"/>
        <item x="1206"/>
        <item x="1199"/>
        <item x="724"/>
        <item x="707"/>
        <item x="706"/>
        <item x="708"/>
        <item x="1201"/>
        <item x="1108"/>
        <item x="1191"/>
        <item x="644"/>
        <item x="672"/>
        <item x="1090"/>
        <item x="1100"/>
        <item x="1088"/>
        <item x="1193"/>
        <item x="999"/>
        <item x="619"/>
        <item x="1101"/>
        <item x="611"/>
        <item x="145"/>
        <item x="192"/>
        <item x="423"/>
        <item x="663"/>
        <item x="1145"/>
        <item x="130"/>
        <item x="252"/>
        <item x="4"/>
        <item x="1149"/>
        <item x="346"/>
        <item x="52"/>
        <item x="649"/>
        <item x="561"/>
        <item x="2"/>
        <item x="865"/>
        <item x="712"/>
        <item x="716"/>
        <item x="820"/>
        <item x="288"/>
        <item x="490"/>
        <item x="197"/>
        <item x="134"/>
        <item x="263"/>
        <item x="512"/>
        <item x="904"/>
        <item x="16"/>
        <item x="78"/>
        <item x="691"/>
        <item x="118"/>
        <item x="1217"/>
        <item x="1116"/>
        <item x="544"/>
        <item x="318"/>
        <item x="159"/>
        <item x="40"/>
        <item x="1018"/>
        <item x="427"/>
        <item x="51"/>
        <item x="1030"/>
        <item x="218"/>
        <item x="190"/>
        <item x="426"/>
        <item x="277"/>
        <item x="1117"/>
        <item x="752"/>
        <item x="319"/>
        <item x="340"/>
        <item x="1057"/>
        <item x="262"/>
        <item x="1144"/>
        <item x="17"/>
        <item x="298"/>
        <item x="354"/>
        <item x="908"/>
        <item x="247"/>
        <item x="381"/>
        <item x="720"/>
        <item x="435"/>
        <item x="516"/>
        <item x="457"/>
        <item x="1063"/>
        <item x="345"/>
        <item x="1152"/>
        <item x="139"/>
        <item x="508"/>
        <item x="945"/>
        <item x="376"/>
        <item x="383"/>
        <item x="1151"/>
        <item x="330"/>
        <item x="816"/>
        <item x="246"/>
        <item x="308"/>
        <item x="373"/>
        <item x="1150"/>
        <item x="255"/>
        <item x="283"/>
        <item x="1153"/>
        <item x="355"/>
        <item x="568"/>
        <item x="323"/>
        <item x="676"/>
        <item x="326"/>
        <item x="1164"/>
        <item x="560"/>
        <item x="534"/>
        <item x="458"/>
        <item x="472"/>
        <item x="1163"/>
        <item x="1154"/>
        <item x="1160"/>
        <item x="1165"/>
        <item x="379"/>
        <item x="385"/>
        <item x="1161"/>
        <item x="1162"/>
        <item x="428"/>
        <item x="469"/>
        <item x="1156"/>
        <item x="483"/>
        <item x="1124"/>
        <item x="380"/>
        <item x="703"/>
        <item x="1155"/>
        <item x="1147"/>
        <item x="979"/>
        <item x="926"/>
        <item x="1021"/>
        <item x="557"/>
        <item x="1143"/>
        <item x="951"/>
        <item x="1148"/>
        <item x="479"/>
        <item x="566"/>
        <item x="1146"/>
        <item x="1158"/>
        <item x="1159"/>
        <item x="1157"/>
        <item x="973"/>
        <item x="1167"/>
        <item x="1168"/>
        <item x="1169"/>
        <item x="1166"/>
        <item x="1170"/>
        <item x="1171"/>
        <item x="794"/>
        <item x="854"/>
        <item x="56"/>
        <item x="334"/>
        <item x="0"/>
        <item x="271"/>
        <item x="1023"/>
        <item x="191"/>
        <item x="335"/>
        <item x="395"/>
        <item x="918"/>
        <item x="733"/>
        <item x="169"/>
        <item x="464"/>
        <item x="148"/>
        <item x="1105"/>
        <item x="1034"/>
        <item x="106"/>
        <item x="800"/>
        <item x="142"/>
        <item x="711"/>
        <item x="570"/>
        <item x="894"/>
        <item x="700"/>
        <item x="657"/>
        <item x="911"/>
        <item x="746"/>
        <item x="115"/>
        <item x="900"/>
        <item x="651"/>
        <item x="775"/>
        <item x="595"/>
        <item x="62"/>
        <item x="730"/>
        <item x="10"/>
        <item x="553"/>
        <item x="664"/>
        <item x="91"/>
        <item x="3"/>
        <item x="884"/>
        <item x="424"/>
        <item x="793"/>
        <item x="655"/>
        <item x="726"/>
        <item x="425"/>
        <item x="715"/>
        <item n="ICON-00/ACT/1510/0107_x000a_ ICON-00/ACT/1505/0006_x000a_ ICON-00/ACT/1710/0264_x000a_ ICON-00/SOP/1703/0068_x000a_ ICON-00/SOP/1705/0060_x000a_ ICON-00/DOW/1705/0002_x000a_ ICON-00/SOP/1702/0045_x000a_ ICON-00/ACT/1611/0950_x000a_ ICON-00/ACT/1611/0431_x000a_ ICON-00/ACT/1610/0525_x000a_ ICON-00/ACT/1607/0060_x000a_ I" x="631"/>
        <item x="124"/>
        <item x="363"/>
        <item x="1067"/>
        <item x="26"/>
        <item x="6"/>
        <item x="72"/>
        <item x="639"/>
        <item x="1014"/>
        <item x="1000"/>
        <item x="656"/>
        <item x="117"/>
        <item x="270"/>
        <item x="653"/>
        <item x="735"/>
        <item x="610"/>
        <item x="857"/>
        <item x="665"/>
        <item x="35"/>
        <item x="1010"/>
        <item x="1037"/>
        <item x="654"/>
        <item x="467"/>
        <item x="652"/>
        <item x="776"/>
        <item x="812"/>
        <item x="607"/>
        <item x="64"/>
        <item x="767"/>
        <item x="641"/>
        <item x="217"/>
        <item x="797"/>
        <item x="31"/>
        <item x="642"/>
        <item x="11"/>
        <item x="1072"/>
        <item x="996"/>
        <item x="147"/>
        <item x="718"/>
        <item x="305"/>
        <item x="994"/>
        <item x="906"/>
        <item x="536"/>
        <item x="535"/>
        <item x="101"/>
        <item x="227"/>
        <item x="586"/>
        <item x="237"/>
        <item x="955"/>
        <item x="819"/>
        <item x="745"/>
        <item x="893"/>
        <item x="684"/>
        <item x="375"/>
        <item x="324"/>
        <item x="357"/>
        <item x="609"/>
        <item x="401"/>
        <item x="632"/>
        <item x="511"/>
        <item x="604"/>
        <item x="119"/>
        <item x="956"/>
        <item x="83"/>
        <item x="287"/>
        <item x="597"/>
        <item x="146"/>
        <item x="603"/>
        <item x="723"/>
        <item x="860"/>
        <item x="391"/>
        <item x="731"/>
        <item x="45"/>
        <item x="160"/>
        <item x="23"/>
        <item x="358"/>
        <item x="403"/>
        <item x="38"/>
        <item x="905"/>
        <item x="74"/>
        <item x="737"/>
        <item x="42"/>
        <item x="736"/>
        <item x="694"/>
        <item x="59"/>
        <item x="272"/>
        <item x="206"/>
        <item x="874"/>
        <item x="811"/>
        <item x="172"/>
        <item x="54"/>
        <item x="49"/>
        <item x="817"/>
        <item x="48"/>
        <item x="97"/>
        <item x="721"/>
        <item x="616"/>
        <item x="495"/>
        <item x="86"/>
        <item x="317"/>
        <item x="76"/>
        <item x="822"/>
        <item x="12"/>
        <item x="805"/>
        <item x="688"/>
        <item x="685"/>
        <item x="125"/>
        <item x="919"/>
        <item x="73"/>
        <item x="1019"/>
        <item x="351"/>
        <item x="913"/>
        <item x="137"/>
        <item x="594"/>
        <item x="540"/>
        <item x="116"/>
        <item x="46"/>
        <item x="914"/>
        <item x="236"/>
        <item x="1017"/>
        <item x="1029"/>
        <item x="937"/>
        <item x="481"/>
        <item x="350"/>
        <item x="138"/>
        <item x="766"/>
        <item x="471"/>
        <item x="496"/>
        <item x="992"/>
        <item x="68"/>
        <item x="353"/>
        <item x="39"/>
        <item x="21"/>
        <item x="795"/>
        <item x="256"/>
        <item x="590"/>
        <item x="282"/>
        <item x="814"/>
        <item x="364"/>
        <item x="915"/>
        <item x="8"/>
        <item x="122"/>
        <item x="907"/>
        <item x="328"/>
        <item x="149"/>
        <item x="623"/>
        <item x="1040"/>
        <item x="901"/>
        <item x="804"/>
        <item x="826"/>
        <item x="903"/>
        <item x="827"/>
        <item x="349"/>
        <item x="921"/>
        <item x="974"/>
        <item x="725"/>
        <item x="156"/>
        <item x="810"/>
        <item x="182"/>
        <item x="842"/>
        <item x="41"/>
        <item x="5"/>
        <item x="1"/>
        <item x="30"/>
        <item x="13"/>
        <item x="24"/>
        <item x="14"/>
        <item x="32"/>
        <item x="20"/>
        <item x="29"/>
        <item x="33"/>
        <item x="9"/>
        <item x="15"/>
        <item x="34"/>
        <item x="444"/>
        <item x="780"/>
        <item x="886"/>
        <item x="25"/>
        <item x="645"/>
        <item x="821"/>
        <item x="306"/>
        <item x="729"/>
        <item x="572"/>
        <item x="466"/>
        <item x="781"/>
        <item x="414"/>
        <item x="267"/>
        <item x="722"/>
        <item x="269"/>
        <item x="131"/>
        <item x="261"/>
        <item x="65"/>
        <item x="887"/>
        <item x="577"/>
        <item x="866"/>
        <item x="216"/>
        <item x="591"/>
        <item x="533"/>
        <item x="861"/>
        <item x="445"/>
        <item x="885"/>
        <item x="732"/>
        <item x="815"/>
        <item x="398"/>
        <item x="367"/>
        <item x="95"/>
        <item x="232"/>
        <item x="1020"/>
        <item x="43"/>
        <item x="259"/>
        <item x="624"/>
        <item x="104"/>
        <item x="870"/>
        <item x="248"/>
        <item x="669"/>
        <item x="441"/>
        <item x="276"/>
        <item x="337"/>
        <item x="143"/>
        <item x="824"/>
        <item x="129"/>
        <item x="484"/>
        <item x="249"/>
        <item x="622"/>
        <item x="892"/>
        <item x="783"/>
        <item x="185"/>
        <item x="559"/>
        <item x="399"/>
        <item x="864"/>
        <item x="405"/>
        <item x="114"/>
        <item x="686"/>
        <item x="121"/>
        <item x="44"/>
        <item x="506"/>
        <item x="348"/>
        <item x="60"/>
        <item x="157"/>
        <item x="671"/>
        <item x="85"/>
        <item x="113"/>
        <item x="1074"/>
        <item x="352"/>
        <item x="240"/>
        <item x="612"/>
        <item x="876"/>
        <item x="877"/>
        <item x="878"/>
        <item x="1073"/>
        <item x="1012"/>
        <item x="486"/>
        <item x="168"/>
        <item x="347"/>
        <item x="792"/>
        <item x="1003"/>
        <item x="636"/>
        <item x="993"/>
        <item x="638"/>
        <item x="883"/>
        <item x="356"/>
        <item x="873"/>
        <item x="238"/>
        <item x="748"/>
        <item x="869"/>
        <item x="79"/>
        <item x="500"/>
        <item x="293"/>
        <item x="1008"/>
        <item x="322"/>
        <item x="198"/>
        <item x="687"/>
        <item x="858"/>
        <item x="215"/>
        <item x="598"/>
        <item x="702"/>
        <item x="646"/>
        <item x="741"/>
        <item x="55"/>
        <item x="132"/>
        <item x="658"/>
        <item x="888"/>
        <item x="647"/>
        <item x="289"/>
        <item x="798"/>
        <item x="799"/>
        <item x="53"/>
        <item x="75"/>
        <item x="541"/>
        <item x="181"/>
        <item x="105"/>
        <item x="163"/>
        <item x="1059"/>
        <item x="71"/>
        <item x="875"/>
        <item x="278"/>
        <item x="150"/>
        <item x="667"/>
        <item x="371"/>
        <item x="1052"/>
        <item x="717"/>
        <item x="50"/>
        <item x="153"/>
        <item x="1005"/>
        <item x="1006"/>
        <item x="98"/>
        <item x="1001"/>
        <item x="1054"/>
        <item x="321"/>
        <item x="879"/>
        <item x="648"/>
        <item x="599"/>
        <item x="704"/>
        <item x="583"/>
        <item x="749"/>
        <item x="468"/>
        <item x="627"/>
        <item x="750"/>
        <item x="635"/>
        <item x="123"/>
        <item x="640"/>
        <item x="1075"/>
        <item x="751"/>
        <item x="341"/>
        <item x="949"/>
        <item x="1071"/>
        <item x="753"/>
        <item x="966"/>
        <item x="1044"/>
        <item x="327"/>
        <item x="251"/>
        <item x="194"/>
        <item x="291"/>
        <item x="1070"/>
        <item x="250"/>
        <item x="514"/>
        <item x="666"/>
        <item x="154"/>
        <item x="601"/>
        <item x="166"/>
        <item x="264"/>
        <item x="133"/>
        <item x="260"/>
        <item x="1065"/>
        <item x="436"/>
        <item x="1069"/>
        <item x="36"/>
        <item x="325"/>
        <item x="430"/>
        <item x="1218"/>
        <item x="108"/>
        <item x="109"/>
        <item x="90"/>
        <item x="446"/>
        <item x="253"/>
        <item x="107"/>
        <item x="111"/>
        <item x="944"/>
        <item x="170"/>
        <item x="152"/>
        <item x="69"/>
        <item x="806"/>
        <item x="368"/>
        <item x="110"/>
        <item x="80"/>
        <item x="843"/>
        <item x="438"/>
        <item x="307"/>
        <item x="112"/>
        <item x="742"/>
        <item x="158"/>
        <item x="332"/>
        <item x="576"/>
        <item x="234"/>
        <item x="701"/>
        <item x="370"/>
        <item x="164"/>
        <item x="1004"/>
        <item x="167"/>
        <item x="102"/>
        <item x="571"/>
        <item x="360"/>
        <item x="254"/>
        <item x="771"/>
        <item x="87"/>
        <item x="1027"/>
        <item x="1042"/>
        <item x="151"/>
        <item x="1026"/>
        <item x="600"/>
        <item x="165"/>
        <item x="840"/>
        <item x="171"/>
        <item x="37"/>
        <item x="837"/>
        <item x="82"/>
        <item x="987"/>
        <item x="144"/>
        <item x="141"/>
        <item x="96"/>
        <item x="835"/>
        <item x="977"/>
        <item x="66"/>
        <item x="140"/>
        <item x="867"/>
        <item x="473"/>
        <item x="70"/>
        <item x="162"/>
        <item x="193"/>
        <item x="228"/>
        <item x="833"/>
        <item x="855"/>
        <item x="208"/>
        <item x="93"/>
        <item x="760"/>
        <item x="845"/>
        <item x="761"/>
        <item x="365"/>
        <item x="747"/>
        <item x="173"/>
        <item x="562"/>
        <item x="1055"/>
        <item x="266"/>
        <item x="174"/>
        <item x="989"/>
        <item x="212"/>
        <item x="213"/>
        <item x="211"/>
        <item x="1036"/>
        <item x="178"/>
        <item x="180"/>
        <item x="179"/>
        <item x="177"/>
        <item x="1068"/>
        <item x="207"/>
        <item x="175"/>
        <item x="487"/>
        <item x="960"/>
        <item x="312"/>
        <item x="344"/>
        <item x="605"/>
        <item x="342"/>
        <item x="343"/>
        <item x="1177"/>
        <item x="1060"/>
        <item x="434"/>
        <item x="789"/>
        <item x="222"/>
        <item x="313"/>
        <item x="659"/>
        <item x="239"/>
        <item x="1058"/>
        <item x="265"/>
        <item x="189"/>
        <item x="316"/>
        <item x="315"/>
        <item x="221"/>
        <item x="202"/>
        <item x="258"/>
        <item x="286"/>
        <item x="474"/>
        <item x="257"/>
        <item x="188"/>
        <item x="361"/>
        <item x="554"/>
        <item x="186"/>
        <item x="958"/>
        <item x="957"/>
        <item x="1039"/>
        <item x="329"/>
        <item x="302"/>
        <item x="220"/>
        <item x="245"/>
        <item x="515"/>
        <item x="187"/>
        <item x="244"/>
        <item x="300"/>
        <item x="421"/>
        <item x="1015"/>
        <item x="280"/>
        <item x="279"/>
        <item x="231"/>
        <item x="336"/>
        <item x="372"/>
        <item x="868"/>
        <item x="200"/>
        <item x="310"/>
        <item x="662"/>
        <item x="579"/>
        <item x="930"/>
        <item x="233"/>
        <item x="199"/>
        <item x="912"/>
        <item x="229"/>
        <item x="526"/>
        <item x="965"/>
        <item x="985"/>
        <item x="204"/>
        <item x="489"/>
        <item x="592"/>
        <item x="1173"/>
        <item x="978"/>
        <item x="650"/>
        <item x="916"/>
        <item x="196"/>
        <item x="933"/>
        <item x="962"/>
        <item x="442"/>
        <item x="396"/>
        <item x="523"/>
        <item x="509"/>
        <item x="485"/>
        <item x="593"/>
        <item x="705"/>
        <item x="521"/>
        <item x="531"/>
        <item x="465"/>
        <item x="530"/>
        <item x="226"/>
        <item x="988"/>
        <item x="524"/>
        <item x="454"/>
        <item x="556"/>
        <item x="1122"/>
        <item x="856"/>
        <item x="693"/>
        <item x="525"/>
        <item x="529"/>
        <item x="532"/>
        <item x="714"/>
        <item x="779"/>
        <item x="519"/>
        <item x="501"/>
        <item x="507"/>
        <item x="696"/>
        <item x="518"/>
        <item x="528"/>
        <item x="660"/>
        <item x="1140"/>
        <item x="527"/>
        <item x="1139"/>
        <item x="982"/>
        <item x="429"/>
        <item x="387"/>
        <item x="504"/>
        <item x="451"/>
        <item x="386"/>
        <item x="161"/>
        <item x="680"/>
        <item x="683"/>
        <item x="927"/>
        <item x="450"/>
        <item x="1009"/>
        <item x="1207"/>
        <item x="520"/>
        <item x="948"/>
        <item x="563"/>
        <item x="564"/>
        <item x="517"/>
        <item x="503"/>
        <item x="787"/>
        <item x="522"/>
        <item x="452"/>
        <item x="1041"/>
        <item x="455"/>
        <item x="1138"/>
        <item x="449"/>
        <item x="681"/>
        <item x="981"/>
        <item x="608"/>
        <item x="1137"/>
        <item x="976"/>
        <item x="463"/>
        <item x="543"/>
        <item x="447"/>
        <item x="448"/>
        <item x="482"/>
        <item x="459"/>
        <item x="542"/>
        <item x="422"/>
        <item x="433"/>
        <item x="505"/>
        <item x="417"/>
        <item x="460"/>
        <item x="548"/>
        <item x="872"/>
        <item x="502"/>
        <item x="881"/>
        <item x="934"/>
        <item x="412"/>
        <item x="991"/>
        <item x="431"/>
        <item x="713"/>
        <item x="476"/>
        <item x="384"/>
        <item x="406"/>
        <item x="545"/>
        <item x="1135"/>
        <item x="917"/>
        <item x="378"/>
        <item x="418"/>
        <item x="549"/>
        <item x="410"/>
        <item x="1043"/>
        <item x="547"/>
        <item x="408"/>
        <item x="823"/>
        <item x="1219"/>
        <item x="551"/>
        <item x="555"/>
        <item x="637"/>
        <item x="404"/>
        <item x="882"/>
        <item x="407"/>
        <item x="538"/>
        <item x="1025"/>
        <item x="539"/>
        <item x="552"/>
        <item x="871"/>
        <item x="492"/>
        <item x="859"/>
        <item x="470"/>
        <item x="420"/>
        <item x="567"/>
        <item x="727"/>
        <item x="920"/>
        <item x="863"/>
        <item x="1134"/>
        <item x="802"/>
        <item x="923"/>
        <item x="565"/>
        <item x="397"/>
        <item x="829"/>
        <item x="880"/>
        <item x="453"/>
        <item x="763"/>
        <item x="588"/>
        <item x="1131"/>
        <item x="494"/>
        <item x="1133"/>
        <item x="439"/>
        <item x="1132"/>
        <item x="585"/>
        <item x="416"/>
        <item x="499"/>
        <item x="392"/>
        <item x="415"/>
        <item x="690"/>
        <item x="569"/>
        <item x="971"/>
        <item x="580"/>
        <item x="1016"/>
        <item x="393"/>
        <item x="584"/>
        <item x="578"/>
        <item x="710"/>
        <item x="589"/>
        <item x="862"/>
        <item x="983"/>
        <item x="587"/>
        <item x="825"/>
        <item x="834"/>
        <item x="897"/>
        <item x="581"/>
        <item x="899"/>
        <item x="801"/>
        <item x="1048"/>
        <item x="890"/>
        <item x="1046"/>
        <item x="1045"/>
        <item x="628"/>
        <item x="602"/>
        <item x="924"/>
        <item x="1103"/>
        <item x="621"/>
        <item x="764"/>
        <item x="765"/>
        <item x="682"/>
        <item x="738"/>
        <item x="1076"/>
        <item x="830"/>
        <item x="846"/>
        <item x="986"/>
        <item x="954"/>
        <item x="1031"/>
        <item x="734"/>
        <item x="740"/>
        <item x="967"/>
        <item x="946"/>
        <item x="769"/>
        <item x="770"/>
        <item x="909"/>
        <item x="626"/>
        <item x="394"/>
        <item x="419"/>
        <item x="77"/>
        <item x="92"/>
        <item x="362"/>
        <item x="1130"/>
        <item x="284"/>
        <item x="84"/>
        <item x="136"/>
        <item x="596"/>
        <item x="695"/>
        <item x="1066"/>
        <item x="739"/>
        <item x="292"/>
        <item x="18"/>
        <item x="456"/>
        <item x="614"/>
        <item x="61"/>
        <item x="311"/>
        <item x="1062"/>
        <item x="89"/>
        <item x="27"/>
        <item x="127"/>
        <item x="126"/>
        <item x="81"/>
        <item x="58"/>
        <item x="290"/>
        <item x="28"/>
        <item x="1028"/>
        <item x="273"/>
        <item x="195"/>
        <item x="1064"/>
        <item x="210"/>
        <item x="808"/>
        <item x="778"/>
        <item x="241"/>
        <item x="339"/>
        <item x="303"/>
        <item x="475"/>
        <item x="1050"/>
        <item x="301"/>
        <item x="309"/>
        <item x="493"/>
        <item x="699"/>
        <item x="443"/>
        <item x="513"/>
        <item x="432"/>
        <item x="1051"/>
        <item x="230"/>
        <item x="943"/>
        <item x="537"/>
        <item x="462"/>
        <item x="558"/>
        <item x="1011"/>
        <item x="895"/>
        <item x="964"/>
        <item x="668"/>
        <item x="692"/>
        <item x="689"/>
        <item x="1053"/>
        <item x="338"/>
        <item x="836"/>
        <item x="377"/>
        <item x="1013"/>
        <item x="205"/>
        <item x="281"/>
        <item x="7"/>
        <item x="777"/>
        <item x="510"/>
        <item x="135"/>
        <item x="791"/>
        <item x="786"/>
        <item x="633"/>
        <item x="224"/>
        <item x="285"/>
        <item x="235"/>
        <item x="201"/>
        <item x="922"/>
        <item x="618"/>
        <item x="120"/>
        <item x="1126"/>
        <item x="491"/>
        <item x="936"/>
        <item x="184"/>
        <item x="382"/>
        <item x="374"/>
        <item x="203"/>
        <item x="88"/>
        <item x="183"/>
        <item x="784"/>
        <item x="99"/>
        <item x="294"/>
        <item x="480"/>
        <item x="963"/>
        <item x="275"/>
        <item x="980"/>
        <item x="63"/>
        <item x="47"/>
        <item x="297"/>
        <item x="719"/>
        <item x="94"/>
        <item x="831"/>
        <item x="333"/>
        <item x="573"/>
        <item x="574"/>
        <item x="320"/>
        <item x="176"/>
        <item x="413"/>
        <item x="546"/>
        <item x="304"/>
        <item x="268"/>
        <item x="782"/>
        <item x="1127"/>
        <item x="762"/>
        <item x="785"/>
        <item x="223"/>
        <item x="1022"/>
        <item x="209"/>
        <item x="314"/>
        <item x="620"/>
        <item x="243"/>
        <item x="575"/>
        <item x="242"/>
        <item x="1129"/>
        <item x="961"/>
        <item x="219"/>
        <item x="1125"/>
        <item x="359"/>
        <item x="975"/>
        <item x="402"/>
        <item n="PA/UPG/2111/0134/TER_x000a_PA/ACT/2112/0746_x000a_PA/ACT/2112/0640_x000a_PA/UPG/2202/0307_x000a_PA/ACT/2201/1525/ORI_x000a_PA/ACT/2112/4142_x000a_PA/ACT/2201/1469_x000a_PA/UPG/2111/0152_x000a_PA/ACT/2201/0640_x000a_PA/ACT/2201/0890_x000a_PA/ACT/2201/2229_x000a_PA/UPG/2202/0307_x000a_PA/ACT/2203/4651/ORI_x000a_PA/ACT/2110/3149/TER_x000a_" x="1114"/>
        <item x="497"/>
        <item x="440"/>
        <item x="461"/>
        <item x="388"/>
        <item x="477"/>
        <item x="755"/>
        <item x="488"/>
        <item x="1121"/>
        <item x="754"/>
        <item x="952"/>
        <item x="1123"/>
        <item x="478"/>
        <item x="939"/>
        <item x="389"/>
        <item x="925"/>
        <item x="847"/>
        <item x="1032"/>
        <item x="1128"/>
        <item x="756"/>
        <item x="953"/>
        <item x="998"/>
        <item x="759"/>
        <item x="757"/>
        <item x="768"/>
        <item x="390"/>
        <item x="411"/>
        <item x="728"/>
        <item x="606"/>
        <item x="1091"/>
        <item x="1198"/>
        <item x="1197"/>
        <item x="1118"/>
        <item x="709"/>
        <item x="1113"/>
        <item x="1078"/>
        <item x="1216"/>
        <item x="1176"/>
        <item x="1097"/>
        <item x="1196"/>
        <item x="910"/>
        <item x="1080"/>
        <item x="1079"/>
        <item x="630"/>
        <item x="400"/>
        <item x="128"/>
        <item x="790"/>
        <item x="617"/>
        <item x="950"/>
        <item x="1119"/>
        <item x="1187"/>
        <item x="1172"/>
        <item x="853"/>
        <item x="1178"/>
        <item x="959"/>
        <item x="1092"/>
        <item x="1208"/>
        <item x="1209"/>
        <item x="1211"/>
        <item x="941"/>
        <item x="1099"/>
        <item x="929"/>
        <item x="1212"/>
        <item x="67"/>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Rev Sewa (1 Thn)" axis="axisRow" compact="0" outline="0" showAll="0" defaultSubtotal="0">
      <items count="599">
        <item x="56"/>
        <item x="175"/>
        <item x="467"/>
        <item x="271"/>
        <item x="213"/>
        <item x="183"/>
        <item x="144"/>
        <item x="170"/>
        <item x="340"/>
        <item x="362"/>
        <item x="363"/>
        <item x="122"/>
        <item x="502"/>
        <item x="32"/>
        <item x="522"/>
        <item x="162"/>
        <item x="77"/>
        <item x="369"/>
        <item x="65"/>
        <item x="368"/>
        <item x="287"/>
        <item x="153"/>
        <item x="364"/>
        <item x="245"/>
        <item x="300"/>
        <item x="591"/>
        <item x="529"/>
        <item x="456"/>
        <item x="129"/>
        <item x="366"/>
        <item x="504"/>
        <item x="72"/>
        <item x="140"/>
        <item x="64"/>
        <item x="411"/>
        <item x="37"/>
        <item x="528"/>
        <item x="237"/>
        <item x="48"/>
        <item x="372"/>
        <item x="156"/>
        <item x="434"/>
        <item x="466"/>
        <item x="365"/>
        <item x="482"/>
        <item x="435"/>
        <item x="147"/>
        <item x="518"/>
        <item x="328"/>
        <item x="292"/>
        <item x="441"/>
        <item x="151"/>
        <item x="62"/>
        <item x="309"/>
        <item x="73"/>
        <item x="549"/>
        <item x="269"/>
        <item x="137"/>
        <item x="211"/>
        <item x="387"/>
        <item x="540"/>
        <item x="436"/>
        <item x="477"/>
        <item x="592"/>
        <item x="86"/>
        <item x="238"/>
        <item x="143"/>
        <item x="385"/>
        <item x="284"/>
        <item x="231"/>
        <item x="344"/>
        <item x="31"/>
        <item x="87"/>
        <item x="377"/>
        <item x="352"/>
        <item x="223"/>
        <item x="70"/>
        <item x="23"/>
        <item x="224"/>
        <item x="234"/>
        <item x="396"/>
        <item x="3"/>
        <item x="415"/>
        <item x="216"/>
        <item x="470"/>
        <item x="277"/>
        <item x="43"/>
        <item x="425"/>
        <item x="335"/>
        <item x="20"/>
        <item x="46"/>
        <item x="268"/>
        <item x="329"/>
        <item x="15"/>
        <item x="1"/>
        <item x="400"/>
        <item x="538"/>
        <item x="514"/>
        <item x="570"/>
        <item x="433"/>
        <item x="27"/>
        <item x="557"/>
        <item x="350"/>
        <item x="358"/>
        <item x="290"/>
        <item x="247"/>
        <item x="462"/>
        <item x="501"/>
        <item x="123"/>
        <item x="198"/>
        <item x="361"/>
        <item x="541"/>
        <item x="543"/>
        <item x="291"/>
        <item x="107"/>
        <item x="266"/>
        <item x="165"/>
        <item x="18"/>
        <item x="545"/>
        <item x="370"/>
        <item x="575"/>
        <item x="184"/>
        <item x="11"/>
        <item x="209"/>
        <item x="383"/>
        <item x="21"/>
        <item x="187"/>
        <item x="275"/>
        <item x="110"/>
        <item x="257"/>
        <item x="582"/>
        <item x="322"/>
        <item x="54"/>
        <item x="103"/>
        <item x="454"/>
        <item x="252"/>
        <item x="67"/>
        <item x="565"/>
        <item x="414"/>
        <item x="59"/>
        <item x="34"/>
        <item x="79"/>
        <item x="28"/>
        <item x="295"/>
        <item x="204"/>
        <item x="217"/>
        <item x="320"/>
        <item x="556"/>
        <item x="326"/>
        <item x="430"/>
        <item x="475"/>
        <item x="111"/>
        <item x="531"/>
        <item x="88"/>
        <item x="101"/>
        <item x="423"/>
        <item x="579"/>
        <item x="485"/>
        <item x="585"/>
        <item x="399"/>
        <item x="7"/>
        <item x="525"/>
        <item x="513"/>
        <item x="460"/>
        <item x="554"/>
        <item x="473"/>
        <item x="188"/>
        <item x="476"/>
        <item x="53"/>
        <item x="357"/>
        <item x="281"/>
        <item x="539"/>
        <item x="583"/>
        <item x="125"/>
        <item x="453"/>
        <item x="255"/>
        <item x="427"/>
        <item x="264"/>
        <item x="35"/>
        <item x="172"/>
        <item x="431"/>
        <item x="235"/>
        <item x="29"/>
        <item x="349"/>
        <item x="342"/>
        <item x="510"/>
        <item x="76"/>
        <item x="164"/>
        <item x="306"/>
        <item x="567"/>
        <item x="17"/>
        <item x="568"/>
        <item x="130"/>
        <item x="339"/>
        <item x="550"/>
        <item x="33"/>
        <item x="9"/>
        <item x="286"/>
        <item x="133"/>
        <item x="332"/>
        <item x="486"/>
        <item x="78"/>
        <item x="353"/>
        <item x="272"/>
        <item x="30"/>
        <item x="469"/>
        <item x="536"/>
        <item x="463"/>
        <item x="196"/>
        <item x="273"/>
        <item x="432"/>
        <item x="429"/>
        <item x="117"/>
        <item x="102"/>
        <item x="249"/>
        <item x="83"/>
        <item x="90"/>
        <item x="558"/>
        <item x="532"/>
        <item x="555"/>
        <item x="484"/>
        <item x="490"/>
        <item x="338"/>
        <item x="493"/>
        <item x="42"/>
        <item x="359"/>
        <item x="319"/>
        <item x="154"/>
        <item x="222"/>
        <item x="194"/>
        <item x="261"/>
        <item x="573"/>
        <item x="10"/>
        <item x="158"/>
        <item x="207"/>
        <item x="560"/>
        <item x="439"/>
        <item x="185"/>
        <item x="452"/>
        <item x="68"/>
        <item x="218"/>
        <item x="389"/>
        <item x="139"/>
        <item x="296"/>
        <item x="586"/>
        <item x="313"/>
        <item x="45"/>
        <item x="51"/>
        <item x="321"/>
        <item x="448"/>
        <item x="325"/>
        <item x="135"/>
        <item x="298"/>
        <item x="193"/>
        <item x="240"/>
        <item x="128"/>
        <item x="457"/>
        <item x="293"/>
        <item x="210"/>
        <item x="375"/>
        <item x="52"/>
        <item x="537"/>
        <item x="199"/>
        <item x="535"/>
        <item x="160"/>
        <item x="89"/>
        <item x="498"/>
        <item x="152"/>
        <item x="80"/>
        <item x="115"/>
        <item x="455"/>
        <item x="418"/>
        <item x="36"/>
        <item x="201"/>
        <item x="285"/>
        <item x="169"/>
        <item x="376"/>
        <item x="544"/>
        <item x="451"/>
        <item x="167"/>
        <item x="505"/>
        <item x="120"/>
        <item x="384"/>
        <item x="426"/>
        <item x="157"/>
        <item x="63"/>
        <item x="93"/>
        <item x="246"/>
        <item x="354"/>
        <item x="47"/>
        <item x="317"/>
        <item x="258"/>
        <item x="520"/>
        <item x="474"/>
        <item x="2"/>
        <item x="395"/>
        <item x="262"/>
        <item x="148"/>
        <item x="134"/>
        <item x="515"/>
        <item x="553"/>
        <item x="360"/>
        <item x="227"/>
        <item x="330"/>
        <item x="276"/>
        <item x="572"/>
        <item x="581"/>
        <item x="138"/>
        <item x="480"/>
        <item x="220"/>
        <item x="265"/>
        <item x="533"/>
        <item x="203"/>
        <item x="315"/>
        <item x="55"/>
        <item x="546"/>
        <item x="392"/>
        <item x="380"/>
        <item x="588"/>
        <item x="106"/>
        <item x="4"/>
        <item x="511"/>
        <item x="333"/>
        <item x="512"/>
        <item x="378"/>
        <item x="278"/>
        <item x="534"/>
        <item x="208"/>
        <item x="171"/>
        <item x="251"/>
        <item x="464"/>
        <item x="270"/>
        <item x="126"/>
        <item x="40"/>
        <item x="119"/>
        <item x="186"/>
        <item x="19"/>
        <item x="416"/>
        <item x="397"/>
        <item x="232"/>
        <item x="214"/>
        <item x="509"/>
        <item x="50"/>
        <item x="263"/>
        <item x="547"/>
        <item x="215"/>
        <item x="39"/>
        <item x="548"/>
        <item x="465"/>
        <item x="202"/>
        <item x="58"/>
        <item x="468"/>
        <item x="16"/>
        <item x="472"/>
        <item x="74"/>
        <item x="96"/>
        <item x="503"/>
        <item x="181"/>
        <item x="161"/>
        <item x="71"/>
        <item x="438"/>
        <item x="243"/>
        <item x="99"/>
        <item x="205"/>
        <item x="259"/>
        <item x="336"/>
        <item x="524"/>
        <item x="239"/>
        <item x="105"/>
        <item x="507"/>
        <item x="82"/>
        <item x="494"/>
        <item x="299"/>
        <item x="523"/>
        <item x="44"/>
        <item x="163"/>
        <item x="412"/>
        <item x="113"/>
        <item x="168"/>
        <item x="381"/>
        <item x="559"/>
        <item x="98"/>
        <item x="324"/>
        <item x="176"/>
        <item x="274"/>
        <item x="190"/>
        <item x="212"/>
        <item x="206"/>
        <item x="26"/>
        <item x="5"/>
        <item x="316"/>
        <item x="590"/>
        <item x="283"/>
        <item x="145"/>
        <item x="487"/>
        <item x="38"/>
        <item x="149"/>
        <item x="571"/>
        <item x="178"/>
        <item x="142"/>
        <item x="95"/>
        <item x="587"/>
        <item x="374"/>
        <item x="449"/>
        <item x="75"/>
        <item x="84"/>
        <item x="91"/>
        <item x="150"/>
        <item x="116"/>
        <item x="12"/>
        <item x="236"/>
        <item x="446"/>
        <item x="8"/>
        <item x="552"/>
        <item x="421"/>
        <item x="402"/>
        <item x="347"/>
        <item x="121"/>
        <item x="61"/>
        <item x="386"/>
        <item x="118"/>
        <item x="488"/>
        <item x="589"/>
        <item x="97"/>
        <item x="356"/>
        <item x="527"/>
        <item x="127"/>
        <item x="580"/>
        <item x="506"/>
        <item x="450"/>
        <item x="229"/>
        <item x="226"/>
        <item x="282"/>
        <item x="49"/>
        <item x="124"/>
        <item x="442"/>
        <item x="174"/>
        <item x="289"/>
        <item x="14"/>
        <item x="131"/>
        <item x="508"/>
        <item x="155"/>
        <item x="471"/>
        <item x="166"/>
        <item x="192"/>
        <item x="173"/>
        <item x="280"/>
        <item x="542"/>
        <item x="323"/>
        <item x="221"/>
        <item x="428"/>
        <item x="461"/>
        <item x="489"/>
        <item x="500"/>
        <item x="200"/>
        <item x="267"/>
        <item x="6"/>
        <item x="136"/>
        <item x="22"/>
        <item x="569"/>
        <item x="373"/>
        <item x="526"/>
        <item x="551"/>
        <item x="250"/>
        <item x="440"/>
        <item x="244"/>
        <item x="60"/>
        <item x="230"/>
        <item x="197"/>
        <item x="233"/>
        <item x="419"/>
        <item x="459"/>
        <item x="481"/>
        <item x="413"/>
        <item x="254"/>
        <item x="307"/>
        <item x="584"/>
        <item x="182"/>
        <item x="195"/>
        <item x="85"/>
        <item x="0"/>
        <item x="92"/>
        <item x="256"/>
        <item x="308"/>
        <item x="301"/>
        <item x="100"/>
        <item x="318"/>
        <item x="109"/>
        <item x="351"/>
        <item x="334"/>
        <item x="341"/>
        <item x="578"/>
        <item x="491"/>
        <item x="562"/>
        <item x="242"/>
        <item x="577"/>
        <item x="564"/>
        <item x="355"/>
        <item x="443"/>
        <item x="499"/>
        <item x="492"/>
        <item x="114"/>
        <item x="132"/>
        <item x="104"/>
        <item x="458"/>
        <item x="496"/>
        <item x="66"/>
        <item x="13"/>
        <item x="497"/>
        <item x="563"/>
        <item x="444"/>
        <item x="288"/>
        <item x="517"/>
        <item x="561"/>
        <item x="141"/>
        <item x="516"/>
        <item x="327"/>
        <item x="479"/>
        <item x="407"/>
        <item x="410"/>
        <item x="81"/>
        <item x="191"/>
        <item x="445"/>
        <item x="483"/>
        <item x="390"/>
        <item x="108"/>
        <item x="225"/>
        <item x="279"/>
        <item x="382"/>
        <item x="260"/>
        <item x="391"/>
        <item x="189"/>
        <item x="345"/>
        <item x="331"/>
        <item x="343"/>
        <item x="69"/>
        <item x="57"/>
        <item x="530"/>
        <item x="409"/>
        <item x="388"/>
        <item x="576"/>
        <item x="294"/>
        <item x="297"/>
        <item x="405"/>
        <item x="404"/>
        <item x="422"/>
        <item x="228"/>
        <item x="408"/>
        <item x="179"/>
        <item x="159"/>
        <item x="394"/>
        <item x="310"/>
        <item x="393"/>
        <item x="241"/>
        <item x="478"/>
        <item x="219"/>
        <item x="248"/>
        <item x="371"/>
        <item x="424"/>
        <item x="401"/>
        <item m="1" x="593"/>
        <item x="314"/>
        <item x="406"/>
        <item x="311"/>
        <item x="312"/>
        <item x="437"/>
        <item x="94"/>
        <item x="180"/>
        <item x="403"/>
        <item x="253"/>
        <item x="447"/>
        <item x="177"/>
        <item x="495"/>
        <item x="574"/>
        <item m="1" x="595"/>
        <item x="337"/>
        <item x="521"/>
        <item m="1" x="597"/>
        <item x="566"/>
        <item x="519"/>
        <item x="302"/>
        <item m="1" x="596"/>
        <item x="304"/>
        <item x="146"/>
        <item m="1" x="594"/>
        <item x="303"/>
        <item x="348"/>
        <item x="346"/>
        <item x="398"/>
        <item x="305"/>
        <item x="367"/>
        <item x="420"/>
        <item x="417"/>
        <item m="1" x="598"/>
        <item x="41"/>
        <item x="379"/>
        <item x="25"/>
        <item x="24"/>
        <item x="112"/>
      </items>
    </pivotField>
    <pivotField compact="0" outline="0" showAll="0" defaultSubtotal="0"/>
    <pivotField compact="0" outline="0" showAll="0" defaultSubtotal="0"/>
    <pivotField axis="axisRow" compact="0" outline="0" showAll="0" defaultSubtotal="0">
      <items count="554">
        <item x="202"/>
        <item x="503"/>
        <item x="279"/>
        <item x="506"/>
        <item x="523"/>
        <item x="459"/>
        <item x="99"/>
        <item x="330"/>
        <item x="115"/>
        <item x="432"/>
        <item x="360"/>
        <item x="42"/>
        <item x="369"/>
        <item x="420"/>
        <item x="142"/>
        <item x="53"/>
        <item x="348"/>
        <item x="350"/>
        <item x="8"/>
        <item x="141"/>
        <item x="187"/>
        <item x="354"/>
        <item x="174"/>
        <item x="172"/>
        <item x="489"/>
        <item x="311"/>
        <item x="298"/>
        <item x="59"/>
        <item x="376"/>
        <item x="526"/>
        <item x="20"/>
        <item x="302"/>
        <item x="120"/>
        <item x="477"/>
        <item x="368"/>
        <item x="28"/>
        <item x="367"/>
        <item x="277"/>
        <item x="233"/>
        <item x="308"/>
        <item x="312"/>
        <item x="468"/>
        <item x="498"/>
        <item x="411"/>
        <item x="343"/>
        <item x="241"/>
        <item x="124"/>
        <item x="491"/>
        <item x="264"/>
        <item x="48"/>
        <item x="273"/>
        <item x="158"/>
        <item x="51"/>
        <item x="140"/>
        <item x="216"/>
        <item x="314"/>
        <item x="371"/>
        <item x="310"/>
        <item x="428"/>
        <item x="218"/>
        <item x="372"/>
        <item x="5"/>
        <item x="30"/>
        <item x="363"/>
        <item x="211"/>
        <item x="43"/>
        <item x="52"/>
        <item x="403"/>
        <item x="89"/>
        <item x="359"/>
        <item x="335"/>
        <item x="152"/>
        <item x="39"/>
        <item x="66"/>
        <item x="294"/>
        <item x="522"/>
        <item x="427"/>
        <item x="333"/>
        <item x="4"/>
        <item x="183"/>
        <item x="504"/>
        <item x="300"/>
        <item x="309"/>
        <item x="419"/>
        <item x="357"/>
        <item x="342"/>
        <item x="31"/>
        <item x="353"/>
        <item x="238"/>
        <item x="190"/>
        <item x="11"/>
        <item x="132"/>
        <item x="143"/>
        <item x="1"/>
        <item x="542"/>
        <item x="7"/>
        <item x="325"/>
        <item x="100"/>
        <item x="441"/>
        <item x="394"/>
        <item x="26"/>
        <item x="25"/>
        <item x="207"/>
        <item x="232"/>
        <item x="509"/>
        <item x="501"/>
        <item x="32"/>
        <item x="364"/>
        <item x="244"/>
        <item x="366"/>
        <item x="448"/>
        <item x="69"/>
        <item x="46"/>
        <item x="304"/>
        <item x="34"/>
        <item x="165"/>
        <item x="541"/>
        <item x="546"/>
        <item x="149"/>
        <item x="439"/>
        <item x="553"/>
        <item x="177"/>
        <item x="365"/>
        <item x="295"/>
        <item x="16"/>
        <item x="331"/>
        <item x="68"/>
        <item x="260"/>
        <item x="125"/>
        <item x="341"/>
        <item x="75"/>
        <item x="180"/>
        <item x="548"/>
        <item x="339"/>
        <item x="375"/>
        <item x="259"/>
        <item x="390"/>
        <item x="356"/>
        <item x="263"/>
        <item x="430"/>
        <item x="91"/>
        <item x="346"/>
        <item x="78"/>
        <item x="361"/>
        <item x="384"/>
        <item x="547"/>
        <item x="228"/>
        <item x="229"/>
        <item x="163"/>
        <item x="493"/>
        <item x="102"/>
        <item x="117"/>
        <item x="370"/>
        <item x="63"/>
        <item x="440"/>
        <item x="268"/>
        <item x="395"/>
        <item x="227"/>
        <item x="208"/>
        <item x="114"/>
        <item x="316"/>
        <item x="67"/>
        <item x="401"/>
        <item x="201"/>
        <item x="153"/>
        <item x="438"/>
        <item x="276"/>
        <item x="352"/>
        <item x="502"/>
        <item x="538"/>
        <item x="251"/>
        <item x="70"/>
        <item x="9"/>
        <item x="253"/>
        <item x="505"/>
        <item x="252"/>
        <item x="355"/>
        <item x="83"/>
        <item x="284"/>
        <item x="382"/>
        <item x="18"/>
        <item x="293"/>
        <item x="138"/>
        <item x="518"/>
        <item x="166"/>
        <item x="105"/>
        <item x="50"/>
        <item x="240"/>
        <item x="186"/>
        <item x="33"/>
        <item x="64"/>
        <item x="29"/>
        <item x="275"/>
        <item x="307"/>
        <item x="535"/>
        <item x="245"/>
        <item x="519"/>
        <item x="119"/>
        <item x="265"/>
        <item x="181"/>
        <item x="517"/>
        <item x="511"/>
        <item x="176"/>
        <item x="408"/>
        <item x="155"/>
        <item x="184"/>
        <item x="266"/>
        <item x="15"/>
        <item x="40"/>
        <item x="396"/>
        <item x="409"/>
        <item x="410"/>
        <item x="118"/>
        <item x="402"/>
        <item x="77"/>
        <item x="433"/>
        <item x="488"/>
        <item x="226"/>
        <item x="36"/>
        <item x="257"/>
        <item x="136"/>
        <item x="291"/>
        <item x="192"/>
        <item x="246"/>
        <item x="197"/>
        <item x="156"/>
        <item x="27"/>
        <item x="203"/>
        <item x="17"/>
        <item x="458"/>
        <item x="214"/>
        <item x="387"/>
        <item x="255"/>
        <item x="313"/>
        <item x="374"/>
        <item x="529"/>
        <item x="12"/>
        <item x="435"/>
        <item x="321"/>
        <item x="56"/>
        <item x="131"/>
        <item x="514"/>
        <item x="521"/>
        <item x="13"/>
        <item x="182"/>
        <item x="109"/>
        <item x="543"/>
        <item x="193"/>
        <item x="530"/>
        <item x="345"/>
        <item x="285"/>
        <item x="377"/>
        <item x="429"/>
        <item x="98"/>
        <item x="249"/>
        <item x="451"/>
        <item x="336"/>
        <item x="525"/>
        <item x="329"/>
        <item x="289"/>
        <item x="381"/>
        <item x="495"/>
        <item x="45"/>
        <item x="545"/>
        <item x="400"/>
        <item x="243"/>
        <item x="423"/>
        <item x="324"/>
        <item x="483"/>
        <item x="80"/>
        <item x="74"/>
        <item x="87"/>
        <item x="14"/>
        <item x="344"/>
        <item x="358"/>
        <item x="280"/>
        <item x="144"/>
        <item x="290"/>
        <item x="317"/>
        <item x="486"/>
        <item x="189"/>
        <item x="301"/>
        <item x="167"/>
        <item x="494"/>
        <item x="539"/>
        <item x="261"/>
        <item x="54"/>
        <item x="431"/>
        <item x="170"/>
        <item x="6"/>
        <item x="248"/>
        <item x="256"/>
        <item x="10"/>
        <item x="55"/>
        <item x="380"/>
        <item x="351"/>
        <item x="460"/>
        <item x="62"/>
        <item x="315"/>
        <item x="389"/>
        <item x="454"/>
        <item x="22"/>
        <item x="286"/>
        <item x="378"/>
        <item x="318"/>
        <item x="133"/>
        <item x="94"/>
        <item x="93"/>
        <item x="520"/>
        <item x="41"/>
        <item x="169"/>
        <item x="457"/>
        <item x="287"/>
        <item x="210"/>
        <item x="422"/>
        <item x="373"/>
        <item x="135"/>
        <item x="456"/>
        <item x="82"/>
        <item x="426"/>
        <item x="551"/>
        <item x="217"/>
        <item x="445"/>
        <item x="204"/>
        <item x="200"/>
        <item x="258"/>
        <item x="332"/>
        <item x="106"/>
        <item x="171"/>
        <item x="101"/>
        <item x="122"/>
        <item x="398"/>
        <item x="436"/>
        <item x="319"/>
        <item x="516"/>
        <item x="231"/>
        <item x="379"/>
        <item x="415"/>
        <item x="442"/>
        <item x="35"/>
        <item x="129"/>
        <item x="194"/>
        <item x="397"/>
        <item x="386"/>
        <item x="385"/>
        <item x="92"/>
        <item x="173"/>
        <item x="49"/>
        <item x="484"/>
        <item x="334"/>
        <item x="175"/>
        <item x="463"/>
        <item x="222"/>
        <item x="532"/>
        <item x="3"/>
        <item x="79"/>
        <item x="188"/>
        <item x="81"/>
        <item x="338"/>
        <item x="147"/>
        <item x="65"/>
        <item x="146"/>
        <item x="127"/>
        <item x="424"/>
        <item x="262"/>
        <item x="126"/>
        <item x="322"/>
        <item x="57"/>
        <item x="418"/>
        <item x="492"/>
        <item x="178"/>
        <item x="88"/>
        <item x="362"/>
        <item x="552"/>
        <item x="21"/>
        <item x="388"/>
        <item x="270"/>
        <item x="278"/>
        <item x="151"/>
        <item x="544"/>
        <item x="496"/>
        <item x="487"/>
        <item x="299"/>
        <item x="481"/>
        <item x="195"/>
        <item x="480"/>
        <item x="61"/>
        <item x="437"/>
        <item x="159"/>
        <item x="112"/>
        <item x="215"/>
        <item x="242"/>
        <item x="288"/>
        <item x="44"/>
        <item x="108"/>
        <item x="393"/>
        <item x="2"/>
        <item x="90"/>
        <item x="347"/>
        <item x="128"/>
        <item x="234"/>
        <item x="150"/>
        <item x="269"/>
        <item x="497"/>
        <item x="296"/>
        <item x="407"/>
        <item x="434"/>
        <item x="154"/>
        <item x="416"/>
        <item x="110"/>
        <item x="513"/>
        <item x="113"/>
        <item x="209"/>
        <item x="306"/>
        <item x="107"/>
        <item x="455"/>
        <item x="123"/>
        <item x="137"/>
        <item x="297"/>
        <item x="213"/>
        <item x="485"/>
        <item x="340"/>
        <item x="450"/>
        <item x="537"/>
        <item x="282"/>
        <item x="76"/>
        <item x="482"/>
        <item x="303"/>
        <item x="95"/>
        <item x="470"/>
        <item x="212"/>
        <item x="349"/>
        <item x="271"/>
        <item x="85"/>
        <item x="461"/>
        <item x="220"/>
        <item x="103"/>
        <item x="161"/>
        <item x="467"/>
        <item x="476"/>
        <item x="412"/>
        <item x="444"/>
        <item x="96"/>
        <item x="37"/>
        <item x="399"/>
        <item x="267"/>
        <item x="453"/>
        <item x="239"/>
        <item x="473"/>
        <item x="86"/>
        <item x="71"/>
        <item x="24"/>
        <item x="23"/>
        <item x="104"/>
        <item x="452"/>
        <item x="478"/>
        <item x="507"/>
        <item x="449"/>
        <item x="224"/>
        <item x="515"/>
        <item x="206"/>
        <item x="111"/>
        <item x="157"/>
        <item x="531"/>
        <item x="219"/>
        <item x="145"/>
        <item x="474"/>
        <item x="425"/>
        <item x="475"/>
        <item x="524"/>
        <item x="512"/>
        <item x="323"/>
        <item x="168"/>
        <item x="236"/>
        <item x="533"/>
        <item x="196"/>
        <item x="510"/>
        <item x="472"/>
        <item x="328"/>
        <item x="121"/>
        <item x="160"/>
        <item x="462"/>
        <item x="139"/>
        <item x="247"/>
        <item x="272"/>
        <item x="198"/>
        <item x="19"/>
        <item x="479"/>
        <item x="490"/>
        <item x="237"/>
        <item x="508"/>
        <item x="549"/>
        <item x="205"/>
        <item x="392"/>
        <item x="254"/>
        <item x="383"/>
        <item x="47"/>
        <item x="225"/>
        <item x="230"/>
        <item x="73"/>
        <item x="337"/>
        <item x="164"/>
        <item x="235"/>
        <item x="38"/>
        <item x="199"/>
        <item x="320"/>
        <item x="134"/>
        <item x="162"/>
        <item x="465"/>
        <item x="97"/>
        <item x="305"/>
        <item x="274"/>
        <item x="446"/>
        <item x="421"/>
        <item x="499"/>
        <item x="191"/>
        <item x="540"/>
        <item x="534"/>
        <item x="250"/>
        <item x="185"/>
        <item x="283"/>
        <item x="404"/>
        <item x="391"/>
        <item x="281"/>
        <item x="500"/>
        <item x="116"/>
        <item x="550"/>
        <item x="464"/>
        <item x="327"/>
        <item x="84"/>
        <item x="528"/>
        <item x="405"/>
        <item x="443"/>
        <item x="223"/>
        <item x="466"/>
        <item x="536"/>
        <item x="471"/>
        <item x="58"/>
        <item x="221"/>
        <item x="413"/>
        <item x="0"/>
        <item x="179"/>
        <item x="447"/>
        <item x="406"/>
        <item x="469"/>
        <item x="326"/>
        <item x="527"/>
        <item x="414"/>
        <item x="130"/>
        <item x="72"/>
        <item x="417"/>
        <item x="292"/>
        <item x="148"/>
        <item x="60"/>
      </items>
    </pivotField>
    <pivotField compact="0" outline="0" showAll="0" defaultSubtotal="0"/>
    <pivotField axis="axisPage" compact="0" outline="0" multipleItemSelectionAllowed="1" showAll="0" defaultSubtotal="0">
      <items count="1066">
        <item h="1" x="35"/>
        <item h="1" x="79"/>
        <item h="1" x="39"/>
        <item h="1" x="286"/>
        <item h="1" x="55"/>
        <item h="1" x="267"/>
        <item h="1" x="329"/>
        <item h="1" x="367"/>
        <item h="1" x="274"/>
        <item h="1" x="363"/>
        <item h="1" x="345"/>
        <item h="1" x="417"/>
        <item h="1" x="45"/>
        <item h="1" x="94"/>
        <item h="1" x="284"/>
        <item h="1" x="380"/>
        <item h="1" x="61"/>
        <item h="1" x="430"/>
        <item h="1" x="56"/>
        <item h="1" x="374"/>
        <item h="1" x="305"/>
        <item h="1" x="293"/>
        <item h="1" x="320"/>
        <item h="1" x="387"/>
        <item h="1" x="312"/>
        <item h="1" x="294"/>
        <item h="1" x="306"/>
        <item h="1" x="337"/>
        <item h="1" x="342"/>
        <item h="1" x="58"/>
        <item h="1" x="392"/>
        <item h="1" m="1" x="1064"/>
        <item h="1" x="415"/>
        <item h="1" x="262"/>
        <item h="1" x="40"/>
        <item h="1" x="355"/>
        <item h="1" x="264"/>
        <item h="1" x="429"/>
        <item h="1" x="418"/>
        <item h="1" x="93"/>
        <item h="1" x="97"/>
        <item h="1" m="1" x="1065"/>
        <item h="1" x="315"/>
        <item h="1" x="281"/>
        <item h="1" x="328"/>
        <item h="1" x="350"/>
        <item h="1" x="352"/>
        <item h="1" x="369"/>
        <item h="1" x="410"/>
        <item h="1" x="340"/>
        <item h="1" x="278"/>
        <item h="1" x="343"/>
        <item h="1" x="375"/>
        <item h="1" x="296"/>
        <item h="1" x="300"/>
        <item h="1" x="319"/>
        <item h="1" x="423"/>
        <item h="1" x="91"/>
        <item h="1" x="346"/>
        <item h="1" x="368"/>
        <item h="1" x="381"/>
        <item h="1" x="341"/>
        <item h="1" x="37"/>
        <item h="1" x="266"/>
        <item h="1" x="362"/>
        <item h="1" x="431"/>
        <item h="1" x="339"/>
        <item h="1" x="279"/>
        <item h="1" x="377"/>
        <item h="1" x="50"/>
        <item h="1" x="332"/>
        <item h="1" x="426"/>
        <item h="1" x="326"/>
        <item h="1" x="382"/>
        <item h="1" x="419"/>
        <item h="1" x="276"/>
        <item h="1" x="416"/>
        <item h="1" x="54"/>
        <item h="1" x="322"/>
        <item h="1" x="421"/>
        <item h="1" x="42"/>
        <item h="1" x="317"/>
        <item h="1" x="66"/>
        <item h="1" x="303"/>
        <item h="1" x="269"/>
        <item h="1" x="384"/>
        <item h="1" x="432"/>
        <item h="1" x="92"/>
        <item h="1" x="372"/>
        <item h="1" x="400"/>
        <item h="1" x="86"/>
        <item h="1" x="270"/>
        <item h="1" x="260"/>
        <item h="1" x="383"/>
        <item h="1" x="420"/>
        <item h="1" x="275"/>
        <item h="1" x="405"/>
        <item h="1" x="69"/>
        <item h="1" x="71"/>
        <item h="1" x="59"/>
        <item h="1" x="268"/>
        <item h="1" x="424"/>
        <item h="1" x="273"/>
        <item h="1" x="192"/>
        <item h="1" x="11"/>
        <item h="1" x="406"/>
        <item h="1" x="74"/>
        <item h="1" x="78"/>
        <item h="1" x="324"/>
        <item h="1" x="344"/>
        <item h="1" x="24"/>
        <item h="1" x="193"/>
        <item h="1" x="34"/>
        <item h="1" x="394"/>
        <item h="1" x="73"/>
        <item h="1" x="282"/>
        <item h="1" x="81"/>
        <item h="1" x="51"/>
        <item h="1" x="364"/>
        <item h="1" x="82"/>
        <item h="1" x="335"/>
        <item h="1" x="338"/>
        <item h="1" x="209"/>
        <item h="1" x="95"/>
        <item h="1" x="390"/>
        <item h="1" x="386"/>
        <item h="1" x="292"/>
        <item h="1" x="297"/>
        <item h="1" x="401"/>
        <item h="1" x="331"/>
        <item h="1" x="422"/>
        <item h="1" x="41"/>
        <item h="1" x="353"/>
        <item h="1" x="60"/>
        <item h="1" x="204"/>
        <item h="1" x="435"/>
        <item h="1" x="22"/>
        <item h="1" x="36"/>
        <item h="1" x="283"/>
        <item h="1" x="360"/>
        <item h="1" x="89"/>
        <item h="1" x="202"/>
        <item h="1" x="5"/>
        <item h="1" x="289"/>
        <item h="1" x="370"/>
        <item h="1" x="80"/>
        <item h="1" x="46"/>
        <item h="1" x="365"/>
        <item h="1" x="310"/>
        <item h="1" x="391"/>
        <item h="1" x="412"/>
        <item h="1" x="414"/>
        <item h="1" x="389"/>
        <item h="1" x="399"/>
        <item h="1" x="258"/>
        <item h="1" x="348"/>
        <item h="1" x="359"/>
        <item h="1" x="83"/>
        <item h="1" x="428"/>
        <item h="1" x="185"/>
        <item h="1" x="20"/>
        <item h="1" x="413"/>
        <item h="1" x="287"/>
        <item h="1" x="409"/>
        <item h="1" x="88"/>
        <item h="1" x="259"/>
        <item h="1" x="261"/>
        <item h="1" x="38"/>
        <item h="1" x="280"/>
        <item h="1" x="357"/>
        <item h="1" x="72"/>
        <item h="1" x="327"/>
        <item h="1" x="366"/>
        <item h="1" x="333"/>
        <item h="1" x="285"/>
        <item h="1" x="356"/>
        <item h="1" x="57"/>
        <item h="1" x="0"/>
        <item h="1" x="197"/>
        <item h="1" x="385"/>
        <item h="1" x="85"/>
        <item h="1" x="379"/>
        <item h="1" x="271"/>
        <item h="1" x="433"/>
        <item h="1" x="427"/>
        <item h="1" x="6"/>
        <item h="1" x="205"/>
        <item h="1" x="26"/>
        <item h="1" x="314"/>
        <item h="1" x="49"/>
        <item h="1" x="47"/>
        <item h="1" x="378"/>
        <item h="1" x="210"/>
        <item h="1" x="207"/>
        <item h="1" x="64"/>
        <item h="1" x="334"/>
        <item h="1" x="361"/>
        <item h="1" x="277"/>
        <item h="1" x="434"/>
        <item h="1" x="425"/>
        <item h="1" x="188"/>
        <item h="1" x="27"/>
        <item h="1" x="2"/>
        <item h="1" x="349"/>
        <item h="1" x="77"/>
        <item h="1" x="325"/>
        <item h="1" x="371"/>
        <item h="1" x="90"/>
        <item h="1" x="31"/>
        <item h="1" x="330"/>
        <item h="1" x="43"/>
        <item h="1" x="272"/>
        <item h="1" x="13"/>
        <item h="1" x="199"/>
        <item h="1" x="8"/>
        <item h="1" x="309"/>
        <item h="1" x="411"/>
        <item h="1" x="84"/>
        <item h="1" x="53"/>
        <item h="1" x="263"/>
        <item h="1" x="10"/>
        <item h="1" x="76"/>
        <item h="1" x="87"/>
        <item h="1" x="347"/>
        <item h="1" x="336"/>
        <item h="1" x="376"/>
        <item h="1" x="44"/>
        <item h="1" x="351"/>
        <item h="1" x="187"/>
        <item h="1" x="96"/>
        <item h="1" x="203"/>
        <item h="1" x="195"/>
        <item h="1" x="32"/>
        <item h="1" x="68"/>
        <item h="1" x="402"/>
        <item h="1" x="265"/>
        <item h="1" x="48"/>
        <item h="1" x="354"/>
        <item h="1" x="358"/>
        <item h="1" x="373"/>
        <item h="1" x="200"/>
        <item h="1" x="52"/>
        <item h="1" x="25"/>
        <item h="1" x="211"/>
        <item h="1" x="316"/>
        <item h="1" x="404"/>
        <item h="1" x="318"/>
        <item h="1" x="288"/>
        <item h="1" x="396"/>
        <item h="1" x="307"/>
        <item h="1" x="398"/>
        <item h="1" x="395"/>
        <item h="1" x="787"/>
        <item h="1" x="809"/>
        <item h="1" x="808"/>
        <item h="1" x="1020"/>
        <item h="1" x="1021"/>
        <item h="1" x="1022"/>
        <item h="1" x="997"/>
        <item h="1" x="806"/>
        <item h="1" x="851"/>
        <item h="1" x="596"/>
        <item h="1" x="868"/>
        <item h="1" x="639"/>
        <item h="1" x="995"/>
        <item h="1" x="942"/>
        <item h="1" x="898"/>
        <item h="1" x="623"/>
        <item h="1" x="697"/>
        <item h="1" x="876"/>
        <item h="1" x="879"/>
        <item h="1" x="716"/>
        <item h="1" x="878"/>
        <item h="1" x="729"/>
        <item h="1" x="728"/>
        <item h="1" x="618"/>
        <item h="1" x="861"/>
        <item h="1" x="866"/>
        <item h="1" x="869"/>
        <item h="1" x="785"/>
        <item h="1" x="740"/>
        <item h="1" x="724"/>
        <item h="1" x="877"/>
        <item h="1" x="908"/>
        <item h="1" x="617"/>
        <item h="1" x="650"/>
        <item h="1" x="844"/>
        <item h="1" x="583"/>
        <item h="1" x="625"/>
        <item h="1" x="807"/>
        <item h="1" x="636"/>
        <item h="1" x="874"/>
        <item h="1" x="604"/>
        <item h="1" x="648"/>
        <item h="1" x="863"/>
        <item h="1" x="882"/>
        <item h="1" x="950"/>
        <item h="1" x="867"/>
        <item h="1" x="947"/>
        <item h="1" x="976"/>
        <item h="1" x="870"/>
        <item h="1" x="994"/>
        <item h="1" x="637"/>
        <item h="1" x="738"/>
        <item h="1" x="965"/>
        <item h="1" x="739"/>
        <item h="1" x="112"/>
        <item h="1" x="17"/>
        <item h="1" x="23"/>
        <item h="1" x="28"/>
        <item h="1" x="21"/>
        <item h="1" x="14"/>
        <item h="1" x="16"/>
        <item h="1" x="18"/>
        <item h="1" x="3"/>
        <item h="1" x="137"/>
        <item h="1" x="943"/>
        <item h="1" x="116"/>
        <item h="1" x="532"/>
        <item h="1" x="988"/>
        <item h="1" x="106"/>
        <item h="1" x="123"/>
        <item h="1" x="102"/>
        <item h="1" x="104"/>
        <item h="1" x="30"/>
        <item h="1" x="103"/>
        <item h="1" x="115"/>
        <item h="1" x="105"/>
        <item h="1" x="117"/>
        <item h="1" x="139"/>
        <item h="1" x="4"/>
        <item h="1" x="142"/>
        <item h="1" x="75"/>
        <item h="1" x="67"/>
        <item h="1" x="859"/>
        <item h="1" x="65"/>
        <item h="1" x="733"/>
        <item h="1" x="873"/>
        <item h="1" x="725"/>
        <item h="1" x="62"/>
        <item h="1" x="107"/>
        <item h="1" x="15"/>
        <item h="1" x="110"/>
        <item h="1" x="855"/>
        <item h="1" x="141"/>
        <item h="1" x="98"/>
        <item h="1" x="108"/>
        <item h="1" x="862"/>
        <item h="1" x="111"/>
        <item h="1" x="119"/>
        <item h="1" x="146"/>
        <item h="1" x="140"/>
        <item h="1" x="9"/>
        <item h="1" x="12"/>
        <item h="1" x="147"/>
        <item h="1" x="130"/>
        <item h="1" x="109"/>
        <item h="1" x="144"/>
        <item h="1" x="118"/>
        <item h="1" x="33"/>
        <item h="1" x="135"/>
        <item h="1" x="7"/>
        <item h="1" x="138"/>
        <item h="1" x="837"/>
        <item h="1" x="674"/>
        <item h="1" x="132"/>
        <item h="1" x="120"/>
        <item h="1" x="602"/>
        <item h="1" x="580"/>
        <item h="1" x="29"/>
        <item h="1" x="19"/>
        <item h="1" x="145"/>
        <item h="1" x="136"/>
        <item h="1" x="149"/>
        <item h="1" x="121"/>
        <item h="1" x="967"/>
        <item h="1" x="148"/>
        <item h="1" x="100"/>
        <item h="1" x="900"/>
        <item h="1" x="155"/>
        <item h="1" x="101"/>
        <item h="1" x="127"/>
        <item h="1" x="134"/>
        <item h="1" x="627"/>
        <item h="1" x="131"/>
        <item h="1" x="886"/>
        <item h="1" x="150"/>
        <item h="1" x="579"/>
        <item h="1" x="825"/>
        <item h="1" x="823"/>
        <item h="1" x="114"/>
        <item h="1" x="125"/>
        <item h="1" x="586"/>
        <item h="1" x="129"/>
        <item h="1" x="128"/>
        <item h="1" x="614"/>
        <item h="1" x="948"/>
        <item h="1" x="890"/>
        <item h="1" x="113"/>
        <item h="1" x="133"/>
        <item h="1" x="951"/>
        <item h="1" x="122"/>
        <item h="1" x="63"/>
        <item h="1" x="143"/>
        <item h="1" x="611"/>
        <item h="1" x="659"/>
        <item h="1" x="1"/>
        <item h="1" x="993"/>
        <item h="1" x="756"/>
        <item h="1" x="754"/>
        <item h="1" x="638"/>
        <item h="1" x="827"/>
        <item h="1" x="978"/>
        <item h="1" x="99"/>
        <item h="1" x="126"/>
        <item h="1" x="233"/>
        <item h="1" x="196"/>
        <item h="1" x="212"/>
        <item h="1" x="208"/>
        <item h="1" x="228"/>
        <item h="1" x="817"/>
        <item h="1" x="157"/>
        <item h="1" x="840"/>
        <item h="1" x="231"/>
        <item h="1" x="227"/>
        <item h="1" x="152"/>
        <item h="1" x="224"/>
        <item h="1" x="151"/>
        <item h="1" x="822"/>
        <item h="1" x="159"/>
        <item h="1" x="759"/>
        <item h="1" x="158"/>
        <item h="1" x="230"/>
        <item h="1" x="758"/>
        <item h="1" x="225"/>
        <item h="1" x="186"/>
        <item h="1" x="232"/>
        <item h="1" x="154"/>
        <item h="1" x="153"/>
        <item h="1" x="698"/>
        <item h="1" x="219"/>
        <item h="1" x="983"/>
        <item h="1" x="581"/>
        <item h="1" x="696"/>
        <item h="1" x="242"/>
        <item h="1" x="229"/>
        <item h="1" x="156"/>
        <item h="1" x="1028"/>
        <item h="1" x="226"/>
        <item h="1" x="124"/>
        <item h="1" x="243"/>
        <item h="1" x="932"/>
        <item h="1" x="985"/>
        <item h="1" x="169"/>
        <item h="1" x="218"/>
        <item h="1" x="989"/>
        <item h="1" x="308"/>
        <item h="1" x="810"/>
        <item h="1" x="690"/>
        <item h="1" x="221"/>
        <item h="1" x="584"/>
        <item h="1" x="217"/>
        <item h="1" x="291"/>
        <item h="1" x="295"/>
        <item h="1" x="290"/>
        <item h="1" x="191"/>
        <item h="1" x="189"/>
        <item h="1" x="161"/>
        <item h="1" x="213"/>
        <item h="1" x="244"/>
        <item h="1" x="240"/>
        <item h="1" x="981"/>
        <item h="1" x="167"/>
        <item h="1" x="237"/>
        <item h="1" x="168"/>
        <item h="1" x="220"/>
        <item h="1" x="241"/>
        <item h="1" x="834"/>
        <item h="1" x="179"/>
        <item h="1" x="239"/>
        <item h="1" x="215"/>
        <item h="1" x="236"/>
        <item h="1" x="238"/>
        <item h="1" x="234"/>
        <item h="1" x="749"/>
        <item h="1" x="235"/>
        <item h="1" x="987"/>
        <item h="1" x="166"/>
        <item h="1" x="634"/>
        <item h="1" x="163"/>
        <item h="1" x="164"/>
        <item h="1" x="839"/>
        <item h="1" x="955"/>
        <item h="1" x="838"/>
        <item h="1" x="624"/>
        <item h="1" x="598"/>
        <item h="1" x="165"/>
        <item h="1" x="222"/>
        <item h="1" x="629"/>
        <item h="1" x="160"/>
        <item h="1" x="162"/>
        <item h="1" x="223"/>
        <item h="1" x="831"/>
        <item h="1" x="257"/>
        <item h="1" x="177"/>
        <item h="1" x="216"/>
        <item h="1" x="887"/>
        <item h="1" x="184"/>
        <item h="1" x="302"/>
        <item h="1" x="299"/>
        <item h="1" x="982"/>
        <item h="1" x="194"/>
        <item h="1" x="198"/>
        <item h="1" x="321"/>
        <item h="1" x="311"/>
        <item h="1" x="973"/>
        <item h="1" x="247"/>
        <item h="1" x="253"/>
        <item h="1" x="298"/>
        <item h="1" x="180"/>
        <item h="1" x="715"/>
        <item h="1" x="301"/>
        <item h="1" x="313"/>
        <item h="1" x="183"/>
        <item h="1" x="661"/>
        <item h="1" x="612"/>
        <item h="1" x="190"/>
        <item h="1" x="254"/>
        <item h="1" x="182"/>
        <item h="1" x="755"/>
        <item h="1" x="206"/>
        <item h="1" x="214"/>
        <item h="1" x="176"/>
        <item h="1" x="899"/>
        <item h="1" x="535"/>
        <item h="1" x="249"/>
        <item h="1" x="175"/>
        <item h="1" x="178"/>
        <item h="1" x="246"/>
        <item h="1" x="619"/>
        <item h="1" x="536"/>
        <item h="1" x="304"/>
        <item h="1" x="642"/>
        <item h="1" x="940"/>
        <item h="1" x="174"/>
        <item h="1" x="173"/>
        <item h="1" x="245"/>
        <item h="1" x="251"/>
        <item h="1" x="323"/>
        <item h="1" x="572"/>
        <item h="1" x="250"/>
        <item h="1" x="813"/>
        <item h="1" x="256"/>
        <item h="1" x="933"/>
        <item h="1" x="181"/>
        <item h="1" x="897"/>
        <item h="1" x="252"/>
        <item h="1" x="171"/>
        <item h="1" x="170"/>
        <item h="1" x="172"/>
        <item h="1" x="248"/>
        <item h="1" x="201"/>
        <item h="1" x="445"/>
        <item h="1" x="462"/>
        <item h="1" x="529"/>
        <item h="1" x="455"/>
        <item h="1" x="975"/>
        <item h="1" x="528"/>
        <item h="1" x="901"/>
        <item h="1" x="516"/>
        <item h="1" x="515"/>
        <item h="1" x="527"/>
        <item h="1" x="520"/>
        <item h="1" x="448"/>
        <item h="1" x="803"/>
        <item h="1" x="699"/>
        <item h="1" x="437"/>
        <item h="1" x="530"/>
        <item h="1" x="513"/>
        <item h="1" x="523"/>
        <item h="1" x="526"/>
        <item h="1" x="525"/>
        <item h="1" x="447"/>
        <item h="1" x="524"/>
        <item h="1" x="730"/>
        <item h="1" x="453"/>
        <item h="1" x="688"/>
        <item h="1" x="723"/>
        <item h="1" x="441"/>
        <item h="1" x="443"/>
        <item h="1" x="522"/>
        <item h="1" x="531"/>
        <item h="1" x="439"/>
        <item h="1" x="770"/>
        <item h="1" x="464"/>
        <item h="1" x="517"/>
        <item h="1" x="452"/>
        <item h="1" x="440"/>
        <item h="1" x="438"/>
        <item h="1" x="519"/>
        <item h="1" x="521"/>
        <item h="1" x="451"/>
        <item h="1" x="488"/>
        <item h="1" x="463"/>
        <item h="1" x="450"/>
        <item h="1" x="449"/>
        <item h="1" x="456"/>
        <item h="1" x="460"/>
        <item h="1" x="459"/>
        <item h="1" x="490"/>
        <item h="1" x="457"/>
        <item h="1" x="484"/>
        <item h="1" x="465"/>
        <item h="1" x="534"/>
        <item h="1" x="393"/>
        <item h="1" x="461"/>
        <item h="1" x="533"/>
        <item h="1" x="615"/>
        <item h="1" x="539"/>
        <item h="1" x="542"/>
        <item h="1" x="478"/>
        <item h="1" x="494"/>
        <item h="1" x="446"/>
        <item h="1" x="865"/>
        <item h="1" x="512"/>
        <item h="1" x="442"/>
        <item h="1" x="492"/>
        <item h="1" x="511"/>
        <item h="1" x="872"/>
        <item h="1" x="548"/>
        <item h="1" x="444"/>
        <item h="1" x="518"/>
        <item h="1" x="600"/>
        <item h="1" x="479"/>
        <item h="1" x="477"/>
        <item h="1" x="556"/>
        <item h="1" x="550"/>
        <item h="1" x="651"/>
        <item h="1" x="491"/>
        <item h="1" x="1023"/>
        <item h="1" x="458"/>
        <item h="1" x="875"/>
        <item h="1" x="559"/>
        <item h="1" x="748"/>
        <item h="1" x="255"/>
        <item h="1" x="510"/>
        <item h="1" x="486"/>
        <item h="1" x="474"/>
        <item h="1" x="485"/>
        <item h="1" x="509"/>
        <item h="1" x="549"/>
        <item h="1" x="540"/>
        <item h="1" x="493"/>
        <item h="1" x="792"/>
        <item h="1" x="545"/>
        <item h="1" x="537"/>
        <item h="1" x="487"/>
        <item h="1" x="538"/>
        <item h="1" x="476"/>
        <item h="1" x="473"/>
        <item h="1" x="472"/>
        <item h="1" x="489"/>
        <item h="1" x="736"/>
        <item h="1" x="914"/>
        <item h="1" x="543"/>
        <item h="1" x="706"/>
        <item h="1" x="547"/>
        <item h="1" x="798"/>
        <item h="1" x="558"/>
        <item h="1" x="475"/>
        <item h="1" x="546"/>
        <item h="1" x="388"/>
        <item h="1" x="541"/>
        <item h="1" x="551"/>
        <item h="1" x="771"/>
        <item h="1" x="514"/>
        <item h="1" x="466"/>
        <item h="1" x="482"/>
        <item h="1" x="407"/>
        <item h="1" x="480"/>
        <item h="1" x="397"/>
        <item h="1" x="893"/>
        <item h="1" x="1018"/>
        <item h="1" x="934"/>
        <item h="1" x="1019"/>
        <item h="1" x="864"/>
        <item h="1" x="471"/>
        <item h="1" x="495"/>
        <item h="1" x="731"/>
        <item h="1" x="570"/>
        <item h="1" x="557"/>
        <item h="1" x="553"/>
        <item h="1" x="544"/>
        <item h="1" x="481"/>
        <item h="1" x="552"/>
        <item h="1" x="501"/>
        <item h="1" x="842"/>
        <item h="1" x="505"/>
        <item h="1" x="499"/>
        <item h="1" x="470"/>
        <item h="1" x="555"/>
        <item h="1" x="467"/>
        <item h="1" x="691"/>
        <item h="1" x="564"/>
        <item h="1" x="468"/>
        <item h="1" x="496"/>
        <item h="1" x="563"/>
        <item h="1" x="497"/>
        <item h="1" x="916"/>
        <item h="1" x="403"/>
        <item h="1" x="507"/>
        <item h="1" x="500"/>
        <item h="1" x="408"/>
        <item h="1" x="744"/>
        <item h="1" x="616"/>
        <item h="1" x="503"/>
        <item h="1" x="502"/>
        <item h="1" x="561"/>
        <item h="1" x="952"/>
        <item h="1" x="498"/>
        <item h="1" x="906"/>
        <item h="1" x="508"/>
        <item h="1" x="895"/>
        <item h="1" x="1016"/>
        <item h="1" x="454"/>
        <item h="1" x="568"/>
        <item h="1" x="469"/>
        <item h="1" x="871"/>
        <item h="1" x="506"/>
        <item h="1" x="569"/>
        <item h="1" x="567"/>
        <item h="1" x="483"/>
        <item h="1" x="566"/>
        <item h="1" x="880"/>
        <item h="1" x="560"/>
        <item h="1" x="554"/>
        <item h="1" x="565"/>
        <item h="1" x="974"/>
        <item h="1" x="801"/>
        <item h="1" x="562"/>
        <item h="1" x="884"/>
        <item h="1" x="504"/>
        <item h="1" x="793"/>
        <item h="1" x="718"/>
        <item h="1" x="881"/>
        <item h="1" x="818"/>
        <item h="1" x="970"/>
        <item h="1" x="883"/>
        <item h="1" x="802"/>
        <item h="1" x="977"/>
        <item h="1" x="628"/>
        <item h="1" x="804"/>
        <item h="1" x="971"/>
        <item h="1" x="436"/>
        <item h="1" x="820"/>
        <item h="1" x="811"/>
        <item h="1" x="915"/>
        <item h="1" x="992"/>
        <item h="1" x="745"/>
        <item h="1" x="582"/>
        <item h="1" x="990"/>
        <item h="1" x="620"/>
        <item h="1" x="689"/>
        <item h="1" x="752"/>
        <item h="1" x="773"/>
        <item h="1" x="750"/>
        <item h="1" x="814"/>
        <item h="1" x="805"/>
        <item h="1" x="757"/>
        <item h="1" x="762"/>
        <item h="1" x="1017"/>
        <item h="1" x="664"/>
        <item h="1" x="845"/>
        <item h="1" x="781"/>
        <item h="1" x="980"/>
        <item h="1" x="695"/>
        <item h="1" x="896"/>
        <item h="1" x="936"/>
        <item h="1" x="714"/>
        <item h="1" x="719"/>
        <item h="1" x="776"/>
        <item h="1" x="649"/>
        <item h="1" x="923"/>
        <item h="1" x="784"/>
        <item h="1" x="753"/>
        <item h="1" x="979"/>
        <item h="1" x="760"/>
        <item h="1" x="858"/>
        <item h="1" x="732"/>
        <item h="1" x="751"/>
        <item h="1" x="949"/>
        <item h="1" x="603"/>
        <item h="1" x="577"/>
        <item h="1" x="671"/>
        <item h="1" x="816"/>
        <item h="1" x="694"/>
        <item h="1" x="1015"/>
        <item h="1" x="768"/>
        <item h="1" x="972"/>
        <item h="1" x="607"/>
        <item h="1" x="796"/>
        <item h="1" x="574"/>
        <item h="1" x="713"/>
        <item h="1" x="984"/>
        <item h="1" x="888"/>
        <item h="1" x="937"/>
        <item h="1" x="843"/>
        <item h="1" x="734"/>
        <item h="1" x="761"/>
        <item h="1" x="643"/>
        <item h="1" x="633"/>
        <item h="1" x="632"/>
        <item h="1" x="646"/>
        <item h="1" x="961"/>
        <item h="1" x="821"/>
        <item h="1" x="991"/>
        <item h="1" x="909"/>
        <item h="1" x="848"/>
        <item h="1" x="968"/>
        <item h="1" x="681"/>
        <item h="1" x="836"/>
        <item h="1" x="621"/>
        <item h="1" x="790"/>
        <item h="1" x="677"/>
        <item h="1" x="711"/>
        <item h="1" x="788"/>
        <item h="1" x="847"/>
        <item h="1" x="703"/>
        <item h="1" x="794"/>
        <item h="1" x="571"/>
        <item h="1" x="819"/>
        <item h="1" x="666"/>
        <item h="1" x="944"/>
        <item h="1" x="763"/>
        <item h="1" x="958"/>
        <item h="1" x="912"/>
        <item h="1" x="832"/>
        <item h="1" x="737"/>
        <item h="1" x="665"/>
        <item h="1" x="902"/>
        <item h="1" x="746"/>
        <item h="1" x="593"/>
        <item h="1" x="846"/>
        <item h="1" x="678"/>
        <item h="1" x="767"/>
        <item h="1" x="853"/>
        <item h="1" x="765"/>
        <item h="1" x="601"/>
        <item h="1" x="626"/>
        <item h="1" x="917"/>
        <item h="1" x="800"/>
        <item h="1" x="1050"/>
        <item h="1" x="799"/>
        <item h="1" x="658"/>
        <item h="1" x="700"/>
        <item h="1" x="999"/>
        <item h="1" x="585"/>
        <item h="1" x="701"/>
        <item h="1" x="704"/>
        <item h="1" x="850"/>
        <item h="1" x="815"/>
        <item h="1" x="849"/>
        <item h="1" x="669"/>
        <item h="1" x="960"/>
        <item h="1" x="956"/>
        <item h="1" x="709"/>
        <item h="1" x="780"/>
        <item h="1" x="655"/>
        <item h="1" x="927"/>
        <item h="1" x="959"/>
        <item h="1" x="747"/>
        <item h="1" x="930"/>
        <item h="1" x="910"/>
        <item h="1" x="957"/>
        <item h="1" x="683"/>
        <item h="1" x="722"/>
        <item h="1" x="904"/>
        <item h="1" x="830"/>
        <item h="1" x="764"/>
        <item h="1" x="645"/>
        <item h="1" x="692"/>
        <item h="1" x="860"/>
        <item h="1" x="742"/>
        <item h="1" x="663"/>
        <item h="1" x="662"/>
        <item h="1" x="743"/>
        <item h="1" x="590"/>
        <item h="1" x="599"/>
        <item h="1" x="702"/>
        <item h="1" x="660"/>
        <item h="1" x="710"/>
        <item h="1" x="854"/>
        <item h="1" x="1001"/>
        <item h="1" x="684"/>
        <item h="1" x="589"/>
        <item h="1" x="641"/>
        <item h="1" x="945"/>
        <item h="1" x="777"/>
        <item h="1" x="931"/>
        <item h="1" x="894"/>
        <item h="1" x="1002"/>
        <item h="1" x="782"/>
        <item h="1" x="1003"/>
        <item h="1" x="685"/>
        <item h="1" x="824"/>
        <item h="1" x="670"/>
        <item h="1" x="630"/>
        <item h="1" x="1000"/>
        <item h="1" x="963"/>
        <item h="1" x="921"/>
        <item h="1" x="1005"/>
        <item h="1" x="935"/>
        <item h="1" x="924"/>
        <item h="1" x="606"/>
        <item h="1" x="812"/>
        <item h="1" x="905"/>
        <item h="1" x="640"/>
        <item h="1" x="925"/>
        <item h="1" x="953"/>
        <item h="1" x="610"/>
        <item h="1" x="918"/>
        <item h="1" x="575"/>
        <item h="1" x="826"/>
        <item h="1" x="954"/>
        <item h="1" x="1006"/>
        <item h="1" x="708"/>
        <item x="587"/>
        <item x="712"/>
        <item x="1048"/>
        <item x="928"/>
        <item x="892"/>
        <item x="676"/>
        <item x="829"/>
        <item x="588"/>
        <item x="1004"/>
        <item x="828"/>
        <item x="721"/>
        <item x="852"/>
        <item x="1007"/>
        <item x="857"/>
        <item x="1040"/>
        <item x="667"/>
        <item x="591"/>
        <item x="941"/>
        <item x="693"/>
        <item x="885"/>
        <item x="969"/>
        <item x="1034"/>
        <item x="652"/>
        <item x="686"/>
        <item x="631"/>
        <item x="1010"/>
        <item x="772"/>
        <item x="922"/>
        <item x="774"/>
        <item x="1009"/>
        <item x="1011"/>
        <item x="595"/>
        <item x="594"/>
        <item x="608"/>
        <item x="986"/>
        <item x="597"/>
        <item x="966"/>
        <item x="786"/>
        <item x="911"/>
        <item x="657"/>
        <item x="919"/>
        <item x="766"/>
        <item x="998"/>
        <item x="672"/>
        <item x="841"/>
        <item x="1041"/>
        <item x="656"/>
        <item x="1014"/>
        <item x="964"/>
        <item x="654"/>
        <item x="1053"/>
        <item x="687"/>
        <item x="720"/>
        <item x="605"/>
        <item x="1026"/>
        <item x="1031"/>
        <item x="891"/>
        <item x="741"/>
        <item x="609"/>
        <item x="856"/>
        <item x="707"/>
        <item x="727"/>
        <item x="913"/>
        <item x="1013"/>
        <item x="1012"/>
        <item x="1054"/>
        <item x="1027"/>
        <item x="735"/>
        <item x="578"/>
        <item x="622"/>
        <item x="653"/>
        <item x="592"/>
        <item x="1030"/>
        <item x="675"/>
        <item x="1025"/>
        <item x="889"/>
        <item x="769"/>
        <item x="929"/>
        <item x="797"/>
        <item x="1029"/>
        <item x="668"/>
        <item x="1033"/>
        <item x="1035"/>
        <item x="835"/>
        <item x="673"/>
        <item x="1049"/>
        <item x="1045"/>
        <item x="939"/>
        <item x="573"/>
        <item x="1061"/>
        <item x="1032"/>
        <item x="644"/>
        <item x="996"/>
        <item x="775"/>
        <item x="926"/>
        <item x="920"/>
        <item x="647"/>
        <item x="1044"/>
        <item x="962"/>
        <item x="1060"/>
        <item x="907"/>
        <item x="1042"/>
        <item x="635"/>
        <item x="682"/>
        <item x="717"/>
        <item x="791"/>
        <item x="1052"/>
        <item x="1036"/>
        <item x="1043"/>
        <item x="789"/>
        <item x="576"/>
        <item x="795"/>
        <item x="946"/>
        <item x="680"/>
        <item x="938"/>
        <item x="1058"/>
        <item x="833"/>
        <item x="1062"/>
        <item x="1059"/>
        <item x="1063"/>
        <item x="1055"/>
        <item x="679"/>
        <item x="705"/>
        <item x="613"/>
        <item x="1024"/>
        <item x="1051"/>
        <item x="1008"/>
        <item x="1057"/>
        <item x="903"/>
        <item x="1039"/>
        <item x="1056"/>
        <item x="1038"/>
        <item x="1047"/>
        <item x="1037"/>
        <item x="1046"/>
        <item x="779"/>
        <item x="778"/>
        <item x="783"/>
        <item h="1" x="726"/>
        <item h="1" x="70"/>
      </items>
    </pivotField>
    <pivotField compact="0" outline="0" multipleItemSelectionAllowed="1" showAll="0" defaultSubtotal="0"/>
    <pivotField axis="axisPage" compact="0" outline="0" multipleItemSelectionAllowed="1" showAll="0" defaultSubtotal="0">
      <items count="10">
        <item x="2"/>
        <item m="1" x="9"/>
        <item h="1" x="1"/>
        <item m="1" x="6"/>
        <item m="1" x="8"/>
        <item m="1" x="7"/>
        <item m="1" x="5"/>
        <item h="1" x="0"/>
        <item m="1" x="4"/>
        <item h="1" m="1" x="3"/>
      </items>
    </pivotField>
    <pivotField compact="0" outline="0" showAll="0" defaultSubtotal="0"/>
    <pivotField compact="0" outline="0" showAll="0" defaultSubtotal="0"/>
    <pivotField compact="0" outline="0" showAll="0" defaultSubtotal="0"/>
    <pivotField axis="axisPage" compact="0" outline="0" multipleItemSelectionAllowed="1" showAll="0" defaultSubtotal="0">
      <items count="13">
        <item x="11"/>
        <item x="9"/>
        <item x="8"/>
        <item x="10"/>
        <item x="4"/>
        <item x="3"/>
        <item x="1"/>
        <item x="12"/>
        <item x="7"/>
        <item x="6"/>
        <item x="2"/>
        <item x="5"/>
        <item x="0"/>
      </items>
    </pivotField>
    <pivotField axis="axisPage" compact="0" outline="0" multipleItemSelectionAllowed="1" showAll="0" defaultSubtotal="0">
      <items count="11">
        <item h="1" x="5"/>
        <item h="1" x="4"/>
        <item h="1" x="2"/>
        <item h="1" x="6"/>
        <item h="1" x="1"/>
        <item x="3"/>
        <item x="7"/>
        <item x="8"/>
        <item x="10"/>
        <item x="9"/>
        <item h="1"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4">
    <field x="1"/>
    <field x="8"/>
    <field x="14"/>
    <field x="17"/>
  </rowFields>
  <rowItems count="157">
    <i>
      <x v="23"/>
      <x v="159"/>
      <x v="97"/>
      <x v="191"/>
    </i>
    <i r="1">
      <x v="849"/>
      <x v="154"/>
      <x v="191"/>
    </i>
    <i>
      <x v="27"/>
      <x v="812"/>
      <x v="457"/>
      <x v="382"/>
    </i>
    <i>
      <x v="32"/>
      <x v="61"/>
      <x v="231"/>
      <x v="272"/>
    </i>
    <i r="1">
      <x v="136"/>
      <x v="158"/>
      <x v="180"/>
    </i>
    <i r="1">
      <x v="147"/>
      <x v="321"/>
      <x v="371"/>
    </i>
    <i>
      <x v="33"/>
      <x v="611"/>
      <x v="100"/>
      <x v="153"/>
    </i>
    <i r="1">
      <x v="1188"/>
      <x v="374"/>
      <x v="228"/>
    </i>
    <i>
      <x v="45"/>
      <x v="165"/>
      <x v="582"/>
      <x v="228"/>
    </i>
    <i r="1">
      <x v="582"/>
      <x/>
      <x v="228"/>
    </i>
    <i r="1">
      <x v="734"/>
      <x v="484"/>
      <x v="124"/>
    </i>
    <i r="1">
      <x v="1223"/>
      <x v="464"/>
      <x v="124"/>
    </i>
    <i>
      <x v="47"/>
      <x v="1046"/>
      <x v="412"/>
      <x v="236"/>
    </i>
    <i>
      <x v="49"/>
      <x v="77"/>
      <x v="152"/>
      <x v="40"/>
    </i>
    <i>
      <x v="53"/>
      <x v="1062"/>
      <x v="294"/>
      <x v="409"/>
    </i>
    <i>
      <x v="57"/>
      <x v="930"/>
      <x v="178"/>
      <x v="153"/>
    </i>
    <i>
      <x v="78"/>
      <x v="94"/>
      <x v="493"/>
      <x v="228"/>
    </i>
    <i>
      <x v="80"/>
      <x v="575"/>
      <x v="100"/>
      <x v="180"/>
    </i>
    <i>
      <x v="83"/>
      <x v="40"/>
      <x v="563"/>
      <x v="86"/>
    </i>
    <i r="1">
      <x v="118"/>
      <x v="244"/>
      <x v="86"/>
    </i>
    <i r="1">
      <x v="638"/>
      <x v="272"/>
      <x v="86"/>
    </i>
    <i r="1">
      <x v="689"/>
      <x v="247"/>
      <x v="86"/>
    </i>
    <i r="1">
      <x v="947"/>
      <x v="390"/>
      <x v="193"/>
    </i>
    <i r="1">
      <x v="1007"/>
      <x v="551"/>
      <x v="86"/>
    </i>
    <i r="1">
      <x v="1192"/>
      <x v="26"/>
      <x v="86"/>
    </i>
    <i>
      <x v="88"/>
      <x v="1132"/>
      <x v="456"/>
      <x v="95"/>
    </i>
    <i>
      <x v="106"/>
      <x v="4"/>
      <x v="461"/>
      <x v="297"/>
    </i>
    <i r="1">
      <x v="42"/>
      <x v="250"/>
      <x v="82"/>
    </i>
    <i r="1">
      <x v="45"/>
      <x v="533"/>
      <x v="180"/>
    </i>
    <i r="1">
      <x v="81"/>
      <x v="598"/>
      <x v="292"/>
    </i>
    <i r="1">
      <x v="108"/>
      <x v="456"/>
      <x v="180"/>
    </i>
    <i r="1">
      <x v="127"/>
      <x v="255"/>
      <x v="292"/>
    </i>
    <i r="1">
      <x v="169"/>
      <x v="272"/>
      <x v="95"/>
    </i>
    <i r="1">
      <x v="247"/>
      <x v="389"/>
      <x v="292"/>
    </i>
    <i r="1">
      <x v="293"/>
      <x v="160"/>
      <x v="180"/>
    </i>
    <i r="1">
      <x v="347"/>
      <x v="346"/>
      <x v="180"/>
    </i>
    <i r="1">
      <x v="427"/>
      <x v="346"/>
      <x v="142"/>
    </i>
    <i r="1">
      <x v="576"/>
      <x v="333"/>
      <x v="180"/>
    </i>
    <i r="1">
      <x v="673"/>
      <x v="232"/>
      <x v="292"/>
    </i>
    <i r="1">
      <x v="705"/>
      <x v="190"/>
      <x v="57"/>
    </i>
    <i r="1">
      <x v="786"/>
      <x v="456"/>
      <x v="180"/>
    </i>
    <i r="1">
      <x v="797"/>
      <x v="116"/>
      <x v="180"/>
    </i>
    <i r="1">
      <x v="864"/>
      <x v="160"/>
      <x v="180"/>
    </i>
    <i r="1">
      <x v="874"/>
      <x v="203"/>
      <x v="180"/>
    </i>
    <i r="1">
      <x v="885"/>
      <x v="160"/>
      <x v="180"/>
    </i>
    <i r="1">
      <x v="923"/>
      <x v="204"/>
      <x v="292"/>
    </i>
    <i r="1">
      <x v="1037"/>
      <x v="116"/>
      <x v="180"/>
    </i>
    <i r="1">
      <x v="1086"/>
      <x v="92"/>
      <x v="25"/>
    </i>
    <i>
      <x v="107"/>
      <x v="78"/>
      <x v="513"/>
      <x v="480"/>
    </i>
    <i r="1">
      <x v="88"/>
      <x v="98"/>
      <x v="180"/>
    </i>
    <i r="1">
      <x v="95"/>
      <x v="476"/>
      <x v="399"/>
    </i>
    <i>
      <x v="111"/>
      <x v="442"/>
      <x v="389"/>
      <x v="11"/>
    </i>
    <i r="1">
      <x v="608"/>
      <x v="319"/>
      <x v="124"/>
    </i>
    <i r="1">
      <x v="871"/>
      <x v="272"/>
      <x v="228"/>
    </i>
    <i r="1">
      <x v="1014"/>
      <x v="265"/>
      <x v="228"/>
    </i>
    <i r="1">
      <x v="1087"/>
      <x v="255"/>
      <x v="228"/>
    </i>
    <i>
      <x v="119"/>
      <x v="268"/>
      <x v="100"/>
      <x v="115"/>
    </i>
    <i r="1">
      <x v="649"/>
      <x v="160"/>
      <x v="160"/>
    </i>
    <i r="1">
      <x v="850"/>
      <x v="117"/>
      <x v="278"/>
    </i>
    <i r="1">
      <x v="938"/>
      <x v="135"/>
      <x v="55"/>
    </i>
    <i>
      <x v="151"/>
      <x v="375"/>
      <x v="436"/>
      <x v="246"/>
    </i>
    <i>
      <x v="153"/>
      <x v="329"/>
      <x v="490"/>
      <x v="366"/>
    </i>
    <i>
      <x v="162"/>
      <x v="759"/>
      <x v="227"/>
      <x v="96"/>
    </i>
    <i>
      <x v="170"/>
      <x v="5"/>
      <x v="586"/>
      <x v="464"/>
    </i>
    <i>
      <x v="174"/>
      <x v="223"/>
      <x v="190"/>
      <x v="57"/>
    </i>
    <i r="1">
      <x v="528"/>
      <x v="199"/>
      <x v="18"/>
    </i>
    <i>
      <x v="176"/>
      <x v="7"/>
      <x v="81"/>
      <x v="124"/>
    </i>
    <i r="1">
      <x v="528"/>
      <x v="204"/>
      <x v="18"/>
    </i>
    <i r="1">
      <x v="667"/>
      <x v="100"/>
      <x v="18"/>
    </i>
    <i r="1">
      <x v="706"/>
      <x v="190"/>
      <x v="124"/>
    </i>
    <i r="1">
      <x v="1015"/>
      <x v="72"/>
      <x v="124"/>
    </i>
    <i r="1">
      <x v="1022"/>
      <x v="142"/>
      <x v="124"/>
    </i>
    <i>
      <x v="179"/>
      <x v="149"/>
      <x v="532"/>
      <x v="399"/>
    </i>
    <i>
      <x v="186"/>
      <x v="858"/>
      <x v="37"/>
      <x v="128"/>
    </i>
    <i>
      <x v="207"/>
      <x v="76"/>
      <x v="191"/>
      <x v="194"/>
    </i>
    <i r="1">
      <x v="161"/>
      <x v="573"/>
      <x v="284"/>
    </i>
    <i r="1">
      <x v="868"/>
      <x v="320"/>
      <x v="135"/>
    </i>
    <i r="1">
      <x v="896"/>
      <x v="482"/>
      <x v="232"/>
    </i>
    <i r="1">
      <x v="992"/>
      <x v="193"/>
      <x v="294"/>
    </i>
    <i r="1">
      <x v="1064"/>
      <x v="247"/>
      <x v="277"/>
    </i>
    <i r="1">
      <x v="1137"/>
      <x v="275"/>
      <x v="231"/>
    </i>
    <i r="1">
      <x v="1141"/>
      <x v="402"/>
      <x v="343"/>
    </i>
    <i r="1">
      <x v="1144"/>
      <x v="276"/>
      <x v="299"/>
    </i>
    <i r="1">
      <x v="1174"/>
      <x v="195"/>
      <x/>
    </i>
    <i>
      <x v="210"/>
      <x v="1100"/>
      <x v="528"/>
      <x v="156"/>
    </i>
    <i r="3">
      <x v="209"/>
    </i>
    <i r="3">
      <x v="331"/>
    </i>
    <i r="1">
      <x v="1206"/>
      <x v="379"/>
      <x v="99"/>
    </i>
    <i r="2">
      <x v="598"/>
      <x v="342"/>
    </i>
    <i>
      <x v="218"/>
      <x v="73"/>
      <x v="282"/>
      <x v="162"/>
    </i>
    <i r="1">
      <x v="368"/>
      <x v="67"/>
      <x v="147"/>
    </i>
    <i>
      <x v="221"/>
      <x v="164"/>
      <x v="594"/>
      <x v="52"/>
    </i>
    <i r="1">
      <x v="621"/>
      <x v="598"/>
      <x v="101"/>
    </i>
    <i r="1">
      <x v="622"/>
      <x v="598"/>
      <x v="78"/>
    </i>
    <i r="1">
      <x v="1002"/>
      <x v="598"/>
      <x v="272"/>
    </i>
    <i>
      <x v="228"/>
      <x v="41"/>
      <x v="316"/>
      <x v="289"/>
    </i>
    <i r="1">
      <x v="1063"/>
      <x v="204"/>
      <x v="78"/>
    </i>
    <i>
      <x v="234"/>
      <x v="103"/>
      <x v="598"/>
      <x v="437"/>
    </i>
    <i r="1">
      <x v="148"/>
      <x v="272"/>
      <x v="409"/>
    </i>
    <i r="1">
      <x v="1190"/>
      <x v="412"/>
      <x v="409"/>
    </i>
    <i r="1">
      <x v="1191"/>
      <x v="320"/>
      <x v="228"/>
    </i>
    <i r="1">
      <x v="1199"/>
      <x v="495"/>
      <x v="516"/>
    </i>
    <i>
      <x v="235"/>
      <x v="18"/>
      <x v="373"/>
      <x v="437"/>
    </i>
    <i r="1">
      <x v="63"/>
      <x v="370"/>
      <x v="474"/>
    </i>
    <i r="1">
      <x v="80"/>
      <x v="265"/>
      <x v="228"/>
    </i>
    <i r="1">
      <x v="97"/>
      <x v="189"/>
      <x v="228"/>
    </i>
    <i>
      <x v="244"/>
      <x v="664"/>
      <x v="456"/>
      <x v="52"/>
    </i>
    <i>
      <x v="257"/>
      <x v="1131"/>
      <x v="89"/>
      <x v="52"/>
    </i>
    <i>
      <x v="260"/>
      <x v="5"/>
      <x/>
      <x v="180"/>
    </i>
    <i r="2">
      <x v="562"/>
      <x v="550"/>
    </i>
    <i r="2">
      <x v="598"/>
      <x v="292"/>
    </i>
    <i r="1">
      <x v="23"/>
      <x v="598"/>
      <x v="18"/>
    </i>
    <i r="1">
      <x v="36"/>
      <x v="474"/>
      <x v="346"/>
    </i>
    <i r="1">
      <x v="66"/>
      <x v="540"/>
      <x v="180"/>
    </i>
    <i r="1">
      <x v="117"/>
      <x v="120"/>
      <x v="180"/>
    </i>
    <i r="1">
      <x v="164"/>
      <x/>
      <x v="180"/>
    </i>
    <i r="1">
      <x v="702"/>
      <x v="543"/>
      <x v="18"/>
    </i>
    <i r="1">
      <x v="854"/>
      <x v="526"/>
      <x v="180"/>
    </i>
    <i r="1">
      <x v="890"/>
      <x v="598"/>
      <x v="180"/>
    </i>
    <i r="1">
      <x v="1018"/>
      <x v="561"/>
      <x v="292"/>
    </i>
    <i r="1">
      <x v="1213"/>
      <x v="466"/>
      <x v="180"/>
    </i>
    <i r="1">
      <x v="1223"/>
      <x v="484"/>
      <x v="180"/>
    </i>
    <i>
      <x v="261"/>
      <x v="5"/>
      <x v="579"/>
      <x v="292"/>
    </i>
    <i r="1">
      <x v="1223"/>
      <x v="598"/>
      <x v="550"/>
    </i>
    <i>
      <x v="270"/>
      <x v="847"/>
      <x v="343"/>
      <x v="124"/>
    </i>
    <i>
      <x v="275"/>
      <x v="917"/>
      <x v="66"/>
      <x v="13"/>
    </i>
    <i>
      <x v="279"/>
      <x v="963"/>
      <x v="404"/>
      <x v="371"/>
    </i>
    <i>
      <x v="286"/>
      <x v="85"/>
      <x v="160"/>
      <x v="272"/>
    </i>
    <i r="1">
      <x v="1222"/>
      <x v="598"/>
      <x v="316"/>
    </i>
    <i>
      <x v="295"/>
      <x v="674"/>
      <x v="414"/>
      <x v="314"/>
    </i>
    <i>
      <x v="311"/>
      <x v="999"/>
      <x v="139"/>
      <x v="205"/>
    </i>
    <i r="1">
      <x v="1197"/>
      <x v="125"/>
      <x v="124"/>
    </i>
    <i>
      <x v="312"/>
      <x v="1001"/>
      <x v="87"/>
      <x v="153"/>
    </i>
    <i>
      <x v="323"/>
      <x v="124"/>
      <x v="352"/>
      <x v="292"/>
    </i>
    <i>
      <x v="325"/>
      <x v="190"/>
      <x v="450"/>
      <x v="252"/>
    </i>
    <i>
      <x v="332"/>
      <x v="219"/>
      <x v="168"/>
      <x v="287"/>
    </i>
    <i>
      <x v="336"/>
      <x v="369"/>
      <x v="94"/>
      <x v="9"/>
    </i>
    <i>
      <x v="479"/>
      <x v="146"/>
      <x v="496"/>
      <x v="353"/>
    </i>
    <i>
      <x v="481"/>
      <x v="713"/>
      <x v="247"/>
      <x v="348"/>
    </i>
    <i>
      <x v="485"/>
      <x v="196"/>
      <x v="425"/>
      <x v="530"/>
    </i>
    <i>
      <x v="487"/>
      <x v="115"/>
      <x v="299"/>
      <x v="180"/>
    </i>
    <i r="1">
      <x v="872"/>
      <x v="115"/>
      <x v="124"/>
    </i>
    <i>
      <x v="489"/>
      <x v="889"/>
      <x v="401"/>
      <x v="491"/>
    </i>
    <i>
      <x v="508"/>
      <x v="765"/>
      <x v="310"/>
      <x v="124"/>
    </i>
    <i>
      <x v="517"/>
      <x v="900"/>
      <x v="221"/>
      <x v="409"/>
    </i>
    <i>
      <x v="518"/>
      <x v="665"/>
      <x v="122"/>
      <x v="37"/>
    </i>
    <i>
      <x v="527"/>
      <x v="62"/>
      <x v="137"/>
      <x v="61"/>
    </i>
    <i r="1">
      <x v="116"/>
      <x v="185"/>
      <x v="61"/>
    </i>
    <i r="1">
      <x v="1196"/>
      <x v="318"/>
      <x v="228"/>
    </i>
    <i>
      <x v="528"/>
      <x v="688"/>
      <x v="186"/>
      <x v="61"/>
    </i>
    <i r="1">
      <x v="1010"/>
      <x v="292"/>
      <x v="148"/>
    </i>
    <i>
      <x v="537"/>
      <x v="69"/>
      <x v="14"/>
      <x v="52"/>
    </i>
    <i>
      <x v="538"/>
      <x v="555"/>
      <x v="69"/>
      <x v="124"/>
    </i>
    <i>
      <x v="545"/>
      <x v="79"/>
      <x v="459"/>
      <x v="347"/>
    </i>
    <i>
      <x v="548"/>
      <x v="1223"/>
      <x/>
      <x v="470"/>
    </i>
    <i>
      <x v="549"/>
      <x v="658"/>
      <x v="237"/>
      <x v="73"/>
    </i>
    <i t="grand">
      <x/>
    </i>
  </rowItems>
  <colItems count="1">
    <i/>
  </colItems>
  <pageFields count="5">
    <pageField fld="21" hier="-1"/>
    <pageField fld="7" hier="-1"/>
    <pageField fld="19" hier="-1"/>
    <pageField fld="25" hier="-1"/>
    <pageField fld="26" hier="-1"/>
  </pageFields>
  <formats count="8">
    <format dxfId="158">
      <pivotArea field="14" type="button" dataOnly="0" labelOnly="1" outline="0" axis="axisRow" fieldPosition="2"/>
    </format>
    <format dxfId="157">
      <pivotArea field="14" type="button" dataOnly="0" labelOnly="1" outline="0" axis="axisRow" fieldPosition="2"/>
    </format>
    <format dxfId="156">
      <pivotArea field="14" type="button" dataOnly="0" labelOnly="1" outline="0" axis="axisRow" fieldPosition="2"/>
    </format>
    <format dxfId="155">
      <pivotArea field="8" type="button" dataOnly="0" labelOnly="1" outline="0" axis="axisRow" fieldPosition="1"/>
    </format>
    <format dxfId="154">
      <pivotArea dataOnly="0" labelOnly="1" outline="0" fieldPosition="0">
        <references count="2">
          <reference field="1" count="1" selected="0">
            <x v="106"/>
          </reference>
          <reference field="8" count="1">
            <x v="4"/>
          </reference>
        </references>
      </pivotArea>
    </format>
    <format dxfId="153">
      <pivotArea dataOnly="0" labelOnly="1" outline="0" fieldPosition="0">
        <references count="3">
          <reference field="1" count="1" selected="0">
            <x v="170"/>
          </reference>
          <reference field="8" count="1" selected="0">
            <x v="1160"/>
          </reference>
          <reference field="14" count="1">
            <x v="598"/>
          </reference>
        </references>
      </pivotArea>
    </format>
    <format dxfId="152">
      <pivotArea dataOnly="0" labelOnly="1" outline="0" fieldPosition="0">
        <references count="3">
          <reference field="1" count="1" selected="0">
            <x v="170"/>
          </reference>
          <reference field="8" count="1" selected="0">
            <x v="1160"/>
          </reference>
          <reference field="14" count="1">
            <x v="598"/>
          </reference>
        </references>
      </pivotArea>
    </format>
    <format dxfId="151">
      <pivotArea dataOnly="0" labelOnly="1" outline="0" fieldPosition="0">
        <references count="4">
          <reference field="1" count="1" selected="0">
            <x v="98"/>
          </reference>
          <reference field="8" count="1" selected="0">
            <x v="153"/>
          </reference>
          <reference field="14" count="1" selected="0">
            <x v="491"/>
          </reference>
          <reference field="17" count="1">
            <x v="55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2" cacheId="0" applyNumberFormats="0" applyBorderFormats="0" applyFontFormats="0" applyPatternFormats="0" applyAlignmentFormats="0" applyWidthHeightFormats="1" dataCaption="Values" updatedVersion="7" minRefreshableVersion="3" useAutoFormatting="1" itemPrintTitles="1" createdVersion="6" indent="0" compact="0" compactData="0" multipleFieldFilters="0" chartFormat="2">
  <location ref="A7:F21" firstHeaderRow="0" firstDataRow="1" firstDataCol="3" rowPageCount="2" colPageCount="1"/>
  <pivotFields count="42">
    <pivotField compact="0" outline="0" showAll="0"/>
    <pivotField dataField="1" compact="0" outline="0" showAll="0" includeNewItemsInFilter="1" countASubtotal="1"/>
    <pivotField compact="0" outline="0" showAll="0"/>
    <pivotField compact="0" outline="0" showAll="0"/>
    <pivotField compact="0" outline="0" showAll="0"/>
    <pivotField compact="0" outline="0" showAll="0"/>
    <pivotField compact="0" outline="0" showAll="0"/>
    <pivotField axis="axisRow" compact="0" outline="0" multipleItemSelectionAllowed="1" showAll="0" defaultSubtotal="0">
      <items count="25">
        <item m="1" x="9"/>
        <item m="1" x="17"/>
        <item m="1" x="22"/>
        <item sd="0" x="1"/>
        <item sd="0" x="3"/>
        <item m="1" x="23"/>
        <item m="1" x="12"/>
        <item m="1" x="7"/>
        <item m="1" x="24"/>
        <item m="1" x="19"/>
        <item sd="0" x="2"/>
        <item sd="0" x="4"/>
        <item m="1" x="18"/>
        <item m="1" x="14"/>
        <item m="1" x="21"/>
        <item m="1" x="20"/>
        <item sd="0" x="0"/>
        <item m="1" x="13"/>
        <item m="1" x="10"/>
        <item m="1" x="16"/>
        <item m="1" x="8"/>
        <item h="1" x="5"/>
        <item m="1" x="15"/>
        <item m="1" x="11"/>
        <item h="1" m="1" x="6"/>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dataField="1" compact="0" outline="0" showAll="0"/>
    <pivotField compact="0" outline="0" showAll="0"/>
    <pivotField axis="axisPage" compact="0" outline="0" multipleItemSelectionAllowed="1" showAll="0">
      <items count="1067">
        <item x="35"/>
        <item x="79"/>
        <item x="39"/>
        <item x="286"/>
        <item x="55"/>
        <item x="267"/>
        <item x="329"/>
        <item x="367"/>
        <item x="274"/>
        <item x="363"/>
        <item x="345"/>
        <item x="417"/>
        <item x="45"/>
        <item x="94"/>
        <item x="284"/>
        <item x="380"/>
        <item x="61"/>
        <item x="430"/>
        <item x="56"/>
        <item x="374"/>
        <item x="305"/>
        <item x="293"/>
        <item x="320"/>
        <item x="387"/>
        <item x="312"/>
        <item x="294"/>
        <item x="306"/>
        <item x="337"/>
        <item x="342"/>
        <item x="58"/>
        <item x="392"/>
        <item m="1" x="1064"/>
        <item x="415"/>
        <item x="262"/>
        <item x="40"/>
        <item x="355"/>
        <item x="264"/>
        <item x="429"/>
        <item x="418"/>
        <item x="93"/>
        <item x="97"/>
        <item m="1" x="1065"/>
        <item x="315"/>
        <item x="281"/>
        <item x="328"/>
        <item x="350"/>
        <item x="352"/>
        <item x="369"/>
        <item x="410"/>
        <item x="340"/>
        <item x="278"/>
        <item x="343"/>
        <item x="375"/>
        <item x="296"/>
        <item x="300"/>
        <item x="319"/>
        <item x="423"/>
        <item x="91"/>
        <item x="346"/>
        <item x="368"/>
        <item x="381"/>
        <item x="341"/>
        <item x="37"/>
        <item x="266"/>
        <item x="362"/>
        <item x="431"/>
        <item x="339"/>
        <item x="279"/>
        <item x="377"/>
        <item x="50"/>
        <item x="332"/>
        <item x="426"/>
        <item x="326"/>
        <item x="382"/>
        <item x="419"/>
        <item x="276"/>
        <item x="416"/>
        <item x="54"/>
        <item x="322"/>
        <item x="421"/>
        <item x="42"/>
        <item x="317"/>
        <item x="66"/>
        <item x="303"/>
        <item x="269"/>
        <item x="384"/>
        <item x="432"/>
        <item x="92"/>
        <item x="372"/>
        <item x="400"/>
        <item x="86"/>
        <item x="270"/>
        <item x="260"/>
        <item x="383"/>
        <item x="420"/>
        <item x="275"/>
        <item x="405"/>
        <item x="69"/>
        <item x="71"/>
        <item x="59"/>
        <item x="268"/>
        <item x="424"/>
        <item x="273"/>
        <item x="192"/>
        <item x="11"/>
        <item x="406"/>
        <item x="74"/>
        <item x="78"/>
        <item x="324"/>
        <item x="344"/>
        <item x="24"/>
        <item x="193"/>
        <item x="34"/>
        <item x="394"/>
        <item x="73"/>
        <item x="282"/>
        <item x="81"/>
        <item x="51"/>
        <item x="364"/>
        <item x="82"/>
        <item x="335"/>
        <item x="338"/>
        <item x="209"/>
        <item x="95"/>
        <item x="390"/>
        <item x="386"/>
        <item x="292"/>
        <item x="297"/>
        <item x="401"/>
        <item x="331"/>
        <item x="422"/>
        <item x="41"/>
        <item x="353"/>
        <item x="60"/>
        <item x="204"/>
        <item x="435"/>
        <item x="22"/>
        <item x="36"/>
        <item x="283"/>
        <item x="360"/>
        <item x="89"/>
        <item x="202"/>
        <item x="5"/>
        <item x="289"/>
        <item x="370"/>
        <item x="80"/>
        <item x="46"/>
        <item x="365"/>
        <item x="310"/>
        <item x="391"/>
        <item x="412"/>
        <item x="414"/>
        <item x="389"/>
        <item x="399"/>
        <item x="258"/>
        <item x="348"/>
        <item x="359"/>
        <item x="83"/>
        <item x="428"/>
        <item x="185"/>
        <item x="20"/>
        <item x="413"/>
        <item x="287"/>
        <item x="409"/>
        <item x="88"/>
        <item x="259"/>
        <item x="261"/>
        <item x="38"/>
        <item x="280"/>
        <item x="357"/>
        <item x="72"/>
        <item x="327"/>
        <item x="366"/>
        <item x="333"/>
        <item x="285"/>
        <item x="356"/>
        <item x="57"/>
        <item x="0"/>
        <item x="197"/>
        <item x="385"/>
        <item x="85"/>
        <item x="379"/>
        <item x="271"/>
        <item x="433"/>
        <item x="427"/>
        <item x="6"/>
        <item x="205"/>
        <item x="26"/>
        <item x="314"/>
        <item x="49"/>
        <item x="47"/>
        <item x="378"/>
        <item x="210"/>
        <item x="207"/>
        <item x="64"/>
        <item x="334"/>
        <item x="361"/>
        <item x="277"/>
        <item x="434"/>
        <item x="425"/>
        <item x="188"/>
        <item x="27"/>
        <item x="2"/>
        <item x="349"/>
        <item x="77"/>
        <item x="325"/>
        <item x="371"/>
        <item x="90"/>
        <item x="31"/>
        <item x="330"/>
        <item x="43"/>
        <item x="272"/>
        <item x="13"/>
        <item x="199"/>
        <item x="8"/>
        <item x="309"/>
        <item x="411"/>
        <item x="84"/>
        <item x="53"/>
        <item x="263"/>
        <item x="10"/>
        <item x="76"/>
        <item x="87"/>
        <item x="347"/>
        <item x="336"/>
        <item x="376"/>
        <item x="44"/>
        <item x="351"/>
        <item x="187"/>
        <item x="96"/>
        <item x="203"/>
        <item x="195"/>
        <item x="32"/>
        <item x="68"/>
        <item x="402"/>
        <item x="265"/>
        <item x="48"/>
        <item x="354"/>
        <item x="358"/>
        <item x="373"/>
        <item x="200"/>
        <item x="52"/>
        <item x="25"/>
        <item x="211"/>
        <item x="316"/>
        <item x="404"/>
        <item x="318"/>
        <item x="288"/>
        <item x="396"/>
        <item x="307"/>
        <item x="398"/>
        <item x="395"/>
        <item x="787"/>
        <item x="809"/>
        <item x="808"/>
        <item x="1020"/>
        <item x="1021"/>
        <item x="1022"/>
        <item x="997"/>
        <item x="806"/>
        <item x="851"/>
        <item x="596"/>
        <item x="868"/>
        <item x="639"/>
        <item x="995"/>
        <item x="942"/>
        <item x="898"/>
        <item x="623"/>
        <item x="697"/>
        <item x="876"/>
        <item x="879"/>
        <item x="716"/>
        <item x="878"/>
        <item x="729"/>
        <item x="728"/>
        <item x="618"/>
        <item x="861"/>
        <item x="866"/>
        <item x="869"/>
        <item x="785"/>
        <item x="740"/>
        <item x="724"/>
        <item x="877"/>
        <item x="908"/>
        <item x="617"/>
        <item x="650"/>
        <item x="844"/>
        <item x="583"/>
        <item x="625"/>
        <item x="807"/>
        <item x="636"/>
        <item x="874"/>
        <item x="604"/>
        <item x="648"/>
        <item x="863"/>
        <item x="882"/>
        <item x="950"/>
        <item x="867"/>
        <item x="947"/>
        <item x="976"/>
        <item x="870"/>
        <item x="994"/>
        <item x="637"/>
        <item x="738"/>
        <item x="965"/>
        <item x="739"/>
        <item x="70"/>
        <item x="112"/>
        <item x="17"/>
        <item x="23"/>
        <item x="28"/>
        <item x="21"/>
        <item x="14"/>
        <item x="16"/>
        <item x="18"/>
        <item x="3"/>
        <item x="137"/>
        <item x="943"/>
        <item x="116"/>
        <item x="532"/>
        <item x="988"/>
        <item x="106"/>
        <item x="123"/>
        <item x="102"/>
        <item x="104"/>
        <item x="30"/>
        <item x="103"/>
        <item x="115"/>
        <item x="105"/>
        <item x="117"/>
        <item x="139"/>
        <item x="4"/>
        <item x="142"/>
        <item x="75"/>
        <item x="67"/>
        <item x="859"/>
        <item x="65"/>
        <item x="733"/>
        <item x="873"/>
        <item x="725"/>
        <item x="62"/>
        <item x="107"/>
        <item x="15"/>
        <item x="110"/>
        <item x="855"/>
        <item x="141"/>
        <item x="98"/>
        <item x="108"/>
        <item x="862"/>
        <item x="111"/>
        <item x="119"/>
        <item x="146"/>
        <item x="140"/>
        <item x="9"/>
        <item x="12"/>
        <item x="147"/>
        <item x="130"/>
        <item x="109"/>
        <item x="144"/>
        <item x="118"/>
        <item x="33"/>
        <item x="135"/>
        <item x="7"/>
        <item x="138"/>
        <item x="837"/>
        <item x="674"/>
        <item x="132"/>
        <item x="120"/>
        <item x="602"/>
        <item x="580"/>
        <item x="29"/>
        <item x="19"/>
        <item x="145"/>
        <item x="136"/>
        <item x="149"/>
        <item x="121"/>
        <item x="967"/>
        <item x="148"/>
        <item x="100"/>
        <item x="900"/>
        <item x="155"/>
        <item x="101"/>
        <item x="127"/>
        <item x="134"/>
        <item x="627"/>
        <item x="131"/>
        <item x="886"/>
        <item x="150"/>
        <item x="579"/>
        <item x="825"/>
        <item x="823"/>
        <item x="114"/>
        <item x="125"/>
        <item x="586"/>
        <item x="129"/>
        <item x="128"/>
        <item x="614"/>
        <item x="948"/>
        <item x="890"/>
        <item x="113"/>
        <item x="133"/>
        <item x="951"/>
        <item x="122"/>
        <item x="63"/>
        <item x="143"/>
        <item x="611"/>
        <item x="659"/>
        <item x="1"/>
        <item x="993"/>
        <item x="756"/>
        <item x="754"/>
        <item x="638"/>
        <item x="827"/>
        <item x="978"/>
        <item x="99"/>
        <item x="126"/>
        <item x="233"/>
        <item x="196"/>
        <item x="212"/>
        <item x="208"/>
        <item x="228"/>
        <item x="817"/>
        <item x="157"/>
        <item x="840"/>
        <item x="231"/>
        <item x="227"/>
        <item x="152"/>
        <item x="224"/>
        <item x="151"/>
        <item x="822"/>
        <item x="159"/>
        <item x="759"/>
        <item x="158"/>
        <item x="230"/>
        <item x="758"/>
        <item x="225"/>
        <item x="186"/>
        <item x="232"/>
        <item x="154"/>
        <item x="153"/>
        <item x="698"/>
        <item x="219"/>
        <item x="983"/>
        <item x="581"/>
        <item x="696"/>
        <item x="242"/>
        <item x="229"/>
        <item x="156"/>
        <item x="1028"/>
        <item x="226"/>
        <item x="124"/>
        <item x="243"/>
        <item x="932"/>
        <item x="985"/>
        <item x="169"/>
        <item x="218"/>
        <item x="989"/>
        <item x="308"/>
        <item x="810"/>
        <item x="690"/>
        <item x="221"/>
        <item x="584"/>
        <item x="217"/>
        <item x="291"/>
        <item x="295"/>
        <item x="290"/>
        <item x="191"/>
        <item x="189"/>
        <item x="161"/>
        <item x="213"/>
        <item x="244"/>
        <item x="240"/>
        <item x="981"/>
        <item x="167"/>
        <item x="237"/>
        <item x="168"/>
        <item x="220"/>
        <item x="241"/>
        <item x="834"/>
        <item x="179"/>
        <item x="239"/>
        <item x="215"/>
        <item x="236"/>
        <item x="238"/>
        <item x="234"/>
        <item x="749"/>
        <item x="235"/>
        <item x="987"/>
        <item x="166"/>
        <item x="634"/>
        <item x="163"/>
        <item x="164"/>
        <item x="839"/>
        <item x="955"/>
        <item x="838"/>
        <item x="624"/>
        <item x="598"/>
        <item x="165"/>
        <item x="222"/>
        <item x="629"/>
        <item x="160"/>
        <item x="162"/>
        <item x="223"/>
        <item x="831"/>
        <item x="257"/>
        <item x="177"/>
        <item x="216"/>
        <item x="887"/>
        <item x="184"/>
        <item x="302"/>
        <item x="299"/>
        <item x="982"/>
        <item x="194"/>
        <item x="198"/>
        <item x="321"/>
        <item x="311"/>
        <item x="973"/>
        <item x="247"/>
        <item x="253"/>
        <item x="298"/>
        <item x="180"/>
        <item x="715"/>
        <item x="301"/>
        <item x="313"/>
        <item x="183"/>
        <item x="661"/>
        <item x="612"/>
        <item x="190"/>
        <item x="254"/>
        <item x="182"/>
        <item x="755"/>
        <item x="206"/>
        <item x="214"/>
        <item x="176"/>
        <item x="899"/>
        <item x="535"/>
        <item x="249"/>
        <item x="175"/>
        <item x="178"/>
        <item x="246"/>
        <item x="619"/>
        <item x="536"/>
        <item x="304"/>
        <item x="642"/>
        <item x="940"/>
        <item x="174"/>
        <item x="173"/>
        <item x="245"/>
        <item x="251"/>
        <item x="323"/>
        <item x="572"/>
        <item x="250"/>
        <item x="813"/>
        <item x="256"/>
        <item x="933"/>
        <item x="181"/>
        <item x="897"/>
        <item x="252"/>
        <item x="171"/>
        <item x="170"/>
        <item x="172"/>
        <item x="248"/>
        <item x="201"/>
        <item x="445"/>
        <item x="462"/>
        <item x="529"/>
        <item x="455"/>
        <item x="975"/>
        <item x="528"/>
        <item x="901"/>
        <item x="516"/>
        <item x="515"/>
        <item x="527"/>
        <item x="520"/>
        <item x="448"/>
        <item x="803"/>
        <item x="699"/>
        <item x="437"/>
        <item x="530"/>
        <item x="513"/>
        <item x="523"/>
        <item x="526"/>
        <item x="525"/>
        <item x="447"/>
        <item x="524"/>
        <item x="730"/>
        <item x="453"/>
        <item x="688"/>
        <item x="723"/>
        <item x="441"/>
        <item x="443"/>
        <item x="522"/>
        <item x="531"/>
        <item x="439"/>
        <item x="770"/>
        <item x="464"/>
        <item x="517"/>
        <item x="452"/>
        <item x="440"/>
        <item x="438"/>
        <item x="519"/>
        <item x="521"/>
        <item x="451"/>
        <item x="488"/>
        <item x="463"/>
        <item x="450"/>
        <item x="449"/>
        <item x="456"/>
        <item x="460"/>
        <item x="459"/>
        <item x="490"/>
        <item x="457"/>
        <item x="484"/>
        <item x="465"/>
        <item x="534"/>
        <item x="393"/>
        <item x="461"/>
        <item x="533"/>
        <item x="615"/>
        <item x="539"/>
        <item x="542"/>
        <item x="478"/>
        <item x="494"/>
        <item x="446"/>
        <item x="865"/>
        <item x="512"/>
        <item x="442"/>
        <item x="492"/>
        <item x="511"/>
        <item x="872"/>
        <item x="548"/>
        <item x="444"/>
        <item x="518"/>
        <item x="600"/>
        <item x="479"/>
        <item x="477"/>
        <item x="556"/>
        <item x="550"/>
        <item x="651"/>
        <item x="491"/>
        <item x="1023"/>
        <item x="458"/>
        <item x="875"/>
        <item x="559"/>
        <item x="748"/>
        <item x="255"/>
        <item x="510"/>
        <item x="486"/>
        <item x="474"/>
        <item x="485"/>
        <item x="509"/>
        <item x="549"/>
        <item x="540"/>
        <item x="493"/>
        <item x="792"/>
        <item x="545"/>
        <item x="537"/>
        <item x="487"/>
        <item x="538"/>
        <item x="476"/>
        <item x="473"/>
        <item x="472"/>
        <item x="489"/>
        <item x="736"/>
        <item x="914"/>
        <item x="543"/>
        <item x="706"/>
        <item x="547"/>
        <item x="798"/>
        <item x="558"/>
        <item x="475"/>
        <item x="546"/>
        <item x="388"/>
        <item x="541"/>
        <item x="551"/>
        <item x="771"/>
        <item x="514"/>
        <item x="466"/>
        <item x="482"/>
        <item x="407"/>
        <item x="480"/>
        <item x="397"/>
        <item x="893"/>
        <item x="1018"/>
        <item x="934"/>
        <item x="1019"/>
        <item x="864"/>
        <item x="471"/>
        <item x="495"/>
        <item x="731"/>
        <item x="570"/>
        <item x="557"/>
        <item x="553"/>
        <item x="544"/>
        <item x="481"/>
        <item x="552"/>
        <item x="501"/>
        <item x="842"/>
        <item x="505"/>
        <item x="499"/>
        <item x="470"/>
        <item x="555"/>
        <item x="467"/>
        <item x="691"/>
        <item x="564"/>
        <item x="468"/>
        <item x="496"/>
        <item x="563"/>
        <item x="497"/>
        <item x="916"/>
        <item x="403"/>
        <item x="507"/>
        <item x="500"/>
        <item x="408"/>
        <item x="744"/>
        <item x="616"/>
        <item x="503"/>
        <item x="502"/>
        <item x="561"/>
        <item x="952"/>
        <item x="498"/>
        <item x="906"/>
        <item x="508"/>
        <item x="895"/>
        <item x="1016"/>
        <item x="454"/>
        <item x="568"/>
        <item x="469"/>
        <item x="871"/>
        <item x="506"/>
        <item x="569"/>
        <item x="567"/>
        <item x="483"/>
        <item x="566"/>
        <item x="880"/>
        <item x="560"/>
        <item x="554"/>
        <item x="565"/>
        <item x="974"/>
        <item x="801"/>
        <item x="562"/>
        <item x="884"/>
        <item x="504"/>
        <item x="793"/>
        <item x="718"/>
        <item x="881"/>
        <item x="818"/>
        <item x="970"/>
        <item x="883"/>
        <item x="802"/>
        <item x="977"/>
        <item x="628"/>
        <item x="804"/>
        <item x="971"/>
        <item x="436"/>
        <item x="820"/>
        <item x="811"/>
        <item x="915"/>
        <item x="992"/>
        <item x="745"/>
        <item x="582"/>
        <item x="990"/>
        <item x="620"/>
        <item x="689"/>
        <item x="752"/>
        <item x="773"/>
        <item x="750"/>
        <item x="814"/>
        <item x="805"/>
        <item x="757"/>
        <item x="762"/>
        <item x="1017"/>
        <item x="664"/>
        <item x="845"/>
        <item x="781"/>
        <item x="980"/>
        <item x="695"/>
        <item x="896"/>
        <item x="936"/>
        <item x="714"/>
        <item x="719"/>
        <item x="776"/>
        <item x="649"/>
        <item x="923"/>
        <item x="784"/>
        <item x="753"/>
        <item x="979"/>
        <item x="760"/>
        <item x="858"/>
        <item x="732"/>
        <item x="751"/>
        <item x="949"/>
        <item x="603"/>
        <item x="577"/>
        <item x="671"/>
        <item x="816"/>
        <item x="694"/>
        <item x="1015"/>
        <item x="768"/>
        <item x="972"/>
        <item x="607"/>
        <item x="796"/>
        <item x="574"/>
        <item x="713"/>
        <item x="984"/>
        <item x="888"/>
        <item x="937"/>
        <item x="843"/>
        <item x="734"/>
        <item x="761"/>
        <item x="643"/>
        <item x="633"/>
        <item x="632"/>
        <item x="646"/>
        <item x="961"/>
        <item x="821"/>
        <item x="991"/>
        <item x="909"/>
        <item x="848"/>
        <item x="968"/>
        <item x="681"/>
        <item x="836"/>
        <item x="621"/>
        <item x="790"/>
        <item x="677"/>
        <item x="711"/>
        <item x="788"/>
        <item x="847"/>
        <item x="703"/>
        <item x="794"/>
        <item x="571"/>
        <item x="819"/>
        <item x="666"/>
        <item x="944"/>
        <item x="763"/>
        <item x="958"/>
        <item x="912"/>
        <item x="832"/>
        <item x="737"/>
        <item x="665"/>
        <item x="902"/>
        <item x="746"/>
        <item x="593"/>
        <item x="846"/>
        <item x="678"/>
        <item x="767"/>
        <item x="853"/>
        <item x="765"/>
        <item x="601"/>
        <item x="626"/>
        <item x="917"/>
        <item x="800"/>
        <item x="1050"/>
        <item x="799"/>
        <item x="658"/>
        <item x="700"/>
        <item x="999"/>
        <item x="585"/>
        <item x="701"/>
        <item x="704"/>
        <item x="850"/>
        <item x="815"/>
        <item x="849"/>
        <item x="669"/>
        <item x="960"/>
        <item x="956"/>
        <item x="709"/>
        <item x="780"/>
        <item x="655"/>
        <item x="927"/>
        <item x="959"/>
        <item x="747"/>
        <item x="930"/>
        <item x="910"/>
        <item x="957"/>
        <item x="683"/>
        <item x="722"/>
        <item x="904"/>
        <item x="830"/>
        <item x="764"/>
        <item x="645"/>
        <item x="692"/>
        <item x="860"/>
        <item x="742"/>
        <item x="663"/>
        <item x="662"/>
        <item x="743"/>
        <item x="590"/>
        <item x="599"/>
        <item x="702"/>
        <item x="660"/>
        <item x="710"/>
        <item x="854"/>
        <item x="1001"/>
        <item x="684"/>
        <item x="589"/>
        <item x="641"/>
        <item x="945"/>
        <item x="777"/>
        <item x="931"/>
        <item x="894"/>
        <item x="1002"/>
        <item x="782"/>
        <item x="1003"/>
        <item x="685"/>
        <item x="824"/>
        <item x="670"/>
        <item x="630"/>
        <item x="1000"/>
        <item x="963"/>
        <item x="921"/>
        <item x="1005"/>
        <item x="935"/>
        <item x="924"/>
        <item x="606"/>
        <item x="812"/>
        <item x="905"/>
        <item x="640"/>
        <item x="925"/>
        <item x="953"/>
        <item x="610"/>
        <item x="918"/>
        <item x="575"/>
        <item x="826"/>
        <item x="954"/>
        <item x="1006"/>
        <item x="708"/>
        <item x="587"/>
        <item x="712"/>
        <item x="1048"/>
        <item x="928"/>
        <item x="892"/>
        <item x="676"/>
        <item x="829"/>
        <item x="588"/>
        <item x="1004"/>
        <item x="828"/>
        <item x="721"/>
        <item x="852"/>
        <item x="1007"/>
        <item x="857"/>
        <item x="1040"/>
        <item x="667"/>
        <item x="591"/>
        <item x="941"/>
        <item x="693"/>
        <item x="885"/>
        <item x="969"/>
        <item x="1034"/>
        <item x="652"/>
        <item x="686"/>
        <item x="631"/>
        <item x="1010"/>
        <item x="772"/>
        <item x="922"/>
        <item x="774"/>
        <item x="1009"/>
        <item x="1011"/>
        <item x="595"/>
        <item x="594"/>
        <item x="608"/>
        <item x="986"/>
        <item x="597"/>
        <item x="966"/>
        <item x="786"/>
        <item x="911"/>
        <item x="657"/>
        <item x="919"/>
        <item x="766"/>
        <item x="998"/>
        <item x="672"/>
        <item x="841"/>
        <item x="1041"/>
        <item x="656"/>
        <item x="1014"/>
        <item x="964"/>
        <item x="654"/>
        <item x="1053"/>
        <item x="687"/>
        <item x="720"/>
        <item x="605"/>
        <item x="1026"/>
        <item x="1031"/>
        <item x="891"/>
        <item x="741"/>
        <item x="609"/>
        <item x="856"/>
        <item x="707"/>
        <item x="727"/>
        <item x="913"/>
        <item x="1013"/>
        <item x="1012"/>
        <item x="1054"/>
        <item x="1027"/>
        <item x="735"/>
        <item x="578"/>
        <item x="622"/>
        <item x="653"/>
        <item x="592"/>
        <item x="1030"/>
        <item x="675"/>
        <item x="1025"/>
        <item x="889"/>
        <item x="769"/>
        <item x="929"/>
        <item x="797"/>
        <item x="1029"/>
        <item x="668"/>
        <item x="1033"/>
        <item x="1035"/>
        <item x="835"/>
        <item x="673"/>
        <item x="1049"/>
        <item x="1045"/>
        <item x="939"/>
        <item x="573"/>
        <item x="1061"/>
        <item x="1032"/>
        <item x="644"/>
        <item x="996"/>
        <item x="775"/>
        <item x="926"/>
        <item x="920"/>
        <item x="647"/>
        <item x="1044"/>
        <item x="962"/>
        <item x="1060"/>
        <item x="907"/>
        <item x="1042"/>
        <item x="635"/>
        <item x="682"/>
        <item x="717"/>
        <item x="791"/>
        <item x="1052"/>
        <item x="1036"/>
        <item x="1043"/>
        <item x="789"/>
        <item x="576"/>
        <item x="795"/>
        <item x="946"/>
        <item x="680"/>
        <item x="938"/>
        <item x="1058"/>
        <item x="833"/>
        <item x="1062"/>
        <item x="1059"/>
        <item x="1063"/>
        <item x="1055"/>
        <item x="679"/>
        <item x="705"/>
        <item x="613"/>
        <item x="1024"/>
        <item x="1051"/>
        <item x="1008"/>
        <item x="1057"/>
        <item x="903"/>
        <item x="1039"/>
        <item x="1056"/>
        <item x="1038"/>
        <item x="1047"/>
        <item x="1037"/>
        <item x="1046"/>
        <item x="779"/>
        <item x="778"/>
        <item x="783"/>
        <item x="726"/>
        <item t="default"/>
      </items>
    </pivotField>
    <pivotField compact="0" outline="0" showAll="0"/>
    <pivotField axis="axisRow" compact="0" outline="0" multipleItemSelectionAllowed="1" showAll="0">
      <items count="11">
        <item x="2"/>
        <item m="1" x="9"/>
        <item x="1"/>
        <item m="1" x="6"/>
        <item m="1" x="8"/>
        <item m="1" x="7"/>
        <item m="1" x="5"/>
        <item x="0"/>
        <item m="1" x="4"/>
        <item h="1" m="1" x="3"/>
        <item t="default"/>
      </items>
    </pivotField>
    <pivotField compact="0" outline="0" showAll="0"/>
    <pivotField compact="0" outline="0" showAll="0"/>
    <pivotField compact="0" outline="0" showAll="0"/>
    <pivotField axis="axisPage" compact="0" outline="0" multipleItemSelectionAllowed="1" showAll="0">
      <items count="14">
        <item x="11"/>
        <item x="9"/>
        <item x="8"/>
        <item x="10"/>
        <item x="4"/>
        <item x="3"/>
        <item x="1"/>
        <item x="12"/>
        <item x="7"/>
        <item x="6"/>
        <item x="2"/>
        <item x="5"/>
        <item h="1" x="0"/>
        <item t="default"/>
      </items>
    </pivotField>
    <pivotField axis="axisRow" compact="0" outline="0" multipleItemSelectionAllowed="1" showAll="0" defaultSubtotal="0">
      <items count="11">
        <item h="1" x="5"/>
        <item h="1" x="4"/>
        <item h="1" x="2"/>
        <item h="1" x="6"/>
        <item h="1" x="1"/>
        <item x="3"/>
        <item x="7"/>
        <item x="8"/>
        <item x="10"/>
        <item x="9"/>
        <item h="1" x="0"/>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3">
    <field x="26"/>
    <field x="21"/>
    <field x="7"/>
  </rowFields>
  <rowItems count="14">
    <i>
      <x v="5"/>
      <x/>
      <x v="3"/>
    </i>
    <i r="2">
      <x v="10"/>
    </i>
    <i r="2">
      <x v="16"/>
    </i>
    <i t="default" r="1">
      <x/>
    </i>
    <i r="1">
      <x v="2"/>
      <x v="16"/>
    </i>
    <i t="default" r="1">
      <x v="2"/>
    </i>
    <i>
      <x v="6"/>
      <x/>
      <x v="3"/>
    </i>
    <i r="2">
      <x v="10"/>
    </i>
    <i t="default" r="1">
      <x/>
    </i>
    <i>
      <x v="7"/>
      <x/>
      <x v="3"/>
    </i>
    <i t="default" r="1">
      <x/>
    </i>
    <i>
      <x v="9"/>
      <x/>
      <x v="3"/>
    </i>
    <i t="default" r="1">
      <x/>
    </i>
    <i t="grand">
      <x/>
    </i>
  </rowItems>
  <colFields count="1">
    <field x="-2"/>
  </colFields>
  <colItems count="3">
    <i>
      <x/>
    </i>
    <i i="1">
      <x v="1"/>
    </i>
    <i i="2">
      <x v="2"/>
    </i>
  </colItems>
  <pageFields count="2">
    <pageField fld="19" hier="-1"/>
    <pageField fld="25" hier="-1"/>
  </pageFields>
  <dataFields count="3">
    <dataField name="Count of Pengelola" fld="1" subtotal="count" baseField="0" baseItem="0"/>
    <dataField name="Sum of Rev Sewa (1 Thn)" fld="14" baseField="7" baseItem="3" numFmtId="169"/>
    <dataField name="Sum of Biaya Sewa (1 Thn)" fld="17" baseField="7" baseItem="3" numFmtId="166"/>
  </dataFields>
  <formats count="11">
    <format dxfId="150">
      <pivotArea outline="0" fieldPosition="0">
        <references count="2">
          <reference field="21" count="1" selected="0" defaultSubtotal="1">
            <x v="0"/>
          </reference>
          <reference field="26" count="1" selected="0">
            <x v="4"/>
          </reference>
        </references>
      </pivotArea>
    </format>
    <format dxfId="149">
      <pivotArea dataOnly="0" labelOnly="1" outline="0" fieldPosition="0">
        <references count="2">
          <reference field="21" count="1" defaultSubtotal="1">
            <x v="0"/>
          </reference>
          <reference field="26" count="1" selected="0">
            <x v="4"/>
          </reference>
        </references>
      </pivotArea>
    </format>
    <format dxfId="148">
      <pivotArea dataOnly="0" outline="0" fieldPosition="0">
        <references count="1">
          <reference field="21" count="0" defaultSubtotal="1"/>
        </references>
      </pivotArea>
    </format>
    <format dxfId="147">
      <pivotArea field="26" type="button" dataOnly="0" labelOnly="1" outline="0" axis="axisRow" fieldPosition="0"/>
    </format>
    <format dxfId="146">
      <pivotArea dataOnly="0" labelOnly="1" outline="0" fieldPosition="0">
        <references count="1">
          <reference field="26" count="5">
            <x v="4"/>
            <x v="5"/>
            <x v="6"/>
            <x v="7"/>
            <x v="9"/>
          </reference>
        </references>
      </pivotArea>
    </format>
    <format dxfId="145">
      <pivotArea dataOnly="0" labelOnly="1" grandRow="1" outline="0" fieldPosition="0"/>
    </format>
    <format dxfId="144">
      <pivotArea field="26" type="button" dataOnly="0" labelOnly="1" outline="0" axis="axisRow" fieldPosition="0"/>
    </format>
    <format dxfId="143">
      <pivotArea dataOnly="0" labelOnly="1" outline="0" fieldPosition="0">
        <references count="1">
          <reference field="26" count="5">
            <x v="4"/>
            <x v="5"/>
            <x v="6"/>
            <x v="7"/>
            <x v="9"/>
          </reference>
        </references>
      </pivotArea>
    </format>
    <format dxfId="142">
      <pivotArea dataOnly="0" labelOnly="1" grandRow="1" outline="0" fieldPosition="0"/>
    </format>
    <format dxfId="141">
      <pivotArea outline="0" fieldPosition="0">
        <references count="1">
          <reference field="4294967294" count="1" selected="0">
            <x v="1"/>
          </reference>
        </references>
      </pivotArea>
    </format>
    <format dxfId="140">
      <pivotArea outline="0"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4BECF7-5364-4D84-ADE9-94930B1A5609}" name="PivotTable1" cacheId="0" applyNumberFormats="0" applyBorderFormats="0" applyFontFormats="0" applyPatternFormats="0" applyAlignmentFormats="0" applyWidthHeightFormats="1" dataCaption="Nilai" updatedVersion="8" minRefreshableVersion="3" useAutoFormatting="1" itemPrintTitles="1" createdVersion="6" indent="0" compact="0" compactData="0" multipleFieldFilters="0">
  <location ref="A3:G50" firstHeaderRow="1" firstDataRow="2" firstDataCol="2" rowPageCount="1" colPageCount="1"/>
  <pivotFields count="42">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26">
        <item m="1" x="9"/>
        <item m="1" x="17"/>
        <item m="1" x="22"/>
        <item x="1"/>
        <item x="3"/>
        <item m="1" x="23"/>
        <item m="1" x="12"/>
        <item m="1" x="7"/>
        <item m="1" x="24"/>
        <item m="1" x="19"/>
        <item x="2"/>
        <item x="4"/>
        <item m="1" x="18"/>
        <item m="1" x="14"/>
        <item m="1" x="21"/>
        <item m="1" x="20"/>
        <item x="0"/>
        <item m="1" x="13"/>
        <item m="1" x="10"/>
        <item m="1" x="16"/>
        <item m="1" x="8"/>
        <item x="5"/>
        <item m="1" x="15"/>
        <item m="1" x="11"/>
        <item m="1"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items count="555">
        <item x="202"/>
        <item x="503"/>
        <item x="279"/>
        <item x="506"/>
        <item x="523"/>
        <item x="459"/>
        <item x="99"/>
        <item x="330"/>
        <item x="115"/>
        <item x="432"/>
        <item x="360"/>
        <item x="42"/>
        <item x="369"/>
        <item x="420"/>
        <item x="142"/>
        <item x="53"/>
        <item x="348"/>
        <item x="350"/>
        <item x="8"/>
        <item x="141"/>
        <item x="187"/>
        <item x="354"/>
        <item x="174"/>
        <item x="172"/>
        <item x="489"/>
        <item x="311"/>
        <item x="298"/>
        <item x="59"/>
        <item x="376"/>
        <item x="526"/>
        <item x="20"/>
        <item x="302"/>
        <item x="120"/>
        <item x="477"/>
        <item x="368"/>
        <item x="28"/>
        <item x="367"/>
        <item x="277"/>
        <item x="233"/>
        <item x="308"/>
        <item x="312"/>
        <item x="468"/>
        <item x="498"/>
        <item x="411"/>
        <item x="343"/>
        <item x="241"/>
        <item x="124"/>
        <item x="491"/>
        <item x="264"/>
        <item x="48"/>
        <item x="273"/>
        <item x="158"/>
        <item x="51"/>
        <item x="140"/>
        <item x="216"/>
        <item x="314"/>
        <item x="371"/>
        <item x="310"/>
        <item x="428"/>
        <item x="218"/>
        <item x="372"/>
        <item x="5"/>
        <item x="30"/>
        <item x="363"/>
        <item x="211"/>
        <item x="43"/>
        <item x="52"/>
        <item x="403"/>
        <item x="89"/>
        <item x="359"/>
        <item x="335"/>
        <item x="152"/>
        <item x="39"/>
        <item x="66"/>
        <item x="294"/>
        <item x="522"/>
        <item x="427"/>
        <item x="333"/>
        <item x="4"/>
        <item x="183"/>
        <item x="504"/>
        <item x="300"/>
        <item x="309"/>
        <item x="419"/>
        <item x="357"/>
        <item x="342"/>
        <item x="31"/>
        <item x="353"/>
        <item x="238"/>
        <item x="190"/>
        <item x="11"/>
        <item x="132"/>
        <item x="143"/>
        <item x="1"/>
        <item x="542"/>
        <item x="7"/>
        <item x="325"/>
        <item x="100"/>
        <item x="441"/>
        <item x="394"/>
        <item x="26"/>
        <item x="25"/>
        <item x="207"/>
        <item x="232"/>
        <item x="509"/>
        <item x="501"/>
        <item x="32"/>
        <item x="364"/>
        <item x="244"/>
        <item x="366"/>
        <item x="448"/>
        <item x="69"/>
        <item x="46"/>
        <item x="304"/>
        <item x="34"/>
        <item x="165"/>
        <item x="541"/>
        <item x="546"/>
        <item x="149"/>
        <item x="439"/>
        <item x="553"/>
        <item x="177"/>
        <item x="365"/>
        <item x="295"/>
        <item x="16"/>
        <item x="331"/>
        <item x="68"/>
        <item x="260"/>
        <item x="125"/>
        <item x="341"/>
        <item x="75"/>
        <item x="180"/>
        <item x="548"/>
        <item x="339"/>
        <item x="375"/>
        <item x="259"/>
        <item x="390"/>
        <item x="356"/>
        <item x="263"/>
        <item x="430"/>
        <item x="91"/>
        <item x="346"/>
        <item x="78"/>
        <item x="361"/>
        <item x="384"/>
        <item x="547"/>
        <item x="228"/>
        <item x="229"/>
        <item x="163"/>
        <item x="493"/>
        <item x="102"/>
        <item x="117"/>
        <item x="370"/>
        <item x="63"/>
        <item x="440"/>
        <item x="268"/>
        <item x="395"/>
        <item x="227"/>
        <item x="208"/>
        <item x="114"/>
        <item x="316"/>
        <item x="67"/>
        <item x="401"/>
        <item x="201"/>
        <item x="153"/>
        <item x="438"/>
        <item x="276"/>
        <item x="352"/>
        <item x="502"/>
        <item x="538"/>
        <item x="251"/>
        <item x="70"/>
        <item x="9"/>
        <item x="253"/>
        <item x="505"/>
        <item x="252"/>
        <item x="355"/>
        <item x="83"/>
        <item x="284"/>
        <item x="382"/>
        <item x="18"/>
        <item x="293"/>
        <item x="138"/>
        <item x="518"/>
        <item x="166"/>
        <item x="105"/>
        <item x="50"/>
        <item x="240"/>
        <item x="186"/>
        <item x="33"/>
        <item x="64"/>
        <item x="29"/>
        <item x="275"/>
        <item x="307"/>
        <item x="535"/>
        <item x="245"/>
        <item x="519"/>
        <item x="119"/>
        <item x="265"/>
        <item x="181"/>
        <item x="517"/>
        <item x="511"/>
        <item x="176"/>
        <item x="408"/>
        <item x="155"/>
        <item x="184"/>
        <item x="266"/>
        <item x="15"/>
        <item x="40"/>
        <item x="396"/>
        <item x="409"/>
        <item x="410"/>
        <item x="118"/>
        <item x="402"/>
        <item x="77"/>
        <item x="433"/>
        <item x="488"/>
        <item x="226"/>
        <item x="36"/>
        <item x="257"/>
        <item x="136"/>
        <item x="291"/>
        <item x="192"/>
        <item x="246"/>
        <item x="197"/>
        <item x="156"/>
        <item x="27"/>
        <item x="203"/>
        <item x="17"/>
        <item x="458"/>
        <item x="214"/>
        <item x="387"/>
        <item x="255"/>
        <item x="313"/>
        <item x="374"/>
        <item x="529"/>
        <item x="12"/>
        <item x="435"/>
        <item x="321"/>
        <item x="56"/>
        <item x="131"/>
        <item x="514"/>
        <item x="521"/>
        <item x="13"/>
        <item x="182"/>
        <item x="109"/>
        <item x="543"/>
        <item x="193"/>
        <item x="530"/>
        <item x="345"/>
        <item x="285"/>
        <item x="377"/>
        <item x="429"/>
        <item x="98"/>
        <item x="249"/>
        <item x="451"/>
        <item x="336"/>
        <item x="525"/>
        <item x="329"/>
        <item x="289"/>
        <item x="381"/>
        <item x="495"/>
        <item x="45"/>
        <item x="545"/>
        <item x="400"/>
        <item x="243"/>
        <item x="423"/>
        <item x="324"/>
        <item x="483"/>
        <item x="80"/>
        <item x="74"/>
        <item x="87"/>
        <item x="14"/>
        <item x="344"/>
        <item x="358"/>
        <item x="280"/>
        <item x="144"/>
        <item x="290"/>
        <item x="317"/>
        <item x="486"/>
        <item x="189"/>
        <item x="301"/>
        <item x="167"/>
        <item x="494"/>
        <item x="539"/>
        <item x="261"/>
        <item x="54"/>
        <item x="431"/>
        <item x="170"/>
        <item x="6"/>
        <item x="248"/>
        <item x="256"/>
        <item x="10"/>
        <item x="55"/>
        <item x="380"/>
        <item x="351"/>
        <item x="460"/>
        <item x="62"/>
        <item x="315"/>
        <item x="389"/>
        <item x="454"/>
        <item x="22"/>
        <item x="286"/>
        <item x="378"/>
        <item x="318"/>
        <item x="133"/>
        <item x="94"/>
        <item x="93"/>
        <item x="520"/>
        <item x="41"/>
        <item x="169"/>
        <item x="457"/>
        <item x="287"/>
        <item x="210"/>
        <item x="422"/>
        <item x="373"/>
        <item x="135"/>
        <item x="456"/>
        <item x="82"/>
        <item x="426"/>
        <item x="551"/>
        <item x="217"/>
        <item x="445"/>
        <item x="204"/>
        <item x="200"/>
        <item x="258"/>
        <item x="332"/>
        <item x="106"/>
        <item x="171"/>
        <item x="101"/>
        <item x="122"/>
        <item x="398"/>
        <item x="436"/>
        <item x="319"/>
        <item x="516"/>
        <item x="231"/>
        <item x="379"/>
        <item x="415"/>
        <item x="442"/>
        <item x="35"/>
        <item x="129"/>
        <item x="194"/>
        <item x="397"/>
        <item x="386"/>
        <item x="385"/>
        <item x="92"/>
        <item x="173"/>
        <item x="49"/>
        <item x="484"/>
        <item x="334"/>
        <item x="175"/>
        <item x="463"/>
        <item x="222"/>
        <item x="532"/>
        <item x="3"/>
        <item x="79"/>
        <item x="188"/>
        <item x="81"/>
        <item x="338"/>
        <item x="147"/>
        <item x="65"/>
        <item x="146"/>
        <item x="127"/>
        <item x="424"/>
        <item x="262"/>
        <item x="126"/>
        <item x="322"/>
        <item x="57"/>
        <item x="418"/>
        <item x="492"/>
        <item x="178"/>
        <item x="88"/>
        <item x="362"/>
        <item x="552"/>
        <item x="21"/>
        <item x="388"/>
        <item x="270"/>
        <item x="278"/>
        <item x="151"/>
        <item x="544"/>
        <item x="496"/>
        <item x="487"/>
        <item x="299"/>
        <item x="481"/>
        <item x="195"/>
        <item x="480"/>
        <item x="61"/>
        <item x="437"/>
        <item x="159"/>
        <item x="112"/>
        <item x="215"/>
        <item x="242"/>
        <item x="288"/>
        <item x="44"/>
        <item x="108"/>
        <item x="393"/>
        <item x="2"/>
        <item x="90"/>
        <item x="347"/>
        <item x="128"/>
        <item x="234"/>
        <item x="150"/>
        <item x="269"/>
        <item x="497"/>
        <item x="296"/>
        <item x="407"/>
        <item x="434"/>
        <item x="154"/>
        <item x="416"/>
        <item x="110"/>
        <item x="513"/>
        <item x="113"/>
        <item x="209"/>
        <item x="306"/>
        <item x="107"/>
        <item x="455"/>
        <item x="123"/>
        <item x="137"/>
        <item x="297"/>
        <item x="213"/>
        <item x="485"/>
        <item x="340"/>
        <item x="450"/>
        <item x="537"/>
        <item x="282"/>
        <item x="76"/>
        <item x="482"/>
        <item x="303"/>
        <item x="95"/>
        <item x="470"/>
        <item x="212"/>
        <item x="349"/>
        <item x="271"/>
        <item x="85"/>
        <item x="461"/>
        <item x="220"/>
        <item x="103"/>
        <item x="161"/>
        <item x="467"/>
        <item x="476"/>
        <item x="412"/>
        <item x="444"/>
        <item x="96"/>
        <item x="37"/>
        <item x="399"/>
        <item x="267"/>
        <item x="453"/>
        <item x="239"/>
        <item x="473"/>
        <item x="86"/>
        <item x="71"/>
        <item x="24"/>
        <item x="23"/>
        <item x="104"/>
        <item x="452"/>
        <item x="478"/>
        <item x="507"/>
        <item x="449"/>
        <item x="224"/>
        <item x="515"/>
        <item x="206"/>
        <item x="111"/>
        <item x="157"/>
        <item x="531"/>
        <item x="219"/>
        <item x="145"/>
        <item x="474"/>
        <item x="425"/>
        <item x="475"/>
        <item x="524"/>
        <item x="512"/>
        <item x="323"/>
        <item x="168"/>
        <item x="236"/>
        <item x="533"/>
        <item x="196"/>
        <item x="510"/>
        <item x="472"/>
        <item x="328"/>
        <item x="121"/>
        <item x="160"/>
        <item x="462"/>
        <item x="139"/>
        <item x="247"/>
        <item x="272"/>
        <item x="198"/>
        <item x="19"/>
        <item x="479"/>
        <item x="490"/>
        <item x="237"/>
        <item x="508"/>
        <item x="549"/>
        <item x="205"/>
        <item x="392"/>
        <item x="254"/>
        <item x="383"/>
        <item x="47"/>
        <item x="225"/>
        <item x="230"/>
        <item x="73"/>
        <item x="337"/>
        <item x="164"/>
        <item x="235"/>
        <item x="38"/>
        <item x="199"/>
        <item x="320"/>
        <item x="134"/>
        <item x="162"/>
        <item x="465"/>
        <item x="97"/>
        <item x="305"/>
        <item x="274"/>
        <item x="446"/>
        <item x="421"/>
        <item x="499"/>
        <item x="191"/>
        <item x="540"/>
        <item x="534"/>
        <item x="250"/>
        <item x="185"/>
        <item x="283"/>
        <item x="404"/>
        <item x="391"/>
        <item x="281"/>
        <item x="500"/>
        <item x="116"/>
        <item x="550"/>
        <item x="464"/>
        <item x="327"/>
        <item x="84"/>
        <item x="528"/>
        <item x="405"/>
        <item x="443"/>
        <item x="223"/>
        <item x="466"/>
        <item x="536"/>
        <item x="471"/>
        <item x="58"/>
        <item x="221"/>
        <item x="413"/>
        <item x="0"/>
        <item x="179"/>
        <item x="447"/>
        <item x="406"/>
        <item x="469"/>
        <item x="326"/>
        <item x="527"/>
        <item x="414"/>
        <item x="130"/>
        <item x="72"/>
        <item x="417"/>
        <item x="292"/>
        <item x="148"/>
        <item x="60"/>
        <item t="default"/>
      </items>
    </pivotField>
    <pivotField compact="0" outline="0" showAll="0"/>
    <pivotField compact="0" outline="0" showAll="0"/>
    <pivotField compact="0" outline="0" showAll="0"/>
    <pivotField axis="axisPage" compact="0" outline="0" showAll="0">
      <items count="11">
        <item x="2"/>
        <item m="1" x="9"/>
        <item h="1" x="1"/>
        <item m="1" x="6"/>
        <item m="1" x="8"/>
        <item m="1" x="7"/>
        <item m="1" x="5"/>
        <item h="1" x="0"/>
        <item m="1" x="4"/>
        <item m="1" x="3"/>
        <item t="default"/>
      </items>
    </pivotField>
    <pivotField compact="0" outline="0" showAll="0"/>
    <pivotField compact="0" outline="0" showAll="0"/>
    <pivotField compact="0" outline="0" showAll="0"/>
    <pivotField axis="axisRow" compact="0" outline="0" showAll="0">
      <items count="14">
        <item x="11"/>
        <item x="9"/>
        <item x="8"/>
        <item x="10"/>
        <item x="4"/>
        <item x="3"/>
        <item x="1"/>
        <item x="12"/>
        <item x="7"/>
        <item x="6"/>
        <item x="2"/>
        <item x="5"/>
        <item x="0"/>
        <item t="default"/>
      </items>
    </pivotField>
    <pivotField axis="axisRow" compact="0" outline="0" showAll="0">
      <items count="12">
        <item x="5"/>
        <item x="4"/>
        <item x="2"/>
        <item x="6"/>
        <item x="1"/>
        <item x="3"/>
        <item x="7"/>
        <item x="8"/>
        <item x="10"/>
        <item x="9"/>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2">
    <field x="26"/>
    <field x="25"/>
  </rowFields>
  <rowItems count="46">
    <i>
      <x v="4"/>
      <x/>
    </i>
    <i r="1">
      <x v="1"/>
    </i>
    <i r="1">
      <x v="2"/>
    </i>
    <i r="1">
      <x v="3"/>
    </i>
    <i r="1">
      <x v="4"/>
    </i>
    <i r="1">
      <x v="5"/>
    </i>
    <i r="1">
      <x v="6"/>
    </i>
    <i r="1">
      <x v="7"/>
    </i>
    <i r="1">
      <x v="8"/>
    </i>
    <i r="1">
      <x v="9"/>
    </i>
    <i r="1">
      <x v="10"/>
    </i>
    <i r="1">
      <x v="11"/>
    </i>
    <i t="default">
      <x v="4"/>
    </i>
    <i>
      <x v="5"/>
      <x/>
    </i>
    <i r="1">
      <x v="1"/>
    </i>
    <i r="1">
      <x v="2"/>
    </i>
    <i r="1">
      <x v="3"/>
    </i>
    <i r="1">
      <x v="4"/>
    </i>
    <i r="1">
      <x v="5"/>
    </i>
    <i r="1">
      <x v="6"/>
    </i>
    <i r="1">
      <x v="7"/>
    </i>
    <i r="1">
      <x v="8"/>
    </i>
    <i r="1">
      <x v="9"/>
    </i>
    <i r="1">
      <x v="10"/>
    </i>
    <i r="1">
      <x v="11"/>
    </i>
    <i t="default">
      <x v="5"/>
    </i>
    <i>
      <x v="6"/>
      <x/>
    </i>
    <i r="1">
      <x v="2"/>
    </i>
    <i r="1">
      <x v="5"/>
    </i>
    <i r="1">
      <x v="6"/>
    </i>
    <i r="1">
      <x v="8"/>
    </i>
    <i r="1">
      <x v="9"/>
    </i>
    <i r="1">
      <x v="11"/>
    </i>
    <i t="default">
      <x v="6"/>
    </i>
    <i>
      <x v="7"/>
      <x v="1"/>
    </i>
    <i r="1">
      <x v="3"/>
    </i>
    <i r="1">
      <x v="5"/>
    </i>
    <i t="default">
      <x v="7"/>
    </i>
    <i>
      <x v="8"/>
      <x v="4"/>
    </i>
    <i r="1">
      <x v="5"/>
    </i>
    <i r="1">
      <x v="7"/>
    </i>
    <i t="default">
      <x v="8"/>
    </i>
    <i>
      <x v="9"/>
      <x v="2"/>
    </i>
    <i r="1">
      <x v="8"/>
    </i>
    <i t="default">
      <x v="9"/>
    </i>
    <i t="grand">
      <x/>
    </i>
  </rowItems>
  <colFields count="1">
    <field x="7"/>
  </colFields>
  <colItems count="5">
    <i>
      <x v="3"/>
    </i>
    <i>
      <x v="10"/>
    </i>
    <i>
      <x v="16"/>
    </i>
    <i>
      <x v="21"/>
    </i>
    <i t="grand">
      <x/>
    </i>
  </colItems>
  <pageFields count="1">
    <pageField fld="21" item="0" hier="-1"/>
  </pageFields>
  <dataFields count="1">
    <dataField name="Jumlah dari Biaya Sewa (1 Thn)(Rp)" fld="17" baseField="0" baseItem="0"/>
  </dataFields>
  <formats count="1">
    <format dxfId="1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893FC4-204D-466B-AB34-B3176ADF3065}" name="PivotTable7"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8">
  <location ref="A3:F11" firstHeaderRow="1" firstDataRow="2" firstDataCol="1"/>
  <pivotFields count="44">
    <pivotField compact="0" outline="0" showAll="0"/>
    <pivotField compact="0" outline="0" showAll="0"/>
    <pivotField compact="0" outline="0" showAll="0"/>
    <pivotField compact="0" outline="0" showAll="0"/>
    <pivotField axis="axisRow" dataField="1" compact="0" outline="0" showAll="0">
      <items count="7">
        <item x="4"/>
        <item x="3"/>
        <item x="0"/>
        <item x="1"/>
        <item x="2"/>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1"/>
        <item x="2"/>
        <item x="0"/>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4"/>
  </rowFields>
  <rowItems count="7">
    <i>
      <x/>
    </i>
    <i>
      <x v="1"/>
    </i>
    <i>
      <x v="2"/>
    </i>
    <i>
      <x v="3"/>
    </i>
    <i>
      <x v="4"/>
    </i>
    <i>
      <x v="5"/>
    </i>
    <i t="grand">
      <x/>
    </i>
  </rowItems>
  <colFields count="1">
    <field x="22"/>
  </colFields>
  <colItems count="5">
    <i>
      <x/>
    </i>
    <i>
      <x v="1"/>
    </i>
    <i>
      <x v="2"/>
    </i>
    <i>
      <x v="3"/>
    </i>
    <i t="grand">
      <x/>
    </i>
  </colItems>
  <dataFields count="1">
    <dataField name="Count of Monitoring Perpanjangan Sewa/Kontrak" fld="4" subtotal="count" baseField="0" baseItem="0"/>
  </dataFields>
  <formats count="9">
    <format dxfId="33">
      <pivotArea field="4" type="button" dataOnly="0" labelOnly="1" outline="0" axis="axisRow" fieldPosition="0"/>
    </format>
    <format dxfId="32">
      <pivotArea dataOnly="0" labelOnly="1" outline="0" fieldPosition="0">
        <references count="1">
          <reference field="22" count="0"/>
        </references>
      </pivotArea>
    </format>
    <format dxfId="31">
      <pivotArea dataOnly="0" labelOnly="1" grandCol="1" outline="0" fieldPosition="0"/>
    </format>
    <format dxfId="30">
      <pivotArea outline="0" collapsedLevelsAreSubtotals="1" fieldPosition="0"/>
    </format>
    <format dxfId="29">
      <pivotArea field="4" type="button" dataOnly="0" labelOnly="1" outline="0" axis="axisRow" fieldPosition="0"/>
    </format>
    <format dxfId="28">
      <pivotArea dataOnly="0" labelOnly="1" outline="0" fieldPosition="0">
        <references count="1">
          <reference field="4" count="0"/>
        </references>
      </pivotArea>
    </format>
    <format dxfId="27">
      <pivotArea dataOnly="0" labelOnly="1" grandRow="1" outline="0" fieldPosition="0"/>
    </format>
    <format dxfId="26">
      <pivotArea dataOnly="0" labelOnly="1" outline="0" fieldPosition="0">
        <references count="1">
          <reference field="22" count="0"/>
        </references>
      </pivotArea>
    </format>
    <format dxfId="25">
      <pivotArea dataOnly="0" labelOnly="1" grandCol="1" outline="0" fieldPosition="0"/>
    </format>
  </formats>
  <chartFormats count="60">
    <chartFormat chart="3" format="0" series="1">
      <pivotArea type="data" outline="0" fieldPosition="0">
        <references count="2">
          <reference field="4294967294" count="1" selected="0">
            <x v="0"/>
          </reference>
          <reference field="22" count="1" selected="0">
            <x v="0"/>
          </reference>
        </references>
      </pivotArea>
    </chartFormat>
    <chartFormat chart="3" format="1" series="1">
      <pivotArea type="data" outline="0" fieldPosition="0">
        <references count="2">
          <reference field="4294967294" count="1" selected="0">
            <x v="0"/>
          </reference>
          <reference field="22" count="1" selected="0">
            <x v="1"/>
          </reference>
        </references>
      </pivotArea>
    </chartFormat>
    <chartFormat chart="3" format="2" series="1">
      <pivotArea type="data" outline="0" fieldPosition="0">
        <references count="2">
          <reference field="4294967294" count="1" selected="0">
            <x v="0"/>
          </reference>
          <reference field="22" count="1" selected="0">
            <x v="2"/>
          </reference>
        </references>
      </pivotArea>
    </chartFormat>
    <chartFormat chart="3" format="3" series="1">
      <pivotArea type="data" outline="0" fieldPosition="0">
        <references count="2">
          <reference field="4294967294" count="1" selected="0">
            <x v="0"/>
          </reference>
          <reference field="22" count="1" selected="0">
            <x v="3"/>
          </reference>
        </references>
      </pivotArea>
    </chartFormat>
    <chartFormat chart="4" format="4" series="1">
      <pivotArea type="data" outline="0" fieldPosition="0">
        <references count="2">
          <reference field="4294967294" count="1" selected="0">
            <x v="0"/>
          </reference>
          <reference field="22" count="1" selected="0">
            <x v="0"/>
          </reference>
        </references>
      </pivotArea>
    </chartFormat>
    <chartFormat chart="4" format="5" series="1">
      <pivotArea type="data" outline="0" fieldPosition="0">
        <references count="2">
          <reference field="4294967294" count="1" selected="0">
            <x v="0"/>
          </reference>
          <reference field="22" count="1" selected="0">
            <x v="1"/>
          </reference>
        </references>
      </pivotArea>
    </chartFormat>
    <chartFormat chart="4" format="6" series="1">
      <pivotArea type="data" outline="0" fieldPosition="0">
        <references count="2">
          <reference field="4294967294" count="1" selected="0">
            <x v="0"/>
          </reference>
          <reference field="22" count="1" selected="0">
            <x v="2"/>
          </reference>
        </references>
      </pivotArea>
    </chartFormat>
    <chartFormat chart="4" format="7" series="1">
      <pivotArea type="data" outline="0" fieldPosition="0">
        <references count="2">
          <reference field="4294967294" count="1" selected="0">
            <x v="0"/>
          </reference>
          <reference field="22" count="1" selected="0">
            <x v="3"/>
          </reference>
        </references>
      </pivotArea>
    </chartFormat>
    <chartFormat chart="5" format="8" series="1">
      <pivotArea type="data" outline="0" fieldPosition="0">
        <references count="2">
          <reference field="4294967294" count="1" selected="0">
            <x v="0"/>
          </reference>
          <reference field="22" count="1" selected="0">
            <x v="0"/>
          </reference>
        </references>
      </pivotArea>
    </chartFormat>
    <chartFormat chart="5" format="9" series="1">
      <pivotArea type="data" outline="0" fieldPosition="0">
        <references count="2">
          <reference field="4294967294" count="1" selected="0">
            <x v="0"/>
          </reference>
          <reference field="22" count="1" selected="0">
            <x v="1"/>
          </reference>
        </references>
      </pivotArea>
    </chartFormat>
    <chartFormat chart="5" format="10" series="1">
      <pivotArea type="data" outline="0" fieldPosition="0">
        <references count="2">
          <reference field="4294967294" count="1" selected="0">
            <x v="0"/>
          </reference>
          <reference field="22" count="1" selected="0">
            <x v="2"/>
          </reference>
        </references>
      </pivotArea>
    </chartFormat>
    <chartFormat chart="5" format="11" series="1">
      <pivotArea type="data" outline="0" fieldPosition="0">
        <references count="2">
          <reference field="4294967294" count="1" selected="0">
            <x v="0"/>
          </reference>
          <reference field="22" count="1" selected="0">
            <x v="3"/>
          </reference>
        </references>
      </pivotArea>
    </chartFormat>
    <chartFormat chart="6" format="4" series="1">
      <pivotArea type="data" outline="0" fieldPosition="0">
        <references count="2">
          <reference field="4294967294" count="1" selected="0">
            <x v="0"/>
          </reference>
          <reference field="22" count="1" selected="0">
            <x v="0"/>
          </reference>
        </references>
      </pivotArea>
    </chartFormat>
    <chartFormat chart="6" format="5" series="1">
      <pivotArea type="data" outline="0" fieldPosition="0">
        <references count="2">
          <reference field="4294967294" count="1" selected="0">
            <x v="0"/>
          </reference>
          <reference field="22" count="1" selected="0">
            <x v="1"/>
          </reference>
        </references>
      </pivotArea>
    </chartFormat>
    <chartFormat chart="6" format="6" series="1">
      <pivotArea type="data" outline="0" fieldPosition="0">
        <references count="2">
          <reference field="4294967294" count="1" selected="0">
            <x v="0"/>
          </reference>
          <reference field="22" count="1" selected="0">
            <x v="2"/>
          </reference>
        </references>
      </pivotArea>
    </chartFormat>
    <chartFormat chart="6" format="7" series="1">
      <pivotArea type="data" outline="0" fieldPosition="0">
        <references count="2">
          <reference field="4294967294" count="1" selected="0">
            <x v="0"/>
          </reference>
          <reference field="22" count="1" selected="0">
            <x v="3"/>
          </reference>
        </references>
      </pivotArea>
    </chartFormat>
    <chartFormat chart="7" format="8" series="1">
      <pivotArea type="data" outline="0" fieldPosition="0">
        <references count="2">
          <reference field="4294967294" count="1" selected="0">
            <x v="0"/>
          </reference>
          <reference field="22" count="1" selected="0">
            <x v="0"/>
          </reference>
        </references>
      </pivotArea>
    </chartFormat>
    <chartFormat chart="7" format="9" series="1">
      <pivotArea type="data" outline="0" fieldPosition="0">
        <references count="2">
          <reference field="4294967294" count="1" selected="0">
            <x v="0"/>
          </reference>
          <reference field="22" count="1" selected="0">
            <x v="1"/>
          </reference>
        </references>
      </pivotArea>
    </chartFormat>
    <chartFormat chart="7" format="10" series="1">
      <pivotArea type="data" outline="0" fieldPosition="0">
        <references count="2">
          <reference field="4294967294" count="1" selected="0">
            <x v="0"/>
          </reference>
          <reference field="22" count="1" selected="0">
            <x v="2"/>
          </reference>
        </references>
      </pivotArea>
    </chartFormat>
    <chartFormat chart="7" format="11" series="1">
      <pivotArea type="data" outline="0" fieldPosition="0">
        <references count="2">
          <reference field="4294967294" count="1" selected="0">
            <x v="0"/>
          </reference>
          <reference field="22" count="1" selected="0">
            <x v="3"/>
          </reference>
        </references>
      </pivotArea>
    </chartFormat>
    <chartFormat chart="8" format="4" series="1">
      <pivotArea type="data" outline="0" fieldPosition="0">
        <references count="2">
          <reference field="4294967294" count="1" selected="0">
            <x v="0"/>
          </reference>
          <reference field="22" count="1" selected="0">
            <x v="0"/>
          </reference>
        </references>
      </pivotArea>
    </chartFormat>
    <chartFormat chart="8" format="5" series="1">
      <pivotArea type="data" outline="0" fieldPosition="0">
        <references count="2">
          <reference field="4294967294" count="1" selected="0">
            <x v="0"/>
          </reference>
          <reference field="22" count="1" selected="0">
            <x v="1"/>
          </reference>
        </references>
      </pivotArea>
    </chartFormat>
    <chartFormat chart="8" format="6" series="1">
      <pivotArea type="data" outline="0" fieldPosition="0">
        <references count="2">
          <reference field="4294967294" count="1" selected="0">
            <x v="0"/>
          </reference>
          <reference field="22" count="1" selected="0">
            <x v="2"/>
          </reference>
        </references>
      </pivotArea>
    </chartFormat>
    <chartFormat chart="8" format="7" series="1">
      <pivotArea type="data" outline="0" fieldPosition="0">
        <references count="2">
          <reference field="4294967294" count="1" selected="0">
            <x v="0"/>
          </reference>
          <reference field="22" count="1" selected="0">
            <x v="3"/>
          </reference>
        </references>
      </pivotArea>
    </chartFormat>
    <chartFormat chart="9" format="8" series="1">
      <pivotArea type="data" outline="0" fieldPosition="0">
        <references count="2">
          <reference field="4294967294" count="1" selected="0">
            <x v="0"/>
          </reference>
          <reference field="22" count="1" selected="0">
            <x v="0"/>
          </reference>
        </references>
      </pivotArea>
    </chartFormat>
    <chartFormat chart="9" format="9" series="1">
      <pivotArea type="data" outline="0" fieldPosition="0">
        <references count="2">
          <reference field="4294967294" count="1" selected="0">
            <x v="0"/>
          </reference>
          <reference field="22" count="1" selected="0">
            <x v="1"/>
          </reference>
        </references>
      </pivotArea>
    </chartFormat>
    <chartFormat chart="9" format="10" series="1">
      <pivotArea type="data" outline="0" fieldPosition="0">
        <references count="2">
          <reference field="4294967294" count="1" selected="0">
            <x v="0"/>
          </reference>
          <reference field="22" count="1" selected="0">
            <x v="2"/>
          </reference>
        </references>
      </pivotArea>
    </chartFormat>
    <chartFormat chart="9" format="11" series="1">
      <pivotArea type="data" outline="0" fieldPosition="0">
        <references count="2">
          <reference field="4294967294" count="1" selected="0">
            <x v="0"/>
          </reference>
          <reference field="22" count="1" selected="0">
            <x v="3"/>
          </reference>
        </references>
      </pivotArea>
    </chartFormat>
    <chartFormat chart="10" format="4" series="1">
      <pivotArea type="data" outline="0" fieldPosition="0">
        <references count="2">
          <reference field="4294967294" count="1" selected="0">
            <x v="0"/>
          </reference>
          <reference field="22" count="1" selected="0">
            <x v="0"/>
          </reference>
        </references>
      </pivotArea>
    </chartFormat>
    <chartFormat chart="10" format="5" series="1">
      <pivotArea type="data" outline="0" fieldPosition="0">
        <references count="2">
          <reference field="4294967294" count="1" selected="0">
            <x v="0"/>
          </reference>
          <reference field="22" count="1" selected="0">
            <x v="1"/>
          </reference>
        </references>
      </pivotArea>
    </chartFormat>
    <chartFormat chart="10" format="6" series="1">
      <pivotArea type="data" outline="0" fieldPosition="0">
        <references count="2">
          <reference field="4294967294" count="1" selected="0">
            <x v="0"/>
          </reference>
          <reference field="22" count="1" selected="0">
            <x v="2"/>
          </reference>
        </references>
      </pivotArea>
    </chartFormat>
    <chartFormat chart="10" format="7" series="1">
      <pivotArea type="data" outline="0" fieldPosition="0">
        <references count="2">
          <reference field="4294967294" count="1" selected="0">
            <x v="0"/>
          </reference>
          <reference field="22" count="1" selected="0">
            <x v="3"/>
          </reference>
        </references>
      </pivotArea>
    </chartFormat>
    <chartFormat chart="11" format="8" series="1">
      <pivotArea type="data" outline="0" fieldPosition="0">
        <references count="2">
          <reference field="4294967294" count="1" selected="0">
            <x v="0"/>
          </reference>
          <reference field="22" count="1" selected="0">
            <x v="0"/>
          </reference>
        </references>
      </pivotArea>
    </chartFormat>
    <chartFormat chart="11" format="9" series="1">
      <pivotArea type="data" outline="0" fieldPosition="0">
        <references count="2">
          <reference field="4294967294" count="1" selected="0">
            <x v="0"/>
          </reference>
          <reference field="22" count="1" selected="0">
            <x v="1"/>
          </reference>
        </references>
      </pivotArea>
    </chartFormat>
    <chartFormat chart="11" format="10" series="1">
      <pivotArea type="data" outline="0" fieldPosition="0">
        <references count="2">
          <reference field="4294967294" count="1" selected="0">
            <x v="0"/>
          </reference>
          <reference field="22" count="1" selected="0">
            <x v="2"/>
          </reference>
        </references>
      </pivotArea>
    </chartFormat>
    <chartFormat chart="11" format="11" series="1">
      <pivotArea type="data" outline="0" fieldPosition="0">
        <references count="2">
          <reference field="4294967294" count="1" selected="0">
            <x v="0"/>
          </reference>
          <reference field="22" count="1" selected="0">
            <x v="3"/>
          </reference>
        </references>
      </pivotArea>
    </chartFormat>
    <chartFormat chart="12" format="4" series="1">
      <pivotArea type="data" outline="0" fieldPosition="0">
        <references count="2">
          <reference field="4294967294" count="1" selected="0">
            <x v="0"/>
          </reference>
          <reference field="22" count="1" selected="0">
            <x v="0"/>
          </reference>
        </references>
      </pivotArea>
    </chartFormat>
    <chartFormat chart="12" format="5" series="1">
      <pivotArea type="data" outline="0" fieldPosition="0">
        <references count="2">
          <reference field="4294967294" count="1" selected="0">
            <x v="0"/>
          </reference>
          <reference field="22" count="1" selected="0">
            <x v="1"/>
          </reference>
        </references>
      </pivotArea>
    </chartFormat>
    <chartFormat chart="12" format="6" series="1">
      <pivotArea type="data" outline="0" fieldPosition="0">
        <references count="2">
          <reference field="4294967294" count="1" selected="0">
            <x v="0"/>
          </reference>
          <reference field="22" count="1" selected="0">
            <x v="2"/>
          </reference>
        </references>
      </pivotArea>
    </chartFormat>
    <chartFormat chart="12" format="7" series="1">
      <pivotArea type="data" outline="0" fieldPosition="0">
        <references count="2">
          <reference field="4294967294" count="1" selected="0">
            <x v="0"/>
          </reference>
          <reference field="22" count="1" selected="0">
            <x v="3"/>
          </reference>
        </references>
      </pivotArea>
    </chartFormat>
    <chartFormat chart="13" format="8" series="1">
      <pivotArea type="data" outline="0" fieldPosition="0">
        <references count="2">
          <reference field="4294967294" count="1" selected="0">
            <x v="0"/>
          </reference>
          <reference field="22" count="1" selected="0">
            <x v="0"/>
          </reference>
        </references>
      </pivotArea>
    </chartFormat>
    <chartFormat chart="13" format="9" series="1">
      <pivotArea type="data" outline="0" fieldPosition="0">
        <references count="2">
          <reference field="4294967294" count="1" selected="0">
            <x v="0"/>
          </reference>
          <reference field="22" count="1" selected="0">
            <x v="1"/>
          </reference>
        </references>
      </pivotArea>
    </chartFormat>
    <chartFormat chart="13" format="10" series="1">
      <pivotArea type="data" outline="0" fieldPosition="0">
        <references count="2">
          <reference field="4294967294" count="1" selected="0">
            <x v="0"/>
          </reference>
          <reference field="22" count="1" selected="0">
            <x v="2"/>
          </reference>
        </references>
      </pivotArea>
    </chartFormat>
    <chartFormat chart="13" format="11" series="1">
      <pivotArea type="data" outline="0" fieldPosition="0">
        <references count="2">
          <reference field="4294967294" count="1" selected="0">
            <x v="0"/>
          </reference>
          <reference field="22" count="1" selected="0">
            <x v="3"/>
          </reference>
        </references>
      </pivotArea>
    </chartFormat>
    <chartFormat chart="14" format="4" series="1">
      <pivotArea type="data" outline="0" fieldPosition="0">
        <references count="2">
          <reference field="4294967294" count="1" selected="0">
            <x v="0"/>
          </reference>
          <reference field="22" count="1" selected="0">
            <x v="0"/>
          </reference>
        </references>
      </pivotArea>
    </chartFormat>
    <chartFormat chart="14" format="5" series="1">
      <pivotArea type="data" outline="0" fieldPosition="0">
        <references count="2">
          <reference field="4294967294" count="1" selected="0">
            <x v="0"/>
          </reference>
          <reference field="22" count="1" selected="0">
            <x v="1"/>
          </reference>
        </references>
      </pivotArea>
    </chartFormat>
    <chartFormat chart="14" format="6" series="1">
      <pivotArea type="data" outline="0" fieldPosition="0">
        <references count="2">
          <reference field="4294967294" count="1" selected="0">
            <x v="0"/>
          </reference>
          <reference field="22" count="1" selected="0">
            <x v="2"/>
          </reference>
        </references>
      </pivotArea>
    </chartFormat>
    <chartFormat chart="14" format="7" series="1">
      <pivotArea type="data" outline="0" fieldPosition="0">
        <references count="2">
          <reference field="4294967294" count="1" selected="0">
            <x v="0"/>
          </reference>
          <reference field="22" count="1" selected="0">
            <x v="3"/>
          </reference>
        </references>
      </pivotArea>
    </chartFormat>
    <chartFormat chart="15" format="8" series="1">
      <pivotArea type="data" outline="0" fieldPosition="0">
        <references count="2">
          <reference field="4294967294" count="1" selected="0">
            <x v="0"/>
          </reference>
          <reference field="22" count="1" selected="0">
            <x v="0"/>
          </reference>
        </references>
      </pivotArea>
    </chartFormat>
    <chartFormat chart="15" format="9" series="1">
      <pivotArea type="data" outline="0" fieldPosition="0">
        <references count="2">
          <reference field="4294967294" count="1" selected="0">
            <x v="0"/>
          </reference>
          <reference field="22" count="1" selected="0">
            <x v="1"/>
          </reference>
        </references>
      </pivotArea>
    </chartFormat>
    <chartFormat chart="15" format="10" series="1">
      <pivotArea type="data" outline="0" fieldPosition="0">
        <references count="2">
          <reference field="4294967294" count="1" selected="0">
            <x v="0"/>
          </reference>
          <reference field="22" count="1" selected="0">
            <x v="2"/>
          </reference>
        </references>
      </pivotArea>
    </chartFormat>
    <chartFormat chart="15" format="11" series="1">
      <pivotArea type="data" outline="0" fieldPosition="0">
        <references count="2">
          <reference field="4294967294" count="1" selected="0">
            <x v="0"/>
          </reference>
          <reference field="22" count="1" selected="0">
            <x v="3"/>
          </reference>
        </references>
      </pivotArea>
    </chartFormat>
    <chartFormat chart="16" format="4" series="1">
      <pivotArea type="data" outline="0" fieldPosition="0">
        <references count="2">
          <reference field="4294967294" count="1" selected="0">
            <x v="0"/>
          </reference>
          <reference field="22" count="1" selected="0">
            <x v="0"/>
          </reference>
        </references>
      </pivotArea>
    </chartFormat>
    <chartFormat chart="16" format="5" series="1">
      <pivotArea type="data" outline="0" fieldPosition="0">
        <references count="2">
          <reference field="4294967294" count="1" selected="0">
            <x v="0"/>
          </reference>
          <reference field="22" count="1" selected="0">
            <x v="1"/>
          </reference>
        </references>
      </pivotArea>
    </chartFormat>
    <chartFormat chart="16" format="6" series="1">
      <pivotArea type="data" outline="0" fieldPosition="0">
        <references count="2">
          <reference field="4294967294" count="1" selected="0">
            <x v="0"/>
          </reference>
          <reference field="22" count="1" selected="0">
            <x v="2"/>
          </reference>
        </references>
      </pivotArea>
    </chartFormat>
    <chartFormat chart="16" format="7" series="1">
      <pivotArea type="data" outline="0" fieldPosition="0">
        <references count="2">
          <reference field="4294967294" count="1" selected="0">
            <x v="0"/>
          </reference>
          <reference field="22" count="1" selected="0">
            <x v="3"/>
          </reference>
        </references>
      </pivotArea>
    </chartFormat>
    <chartFormat chart="17" format="8" series="1">
      <pivotArea type="data" outline="0" fieldPosition="0">
        <references count="2">
          <reference field="4294967294" count="1" selected="0">
            <x v="0"/>
          </reference>
          <reference field="22" count="1" selected="0">
            <x v="0"/>
          </reference>
        </references>
      </pivotArea>
    </chartFormat>
    <chartFormat chart="17" format="9" series="1">
      <pivotArea type="data" outline="0" fieldPosition="0">
        <references count="2">
          <reference field="4294967294" count="1" selected="0">
            <x v="0"/>
          </reference>
          <reference field="22" count="1" selected="0">
            <x v="1"/>
          </reference>
        </references>
      </pivotArea>
    </chartFormat>
    <chartFormat chart="17" format="10" series="1">
      <pivotArea type="data" outline="0" fieldPosition="0">
        <references count="2">
          <reference field="4294967294" count="1" selected="0">
            <x v="0"/>
          </reference>
          <reference field="22" count="1" selected="0">
            <x v="2"/>
          </reference>
        </references>
      </pivotArea>
    </chartFormat>
    <chartFormat chart="17" format="11" series="1">
      <pivotArea type="data" outline="0" fieldPosition="0">
        <references count="2">
          <reference field="4294967294" count="1" selected="0">
            <x v="0"/>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7" displayName="Table7" ref="A40:F67" totalsRowShown="0" headerRowDxfId="139">
  <autoFilter ref="A40:F67" xr:uid="{00000000-0009-0000-0100-000007000000}">
    <filterColumn colId="2">
      <filters blank="1">
        <filter val="Collocation"/>
        <filter val="Cross Connect"/>
      </filters>
    </filterColumn>
  </autoFilter>
  <tableColumns count="6">
    <tableColumn id="1" xr3:uid="{00000000-0010-0000-0200-000001000000}" name="Habis Kontrak_x000a_(Tahun)" dataDxfId="138"/>
    <tableColumn id="2" xr3:uid="{00000000-0010-0000-0200-000002000000}" name="Status"/>
    <tableColumn id="3" xr3:uid="{00000000-0010-0000-0200-000003000000}" name="Jenis  Sewa"/>
    <tableColumn id="4" xr3:uid="{00000000-0010-0000-0200-000004000000}" name="Jumlah Pelanggan"/>
    <tableColumn id="5" xr3:uid="{00000000-0010-0000-0200-000005000000}" name="Revenue Pelanggan" dataDxfId="137"/>
    <tableColumn id="6" xr3:uid="{00000000-0010-0000-0200-000006000000}" name="Biaya Sewa Pihak 3" dataDxfId="136"/>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83C523-60CA-46D6-AD47-77EE8F84B60E}" name="Table2" displayName="Table2" ref="A3:AR27" totalsRowShown="0">
  <autoFilter ref="A3:AR27" xr:uid="{B983C523-60CA-46D6-AD47-77EE8F84B60E}"/>
  <tableColumns count="44">
    <tableColumn id="1" xr3:uid="{7CA680D3-AB06-4874-9335-F6323C03901A}" name="Column1"/>
    <tableColumn id="2" xr3:uid="{595E222F-6FA4-4C64-BD4D-FBA36C9A4370}" name="Rekanan"/>
    <tableColumn id="3" xr3:uid="{00B91026-F738-40F0-9210-BBC443E2AD00}" name="Pelanggan (Costumer)"/>
    <tableColumn id="4" xr3:uid="{32586E52-0288-4F0B-BD10-ED0558DA81FB}" name="Alamat Pengelola"/>
    <tableColumn id="5" xr3:uid="{2258F4FF-8426-4FC0-A49E-31B43D198FB1}" name="Monitoring Perpanjangan Sewa/Kontrak"/>
    <tableColumn id="6" xr3:uid="{4CD1F7D7-FC0F-48C8-97E4-DD58E1BE623C}" name="Originating "/>
    <tableColumn id="7" xr3:uid="{2E254046-898B-4DE0-9739-FDCA8E022E47}" name="Terminating "/>
    <tableColumn id="8" xr3:uid="{F40B928A-B72F-4B43-9828-DEAF72087861}" name="Metode Kerjasama"/>
    <tableColumn id="9" xr3:uid="{EFB805A6-6AF2-4F9A-9D6F-24E91FF86AE0}" name="Jenis  Sewa"/>
    <tableColumn id="10" xr3:uid="{38CBBD07-9EFB-4F8A-B854-9EE2A0001014}" name="NO SO"/>
    <tableColumn id="11" xr3:uid="{D37D6D30-FBF9-44A6-B2FF-4C117BBE573C}" name="SID"/>
    <tableColumn id="12" xr3:uid="{1C4FBEA9-44E8-411B-94C5-5AE27BB26E69}" name="SLA"/>
    <tableColumn id="13" xr3:uid="{3518DAC3-3228-41F7-B54B-80D9E4B9E104}" name="Layanan "/>
    <tableColumn id="14" xr3:uid="{401DAF7B-8C3D-4805-B819-A260F2C31BD2}" name="Kapasitas"/>
    <tableColumn id="15" xr3:uid="{7D15238D-669A-43F6-B38C-84ED1E12E6C0}" name="Rev Intalasi (OTC)_x000a_Pelanggan (Rp)"/>
    <tableColumn id="16" xr3:uid="{A1B54263-167D-46A9-959E-01AE668271C9}" name="Rev Sewa (1 Thn)_x000a_Pelanggan (Rp)"/>
    <tableColumn id="17" xr3:uid="{8F9ACEBD-3005-4F66-B9D5-4D024AC61421}" name="Biaya  Deposit Sewa_x000a_(Rp)"/>
    <tableColumn id="18" xr3:uid="{100A915D-BC23-4C56-98B9-7551DD763C64}" name="Biaya (OTC)_x000a_(Rp)"/>
    <tableColumn id="19" xr3:uid="{6F14AF57-EEED-4BBA-B593-F1CE14B42014}" name="Biaya Sewa (1 Thn)_x000a_(Rp)"/>
    <tableColumn id="20" xr3:uid="{A53D1449-BF34-49C0-8414-077565B3602D}" name="Rev Sharing_x000a_(%) "/>
    <tableColumn id="21" xr3:uid="{0577CB99-013F-464B-800A-5B8368D86999}" name="Start" dataDxfId="135"/>
    <tableColumn id="22" xr3:uid="{DF26E57D-7AEB-4E96-AB44-C7E2EDDCB98D}" name="End" dataDxfId="134"/>
    <tableColumn id="23" xr3:uid="{E134B73A-D70A-4B26-ADD1-77FE77B748CC}" name="Status"/>
    <tableColumn id="24" xr3:uid="{CEB761E2-BEBC-4495-A4B6-D17B3EEACF59}" name="Proses Admin"/>
    <tableColumn id="25" xr3:uid="{A3854E9F-76D4-4DBB-A0D4-146516A337E2}" name="Today" dataDxfId="133"/>
    <tableColumn id="26" xr3:uid="{49CF0843-1DEE-4488-97C1-6262B1B167DD}" name="Jangka Waktu Habis"/>
    <tableColumn id="27" xr3:uid="{3C4EA97A-1CB4-4C89-94AE-641C41CB9918}" name="Habis Kontrak_x000a_(Bulan)"/>
    <tableColumn id="28" xr3:uid="{8ED8E7B2-4457-45E2-A6DD-0C8F9DFB69EE}" name="Habis Kontrak_x000a_(Tahun)"/>
    <tableColumn id="29" xr3:uid="{32A4627B-0582-4B69-B46D-947BD9FD34AE}" name="Reference SPP Before &amp; Periode Before"/>
    <tableColumn id="30" xr3:uid="{7A60E2EA-4BA9-432C-A340-8EC71CD8B488}" name="SPP"/>
    <tableColumn id="31" xr3:uid="{61D81202-1E1A-4D1B-BEAF-3168549FD8FB}" name="PO baru"/>
    <tableColumn id="32" xr3:uid="{6496FFFF-A233-44ED-AFEA-A6F6DD4EDDF8}" name="PIC Admin_x000a_Perijinan"/>
    <tableColumn id="33" xr3:uid="{51FB03A8-ABBC-468A-8461-9048996CB71F}" name="PIC Rekanan"/>
    <tableColumn id="34" xr3:uid="{138DA757-10F6-4E03-83E1-F04665CB37CE}" name="Telp"/>
    <tableColumn id="35" xr3:uid="{57B07BE2-5312-4665-A644-8442A20F6E8A}" name="2017-2018"/>
    <tableColumn id="36" xr3:uid="{2E49C19D-072E-4B08-8BC1-0D2CB60ECE2F}" name="2018-2019"/>
    <tableColumn id="37" xr3:uid="{F3B14F78-2DD4-46E2-B690-0B7A3E65BD96}" name="2019-2020"/>
    <tableColumn id="38" xr3:uid="{270DC43E-195F-4801-B1BA-2584E1DA693A}" name="2020/2021"/>
    <tableColumn id="39" xr3:uid="{8421E337-03FE-44EA-A1B3-0BDE680EED32}" name="2021-2022"/>
    <tableColumn id="40" xr3:uid="{DD9DE109-80F5-4989-9CC5-CDE8234C3082}" name="2022-2023"/>
    <tableColumn id="41" xr3:uid="{07F9A106-23DD-4957-B4B2-E6D8ED381FF8}" name="2023-2024"/>
    <tableColumn id="42" xr3:uid="{13E68462-B4E0-4473-B437-727C59E4A9B6}" name="2024-2025"/>
    <tableColumn id="43" xr3:uid="{58EFB657-0BD7-4EC5-A38F-E453F6601D30}" name="2025-2026"/>
    <tableColumn id="44" xr3:uid="{F98DAA0E-258B-438C-9C0E-A5F876C20524}" name="Keteranga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1" displayName="Table1" ref="A1:AT3124" totalsRowShown="0" headerRowDxfId="131" dataDxfId="129" totalsRowDxfId="127" headerRowBorderDxfId="130" tableBorderDxfId="128" totalsRowBorderDxfId="126">
  <autoFilter ref="A1:AT3124" xr:uid="{00000000-0009-0000-0100-000001000000}">
    <filterColumn colId="6">
      <filters>
        <filter val="_x000a_PSDC Graha Pertamina, Tower Fastron Lt. 3, MMR-A, Jl. Medan Merdeka Tim., RT.6/RW.1, Gambir"/>
        <filter val="Dari Jl. Taman Patra II, Jl. Taman Patra IV, Jl. Taman patra X, Jl. Taman Patra Kuningan , Jl. Dukuh Patra I sampai dengan Jl. Raya Mandala IV, Pertamina Oil Village"/>
        <filter val="Gedung Graha Pertamina"/>
        <filter val="Graha Pertamina No 6 RT.6/RW.1, Gambir, Jakarta Pusat, DKI Jakarta, Indonesia, 10110"/>
        <filter val="Graha Pertamina, II, JL. Medan Merdeka Timur No. 6, Rt6/RW1, Gambir, Kec. Gambar, Jakarta Pusat"/>
        <filter val="Graha pertamina, II, Jl. Medan Merdeka Timur No. 6, RT6/RW1, Gambir, Kec. Gambir, Jakarta Pusat."/>
        <filter val="H2H BRI Pertamina, PT. Patra Jasa Graha Pertamina Building Management, Ground Floor, JL. Medan Merdeka Timur Kav. 11-13, Gambir Jakarta Pusat, DKI Jakarta"/>
        <filter val="MOR 3 DPPU Soekarno Hatta - PT Pertamina (Persero) - DPPU Soekarno Hatta (SHAFTI), Bandar Udara International Soekarno Hatta, Kec Tangerang, RT.01/RW. 10, Pajang, Kec.Tangerang, Kota Tangerang, 15126"/>
        <filter val="MOR III - SHIPS 3 - Kantor Pertamina Patra Niaga Bandara International Soekarno Hatta Remote 87 Terminal 3, Pajang, Kec.Tangerang, Kota Tangerang, 15126"/>
        <filter val="PSDC (Node PHE) - Gedung Grha Pertamina, Tower Fastron (Grha), Jalan Medan Merdeka Timur No. 11-12, Jakarta Pusat"/>
        <filter val="PSDC (Node PHE) - Gedung Grha Pertamina, Tower Fastron (Grha), Jalan Medan Merdeka Timur No.11-12, Jakarta Pusat"/>
      </filters>
    </filterColumn>
    <filterColumn colId="22">
      <filters>
        <filter val="ACTIVE"/>
      </filters>
    </filterColumn>
  </autoFilter>
  <tableColumns count="46">
    <tableColumn id="1" xr3:uid="{00000000-0010-0000-0300-000001000000}" name="Column1" dataDxfId="125" totalsRowDxfId="124"/>
    <tableColumn id="2" xr3:uid="{00000000-0010-0000-0300-000002000000}" name="Pengelola" dataDxfId="123" totalsRowDxfId="122"/>
    <tableColumn id="41" xr3:uid="{00000000-0010-0000-0300-000029000000}" name="Pelanggan (Costumer)" dataDxfId="121" totalsRowDxfId="120"/>
    <tableColumn id="3" xr3:uid="{DDADF619-4CCC-4B87-989C-B60EA5FA11FD}" name="Alamat Pengelola" dataDxfId="119" totalsRowDxfId="118" dataCellStyle="Normal 2"/>
    <tableColumn id="43" xr3:uid="{A13C349E-3511-4D78-8691-09538710AC4B}" name="Monitoring Perpanjangan Sewa/Kontrak" dataDxfId="117" totalsRowDxfId="116">
      <calculatedColumnFormula>IF(AND(Z2&gt;=60, Z2&lt;=3000), "ON TRACK",IF(AND(Z2&gt;=36, Z2&lt;=59), "ATTENTION",IF(AND(Z2&gt;=1, Z2&lt;=35), "WARNING",IF(AND(Z2&gt;=-3000, Z2&lt;=0), "CRITICAL", ""))))</calculatedColumnFormula>
    </tableColumn>
    <tableColumn id="4" xr3:uid="{00000000-0010-0000-0300-000004000000}" name="Originating " dataDxfId="115" totalsRowDxfId="114"/>
    <tableColumn id="5" xr3:uid="{00000000-0010-0000-0300-000005000000}" name="Terminating " dataDxfId="113" totalsRowDxfId="112"/>
    <tableColumn id="6" xr3:uid="{00000000-0010-0000-0300-000006000000}" name="Metode Kerjasama" dataDxfId="111" totalsRowDxfId="110"/>
    <tableColumn id="7" xr3:uid="{00000000-0010-0000-0300-000007000000}" name="Jenis  Sewa" dataDxfId="109" totalsRowDxfId="108"/>
    <tableColumn id="8" xr3:uid="{00000000-0010-0000-0300-000008000000}" name="NO SO" dataDxfId="107" totalsRowDxfId="106"/>
    <tableColumn id="10" xr3:uid="{00000000-0010-0000-0300-00000A000000}" name="SID" dataDxfId="105" totalsRowDxfId="104"/>
    <tableColumn id="11" xr3:uid="{00000000-0010-0000-0300-00000B000000}" name="SLA" dataDxfId="103" totalsRowDxfId="102"/>
    <tableColumn id="12" xr3:uid="{00000000-0010-0000-0300-00000C000000}" name="Layanan " dataDxfId="101" totalsRowDxfId="100"/>
    <tableColumn id="13" xr3:uid="{00000000-0010-0000-0300-00000D000000}" name="Kapasitas" dataDxfId="99" totalsRowDxfId="98"/>
    <tableColumn id="40" xr3:uid="{00000000-0010-0000-0300-000028000000}" name="Rev Intalasi (OTC)_x000a_Pelanggan (Rp)" dataDxfId="97" totalsRowDxfId="96"/>
    <tableColumn id="39" xr3:uid="{00000000-0010-0000-0300-000027000000}" name="Rev Sewa (1 Thn)_x000a_Pelanggan (Rp)" dataDxfId="95" totalsRowDxfId="94"/>
    <tableColumn id="26" xr3:uid="{00000000-0010-0000-0300-00001A000000}" name="Biaya  Deposit Sewa_x000a_(Rp)" dataDxfId="93" totalsRowDxfId="92"/>
    <tableColumn id="38" xr3:uid="{00000000-0010-0000-0300-000026000000}" name="Biaya (OTC)_x000a_(Rp)" dataDxfId="91" totalsRowDxfId="90"/>
    <tableColumn id="14" xr3:uid="{00000000-0010-0000-0300-00000E000000}" name="Biaya Sewa (1 Thn)_x000a_(Rp)" dataDxfId="89" totalsRowDxfId="88"/>
    <tableColumn id="15" xr3:uid="{00000000-0010-0000-0300-00000F000000}" name="Rev Sharing_x000a_(%) " dataDxfId="87" totalsRowDxfId="86"/>
    <tableColumn id="16" xr3:uid="{00000000-0010-0000-0300-000010000000}" name="Start" dataDxfId="85" totalsRowDxfId="84"/>
    <tableColumn id="17" xr3:uid="{00000000-0010-0000-0300-000011000000}" name="End" dataDxfId="83" totalsRowDxfId="82"/>
    <tableColumn id="18" xr3:uid="{00000000-0010-0000-0300-000012000000}" name="Status" dataDxfId="81" totalsRowDxfId="80"/>
    <tableColumn id="42" xr3:uid="{00000000-0010-0000-0300-00002A000000}" name="Proses Admin" dataDxfId="79" totalsRowDxfId="78"/>
    <tableColumn id="19" xr3:uid="{00000000-0010-0000-0300-000013000000}" name="Today" dataDxfId="77" totalsRowDxfId="76"/>
    <tableColumn id="20" xr3:uid="{00000000-0010-0000-0300-000014000000}" name="Jangka Waktu Habis" dataDxfId="75" totalsRowDxfId="74"/>
    <tableColumn id="21" xr3:uid="{00000000-0010-0000-0300-000015000000}" name="Habis Kontrak_x000a_(Bulan)" dataDxfId="73" totalsRowDxfId="72"/>
    <tableColumn id="22" xr3:uid="{00000000-0010-0000-0300-000016000000}" name="Habis Kontrak_x000a_(Tahun)" dataDxfId="71" totalsRowDxfId="70"/>
    <tableColumn id="23" xr3:uid="{00000000-0010-0000-0300-000017000000}" name="Reference SPP Before &amp; Periode Before" dataDxfId="69" totalsRowDxfId="68"/>
    <tableColumn id="24" xr3:uid="{00000000-0010-0000-0300-000018000000}" name="SPP" dataDxfId="67" totalsRowDxfId="66"/>
    <tableColumn id="25" xr3:uid="{00000000-0010-0000-0300-000019000000}" name="PO baru" dataDxfId="65" totalsRowDxfId="64"/>
    <tableColumn id="9" xr3:uid="{00000000-0010-0000-0300-000009000000}" name="PIC Admin_x000a_Perijinan" dataDxfId="63" totalsRowDxfId="62"/>
    <tableColumn id="27" xr3:uid="{00000000-0010-0000-0300-00001B000000}" name="PIC Rekanan" dataDxfId="61" totalsRowDxfId="60"/>
    <tableColumn id="28" xr3:uid="{00000000-0010-0000-0300-00001C000000}" name="Telp" dataDxfId="59" totalsRowDxfId="58"/>
    <tableColumn id="29" xr3:uid="{00000000-0010-0000-0300-00001D000000}" name="2017-2018" dataDxfId="57" totalsRowDxfId="56"/>
    <tableColumn id="30" xr3:uid="{00000000-0010-0000-0300-00001E000000}" name="2018-2019" dataDxfId="55" totalsRowDxfId="54"/>
    <tableColumn id="31" xr3:uid="{00000000-0010-0000-0300-00001F000000}" name="2019-2020" dataDxfId="53" totalsRowDxfId="52"/>
    <tableColumn id="32" xr3:uid="{00000000-0010-0000-0300-000020000000}" name="2020/2021" dataDxfId="51" totalsRowDxfId="50"/>
    <tableColumn id="33" xr3:uid="{00000000-0010-0000-0300-000021000000}" name="2021-2022" dataDxfId="49" totalsRowDxfId="48"/>
    <tableColumn id="34" xr3:uid="{00000000-0010-0000-0300-000022000000}" name="2022-2023" dataDxfId="47" totalsRowDxfId="46"/>
    <tableColumn id="35" xr3:uid="{00000000-0010-0000-0300-000023000000}" name="2023-2024" dataDxfId="45" totalsRowDxfId="44"/>
    <tableColumn id="36" xr3:uid="{00000000-0010-0000-0300-000024000000}" name="2024-2025" dataDxfId="43" totalsRowDxfId="42"/>
    <tableColumn id="45" xr3:uid="{B4400D64-5ABF-4A01-90C9-34219D2E068F}" name="2025-2026" dataDxfId="41" totalsRowDxfId="40"/>
    <tableColumn id="46" xr3:uid="{7FD9A224-DDCB-40F9-89C0-EB794D066363}" name="2026-2027" dataDxfId="39" totalsRowDxfId="38"/>
    <tableColumn id="37" xr3:uid="{00000000-0010-0000-0300-000025000000}" name="Keterangan" dataDxfId="37" totalsRowDxfId="36"/>
    <tableColumn id="44" xr3:uid="{B010513A-DF14-41D0-AA19-35026910E583}" name="Column2" dataDxfId="35" totalsRowDxfId="34"/>
  </tableColumns>
  <tableStyleInfo name="TableStyleMedium6"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3.bin"/><Relationship Id="rId1" Type="http://schemas.openxmlformats.org/officeDocument/2006/relationships/hyperlink" Target="http://ismilling.iconpln.co.id/apps/iconcorp/cgi-bin/dw.cgi?b=form_crud/fnm.50180000ENTBT_SOA%2bfa.r&amp;ATRBTID=2021879301" TargetMode="External"/><Relationship Id="rId6" Type="http://schemas.microsoft.com/office/2019/04/relationships/namedSheetView" Target="../namedSheetViews/namedSheetView1.xml"/><Relationship Id="rId5" Type="http://schemas.openxmlformats.org/officeDocument/2006/relationships/comments" Target="../comments1.xml"/><Relationship Id="rId4" Type="http://schemas.openxmlformats.org/officeDocument/2006/relationships/table" Target="../tables/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F47"/>
  <sheetViews>
    <sheetView workbookViewId="0">
      <selection activeCell="D15" sqref="D15"/>
    </sheetView>
  </sheetViews>
  <sheetFormatPr defaultColWidth="15.109375" defaultRowHeight="14.4"/>
  <cols>
    <col min="1" max="1" width="15.109375" style="11"/>
    <col min="2" max="2" width="21.33203125" customWidth="1"/>
    <col min="3" max="3" width="16.109375" style="11" customWidth="1"/>
    <col min="4" max="4" width="80.5546875" customWidth="1"/>
  </cols>
  <sheetData>
    <row r="2" spans="1:6" s="6" customFormat="1" ht="13.2">
      <c r="A2" s="4" t="s">
        <v>0</v>
      </c>
      <c r="B2" s="4" t="s">
        <v>1</v>
      </c>
      <c r="C2" s="4" t="s">
        <v>2</v>
      </c>
      <c r="D2" s="4" t="s">
        <v>3</v>
      </c>
      <c r="E2" s="5"/>
      <c r="F2" s="5"/>
    </row>
    <row r="3" spans="1:6">
      <c r="B3" s="7"/>
    </row>
    <row r="4" spans="1:6" s="149" customFormat="1" ht="24.75" customHeight="1">
      <c r="A4" s="25">
        <v>1</v>
      </c>
      <c r="B4" s="155">
        <v>45446</v>
      </c>
      <c r="C4" s="25" t="s">
        <v>4</v>
      </c>
      <c r="D4" s="149" t="s">
        <v>5</v>
      </c>
    </row>
    <row r="5" spans="1:6" s="149" customFormat="1" ht="24.75" customHeight="1">
      <c r="A5" s="25"/>
      <c r="B5" s="155"/>
      <c r="C5" s="25"/>
      <c r="D5" s="156" t="s">
        <v>6</v>
      </c>
    </row>
    <row r="6" spans="1:6" s="149" customFormat="1" ht="24.75" customHeight="1">
      <c r="A6" s="25"/>
      <c r="B6" s="155"/>
      <c r="C6" s="25"/>
      <c r="D6" s="149" t="s">
        <v>7</v>
      </c>
    </row>
    <row r="7" spans="1:6" s="149" customFormat="1" ht="24.75" customHeight="1">
      <c r="A7" s="25">
        <v>2</v>
      </c>
      <c r="B7" s="155">
        <v>45450</v>
      </c>
      <c r="C7" s="354" t="s">
        <v>4</v>
      </c>
      <c r="D7" s="156" t="s">
        <v>8</v>
      </c>
    </row>
    <row r="8" spans="1:6" s="149" customFormat="1" ht="24.75" customHeight="1">
      <c r="A8" s="25">
        <v>3</v>
      </c>
      <c r="B8" s="155">
        <v>45455</v>
      </c>
      <c r="C8" s="25" t="s">
        <v>9</v>
      </c>
      <c r="D8" s="157" t="s">
        <v>10</v>
      </c>
    </row>
    <row r="9" spans="1:6" s="149" customFormat="1" ht="24.75" customHeight="1">
      <c r="A9" s="25">
        <v>4</v>
      </c>
      <c r="B9" s="155">
        <v>45468</v>
      </c>
      <c r="C9" s="354" t="s">
        <v>11</v>
      </c>
      <c r="D9" s="355" t="s">
        <v>12</v>
      </c>
    </row>
    <row r="10" spans="1:6" s="149" customFormat="1" ht="24.75" customHeight="1">
      <c r="A10" s="25"/>
      <c r="B10" s="155"/>
      <c r="C10" s="25"/>
      <c r="D10" s="149" t="s">
        <v>13</v>
      </c>
    </row>
    <row r="11" spans="1:6" s="149" customFormat="1" ht="24.75" customHeight="1">
      <c r="A11" s="25">
        <v>5</v>
      </c>
      <c r="B11" s="155">
        <v>45472</v>
      </c>
      <c r="C11" s="25" t="s">
        <v>9</v>
      </c>
      <c r="D11" s="149" t="s">
        <v>14</v>
      </c>
    </row>
    <row r="12" spans="1:6" s="149" customFormat="1" ht="24.75" customHeight="1">
      <c r="A12" s="25">
        <v>6</v>
      </c>
      <c r="B12" s="155">
        <v>45474</v>
      </c>
      <c r="C12" s="25" t="s">
        <v>11</v>
      </c>
      <c r="D12" s="149" t="s">
        <v>15</v>
      </c>
    </row>
    <row r="13" spans="1:6">
      <c r="B13" s="7"/>
      <c r="C13" s="356"/>
      <c r="D13" s="10"/>
    </row>
    <row r="14" spans="1:6">
      <c r="B14" s="7"/>
    </row>
    <row r="15" spans="1:6">
      <c r="B15" s="7"/>
      <c r="D15" s="10"/>
    </row>
    <row r="16" spans="1:6">
      <c r="B16" s="7"/>
    </row>
    <row r="17" spans="2:4">
      <c r="B17" s="7"/>
      <c r="D17" s="10"/>
    </row>
    <row r="18" spans="2:4">
      <c r="B18" s="7"/>
    </row>
    <row r="19" spans="2:4">
      <c r="B19" s="7"/>
      <c r="C19" s="12"/>
      <c r="D19" s="8"/>
    </row>
    <row r="20" spans="2:4">
      <c r="B20" s="7"/>
      <c r="D20" s="8"/>
    </row>
    <row r="21" spans="2:4">
      <c r="B21" s="7"/>
      <c r="D21" s="9"/>
    </row>
    <row r="22" spans="2:4">
      <c r="B22" s="7"/>
      <c r="C22" s="12"/>
      <c r="D22" s="9"/>
    </row>
    <row r="23" spans="2:4">
      <c r="B23" s="7"/>
      <c r="C23" s="12"/>
      <c r="D23" s="8"/>
    </row>
    <row r="24" spans="2:4">
      <c r="B24" s="7"/>
      <c r="D24" s="8"/>
    </row>
    <row r="25" spans="2:4">
      <c r="B25" s="7"/>
      <c r="D25" s="8"/>
    </row>
    <row r="26" spans="2:4">
      <c r="B26" s="7"/>
      <c r="D26" s="9"/>
    </row>
    <row r="27" spans="2:4">
      <c r="B27" s="7"/>
    </row>
    <row r="28" spans="2:4">
      <c r="B28" s="7"/>
    </row>
    <row r="29" spans="2:4">
      <c r="B29" s="7"/>
    </row>
    <row r="30" spans="2:4">
      <c r="B30" s="7"/>
    </row>
    <row r="31" spans="2:4">
      <c r="B31" s="7"/>
    </row>
    <row r="32" spans="2:4">
      <c r="B32" s="7"/>
    </row>
    <row r="33" spans="2:2">
      <c r="B33" s="7"/>
    </row>
    <row r="34" spans="2:2">
      <c r="B34" s="7"/>
    </row>
    <row r="35" spans="2:2">
      <c r="B35" s="7"/>
    </row>
    <row r="36" spans="2:2">
      <c r="B36" s="7"/>
    </row>
    <row r="37" spans="2:2">
      <c r="B37" s="7"/>
    </row>
    <row r="38" spans="2:2">
      <c r="B38" s="7"/>
    </row>
    <row r="39" spans="2:2">
      <c r="B39" s="7"/>
    </row>
    <row r="40" spans="2:2">
      <c r="B40" s="7"/>
    </row>
    <row r="41" spans="2:2">
      <c r="B41" s="7"/>
    </row>
    <row r="42" spans="2:2">
      <c r="B42" s="7"/>
    </row>
    <row r="43" spans="2:2">
      <c r="B43" s="7"/>
    </row>
    <row r="44" spans="2:2">
      <c r="B44" s="7"/>
    </row>
    <row r="45" spans="2:2">
      <c r="B45" s="7"/>
    </row>
    <row r="46" spans="2:2">
      <c r="B46" s="7"/>
    </row>
    <row r="47" spans="2:2">
      <c r="B47"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787"/>
  <sheetViews>
    <sheetView topLeftCell="A41" workbookViewId="0">
      <selection activeCell="C165" sqref="C165"/>
    </sheetView>
  </sheetViews>
  <sheetFormatPr defaultRowHeight="15" customHeight="1"/>
  <cols>
    <col min="1" max="1" width="78.33203125" customWidth="1"/>
    <col min="2" max="2" width="48.5546875" style="22" customWidth="1"/>
    <col min="3" max="3" width="30.88671875" style="125" customWidth="1"/>
    <col min="4" max="4" width="25" style="22" bestFit="1" customWidth="1"/>
    <col min="5" max="6" width="9" customWidth="1"/>
    <col min="7" max="7" width="13.88671875" customWidth="1"/>
    <col min="8" max="8" width="22.88671875" style="22" customWidth="1"/>
    <col min="9" max="84" width="9" customWidth="1"/>
    <col min="85" max="132" width="10" bestFit="1" customWidth="1"/>
    <col min="133" max="133" width="12" bestFit="1" customWidth="1"/>
    <col min="134" max="165" width="10" bestFit="1" customWidth="1"/>
    <col min="166" max="180" width="11" bestFit="1" customWidth="1"/>
    <col min="181" max="188" width="12" bestFit="1" customWidth="1"/>
    <col min="189" max="189" width="11" bestFit="1" customWidth="1"/>
    <col min="190" max="190" width="1.6640625" customWidth="1"/>
    <col min="191" max="191" width="12.6640625" bestFit="1" customWidth="1"/>
    <col min="192" max="192" width="7.33203125" customWidth="1"/>
    <col min="193" max="193" width="11.33203125" bestFit="1" customWidth="1"/>
  </cols>
  <sheetData>
    <row r="1" spans="1:19">
      <c r="A1" s="18" t="s">
        <v>16</v>
      </c>
      <c r="B1" t="s">
        <v>17</v>
      </c>
    </row>
    <row r="2" spans="1:19">
      <c r="A2" s="18" t="s">
        <v>18</v>
      </c>
      <c r="B2" t="s">
        <v>19</v>
      </c>
    </row>
    <row r="3" spans="1:19">
      <c r="A3" s="18" t="s">
        <v>20</v>
      </c>
      <c r="B3" t="s">
        <v>19</v>
      </c>
    </row>
    <row r="4" spans="1:19">
      <c r="A4" s="18" t="s">
        <v>21</v>
      </c>
      <c r="B4" t="s">
        <v>22</v>
      </c>
    </row>
    <row r="5" spans="1:19">
      <c r="A5" s="18" t="s">
        <v>23</v>
      </c>
      <c r="B5" t="s">
        <v>19</v>
      </c>
    </row>
    <row r="6" spans="1:19">
      <c r="C6" s="22"/>
    </row>
    <row r="7" spans="1:19">
      <c r="A7" s="18" t="s">
        <v>24</v>
      </c>
      <c r="B7" s="128" t="s">
        <v>25</v>
      </c>
      <c r="C7" s="126" t="s">
        <v>26</v>
      </c>
      <c r="D7" s="18" t="s">
        <v>27</v>
      </c>
      <c r="R7" s="357" t="s">
        <v>28</v>
      </c>
      <c r="S7" s="358" t="s">
        <v>29</v>
      </c>
    </row>
    <row r="8" spans="1:19">
      <c r="A8" t="s">
        <v>30</v>
      </c>
      <c r="B8" t="s">
        <v>31</v>
      </c>
      <c r="C8">
        <v>35402400</v>
      </c>
      <c r="D8">
        <v>20000000</v>
      </c>
      <c r="R8" s="359" t="s">
        <v>32</v>
      </c>
      <c r="S8" s="130">
        <v>200844416764.4516</v>
      </c>
    </row>
    <row r="9" spans="1:19">
      <c r="B9" t="s">
        <v>33</v>
      </c>
      <c r="C9">
        <v>51600000</v>
      </c>
      <c r="D9">
        <v>20000000</v>
      </c>
      <c r="R9" s="359" t="s">
        <v>34</v>
      </c>
      <c r="S9" s="130">
        <v>16281816292</v>
      </c>
    </row>
    <row r="10" spans="1:19">
      <c r="A10" t="s">
        <v>35</v>
      </c>
      <c r="B10" t="s">
        <v>36</v>
      </c>
      <c r="C10">
        <v>436363632</v>
      </c>
      <c r="D10">
        <v>64000000</v>
      </c>
    </row>
    <row r="11" spans="1:19">
      <c r="A11" t="s">
        <v>37</v>
      </c>
      <c r="B11" t="s">
        <v>38</v>
      </c>
      <c r="C11">
        <v>83783787</v>
      </c>
      <c r="D11">
        <v>30000000</v>
      </c>
    </row>
    <row r="12" spans="1:19">
      <c r="B12" t="s">
        <v>39</v>
      </c>
      <c r="C12">
        <v>53000000</v>
      </c>
      <c r="D12">
        <v>18000000</v>
      </c>
    </row>
    <row r="13" spans="1:19">
      <c r="B13" t="s">
        <v>40</v>
      </c>
      <c r="C13">
        <v>148200000</v>
      </c>
      <c r="D13">
        <v>60000000</v>
      </c>
    </row>
    <row r="14" spans="1:19">
      <c r="A14" t="s">
        <v>41</v>
      </c>
      <c r="B14" t="s">
        <v>42</v>
      </c>
      <c r="C14">
        <v>36000000</v>
      </c>
      <c r="D14">
        <v>15000000</v>
      </c>
    </row>
    <row r="15" spans="1:19">
      <c r="B15" t="s">
        <v>43</v>
      </c>
      <c r="C15">
        <v>216000000</v>
      </c>
      <c r="D15">
        <v>24000000</v>
      </c>
    </row>
    <row r="16" spans="1:19">
      <c r="A16" t="s">
        <v>44</v>
      </c>
      <c r="B16" t="s">
        <v>45</v>
      </c>
      <c r="C16">
        <v>16270344000</v>
      </c>
      <c r="D16">
        <v>24000000</v>
      </c>
    </row>
    <row r="17" spans="1:4">
      <c r="B17" t="s">
        <v>46</v>
      </c>
      <c r="C17">
        <v>0</v>
      </c>
      <c r="D17">
        <v>24000000</v>
      </c>
    </row>
    <row r="18" spans="1:4">
      <c r="B18" t="s">
        <v>47</v>
      </c>
      <c r="C18">
        <v>576000000</v>
      </c>
      <c r="D18">
        <v>12000000</v>
      </c>
    </row>
    <row r="19" spans="1:4">
      <c r="B19" t="s">
        <v>48</v>
      </c>
      <c r="C19">
        <v>468000000</v>
      </c>
      <c r="D19">
        <v>12000000</v>
      </c>
    </row>
    <row r="20" spans="1:4">
      <c r="A20" t="s">
        <v>49</v>
      </c>
      <c r="B20" t="s">
        <v>50</v>
      </c>
      <c r="C20">
        <v>300000000</v>
      </c>
      <c r="D20">
        <v>25000000</v>
      </c>
    </row>
    <row r="21" spans="1:4">
      <c r="A21" t="s">
        <v>51</v>
      </c>
      <c r="B21" t="s">
        <v>52</v>
      </c>
      <c r="C21">
        <v>51500000</v>
      </c>
      <c r="D21">
        <v>4000000</v>
      </c>
    </row>
    <row r="22" spans="1:4">
      <c r="A22" t="s">
        <v>53</v>
      </c>
      <c r="B22" t="s">
        <v>54</v>
      </c>
      <c r="C22">
        <v>120000000</v>
      </c>
      <c r="D22">
        <v>78000000</v>
      </c>
    </row>
    <row r="23" spans="1:4">
      <c r="A23" t="s">
        <v>55</v>
      </c>
      <c r="B23" t="s">
        <v>56</v>
      </c>
      <c r="C23">
        <v>60000000</v>
      </c>
      <c r="D23">
        <v>15000000</v>
      </c>
    </row>
    <row r="24" spans="1:4">
      <c r="A24" t="s">
        <v>57</v>
      </c>
      <c r="B24" t="s">
        <v>58</v>
      </c>
      <c r="C24">
        <v>654586000</v>
      </c>
      <c r="D24">
        <v>24000000</v>
      </c>
    </row>
    <row r="25" spans="1:4">
      <c r="A25" t="s">
        <v>59</v>
      </c>
      <c r="B25" t="s">
        <v>60</v>
      </c>
      <c r="C25">
        <v>36000000</v>
      </c>
      <c r="D25">
        <v>18000000</v>
      </c>
    </row>
    <row r="26" spans="1:4">
      <c r="A26" t="s">
        <v>61</v>
      </c>
      <c r="B26" t="s">
        <v>62</v>
      </c>
      <c r="C26">
        <v>3366600000</v>
      </c>
      <c r="D26">
        <v>8000000</v>
      </c>
    </row>
    <row r="27" spans="1:4">
      <c r="B27" t="s">
        <v>63</v>
      </c>
      <c r="C27">
        <v>87500000</v>
      </c>
      <c r="D27">
        <v>8000000</v>
      </c>
    </row>
    <row r="28" spans="1:4">
      <c r="B28" t="s">
        <v>64</v>
      </c>
      <c r="C28">
        <v>108000000</v>
      </c>
      <c r="D28">
        <v>8000000</v>
      </c>
    </row>
    <row r="29" spans="1:4">
      <c r="B29" t="s">
        <v>65</v>
      </c>
      <c r="C29">
        <v>90000000</v>
      </c>
      <c r="D29">
        <v>8000000</v>
      </c>
    </row>
    <row r="30" spans="1:4">
      <c r="B30" t="s">
        <v>66</v>
      </c>
      <c r="C30">
        <v>243600000</v>
      </c>
      <c r="D30">
        <v>20300000</v>
      </c>
    </row>
    <row r="31" spans="1:4">
      <c r="B31" t="s">
        <v>67</v>
      </c>
      <c r="C31">
        <v>2400000000</v>
      </c>
      <c r="D31">
        <v>8000000</v>
      </c>
    </row>
    <row r="32" spans="1:4">
      <c r="B32" t="s">
        <v>68</v>
      </c>
      <c r="C32">
        <v>10660000</v>
      </c>
      <c r="D32">
        <v>8000000</v>
      </c>
    </row>
    <row r="33" spans="1:4">
      <c r="A33" t="s">
        <v>69</v>
      </c>
      <c r="B33" t="s">
        <v>70</v>
      </c>
      <c r="C33">
        <v>420000000</v>
      </c>
      <c r="D33">
        <v>9000000</v>
      </c>
    </row>
    <row r="34" spans="1:4">
      <c r="A34" t="s">
        <v>71</v>
      </c>
      <c r="B34" s="127">
        <v>111202017685</v>
      </c>
      <c r="C34">
        <v>444000000</v>
      </c>
      <c r="D34">
        <v>37000000</v>
      </c>
    </row>
    <row r="35" spans="1:4">
      <c r="B35" t="s">
        <v>72</v>
      </c>
      <c r="C35">
        <v>93360000</v>
      </c>
      <c r="D35">
        <v>7780000</v>
      </c>
    </row>
    <row r="36" spans="1:4">
      <c r="B36" t="s">
        <v>73</v>
      </c>
      <c r="C36">
        <v>1428000000</v>
      </c>
      <c r="D36">
        <v>18000000</v>
      </c>
    </row>
    <row r="37" spans="1:4">
      <c r="B37" t="s">
        <v>74</v>
      </c>
      <c r="C37" t="s">
        <v>48</v>
      </c>
      <c r="D37">
        <v>36000000</v>
      </c>
    </row>
    <row r="38" spans="1:4">
      <c r="B38" t="s">
        <v>75</v>
      </c>
      <c r="C38">
        <v>420000000</v>
      </c>
      <c r="D38">
        <v>18000000</v>
      </c>
    </row>
    <row r="39" spans="1:4">
      <c r="B39" t="s">
        <v>76</v>
      </c>
      <c r="C39">
        <v>96000000</v>
      </c>
      <c r="D39">
        <v>36000000</v>
      </c>
    </row>
    <row r="40" spans="1:4">
      <c r="B40" t="s">
        <v>77</v>
      </c>
      <c r="C40">
        <v>108000000</v>
      </c>
      <c r="D40">
        <v>9000000</v>
      </c>
    </row>
    <row r="41" spans="1:4">
      <c r="B41" t="s">
        <v>78</v>
      </c>
      <c r="C41">
        <v>240000000</v>
      </c>
      <c r="D41">
        <v>36000000</v>
      </c>
    </row>
    <row r="42" spans="1:4">
      <c r="B42" t="s">
        <v>79</v>
      </c>
      <c r="C42">
        <v>54000000</v>
      </c>
      <c r="D42">
        <v>18000000</v>
      </c>
    </row>
    <row r="43" spans="1:4">
      <c r="B43" t="s">
        <v>80</v>
      </c>
      <c r="C43">
        <v>168000000</v>
      </c>
      <c r="D43">
        <v>18000000</v>
      </c>
    </row>
    <row r="44" spans="1:4">
      <c r="B44" t="s">
        <v>81</v>
      </c>
      <c r="C44">
        <v>168000000</v>
      </c>
      <c r="D44">
        <v>14000000</v>
      </c>
    </row>
    <row r="45" spans="1:4">
      <c r="B45" t="s">
        <v>82</v>
      </c>
      <c r="C45">
        <v>155730480</v>
      </c>
      <c r="D45">
        <v>18000000</v>
      </c>
    </row>
    <row r="46" spans="1:4">
      <c r="B46" t="s">
        <v>83</v>
      </c>
      <c r="C46">
        <v>84000000</v>
      </c>
      <c r="D46">
        <v>36000000</v>
      </c>
    </row>
    <row r="47" spans="1:4">
      <c r="B47" t="s">
        <v>84</v>
      </c>
      <c r="C47">
        <v>64800000</v>
      </c>
      <c r="D47">
        <v>5400000</v>
      </c>
    </row>
    <row r="48" spans="1:4">
      <c r="B48" t="s">
        <v>85</v>
      </c>
      <c r="C48">
        <v>420000000</v>
      </c>
      <c r="D48">
        <v>18000000</v>
      </c>
    </row>
    <row r="49" spans="1:4">
      <c r="B49" t="s">
        <v>86</v>
      </c>
      <c r="C49">
        <v>39000000</v>
      </c>
      <c r="D49">
        <v>18000000</v>
      </c>
    </row>
    <row r="50" spans="1:4">
      <c r="B50" t="s">
        <v>87</v>
      </c>
      <c r="C50">
        <v>54000000</v>
      </c>
      <c r="D50">
        <v>18000000</v>
      </c>
    </row>
    <row r="51" spans="1:4">
      <c r="B51" t="s">
        <v>88</v>
      </c>
      <c r="C51">
        <v>71928000</v>
      </c>
      <c r="D51">
        <v>18000000</v>
      </c>
    </row>
    <row r="52" spans="1:4">
      <c r="B52" t="s">
        <v>89</v>
      </c>
      <c r="C52">
        <v>54000000</v>
      </c>
      <c r="D52">
        <v>18000000</v>
      </c>
    </row>
    <row r="53" spans="1:4">
      <c r="B53" t="s">
        <v>90</v>
      </c>
      <c r="C53">
        <v>72000000</v>
      </c>
      <c r="D53">
        <v>36000000</v>
      </c>
    </row>
    <row r="54" spans="1:4">
      <c r="B54" t="s">
        <v>91</v>
      </c>
      <c r="C54">
        <v>39000000</v>
      </c>
      <c r="D54">
        <v>18000000</v>
      </c>
    </row>
    <row r="55" spans="1:4">
      <c r="B55" t="s">
        <v>92</v>
      </c>
      <c r="C55">
        <v>34170000</v>
      </c>
      <c r="D55">
        <v>2847500</v>
      </c>
    </row>
    <row r="56" spans="1:4">
      <c r="A56" t="s">
        <v>93</v>
      </c>
      <c r="B56" t="s">
        <v>94</v>
      </c>
      <c r="C56">
        <v>886800000</v>
      </c>
      <c r="D56">
        <v>144000000</v>
      </c>
    </row>
    <row r="57" spans="1:4">
      <c r="B57" t="s">
        <v>95</v>
      </c>
      <c r="C57">
        <v>35454000</v>
      </c>
      <c r="D57">
        <v>18000000</v>
      </c>
    </row>
    <row r="58" spans="1:4">
      <c r="B58" t="s">
        <v>96</v>
      </c>
      <c r="C58">
        <v>521600000</v>
      </c>
      <c r="D58">
        <v>72000000</v>
      </c>
    </row>
    <row r="59" spans="1:4">
      <c r="A59" t="s">
        <v>97</v>
      </c>
      <c r="B59" t="s">
        <v>98</v>
      </c>
      <c r="C59">
        <v>240000000</v>
      </c>
      <c r="D59">
        <v>2000000</v>
      </c>
    </row>
    <row r="60" spans="1:4">
      <c r="B60" t="s">
        <v>99</v>
      </c>
      <c r="C60">
        <v>143400000</v>
      </c>
      <c r="D60">
        <v>12000000</v>
      </c>
    </row>
    <row r="61" spans="1:4">
      <c r="B61" t="s">
        <v>100</v>
      </c>
      <c r="C61">
        <v>108000000</v>
      </c>
      <c r="D61">
        <v>24000000</v>
      </c>
    </row>
    <row r="62" spans="1:4">
      <c r="B62" t="s">
        <v>101</v>
      </c>
      <c r="C62">
        <v>102000000</v>
      </c>
      <c r="D62">
        <v>24000000</v>
      </c>
    </row>
    <row r="63" spans="1:4">
      <c r="B63" t="s">
        <v>102</v>
      </c>
      <c r="C63">
        <v>96000000</v>
      </c>
      <c r="D63">
        <v>24000000</v>
      </c>
    </row>
    <row r="64" spans="1:4">
      <c r="A64" t="s">
        <v>103</v>
      </c>
      <c r="B64" t="s">
        <v>104</v>
      </c>
      <c r="C64">
        <v>36000000</v>
      </c>
      <c r="D64">
        <v>11250000</v>
      </c>
    </row>
    <row r="65" spans="1:4">
      <c r="B65" t="s">
        <v>105</v>
      </c>
      <c r="C65">
        <v>54000000</v>
      </c>
      <c r="D65">
        <v>15480000</v>
      </c>
    </row>
    <row r="66" spans="1:4">
      <c r="B66" t="s">
        <v>106</v>
      </c>
      <c r="C66">
        <v>39600000</v>
      </c>
      <c r="D66">
        <v>31500000</v>
      </c>
    </row>
    <row r="67" spans="1:4">
      <c r="B67" t="s">
        <v>107</v>
      </c>
      <c r="C67">
        <v>45818184</v>
      </c>
      <c r="D67">
        <v>5100300</v>
      </c>
    </row>
    <row r="68" spans="1:4">
      <c r="A68" t="s">
        <v>108</v>
      </c>
      <c r="B68" t="s">
        <v>109</v>
      </c>
      <c r="C68">
        <v>360000000</v>
      </c>
      <c r="D68">
        <v>26362098</v>
      </c>
    </row>
    <row r="69" spans="1:4">
      <c r="A69" t="s">
        <v>110</v>
      </c>
      <c r="B69" t="s">
        <v>111</v>
      </c>
      <c r="C69">
        <v>615500000</v>
      </c>
      <c r="D69">
        <v>56997993</v>
      </c>
    </row>
    <row r="70" spans="1:4">
      <c r="A70" t="s">
        <v>112</v>
      </c>
      <c r="B70" t="s">
        <v>113</v>
      </c>
      <c r="C70">
        <v>80400000</v>
      </c>
      <c r="D70">
        <v>9350000</v>
      </c>
    </row>
    <row r="71" spans="1:4">
      <c r="A71" t="s">
        <v>114</v>
      </c>
      <c r="B71" t="s">
        <v>115</v>
      </c>
      <c r="C71">
        <v>33789600000</v>
      </c>
      <c r="D71">
        <v>119700000</v>
      </c>
    </row>
    <row r="72" spans="1:4">
      <c r="A72" t="s">
        <v>116</v>
      </c>
      <c r="B72" t="s">
        <v>117</v>
      </c>
      <c r="C72">
        <v>64800000</v>
      </c>
      <c r="D72">
        <v>5400000</v>
      </c>
    </row>
    <row r="73" spans="1:4">
      <c r="B73" t="s">
        <v>118</v>
      </c>
      <c r="C73">
        <v>69500000</v>
      </c>
      <c r="D73">
        <v>2500000</v>
      </c>
    </row>
    <row r="74" spans="1:4">
      <c r="A74" t="s">
        <v>119</v>
      </c>
      <c r="B74" t="s">
        <v>120</v>
      </c>
      <c r="C74">
        <v>30000000</v>
      </c>
      <c r="D74">
        <v>12000000</v>
      </c>
    </row>
    <row r="75" spans="1:4">
      <c r="B75" t="s">
        <v>118</v>
      </c>
      <c r="C75">
        <v>72000000</v>
      </c>
      <c r="D75">
        <v>2500000</v>
      </c>
    </row>
    <row r="76" spans="1:4">
      <c r="B76" t="s">
        <v>121</v>
      </c>
      <c r="C76">
        <v>36000000</v>
      </c>
      <c r="D76">
        <v>2500000</v>
      </c>
    </row>
    <row r="77" spans="1:4">
      <c r="B77" t="s">
        <v>122</v>
      </c>
      <c r="C77">
        <v>64800000</v>
      </c>
      <c r="D77">
        <v>12000000</v>
      </c>
    </row>
    <row r="78" spans="1:4">
      <c r="B78" t="s">
        <v>123</v>
      </c>
      <c r="C78">
        <v>27272724</v>
      </c>
      <c r="D78">
        <v>12000000</v>
      </c>
    </row>
    <row r="79" spans="1:4">
      <c r="B79" t="s">
        <v>124</v>
      </c>
      <c r="C79">
        <v>49200000</v>
      </c>
      <c r="D79">
        <v>12000000</v>
      </c>
    </row>
    <row r="80" spans="1:4">
      <c r="A80" t="s">
        <v>125</v>
      </c>
      <c r="B80" t="s">
        <v>126</v>
      </c>
      <c r="C80">
        <v>1416000000</v>
      </c>
      <c r="D80">
        <v>72000000</v>
      </c>
    </row>
    <row r="81" spans="1:4">
      <c r="A81" t="s">
        <v>127</v>
      </c>
      <c r="B81" t="s">
        <v>128</v>
      </c>
      <c r="C81">
        <v>14832000</v>
      </c>
      <c r="D81">
        <v>13000000</v>
      </c>
    </row>
    <row r="82" spans="1:4">
      <c r="A82" t="s">
        <v>129</v>
      </c>
      <c r="B82" t="s">
        <v>130</v>
      </c>
      <c r="C82">
        <v>65000000</v>
      </c>
      <c r="D82">
        <v>20391750</v>
      </c>
    </row>
    <row r="83" spans="1:4">
      <c r="B83" t="s">
        <v>131</v>
      </c>
      <c r="C83">
        <v>7050077600</v>
      </c>
      <c r="D83">
        <v>33533100</v>
      </c>
    </row>
    <row r="84" spans="1:4">
      <c r="B84" t="s">
        <v>132</v>
      </c>
      <c r="C84">
        <v>144000000</v>
      </c>
      <c r="D84">
        <v>13594500</v>
      </c>
    </row>
    <row r="85" spans="1:4">
      <c r="B85" t="s">
        <v>133</v>
      </c>
      <c r="C85">
        <v>564000000</v>
      </c>
      <c r="D85">
        <v>24470100</v>
      </c>
    </row>
    <row r="86" spans="1:4">
      <c r="B86" t="s">
        <v>134</v>
      </c>
      <c r="C86">
        <v>65453340</v>
      </c>
      <c r="D86">
        <v>36705157</v>
      </c>
    </row>
    <row r="87" spans="1:4">
      <c r="B87" t="s">
        <v>135</v>
      </c>
      <c r="C87">
        <v>90000000</v>
      </c>
      <c r="D87">
        <v>31176720</v>
      </c>
    </row>
    <row r="88" spans="1:4">
      <c r="B88" t="s">
        <v>136</v>
      </c>
      <c r="C88">
        <v>109200000</v>
      </c>
      <c r="D88">
        <v>24107581</v>
      </c>
    </row>
    <row r="89" spans="1:4">
      <c r="B89" t="s">
        <v>137</v>
      </c>
      <c r="C89">
        <v>273600000</v>
      </c>
      <c r="D89">
        <v>48668315</v>
      </c>
    </row>
    <row r="90" spans="1:4">
      <c r="B90" t="s">
        <v>138</v>
      </c>
      <c r="C90">
        <v>109440000</v>
      </c>
      <c r="D90">
        <v>37702080</v>
      </c>
    </row>
    <row r="91" spans="1:4">
      <c r="B91" t="s">
        <v>139</v>
      </c>
      <c r="C91">
        <v>66000000</v>
      </c>
      <c r="D91">
        <v>543780</v>
      </c>
    </row>
    <row r="92" spans="1:4">
      <c r="A92" t="s">
        <v>140</v>
      </c>
      <c r="B92" t="s">
        <v>141</v>
      </c>
      <c r="C92">
        <v>1116598920</v>
      </c>
      <c r="D92">
        <v>15141000</v>
      </c>
    </row>
    <row r="93" spans="1:4">
      <c r="B93"/>
      <c r="C93"/>
      <c r="D93">
        <v>21901920</v>
      </c>
    </row>
    <row r="94" spans="1:4">
      <c r="B94"/>
      <c r="C94"/>
      <c r="D94">
        <v>46204776</v>
      </c>
    </row>
    <row r="95" spans="1:4">
      <c r="B95" t="s">
        <v>142</v>
      </c>
      <c r="C95">
        <v>223512000</v>
      </c>
      <c r="D95">
        <v>9545016</v>
      </c>
    </row>
    <row r="96" spans="1:4">
      <c r="B96"/>
      <c r="C96" t="s">
        <v>48</v>
      </c>
      <c r="D96">
        <v>48568620</v>
      </c>
    </row>
    <row r="97" spans="1:4">
      <c r="A97" t="s">
        <v>143</v>
      </c>
      <c r="B97" t="s">
        <v>144</v>
      </c>
      <c r="C97">
        <v>112800000</v>
      </c>
      <c r="D97">
        <v>15750000</v>
      </c>
    </row>
    <row r="98" spans="1:4">
      <c r="B98" t="s">
        <v>145</v>
      </c>
      <c r="C98">
        <v>25680000</v>
      </c>
      <c r="D98">
        <v>14300000</v>
      </c>
    </row>
    <row r="99" spans="1:4">
      <c r="A99" t="s">
        <v>146</v>
      </c>
      <c r="B99" t="s">
        <v>147</v>
      </c>
      <c r="C99" t="s">
        <v>115</v>
      </c>
      <c r="D99">
        <v>5000000</v>
      </c>
    </row>
    <row r="100" spans="1:4">
      <c r="B100" t="s">
        <v>148</v>
      </c>
      <c r="C100" t="s">
        <v>48</v>
      </c>
      <c r="D100">
        <v>10000000</v>
      </c>
    </row>
    <row r="101" spans="1:4">
      <c r="B101" t="s">
        <v>149</v>
      </c>
      <c r="C101" t="s">
        <v>48</v>
      </c>
      <c r="D101">
        <v>7500000</v>
      </c>
    </row>
    <row r="102" spans="1:4">
      <c r="B102" t="s">
        <v>150</v>
      </c>
      <c r="C102" t="s">
        <v>48</v>
      </c>
      <c r="D102">
        <v>30000000</v>
      </c>
    </row>
    <row r="103" spans="1:4">
      <c r="A103" t="s">
        <v>151</v>
      </c>
      <c r="B103" t="s">
        <v>152</v>
      </c>
      <c r="C103">
        <v>140400000</v>
      </c>
      <c r="D103">
        <v>35000000</v>
      </c>
    </row>
    <row r="104" spans="1:4">
      <c r="B104" t="s">
        <v>153</v>
      </c>
      <c r="C104">
        <v>72000000</v>
      </c>
      <c r="D104">
        <v>7500000</v>
      </c>
    </row>
    <row r="105" spans="1:4">
      <c r="A105" t="s">
        <v>154</v>
      </c>
      <c r="B105" t="s">
        <v>155</v>
      </c>
      <c r="C105" t="s">
        <v>48</v>
      </c>
      <c r="D105">
        <v>102000000</v>
      </c>
    </row>
    <row r="106" spans="1:4">
      <c r="B106" t="s">
        <v>156</v>
      </c>
      <c r="C106">
        <v>108000000</v>
      </c>
      <c r="D106">
        <v>78000000</v>
      </c>
    </row>
    <row r="107" spans="1:4">
      <c r="B107" t="s">
        <v>157</v>
      </c>
      <c r="C107">
        <v>300000000</v>
      </c>
      <c r="D107">
        <v>78000000</v>
      </c>
    </row>
    <row r="108" spans="1:4">
      <c r="B108" t="s">
        <v>158</v>
      </c>
      <c r="C108">
        <v>144000000</v>
      </c>
      <c r="D108">
        <v>24000000</v>
      </c>
    </row>
    <row r="109" spans="1:4">
      <c r="B109" t="s">
        <v>159</v>
      </c>
      <c r="C109">
        <v>660000000</v>
      </c>
      <c r="D109">
        <v>234000000</v>
      </c>
    </row>
    <row r="110" spans="1:4">
      <c r="A110" t="s">
        <v>160</v>
      </c>
      <c r="B110" t="s">
        <v>161</v>
      </c>
      <c r="C110">
        <v>213600000</v>
      </c>
      <c r="D110">
        <v>102000000</v>
      </c>
    </row>
    <row r="111" spans="1:4">
      <c r="B111" t="s">
        <v>162</v>
      </c>
      <c r="C111">
        <v>210000000</v>
      </c>
      <c r="D111">
        <v>132000000</v>
      </c>
    </row>
    <row r="112" spans="1:4">
      <c r="B112" t="s">
        <v>163</v>
      </c>
      <c r="C112">
        <v>102000000</v>
      </c>
      <c r="D112">
        <v>24000000</v>
      </c>
    </row>
    <row r="113" spans="1:4">
      <c r="B113" t="s">
        <v>164</v>
      </c>
      <c r="C113">
        <v>64634000</v>
      </c>
      <c r="D113">
        <v>24000000</v>
      </c>
    </row>
    <row r="114" spans="1:4">
      <c r="A114" t="s">
        <v>165</v>
      </c>
      <c r="B114" t="s">
        <v>166</v>
      </c>
      <c r="C114">
        <v>420000000</v>
      </c>
      <c r="D114">
        <v>5000000</v>
      </c>
    </row>
    <row r="115" spans="1:4">
      <c r="A115" t="s">
        <v>167</v>
      </c>
      <c r="B115" t="s">
        <v>168</v>
      </c>
      <c r="C115">
        <v>33000000</v>
      </c>
      <c r="D115">
        <v>5000000</v>
      </c>
    </row>
    <row r="116" spans="1:4">
      <c r="A116" t="s">
        <v>169</v>
      </c>
      <c r="B116" t="s">
        <v>115</v>
      </c>
      <c r="C116">
        <v>0</v>
      </c>
      <c r="D116">
        <v>18000000</v>
      </c>
    </row>
    <row r="117" spans="1:4">
      <c r="B117"/>
      <c r="C117">
        <v>3359664000</v>
      </c>
      <c r="D117">
        <v>1391000000</v>
      </c>
    </row>
    <row r="118" spans="1:4">
      <c r="B118"/>
      <c r="C118" t="s">
        <v>48</v>
      </c>
      <c r="D118">
        <v>36000000</v>
      </c>
    </row>
    <row r="119" spans="1:4">
      <c r="B119" t="s">
        <v>170</v>
      </c>
      <c r="C119" t="s">
        <v>48</v>
      </c>
      <c r="D119">
        <v>2500000</v>
      </c>
    </row>
    <row r="120" spans="1:4">
      <c r="B120" t="s">
        <v>171</v>
      </c>
      <c r="C120">
        <v>516000000</v>
      </c>
      <c r="D120">
        <v>49500000</v>
      </c>
    </row>
    <row r="121" spans="1:4">
      <c r="B121" t="s">
        <v>172</v>
      </c>
      <c r="C121">
        <v>1704000000</v>
      </c>
      <c r="D121">
        <v>18000000</v>
      </c>
    </row>
    <row r="122" spans="1:4">
      <c r="B122" t="s">
        <v>173</v>
      </c>
      <c r="C122">
        <v>41000000</v>
      </c>
      <c r="D122">
        <v>18000000</v>
      </c>
    </row>
    <row r="123" spans="1:4">
      <c r="B123" t="s">
        <v>147</v>
      </c>
      <c r="C123">
        <v>0</v>
      </c>
      <c r="D123">
        <v>18000000</v>
      </c>
    </row>
    <row r="124" spans="1:4">
      <c r="B124" t="s">
        <v>174</v>
      </c>
      <c r="C124">
        <v>1890000000</v>
      </c>
      <c r="D124">
        <v>2500000</v>
      </c>
    </row>
    <row r="125" spans="1:4">
      <c r="B125" t="s">
        <v>175</v>
      </c>
      <c r="C125">
        <v>1080000000</v>
      </c>
      <c r="D125">
        <v>18000000</v>
      </c>
    </row>
    <row r="126" spans="1:4">
      <c r="B126" t="s">
        <v>176</v>
      </c>
      <c r="C126" t="s">
        <v>48</v>
      </c>
      <c r="D126">
        <v>18000000</v>
      </c>
    </row>
    <row r="127" spans="1:4">
      <c r="B127" t="s">
        <v>177</v>
      </c>
      <c r="C127">
        <v>3000000000</v>
      </c>
      <c r="D127">
        <v>36000000</v>
      </c>
    </row>
    <row r="128" spans="1:4">
      <c r="B128" t="s">
        <v>178</v>
      </c>
      <c r="C128">
        <v>480000000</v>
      </c>
      <c r="D128">
        <v>18000000</v>
      </c>
    </row>
    <row r="129" spans="1:4">
      <c r="B129" t="s">
        <v>48</v>
      </c>
      <c r="C129">
        <v>576000000</v>
      </c>
      <c r="D129">
        <v>18000000</v>
      </c>
    </row>
    <row r="130" spans="1:4">
      <c r="A130" t="s">
        <v>179</v>
      </c>
      <c r="B130" t="s">
        <v>115</v>
      </c>
      <c r="C130">
        <v>14078040000</v>
      </c>
      <c r="D130">
        <v>36000000</v>
      </c>
    </row>
    <row r="131" spans="1:4">
      <c r="B131" t="s">
        <v>48</v>
      </c>
      <c r="C131" t="s">
        <v>48</v>
      </c>
      <c r="D131">
        <v>1391000000</v>
      </c>
    </row>
    <row r="132" spans="1:4">
      <c r="A132" t="s">
        <v>180</v>
      </c>
      <c r="B132" t="s">
        <v>181</v>
      </c>
      <c r="C132">
        <v>163225440</v>
      </c>
      <c r="D132">
        <v>12000000</v>
      </c>
    </row>
    <row r="133" spans="1:4">
      <c r="A133" t="s">
        <v>182</v>
      </c>
      <c r="B133" t="s">
        <v>183</v>
      </c>
      <c r="C133">
        <v>25200000</v>
      </c>
      <c r="D133">
        <v>2100000</v>
      </c>
    </row>
    <row r="134" spans="1:4">
      <c r="A134" t="s">
        <v>184</v>
      </c>
      <c r="B134" t="s">
        <v>185</v>
      </c>
      <c r="C134">
        <v>276000000</v>
      </c>
      <c r="D134">
        <v>60000000</v>
      </c>
    </row>
    <row r="135" spans="1:4">
      <c r="A135" t="s">
        <v>186</v>
      </c>
      <c r="B135" t="s">
        <v>187</v>
      </c>
      <c r="C135">
        <v>54000000</v>
      </c>
      <c r="D135">
        <v>30000000</v>
      </c>
    </row>
    <row r="136" spans="1:4">
      <c r="B136" t="s">
        <v>188</v>
      </c>
      <c r="C136" t="s">
        <v>48</v>
      </c>
      <c r="D136">
        <v>42000000</v>
      </c>
    </row>
    <row r="137" spans="1:4">
      <c r="A137" t="s">
        <v>189</v>
      </c>
      <c r="B137" t="s">
        <v>190</v>
      </c>
      <c r="C137">
        <v>310800000</v>
      </c>
      <c r="D137">
        <v>41500000</v>
      </c>
    </row>
    <row r="138" spans="1:4">
      <c r="A138" t="s">
        <v>191</v>
      </c>
      <c r="B138" t="s">
        <v>192</v>
      </c>
      <c r="C138">
        <v>48000000</v>
      </c>
      <c r="D138">
        <v>21600000</v>
      </c>
    </row>
    <row r="139" spans="1:4">
      <c r="B139" t="s">
        <v>193</v>
      </c>
      <c r="C139">
        <v>43200000</v>
      </c>
      <c r="D139">
        <v>12000000</v>
      </c>
    </row>
    <row r="140" spans="1:4">
      <c r="A140" t="s">
        <v>194</v>
      </c>
      <c r="B140" t="s">
        <v>195</v>
      </c>
      <c r="C140">
        <v>32863642</v>
      </c>
      <c r="D140">
        <v>15000000</v>
      </c>
    </row>
    <row r="141" spans="1:4">
      <c r="A141" t="s">
        <v>196</v>
      </c>
      <c r="B141" t="s">
        <v>197</v>
      </c>
      <c r="C141">
        <v>180000000</v>
      </c>
      <c r="D141">
        <v>36000000</v>
      </c>
    </row>
    <row r="142" spans="1:4">
      <c r="A142" t="s">
        <v>198</v>
      </c>
      <c r="B142" t="s">
        <v>199</v>
      </c>
      <c r="C142">
        <v>402060000</v>
      </c>
      <c r="D142">
        <v>26796000</v>
      </c>
    </row>
    <row r="143" spans="1:4">
      <c r="A143" t="s">
        <v>200</v>
      </c>
      <c r="B143" t="s">
        <v>201</v>
      </c>
      <c r="C143">
        <v>55860000</v>
      </c>
      <c r="D143">
        <v>34000000</v>
      </c>
    </row>
    <row r="144" spans="1:4">
      <c r="A144" t="s">
        <v>202</v>
      </c>
      <c r="B144" t="s">
        <v>203</v>
      </c>
      <c r="C144">
        <v>34800000</v>
      </c>
      <c r="D144">
        <v>1900000</v>
      </c>
    </row>
    <row r="145" spans="1:4">
      <c r="A145" t="s">
        <v>204</v>
      </c>
      <c r="B145" t="s">
        <v>205</v>
      </c>
      <c r="C145">
        <v>667745556</v>
      </c>
      <c r="D145">
        <v>52500000</v>
      </c>
    </row>
    <row r="146" spans="1:4">
      <c r="A146" t="s">
        <v>206</v>
      </c>
      <c r="B146" t="s">
        <v>207</v>
      </c>
      <c r="C146">
        <v>90000000</v>
      </c>
      <c r="D146">
        <v>50400000</v>
      </c>
    </row>
    <row r="147" spans="1:4">
      <c r="A147" t="s">
        <v>208</v>
      </c>
      <c r="B147" t="s">
        <v>209</v>
      </c>
      <c r="C147">
        <v>336720000</v>
      </c>
      <c r="D147">
        <v>336720000</v>
      </c>
    </row>
    <row r="148" spans="1:4">
      <c r="A148" t="s">
        <v>210</v>
      </c>
      <c r="B148" t="s">
        <v>211</v>
      </c>
      <c r="C148">
        <v>126108000</v>
      </c>
      <c r="D148">
        <v>18000000</v>
      </c>
    </row>
    <row r="149" spans="1:4">
      <c r="B149" t="s">
        <v>212</v>
      </c>
      <c r="C149">
        <v>38568000</v>
      </c>
      <c r="D149">
        <v>12000000</v>
      </c>
    </row>
    <row r="150" spans="1:4">
      <c r="A150" t="s">
        <v>213</v>
      </c>
      <c r="B150" t="s">
        <v>214</v>
      </c>
      <c r="C150">
        <v>271800000</v>
      </c>
      <c r="D150">
        <v>159804500</v>
      </c>
    </row>
    <row r="151" spans="1:4">
      <c r="A151" t="s">
        <v>215</v>
      </c>
      <c r="B151" t="s">
        <v>216</v>
      </c>
      <c r="C151">
        <v>132000000</v>
      </c>
      <c r="D151">
        <v>12000000</v>
      </c>
    </row>
    <row r="152" spans="1:4">
      <c r="A152" t="s">
        <v>217</v>
      </c>
      <c r="B152" t="s">
        <v>218</v>
      </c>
      <c r="C152">
        <v>76200000</v>
      </c>
      <c r="D152">
        <v>78000000</v>
      </c>
    </row>
    <row r="153" spans="1:4">
      <c r="A153" t="s">
        <v>219</v>
      </c>
      <c r="B153" t="s">
        <v>220</v>
      </c>
      <c r="C153">
        <v>42000000</v>
      </c>
      <c r="D153">
        <v>3600000</v>
      </c>
    </row>
    <row r="154" spans="1:4">
      <c r="A154" t="s">
        <v>221</v>
      </c>
      <c r="B154" t="s">
        <v>222</v>
      </c>
      <c r="C154">
        <v>47300000</v>
      </c>
      <c r="D154">
        <v>6000000</v>
      </c>
    </row>
    <row r="155" spans="1:4">
      <c r="B155" t="s">
        <v>223</v>
      </c>
      <c r="C155">
        <v>63000000</v>
      </c>
      <c r="D155">
        <v>6000000</v>
      </c>
    </row>
    <row r="156" spans="1:4">
      <c r="B156" t="s">
        <v>224</v>
      </c>
      <c r="C156">
        <v>142432443</v>
      </c>
      <c r="D156">
        <v>24000000</v>
      </c>
    </row>
    <row r="157" spans="1:4">
      <c r="A157" t="s">
        <v>225</v>
      </c>
      <c r="B157" t="s">
        <v>226</v>
      </c>
      <c r="C157">
        <v>63360000</v>
      </c>
      <c r="D157">
        <v>6000000</v>
      </c>
    </row>
    <row r="158" spans="1:4">
      <c r="B158" t="s">
        <v>227</v>
      </c>
      <c r="C158">
        <v>118956000</v>
      </c>
      <c r="D158">
        <v>14400000</v>
      </c>
    </row>
    <row r="159" spans="1:4">
      <c r="A159" t="s">
        <v>228</v>
      </c>
      <c r="B159" t="s">
        <v>229</v>
      </c>
      <c r="C159">
        <v>6000000</v>
      </c>
      <c r="D159">
        <v>5000000</v>
      </c>
    </row>
    <row r="160" spans="1:4">
      <c r="A160" t="s">
        <v>230</v>
      </c>
      <c r="B160" t="s">
        <v>231</v>
      </c>
      <c r="C160">
        <v>26400000</v>
      </c>
      <c r="D160">
        <v>12000000</v>
      </c>
    </row>
    <row r="161" spans="1:4">
      <c r="A161" t="s">
        <v>232</v>
      </c>
      <c r="B161" t="s">
        <v>233</v>
      </c>
      <c r="C161">
        <v>441300000</v>
      </c>
      <c r="D161">
        <v>50000000</v>
      </c>
    </row>
    <row r="162" spans="1:4">
      <c r="A162" t="s">
        <v>234</v>
      </c>
      <c r="B162" t="s">
        <v>48</v>
      </c>
      <c r="C162">
        <v>0</v>
      </c>
      <c r="D162">
        <v>123059078</v>
      </c>
    </row>
    <row r="163" spans="1:4">
      <c r="A163" t="s">
        <v>235</v>
      </c>
      <c r="B163" t="s">
        <v>236</v>
      </c>
      <c r="C163">
        <v>86400000</v>
      </c>
      <c r="D163">
        <v>7200000</v>
      </c>
    </row>
    <row r="164" spans="1:4">
      <c r="A164" t="s">
        <v>237</v>
      </c>
      <c r="B164"/>
      <c r="C164"/>
      <c r="D164"/>
    </row>
    <row r="165" spans="1:4">
      <c r="B165"/>
      <c r="C165" s="474">
        <f>SUM(C8:C163)</f>
        <v>113239704148</v>
      </c>
      <c r="D165" s="474">
        <f>SUM(D8:D163)</f>
        <v>7505351884</v>
      </c>
    </row>
    <row r="166" spans="1:4">
      <c r="B166"/>
      <c r="C166"/>
      <c r="D166"/>
    </row>
    <row r="167" spans="1:4">
      <c r="B167"/>
      <c r="C167"/>
      <c r="D167"/>
    </row>
    <row r="168" spans="1:4">
      <c r="B168"/>
      <c r="C168"/>
      <c r="D168"/>
    </row>
    <row r="169" spans="1:4">
      <c r="B169"/>
      <c r="C169"/>
      <c r="D169"/>
    </row>
    <row r="170" spans="1:4">
      <c r="B170"/>
      <c r="C170"/>
      <c r="D170"/>
    </row>
    <row r="171" spans="1:4">
      <c r="B171"/>
      <c r="C171"/>
      <c r="D171"/>
    </row>
    <row r="172" spans="1:4">
      <c r="B172"/>
      <c r="C172"/>
      <c r="D172"/>
    </row>
    <row r="173" spans="1:4">
      <c r="B173"/>
      <c r="C173"/>
      <c r="D173"/>
    </row>
    <row r="174" spans="1:4">
      <c r="B174"/>
      <c r="C174"/>
      <c r="D174"/>
    </row>
    <row r="175" spans="1:4">
      <c r="B175"/>
      <c r="C175"/>
      <c r="D175"/>
    </row>
    <row r="176" spans="1:4">
      <c r="B176"/>
      <c r="C176"/>
      <c r="D176"/>
    </row>
    <row r="177" spans="2:4">
      <c r="B177"/>
      <c r="C177"/>
      <c r="D177"/>
    </row>
    <row r="178" spans="2:4">
      <c r="B178"/>
      <c r="C178"/>
      <c r="D178"/>
    </row>
    <row r="179" spans="2:4">
      <c r="B179"/>
      <c r="C179"/>
      <c r="D179"/>
    </row>
    <row r="180" spans="2:4">
      <c r="B180"/>
      <c r="C180"/>
      <c r="D180"/>
    </row>
    <row r="181" spans="2:4">
      <c r="B181"/>
      <c r="C181"/>
      <c r="D181"/>
    </row>
    <row r="182" spans="2:4">
      <c r="B182"/>
      <c r="C182"/>
      <c r="D182"/>
    </row>
    <row r="183" spans="2:4">
      <c r="B183"/>
      <c r="C183"/>
      <c r="D183"/>
    </row>
    <row r="184" spans="2:4">
      <c r="B184"/>
      <c r="C184"/>
      <c r="D184"/>
    </row>
    <row r="185" spans="2:4">
      <c r="B185"/>
      <c r="C185"/>
      <c r="D185"/>
    </row>
    <row r="186" spans="2:4">
      <c r="B186"/>
      <c r="C186"/>
      <c r="D186"/>
    </row>
    <row r="187" spans="2:4">
      <c r="B187"/>
      <c r="C187"/>
      <c r="D187"/>
    </row>
    <row r="188" spans="2:4">
      <c r="B188"/>
      <c r="C188"/>
      <c r="D188"/>
    </row>
    <row r="189" spans="2:4">
      <c r="B189"/>
      <c r="C189"/>
      <c r="D189"/>
    </row>
    <row r="190" spans="2:4">
      <c r="B190"/>
      <c r="C190"/>
      <c r="D190"/>
    </row>
    <row r="191" spans="2:4">
      <c r="B191"/>
      <c r="C191"/>
      <c r="D191"/>
    </row>
    <row r="192" spans="2:4">
      <c r="B192"/>
      <c r="C192"/>
      <c r="D192"/>
    </row>
    <row r="193" spans="2:4">
      <c r="B193"/>
      <c r="C193"/>
      <c r="D193"/>
    </row>
    <row r="194" spans="2:4">
      <c r="B194"/>
      <c r="C194"/>
      <c r="D194"/>
    </row>
    <row r="195" spans="2:4">
      <c r="B195"/>
      <c r="C195"/>
      <c r="D195"/>
    </row>
    <row r="196" spans="2:4">
      <c r="B196"/>
      <c r="C196"/>
      <c r="D196"/>
    </row>
    <row r="197" spans="2:4">
      <c r="B197"/>
      <c r="C197"/>
      <c r="D197"/>
    </row>
    <row r="198" spans="2:4">
      <c r="B198"/>
      <c r="C198"/>
      <c r="D198"/>
    </row>
    <row r="199" spans="2:4">
      <c r="B199"/>
      <c r="C199"/>
      <c r="D199"/>
    </row>
    <row r="200" spans="2:4">
      <c r="B200"/>
      <c r="C200"/>
      <c r="D200"/>
    </row>
    <row r="201" spans="2:4">
      <c r="B201"/>
      <c r="C201"/>
      <c r="D201"/>
    </row>
    <row r="202" spans="2:4">
      <c r="B202"/>
      <c r="C202"/>
      <c r="D202"/>
    </row>
    <row r="203" spans="2:4">
      <c r="B203"/>
      <c r="C203"/>
      <c r="D203"/>
    </row>
    <row r="204" spans="2:4">
      <c r="B204"/>
      <c r="C204"/>
      <c r="D204"/>
    </row>
    <row r="205" spans="2:4">
      <c r="B205"/>
      <c r="C205"/>
      <c r="D205"/>
    </row>
    <row r="206" spans="2:4">
      <c r="B206"/>
      <c r="C206"/>
      <c r="D206"/>
    </row>
    <row r="207" spans="2:4">
      <c r="B207"/>
      <c r="C207"/>
      <c r="D207"/>
    </row>
    <row r="208" spans="2:4">
      <c r="B208"/>
      <c r="C208"/>
      <c r="D208"/>
    </row>
    <row r="209" spans="2:4">
      <c r="B209"/>
      <c r="C209"/>
      <c r="D209"/>
    </row>
    <row r="210" spans="2:4">
      <c r="B210"/>
      <c r="C210"/>
      <c r="D210"/>
    </row>
    <row r="211" spans="2:4">
      <c r="B211"/>
      <c r="C211"/>
      <c r="D211"/>
    </row>
    <row r="212" spans="2:4">
      <c r="B212"/>
      <c r="C212"/>
      <c r="D212"/>
    </row>
    <row r="213" spans="2:4">
      <c r="B213"/>
      <c r="C213"/>
      <c r="D213"/>
    </row>
    <row r="214" spans="2:4">
      <c r="B214"/>
      <c r="C214"/>
      <c r="D214"/>
    </row>
    <row r="215" spans="2:4">
      <c r="B215"/>
      <c r="C215"/>
      <c r="D215"/>
    </row>
    <row r="216" spans="2:4">
      <c r="B216"/>
      <c r="C216"/>
      <c r="D216"/>
    </row>
    <row r="217" spans="2:4">
      <c r="B217"/>
      <c r="C217"/>
      <c r="D217"/>
    </row>
    <row r="218" spans="2:4">
      <c r="B218"/>
      <c r="C218"/>
      <c r="D218"/>
    </row>
    <row r="219" spans="2:4">
      <c r="B219"/>
      <c r="C219"/>
      <c r="D219"/>
    </row>
    <row r="220" spans="2:4">
      <c r="B220"/>
      <c r="C220"/>
      <c r="D220"/>
    </row>
    <row r="221" spans="2:4">
      <c r="B221"/>
      <c r="C221"/>
      <c r="D221"/>
    </row>
    <row r="222" spans="2:4">
      <c r="B222"/>
      <c r="C222"/>
      <c r="D222"/>
    </row>
    <row r="223" spans="2:4">
      <c r="B223"/>
      <c r="C223"/>
      <c r="D223"/>
    </row>
    <row r="224" spans="2:4">
      <c r="B224"/>
      <c r="C224"/>
      <c r="D224"/>
    </row>
    <row r="225" spans="2:4">
      <c r="B225"/>
      <c r="C225"/>
      <c r="D225"/>
    </row>
    <row r="226" spans="2:4">
      <c r="B226"/>
      <c r="C226"/>
      <c r="D226"/>
    </row>
    <row r="227" spans="2:4">
      <c r="B227"/>
      <c r="C227"/>
      <c r="D227"/>
    </row>
    <row r="228" spans="2:4">
      <c r="B228"/>
      <c r="C228" s="474">
        <f>SUM(C8:C226)</f>
        <v>226479408296</v>
      </c>
      <c r="D228" s="474">
        <f>SUM(D8:D226)</f>
        <v>15010703768</v>
      </c>
    </row>
    <row r="229" spans="2:4">
      <c r="B229"/>
      <c r="C229"/>
      <c r="D229"/>
    </row>
    <row r="230" spans="2:4">
      <c r="B230"/>
      <c r="C230"/>
      <c r="D230"/>
    </row>
    <row r="231" spans="2:4">
      <c r="B231"/>
      <c r="C231"/>
      <c r="D231"/>
    </row>
    <row r="232" spans="2:4">
      <c r="B232"/>
      <c r="C232"/>
      <c r="D232"/>
    </row>
    <row r="233" spans="2:4">
      <c r="B233"/>
      <c r="C233"/>
      <c r="D233"/>
    </row>
    <row r="234" spans="2:4">
      <c r="B234"/>
      <c r="C234"/>
      <c r="D234"/>
    </row>
    <row r="235" spans="2:4">
      <c r="B235"/>
      <c r="C235"/>
      <c r="D235"/>
    </row>
    <row r="236" spans="2:4">
      <c r="B236"/>
      <c r="C236"/>
      <c r="D236"/>
    </row>
    <row r="237" spans="2:4">
      <c r="B237"/>
      <c r="C237"/>
      <c r="D237"/>
    </row>
    <row r="238" spans="2:4">
      <c r="B238"/>
      <c r="C238"/>
      <c r="D238"/>
    </row>
    <row r="239" spans="2:4">
      <c r="B239"/>
      <c r="C239"/>
      <c r="D239"/>
    </row>
    <row r="240" spans="2:4">
      <c r="B240"/>
      <c r="C240"/>
      <c r="D240"/>
    </row>
    <row r="241" spans="2:4">
      <c r="B241"/>
      <c r="C241"/>
      <c r="D241"/>
    </row>
    <row r="242" spans="2:4">
      <c r="B242"/>
      <c r="C242"/>
      <c r="D242"/>
    </row>
    <row r="243" spans="2:4">
      <c r="B243"/>
      <c r="C243"/>
      <c r="D243"/>
    </row>
    <row r="244" spans="2:4">
      <c r="B244"/>
      <c r="C244"/>
      <c r="D244"/>
    </row>
    <row r="245" spans="2:4">
      <c r="B245"/>
      <c r="C245"/>
      <c r="D245"/>
    </row>
    <row r="246" spans="2:4">
      <c r="B246"/>
      <c r="C246"/>
      <c r="D246"/>
    </row>
    <row r="247" spans="2:4">
      <c r="B247"/>
      <c r="C247"/>
      <c r="D247"/>
    </row>
    <row r="248" spans="2:4">
      <c r="B248"/>
      <c r="C248"/>
      <c r="D248"/>
    </row>
    <row r="249" spans="2:4">
      <c r="B249"/>
      <c r="C249"/>
      <c r="D249"/>
    </row>
    <row r="250" spans="2:4">
      <c r="B250"/>
      <c r="C250"/>
      <c r="D250"/>
    </row>
    <row r="251" spans="2:4">
      <c r="B251"/>
      <c r="C251"/>
      <c r="D251"/>
    </row>
    <row r="252" spans="2:4">
      <c r="B252"/>
      <c r="C252"/>
      <c r="D252"/>
    </row>
    <row r="253" spans="2:4">
      <c r="B253"/>
      <c r="C253"/>
      <c r="D253"/>
    </row>
    <row r="254" spans="2:4">
      <c r="B254"/>
      <c r="C254"/>
      <c r="D254"/>
    </row>
    <row r="255" spans="2:4">
      <c r="B255"/>
      <c r="C255"/>
      <c r="D255"/>
    </row>
    <row r="256" spans="2:4">
      <c r="B256"/>
      <c r="C256"/>
      <c r="D256"/>
    </row>
    <row r="257" spans="2:4">
      <c r="B257"/>
      <c r="C257"/>
      <c r="D257"/>
    </row>
    <row r="258" spans="2:4">
      <c r="B258"/>
      <c r="C258"/>
      <c r="D258"/>
    </row>
    <row r="259" spans="2:4">
      <c r="B259"/>
      <c r="C259"/>
      <c r="D259"/>
    </row>
    <row r="260" spans="2:4">
      <c r="B260"/>
      <c r="C260"/>
      <c r="D260"/>
    </row>
    <row r="261" spans="2:4">
      <c r="B261"/>
      <c r="C261"/>
      <c r="D261"/>
    </row>
    <row r="262" spans="2:4">
      <c r="B262"/>
      <c r="C262"/>
      <c r="D262"/>
    </row>
    <row r="263" spans="2:4">
      <c r="B263"/>
      <c r="C263"/>
      <c r="D263"/>
    </row>
    <row r="264" spans="2:4">
      <c r="B264"/>
      <c r="C264"/>
      <c r="D264"/>
    </row>
    <row r="265" spans="2:4">
      <c r="B265"/>
      <c r="C265"/>
      <c r="D265"/>
    </row>
    <row r="266" spans="2:4">
      <c r="B266"/>
      <c r="C266"/>
      <c r="D266"/>
    </row>
    <row r="267" spans="2:4">
      <c r="B267"/>
      <c r="C267"/>
      <c r="D267"/>
    </row>
    <row r="268" spans="2:4">
      <c r="B268"/>
      <c r="C268"/>
      <c r="D268"/>
    </row>
    <row r="269" spans="2:4">
      <c r="B269"/>
      <c r="C269"/>
      <c r="D269"/>
    </row>
    <row r="270" spans="2:4">
      <c r="B270"/>
      <c r="C270"/>
      <c r="D270"/>
    </row>
    <row r="271" spans="2:4">
      <c r="B271"/>
      <c r="C271"/>
      <c r="D271"/>
    </row>
    <row r="272" spans="2:4">
      <c r="B272"/>
      <c r="C272"/>
      <c r="D272"/>
    </row>
    <row r="273" spans="2:4">
      <c r="B273"/>
      <c r="C273"/>
      <c r="D273"/>
    </row>
    <row r="274" spans="2:4">
      <c r="B274"/>
      <c r="C274"/>
      <c r="D274"/>
    </row>
    <row r="275" spans="2:4">
      <c r="B275"/>
      <c r="C275"/>
      <c r="D275"/>
    </row>
    <row r="276" spans="2:4">
      <c r="B276"/>
      <c r="C276"/>
      <c r="D276"/>
    </row>
    <row r="277" spans="2:4">
      <c r="B277"/>
      <c r="C277"/>
      <c r="D277"/>
    </row>
    <row r="278" spans="2:4">
      <c r="B278"/>
      <c r="C278"/>
      <c r="D278"/>
    </row>
    <row r="279" spans="2:4">
      <c r="B279"/>
      <c r="C279"/>
      <c r="D279"/>
    </row>
    <row r="280" spans="2:4">
      <c r="B280"/>
      <c r="C280"/>
      <c r="D280"/>
    </row>
    <row r="281" spans="2:4">
      <c r="B281"/>
      <c r="C281" s="22">
        <f>SUM(C8:C279)</f>
        <v>452958816592</v>
      </c>
      <c r="D281" s="22">
        <f>SUM(D8:D279)</f>
        <v>30021407536</v>
      </c>
    </row>
    <row r="282" spans="2:4">
      <c r="B282"/>
      <c r="C282" s="22"/>
    </row>
    <row r="283" spans="2:4">
      <c r="B283"/>
      <c r="C283" s="22"/>
    </row>
    <row r="284" spans="2:4">
      <c r="B284"/>
      <c r="C284" s="22"/>
    </row>
    <row r="285" spans="2:4">
      <c r="B285"/>
      <c r="C285" s="22"/>
    </row>
    <row r="286" spans="2:4">
      <c r="B286"/>
      <c r="C286" s="22"/>
    </row>
    <row r="287" spans="2:4">
      <c r="B287"/>
      <c r="C287" s="22"/>
    </row>
    <row r="288" spans="2:4">
      <c r="B288"/>
      <c r="C288" s="22"/>
    </row>
    <row r="289" spans="2:3">
      <c r="B289"/>
      <c r="C289" s="22"/>
    </row>
    <row r="290" spans="2:3">
      <c r="B290"/>
      <c r="C290" s="22"/>
    </row>
    <row r="291" spans="2:3">
      <c r="B291"/>
      <c r="C291" s="22"/>
    </row>
    <row r="292" spans="2:3">
      <c r="B292"/>
      <c r="C292" s="22"/>
    </row>
    <row r="293" spans="2:3">
      <c r="B293"/>
      <c r="C293" s="22"/>
    </row>
    <row r="294" spans="2:3">
      <c r="B294"/>
      <c r="C294" s="22"/>
    </row>
    <row r="295" spans="2:3">
      <c r="B295"/>
      <c r="C295" s="22"/>
    </row>
    <row r="296" spans="2:3">
      <c r="B296"/>
      <c r="C296" s="22"/>
    </row>
    <row r="297" spans="2:3">
      <c r="B297"/>
      <c r="C297" s="22"/>
    </row>
    <row r="298" spans="2:3">
      <c r="B298"/>
      <c r="C298" s="22"/>
    </row>
    <row r="299" spans="2:3">
      <c r="B299"/>
      <c r="C299" s="22"/>
    </row>
    <row r="300" spans="2:3">
      <c r="B300"/>
      <c r="C300" s="22"/>
    </row>
    <row r="301" spans="2:3">
      <c r="B301"/>
      <c r="C301" s="22"/>
    </row>
    <row r="302" spans="2:3">
      <c r="B302"/>
      <c r="C302" s="22"/>
    </row>
    <row r="303" spans="2:3">
      <c r="B303"/>
      <c r="C303" s="22"/>
    </row>
    <row r="304" spans="2:3">
      <c r="B304"/>
      <c r="C304" s="22"/>
    </row>
    <row r="305" spans="2:3">
      <c r="B305"/>
      <c r="C305" s="22"/>
    </row>
    <row r="306" spans="2:3">
      <c r="B306"/>
      <c r="C306" s="22"/>
    </row>
    <row r="307" spans="2:3">
      <c r="B307"/>
      <c r="C307" s="22"/>
    </row>
    <row r="308" spans="2:3">
      <c r="B308"/>
      <c r="C308" s="22"/>
    </row>
    <row r="309" spans="2:3">
      <c r="B309"/>
      <c r="C309" s="22"/>
    </row>
    <row r="310" spans="2:3">
      <c r="B310"/>
      <c r="C310" s="22"/>
    </row>
    <row r="311" spans="2:3">
      <c r="B311"/>
      <c r="C311" s="22"/>
    </row>
    <row r="312" spans="2:3">
      <c r="B312"/>
      <c r="C312" s="22"/>
    </row>
    <row r="313" spans="2:3">
      <c r="B313"/>
      <c r="C313" s="22"/>
    </row>
    <row r="314" spans="2:3">
      <c r="B314"/>
      <c r="C314" s="22"/>
    </row>
    <row r="315" spans="2:3">
      <c r="B315"/>
      <c r="C315" s="22"/>
    </row>
    <row r="316" spans="2:3">
      <c r="B316"/>
      <c r="C316" s="22"/>
    </row>
    <row r="317" spans="2:3">
      <c r="B317"/>
      <c r="C317" s="22"/>
    </row>
    <row r="318" spans="2:3">
      <c r="B318"/>
      <c r="C318" s="22"/>
    </row>
    <row r="319" spans="2:3">
      <c r="B319"/>
      <c r="C319" s="22"/>
    </row>
    <row r="320" spans="2:3">
      <c r="B320"/>
      <c r="C320" s="22"/>
    </row>
    <row r="321" spans="2:3">
      <c r="B321"/>
      <c r="C321" s="22"/>
    </row>
    <row r="322" spans="2:3">
      <c r="B322"/>
      <c r="C322" s="22"/>
    </row>
    <row r="323" spans="2:3">
      <c r="B323"/>
      <c r="C323" s="22"/>
    </row>
    <row r="324" spans="2:3">
      <c r="B324"/>
      <c r="C324" s="22"/>
    </row>
    <row r="325" spans="2:3">
      <c r="B325"/>
      <c r="C325" s="22"/>
    </row>
    <row r="326" spans="2:3">
      <c r="B326"/>
      <c r="C326" s="22"/>
    </row>
    <row r="327" spans="2:3">
      <c r="B327"/>
      <c r="C327" s="22"/>
    </row>
    <row r="328" spans="2:3">
      <c r="B328"/>
      <c r="C328" s="22"/>
    </row>
    <row r="329" spans="2:3">
      <c r="B329"/>
      <c r="C329" s="22"/>
    </row>
    <row r="330" spans="2:3">
      <c r="B330"/>
      <c r="C330" s="22"/>
    </row>
    <row r="331" spans="2:3">
      <c r="B331"/>
      <c r="C331" s="22"/>
    </row>
    <row r="332" spans="2:3">
      <c r="B332"/>
      <c r="C332" s="22"/>
    </row>
    <row r="333" spans="2:3">
      <c r="B333"/>
      <c r="C333" s="22"/>
    </row>
    <row r="334" spans="2:3">
      <c r="B334"/>
      <c r="C334" s="22"/>
    </row>
    <row r="335" spans="2:3">
      <c r="B335"/>
      <c r="C335" s="22"/>
    </row>
    <row r="336" spans="2:3">
      <c r="B336"/>
      <c r="C336" s="22"/>
    </row>
    <row r="337" spans="2:3">
      <c r="B337"/>
      <c r="C337" s="22"/>
    </row>
    <row r="338" spans="2:3">
      <c r="B338"/>
      <c r="C338" s="22"/>
    </row>
    <row r="339" spans="2:3">
      <c r="B339"/>
      <c r="C339" s="22"/>
    </row>
    <row r="340" spans="2:3">
      <c r="B340"/>
      <c r="C340" s="22"/>
    </row>
    <row r="341" spans="2:3">
      <c r="B341"/>
      <c r="C341" s="22"/>
    </row>
    <row r="342" spans="2:3">
      <c r="B342"/>
      <c r="C342" s="22"/>
    </row>
    <row r="343" spans="2:3">
      <c r="B343"/>
      <c r="C343" s="22"/>
    </row>
    <row r="344" spans="2:3">
      <c r="B344"/>
      <c r="C344" s="22"/>
    </row>
    <row r="345" spans="2:3">
      <c r="B345"/>
      <c r="C345" s="22"/>
    </row>
    <row r="346" spans="2:3">
      <c r="B346"/>
      <c r="C346" s="22"/>
    </row>
    <row r="347" spans="2:3">
      <c r="B347"/>
      <c r="C347" s="22"/>
    </row>
    <row r="348" spans="2:3">
      <c r="B348"/>
      <c r="C348" s="22"/>
    </row>
    <row r="349" spans="2:3">
      <c r="B349"/>
      <c r="C349" s="22"/>
    </row>
    <row r="350" spans="2:3">
      <c r="B350"/>
      <c r="C350" s="22"/>
    </row>
    <row r="351" spans="2:3">
      <c r="B351"/>
      <c r="C351" s="22"/>
    </row>
    <row r="352" spans="2:3">
      <c r="B352"/>
      <c r="C352" s="22"/>
    </row>
    <row r="353" spans="2:3">
      <c r="B353"/>
      <c r="C353" s="22"/>
    </row>
    <row r="354" spans="2:3">
      <c r="B354"/>
      <c r="C354" s="22"/>
    </row>
    <row r="355" spans="2:3">
      <c r="B355"/>
      <c r="C355" s="22"/>
    </row>
    <row r="356" spans="2:3">
      <c r="B356"/>
      <c r="C356" s="22"/>
    </row>
    <row r="357" spans="2:3">
      <c r="B357"/>
      <c r="C357" s="22"/>
    </row>
    <row r="358" spans="2:3">
      <c r="B358"/>
      <c r="C358" s="22"/>
    </row>
    <row r="359" spans="2:3">
      <c r="B359"/>
      <c r="C359" s="22"/>
    </row>
    <row r="360" spans="2:3">
      <c r="B360"/>
      <c r="C360" s="22"/>
    </row>
    <row r="361" spans="2:3">
      <c r="B361"/>
      <c r="C361" s="22"/>
    </row>
    <row r="362" spans="2:3">
      <c r="B362"/>
      <c r="C362" s="22"/>
    </row>
    <row r="363" spans="2:3">
      <c r="B363"/>
      <c r="C363" s="22"/>
    </row>
    <row r="364" spans="2:3">
      <c r="B364"/>
      <c r="C364" s="22"/>
    </row>
    <row r="365" spans="2:3">
      <c r="B365"/>
      <c r="C365" s="22"/>
    </row>
    <row r="366" spans="2:3">
      <c r="B366"/>
      <c r="C366" s="22"/>
    </row>
    <row r="367" spans="2:3">
      <c r="B367"/>
      <c r="C367" s="22"/>
    </row>
    <row r="368" spans="2:3">
      <c r="B368"/>
      <c r="C368" s="22"/>
    </row>
    <row r="369" spans="2:3">
      <c r="B369"/>
      <c r="C369" s="22"/>
    </row>
    <row r="370" spans="2:3">
      <c r="B370"/>
      <c r="C370" s="22"/>
    </row>
    <row r="371" spans="2:3">
      <c r="B371"/>
      <c r="C371" s="22"/>
    </row>
    <row r="372" spans="2:3">
      <c r="B372"/>
      <c r="C372" s="22"/>
    </row>
    <row r="373" spans="2:3">
      <c r="B373"/>
      <c r="C373" s="22"/>
    </row>
    <row r="374" spans="2:3">
      <c r="B374"/>
      <c r="C374" s="22"/>
    </row>
    <row r="375" spans="2:3">
      <c r="B375"/>
      <c r="C375" s="22"/>
    </row>
    <row r="376" spans="2:3">
      <c r="B376"/>
      <c r="C376" s="22"/>
    </row>
    <row r="377" spans="2:3">
      <c r="B377"/>
      <c r="C377" s="22"/>
    </row>
    <row r="378" spans="2:3">
      <c r="B378"/>
      <c r="C378" s="22"/>
    </row>
    <row r="379" spans="2:3">
      <c r="B379"/>
      <c r="C379" s="22"/>
    </row>
    <row r="380" spans="2:3">
      <c r="B380"/>
      <c r="C380" s="22"/>
    </row>
    <row r="381" spans="2:3">
      <c r="B381"/>
      <c r="C381" s="22"/>
    </row>
    <row r="382" spans="2:3">
      <c r="B382"/>
      <c r="C382" s="22"/>
    </row>
    <row r="383" spans="2:3">
      <c r="B383"/>
      <c r="C383" s="22"/>
    </row>
    <row r="384" spans="2:3">
      <c r="B384"/>
      <c r="C384" s="22"/>
    </row>
    <row r="385" spans="2:3">
      <c r="B385"/>
      <c r="C385" s="22"/>
    </row>
    <row r="386" spans="2:3">
      <c r="B386"/>
      <c r="C386" s="22"/>
    </row>
    <row r="387" spans="2:3">
      <c r="B387"/>
      <c r="C387" s="22"/>
    </row>
    <row r="388" spans="2:3">
      <c r="B388"/>
      <c r="C388" s="22"/>
    </row>
    <row r="389" spans="2:3">
      <c r="B389"/>
      <c r="C389" s="22"/>
    </row>
    <row r="390" spans="2:3">
      <c r="B390"/>
      <c r="C390" s="22"/>
    </row>
    <row r="391" spans="2:3">
      <c r="B391"/>
      <c r="C391" s="22"/>
    </row>
    <row r="392" spans="2:3">
      <c r="B392"/>
      <c r="C392" s="22"/>
    </row>
    <row r="393" spans="2:3">
      <c r="B393"/>
      <c r="C393" s="22"/>
    </row>
    <row r="394" spans="2:3">
      <c r="B394"/>
      <c r="C394" s="22"/>
    </row>
    <row r="395" spans="2:3">
      <c r="B395"/>
      <c r="C395" s="22"/>
    </row>
    <row r="396" spans="2:3">
      <c r="B396"/>
      <c r="C396" s="22"/>
    </row>
    <row r="397" spans="2:3">
      <c r="B397"/>
      <c r="C397" s="22"/>
    </row>
    <row r="398" spans="2:3">
      <c r="B398"/>
      <c r="C398" s="22"/>
    </row>
    <row r="399" spans="2:3">
      <c r="B399"/>
      <c r="C399" s="22"/>
    </row>
    <row r="400" spans="2:3">
      <c r="B400"/>
      <c r="C400" s="22"/>
    </row>
    <row r="401" spans="2:3">
      <c r="B401"/>
      <c r="C401" s="22"/>
    </row>
    <row r="402" spans="2:3">
      <c r="B402"/>
      <c r="C402" s="22"/>
    </row>
    <row r="403" spans="2:3">
      <c r="B403"/>
      <c r="C403" s="22"/>
    </row>
    <row r="404" spans="2:3">
      <c r="B404"/>
      <c r="C404" s="22"/>
    </row>
    <row r="405" spans="2:3">
      <c r="B405"/>
      <c r="C405" s="22"/>
    </row>
    <row r="406" spans="2:3">
      <c r="B406"/>
      <c r="C406" s="22"/>
    </row>
    <row r="407" spans="2:3">
      <c r="B407"/>
      <c r="C407" s="22"/>
    </row>
    <row r="408" spans="2:3">
      <c r="B408"/>
      <c r="C408" s="22"/>
    </row>
    <row r="409" spans="2:3">
      <c r="B409"/>
      <c r="C409" s="22"/>
    </row>
    <row r="410" spans="2:3">
      <c r="B410"/>
      <c r="C410" s="22"/>
    </row>
    <row r="411" spans="2:3">
      <c r="B411"/>
      <c r="C411" s="22"/>
    </row>
    <row r="412" spans="2:3">
      <c r="B412"/>
      <c r="C412" s="22"/>
    </row>
    <row r="413" spans="2:3">
      <c r="B413"/>
      <c r="C413" s="22"/>
    </row>
    <row r="414" spans="2:3">
      <c r="B414"/>
      <c r="C414" s="22"/>
    </row>
    <row r="415" spans="2:3">
      <c r="B415"/>
      <c r="C415" s="22"/>
    </row>
    <row r="416" spans="2:3">
      <c r="B416"/>
      <c r="C416" s="22"/>
    </row>
    <row r="417" spans="2:3">
      <c r="B417"/>
      <c r="C417" s="22"/>
    </row>
    <row r="418" spans="2:3">
      <c r="B418"/>
      <c r="C418" s="22"/>
    </row>
    <row r="419" spans="2:3">
      <c r="B419"/>
      <c r="C419" s="22"/>
    </row>
    <row r="420" spans="2:3">
      <c r="B420"/>
      <c r="C420" s="22"/>
    </row>
    <row r="421" spans="2:3">
      <c r="B421"/>
      <c r="C421" s="22"/>
    </row>
    <row r="422" spans="2:3">
      <c r="B422"/>
      <c r="C422" s="22"/>
    </row>
    <row r="423" spans="2:3">
      <c r="B423"/>
      <c r="C423" s="22"/>
    </row>
    <row r="424" spans="2:3">
      <c r="B424"/>
      <c r="C424" s="22"/>
    </row>
    <row r="425" spans="2:3">
      <c r="B425"/>
      <c r="C425" s="22"/>
    </row>
    <row r="426" spans="2:3">
      <c r="B426"/>
      <c r="C426" s="22"/>
    </row>
    <row r="427" spans="2:3">
      <c r="B427"/>
      <c r="C427" s="22"/>
    </row>
    <row r="428" spans="2:3">
      <c r="B428"/>
      <c r="C428" s="22"/>
    </row>
    <row r="429" spans="2:3">
      <c r="B429"/>
      <c r="C429" s="22"/>
    </row>
    <row r="430" spans="2:3">
      <c r="B430"/>
      <c r="C430" s="22"/>
    </row>
    <row r="431" spans="2:3">
      <c r="B431"/>
      <c r="C431" s="22"/>
    </row>
    <row r="432" spans="2:3">
      <c r="B432"/>
      <c r="C432" s="22"/>
    </row>
    <row r="433" spans="2:3">
      <c r="B433"/>
      <c r="C433" s="22"/>
    </row>
    <row r="434" spans="2:3">
      <c r="B434"/>
      <c r="C434" s="22"/>
    </row>
    <row r="435" spans="2:3">
      <c r="B435"/>
      <c r="C435" s="22"/>
    </row>
    <row r="436" spans="2:3">
      <c r="B436"/>
      <c r="C436" s="22"/>
    </row>
    <row r="437" spans="2:3">
      <c r="B437"/>
      <c r="C437" s="22"/>
    </row>
    <row r="438" spans="2:3">
      <c r="B438"/>
      <c r="C438" s="22"/>
    </row>
    <row r="439" spans="2:3">
      <c r="B439"/>
      <c r="C439" s="22"/>
    </row>
    <row r="440" spans="2:3">
      <c r="B440"/>
      <c r="C440" s="22"/>
    </row>
    <row r="441" spans="2:3">
      <c r="B441"/>
      <c r="C441" s="22"/>
    </row>
    <row r="442" spans="2:3">
      <c r="B442"/>
      <c r="C442" s="22"/>
    </row>
    <row r="443" spans="2:3">
      <c r="B443"/>
      <c r="C443" s="22"/>
    </row>
    <row r="444" spans="2:3">
      <c r="B444"/>
      <c r="C444" s="22"/>
    </row>
    <row r="445" spans="2:3">
      <c r="B445"/>
      <c r="C445" s="22"/>
    </row>
    <row r="446" spans="2:3">
      <c r="B446"/>
      <c r="C446" s="22"/>
    </row>
    <row r="447" spans="2:3">
      <c r="B447"/>
      <c r="C447" s="22"/>
    </row>
    <row r="448" spans="2:3">
      <c r="B448"/>
      <c r="C448" s="22"/>
    </row>
    <row r="449" spans="2:3">
      <c r="B449"/>
      <c r="C449" s="22"/>
    </row>
    <row r="450" spans="2:3">
      <c r="B450"/>
      <c r="C450" s="22"/>
    </row>
    <row r="451" spans="2:3">
      <c r="B451"/>
      <c r="C451" s="22"/>
    </row>
    <row r="452" spans="2:3">
      <c r="B452"/>
      <c r="C452" s="22"/>
    </row>
    <row r="453" spans="2:3">
      <c r="B453"/>
      <c r="C453" s="22"/>
    </row>
    <row r="454" spans="2:3">
      <c r="B454"/>
      <c r="C454" s="22"/>
    </row>
    <row r="455" spans="2:3">
      <c r="B455"/>
      <c r="C455" s="22"/>
    </row>
    <row r="456" spans="2:3">
      <c r="B456"/>
      <c r="C456" s="22"/>
    </row>
    <row r="457" spans="2:3">
      <c r="B457"/>
      <c r="C457" s="22"/>
    </row>
    <row r="458" spans="2:3">
      <c r="B458"/>
      <c r="C458" s="22"/>
    </row>
    <row r="459" spans="2:3">
      <c r="B459"/>
      <c r="C459" s="22"/>
    </row>
    <row r="460" spans="2:3">
      <c r="B460"/>
      <c r="C460" s="22"/>
    </row>
    <row r="461" spans="2:3">
      <c r="B461"/>
      <c r="C461" s="22"/>
    </row>
    <row r="462" spans="2:3">
      <c r="B462"/>
      <c r="C462" s="22"/>
    </row>
    <row r="463" spans="2:3">
      <c r="B463"/>
      <c r="C463" s="22"/>
    </row>
    <row r="464" spans="2:3">
      <c r="B464"/>
      <c r="C464" s="22"/>
    </row>
    <row r="465" spans="2:3">
      <c r="B465"/>
      <c r="C465" s="22"/>
    </row>
    <row r="466" spans="2:3">
      <c r="B466"/>
      <c r="C466" s="22"/>
    </row>
    <row r="467" spans="2:3">
      <c r="B467"/>
      <c r="C467" s="22"/>
    </row>
    <row r="468" spans="2:3">
      <c r="B468"/>
      <c r="C468" s="22"/>
    </row>
    <row r="469" spans="2:3">
      <c r="B469"/>
      <c r="C469" s="22"/>
    </row>
    <row r="470" spans="2:3">
      <c r="B470"/>
      <c r="C470" s="22"/>
    </row>
    <row r="471" spans="2:3">
      <c r="B471"/>
      <c r="C471" s="22"/>
    </row>
    <row r="472" spans="2:3">
      <c r="B472"/>
      <c r="C472" s="22"/>
    </row>
    <row r="473" spans="2:3">
      <c r="B473"/>
      <c r="C473" s="22"/>
    </row>
    <row r="474" spans="2:3">
      <c r="B474"/>
      <c r="C474" s="22"/>
    </row>
    <row r="475" spans="2:3">
      <c r="B475"/>
      <c r="C475" s="22"/>
    </row>
    <row r="476" spans="2:3">
      <c r="B476"/>
      <c r="C476" s="22"/>
    </row>
    <row r="477" spans="2:3">
      <c r="B477"/>
      <c r="C477" s="22"/>
    </row>
    <row r="478" spans="2:3">
      <c r="B478"/>
      <c r="C478" s="22"/>
    </row>
    <row r="479" spans="2:3">
      <c r="B479"/>
      <c r="C479" s="22"/>
    </row>
    <row r="480" spans="2:3">
      <c r="B480"/>
      <c r="C480" s="22"/>
    </row>
    <row r="481" spans="2:3">
      <c r="B481"/>
      <c r="C481" s="22"/>
    </row>
    <row r="482" spans="2:3">
      <c r="B482"/>
      <c r="C482" s="22"/>
    </row>
    <row r="483" spans="2:3">
      <c r="B483"/>
      <c r="C483" s="22"/>
    </row>
    <row r="484" spans="2:3">
      <c r="B484"/>
      <c r="C484" s="22"/>
    </row>
    <row r="485" spans="2:3">
      <c r="B485"/>
      <c r="C485" s="22"/>
    </row>
    <row r="486" spans="2:3">
      <c r="B486"/>
      <c r="C486" s="22"/>
    </row>
    <row r="487" spans="2:3">
      <c r="B487"/>
      <c r="C487" s="22"/>
    </row>
    <row r="488" spans="2:3">
      <c r="B488"/>
      <c r="C488" s="22"/>
    </row>
    <row r="489" spans="2:3">
      <c r="B489"/>
      <c r="C489" s="22"/>
    </row>
    <row r="490" spans="2:3">
      <c r="B490"/>
      <c r="C490" s="22"/>
    </row>
    <row r="491" spans="2:3">
      <c r="B491"/>
      <c r="C491" s="22"/>
    </row>
    <row r="492" spans="2:3">
      <c r="B492"/>
      <c r="C492" s="22"/>
    </row>
    <row r="493" spans="2:3">
      <c r="B493"/>
      <c r="C493" s="22"/>
    </row>
    <row r="494" spans="2:3">
      <c r="B494"/>
      <c r="C494" s="22"/>
    </row>
    <row r="495" spans="2:3">
      <c r="B495"/>
      <c r="C495" s="22"/>
    </row>
    <row r="496" spans="2:3">
      <c r="B496"/>
      <c r="C496" s="22"/>
    </row>
    <row r="497" spans="2:3">
      <c r="B497"/>
      <c r="C497" s="22"/>
    </row>
    <row r="498" spans="2:3">
      <c r="B498"/>
      <c r="C498" s="22"/>
    </row>
    <row r="499" spans="2:3">
      <c r="B499"/>
      <c r="C499" s="22"/>
    </row>
    <row r="500" spans="2:3">
      <c r="B500"/>
      <c r="C500" s="22"/>
    </row>
    <row r="501" spans="2:3">
      <c r="B501"/>
      <c r="C501" s="22"/>
    </row>
    <row r="502" spans="2:3">
      <c r="B502"/>
      <c r="C502" s="22"/>
    </row>
    <row r="503" spans="2:3">
      <c r="B503"/>
      <c r="C503" s="22"/>
    </row>
    <row r="504" spans="2:3">
      <c r="B504"/>
      <c r="C504" s="22"/>
    </row>
    <row r="505" spans="2:3">
      <c r="B505"/>
      <c r="C505" s="22"/>
    </row>
    <row r="506" spans="2:3">
      <c r="B506"/>
      <c r="C506" s="22"/>
    </row>
    <row r="507" spans="2:3">
      <c r="B507"/>
      <c r="C507" s="22"/>
    </row>
    <row r="508" spans="2:3">
      <c r="B508"/>
      <c r="C508" s="22"/>
    </row>
    <row r="509" spans="2:3">
      <c r="B509"/>
      <c r="C509" s="22"/>
    </row>
    <row r="510" spans="2:3">
      <c r="B510"/>
      <c r="C510" s="22"/>
    </row>
    <row r="511" spans="2:3">
      <c r="B511"/>
      <c r="C511" s="22"/>
    </row>
    <row r="512" spans="2:3">
      <c r="B512"/>
      <c r="C512" s="22"/>
    </row>
    <row r="513" spans="2:3">
      <c r="B513"/>
      <c r="C513" s="22"/>
    </row>
    <row r="514" spans="2:3">
      <c r="B514"/>
      <c r="C514" s="22"/>
    </row>
    <row r="515" spans="2:3">
      <c r="B515"/>
      <c r="C515" s="22"/>
    </row>
    <row r="516" spans="2:3">
      <c r="B516"/>
      <c r="C516" s="22"/>
    </row>
    <row r="517" spans="2:3">
      <c r="B517"/>
      <c r="C517" s="22"/>
    </row>
    <row r="518" spans="2:3">
      <c r="B518"/>
      <c r="C518" s="22"/>
    </row>
    <row r="519" spans="2:3">
      <c r="B519"/>
      <c r="C519" s="22"/>
    </row>
    <row r="520" spans="2:3">
      <c r="B520"/>
      <c r="C520" s="22"/>
    </row>
    <row r="521" spans="2:3">
      <c r="B521"/>
      <c r="C521" s="22"/>
    </row>
    <row r="522" spans="2:3">
      <c r="B522"/>
      <c r="C522" s="22"/>
    </row>
    <row r="523" spans="2:3">
      <c r="B523"/>
      <c r="C523" s="22"/>
    </row>
    <row r="524" spans="2:3">
      <c r="B524"/>
      <c r="C524" s="22"/>
    </row>
    <row r="525" spans="2:3">
      <c r="B525"/>
      <c r="C525" s="22"/>
    </row>
    <row r="526" spans="2:3">
      <c r="B526"/>
      <c r="C526" s="22"/>
    </row>
    <row r="527" spans="2:3">
      <c r="B527"/>
      <c r="C527" s="22"/>
    </row>
    <row r="528" spans="2:3">
      <c r="B528"/>
      <c r="C528" s="22"/>
    </row>
    <row r="529" spans="2:4">
      <c r="B529"/>
      <c r="C529" s="22"/>
    </row>
    <row r="530" spans="2:4">
      <c r="B530"/>
      <c r="C530" s="22"/>
    </row>
    <row r="531" spans="2:4">
      <c r="B531"/>
      <c r="C531" s="22"/>
    </row>
    <row r="532" spans="2:4">
      <c r="B532"/>
      <c r="C532" s="22"/>
    </row>
    <row r="533" spans="2:4">
      <c r="B533"/>
      <c r="C533" s="22"/>
    </row>
    <row r="534" spans="2:4">
      <c r="C534" s="22"/>
    </row>
    <row r="535" spans="2:4">
      <c r="C535" s="22">
        <f>SUM(C8:C533)</f>
        <v>905917633184</v>
      </c>
      <c r="D535" s="22">
        <f>SUM(D8:D533)</f>
        <v>60042815072</v>
      </c>
    </row>
    <row r="536" spans="2:4">
      <c r="C536" s="22"/>
    </row>
    <row r="537" spans="2:4">
      <c r="C537" s="22">
        <f>C535-D535</f>
        <v>845874818112</v>
      </c>
    </row>
    <row r="538" spans="2:4">
      <c r="C538" s="22"/>
    </row>
    <row r="539" spans="2:4">
      <c r="C539" s="22"/>
    </row>
    <row r="540" spans="2:4">
      <c r="C540" s="22"/>
    </row>
    <row r="541" spans="2:4">
      <c r="C541" s="22"/>
    </row>
    <row r="542" spans="2:4">
      <c r="C542" s="22"/>
    </row>
    <row r="543" spans="2:4">
      <c r="C543" s="22"/>
    </row>
    <row r="544" spans="2:4">
      <c r="C544" s="22"/>
    </row>
    <row r="545" spans="3:3">
      <c r="C545" s="22"/>
    </row>
    <row r="546" spans="3:3">
      <c r="C546" s="22"/>
    </row>
    <row r="547" spans="3:3">
      <c r="C547" s="22"/>
    </row>
    <row r="548" spans="3:3">
      <c r="C548" s="22"/>
    </row>
    <row r="549" spans="3:3">
      <c r="C549" s="22"/>
    </row>
    <row r="550" spans="3:3">
      <c r="C550" s="22"/>
    </row>
    <row r="551" spans="3:3">
      <c r="C551" s="22"/>
    </row>
    <row r="552" spans="3:3">
      <c r="C552" s="22"/>
    </row>
    <row r="553" spans="3:3">
      <c r="C553" s="22"/>
    </row>
    <row r="554" spans="3:3">
      <c r="C554" s="22"/>
    </row>
    <row r="555" spans="3:3">
      <c r="C555" s="22"/>
    </row>
    <row r="556" spans="3:3">
      <c r="C556" s="22"/>
    </row>
    <row r="557" spans="3:3">
      <c r="C557" s="22"/>
    </row>
    <row r="558" spans="3:3">
      <c r="C558" s="22"/>
    </row>
    <row r="559" spans="3:3">
      <c r="C559" s="22"/>
    </row>
    <row r="560" spans="3:3">
      <c r="C560" s="22"/>
    </row>
    <row r="561" spans="3:3">
      <c r="C561" s="22"/>
    </row>
    <row r="562" spans="3:3">
      <c r="C562" s="22"/>
    </row>
    <row r="563" spans="3:3">
      <c r="C563" s="22"/>
    </row>
    <row r="564" spans="3:3">
      <c r="C564" s="22"/>
    </row>
    <row r="565" spans="3:3">
      <c r="C565" s="22"/>
    </row>
    <row r="566" spans="3:3">
      <c r="C566" s="22"/>
    </row>
    <row r="567" spans="3:3">
      <c r="C567" s="22"/>
    </row>
    <row r="568" spans="3:3">
      <c r="C568" s="22"/>
    </row>
    <row r="569" spans="3:3">
      <c r="C569" s="22"/>
    </row>
    <row r="570" spans="3:3">
      <c r="C570" s="22"/>
    </row>
    <row r="571" spans="3:3">
      <c r="C571" s="22"/>
    </row>
    <row r="572" spans="3:3">
      <c r="C572" s="22"/>
    </row>
    <row r="573" spans="3:3">
      <c r="C573" s="22"/>
    </row>
    <row r="574" spans="3:3">
      <c r="C574" s="22"/>
    </row>
    <row r="575" spans="3:3">
      <c r="C575" s="22"/>
    </row>
    <row r="576" spans="3:3">
      <c r="C576" s="22"/>
    </row>
    <row r="577" spans="3:3">
      <c r="C577" s="22"/>
    </row>
    <row r="578" spans="3:3">
      <c r="C578" s="22"/>
    </row>
    <row r="579" spans="3:3">
      <c r="C579" s="22"/>
    </row>
    <row r="580" spans="3:3">
      <c r="C580" s="22"/>
    </row>
    <row r="581" spans="3:3">
      <c r="C581" s="22"/>
    </row>
    <row r="582" spans="3:3">
      <c r="C582" s="22"/>
    </row>
    <row r="583" spans="3:3">
      <c r="C583" s="22"/>
    </row>
    <row r="584" spans="3:3">
      <c r="C584" s="22"/>
    </row>
    <row r="585" spans="3:3">
      <c r="C585" s="22"/>
    </row>
    <row r="586" spans="3:3">
      <c r="C586" s="22"/>
    </row>
    <row r="587" spans="3:3">
      <c r="C587" s="22"/>
    </row>
    <row r="588" spans="3:3">
      <c r="C588" s="22"/>
    </row>
    <row r="589" spans="3:3">
      <c r="C589" s="22"/>
    </row>
    <row r="590" spans="3:3">
      <c r="C590" s="22"/>
    </row>
    <row r="591" spans="3:3">
      <c r="C591" s="22"/>
    </row>
    <row r="592" spans="3:3">
      <c r="C592" s="22"/>
    </row>
    <row r="593" spans="3:3">
      <c r="C593" s="22"/>
    </row>
    <row r="594" spans="3:3">
      <c r="C594" s="22"/>
    </row>
    <row r="595" spans="3:3">
      <c r="C595" s="22"/>
    </row>
    <row r="596" spans="3:3">
      <c r="C596" s="22"/>
    </row>
    <row r="597" spans="3:3">
      <c r="C597" s="22"/>
    </row>
    <row r="598" spans="3:3">
      <c r="C598" s="22"/>
    </row>
    <row r="599" spans="3:3">
      <c r="C599" s="22"/>
    </row>
    <row r="600" spans="3:3">
      <c r="C600" s="22"/>
    </row>
    <row r="601" spans="3:3">
      <c r="C601" s="22"/>
    </row>
    <row r="602" spans="3:3">
      <c r="C602" s="22"/>
    </row>
    <row r="603" spans="3:3">
      <c r="C603" s="22"/>
    </row>
    <row r="604" spans="3:3">
      <c r="C604" s="22"/>
    </row>
    <row r="605" spans="3:3">
      <c r="C605" s="22"/>
    </row>
    <row r="606" spans="3:3">
      <c r="C606" s="22"/>
    </row>
    <row r="607" spans="3:3">
      <c r="C607" s="22"/>
    </row>
    <row r="608" spans="3:3">
      <c r="C608" s="22"/>
    </row>
    <row r="609" spans="3:3">
      <c r="C609" s="22"/>
    </row>
    <row r="610" spans="3:3">
      <c r="C610" s="22"/>
    </row>
    <row r="611" spans="3:3">
      <c r="C611" s="22"/>
    </row>
    <row r="612" spans="3:3">
      <c r="C612" s="22"/>
    </row>
    <row r="613" spans="3:3">
      <c r="C613" s="22"/>
    </row>
    <row r="614" spans="3:3">
      <c r="C614" s="22"/>
    </row>
    <row r="615" spans="3:3">
      <c r="C615" s="22"/>
    </row>
    <row r="616" spans="3:3">
      <c r="C616" s="22"/>
    </row>
    <row r="617" spans="3:3">
      <c r="C617" s="22"/>
    </row>
    <row r="618" spans="3:3">
      <c r="C618" s="22"/>
    </row>
    <row r="619" spans="3:3">
      <c r="C619" s="22"/>
    </row>
    <row r="620" spans="3:3">
      <c r="C620" s="22"/>
    </row>
    <row r="621" spans="3:3">
      <c r="C621" s="22"/>
    </row>
    <row r="622" spans="3:3">
      <c r="C622" s="22"/>
    </row>
    <row r="623" spans="3:3">
      <c r="C623" s="22"/>
    </row>
    <row r="624" spans="3:3">
      <c r="C624" s="22"/>
    </row>
    <row r="625" spans="3:3">
      <c r="C625" s="22"/>
    </row>
    <row r="626" spans="3:3">
      <c r="C626" s="22"/>
    </row>
    <row r="627" spans="3:3">
      <c r="C627" s="22"/>
    </row>
    <row r="628" spans="3:3">
      <c r="C628" s="22"/>
    </row>
    <row r="629" spans="3:3">
      <c r="C629" s="22"/>
    </row>
    <row r="630" spans="3:3">
      <c r="C630" s="22"/>
    </row>
    <row r="631" spans="3:3">
      <c r="C631" s="22"/>
    </row>
    <row r="632" spans="3:3">
      <c r="C632" s="22"/>
    </row>
    <row r="633" spans="3:3">
      <c r="C633" s="22"/>
    </row>
    <row r="634" spans="3:3">
      <c r="C634" s="22"/>
    </row>
    <row r="635" spans="3:3">
      <c r="C635" s="22"/>
    </row>
    <row r="636" spans="3:3">
      <c r="C636" s="22"/>
    </row>
    <row r="637" spans="3:3">
      <c r="C637" s="22"/>
    </row>
    <row r="638" spans="3:3">
      <c r="C638" s="22"/>
    </row>
    <row r="639" spans="3:3">
      <c r="C639" s="22"/>
    </row>
    <row r="640" spans="3:3">
      <c r="C640" s="22"/>
    </row>
    <row r="641" spans="3:3">
      <c r="C641" s="22"/>
    </row>
    <row r="642" spans="3:3">
      <c r="C642" s="22"/>
    </row>
    <row r="643" spans="3:3">
      <c r="C643" s="22"/>
    </row>
    <row r="644" spans="3:3">
      <c r="C644" s="22"/>
    </row>
    <row r="645" spans="3:3">
      <c r="C645" s="22"/>
    </row>
    <row r="646" spans="3:3">
      <c r="C646" s="22"/>
    </row>
    <row r="647" spans="3:3">
      <c r="C647" s="22"/>
    </row>
    <row r="648" spans="3:3">
      <c r="C648" s="22"/>
    </row>
    <row r="649" spans="3:3">
      <c r="C649" s="22"/>
    </row>
    <row r="650" spans="3:3">
      <c r="C650" s="22"/>
    </row>
    <row r="651" spans="3:3">
      <c r="C651" s="22"/>
    </row>
    <row r="652" spans="3:3">
      <c r="C652" s="22"/>
    </row>
    <row r="653" spans="3:3">
      <c r="C653" s="22"/>
    </row>
    <row r="654" spans="3:3">
      <c r="C654" s="22"/>
    </row>
    <row r="655" spans="3:3">
      <c r="C655" s="22"/>
    </row>
    <row r="656" spans="3:3">
      <c r="C656" s="22"/>
    </row>
    <row r="657" spans="3:3">
      <c r="C657" s="22"/>
    </row>
    <row r="658" spans="3:3">
      <c r="C658" s="22"/>
    </row>
    <row r="659" spans="3:3">
      <c r="C659" s="22"/>
    </row>
    <row r="660" spans="3:3">
      <c r="C660" s="22"/>
    </row>
    <row r="661" spans="3:3">
      <c r="C661" s="22"/>
    </row>
    <row r="662" spans="3:3">
      <c r="C662" s="22"/>
    </row>
    <row r="663" spans="3:3">
      <c r="C663" s="22"/>
    </row>
    <row r="664" spans="3:3">
      <c r="C664" s="22"/>
    </row>
    <row r="665" spans="3:3">
      <c r="C665" s="22"/>
    </row>
    <row r="666" spans="3:3">
      <c r="C666" s="22"/>
    </row>
    <row r="667" spans="3:3">
      <c r="C667" s="22"/>
    </row>
    <row r="668" spans="3:3">
      <c r="C668" s="22"/>
    </row>
    <row r="669" spans="3:3">
      <c r="C669" s="22"/>
    </row>
    <row r="670" spans="3:3">
      <c r="C670" s="22"/>
    </row>
    <row r="671" spans="3:3">
      <c r="C671" s="22"/>
    </row>
    <row r="672" spans="3:3">
      <c r="C672" s="22"/>
    </row>
    <row r="673" spans="3:3">
      <c r="C673" s="22"/>
    </row>
    <row r="674" spans="3:3">
      <c r="C674" s="22"/>
    </row>
    <row r="675" spans="3:3">
      <c r="C675" s="22"/>
    </row>
    <row r="676" spans="3:3">
      <c r="C676" s="22"/>
    </row>
    <row r="677" spans="3:3">
      <c r="C677" s="22"/>
    </row>
    <row r="678" spans="3:3">
      <c r="C678" s="22"/>
    </row>
    <row r="679" spans="3:3">
      <c r="C679" s="22"/>
    </row>
    <row r="680" spans="3:3">
      <c r="C680" s="22"/>
    </row>
    <row r="681" spans="3:3">
      <c r="C681" s="22"/>
    </row>
    <row r="682" spans="3:3">
      <c r="C682" s="22"/>
    </row>
    <row r="683" spans="3:3">
      <c r="C683" s="22"/>
    </row>
    <row r="684" spans="3:3">
      <c r="C684" s="22"/>
    </row>
    <row r="685" spans="3:3">
      <c r="C685" s="22"/>
    </row>
    <row r="686" spans="3:3">
      <c r="C686" s="22"/>
    </row>
    <row r="687" spans="3:3">
      <c r="C687" s="22"/>
    </row>
    <row r="688" spans="3:3">
      <c r="C688" s="22"/>
    </row>
    <row r="689" spans="3:3">
      <c r="C689" s="22"/>
    </row>
    <row r="690" spans="3:3">
      <c r="C690" s="22"/>
    </row>
    <row r="691" spans="3:3">
      <c r="C691" s="22"/>
    </row>
    <row r="692" spans="3:3">
      <c r="C692" s="22"/>
    </row>
    <row r="693" spans="3:3">
      <c r="C693" s="22"/>
    </row>
    <row r="694" spans="3:3">
      <c r="C694" s="22"/>
    </row>
    <row r="695" spans="3:3">
      <c r="C695" s="22"/>
    </row>
    <row r="696" spans="3:3">
      <c r="C696" s="22"/>
    </row>
    <row r="697" spans="3:3">
      <c r="C697" s="22"/>
    </row>
    <row r="698" spans="3:3">
      <c r="C698" s="22"/>
    </row>
    <row r="699" spans="3:3">
      <c r="C699" s="22"/>
    </row>
    <row r="700" spans="3:3">
      <c r="C700" s="22"/>
    </row>
    <row r="701" spans="3:3">
      <c r="C701" s="22"/>
    </row>
    <row r="702" spans="3:3">
      <c r="C702" s="22"/>
    </row>
    <row r="703" spans="3:3">
      <c r="C703" s="22"/>
    </row>
    <row r="704" spans="3:3">
      <c r="C704" s="22"/>
    </row>
    <row r="705" spans="3:3">
      <c r="C705" s="22"/>
    </row>
    <row r="706" spans="3:3">
      <c r="C706" s="22"/>
    </row>
    <row r="707" spans="3:3">
      <c r="C707" s="22"/>
    </row>
    <row r="708" spans="3:3">
      <c r="C708" s="22"/>
    </row>
    <row r="709" spans="3:3">
      <c r="C709" s="22"/>
    </row>
    <row r="710" spans="3:3">
      <c r="C710" s="22"/>
    </row>
    <row r="711" spans="3:3">
      <c r="C711" s="22"/>
    </row>
    <row r="712" spans="3:3">
      <c r="C712" s="22"/>
    </row>
    <row r="713" spans="3:3">
      <c r="C713" s="22"/>
    </row>
    <row r="714" spans="3:3">
      <c r="C714" s="22"/>
    </row>
    <row r="715" spans="3:3">
      <c r="C715" s="22"/>
    </row>
    <row r="716" spans="3:3">
      <c r="C716" s="22"/>
    </row>
    <row r="717" spans="3:3">
      <c r="C717" s="22"/>
    </row>
    <row r="718" spans="3:3">
      <c r="C718" s="22"/>
    </row>
    <row r="719" spans="3:3">
      <c r="C719" s="22"/>
    </row>
    <row r="720" spans="3:3">
      <c r="C720" s="22"/>
    </row>
    <row r="721" spans="3:3">
      <c r="C721" s="22"/>
    </row>
    <row r="722" spans="3:3">
      <c r="C722" s="22"/>
    </row>
    <row r="723" spans="3:3">
      <c r="C723" s="22"/>
    </row>
    <row r="724" spans="3:3">
      <c r="C724" s="22"/>
    </row>
    <row r="725" spans="3:3">
      <c r="C725" s="22"/>
    </row>
    <row r="726" spans="3:3">
      <c r="C726" s="22"/>
    </row>
    <row r="727" spans="3:3">
      <c r="C727" s="22"/>
    </row>
    <row r="728" spans="3:3">
      <c r="C728" s="22"/>
    </row>
    <row r="729" spans="3:3">
      <c r="C729" s="22"/>
    </row>
    <row r="730" spans="3:3">
      <c r="C730" s="22"/>
    </row>
    <row r="731" spans="3:3">
      <c r="C731" s="22"/>
    </row>
    <row r="732" spans="3:3">
      <c r="C732" s="22"/>
    </row>
    <row r="733" spans="3:3">
      <c r="C733" s="22"/>
    </row>
    <row r="734" spans="3:3">
      <c r="C734" s="22"/>
    </row>
    <row r="735" spans="3:3">
      <c r="C735" s="22"/>
    </row>
    <row r="736" spans="3:3">
      <c r="C736" s="22"/>
    </row>
    <row r="737" spans="3:3">
      <c r="C737" s="22"/>
    </row>
    <row r="738" spans="3:3">
      <c r="C738" s="22"/>
    </row>
    <row r="739" spans="3:3">
      <c r="C739" s="22"/>
    </row>
    <row r="740" spans="3:3">
      <c r="C740" s="22"/>
    </row>
    <row r="741" spans="3:3">
      <c r="C741" s="22"/>
    </row>
    <row r="742" spans="3:3">
      <c r="C742" s="22"/>
    </row>
    <row r="743" spans="3:3">
      <c r="C743" s="22"/>
    </row>
    <row r="744" spans="3:3">
      <c r="C744" s="22"/>
    </row>
    <row r="745" spans="3:3">
      <c r="C745" s="22"/>
    </row>
    <row r="746" spans="3:3">
      <c r="C746" s="22"/>
    </row>
    <row r="747" spans="3:3">
      <c r="C747" s="22"/>
    </row>
    <row r="748" spans="3:3">
      <c r="C748" s="22"/>
    </row>
    <row r="749" spans="3:3">
      <c r="C749" s="22"/>
    </row>
    <row r="750" spans="3:3">
      <c r="C750" s="22"/>
    </row>
    <row r="751" spans="3:3">
      <c r="C751" s="22"/>
    </row>
    <row r="752" spans="3:3">
      <c r="C752" s="22"/>
    </row>
    <row r="753" spans="3:3">
      <c r="C753" s="22"/>
    </row>
    <row r="754" spans="3:3">
      <c r="C754" s="22"/>
    </row>
    <row r="755" spans="3:3">
      <c r="C755" s="22"/>
    </row>
    <row r="756" spans="3:3">
      <c r="C756" s="22"/>
    </row>
    <row r="757" spans="3:3">
      <c r="C757" s="22"/>
    </row>
    <row r="758" spans="3:3">
      <c r="C758" s="22"/>
    </row>
    <row r="759" spans="3:3">
      <c r="C759" s="22"/>
    </row>
    <row r="760" spans="3:3">
      <c r="C760" s="22"/>
    </row>
    <row r="761" spans="3:3">
      <c r="C761" s="22"/>
    </row>
    <row r="762" spans="3:3">
      <c r="C762" s="22"/>
    </row>
    <row r="763" spans="3:3">
      <c r="C763" s="22"/>
    </row>
    <row r="764" spans="3:3">
      <c r="C764" s="22"/>
    </row>
    <row r="765" spans="3:3">
      <c r="C765" s="22"/>
    </row>
    <row r="766" spans="3:3">
      <c r="C766" s="22"/>
    </row>
    <row r="767" spans="3:3">
      <c r="C767" s="22"/>
    </row>
    <row r="768" spans="3:3">
      <c r="C768" s="22"/>
    </row>
    <row r="769" spans="3:3">
      <c r="C769" s="22"/>
    </row>
    <row r="770" spans="3:3">
      <c r="C770" s="22"/>
    </row>
    <row r="771" spans="3:3">
      <c r="C771" s="22"/>
    </row>
    <row r="772" spans="3:3">
      <c r="C772" s="22"/>
    </row>
    <row r="773" spans="3:3">
      <c r="C773" s="22"/>
    </row>
    <row r="774" spans="3:3">
      <c r="C774" s="22"/>
    </row>
    <row r="775" spans="3:3">
      <c r="C775" s="22"/>
    </row>
    <row r="776" spans="3:3">
      <c r="C776" s="22"/>
    </row>
    <row r="777" spans="3:3">
      <c r="C777" s="22"/>
    </row>
    <row r="778" spans="3:3">
      <c r="C778" s="22"/>
    </row>
    <row r="779" spans="3:3">
      <c r="C779" s="22"/>
    </row>
    <row r="780" spans="3:3">
      <c r="C780" s="22"/>
    </row>
    <row r="781" spans="3:3">
      <c r="C781" s="22"/>
    </row>
    <row r="782" spans="3:3">
      <c r="C782" s="22"/>
    </row>
    <row r="783" spans="3:3">
      <c r="C783" s="22"/>
    </row>
    <row r="784" spans="3:3">
      <c r="C784" s="22"/>
    </row>
    <row r="785" spans="3:3">
      <c r="C785" s="22"/>
    </row>
    <row r="786" spans="3:3">
      <c r="C786" s="22"/>
    </row>
    <row r="787" spans="3:3">
      <c r="C787" s="22"/>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4:L67"/>
  <sheetViews>
    <sheetView topLeftCell="A35" zoomScale="85" zoomScaleNormal="85" workbookViewId="0">
      <selection activeCell="D68" sqref="D68"/>
    </sheetView>
  </sheetViews>
  <sheetFormatPr defaultRowHeight="14.4"/>
  <cols>
    <col min="1" max="1" width="18.44140625" style="136" customWidth="1"/>
    <col min="2" max="2" width="17.88671875" customWidth="1"/>
    <col min="3" max="3" width="13.88671875" bestFit="1" customWidth="1"/>
    <col min="4" max="4" width="18.109375" bestFit="1" customWidth="1"/>
    <col min="5" max="5" width="23" style="22" bestFit="1" customWidth="1"/>
    <col min="6" max="6" width="24.44140625" style="22" bestFit="1" customWidth="1"/>
    <col min="10" max="10" width="21.6640625" customWidth="1"/>
    <col min="12" max="12" width="18.6640625" customWidth="1"/>
  </cols>
  <sheetData>
    <row r="4" spans="1:6">
      <c r="A4" s="18" t="s">
        <v>20</v>
      </c>
      <c r="B4" t="s">
        <v>22</v>
      </c>
    </row>
    <row r="5" spans="1:6">
      <c r="A5" s="18" t="s">
        <v>21</v>
      </c>
      <c r="B5" t="s">
        <v>19</v>
      </c>
    </row>
    <row r="7" spans="1:6">
      <c r="A7" s="185" t="s">
        <v>23</v>
      </c>
      <c r="B7" s="18" t="s">
        <v>16</v>
      </c>
      <c r="C7" s="18" t="s">
        <v>18</v>
      </c>
      <c r="D7" t="s">
        <v>238</v>
      </c>
      <c r="E7" t="s">
        <v>239</v>
      </c>
      <c r="F7" t="s">
        <v>240</v>
      </c>
    </row>
    <row r="8" spans="1:6">
      <c r="A8" s="186">
        <v>2025</v>
      </c>
      <c r="B8" t="s">
        <v>17</v>
      </c>
      <c r="C8" t="s">
        <v>241</v>
      </c>
      <c r="D8">
        <v>98</v>
      </c>
      <c r="E8" s="24">
        <v>83260935278</v>
      </c>
      <c r="F8" s="187">
        <v>4699345306</v>
      </c>
    </row>
    <row r="9" spans="1:6">
      <c r="A9" s="186"/>
      <c r="C9" t="s">
        <v>242</v>
      </c>
      <c r="D9">
        <v>83</v>
      </c>
      <c r="E9" s="24">
        <v>35992169434</v>
      </c>
      <c r="F9" s="187">
        <v>3509527500</v>
      </c>
    </row>
    <row r="10" spans="1:6">
      <c r="A10" s="186"/>
      <c r="C10" t="s">
        <v>243</v>
      </c>
      <c r="D10">
        <v>66</v>
      </c>
      <c r="E10" s="24">
        <v>17009484652</v>
      </c>
      <c r="F10" s="187">
        <v>4372350793</v>
      </c>
    </row>
    <row r="11" spans="1:6">
      <c r="A11" s="186"/>
      <c r="B11" s="131" t="s">
        <v>244</v>
      </c>
      <c r="C11" s="131"/>
      <c r="D11" s="131">
        <v>247</v>
      </c>
      <c r="E11" s="189">
        <v>136262589364</v>
      </c>
      <c r="F11" s="188">
        <v>12581223599</v>
      </c>
    </row>
    <row r="12" spans="1:6">
      <c r="A12" s="186"/>
      <c r="B12" t="s">
        <v>245</v>
      </c>
      <c r="C12" t="s">
        <v>243</v>
      </c>
      <c r="D12">
        <v>2</v>
      </c>
      <c r="E12" s="24">
        <v>654000000</v>
      </c>
      <c r="F12" s="187">
        <v>351666670</v>
      </c>
    </row>
    <row r="13" spans="1:6">
      <c r="A13" s="186"/>
      <c r="B13" s="131" t="s">
        <v>246</v>
      </c>
      <c r="C13" s="131"/>
      <c r="D13" s="131">
        <v>2</v>
      </c>
      <c r="E13" s="189">
        <v>654000000</v>
      </c>
      <c r="F13" s="188">
        <v>351666670</v>
      </c>
    </row>
    <row r="14" spans="1:6">
      <c r="A14" s="186">
        <v>2026</v>
      </c>
      <c r="B14" t="s">
        <v>17</v>
      </c>
      <c r="C14" t="s">
        <v>241</v>
      </c>
      <c r="D14">
        <v>3</v>
      </c>
      <c r="E14" s="24">
        <v>396000000</v>
      </c>
      <c r="F14" s="187">
        <v>214080000</v>
      </c>
    </row>
    <row r="15" spans="1:6">
      <c r="A15" s="186"/>
      <c r="C15" t="s">
        <v>242</v>
      </c>
      <c r="D15">
        <v>2</v>
      </c>
      <c r="E15" s="24">
        <v>564100000</v>
      </c>
      <c r="F15" s="187">
        <v>110640000</v>
      </c>
    </row>
    <row r="16" spans="1:6">
      <c r="A16" s="186"/>
      <c r="B16" s="131" t="s">
        <v>244</v>
      </c>
      <c r="C16" s="131"/>
      <c r="D16" s="131">
        <v>5</v>
      </c>
      <c r="E16" s="189">
        <v>960100000</v>
      </c>
      <c r="F16" s="188">
        <v>324720000</v>
      </c>
    </row>
    <row r="17" spans="1:6">
      <c r="A17" s="186">
        <v>2027</v>
      </c>
      <c r="B17" t="s">
        <v>17</v>
      </c>
      <c r="C17" t="s">
        <v>241</v>
      </c>
      <c r="D17">
        <v>3</v>
      </c>
      <c r="E17" s="24">
        <v>336720000</v>
      </c>
      <c r="F17" s="187">
        <v>505865640</v>
      </c>
    </row>
    <row r="18" spans="1:6">
      <c r="A18" s="186"/>
      <c r="B18" s="131" t="s">
        <v>244</v>
      </c>
      <c r="C18" s="131"/>
      <c r="D18" s="131">
        <v>3</v>
      </c>
      <c r="E18" s="189">
        <v>336720000</v>
      </c>
      <c r="F18" s="188">
        <v>505865640</v>
      </c>
    </row>
    <row r="19" spans="1:6">
      <c r="A19" s="186">
        <v>2029</v>
      </c>
      <c r="B19" t="s">
        <v>17</v>
      </c>
      <c r="C19" t="s">
        <v>241</v>
      </c>
      <c r="D19">
        <v>1</v>
      </c>
      <c r="E19" s="24">
        <v>0</v>
      </c>
      <c r="F19" s="187">
        <v>123059078</v>
      </c>
    </row>
    <row r="20" spans="1:6">
      <c r="A20" s="186"/>
      <c r="B20" s="131" t="s">
        <v>244</v>
      </c>
      <c r="C20" s="131"/>
      <c r="D20" s="131">
        <v>1</v>
      </c>
      <c r="E20" s="189">
        <v>0</v>
      </c>
      <c r="F20" s="188">
        <v>123059078</v>
      </c>
    </row>
    <row r="21" spans="1:6">
      <c r="A21" s="186" t="s">
        <v>237</v>
      </c>
      <c r="B21" s="186"/>
      <c r="C21" s="186"/>
      <c r="D21">
        <v>258</v>
      </c>
      <c r="E21" s="24">
        <v>138213409364</v>
      </c>
      <c r="F21" s="187">
        <v>13886534987</v>
      </c>
    </row>
    <row r="22" spans="1:6">
      <c r="A22"/>
      <c r="E22"/>
      <c r="F22"/>
    </row>
    <row r="23" spans="1:6">
      <c r="A23"/>
      <c r="E23"/>
      <c r="F23"/>
    </row>
    <row r="24" spans="1:6">
      <c r="A24"/>
      <c r="E24"/>
      <c r="F24"/>
    </row>
    <row r="25" spans="1:6">
      <c r="A25"/>
      <c r="E25"/>
      <c r="F25"/>
    </row>
    <row r="26" spans="1:6">
      <c r="A26"/>
      <c r="E26"/>
      <c r="F26"/>
    </row>
    <row r="27" spans="1:6">
      <c r="A27"/>
      <c r="E27"/>
      <c r="F27"/>
    </row>
    <row r="28" spans="1:6">
      <c r="A28"/>
      <c r="E28"/>
      <c r="F28"/>
    </row>
    <row r="29" spans="1:6">
      <c r="A29"/>
      <c r="E29"/>
      <c r="F29"/>
    </row>
    <row r="30" spans="1:6">
      <c r="A30"/>
      <c r="E30"/>
      <c r="F30"/>
    </row>
    <row r="31" spans="1:6">
      <c r="A31"/>
      <c r="E31"/>
      <c r="F31"/>
    </row>
    <row r="32" spans="1:6">
      <c r="A32"/>
      <c r="E32"/>
      <c r="F32"/>
    </row>
    <row r="33" spans="1:10">
      <c r="A33"/>
      <c r="E33"/>
      <c r="F33"/>
    </row>
    <row r="34" spans="1:10">
      <c r="A34"/>
      <c r="E34"/>
      <c r="F34"/>
    </row>
    <row r="40" spans="1:10" s="135" customFormat="1" ht="34.5" customHeight="1">
      <c r="A40" s="138" t="s">
        <v>23</v>
      </c>
      <c r="B40" s="139" t="s">
        <v>16</v>
      </c>
      <c r="C40" s="139" t="s">
        <v>18</v>
      </c>
      <c r="D40" s="139" t="s">
        <v>247</v>
      </c>
      <c r="E40" s="140" t="s">
        <v>248</v>
      </c>
      <c r="F40" s="140" t="s">
        <v>249</v>
      </c>
    </row>
    <row r="41" spans="1:10">
      <c r="A41" s="136">
        <v>2024</v>
      </c>
      <c r="B41" t="s">
        <v>17</v>
      </c>
      <c r="C41" t="s">
        <v>241</v>
      </c>
      <c r="D41">
        <v>124</v>
      </c>
      <c r="E41" s="22">
        <v>150322871361</v>
      </c>
      <c r="F41" s="22">
        <v>5993792977</v>
      </c>
    </row>
    <row r="42" spans="1:10">
      <c r="C42" t="s">
        <v>242</v>
      </c>
      <c r="D42">
        <v>97</v>
      </c>
      <c r="E42" s="22">
        <v>148760986048</v>
      </c>
      <c r="F42" s="22">
        <v>4728552190</v>
      </c>
    </row>
    <row r="43" spans="1:10" hidden="1">
      <c r="C43" t="s">
        <v>243</v>
      </c>
      <c r="D43">
        <v>54</v>
      </c>
      <c r="E43" s="22">
        <v>18423981576.451614</v>
      </c>
      <c r="F43" s="22">
        <v>4512252277</v>
      </c>
    </row>
    <row r="44" spans="1:10">
      <c r="B44" s="129" t="s">
        <v>244</v>
      </c>
      <c r="C44" s="131"/>
      <c r="D44" s="131">
        <v>275</v>
      </c>
      <c r="E44" s="132">
        <v>317507838985.4516</v>
      </c>
      <c r="F44" s="132">
        <v>15234597444</v>
      </c>
    </row>
    <row r="45" spans="1:10">
      <c r="B45" t="s">
        <v>245</v>
      </c>
      <c r="C45" t="s">
        <v>241</v>
      </c>
      <c r="D45">
        <v>8</v>
      </c>
      <c r="E45" s="22">
        <v>3520009200</v>
      </c>
      <c r="F45" s="22">
        <v>295990000</v>
      </c>
      <c r="I45" s="141" t="s">
        <v>248</v>
      </c>
      <c r="J45" s="144">
        <v>317507838985.4516</v>
      </c>
    </row>
    <row r="46" spans="1:10">
      <c r="C46" t="s">
        <v>242</v>
      </c>
      <c r="D46">
        <v>8</v>
      </c>
      <c r="E46" s="22">
        <v>5292000000</v>
      </c>
      <c r="F46" s="22">
        <v>188400000</v>
      </c>
      <c r="I46" s="142" t="s">
        <v>249</v>
      </c>
      <c r="J46" s="145">
        <v>15234597444</v>
      </c>
    </row>
    <row r="47" spans="1:10" hidden="1">
      <c r="C47" t="s">
        <v>243</v>
      </c>
      <c r="D47">
        <v>15</v>
      </c>
      <c r="E47" s="22">
        <v>4444774240</v>
      </c>
      <c r="F47" s="22">
        <v>2041424572</v>
      </c>
    </row>
    <row r="48" spans="1:10">
      <c r="B48" s="129" t="s">
        <v>246</v>
      </c>
      <c r="C48" s="131"/>
      <c r="D48" s="131">
        <v>31</v>
      </c>
      <c r="E48" s="132">
        <v>13256783440</v>
      </c>
      <c r="F48" s="132">
        <v>2525814572</v>
      </c>
    </row>
    <row r="49" spans="1:12">
      <c r="B49" t="s">
        <v>250</v>
      </c>
      <c r="C49" t="s">
        <v>241</v>
      </c>
      <c r="D49">
        <v>19</v>
      </c>
      <c r="E49" s="22">
        <v>4929680000</v>
      </c>
      <c r="F49" s="22">
        <v>670501058</v>
      </c>
    </row>
    <row r="50" spans="1:12">
      <c r="C50" t="s">
        <v>251</v>
      </c>
      <c r="D50">
        <v>1</v>
      </c>
      <c r="E50" s="22">
        <v>60000000</v>
      </c>
      <c r="F50" s="22">
        <v>15000000</v>
      </c>
    </row>
    <row r="51" spans="1:12">
      <c r="C51" t="s">
        <v>242</v>
      </c>
      <c r="D51">
        <v>13</v>
      </c>
      <c r="E51" s="22">
        <v>1420356000</v>
      </c>
      <c r="F51" s="22">
        <v>321900000</v>
      </c>
    </row>
    <row r="52" spans="1:12" hidden="1">
      <c r="C52" t="s">
        <v>243</v>
      </c>
      <c r="D52">
        <v>18</v>
      </c>
      <c r="E52" s="22">
        <v>3784767320</v>
      </c>
      <c r="F52" s="22">
        <v>1762456887</v>
      </c>
    </row>
    <row r="53" spans="1:12">
      <c r="B53" s="129" t="s">
        <v>252</v>
      </c>
      <c r="C53" s="131"/>
      <c r="D53" s="131">
        <v>51</v>
      </c>
      <c r="E53" s="132">
        <v>10194803320</v>
      </c>
      <c r="F53" s="132">
        <v>2769857945</v>
      </c>
    </row>
    <row r="54" spans="1:12">
      <c r="A54" s="136">
        <v>2025</v>
      </c>
      <c r="B54" t="s">
        <v>17</v>
      </c>
      <c r="C54" t="s">
        <v>241</v>
      </c>
      <c r="D54">
        <v>98</v>
      </c>
      <c r="E54" s="22">
        <v>83260935278</v>
      </c>
      <c r="F54" s="22">
        <v>4699345306</v>
      </c>
    </row>
    <row r="55" spans="1:12">
      <c r="C55" t="s">
        <v>242</v>
      </c>
      <c r="D55">
        <v>83</v>
      </c>
      <c r="E55" s="22">
        <v>35992169434</v>
      </c>
      <c r="F55" s="22">
        <v>3509527500</v>
      </c>
    </row>
    <row r="56" spans="1:12" hidden="1">
      <c r="C56" t="s">
        <v>243</v>
      </c>
      <c r="D56">
        <v>66</v>
      </c>
      <c r="E56" s="22">
        <v>17009484652</v>
      </c>
      <c r="F56" s="22">
        <v>4372350793</v>
      </c>
    </row>
    <row r="57" spans="1:12">
      <c r="B57" s="129" t="s">
        <v>244</v>
      </c>
      <c r="C57" s="131"/>
      <c r="D57" s="131">
        <v>247</v>
      </c>
      <c r="E57" s="132">
        <v>136262589364</v>
      </c>
      <c r="F57" s="132">
        <v>12581223599</v>
      </c>
    </row>
    <row r="58" spans="1:12" hidden="1">
      <c r="B58" t="s">
        <v>245</v>
      </c>
      <c r="C58" t="s">
        <v>243</v>
      </c>
      <c r="D58">
        <v>2</v>
      </c>
      <c r="E58" s="22">
        <v>654000000</v>
      </c>
      <c r="F58" s="22">
        <v>351666670</v>
      </c>
    </row>
    <row r="59" spans="1:12">
      <c r="B59" s="129" t="s">
        <v>246</v>
      </c>
      <c r="C59" s="131"/>
      <c r="D59" s="131">
        <v>2</v>
      </c>
      <c r="E59" s="132">
        <v>654000000</v>
      </c>
      <c r="F59" s="132">
        <v>351666670</v>
      </c>
    </row>
    <row r="60" spans="1:12">
      <c r="A60" s="136">
        <v>2026</v>
      </c>
      <c r="B60" t="s">
        <v>17</v>
      </c>
      <c r="C60" t="s">
        <v>241</v>
      </c>
      <c r="D60">
        <v>3</v>
      </c>
      <c r="E60" s="22">
        <v>396000000</v>
      </c>
      <c r="F60" s="22">
        <v>214080000</v>
      </c>
    </row>
    <row r="61" spans="1:12">
      <c r="C61" t="s">
        <v>242</v>
      </c>
      <c r="D61">
        <v>2</v>
      </c>
      <c r="E61" s="22">
        <v>564100000</v>
      </c>
      <c r="F61" s="22">
        <v>110640000</v>
      </c>
    </row>
    <row r="62" spans="1:12">
      <c r="B62" s="129" t="s">
        <v>244</v>
      </c>
      <c r="C62" s="131"/>
      <c r="D62" s="131">
        <v>5</v>
      </c>
      <c r="E62" s="132">
        <v>960100000</v>
      </c>
      <c r="F62" s="132">
        <v>324720000</v>
      </c>
      <c r="J62" s="137" t="s">
        <v>244</v>
      </c>
      <c r="K62" s="133">
        <v>275</v>
      </c>
      <c r="L62" s="134">
        <v>15234597444</v>
      </c>
    </row>
    <row r="63" spans="1:12">
      <c r="A63" s="136">
        <v>2027</v>
      </c>
      <c r="B63" t="s">
        <v>17</v>
      </c>
      <c r="C63" t="s">
        <v>241</v>
      </c>
      <c r="D63">
        <v>3</v>
      </c>
      <c r="E63" s="22">
        <v>336720000</v>
      </c>
      <c r="F63" s="22">
        <v>505865640</v>
      </c>
      <c r="J63" s="137" t="s">
        <v>246</v>
      </c>
      <c r="K63" s="133">
        <v>31</v>
      </c>
      <c r="L63" s="134">
        <v>2525814572</v>
      </c>
    </row>
    <row r="64" spans="1:12">
      <c r="B64" s="129" t="s">
        <v>244</v>
      </c>
      <c r="C64" s="131"/>
      <c r="D64" s="131">
        <v>3</v>
      </c>
      <c r="E64" s="132">
        <v>336720000</v>
      </c>
      <c r="F64" s="132">
        <v>505865640</v>
      </c>
      <c r="J64" s="137" t="s">
        <v>252</v>
      </c>
      <c r="K64" s="133">
        <v>51</v>
      </c>
      <c r="L64" s="134">
        <v>2769857945</v>
      </c>
    </row>
    <row r="65" spans="1:6">
      <c r="A65" s="136">
        <v>2029</v>
      </c>
      <c r="B65" t="s">
        <v>17</v>
      </c>
      <c r="C65" t="s">
        <v>241</v>
      </c>
      <c r="D65">
        <v>1</v>
      </c>
      <c r="E65" s="22">
        <v>0</v>
      </c>
      <c r="F65" s="22">
        <v>123059078</v>
      </c>
    </row>
    <row r="66" spans="1:6">
      <c r="B66" s="129" t="s">
        <v>244</v>
      </c>
      <c r="C66" s="131"/>
      <c r="D66" s="131">
        <v>1</v>
      </c>
      <c r="E66" s="132">
        <v>0</v>
      </c>
      <c r="F66" s="132">
        <v>123059078</v>
      </c>
    </row>
    <row r="67" spans="1:6">
      <c r="A67" s="136" t="s">
        <v>237</v>
      </c>
      <c r="D67" s="19">
        <f>SUM(D44+D57+D62+D64+D66)</f>
        <v>531</v>
      </c>
      <c r="E67" s="143">
        <v>479172835109.45203</v>
      </c>
      <c r="F67" s="143">
        <v>34416804948</v>
      </c>
    </row>
  </sheetData>
  <pageMargins left="0.7" right="0.7" top="0.75" bottom="0.75" header="0.3" footer="0.3"/>
  <pageSetup paperSize="9" orientation="portrait" horizontalDpi="0" verticalDpi="0" r:id="rId2"/>
  <drawing r:id="rId3"/>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J1971"/>
  <sheetViews>
    <sheetView topLeftCell="B13" workbookViewId="0">
      <selection activeCell="B17" sqref="B17"/>
    </sheetView>
  </sheetViews>
  <sheetFormatPr defaultColWidth="14.44140625" defaultRowHeight="15" customHeight="1"/>
  <cols>
    <col min="2" max="2" width="44.6640625" customWidth="1"/>
    <col min="3" max="3" width="18.109375" customWidth="1"/>
    <col min="4" max="4" width="79.109375" customWidth="1"/>
    <col min="5" max="5" width="12.5546875" customWidth="1"/>
    <col min="6" max="7" width="8.6640625" customWidth="1"/>
  </cols>
  <sheetData>
    <row r="1" spans="2:8" ht="14.25" customHeight="1">
      <c r="B1" s="1"/>
    </row>
    <row r="2" spans="2:8" ht="21.75" customHeight="1">
      <c r="B2" s="561" t="s">
        <v>253</v>
      </c>
      <c r="C2" s="561"/>
      <c r="D2" s="561"/>
    </row>
    <row r="3" spans="2:8" ht="21.75" customHeight="1">
      <c r="B3" s="1"/>
    </row>
    <row r="4" spans="2:8" ht="21.75" customHeight="1"/>
    <row r="5" spans="2:8" ht="21.75" customHeight="1">
      <c r="B5" s="19" t="s">
        <v>254</v>
      </c>
      <c r="C5" s="19" t="s">
        <v>17</v>
      </c>
      <c r="D5" s="3" t="s">
        <v>255</v>
      </c>
    </row>
    <row r="6" spans="2:8" ht="21.75" customHeight="1">
      <c r="B6" s="19"/>
      <c r="C6" s="19" t="s">
        <v>250</v>
      </c>
      <c r="D6" s="3" t="s">
        <v>256</v>
      </c>
    </row>
    <row r="7" spans="2:8" ht="21.75" customHeight="1">
      <c r="B7" s="19"/>
      <c r="C7" s="19" t="s">
        <v>245</v>
      </c>
      <c r="D7" s="3" t="s">
        <v>257</v>
      </c>
    </row>
    <row r="8" spans="2:8" ht="21.75" customHeight="1">
      <c r="B8" s="19"/>
      <c r="C8" s="19"/>
      <c r="D8" s="3"/>
    </row>
    <row r="9" spans="2:8" ht="21.75" customHeight="1">
      <c r="B9" s="562" t="s">
        <v>258</v>
      </c>
      <c r="C9" s="19" t="s">
        <v>259</v>
      </c>
      <c r="D9" s="3" t="s">
        <v>260</v>
      </c>
    </row>
    <row r="10" spans="2:8" ht="21.75" customHeight="1">
      <c r="B10" s="562"/>
      <c r="C10" s="19" t="s">
        <v>261</v>
      </c>
      <c r="D10" s="3" t="s">
        <v>262</v>
      </c>
    </row>
    <row r="11" spans="2:8" ht="21.75" customHeight="1">
      <c r="B11" s="562"/>
      <c r="C11" s="19" t="s">
        <v>263</v>
      </c>
      <c r="D11" s="3" t="s">
        <v>264</v>
      </c>
    </row>
    <row r="12" spans="2:8" ht="21.75" customHeight="1">
      <c r="B12" s="19"/>
      <c r="C12" s="19"/>
      <c r="D12" s="3"/>
    </row>
    <row r="13" spans="2:8" ht="21.75" customHeight="1">
      <c r="B13" s="19"/>
      <c r="D13" s="3"/>
    </row>
    <row r="14" spans="2:8" ht="21.75" customHeight="1">
      <c r="B14" s="19"/>
      <c r="C14" s="2"/>
      <c r="D14" s="3"/>
    </row>
    <row r="15" spans="2:8" ht="21.75" customHeight="1">
      <c r="B15" s="19" t="s">
        <v>265</v>
      </c>
      <c r="C15" s="21"/>
      <c r="D15" s="3" t="s">
        <v>266</v>
      </c>
    </row>
    <row r="16" spans="2:8" ht="21.75" customHeight="1">
      <c r="C16" s="14"/>
      <c r="D16" s="3" t="s">
        <v>267</v>
      </c>
      <c r="H16" s="20"/>
    </row>
    <row r="17" spans="2:10" ht="21.75" customHeight="1">
      <c r="C17" s="15"/>
      <c r="D17" s="3" t="s">
        <v>268</v>
      </c>
    </row>
    <row r="18" spans="2:10" ht="21.75" customHeight="1">
      <c r="C18" s="16"/>
      <c r="D18" s="3" t="s">
        <v>269</v>
      </c>
    </row>
    <row r="19" spans="2:10" ht="21.75" customHeight="1">
      <c r="C19" s="17"/>
      <c r="D19" s="19" t="s">
        <v>270</v>
      </c>
    </row>
    <row r="20" spans="2:10" ht="21.75" customHeight="1"/>
    <row r="21" spans="2:10" ht="21.75" customHeight="1"/>
    <row r="22" spans="2:10" ht="21.75" customHeight="1">
      <c r="J22" s="360"/>
    </row>
    <row r="23" spans="2:10" ht="21.75" customHeight="1">
      <c r="B23" s="19" t="s">
        <v>271</v>
      </c>
      <c r="E23" s="360" t="s">
        <v>272</v>
      </c>
      <c r="J23" s="360"/>
    </row>
    <row r="24" spans="2:10" ht="21.75" customHeight="1">
      <c r="B24" s="360"/>
      <c r="C24" s="360" t="s">
        <v>273</v>
      </c>
      <c r="E24" s="13">
        <f>10/100</f>
        <v>0.1</v>
      </c>
      <c r="J24" s="360"/>
    </row>
    <row r="25" spans="2:10" ht="21.75" customHeight="1">
      <c r="B25" s="360"/>
      <c r="C25" s="360" t="s">
        <v>274</v>
      </c>
      <c r="E25" s="13">
        <v>0.15</v>
      </c>
      <c r="J25" s="360"/>
    </row>
    <row r="26" spans="2:10" ht="21.75" customHeight="1">
      <c r="B26" s="360"/>
      <c r="C26" s="360" t="s">
        <v>275</v>
      </c>
      <c r="E26" s="13">
        <v>0.05</v>
      </c>
      <c r="J26" s="360"/>
    </row>
    <row r="27" spans="2:10" ht="21.75" customHeight="1">
      <c r="B27" s="360"/>
      <c r="C27" s="360" t="s">
        <v>276</v>
      </c>
      <c r="E27" s="13">
        <f t="shared" ref="E27:E33" si="0">10/100</f>
        <v>0.1</v>
      </c>
    </row>
    <row r="28" spans="2:10" ht="21.75" customHeight="1">
      <c r="B28" s="360"/>
      <c r="C28" s="360" t="s">
        <v>277</v>
      </c>
      <c r="E28" s="13">
        <v>0.05</v>
      </c>
    </row>
    <row r="29" spans="2:10" ht="21.75" customHeight="1">
      <c r="B29" s="360"/>
      <c r="C29" s="360" t="s">
        <v>278</v>
      </c>
      <c r="E29" s="13">
        <v>0.05</v>
      </c>
      <c r="F29" s="13"/>
    </row>
    <row r="30" spans="2:10" ht="21.75" customHeight="1">
      <c r="B30" s="360"/>
      <c r="C30" s="360" t="s">
        <v>279</v>
      </c>
      <c r="E30" s="13">
        <v>0.2</v>
      </c>
    </row>
    <row r="31" spans="2:10" ht="21.75" customHeight="1">
      <c r="B31" s="360"/>
      <c r="C31" s="360" t="s">
        <v>280</v>
      </c>
      <c r="E31" s="13">
        <v>0.05</v>
      </c>
    </row>
    <row r="32" spans="2:10" ht="21.75" customHeight="1">
      <c r="B32" s="360"/>
      <c r="C32" s="360" t="s">
        <v>281</v>
      </c>
      <c r="E32" s="13">
        <v>0.05</v>
      </c>
    </row>
    <row r="33" spans="2:5" ht="21.75" customHeight="1">
      <c r="B33" s="360"/>
      <c r="C33" s="360" t="s">
        <v>282</v>
      </c>
      <c r="E33" s="13">
        <f t="shared" si="0"/>
        <v>0.1</v>
      </c>
    </row>
    <row r="34" spans="2:5" ht="21.75" customHeight="1">
      <c r="B34" s="360"/>
      <c r="C34" s="360"/>
      <c r="D34" s="360"/>
      <c r="E34" s="13">
        <f>SUM(E24:E33)</f>
        <v>0.9</v>
      </c>
    </row>
    <row r="35" spans="2:5" ht="21.75" customHeight="1">
      <c r="E35" s="13"/>
    </row>
    <row r="36" spans="2:5" ht="21.75" customHeight="1"/>
    <row r="37" spans="2:5" ht="21.75" customHeight="1"/>
    <row r="38" spans="2:5" ht="21.75" customHeight="1"/>
    <row r="39" spans="2:5" ht="21.75" customHeight="1"/>
    <row r="40" spans="2:5" ht="21.75" customHeight="1"/>
    <row r="41" spans="2:5" ht="21.75" customHeight="1"/>
    <row r="42" spans="2:5" ht="21.75" customHeight="1"/>
    <row r="43" spans="2:5" ht="21.75" customHeight="1"/>
    <row r="44" spans="2:5" ht="21.75" customHeight="1"/>
    <row r="45" spans="2:5" ht="21.75" customHeight="1"/>
    <row r="46" spans="2:5" ht="21.75" customHeight="1"/>
    <row r="47" spans="2:5" ht="21.75" customHeight="1"/>
    <row r="48" spans="2:5" ht="21.75" customHeight="1"/>
    <row r="49" ht="21.75" customHeight="1"/>
    <row r="50" ht="21.75" customHeight="1"/>
    <row r="51" ht="21.75" customHeight="1"/>
    <row r="52" ht="21.75" customHeight="1"/>
    <row r="53" ht="21.75" customHeight="1"/>
    <row r="54" ht="21.75" customHeight="1"/>
    <row r="55" ht="21.75" customHeight="1"/>
    <row r="56" ht="21.75" customHeight="1"/>
    <row r="57" ht="21.75" customHeight="1"/>
    <row r="58" ht="21.75" customHeight="1"/>
    <row r="59" ht="21.75" customHeight="1"/>
    <row r="60" ht="21.75" customHeight="1"/>
    <row r="61" ht="21.75" customHeight="1"/>
    <row r="62" ht="21.75" customHeight="1"/>
    <row r="63" ht="21.75" customHeight="1"/>
    <row r="64" ht="21.75" customHeight="1"/>
    <row r="65" ht="21.75" customHeight="1"/>
    <row r="66" ht="21.75" customHeight="1"/>
    <row r="67" ht="21.75" customHeight="1"/>
    <row r="68" ht="21.75" customHeight="1"/>
    <row r="69" ht="21.75" customHeight="1"/>
    <row r="70" ht="21.75" customHeight="1"/>
    <row r="71" ht="21.75" customHeight="1"/>
    <row r="72" ht="21.75" customHeight="1"/>
    <row r="73" ht="21.75" customHeight="1"/>
    <row r="74" ht="21.75" customHeight="1"/>
    <row r="75" ht="21.75" customHeight="1"/>
    <row r="76" ht="21.75" customHeight="1"/>
    <row r="77" ht="21.75" customHeight="1"/>
    <row r="78" ht="21.75" customHeight="1"/>
    <row r="79" ht="21.75" customHeight="1"/>
    <row r="80" ht="21.75" customHeight="1"/>
    <row r="81" ht="21.75" customHeight="1"/>
    <row r="82" ht="21.75" customHeight="1"/>
    <row r="83" ht="21.75" customHeight="1"/>
    <row r="84" ht="21.75" customHeight="1"/>
    <row r="85" ht="21.75" customHeight="1"/>
    <row r="86" ht="21.75" customHeight="1"/>
    <row r="87" ht="21.75" customHeight="1"/>
    <row r="88" ht="21.75" customHeight="1"/>
    <row r="89" ht="21.75" customHeight="1"/>
    <row r="90" ht="21.75" customHeight="1"/>
    <row r="91" ht="21.75" customHeight="1"/>
    <row r="92" ht="21.75" customHeight="1"/>
    <row r="93" ht="21.75" customHeight="1"/>
    <row r="94" ht="21.75" customHeight="1"/>
    <row r="95" ht="21.75" customHeight="1"/>
    <row r="96" ht="21.75" customHeight="1"/>
    <row r="97" ht="21.75" customHeight="1"/>
    <row r="98" ht="21.75" customHeight="1"/>
    <row r="99" ht="21.75" customHeight="1"/>
    <row r="100" ht="21.75" customHeight="1"/>
    <row r="101" ht="21.75" customHeight="1"/>
    <row r="102" ht="21.75" customHeight="1"/>
    <row r="103" ht="21.75" customHeight="1"/>
    <row r="104" ht="21.75" customHeight="1"/>
    <row r="105" ht="21.75" customHeight="1"/>
    <row r="106" ht="21.75" customHeight="1"/>
    <row r="107" ht="21.75" customHeight="1"/>
    <row r="108" ht="21.75" customHeight="1"/>
    <row r="109" ht="21.75" customHeight="1"/>
    <row r="110" ht="21.75" customHeight="1"/>
    <row r="111" ht="21.75" customHeight="1"/>
    <row r="112" ht="21.75" customHeight="1"/>
    <row r="113" ht="21.75" customHeight="1"/>
    <row r="114" ht="21.75" customHeight="1"/>
    <row r="115" ht="21.75" customHeight="1"/>
    <row r="116" ht="21.75" customHeight="1"/>
    <row r="117" ht="21.75" customHeight="1"/>
    <row r="118" ht="21.75" customHeight="1"/>
    <row r="119" ht="21.75" customHeight="1"/>
    <row r="120" ht="21.75" customHeight="1"/>
    <row r="121" ht="21.75" customHeight="1"/>
    <row r="122" ht="21.75" customHeight="1"/>
    <row r="123" ht="21.75" customHeight="1"/>
    <row r="124" ht="21.75" customHeight="1"/>
    <row r="125" ht="21.75" customHeight="1"/>
    <row r="126" ht="21.75" customHeight="1"/>
    <row r="127" ht="21.75" customHeight="1"/>
    <row r="128" ht="21.75" customHeight="1"/>
    <row r="129" ht="21.75" customHeight="1"/>
    <row r="130" ht="21.75" customHeight="1"/>
    <row r="131" ht="21.75" customHeight="1"/>
    <row r="132" ht="21.75" customHeight="1"/>
    <row r="133" ht="21.75" customHeight="1"/>
    <row r="134" ht="21.75" customHeight="1"/>
    <row r="135" ht="21.75" customHeight="1"/>
    <row r="136" ht="21.75" customHeight="1"/>
    <row r="137" ht="21.75" customHeight="1"/>
    <row r="138" ht="21.75" customHeight="1"/>
    <row r="139" ht="21.75" customHeight="1"/>
    <row r="140" ht="21.75" customHeight="1"/>
    <row r="141" ht="21.75" customHeight="1"/>
    <row r="142" ht="21.75" customHeight="1"/>
    <row r="143" ht="21.75" customHeight="1"/>
    <row r="144" ht="21.75" customHeight="1"/>
    <row r="145" ht="21.75" customHeight="1"/>
    <row r="146" ht="21.75" customHeight="1"/>
    <row r="147" ht="21.75" customHeight="1"/>
    <row r="148" ht="21.75" customHeight="1"/>
    <row r="149" ht="21.75" customHeight="1"/>
    <row r="150" ht="21.75" customHeight="1"/>
    <row r="151" ht="21.75" customHeight="1"/>
    <row r="152" ht="21.75" customHeight="1"/>
    <row r="153" ht="21.75" customHeight="1"/>
    <row r="154" ht="21.75" customHeight="1"/>
    <row r="155" ht="21.75" customHeight="1"/>
    <row r="156" ht="21.75" customHeight="1"/>
    <row r="157" ht="21.75" customHeight="1"/>
    <row r="158" ht="21.75" customHeight="1"/>
    <row r="159" ht="21.75" customHeight="1"/>
    <row r="160" ht="21.75" customHeight="1"/>
    <row r="161" ht="21.75" customHeight="1"/>
    <row r="162" ht="21.75" customHeight="1"/>
    <row r="163" ht="21.75" customHeight="1"/>
    <row r="164" ht="21.75" customHeight="1"/>
    <row r="165" ht="21.75" customHeight="1"/>
    <row r="166" ht="21.75" customHeight="1"/>
    <row r="167" ht="21.75" customHeight="1"/>
    <row r="168" ht="21.75" customHeight="1"/>
    <row r="169" ht="21.75" customHeight="1"/>
    <row r="170" ht="21.75" customHeight="1"/>
    <row r="171" ht="21.75" customHeight="1"/>
    <row r="172" ht="21.75" customHeight="1"/>
    <row r="173" ht="21.75" customHeight="1"/>
    <row r="174" ht="21.75" customHeight="1"/>
    <row r="175" ht="21.75" customHeight="1"/>
    <row r="176" ht="21.75" customHeight="1"/>
    <row r="177" ht="21.75" customHeight="1"/>
    <row r="178" ht="21.75" customHeight="1"/>
    <row r="179" ht="21.75" customHeight="1"/>
    <row r="180" ht="21.75" customHeight="1"/>
    <row r="181" ht="21.75" customHeight="1"/>
    <row r="182" ht="21.75" customHeight="1"/>
    <row r="183" ht="21.75" customHeight="1"/>
    <row r="184" ht="21.75" customHeight="1"/>
    <row r="185" ht="21.75" customHeight="1"/>
    <row r="186" ht="21.75" customHeight="1"/>
    <row r="187" ht="21.75" customHeight="1"/>
    <row r="188" ht="21.75" customHeight="1"/>
    <row r="189" ht="21.75" customHeight="1"/>
    <row r="190" ht="21.75" customHeight="1"/>
    <row r="191" ht="21.75" customHeight="1"/>
    <row r="192" ht="21.75" customHeight="1"/>
    <row r="193" ht="21.75" customHeight="1"/>
    <row r="194" ht="21.75" customHeight="1"/>
    <row r="195" ht="21.75" customHeight="1"/>
    <row r="196" ht="21.75" customHeight="1"/>
    <row r="197" ht="21.75" customHeight="1"/>
    <row r="198" ht="21.75" customHeight="1"/>
    <row r="199" ht="21.75" customHeight="1"/>
    <row r="200" ht="21.75" customHeight="1"/>
    <row r="201" ht="21.75" customHeight="1"/>
    <row r="202" ht="21.75" customHeight="1"/>
    <row r="203" ht="21.75" customHeight="1"/>
    <row r="204" ht="21.75" customHeight="1"/>
    <row r="205" ht="21.75" customHeight="1"/>
    <row r="206" ht="21.75" customHeight="1"/>
    <row r="207" ht="21.75" customHeight="1"/>
    <row r="208" ht="21.75" customHeight="1"/>
    <row r="209" ht="21.75" customHeight="1"/>
    <row r="210" ht="21.75" customHeight="1"/>
    <row r="211" ht="21.75" customHeight="1"/>
    <row r="212" ht="21.75" customHeight="1"/>
    <row r="213" ht="21.75" customHeight="1"/>
    <row r="214" ht="21.75" customHeight="1"/>
    <row r="215" ht="21.75" customHeight="1"/>
    <row r="216" ht="21.75" customHeight="1"/>
    <row r="217" ht="21.75" customHeight="1"/>
    <row r="218" ht="21.75" customHeight="1"/>
    <row r="219" ht="21.75" customHeight="1"/>
    <row r="220" ht="21.75" customHeight="1"/>
    <row r="221" ht="21.75" customHeight="1"/>
    <row r="222" ht="21.75" customHeight="1"/>
    <row r="223" ht="21.75" customHeight="1"/>
    <row r="224" ht="21.75" customHeight="1"/>
    <row r="225" ht="21.75" customHeight="1"/>
    <row r="226" ht="21.75" customHeight="1"/>
    <row r="227" ht="21.75" customHeight="1"/>
    <row r="228" ht="21.75" customHeight="1"/>
    <row r="229" ht="21.75" customHeight="1"/>
    <row r="230" ht="21.75" customHeight="1"/>
    <row r="231" ht="21.75" customHeight="1"/>
    <row r="232" ht="21.75" customHeight="1"/>
    <row r="233" ht="21.75" customHeight="1"/>
    <row r="234" ht="21.75" customHeight="1"/>
    <row r="235" ht="21.75" customHeight="1"/>
    <row r="236" ht="21.75" customHeight="1"/>
    <row r="237" ht="21.75" customHeight="1"/>
    <row r="238" ht="21.75" customHeight="1"/>
    <row r="239" ht="21.75" customHeight="1"/>
    <row r="240" ht="21.75" customHeight="1"/>
    <row r="241" ht="21.75" customHeight="1"/>
    <row r="242" ht="21.75" customHeight="1"/>
    <row r="243" ht="21.75" customHeight="1"/>
    <row r="244" ht="21.75" customHeight="1"/>
    <row r="245" ht="21.75" customHeight="1"/>
    <row r="246" ht="21.75" customHeight="1"/>
    <row r="247" ht="21.75" customHeight="1"/>
    <row r="248" ht="21.75" customHeight="1"/>
    <row r="249" ht="21.75" customHeight="1"/>
    <row r="250" ht="21.75" customHeight="1"/>
    <row r="251" ht="21.75" customHeight="1"/>
    <row r="252" ht="21.75" customHeight="1"/>
    <row r="253" ht="21.75" customHeight="1"/>
    <row r="254" ht="21.75" customHeight="1"/>
    <row r="255" ht="21.75" customHeight="1"/>
    <row r="256" ht="21.75" customHeight="1"/>
    <row r="257" ht="21.75" customHeight="1"/>
    <row r="258" ht="21.75" customHeight="1"/>
    <row r="259" ht="21.75" customHeight="1"/>
    <row r="260" ht="21.75" customHeight="1"/>
    <row r="261" ht="21.75" customHeight="1"/>
    <row r="262" ht="21.75" customHeight="1"/>
    <row r="263" ht="21.75" customHeight="1"/>
    <row r="264" ht="21.75" customHeight="1"/>
    <row r="265" ht="21.75" customHeight="1"/>
    <row r="266" ht="21.75" customHeight="1"/>
    <row r="267" ht="21.75" customHeight="1"/>
    <row r="268" ht="21.75" customHeight="1"/>
    <row r="269" ht="21.75" customHeight="1"/>
    <row r="270" ht="21.75" customHeight="1"/>
    <row r="271" ht="21.75" customHeight="1"/>
    <row r="272" ht="21.75" customHeight="1"/>
    <row r="273" ht="21.75" customHeight="1"/>
    <row r="274" ht="21.75" customHeight="1"/>
    <row r="275" ht="21.75" customHeight="1"/>
    <row r="276" ht="21.75" customHeight="1"/>
    <row r="277" ht="21.75" customHeight="1"/>
    <row r="278" ht="21.75" customHeight="1"/>
    <row r="279" ht="21.75" customHeight="1"/>
    <row r="280" ht="21.75" customHeight="1"/>
    <row r="281" ht="21.75" customHeight="1"/>
    <row r="282" ht="21.75" customHeight="1"/>
    <row r="283" ht="21.75" customHeight="1"/>
    <row r="284" ht="21.75" customHeight="1"/>
    <row r="285" ht="21.75" customHeight="1"/>
    <row r="286" ht="21.75" customHeight="1"/>
    <row r="287" ht="21.75" customHeight="1"/>
    <row r="288" ht="21.75" customHeight="1"/>
    <row r="289" ht="21.75" customHeight="1"/>
    <row r="290" ht="21.75" customHeight="1"/>
    <row r="291" ht="21.75" customHeight="1"/>
    <row r="292" ht="21.75" customHeight="1"/>
    <row r="293" ht="21.75" customHeight="1"/>
    <row r="294" ht="21.75" customHeight="1"/>
    <row r="295" ht="21.75" customHeight="1"/>
    <row r="296" ht="21.75" customHeight="1"/>
    <row r="297" ht="21.75" customHeight="1"/>
    <row r="298" ht="21.75" customHeight="1"/>
    <row r="299" ht="21.75" customHeight="1"/>
    <row r="300" ht="21.75" customHeight="1"/>
    <row r="301" ht="21.75" customHeight="1"/>
    <row r="302" ht="21.75" customHeight="1"/>
    <row r="303" ht="21.75" customHeight="1"/>
    <row r="304" ht="21.75" customHeight="1"/>
    <row r="305" ht="21.75" customHeight="1"/>
    <row r="306" ht="21.75" customHeight="1"/>
    <row r="307" ht="21.75" customHeight="1"/>
    <row r="308" ht="21.75" customHeight="1"/>
    <row r="309" ht="21.75" customHeight="1"/>
    <row r="310" ht="21.75" customHeight="1"/>
    <row r="311" ht="21.75" customHeight="1"/>
    <row r="312" ht="21.75" customHeight="1"/>
    <row r="313" ht="21.75" customHeight="1"/>
    <row r="314" ht="21.75" customHeight="1"/>
    <row r="315" ht="21.75" customHeight="1"/>
    <row r="316" ht="21.75" customHeight="1"/>
    <row r="317" ht="21.75" customHeight="1"/>
    <row r="318" ht="21.75" customHeight="1"/>
    <row r="319" ht="21.75" customHeight="1"/>
    <row r="320" ht="21.75" customHeight="1"/>
    <row r="321" ht="21.75" customHeight="1"/>
    <row r="322" ht="21.75" customHeight="1"/>
    <row r="323" ht="21.75" customHeight="1"/>
    <row r="324" ht="21.75" customHeight="1"/>
    <row r="325" ht="21.75" customHeight="1"/>
    <row r="326" ht="21.75" customHeight="1"/>
    <row r="327" ht="21.75" customHeight="1"/>
    <row r="328" ht="21.75" customHeight="1"/>
    <row r="329" ht="21.75" customHeight="1"/>
    <row r="330" ht="21.75" customHeight="1"/>
    <row r="331" ht="21.75" customHeight="1"/>
    <row r="332" ht="21.75" customHeight="1"/>
    <row r="333" ht="21.75" customHeight="1"/>
    <row r="334" ht="21.75" customHeight="1"/>
    <row r="335" ht="21.75" customHeight="1"/>
    <row r="336" ht="21.75" customHeight="1"/>
    <row r="337" ht="21.75" customHeight="1"/>
    <row r="338" ht="21.75" customHeight="1"/>
    <row r="339" ht="21.75" customHeight="1"/>
    <row r="340" ht="21.75" customHeight="1"/>
    <row r="341" ht="21.75" customHeight="1"/>
    <row r="342" ht="21.75" customHeight="1"/>
    <row r="343" ht="21.75" customHeight="1"/>
    <row r="344" ht="21.75" customHeight="1"/>
    <row r="345" ht="21.75" customHeight="1"/>
    <row r="346" ht="21.75" customHeight="1"/>
    <row r="347" ht="21.75" customHeight="1"/>
    <row r="348" ht="21.75" customHeight="1"/>
    <row r="349" ht="21.75" customHeight="1"/>
    <row r="350" ht="21.75" customHeight="1"/>
    <row r="351" ht="21.75" customHeight="1"/>
    <row r="352" ht="21.75" customHeight="1"/>
    <row r="353" ht="21.75" customHeight="1"/>
    <row r="354" ht="21.75" customHeight="1"/>
    <row r="355" ht="21.75" customHeight="1"/>
    <row r="356" ht="21.75" customHeight="1"/>
    <row r="357" ht="21.75" customHeight="1"/>
    <row r="358" ht="21.75" customHeight="1"/>
    <row r="359" ht="21.75" customHeight="1"/>
    <row r="360" ht="21.75" customHeight="1"/>
    <row r="361" ht="21.75" customHeight="1"/>
    <row r="362" ht="21.75" customHeight="1"/>
    <row r="363" ht="21.75" customHeight="1"/>
    <row r="364" ht="21.75" customHeight="1"/>
    <row r="365" ht="21.75" customHeight="1"/>
    <row r="366" ht="21.75" customHeight="1"/>
    <row r="367" ht="21.75" customHeight="1"/>
    <row r="368" ht="21.75" customHeight="1"/>
    <row r="369" ht="21.75" customHeight="1"/>
    <row r="370" ht="21.75" customHeight="1"/>
    <row r="371" ht="21.75" customHeight="1"/>
    <row r="372" ht="21.75" customHeight="1"/>
    <row r="373" ht="21.75" customHeight="1"/>
    <row r="374" ht="21.75" customHeight="1"/>
    <row r="375" ht="21.75" customHeight="1"/>
    <row r="376" ht="21.75" customHeight="1"/>
    <row r="377" ht="21.75" customHeight="1"/>
    <row r="378" ht="21.75" customHeight="1"/>
    <row r="379" ht="21.75" customHeight="1"/>
    <row r="380" ht="21.75" customHeight="1"/>
    <row r="381" ht="21.75" customHeight="1"/>
    <row r="382" ht="21.75" customHeight="1"/>
    <row r="383" ht="21.75" customHeight="1"/>
    <row r="384" ht="21.75" customHeight="1"/>
    <row r="385" ht="21.75" customHeight="1"/>
    <row r="386" ht="21.75" customHeight="1"/>
    <row r="387" ht="21.75" customHeight="1"/>
    <row r="388" ht="21.75" customHeight="1"/>
    <row r="389" ht="21.75" customHeight="1"/>
    <row r="390" ht="21.75" customHeight="1"/>
    <row r="391" ht="21.75" customHeight="1"/>
    <row r="392" ht="21.75" customHeight="1"/>
    <row r="393" ht="21.75" customHeight="1"/>
    <row r="394" ht="21.75" customHeight="1"/>
    <row r="395" ht="21.75" customHeight="1"/>
    <row r="396" ht="21.75" customHeight="1"/>
    <row r="397" ht="21.75" customHeight="1"/>
    <row r="398" ht="21.75" customHeight="1"/>
    <row r="399" ht="21.75" customHeight="1"/>
    <row r="400" ht="21.75" customHeight="1"/>
    <row r="401" ht="21.75" customHeight="1"/>
    <row r="402" ht="21.75" customHeight="1"/>
    <row r="403" ht="21.75" customHeight="1"/>
    <row r="404" ht="21.75" customHeight="1"/>
    <row r="405" ht="21.75" customHeight="1"/>
    <row r="406" ht="21.75" customHeight="1"/>
    <row r="407" ht="21.75" customHeight="1"/>
    <row r="408" ht="21.75" customHeight="1"/>
    <row r="409" ht="21.75" customHeight="1"/>
    <row r="410" ht="21.75" customHeight="1"/>
    <row r="411" ht="21.75" customHeight="1"/>
    <row r="412" ht="21.75" customHeight="1"/>
    <row r="413" ht="21.75" customHeight="1"/>
    <row r="414" ht="21.75" customHeight="1"/>
    <row r="415" ht="21.75" customHeight="1"/>
    <row r="416" ht="21.75" customHeight="1"/>
    <row r="417" ht="21.75" customHeight="1"/>
    <row r="418" ht="21.75" customHeight="1"/>
    <row r="419" ht="21.75" customHeight="1"/>
    <row r="420" ht="21.75" customHeight="1"/>
    <row r="421" ht="21.75" customHeight="1"/>
    <row r="422" ht="21.75" customHeight="1"/>
    <row r="423" ht="21.75" customHeight="1"/>
    <row r="424" ht="21.75" customHeight="1"/>
    <row r="425" ht="21.75" customHeight="1"/>
    <row r="426" ht="21.75" customHeight="1"/>
    <row r="427" ht="21.75" customHeight="1"/>
    <row r="428" ht="21.75" customHeight="1"/>
    <row r="429" ht="21.75" customHeight="1"/>
    <row r="430" ht="21.75" customHeight="1"/>
    <row r="431" ht="21.75" customHeight="1"/>
    <row r="432" ht="21.75" customHeight="1"/>
    <row r="433" ht="21.75" customHeight="1"/>
    <row r="434" ht="21.75" customHeight="1"/>
    <row r="435" ht="21.75" customHeight="1"/>
    <row r="436" ht="21.75" customHeight="1"/>
    <row r="437" ht="21.75" customHeight="1"/>
    <row r="438" ht="21.75" customHeight="1"/>
    <row r="439" ht="21.75" customHeight="1"/>
    <row r="440" ht="21.75" customHeight="1"/>
    <row r="441" ht="21.75" customHeight="1"/>
    <row r="442" ht="21.75" customHeight="1"/>
    <row r="443" ht="21.75" customHeight="1"/>
    <row r="444" ht="21.75" customHeight="1"/>
    <row r="445" ht="21.75" customHeight="1"/>
    <row r="446" ht="21.75" customHeight="1"/>
    <row r="447" ht="21.75" customHeight="1"/>
    <row r="448" ht="21.75" customHeight="1"/>
    <row r="449" ht="21.75" customHeight="1"/>
    <row r="450" ht="21.75" customHeight="1"/>
    <row r="451" ht="21.75" customHeight="1"/>
    <row r="452" ht="21.75" customHeight="1"/>
    <row r="453" ht="21.75" customHeight="1"/>
    <row r="454" ht="21.75" customHeight="1"/>
    <row r="455" ht="21.75" customHeight="1"/>
    <row r="456" ht="21.75" customHeight="1"/>
    <row r="457" ht="21.75" customHeight="1"/>
    <row r="458" ht="21.75" customHeight="1"/>
    <row r="459" ht="21.75" customHeight="1"/>
    <row r="460" ht="21.75" customHeight="1"/>
    <row r="461" ht="21.75" customHeight="1"/>
    <row r="462" ht="21.75" customHeight="1"/>
    <row r="463" ht="21.75" customHeight="1"/>
    <row r="464" ht="21.75" customHeight="1"/>
    <row r="465" ht="21.75" customHeight="1"/>
    <row r="466" ht="21.75" customHeight="1"/>
    <row r="467" ht="21.75" customHeight="1"/>
    <row r="468" ht="21.75" customHeight="1"/>
    <row r="469" ht="21.75" customHeight="1"/>
    <row r="470" ht="21.75" customHeight="1"/>
    <row r="471" ht="21.75" customHeight="1"/>
    <row r="472" ht="21.75" customHeight="1"/>
    <row r="473" ht="21.75" customHeight="1"/>
    <row r="474" ht="21.75" customHeight="1"/>
    <row r="475" ht="21.75" customHeight="1"/>
    <row r="476" ht="21.75" customHeight="1"/>
    <row r="477" ht="21.75" customHeight="1"/>
    <row r="478" ht="21.75" customHeight="1"/>
    <row r="479" ht="21.75" customHeight="1"/>
    <row r="480" ht="21.75" customHeight="1"/>
    <row r="481" ht="21.75" customHeight="1"/>
    <row r="482" ht="21.75" customHeight="1"/>
    <row r="483" ht="21.75" customHeight="1"/>
    <row r="484" ht="21.75" customHeight="1"/>
    <row r="485" ht="21.75" customHeight="1"/>
    <row r="486" ht="21.75" customHeight="1"/>
    <row r="487" ht="21.75" customHeight="1"/>
    <row r="488" ht="21.75" customHeight="1"/>
    <row r="489" ht="21.75" customHeight="1"/>
    <row r="490" ht="21.75" customHeight="1"/>
    <row r="491" ht="21.75" customHeight="1"/>
    <row r="492" ht="21.75" customHeight="1"/>
    <row r="493" ht="21.75" customHeight="1"/>
    <row r="494" ht="21.75" customHeight="1"/>
    <row r="495" ht="21.75" customHeight="1"/>
    <row r="496" ht="21.75" customHeight="1"/>
    <row r="497" ht="21.75" customHeight="1"/>
    <row r="498" ht="21.75" customHeight="1"/>
    <row r="499" ht="21.75" customHeight="1"/>
    <row r="500" ht="21.75" customHeight="1"/>
    <row r="501" ht="21.75" customHeight="1"/>
    <row r="502" ht="21.75" customHeight="1"/>
    <row r="503" ht="21.75" customHeight="1"/>
    <row r="504" ht="21.75" customHeight="1"/>
    <row r="505" ht="21.75" customHeight="1"/>
    <row r="506" ht="21.75" customHeight="1"/>
    <row r="507" ht="21.75" customHeight="1"/>
    <row r="508" ht="21.75" customHeight="1"/>
    <row r="509" ht="21.75" customHeight="1"/>
    <row r="510" ht="21.75" customHeight="1"/>
    <row r="511" ht="21.75" customHeight="1"/>
    <row r="512" ht="21.75" customHeight="1"/>
    <row r="513" ht="21.75" customHeight="1"/>
    <row r="514" ht="21.75" customHeight="1"/>
    <row r="515" ht="21.75" customHeight="1"/>
    <row r="516" ht="21.75" customHeight="1"/>
    <row r="517" ht="21.75" customHeight="1"/>
    <row r="518" ht="21.75" customHeight="1"/>
    <row r="519" ht="21.75" customHeight="1"/>
    <row r="520" ht="21.75" customHeight="1"/>
    <row r="521" ht="21.75" customHeight="1"/>
    <row r="522" ht="21.75" customHeight="1"/>
    <row r="523" ht="21.75" customHeight="1"/>
    <row r="524" ht="21.75" customHeight="1"/>
    <row r="525" ht="21.75" customHeight="1"/>
    <row r="526" ht="21.75" customHeight="1"/>
    <row r="527" ht="21.75" customHeight="1"/>
    <row r="528" ht="21.75" customHeight="1"/>
    <row r="529" ht="21.75" customHeight="1"/>
    <row r="530" ht="21.75" customHeight="1"/>
    <row r="531" ht="21.75" customHeight="1"/>
    <row r="532" ht="21.75" customHeight="1"/>
    <row r="533" ht="21.75" customHeight="1"/>
    <row r="534" ht="21.75" customHeight="1"/>
    <row r="535" ht="21.75" customHeight="1"/>
    <row r="536" ht="21.75" customHeight="1"/>
    <row r="537" ht="21.75" customHeight="1"/>
    <row r="538" ht="21.75" customHeight="1"/>
    <row r="539" ht="21.75" customHeight="1"/>
    <row r="540" ht="21.75" customHeight="1"/>
    <row r="541" ht="21.75" customHeight="1"/>
    <row r="542" ht="21.75" customHeight="1"/>
    <row r="543" ht="21.75" customHeight="1"/>
    <row r="544" ht="21.75" customHeight="1"/>
    <row r="545" ht="21.75" customHeight="1"/>
    <row r="546" ht="21.75" customHeight="1"/>
    <row r="547" ht="21.75" customHeight="1"/>
    <row r="548" ht="21.75" customHeight="1"/>
    <row r="549" ht="21.75" customHeight="1"/>
    <row r="550" ht="21.75" customHeight="1"/>
    <row r="551" ht="21.75" customHeight="1"/>
    <row r="552" ht="21.75" customHeight="1"/>
    <row r="553" ht="21.75" customHeight="1"/>
    <row r="554" ht="21.75" customHeight="1"/>
    <row r="555" ht="21.75" customHeight="1"/>
    <row r="556" ht="21.75" customHeight="1"/>
    <row r="557" ht="21.75" customHeight="1"/>
    <row r="558" ht="21.75" customHeight="1"/>
    <row r="559" ht="21.75" customHeight="1"/>
    <row r="560" ht="21.75" customHeight="1"/>
    <row r="561" ht="21.75" customHeight="1"/>
    <row r="562" ht="21.75" customHeight="1"/>
    <row r="563" ht="21.75" customHeight="1"/>
    <row r="564" ht="21.75" customHeight="1"/>
    <row r="565" ht="21.75" customHeight="1"/>
    <row r="566" ht="21.75" customHeight="1"/>
    <row r="567" ht="21.75" customHeight="1"/>
    <row r="568" ht="21.75" customHeight="1"/>
    <row r="569" ht="21.75" customHeight="1"/>
    <row r="570" ht="21.75" customHeight="1"/>
    <row r="571" ht="21.75" customHeight="1"/>
    <row r="572" ht="21.75" customHeight="1"/>
    <row r="573" ht="21.75" customHeight="1"/>
    <row r="574" ht="21.75" customHeight="1"/>
    <row r="575" ht="21.75" customHeight="1"/>
    <row r="576" ht="21.75" customHeight="1"/>
    <row r="577" ht="21.75" customHeight="1"/>
    <row r="578" ht="21.75" customHeight="1"/>
    <row r="579" ht="21.75" customHeight="1"/>
    <row r="580" ht="21.75" customHeight="1"/>
    <row r="581" ht="21.75" customHeight="1"/>
    <row r="582" ht="21.75" customHeight="1"/>
    <row r="583" ht="21.75" customHeight="1"/>
    <row r="584" ht="21.75" customHeight="1"/>
    <row r="585" ht="21.75" customHeight="1"/>
    <row r="586" ht="21.75" customHeight="1"/>
    <row r="587" ht="21.75" customHeight="1"/>
    <row r="588" ht="21.75" customHeight="1"/>
    <row r="589" ht="21.75" customHeight="1"/>
    <row r="590" ht="21.75" customHeight="1"/>
    <row r="591" ht="21.75" customHeight="1"/>
    <row r="592" ht="21.75" customHeight="1"/>
    <row r="593" ht="21.75" customHeight="1"/>
    <row r="594" ht="21.75" customHeight="1"/>
    <row r="595" ht="21.75" customHeight="1"/>
    <row r="596" ht="21.75" customHeight="1"/>
    <row r="597" ht="21.75" customHeight="1"/>
    <row r="598" ht="21.75" customHeight="1"/>
    <row r="599" ht="21.75" customHeight="1"/>
    <row r="600" ht="21.75" customHeight="1"/>
    <row r="601" ht="21.75" customHeight="1"/>
    <row r="602" ht="21.75" customHeight="1"/>
    <row r="603" ht="21.75" customHeight="1"/>
    <row r="604" ht="21.75" customHeight="1"/>
    <row r="605" ht="21.75" customHeight="1"/>
    <row r="606" ht="21.75" customHeight="1"/>
    <row r="607" ht="21.75" customHeight="1"/>
    <row r="608" ht="21.75" customHeight="1"/>
    <row r="609" ht="21.75" customHeight="1"/>
    <row r="610" ht="21.75" customHeight="1"/>
    <row r="611" ht="21.75" customHeight="1"/>
    <row r="612" ht="21.75" customHeight="1"/>
    <row r="613" ht="21.75" customHeight="1"/>
    <row r="614" ht="21.75" customHeight="1"/>
    <row r="615" ht="21.75" customHeight="1"/>
    <row r="616" ht="21.75" customHeight="1"/>
    <row r="617" ht="21.75" customHeight="1"/>
    <row r="618" ht="21.75" customHeight="1"/>
    <row r="619" ht="21.75" customHeight="1"/>
    <row r="620" ht="21.75" customHeight="1"/>
    <row r="621" ht="21.75" customHeight="1"/>
    <row r="622" ht="21.75" customHeight="1"/>
    <row r="623" ht="21.75" customHeight="1"/>
    <row r="624" ht="21.75" customHeight="1"/>
    <row r="625" ht="21.75" customHeight="1"/>
    <row r="626" ht="21.75" customHeight="1"/>
    <row r="627" ht="21.75" customHeight="1"/>
    <row r="628" ht="21.75" customHeight="1"/>
    <row r="629" ht="21.75" customHeight="1"/>
    <row r="630" ht="21.75" customHeight="1"/>
    <row r="631" ht="21.75" customHeight="1"/>
    <row r="632" ht="21.75" customHeight="1"/>
    <row r="633" ht="21.75" customHeight="1"/>
    <row r="634" ht="21.75" customHeight="1"/>
    <row r="635" ht="21.75" customHeight="1"/>
    <row r="636" ht="21.75" customHeight="1"/>
    <row r="637" ht="21.75" customHeight="1"/>
    <row r="638" ht="21.75" customHeight="1"/>
    <row r="639" ht="21.75" customHeight="1"/>
    <row r="640" ht="21.75" customHeight="1"/>
    <row r="641" ht="21.75" customHeight="1"/>
    <row r="642" ht="21.75" customHeight="1"/>
    <row r="643" ht="21.75" customHeight="1"/>
    <row r="644" ht="21.75" customHeight="1"/>
    <row r="645" ht="21.75" customHeight="1"/>
    <row r="646" ht="21.75" customHeight="1"/>
    <row r="647" ht="21.75" customHeight="1"/>
    <row r="648" ht="21.75" customHeight="1"/>
    <row r="649" ht="21.75" customHeight="1"/>
    <row r="650" ht="21.75" customHeight="1"/>
    <row r="651" ht="21.75" customHeight="1"/>
    <row r="652" ht="21.75" customHeight="1"/>
    <row r="653" ht="21.75" customHeight="1"/>
    <row r="654" ht="21.75" customHeight="1"/>
    <row r="655" ht="21.75" customHeight="1"/>
    <row r="656" ht="21.75" customHeight="1"/>
    <row r="657" ht="21.75" customHeight="1"/>
    <row r="658" ht="21.75" customHeight="1"/>
    <row r="659" ht="21.75" customHeight="1"/>
    <row r="660" ht="21.75" customHeight="1"/>
    <row r="661" ht="21.75" customHeight="1"/>
    <row r="662" ht="21.75" customHeight="1"/>
    <row r="663" ht="21.75" customHeight="1"/>
    <row r="664" ht="21.75" customHeight="1"/>
    <row r="665" ht="21.75" customHeight="1"/>
    <row r="666" ht="21.75" customHeight="1"/>
    <row r="667" ht="21.75" customHeight="1"/>
    <row r="668" ht="21.75" customHeight="1"/>
    <row r="669" ht="21.75" customHeight="1"/>
    <row r="670" ht="21.75" customHeight="1"/>
    <row r="671" ht="21.75" customHeight="1"/>
    <row r="672" ht="21.75" customHeight="1"/>
    <row r="673" ht="21.75" customHeight="1"/>
    <row r="674" ht="21.75" customHeight="1"/>
    <row r="675" ht="21.75" customHeight="1"/>
    <row r="676" ht="21.75" customHeight="1"/>
    <row r="677" ht="21.75" customHeight="1"/>
    <row r="678" ht="21.75" customHeight="1"/>
    <row r="679" ht="21.75" customHeight="1"/>
    <row r="680" ht="21.75" customHeight="1"/>
    <row r="681" ht="21.75" customHeight="1"/>
    <row r="682" ht="21.75" customHeight="1"/>
    <row r="683" ht="21.75" customHeight="1"/>
    <row r="684" ht="21.75" customHeight="1"/>
    <row r="685" ht="21.75" customHeight="1"/>
    <row r="686" ht="21.75" customHeight="1"/>
    <row r="687" ht="21.75" customHeight="1"/>
    <row r="688" ht="21.75" customHeight="1"/>
    <row r="689" ht="21.75" customHeight="1"/>
    <row r="690" ht="21.75" customHeight="1"/>
    <row r="691" ht="21.75" customHeight="1"/>
    <row r="692" ht="21.75" customHeight="1"/>
    <row r="693" ht="21.75" customHeight="1"/>
    <row r="694" ht="21.75" customHeight="1"/>
    <row r="695" ht="21.75" customHeight="1"/>
    <row r="696" ht="21.75" customHeight="1"/>
    <row r="697" ht="21.75" customHeight="1"/>
    <row r="698" ht="21.75" customHeight="1"/>
    <row r="699" ht="21.75" customHeight="1"/>
    <row r="700" ht="21.75" customHeight="1"/>
    <row r="701" ht="21.75" customHeight="1"/>
    <row r="702" ht="21.75" customHeight="1"/>
    <row r="703" ht="21.75" customHeight="1"/>
    <row r="704" ht="21.75" customHeight="1"/>
    <row r="705" ht="21.75" customHeight="1"/>
    <row r="706" ht="21.75" customHeight="1"/>
    <row r="707" ht="21.75" customHeight="1"/>
    <row r="708" ht="21.75" customHeight="1"/>
    <row r="709" ht="21.75" customHeight="1"/>
    <row r="710" ht="21.75" customHeight="1"/>
    <row r="711" ht="21.75" customHeight="1"/>
    <row r="712" ht="21.75" customHeight="1"/>
    <row r="713" ht="21.75" customHeight="1"/>
    <row r="714" ht="21.75" customHeight="1"/>
    <row r="715" ht="21.75" customHeight="1"/>
    <row r="716" ht="21.75" customHeight="1"/>
    <row r="717" ht="21.75" customHeight="1"/>
    <row r="718" ht="21.75" customHeight="1"/>
    <row r="719" ht="21.75" customHeight="1"/>
    <row r="720" ht="21.75" customHeight="1"/>
    <row r="721" ht="21.75" customHeight="1"/>
    <row r="722" ht="21.75" customHeight="1"/>
    <row r="723" ht="21.75" customHeight="1"/>
    <row r="724" ht="21.75" customHeight="1"/>
    <row r="725" ht="21.75" customHeight="1"/>
    <row r="726" ht="21.75" customHeight="1"/>
    <row r="727" ht="21.75" customHeight="1"/>
    <row r="728" ht="21.75" customHeight="1"/>
    <row r="729" ht="21.75" customHeight="1"/>
    <row r="730" ht="21.75" customHeight="1"/>
    <row r="731" ht="21.75" customHeight="1"/>
    <row r="732" ht="21.75" customHeight="1"/>
    <row r="733" ht="21.75" customHeight="1"/>
    <row r="734" ht="21.75" customHeight="1"/>
    <row r="735" ht="21.75" customHeight="1"/>
    <row r="736" ht="21.75" customHeight="1"/>
    <row r="737" ht="21.75" customHeight="1"/>
    <row r="738" ht="21.75" customHeight="1"/>
    <row r="739" ht="21.75" customHeight="1"/>
    <row r="740" ht="21.75" customHeight="1"/>
    <row r="741" ht="21.75" customHeight="1"/>
    <row r="742" ht="21.75" customHeight="1"/>
    <row r="743" ht="21.75" customHeight="1"/>
    <row r="744" ht="21.75" customHeight="1"/>
    <row r="745" ht="21.75" customHeight="1"/>
    <row r="746" ht="21.75" customHeight="1"/>
    <row r="747" ht="21.75" customHeight="1"/>
    <row r="748" ht="21.75" customHeight="1"/>
    <row r="749" ht="21.75" customHeight="1"/>
    <row r="750" ht="21.75" customHeight="1"/>
    <row r="751" ht="21.75" customHeight="1"/>
    <row r="752" ht="21.75" customHeight="1"/>
    <row r="753" ht="21.75" customHeight="1"/>
    <row r="754" ht="21.75" customHeight="1"/>
    <row r="755" ht="21.75" customHeight="1"/>
    <row r="756" ht="21.75" customHeight="1"/>
    <row r="757" ht="21.75" customHeight="1"/>
    <row r="758" ht="21.75" customHeight="1"/>
    <row r="759" ht="21.75" customHeight="1"/>
    <row r="760" ht="21.75" customHeight="1"/>
    <row r="761" ht="21.75" customHeight="1"/>
    <row r="762" ht="21.75" customHeight="1"/>
    <row r="763" ht="21.75" customHeight="1"/>
    <row r="764" ht="21.75" customHeight="1"/>
    <row r="765" ht="21.75" customHeight="1"/>
    <row r="766" ht="21.75" customHeight="1"/>
    <row r="767" ht="21.75" customHeight="1"/>
    <row r="768" ht="21.75" customHeight="1"/>
    <row r="769" ht="21.75" customHeight="1"/>
    <row r="770" ht="21.75" customHeight="1"/>
    <row r="771" ht="21.75" customHeight="1"/>
    <row r="772" ht="21.75" customHeight="1"/>
    <row r="773" ht="21.75" customHeight="1"/>
    <row r="774" ht="21.75" customHeight="1"/>
    <row r="775" ht="21.75" customHeight="1"/>
    <row r="776" ht="21.75" customHeight="1"/>
    <row r="777" ht="21.75" customHeight="1"/>
    <row r="778" ht="21.75" customHeight="1"/>
    <row r="779" ht="21.75" customHeight="1"/>
    <row r="780" ht="21.75" customHeight="1"/>
    <row r="781" ht="21.75" customHeight="1"/>
    <row r="782" ht="21.75" customHeight="1"/>
    <row r="783" ht="21.75" customHeight="1"/>
    <row r="784" ht="21.75" customHeight="1"/>
    <row r="785" ht="21.75" customHeight="1"/>
    <row r="786" ht="21.75" customHeight="1"/>
    <row r="787" ht="21.75" customHeight="1"/>
    <row r="788" ht="21.75" customHeight="1"/>
    <row r="789" ht="21.75" customHeight="1"/>
    <row r="790" ht="21.75" customHeight="1"/>
    <row r="791" ht="21.75" customHeight="1"/>
    <row r="792" ht="21.75" customHeight="1"/>
    <row r="793" ht="21.75" customHeight="1"/>
    <row r="794" ht="21.75" customHeight="1"/>
    <row r="795" ht="21.75" customHeight="1"/>
    <row r="796" ht="21.75" customHeight="1"/>
    <row r="797" ht="21.75" customHeight="1"/>
    <row r="798" ht="21.75" customHeight="1"/>
    <row r="799" ht="21.75" customHeight="1"/>
    <row r="800" ht="21.75" customHeight="1"/>
    <row r="801" ht="21.75" customHeight="1"/>
    <row r="802" ht="21.75" customHeight="1"/>
    <row r="803" ht="21.75" customHeight="1"/>
    <row r="804" ht="21.75" customHeight="1"/>
    <row r="805" ht="21.75" customHeight="1"/>
    <row r="806" ht="21.75" customHeight="1"/>
    <row r="807" ht="21.75" customHeight="1"/>
    <row r="808" ht="21.75" customHeight="1"/>
    <row r="809" ht="21.75" customHeight="1"/>
    <row r="810" ht="21.75" customHeight="1"/>
    <row r="811" ht="21.75" customHeight="1"/>
    <row r="812" ht="21.75" customHeight="1"/>
    <row r="813" ht="21.75" customHeight="1"/>
    <row r="814" ht="21.75" customHeight="1"/>
    <row r="815" ht="21.75" customHeight="1"/>
    <row r="816" ht="21.75" customHeight="1"/>
    <row r="817" ht="21.75" customHeight="1"/>
    <row r="818" ht="21.75" customHeight="1"/>
    <row r="819" ht="21.75" customHeight="1"/>
    <row r="820" ht="21.75" customHeight="1"/>
    <row r="821" ht="21.75" customHeight="1"/>
    <row r="822" ht="21.75" customHeight="1"/>
    <row r="823" ht="21.75" customHeight="1"/>
    <row r="824" ht="21.75" customHeight="1"/>
    <row r="825" ht="21.75" customHeight="1"/>
    <row r="826" ht="21.75" customHeight="1"/>
    <row r="827" ht="21.75" customHeight="1"/>
    <row r="828" ht="21.75" customHeight="1"/>
    <row r="829" ht="21.75" customHeight="1"/>
    <row r="830" ht="21.75" customHeight="1"/>
    <row r="831" ht="21.75" customHeight="1"/>
    <row r="832" ht="21.75" customHeight="1"/>
    <row r="833" ht="21.75" customHeight="1"/>
    <row r="834" ht="21.75" customHeight="1"/>
    <row r="835" ht="21.75" customHeight="1"/>
    <row r="836" ht="21.75" customHeight="1"/>
    <row r="837" ht="21.75" customHeight="1"/>
    <row r="838" ht="21.75" customHeight="1"/>
    <row r="839" ht="21.75" customHeight="1"/>
    <row r="840" ht="21.75" customHeight="1"/>
    <row r="841" ht="21.75" customHeight="1"/>
    <row r="842" ht="21.75" customHeight="1"/>
    <row r="843" ht="21.75" customHeight="1"/>
    <row r="844" ht="21.75" customHeight="1"/>
    <row r="845" ht="21.75" customHeight="1"/>
    <row r="846" ht="21.75" customHeight="1"/>
    <row r="847" ht="21.75" customHeight="1"/>
    <row r="848" ht="21.75" customHeight="1"/>
    <row r="849" ht="21.75" customHeight="1"/>
    <row r="850" ht="21.75" customHeight="1"/>
    <row r="851" ht="21.75" customHeight="1"/>
    <row r="852" ht="21.75" customHeight="1"/>
    <row r="853" ht="21.75" customHeight="1"/>
    <row r="854" ht="21.75" customHeight="1"/>
    <row r="855" ht="21.75" customHeight="1"/>
    <row r="856" ht="21.75" customHeight="1"/>
    <row r="857" ht="21.75" customHeight="1"/>
    <row r="858" ht="21.75" customHeight="1"/>
    <row r="859" ht="21.75" customHeight="1"/>
    <row r="860" ht="21.75" customHeight="1"/>
    <row r="861" ht="21.75" customHeight="1"/>
    <row r="862" ht="21.75" customHeight="1"/>
    <row r="863" ht="21.75" customHeight="1"/>
    <row r="864" ht="21.75" customHeight="1"/>
    <row r="865" ht="21.75" customHeight="1"/>
    <row r="866" ht="21.75" customHeight="1"/>
    <row r="867" ht="21.75" customHeight="1"/>
    <row r="868" ht="21.75" customHeight="1"/>
    <row r="869" ht="21.75" customHeight="1"/>
    <row r="870" ht="21.75" customHeight="1"/>
    <row r="871" ht="21.75" customHeight="1"/>
    <row r="872" ht="21.75" customHeight="1"/>
    <row r="873" ht="21.75" customHeight="1"/>
    <row r="874" ht="21.75" customHeight="1"/>
    <row r="875" ht="21.75" customHeight="1"/>
    <row r="876" ht="21.75" customHeight="1"/>
    <row r="877" ht="21.75" customHeight="1"/>
    <row r="878" ht="21.75" customHeight="1"/>
    <row r="879" ht="21.75" customHeight="1"/>
    <row r="880" ht="21.75" customHeight="1"/>
    <row r="881" ht="21.75" customHeight="1"/>
    <row r="882" ht="21.75" customHeight="1"/>
    <row r="883" ht="21.75" customHeight="1"/>
    <row r="884" ht="21.75" customHeight="1"/>
    <row r="885" ht="21.75" customHeight="1"/>
    <row r="886" ht="21.75" customHeight="1"/>
    <row r="887" ht="21.75" customHeight="1"/>
    <row r="888" ht="21.75" customHeight="1"/>
    <row r="889" ht="21.75" customHeight="1"/>
    <row r="890" ht="21.75" customHeight="1"/>
    <row r="891" ht="21.75" customHeight="1"/>
    <row r="892" ht="21.75" customHeight="1"/>
    <row r="893" ht="21.75" customHeight="1"/>
    <row r="894" ht="21.75" customHeight="1"/>
    <row r="895" ht="21.75" customHeight="1"/>
    <row r="896" ht="21.75" customHeight="1"/>
    <row r="897" ht="21.75" customHeight="1"/>
    <row r="898" ht="21.75" customHeight="1"/>
    <row r="899" ht="21.75" customHeight="1"/>
    <row r="900" ht="21.75" customHeight="1"/>
    <row r="901" ht="21.75" customHeight="1"/>
    <row r="902" ht="21.75" customHeight="1"/>
    <row r="903" ht="21.75" customHeight="1"/>
    <row r="904" ht="21.75" customHeight="1"/>
    <row r="905" ht="21.75" customHeight="1"/>
    <row r="906" ht="21.75" customHeight="1"/>
    <row r="907" ht="21.75" customHeight="1"/>
    <row r="908" ht="21.75" customHeight="1"/>
    <row r="909" ht="21.75" customHeight="1"/>
    <row r="910" ht="21.75" customHeight="1"/>
    <row r="911" ht="21.75" customHeight="1"/>
    <row r="912" ht="21.75" customHeight="1"/>
    <row r="913" ht="21.75" customHeight="1"/>
    <row r="914" ht="21.75" customHeight="1"/>
    <row r="915" ht="21.75" customHeight="1"/>
    <row r="916" ht="21.75" customHeight="1"/>
    <row r="917" ht="21.75" customHeight="1"/>
    <row r="918" ht="21.75" customHeight="1"/>
    <row r="919" ht="21.75" customHeight="1"/>
    <row r="920" ht="21.75" customHeight="1"/>
    <row r="921" ht="21.75" customHeight="1"/>
    <row r="922" ht="21.75" customHeight="1"/>
    <row r="923" ht="21.75" customHeight="1"/>
    <row r="924" ht="21.75" customHeight="1"/>
    <row r="925" ht="21.75" customHeight="1"/>
    <row r="926" ht="21.75" customHeight="1"/>
    <row r="927" ht="21.75" customHeight="1"/>
    <row r="928" ht="21.75" customHeight="1"/>
    <row r="929" ht="21.75" customHeight="1"/>
    <row r="930" ht="21.75" customHeight="1"/>
    <row r="931" ht="21.75" customHeight="1"/>
    <row r="932" ht="21.75" customHeight="1"/>
    <row r="933" ht="21.75" customHeight="1"/>
    <row r="934" ht="21.75" customHeight="1"/>
    <row r="935" ht="21.75" customHeight="1"/>
    <row r="936" ht="21.75" customHeight="1"/>
    <row r="937" ht="21.75" customHeight="1"/>
    <row r="938" ht="21.75" customHeight="1"/>
    <row r="939" ht="21.75" customHeight="1"/>
    <row r="940" ht="21.75" customHeight="1"/>
    <row r="941" ht="21.75" customHeight="1"/>
    <row r="942" ht="21.75" customHeight="1"/>
    <row r="943" ht="21.75" customHeight="1"/>
    <row r="944" ht="21.75" customHeight="1"/>
    <row r="945" ht="21.75" customHeight="1"/>
    <row r="946" ht="21.75" customHeight="1"/>
    <row r="947" ht="21.75" customHeight="1"/>
    <row r="948" ht="21.75" customHeight="1"/>
    <row r="949" ht="21.75" customHeight="1"/>
    <row r="950" ht="21.75" customHeight="1"/>
    <row r="951" ht="21.75" customHeight="1"/>
    <row r="952" ht="21.75" customHeight="1"/>
    <row r="953" ht="21.75" customHeight="1"/>
    <row r="954" ht="21.75" customHeight="1"/>
    <row r="955" ht="21.75" customHeight="1"/>
    <row r="956" ht="21.75" customHeight="1"/>
    <row r="957" ht="21.75" customHeight="1"/>
    <row r="958" ht="21.75" customHeight="1"/>
    <row r="959" ht="21.75" customHeight="1"/>
    <row r="960" ht="21.75" customHeight="1"/>
    <row r="961" ht="21.75" customHeight="1"/>
    <row r="962" ht="21.75" customHeight="1"/>
    <row r="963" ht="21.75" customHeight="1"/>
    <row r="964" ht="21.75" customHeight="1"/>
    <row r="965" ht="21.75" customHeight="1"/>
    <row r="966" ht="21.75" customHeight="1"/>
    <row r="967" ht="21.75" customHeight="1"/>
    <row r="968" ht="21.75" customHeight="1"/>
    <row r="969" ht="21.75" customHeight="1"/>
    <row r="970" ht="21.75" customHeight="1"/>
    <row r="971" ht="21.75" customHeight="1"/>
    <row r="972" ht="21.75" customHeight="1"/>
    <row r="973" ht="21.75" customHeight="1"/>
    <row r="974" ht="21.75" customHeight="1"/>
    <row r="975" ht="21.75" customHeight="1"/>
    <row r="976" ht="21.75" customHeight="1"/>
    <row r="977" ht="21.75" customHeight="1"/>
    <row r="978" ht="21.75" customHeight="1"/>
    <row r="979" ht="21.75" customHeight="1"/>
    <row r="980" ht="21.75" customHeight="1"/>
    <row r="981" ht="21.75" customHeight="1"/>
    <row r="982" ht="21.75" customHeight="1"/>
    <row r="983" ht="21.75" customHeight="1"/>
    <row r="984" ht="21.75" customHeight="1"/>
    <row r="985" ht="21.75" customHeight="1"/>
    <row r="986" ht="21.75" customHeight="1"/>
    <row r="987" ht="21.75" customHeight="1"/>
    <row r="988" ht="21.75" customHeight="1"/>
    <row r="989" ht="21.75" customHeight="1"/>
    <row r="990" ht="21.75" customHeight="1"/>
    <row r="991" ht="21.75" customHeight="1"/>
    <row r="992" ht="21.75" customHeight="1"/>
    <row r="993" ht="21.75" customHeight="1"/>
    <row r="994" ht="21.75" customHeight="1"/>
    <row r="995" ht="21.75" customHeight="1"/>
    <row r="996" ht="21.75" customHeight="1"/>
    <row r="997" ht="21.75" customHeight="1"/>
    <row r="998" ht="21.75" customHeight="1"/>
    <row r="999" ht="21.75" customHeight="1"/>
    <row r="1000" ht="21.75" customHeight="1"/>
    <row r="1001" ht="21.75" customHeight="1"/>
    <row r="1002" ht="21.75" customHeight="1"/>
    <row r="1003" ht="21.75" customHeight="1"/>
    <row r="1004" ht="21.75" customHeight="1"/>
    <row r="1005" ht="21.75" customHeight="1"/>
    <row r="1006" ht="21.75" customHeight="1"/>
    <row r="1007" ht="21.75" customHeight="1"/>
    <row r="1008" ht="21.75" customHeight="1"/>
    <row r="1009" ht="21.75" customHeight="1"/>
    <row r="1010" ht="21.75" customHeight="1"/>
    <row r="1011" ht="21.75" customHeight="1"/>
    <row r="1012" ht="21.75" customHeight="1"/>
    <row r="1013" ht="21.75" customHeight="1"/>
    <row r="1014" ht="21.75" customHeight="1"/>
    <row r="1015" ht="21.75" customHeight="1"/>
    <row r="1016" ht="21.75" customHeight="1"/>
    <row r="1017" ht="21.75" customHeight="1"/>
    <row r="1018" ht="21.75" customHeight="1"/>
    <row r="1019" ht="21.75" customHeight="1"/>
    <row r="1020" ht="21.75" customHeight="1"/>
    <row r="1021" ht="21.75" customHeight="1"/>
    <row r="1022" ht="21.75" customHeight="1"/>
    <row r="1023" ht="21.75" customHeight="1"/>
    <row r="1024" ht="21.75" customHeight="1"/>
    <row r="1025" ht="21.75" customHeight="1"/>
    <row r="1026" ht="21.75" customHeight="1"/>
    <row r="1027" ht="21.75" customHeight="1"/>
    <row r="1028" ht="21.75" customHeight="1"/>
    <row r="1029" ht="21.75" customHeight="1"/>
    <row r="1030" ht="21.75" customHeight="1"/>
    <row r="1031" ht="21.75" customHeight="1"/>
    <row r="1032" ht="21.75" customHeight="1"/>
    <row r="1033" ht="21.75" customHeight="1"/>
    <row r="1034" ht="21.75" customHeight="1"/>
    <row r="1035" ht="21.75" customHeight="1"/>
    <row r="1036" ht="21.75" customHeight="1"/>
    <row r="1037" ht="21.75" customHeight="1"/>
    <row r="1038" ht="21.75" customHeight="1"/>
    <row r="1039" ht="21.75" customHeight="1"/>
    <row r="1040" ht="21.75" customHeight="1"/>
    <row r="1041" ht="21.75" customHeight="1"/>
    <row r="1042" ht="21.75" customHeight="1"/>
    <row r="1043" ht="21.75" customHeight="1"/>
    <row r="1044" ht="21.75" customHeight="1"/>
    <row r="1045" ht="21.75" customHeight="1"/>
    <row r="1046" ht="21.75" customHeight="1"/>
    <row r="1047" ht="21.75" customHeight="1"/>
    <row r="1048" ht="21.75" customHeight="1"/>
    <row r="1049" ht="21.75" customHeight="1"/>
    <row r="1050" ht="21.75" customHeight="1"/>
    <row r="1051" ht="21.75" customHeight="1"/>
    <row r="1052" ht="21.75" customHeight="1"/>
    <row r="1053" ht="21.75" customHeight="1"/>
    <row r="1054" ht="21.75" customHeight="1"/>
    <row r="1055" ht="21.75" customHeight="1"/>
    <row r="1056" ht="21.75" customHeight="1"/>
    <row r="1057" ht="21.75" customHeight="1"/>
    <row r="1058" ht="21.75" customHeight="1"/>
    <row r="1059" ht="21.75" customHeight="1"/>
    <row r="1060" ht="21.75" customHeight="1"/>
    <row r="1061" ht="21.75" customHeight="1"/>
    <row r="1062" ht="21.75" customHeight="1"/>
    <row r="1063" ht="21.75" customHeight="1"/>
    <row r="1064" ht="21.75" customHeight="1"/>
    <row r="1065" ht="21.75" customHeight="1"/>
    <row r="1066" ht="21.75" customHeight="1"/>
    <row r="1067" ht="21.75" customHeight="1"/>
    <row r="1068" ht="21.75" customHeight="1"/>
    <row r="1069" ht="21.75" customHeight="1"/>
    <row r="1070" ht="21.75" customHeight="1"/>
    <row r="1071" ht="21.75" customHeight="1"/>
    <row r="1072" ht="21.75" customHeight="1"/>
    <row r="1073" ht="21.75" customHeight="1"/>
    <row r="1074" ht="21.75" customHeight="1"/>
    <row r="1075" ht="21.75" customHeight="1"/>
    <row r="1076" ht="21.75" customHeight="1"/>
    <row r="1077" ht="21.75" customHeight="1"/>
    <row r="1078" ht="21.75" customHeight="1"/>
    <row r="1079" ht="21.75" customHeight="1"/>
    <row r="1080" ht="21.75" customHeight="1"/>
    <row r="1081" ht="21.75" customHeight="1"/>
    <row r="1082" ht="21.75" customHeight="1"/>
    <row r="1083" ht="21.75" customHeight="1"/>
    <row r="1084" ht="21.75" customHeight="1"/>
    <row r="1085" ht="21.75" customHeight="1"/>
    <row r="1086" ht="21.75" customHeight="1"/>
    <row r="1087" ht="21.75" customHeight="1"/>
    <row r="1088" ht="21.75" customHeight="1"/>
    <row r="1089" ht="21.75" customHeight="1"/>
    <row r="1090" ht="21.75" customHeight="1"/>
    <row r="1091" ht="21.75" customHeight="1"/>
    <row r="1092" ht="21.75" customHeight="1"/>
    <row r="1093" ht="21.75" customHeight="1"/>
    <row r="1094" ht="21.75" customHeight="1"/>
    <row r="1095" ht="21.75" customHeight="1"/>
    <row r="1096" ht="21.75" customHeight="1"/>
    <row r="1097" ht="21.75" customHeight="1"/>
    <row r="1098" ht="21.75" customHeight="1"/>
    <row r="1099" ht="21.75" customHeight="1"/>
    <row r="1100" ht="21.75" customHeight="1"/>
    <row r="1101" ht="21.75" customHeight="1"/>
    <row r="1102" ht="21.75" customHeight="1"/>
    <row r="1103" ht="21.75" customHeight="1"/>
    <row r="1104" ht="21.75" customHeight="1"/>
    <row r="1105" ht="21.75" customHeight="1"/>
    <row r="1106" ht="21.75" customHeight="1"/>
    <row r="1107" ht="21.75" customHeight="1"/>
    <row r="1108" ht="21.75" customHeight="1"/>
    <row r="1109" ht="21.75" customHeight="1"/>
    <row r="1110" ht="21.75" customHeight="1"/>
    <row r="1111" ht="21.75" customHeight="1"/>
    <row r="1112" ht="21.75" customHeight="1"/>
    <row r="1113" ht="21.75" customHeight="1"/>
    <row r="1114" ht="21.75" customHeight="1"/>
    <row r="1115" ht="21.75" customHeight="1"/>
    <row r="1116" ht="21.75" customHeight="1"/>
    <row r="1117" ht="21.75" customHeight="1"/>
    <row r="1118" ht="21.75" customHeight="1"/>
    <row r="1119" ht="21.75" customHeight="1"/>
    <row r="1120" ht="21.75" customHeight="1"/>
    <row r="1121" ht="21.75" customHeight="1"/>
    <row r="1122" ht="21.75" customHeight="1"/>
    <row r="1123" ht="21.75" customHeight="1"/>
    <row r="1124" ht="21.75" customHeight="1"/>
    <row r="1125" ht="21.75" customHeight="1"/>
    <row r="1126" ht="21.75" customHeight="1"/>
    <row r="1127" ht="21.75" customHeight="1"/>
    <row r="1128" ht="21.75" customHeight="1"/>
    <row r="1129" ht="21.75" customHeight="1"/>
    <row r="1130" ht="21.75" customHeight="1"/>
    <row r="1131" ht="21.75" customHeight="1"/>
    <row r="1132" ht="21.75" customHeight="1"/>
    <row r="1133" ht="21.75" customHeight="1"/>
    <row r="1134" ht="21.75" customHeight="1"/>
    <row r="1135" ht="21.75" customHeight="1"/>
    <row r="1136" ht="21.75" customHeight="1"/>
    <row r="1137" ht="21.75" customHeight="1"/>
    <row r="1138" ht="21.75" customHeight="1"/>
    <row r="1139" ht="21.75" customHeight="1"/>
    <row r="1140" ht="21.75" customHeight="1"/>
    <row r="1141" ht="21.75" customHeight="1"/>
    <row r="1142" ht="21.75" customHeight="1"/>
    <row r="1143" ht="21.75" customHeight="1"/>
    <row r="1144" ht="21.75" customHeight="1"/>
    <row r="1145" ht="21.75" customHeight="1"/>
    <row r="1146" ht="21.75" customHeight="1"/>
    <row r="1147" ht="21.75" customHeight="1"/>
    <row r="1148" ht="21.75" customHeight="1"/>
    <row r="1149" ht="21.75" customHeight="1"/>
    <row r="1150" ht="21.75" customHeight="1"/>
    <row r="1151" ht="21.75" customHeight="1"/>
    <row r="1152" ht="21.75" customHeight="1"/>
    <row r="1153" ht="21.75" customHeight="1"/>
    <row r="1154" ht="21.75" customHeight="1"/>
    <row r="1155" ht="21.75" customHeight="1"/>
    <row r="1156" ht="21.75" customHeight="1"/>
    <row r="1157" ht="21.75" customHeight="1"/>
    <row r="1158" ht="21.75" customHeight="1"/>
    <row r="1159" ht="21.75" customHeight="1"/>
    <row r="1160" ht="21.75" customHeight="1"/>
    <row r="1161" ht="21.75" customHeight="1"/>
    <row r="1162" ht="21.75" customHeight="1"/>
    <row r="1163" ht="21.75" customHeight="1"/>
    <row r="1164" ht="21.75" customHeight="1"/>
    <row r="1165" ht="21.75" customHeight="1"/>
    <row r="1166" ht="21.75" customHeight="1"/>
    <row r="1167" ht="21.75" customHeight="1"/>
    <row r="1168" ht="21.75" customHeight="1"/>
    <row r="1169" ht="21.75" customHeight="1"/>
    <row r="1170" ht="21.75" customHeight="1"/>
    <row r="1171" ht="21.75" customHeight="1"/>
    <row r="1172" ht="21.75" customHeight="1"/>
    <row r="1173" ht="21.75" customHeight="1"/>
    <row r="1174" ht="21.75" customHeight="1"/>
    <row r="1175" ht="21.75" customHeight="1"/>
    <row r="1176" ht="21.75" customHeight="1"/>
    <row r="1177" ht="21.75" customHeight="1"/>
    <row r="1178" ht="21.75" customHeight="1"/>
    <row r="1179" ht="21.75" customHeight="1"/>
    <row r="1180" ht="21.75" customHeight="1"/>
    <row r="1181" ht="21.75" customHeight="1"/>
    <row r="1182" ht="21.75" customHeight="1"/>
    <row r="1183" ht="21.75" customHeight="1"/>
    <row r="1184" ht="21.75" customHeight="1"/>
    <row r="1185" ht="21.75" customHeight="1"/>
    <row r="1186" ht="21.75" customHeight="1"/>
    <row r="1187" ht="21.75" customHeight="1"/>
    <row r="1188" ht="21.75" customHeight="1"/>
    <row r="1189" ht="21.75" customHeight="1"/>
    <row r="1190" ht="21.75" customHeight="1"/>
    <row r="1191" ht="21.75" customHeight="1"/>
    <row r="1192" ht="21.75" customHeight="1"/>
    <row r="1193" ht="21.75" customHeight="1"/>
    <row r="1194" ht="21.75" customHeight="1"/>
    <row r="1195" ht="21.75" customHeight="1"/>
    <row r="1196" ht="21.75" customHeight="1"/>
    <row r="1197" ht="21.75" customHeight="1"/>
    <row r="1198" ht="21.75" customHeight="1"/>
    <row r="1199" ht="21.75" customHeight="1"/>
    <row r="1200" ht="21.75" customHeight="1"/>
    <row r="1201" ht="21.75" customHeight="1"/>
    <row r="1202" ht="21.75" customHeight="1"/>
    <row r="1203" ht="21.75" customHeight="1"/>
    <row r="1204" ht="21.75" customHeight="1"/>
    <row r="1205" ht="21.75" customHeight="1"/>
    <row r="1206" ht="21.75" customHeight="1"/>
    <row r="1207" ht="21.75" customHeight="1"/>
    <row r="1208" ht="21.75" customHeight="1"/>
    <row r="1209" ht="21.75" customHeight="1"/>
    <row r="1210" ht="21.75" customHeight="1"/>
    <row r="1211" ht="21.75" customHeight="1"/>
    <row r="1212" ht="21.75" customHeight="1"/>
    <row r="1213" ht="21.75" customHeight="1"/>
    <row r="1214" ht="21.75" customHeight="1"/>
    <row r="1215" ht="21.75" customHeight="1"/>
    <row r="1216" ht="21.75" customHeight="1"/>
    <row r="1217" ht="21.75" customHeight="1"/>
    <row r="1218" ht="21.75" customHeight="1"/>
    <row r="1219" ht="21.75" customHeight="1"/>
    <row r="1220" ht="21.75" customHeight="1"/>
    <row r="1221" ht="21.75" customHeight="1"/>
    <row r="1222" ht="21.75" customHeight="1"/>
    <row r="1223" ht="21.75" customHeight="1"/>
    <row r="1224" ht="21.75" customHeight="1"/>
    <row r="1225" ht="21.75" customHeight="1"/>
    <row r="1226" ht="21.75" customHeight="1"/>
    <row r="1227" ht="21.75" customHeight="1"/>
    <row r="1228" ht="21.75" customHeight="1"/>
    <row r="1229" ht="21.75" customHeight="1"/>
    <row r="1230" ht="21.75" customHeight="1"/>
    <row r="1231" ht="21.75" customHeight="1"/>
    <row r="1232" ht="21.75" customHeight="1"/>
    <row r="1233" ht="21.75" customHeight="1"/>
    <row r="1234" ht="21.75" customHeight="1"/>
    <row r="1235" ht="21.75" customHeight="1"/>
    <row r="1236" ht="21.75" customHeight="1"/>
    <row r="1237" ht="21.75" customHeight="1"/>
    <row r="1238" ht="21.75" customHeight="1"/>
    <row r="1239" ht="21.75" customHeight="1"/>
    <row r="1240" ht="21.75" customHeight="1"/>
    <row r="1241" ht="21.75" customHeight="1"/>
    <row r="1242" ht="21.75" customHeight="1"/>
    <row r="1243" ht="21.75" customHeight="1"/>
    <row r="1244" ht="21.75" customHeight="1"/>
    <row r="1245" ht="21.75" customHeight="1"/>
    <row r="1246" ht="21.75" customHeight="1"/>
    <row r="1247" ht="21.75" customHeight="1"/>
    <row r="1248" ht="21.75" customHeight="1"/>
    <row r="1249" ht="21.75" customHeight="1"/>
    <row r="1250" ht="21.75" customHeight="1"/>
    <row r="1251" ht="21.75" customHeight="1"/>
    <row r="1252" ht="21.75" customHeight="1"/>
    <row r="1253" ht="21.75" customHeight="1"/>
    <row r="1254" ht="21.75" customHeight="1"/>
    <row r="1255" ht="21.75" customHeight="1"/>
    <row r="1256" ht="21.75" customHeight="1"/>
    <row r="1257" ht="21.75" customHeight="1"/>
    <row r="1258" ht="21.75" customHeight="1"/>
    <row r="1259" ht="21.75" customHeight="1"/>
    <row r="1260" ht="21.75" customHeight="1"/>
    <row r="1261" ht="21.75" customHeight="1"/>
    <row r="1262" ht="21.75" customHeight="1"/>
    <row r="1263" ht="21.75" customHeight="1"/>
    <row r="1264" ht="21.75" customHeight="1"/>
    <row r="1265" ht="21.75" customHeight="1"/>
    <row r="1266" ht="21.75" customHeight="1"/>
    <row r="1267" ht="21.75" customHeight="1"/>
    <row r="1268" ht="21.75" customHeight="1"/>
    <row r="1269" ht="21.75" customHeight="1"/>
    <row r="1270" ht="21.75" customHeight="1"/>
    <row r="1271" ht="21.75" customHeight="1"/>
    <row r="1272" ht="21.75" customHeight="1"/>
    <row r="1273" ht="21.75" customHeight="1"/>
    <row r="1274" ht="21.75" customHeight="1"/>
    <row r="1275" ht="21.75" customHeight="1"/>
    <row r="1276" ht="21.75" customHeight="1"/>
    <row r="1277" ht="21.75" customHeight="1"/>
    <row r="1278" ht="21.75" customHeight="1"/>
    <row r="1279" ht="21.75" customHeight="1"/>
    <row r="1280" ht="21.75" customHeight="1"/>
    <row r="1281" ht="21.75" customHeight="1"/>
    <row r="1282" ht="21.75" customHeight="1"/>
    <row r="1283" ht="21.75" customHeight="1"/>
    <row r="1284" ht="21.75" customHeight="1"/>
    <row r="1285" ht="21.75" customHeight="1"/>
    <row r="1286" ht="21.75" customHeight="1"/>
    <row r="1287" ht="21.75" customHeight="1"/>
    <row r="1288" ht="21.75" customHeight="1"/>
    <row r="1289" ht="21.75" customHeight="1"/>
    <row r="1290" ht="21.75" customHeight="1"/>
    <row r="1291" ht="21.75" customHeight="1"/>
    <row r="1292" ht="21.75" customHeight="1"/>
    <row r="1293" ht="21.75" customHeight="1"/>
    <row r="1294" ht="21.75" customHeight="1"/>
    <row r="1295" ht="21.75" customHeight="1"/>
    <row r="1296" ht="21.75" customHeight="1"/>
    <row r="1297" ht="21.75" customHeight="1"/>
    <row r="1298" ht="21.75" customHeight="1"/>
    <row r="1299" ht="21.75" customHeight="1"/>
    <row r="1300" ht="21.75" customHeight="1"/>
    <row r="1301" ht="21.75" customHeight="1"/>
    <row r="1302" ht="21.75" customHeight="1"/>
    <row r="1303" ht="21.75" customHeight="1"/>
    <row r="1304" ht="21.75" customHeight="1"/>
    <row r="1305" ht="21.75" customHeight="1"/>
    <row r="1306" ht="21.75" customHeight="1"/>
    <row r="1307" ht="21.75" customHeight="1"/>
    <row r="1308" ht="21.75" customHeight="1"/>
    <row r="1309" ht="21.75" customHeight="1"/>
    <row r="1310" ht="21.75" customHeight="1"/>
    <row r="1311" ht="21.75" customHeight="1"/>
    <row r="1312" ht="21.75" customHeight="1"/>
    <row r="1313" ht="21.75" customHeight="1"/>
    <row r="1314" ht="21.75" customHeight="1"/>
    <row r="1315" ht="21.75" customHeight="1"/>
    <row r="1316" ht="21.75" customHeight="1"/>
    <row r="1317" ht="21.75" customHeight="1"/>
    <row r="1318" ht="21.75" customHeight="1"/>
    <row r="1319" ht="21.75" customHeight="1"/>
    <row r="1320" ht="21.75" customHeight="1"/>
    <row r="1321" ht="21.75" customHeight="1"/>
    <row r="1322" ht="21.75" customHeight="1"/>
    <row r="1323" ht="21.75" customHeight="1"/>
    <row r="1324" ht="21.75" customHeight="1"/>
    <row r="1325" ht="21.75" customHeight="1"/>
    <row r="1326" ht="21.75" customHeight="1"/>
    <row r="1327" ht="21.75" customHeight="1"/>
    <row r="1328" ht="21.75" customHeight="1"/>
    <row r="1329" ht="21.75" customHeight="1"/>
    <row r="1330" ht="21.75" customHeight="1"/>
    <row r="1331" ht="21.75" customHeight="1"/>
    <row r="1332" ht="21.75" customHeight="1"/>
    <row r="1333" ht="21.75" customHeight="1"/>
    <row r="1334" ht="21.75" customHeight="1"/>
    <row r="1335" ht="21.75" customHeight="1"/>
    <row r="1336" ht="21.75" customHeight="1"/>
    <row r="1337" ht="21.75" customHeight="1"/>
    <row r="1338" ht="21.75" customHeight="1"/>
    <row r="1339" ht="21.75" customHeight="1"/>
    <row r="1340" ht="21.75" customHeight="1"/>
    <row r="1341" ht="21.75" customHeight="1"/>
    <row r="1342" ht="21.75" customHeight="1"/>
    <row r="1343" ht="21.75" customHeight="1"/>
    <row r="1344" ht="21.75" customHeight="1"/>
    <row r="1345" ht="21.75" customHeight="1"/>
    <row r="1346" ht="21.75" customHeight="1"/>
    <row r="1347" ht="21.75" customHeight="1"/>
    <row r="1348" ht="21.75" customHeight="1"/>
    <row r="1349" ht="21.75" customHeight="1"/>
    <row r="1350" ht="21.75" customHeight="1"/>
    <row r="1351" ht="21.75" customHeight="1"/>
    <row r="1352" ht="21.75" customHeight="1"/>
    <row r="1353" ht="21.75" customHeight="1"/>
    <row r="1354" ht="21.75" customHeight="1"/>
    <row r="1355" ht="21.75" customHeight="1"/>
    <row r="1356" ht="21.75" customHeight="1"/>
    <row r="1357" ht="21.75" customHeight="1"/>
    <row r="1358" ht="21.75" customHeight="1"/>
    <row r="1359" ht="21.75" customHeight="1"/>
    <row r="1360" ht="21.75" customHeight="1"/>
    <row r="1361" ht="21.75" customHeight="1"/>
    <row r="1362" ht="21.75" customHeight="1"/>
    <row r="1363" ht="21.75" customHeight="1"/>
    <row r="1364" ht="21.75" customHeight="1"/>
    <row r="1365" ht="21.75" customHeight="1"/>
    <row r="1366" ht="21.75" customHeight="1"/>
    <row r="1367" ht="21.75" customHeight="1"/>
    <row r="1368" ht="21.75" customHeight="1"/>
    <row r="1369" ht="21.75" customHeight="1"/>
    <row r="1370" ht="21.75" customHeight="1"/>
    <row r="1371" ht="21.75" customHeight="1"/>
    <row r="1372" ht="21.75" customHeight="1"/>
    <row r="1373" ht="21.75" customHeight="1"/>
    <row r="1374" ht="21.75" customHeight="1"/>
    <row r="1375" ht="21.75" customHeight="1"/>
    <row r="1376" ht="21.75" customHeight="1"/>
    <row r="1377" ht="21.75" customHeight="1"/>
    <row r="1378" ht="21.75" customHeight="1"/>
    <row r="1379" ht="21.75" customHeight="1"/>
    <row r="1380" ht="21.75" customHeight="1"/>
    <row r="1381" ht="21.75" customHeight="1"/>
    <row r="1382" ht="21.75" customHeight="1"/>
    <row r="1383" ht="21.75" customHeight="1"/>
    <row r="1384" ht="21.75" customHeight="1"/>
    <row r="1385" ht="21.75" customHeight="1"/>
    <row r="1386" ht="21.75" customHeight="1"/>
    <row r="1387" ht="21.75" customHeight="1"/>
    <row r="1388" ht="21.75" customHeight="1"/>
    <row r="1389" ht="21.75" customHeight="1"/>
    <row r="1390" ht="21.75" customHeight="1"/>
    <row r="1391" ht="21.75" customHeight="1"/>
    <row r="1392" ht="21.75" customHeight="1"/>
    <row r="1393" ht="21.75" customHeight="1"/>
    <row r="1394" ht="21.75" customHeight="1"/>
    <row r="1395" ht="21.75" customHeight="1"/>
    <row r="1396" ht="21.75" customHeight="1"/>
    <row r="1397" ht="21.75" customHeight="1"/>
    <row r="1398" ht="21.75" customHeight="1"/>
    <row r="1399" ht="21.75" customHeight="1"/>
    <row r="1400" ht="21.75" customHeight="1"/>
    <row r="1401" ht="21.75" customHeight="1"/>
    <row r="1402" ht="21.75" customHeight="1"/>
    <row r="1403" ht="21.75" customHeight="1"/>
    <row r="1404" ht="21.75" customHeight="1"/>
    <row r="1405" ht="21.75" customHeight="1"/>
    <row r="1406" ht="21.75" customHeight="1"/>
    <row r="1407" ht="21.75" customHeight="1"/>
    <row r="1408" ht="21.75" customHeight="1"/>
    <row r="1409" ht="21.75" customHeight="1"/>
    <row r="1410" ht="21.75" customHeight="1"/>
    <row r="1411" ht="21.75" customHeight="1"/>
    <row r="1412" ht="21.75" customHeight="1"/>
    <row r="1413" ht="21.75" customHeight="1"/>
    <row r="1414" ht="21.75" customHeight="1"/>
    <row r="1415" ht="21.75" customHeight="1"/>
    <row r="1416" ht="21.75" customHeight="1"/>
    <row r="1417" ht="21.75" customHeight="1"/>
    <row r="1418" ht="21.75" customHeight="1"/>
    <row r="1419" ht="21.75" customHeight="1"/>
    <row r="1420" ht="21.75" customHeight="1"/>
    <row r="1421" ht="21.75" customHeight="1"/>
    <row r="1422" ht="21.75" customHeight="1"/>
    <row r="1423" ht="21.75" customHeight="1"/>
    <row r="1424" ht="21.75" customHeight="1"/>
    <row r="1425" ht="21.75" customHeight="1"/>
    <row r="1426" ht="21.75" customHeight="1"/>
    <row r="1427" ht="21.75" customHeight="1"/>
    <row r="1428" ht="21.75" customHeight="1"/>
    <row r="1429" ht="21.75" customHeight="1"/>
    <row r="1430" ht="21.75" customHeight="1"/>
    <row r="1431" ht="21.75" customHeight="1"/>
    <row r="1432" ht="21.75" customHeight="1"/>
    <row r="1433" ht="21.75" customHeight="1"/>
    <row r="1434" ht="21.75" customHeight="1"/>
    <row r="1435" ht="21.75" customHeight="1"/>
    <row r="1436" ht="21.75" customHeight="1"/>
    <row r="1437" ht="21.75" customHeight="1"/>
    <row r="1438" ht="21.75" customHeight="1"/>
    <row r="1439" ht="21.75" customHeight="1"/>
    <row r="1440" ht="21.75" customHeight="1"/>
    <row r="1441" ht="21.75" customHeight="1"/>
    <row r="1442" ht="21.75" customHeight="1"/>
    <row r="1443" ht="21.75" customHeight="1"/>
    <row r="1444" ht="21.75" customHeight="1"/>
    <row r="1445" ht="21.75" customHeight="1"/>
    <row r="1446" ht="21.75" customHeight="1"/>
    <row r="1447" ht="21.75" customHeight="1"/>
    <row r="1448" ht="21.75" customHeight="1"/>
    <row r="1449" ht="21.75" customHeight="1"/>
    <row r="1450" ht="21.75" customHeight="1"/>
    <row r="1451" ht="21.75" customHeight="1"/>
    <row r="1452" ht="21.75" customHeight="1"/>
    <row r="1453" ht="21.75" customHeight="1"/>
    <row r="1454" ht="21.75" customHeight="1"/>
    <row r="1455" ht="21.75" customHeight="1"/>
    <row r="1456" ht="21.75" customHeight="1"/>
    <row r="1457" ht="21.75" customHeight="1"/>
    <row r="1458" ht="21.75" customHeight="1"/>
    <row r="1459" ht="21.75" customHeight="1"/>
    <row r="1460" ht="21.75" customHeight="1"/>
    <row r="1461" ht="21.75" customHeight="1"/>
    <row r="1462" ht="21.75" customHeight="1"/>
    <row r="1463" ht="21.75" customHeight="1"/>
    <row r="1464" ht="21.75" customHeight="1"/>
    <row r="1465" ht="21.75" customHeight="1"/>
    <row r="1466" ht="21.75" customHeight="1"/>
    <row r="1467" ht="21.75" customHeight="1"/>
    <row r="1468" ht="21.75" customHeight="1"/>
    <row r="1469" ht="21.75" customHeight="1"/>
    <row r="1470" ht="21.75" customHeight="1"/>
    <row r="1471" ht="21.75" customHeight="1"/>
    <row r="1472" ht="21.75" customHeight="1"/>
    <row r="1473" ht="21.75" customHeight="1"/>
    <row r="1474" ht="21.75" customHeight="1"/>
    <row r="1475" ht="21.75" customHeight="1"/>
    <row r="1476" ht="21.75" customHeight="1"/>
    <row r="1477" ht="21.75" customHeight="1"/>
    <row r="1478" ht="21.75" customHeight="1"/>
    <row r="1479" ht="21.75" customHeight="1"/>
    <row r="1480" ht="21.75" customHeight="1"/>
    <row r="1481" ht="21.75" customHeight="1"/>
    <row r="1482" ht="21.75" customHeight="1"/>
    <row r="1483" ht="21.75" customHeight="1"/>
    <row r="1484" ht="21.75" customHeight="1"/>
    <row r="1485" ht="21.75" customHeight="1"/>
    <row r="1486" ht="21.75" customHeight="1"/>
    <row r="1487" ht="21.75" customHeight="1"/>
    <row r="1488" ht="21.75" customHeight="1"/>
    <row r="1489" ht="21.75" customHeight="1"/>
    <row r="1490" ht="21.75" customHeight="1"/>
    <row r="1491" ht="21.75" customHeight="1"/>
    <row r="1492" ht="21.75" customHeight="1"/>
    <row r="1493" ht="21.75" customHeight="1"/>
    <row r="1494" ht="21.75" customHeight="1"/>
    <row r="1495" ht="21.75" customHeight="1"/>
    <row r="1496" ht="21.75" customHeight="1"/>
    <row r="1497" ht="21.75" customHeight="1"/>
    <row r="1498" ht="21.75" customHeight="1"/>
    <row r="1499" ht="21.75" customHeight="1"/>
    <row r="1500" ht="21.75" customHeight="1"/>
    <row r="1501" ht="21.75" customHeight="1"/>
    <row r="1502" ht="21.75" customHeight="1"/>
    <row r="1503" ht="21.75" customHeight="1"/>
    <row r="1504" ht="21.75" customHeight="1"/>
    <row r="1505" ht="21.75" customHeight="1"/>
    <row r="1506" ht="21.75" customHeight="1"/>
    <row r="1507" ht="21.75" customHeight="1"/>
    <row r="1508" ht="21.75" customHeight="1"/>
    <row r="1509" ht="21.75" customHeight="1"/>
    <row r="1510" ht="21.75" customHeight="1"/>
    <row r="1511" ht="21.75" customHeight="1"/>
    <row r="1512" ht="21.75" customHeight="1"/>
    <row r="1513" ht="21.75" customHeight="1"/>
    <row r="1514" ht="21.75" customHeight="1"/>
    <row r="1515" ht="21.75" customHeight="1"/>
    <row r="1516" ht="21.75" customHeight="1"/>
    <row r="1517" ht="21.75" customHeight="1"/>
    <row r="1518" ht="21.75" customHeight="1"/>
    <row r="1519" ht="21.75" customHeight="1"/>
    <row r="1520" ht="21.75" customHeight="1"/>
    <row r="1521" ht="21.75" customHeight="1"/>
    <row r="1522" ht="21.75" customHeight="1"/>
    <row r="1523" ht="21.75" customHeight="1"/>
    <row r="1524" ht="21.75" customHeight="1"/>
    <row r="1525" ht="21.75" customHeight="1"/>
    <row r="1526" ht="21.75" customHeight="1"/>
    <row r="1527" ht="21.75" customHeight="1"/>
    <row r="1528" ht="21.75" customHeight="1"/>
    <row r="1529" ht="21.75" customHeight="1"/>
    <row r="1530" ht="21.75" customHeight="1"/>
    <row r="1531" ht="21.75" customHeight="1"/>
    <row r="1532" ht="21.75" customHeight="1"/>
    <row r="1533" ht="21.75" customHeight="1"/>
    <row r="1534" ht="21.75" customHeight="1"/>
    <row r="1535" ht="21.75" customHeight="1"/>
    <row r="1536" ht="21.75" customHeight="1"/>
    <row r="1537" ht="21.75" customHeight="1"/>
    <row r="1538" ht="21.75" customHeight="1"/>
    <row r="1539" ht="21.75" customHeight="1"/>
    <row r="1540" ht="21.75" customHeight="1"/>
    <row r="1541" ht="21.75" customHeight="1"/>
    <row r="1542" ht="21.75" customHeight="1"/>
    <row r="1543" ht="21.75" customHeight="1"/>
    <row r="1544" ht="21.75" customHeight="1"/>
    <row r="1545" ht="21.75" customHeight="1"/>
    <row r="1546" ht="21.75" customHeight="1"/>
    <row r="1547" ht="21.75" customHeight="1"/>
    <row r="1548" ht="21.75" customHeight="1"/>
    <row r="1549" ht="21.75" customHeight="1"/>
    <row r="1550" ht="21.75" customHeight="1"/>
    <row r="1551" ht="21.75" customHeight="1"/>
    <row r="1552" ht="21.75" customHeight="1"/>
    <row r="1553" ht="21.75" customHeight="1"/>
    <row r="1554" ht="21.75" customHeight="1"/>
    <row r="1555" ht="21.75" customHeight="1"/>
    <row r="1556" ht="21.75" customHeight="1"/>
    <row r="1557" ht="21.75" customHeight="1"/>
    <row r="1558" ht="21.75" customHeight="1"/>
    <row r="1559" ht="21.75" customHeight="1"/>
    <row r="1560" ht="21.75" customHeight="1"/>
    <row r="1561" ht="21.75" customHeight="1"/>
    <row r="1562" ht="21.75" customHeight="1"/>
    <row r="1563" ht="21.75" customHeight="1"/>
    <row r="1564" ht="21.75" customHeight="1"/>
    <row r="1565" ht="21.75" customHeight="1"/>
    <row r="1566" ht="21.75" customHeight="1"/>
    <row r="1567" ht="21.75" customHeight="1"/>
    <row r="1568" ht="21.75" customHeight="1"/>
    <row r="1569" ht="21.75" customHeight="1"/>
    <row r="1570" ht="21.75" customHeight="1"/>
    <row r="1571" ht="21.75" customHeight="1"/>
    <row r="1572" ht="21.75" customHeight="1"/>
    <row r="1573" ht="21.75" customHeight="1"/>
    <row r="1574" ht="21.75" customHeight="1"/>
    <row r="1575" ht="21.75" customHeight="1"/>
    <row r="1576" ht="21.75" customHeight="1"/>
    <row r="1577" ht="21.75" customHeight="1"/>
    <row r="1578" ht="21.75" customHeight="1"/>
    <row r="1579" ht="21.75" customHeight="1"/>
    <row r="1580" ht="21.75" customHeight="1"/>
    <row r="1581" ht="21.75" customHeight="1"/>
    <row r="1582" ht="21.75" customHeight="1"/>
    <row r="1583" ht="21.75" customHeight="1"/>
    <row r="1584" ht="21.75" customHeight="1"/>
    <row r="1585" ht="21.75" customHeight="1"/>
    <row r="1586" ht="21.75" customHeight="1"/>
    <row r="1587" ht="21.75" customHeight="1"/>
    <row r="1588" ht="21.75" customHeight="1"/>
    <row r="1589" ht="21.75" customHeight="1"/>
    <row r="1590" ht="21.75" customHeight="1"/>
    <row r="1591" ht="21.75" customHeight="1"/>
    <row r="1592" ht="21.75" customHeight="1"/>
    <row r="1593" ht="21.75" customHeight="1"/>
    <row r="1594" ht="21.75" customHeight="1"/>
    <row r="1595" ht="21.75" customHeight="1"/>
    <row r="1596" ht="21.75" customHeight="1"/>
    <row r="1597" ht="21.75" customHeight="1"/>
    <row r="1598" ht="21.75" customHeight="1"/>
    <row r="1599" ht="21.75" customHeight="1"/>
    <row r="1600" ht="21.75" customHeight="1"/>
    <row r="1601" ht="21.75" customHeight="1"/>
    <row r="1602" ht="21.75" customHeight="1"/>
    <row r="1603" ht="21.75" customHeight="1"/>
    <row r="1604" ht="21.75" customHeight="1"/>
    <row r="1605" ht="21.75" customHeight="1"/>
    <row r="1606" ht="21.75" customHeight="1"/>
    <row r="1607" ht="21.75" customHeight="1"/>
    <row r="1608" ht="21.75" customHeight="1"/>
    <row r="1609" ht="21.75" customHeight="1"/>
    <row r="1610" ht="21.75" customHeight="1"/>
    <row r="1611" ht="21.75" customHeight="1"/>
    <row r="1612" ht="21.75" customHeight="1"/>
    <row r="1613" ht="21.75" customHeight="1"/>
    <row r="1614" ht="21.75" customHeight="1"/>
    <row r="1615" ht="21.75" customHeight="1"/>
    <row r="1616" ht="21.75" customHeight="1"/>
    <row r="1617" ht="21.75" customHeight="1"/>
    <row r="1618" ht="21.75" customHeight="1"/>
    <row r="1619" ht="21.75" customHeight="1"/>
    <row r="1620" ht="21.75" customHeight="1"/>
    <row r="1621" ht="21.75" customHeight="1"/>
    <row r="1622" ht="21.75" customHeight="1"/>
    <row r="1623" ht="21.75" customHeight="1"/>
    <row r="1624" ht="21.75" customHeight="1"/>
    <row r="1625" ht="21.75" customHeight="1"/>
    <row r="1626" ht="21.75" customHeight="1"/>
    <row r="1627" ht="21.75" customHeight="1"/>
    <row r="1628" ht="21.75" customHeight="1"/>
    <row r="1629" ht="21.75" customHeight="1"/>
    <row r="1630" ht="21.75" customHeight="1"/>
    <row r="1631" ht="21.75" customHeight="1"/>
    <row r="1632" ht="21.75" customHeight="1"/>
    <row r="1633" ht="21.75" customHeight="1"/>
    <row r="1634" ht="21.75" customHeight="1"/>
    <row r="1635" ht="21.75" customHeight="1"/>
    <row r="1636" ht="21.75" customHeight="1"/>
    <row r="1637" ht="21.75" customHeight="1"/>
    <row r="1638" ht="21.75" customHeight="1"/>
    <row r="1639" ht="21.75" customHeight="1"/>
    <row r="1640" ht="21.75" customHeight="1"/>
    <row r="1641" ht="21.75" customHeight="1"/>
    <row r="1642" ht="21.75" customHeight="1"/>
    <row r="1643" ht="21.75" customHeight="1"/>
    <row r="1644" ht="21.75" customHeight="1"/>
    <row r="1645" ht="21.75" customHeight="1"/>
    <row r="1646" ht="21.75" customHeight="1"/>
    <row r="1647" ht="21.75" customHeight="1"/>
    <row r="1648" ht="21.75" customHeight="1"/>
    <row r="1649" ht="21.75" customHeight="1"/>
    <row r="1650" ht="21.75" customHeight="1"/>
    <row r="1651" ht="21.75" customHeight="1"/>
    <row r="1652" ht="21.75" customHeight="1"/>
    <row r="1653" ht="21.75" customHeight="1"/>
    <row r="1654" ht="21.75" customHeight="1"/>
    <row r="1655" ht="21.75" customHeight="1"/>
    <row r="1656" ht="21.75" customHeight="1"/>
    <row r="1657" ht="21.75" customHeight="1"/>
    <row r="1658" ht="21.75" customHeight="1"/>
    <row r="1659" ht="21.75" customHeight="1"/>
    <row r="1660" ht="21.75" customHeight="1"/>
    <row r="1661" ht="21.75" customHeight="1"/>
    <row r="1662" ht="21.75" customHeight="1"/>
    <row r="1663" ht="21.75" customHeight="1"/>
    <row r="1664" ht="21.75" customHeight="1"/>
    <row r="1665" ht="21.75" customHeight="1"/>
    <row r="1666" ht="21.75" customHeight="1"/>
    <row r="1667" ht="21.75" customHeight="1"/>
    <row r="1668" ht="21.75" customHeight="1"/>
    <row r="1669" ht="21.75" customHeight="1"/>
    <row r="1670" ht="21.75" customHeight="1"/>
    <row r="1671" ht="21.75" customHeight="1"/>
    <row r="1672" ht="21.75" customHeight="1"/>
    <row r="1673" ht="21.75" customHeight="1"/>
    <row r="1674" ht="21.75" customHeight="1"/>
    <row r="1675" ht="21.75" customHeight="1"/>
    <row r="1676" ht="21.75" customHeight="1"/>
    <row r="1677" ht="21.75" customHeight="1"/>
    <row r="1678" ht="21.75" customHeight="1"/>
    <row r="1679" ht="21.75" customHeight="1"/>
    <row r="1680" ht="21.75" customHeight="1"/>
    <row r="1681" ht="21.75" customHeight="1"/>
    <row r="1682" ht="21.75" customHeight="1"/>
    <row r="1683" ht="21.75" customHeight="1"/>
    <row r="1684" ht="21.75" customHeight="1"/>
    <row r="1685" ht="21.75" customHeight="1"/>
    <row r="1686" ht="21.75" customHeight="1"/>
    <row r="1687" ht="21.75" customHeight="1"/>
    <row r="1688" ht="21.75" customHeight="1"/>
    <row r="1689" ht="21.75" customHeight="1"/>
    <row r="1690" ht="21.75" customHeight="1"/>
    <row r="1691" ht="21.75" customHeight="1"/>
    <row r="1692" ht="21.75" customHeight="1"/>
    <row r="1693" ht="21.75" customHeight="1"/>
    <row r="1694" ht="21.75" customHeight="1"/>
    <row r="1695" ht="21.75" customHeight="1"/>
    <row r="1696" ht="21.75" customHeight="1"/>
    <row r="1697" ht="21.75" customHeight="1"/>
    <row r="1698" ht="21.75" customHeight="1"/>
    <row r="1699" ht="21.75" customHeight="1"/>
    <row r="1700" ht="21.75" customHeight="1"/>
    <row r="1701" ht="21.75" customHeight="1"/>
    <row r="1702" ht="21.75" customHeight="1"/>
    <row r="1703" ht="21.75" customHeight="1"/>
    <row r="1704" ht="21.75" customHeight="1"/>
    <row r="1705" ht="21.75" customHeight="1"/>
    <row r="1706" ht="21.75" customHeight="1"/>
    <row r="1707" ht="21.75" customHeight="1"/>
    <row r="1708" ht="21.75" customHeight="1"/>
    <row r="1709" ht="21.75" customHeight="1"/>
    <row r="1710" ht="21.75" customHeight="1"/>
    <row r="1711" ht="21.75" customHeight="1"/>
    <row r="1712" ht="21.75" customHeight="1"/>
    <row r="1713" ht="21.75" customHeight="1"/>
    <row r="1714" ht="21.75" customHeight="1"/>
    <row r="1715" ht="21.75" customHeight="1"/>
    <row r="1716" ht="21.75" customHeight="1"/>
    <row r="1717" ht="21.75" customHeight="1"/>
    <row r="1718" ht="21.75" customHeight="1"/>
    <row r="1719" ht="21.75" customHeight="1"/>
    <row r="1720" ht="21.75" customHeight="1"/>
    <row r="1721" ht="21.75" customHeight="1"/>
    <row r="1722" ht="21.75" customHeight="1"/>
    <row r="1723" ht="21.75" customHeight="1"/>
    <row r="1724" ht="21.75" customHeight="1"/>
    <row r="1725" ht="21.75" customHeight="1"/>
    <row r="1726" ht="21.75" customHeight="1"/>
    <row r="1727" ht="21.75" customHeight="1"/>
    <row r="1728" ht="21.75" customHeight="1"/>
    <row r="1729" ht="21.75" customHeight="1"/>
    <row r="1730" ht="21.75" customHeight="1"/>
    <row r="1731" ht="21.75" customHeight="1"/>
    <row r="1732" ht="21.75" customHeight="1"/>
    <row r="1733" ht="21.75" customHeight="1"/>
    <row r="1734" ht="21.75" customHeight="1"/>
    <row r="1735" ht="21.75" customHeight="1"/>
    <row r="1736" ht="21.75" customHeight="1"/>
    <row r="1737" ht="21.75" customHeight="1"/>
    <row r="1738" ht="21.75" customHeight="1"/>
    <row r="1739" ht="21.75" customHeight="1"/>
    <row r="1740" ht="21.75" customHeight="1"/>
    <row r="1741" ht="21.75" customHeight="1"/>
    <row r="1742" ht="21.75" customHeight="1"/>
    <row r="1743" ht="21.75" customHeight="1"/>
    <row r="1744" ht="21.75" customHeight="1"/>
    <row r="1745" ht="21.75" customHeight="1"/>
    <row r="1746" ht="21.75" customHeight="1"/>
    <row r="1747" ht="21.75" customHeight="1"/>
    <row r="1748" ht="21.75" customHeight="1"/>
    <row r="1749" ht="21.75" customHeight="1"/>
    <row r="1750" ht="21.75" customHeight="1"/>
    <row r="1751" ht="21.75" customHeight="1"/>
    <row r="1752" ht="21.75" customHeight="1"/>
    <row r="1753" ht="21.75" customHeight="1"/>
    <row r="1754" ht="21.75" customHeight="1"/>
    <row r="1755" ht="21.75" customHeight="1"/>
    <row r="1756" ht="21.75" customHeight="1"/>
    <row r="1757" ht="21.75" customHeight="1"/>
    <row r="1758" ht="21.75" customHeight="1"/>
    <row r="1759" ht="21.75" customHeight="1"/>
    <row r="1760" ht="21.75" customHeight="1"/>
    <row r="1761" ht="21.75" customHeight="1"/>
    <row r="1762" ht="21.75" customHeight="1"/>
    <row r="1763" ht="21.75" customHeight="1"/>
    <row r="1764" ht="21.75" customHeight="1"/>
    <row r="1765" ht="21.75" customHeight="1"/>
    <row r="1766" ht="21.75" customHeight="1"/>
    <row r="1767" ht="21.75" customHeight="1"/>
    <row r="1768" ht="21.75" customHeight="1"/>
    <row r="1769" ht="21.75" customHeight="1"/>
    <row r="1770" ht="21.75" customHeight="1"/>
    <row r="1771" ht="21.75" customHeight="1"/>
    <row r="1772" ht="21.75" customHeight="1"/>
    <row r="1773" ht="21.75" customHeight="1"/>
    <row r="1774" ht="21.75" customHeight="1"/>
    <row r="1775" ht="21.75" customHeight="1"/>
    <row r="1776" ht="21.75" customHeight="1"/>
    <row r="1777" ht="21.75" customHeight="1"/>
    <row r="1778" ht="21.75" customHeight="1"/>
    <row r="1779" ht="21.75" customHeight="1"/>
    <row r="1780" ht="21.75" customHeight="1"/>
    <row r="1781" ht="21.75" customHeight="1"/>
    <row r="1782" ht="21.75" customHeight="1"/>
    <row r="1783" ht="21.75" customHeight="1"/>
    <row r="1784" ht="21.75" customHeight="1"/>
    <row r="1785" ht="21.75" customHeight="1"/>
    <row r="1786" ht="21.75" customHeight="1"/>
    <row r="1787" ht="21.75" customHeight="1"/>
    <row r="1788" ht="21.75" customHeight="1"/>
    <row r="1789" ht="21.75" customHeight="1"/>
    <row r="1790" ht="21.75" customHeight="1"/>
    <row r="1791" ht="21.75" customHeight="1"/>
    <row r="1792" ht="21.75" customHeight="1"/>
    <row r="1793" ht="21.75" customHeight="1"/>
    <row r="1794" ht="21.75" customHeight="1"/>
    <row r="1795" ht="21.75" customHeight="1"/>
    <row r="1796" ht="21.75" customHeight="1"/>
    <row r="1797" ht="21.75" customHeight="1"/>
    <row r="1798" ht="21.75" customHeight="1"/>
    <row r="1799" ht="21.75" customHeight="1"/>
    <row r="1800" ht="21.75" customHeight="1"/>
    <row r="1801" ht="21.75" customHeight="1"/>
    <row r="1802" ht="21.75" customHeight="1"/>
    <row r="1803" ht="21.75" customHeight="1"/>
    <row r="1804" ht="21.75" customHeight="1"/>
    <row r="1805" ht="21.75" customHeight="1"/>
    <row r="1806" ht="21.75" customHeight="1"/>
    <row r="1807" ht="21.75" customHeight="1"/>
    <row r="1808" ht="21.75" customHeight="1"/>
    <row r="1809" ht="21.75" customHeight="1"/>
    <row r="1810" ht="21.75" customHeight="1"/>
    <row r="1811" ht="21.75" customHeight="1"/>
    <row r="1812" ht="21.75" customHeight="1"/>
    <row r="1813" ht="21.75" customHeight="1"/>
    <row r="1814" ht="21.75" customHeight="1"/>
    <row r="1815" ht="21.75" customHeight="1"/>
    <row r="1816" ht="21.75" customHeight="1"/>
    <row r="1817" ht="21.75" customHeight="1"/>
    <row r="1818" ht="21.75" customHeight="1"/>
    <row r="1819" ht="21.75" customHeight="1"/>
    <row r="1820" ht="21.75" customHeight="1"/>
    <row r="1821" ht="21.75" customHeight="1"/>
    <row r="1822" ht="21.75" customHeight="1"/>
    <row r="1823" ht="21.75" customHeight="1"/>
    <row r="1824" ht="21.75" customHeight="1"/>
    <row r="1825" ht="21.75" customHeight="1"/>
    <row r="1826" ht="21.75" customHeight="1"/>
    <row r="1827" ht="21.75" customHeight="1"/>
    <row r="1828" ht="21.75" customHeight="1"/>
    <row r="1829" ht="21.75" customHeight="1"/>
    <row r="1830" ht="21.75" customHeight="1"/>
    <row r="1831" ht="21.75" customHeight="1"/>
    <row r="1832" ht="21.75" customHeight="1"/>
    <row r="1833" ht="21.75" customHeight="1"/>
    <row r="1834" ht="21.75" customHeight="1"/>
    <row r="1835" ht="21.75" customHeight="1"/>
    <row r="1836" ht="21.75" customHeight="1"/>
    <row r="1837" ht="21.75" customHeight="1"/>
    <row r="1838" ht="21.75" customHeight="1"/>
    <row r="1839" ht="21.75" customHeight="1"/>
    <row r="1840" ht="21.75" customHeight="1"/>
    <row r="1841" ht="21.75" customHeight="1"/>
    <row r="1842" ht="21.75" customHeight="1"/>
    <row r="1843" ht="21.75" customHeight="1"/>
    <row r="1844" ht="21.75" customHeight="1"/>
    <row r="1845" ht="21.75" customHeight="1"/>
    <row r="1846" ht="21.75" customHeight="1"/>
    <row r="1847" ht="21.75" customHeight="1"/>
    <row r="1848" ht="21.75" customHeight="1"/>
    <row r="1849" ht="21.75" customHeight="1"/>
    <row r="1850" ht="21.75" customHeight="1"/>
    <row r="1851" ht="21.75" customHeight="1"/>
    <row r="1852" ht="21.75" customHeight="1"/>
    <row r="1853" ht="21.75" customHeight="1"/>
    <row r="1854" ht="21.75" customHeight="1"/>
    <row r="1855" ht="21.75" customHeight="1"/>
    <row r="1856" ht="21.75" customHeight="1"/>
    <row r="1857" ht="21.75" customHeight="1"/>
    <row r="1858" ht="21.75" customHeight="1"/>
    <row r="1859" ht="21.75" customHeight="1"/>
    <row r="1860" ht="21.75" customHeight="1"/>
    <row r="1861" ht="21.75" customHeight="1"/>
    <row r="1862" ht="21.75" customHeight="1"/>
    <row r="1863" ht="21.75" customHeight="1"/>
    <row r="1864" ht="21.75" customHeight="1"/>
    <row r="1865" ht="21.75" customHeight="1"/>
    <row r="1866" ht="21.75" customHeight="1"/>
    <row r="1867" ht="21.75" customHeight="1"/>
    <row r="1868" ht="21.75" customHeight="1"/>
    <row r="1869" ht="21.75" customHeight="1"/>
    <row r="1870" ht="21.75" customHeight="1"/>
    <row r="1871" ht="21.75" customHeight="1"/>
    <row r="1872" ht="21.75" customHeight="1"/>
    <row r="1873" ht="21.75" customHeight="1"/>
    <row r="1874" ht="21.75" customHeight="1"/>
    <row r="1875" ht="21.75" customHeight="1"/>
    <row r="1876" ht="21.75" customHeight="1"/>
    <row r="1877" ht="21.75" customHeight="1"/>
    <row r="1878" ht="21.75" customHeight="1"/>
    <row r="1879" ht="21.75" customHeight="1"/>
    <row r="1880" ht="21.75" customHeight="1"/>
    <row r="1881" ht="21.75" customHeight="1"/>
    <row r="1882" ht="21.75" customHeight="1"/>
    <row r="1883" ht="21.75" customHeight="1"/>
    <row r="1884" ht="21.75" customHeight="1"/>
    <row r="1885" ht="21.75" customHeight="1"/>
    <row r="1886" ht="21.75" customHeight="1"/>
    <row r="1887" ht="21.75" customHeight="1"/>
    <row r="1888" ht="21.75" customHeight="1"/>
    <row r="1889" ht="21.75" customHeight="1"/>
    <row r="1890" ht="21.75" customHeight="1"/>
    <row r="1891" ht="21.75" customHeight="1"/>
    <row r="1892" ht="21.75" customHeight="1"/>
    <row r="1893" ht="21.75" customHeight="1"/>
    <row r="1894" ht="21.75" customHeight="1"/>
    <row r="1895" ht="21.75" customHeight="1"/>
    <row r="1896" ht="21.75" customHeight="1"/>
    <row r="1897" ht="21.75" customHeight="1"/>
    <row r="1898" ht="21.75" customHeight="1"/>
    <row r="1899" ht="21.75" customHeight="1"/>
    <row r="1900" ht="21.75" customHeight="1"/>
    <row r="1901" ht="21.75" customHeight="1"/>
    <row r="1902" ht="21.75" customHeight="1"/>
    <row r="1903" ht="21.75" customHeight="1"/>
    <row r="1904" ht="21.75" customHeight="1"/>
    <row r="1905" ht="21.75" customHeight="1"/>
    <row r="1906" ht="21.75" customHeight="1"/>
    <row r="1907" ht="21.75" customHeight="1"/>
    <row r="1908" ht="21.75" customHeight="1"/>
    <row r="1909" ht="21.75" customHeight="1"/>
    <row r="1910" ht="21.75" customHeight="1"/>
    <row r="1911" ht="21.75" customHeight="1"/>
    <row r="1912" ht="21.75" customHeight="1"/>
    <row r="1913" ht="21.75" customHeight="1"/>
    <row r="1914" ht="21.75" customHeight="1"/>
    <row r="1915" ht="21.75" customHeight="1"/>
    <row r="1916" ht="21.75" customHeight="1"/>
    <row r="1917" ht="21.75" customHeight="1"/>
    <row r="1918" ht="21.75" customHeight="1"/>
    <row r="1919" ht="21.75" customHeight="1"/>
    <row r="1920" ht="21.75" customHeight="1"/>
    <row r="1921" ht="21.75" customHeight="1"/>
    <row r="1922" ht="21.75" customHeight="1"/>
    <row r="1923" ht="21.75" customHeight="1"/>
    <row r="1924" ht="21.75" customHeight="1"/>
    <row r="1925" ht="21.75" customHeight="1"/>
    <row r="1926" ht="21.75" customHeight="1"/>
    <row r="1927" ht="21.75" customHeight="1"/>
    <row r="1928" ht="21.75" customHeight="1"/>
    <row r="1929" ht="21.75" customHeight="1"/>
    <row r="1930" ht="21.75" customHeight="1"/>
    <row r="1931" ht="21.75" customHeight="1"/>
    <row r="1932" ht="21.75" customHeight="1"/>
    <row r="1933" ht="21.75" customHeight="1"/>
    <row r="1934" ht="21.75" customHeight="1"/>
    <row r="1935" ht="21.75" customHeight="1"/>
    <row r="1936" ht="21.75" customHeight="1"/>
    <row r="1937" ht="21.75" customHeight="1"/>
    <row r="1938" ht="21.75" customHeight="1"/>
    <row r="1939" ht="21.75" customHeight="1"/>
    <row r="1940" ht="21.75" customHeight="1"/>
    <row r="1941" ht="21.75" customHeight="1"/>
    <row r="1942" ht="21.75" customHeight="1"/>
    <row r="1943" ht="21.75" customHeight="1"/>
    <row r="1944" ht="21.75" customHeight="1"/>
    <row r="1945" ht="21.75" customHeight="1"/>
    <row r="1946" ht="21.75" customHeight="1"/>
    <row r="1947" ht="21.75" customHeight="1"/>
    <row r="1948" ht="21.75" customHeight="1"/>
    <row r="1949" ht="21.75" customHeight="1"/>
    <row r="1950" ht="21.75" customHeight="1"/>
    <row r="1951" ht="21.75" customHeight="1"/>
    <row r="1952" ht="21.75" customHeight="1"/>
    <row r="1953" ht="21.75" customHeight="1"/>
    <row r="1954" ht="21.75" customHeight="1"/>
    <row r="1955" ht="21.75" customHeight="1"/>
    <row r="1956" ht="21.75" customHeight="1"/>
    <row r="1957" ht="21.75" customHeight="1"/>
    <row r="1958" ht="21.75" customHeight="1"/>
    <row r="1959" ht="21.75" customHeight="1"/>
    <row r="1960" ht="21.75" customHeight="1"/>
    <row r="1961" ht="21.75" customHeight="1"/>
    <row r="1962" ht="21.75" customHeight="1"/>
    <row r="1963" ht="21.75" customHeight="1"/>
    <row r="1964" ht="21.75" customHeight="1"/>
    <row r="1965" ht="21.75" customHeight="1"/>
    <row r="1966" ht="21.75" customHeight="1"/>
    <row r="1967" ht="21.75" customHeight="1"/>
    <row r="1968" ht="21.75" customHeight="1"/>
    <row r="1969" ht="21.75" customHeight="1"/>
    <row r="1970" ht="21.75" customHeight="1"/>
    <row r="1971" ht="21.75" customHeight="1"/>
  </sheetData>
  <mergeCells count="2">
    <mergeCell ref="B2:D2"/>
    <mergeCell ref="B9:B11"/>
  </mergeCells>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EA841-D717-4502-9DEC-A5F891C6BAED}">
  <dimension ref="A1:AR27"/>
  <sheetViews>
    <sheetView workbookViewId="0"/>
  </sheetViews>
  <sheetFormatPr defaultRowHeight="14.4"/>
  <cols>
    <col min="1" max="1" width="11.44140625" bestFit="1" customWidth="1"/>
    <col min="2" max="2" width="49.109375" bestFit="1" customWidth="1"/>
    <col min="3" max="3" width="39.33203125" bestFit="1" customWidth="1"/>
    <col min="4" max="4" width="110.6640625" bestFit="1" customWidth="1"/>
    <col min="5" max="5" width="40.44140625" bestFit="1" customWidth="1"/>
    <col min="6" max="6" width="156.109375" bestFit="1" customWidth="1"/>
    <col min="7" max="7" width="215.5546875" bestFit="1" customWidth="1"/>
    <col min="8" max="8" width="20.5546875" bestFit="1" customWidth="1"/>
    <col min="9" max="9" width="13.6640625" bestFit="1" customWidth="1"/>
    <col min="10" max="10" width="61.44140625" bestFit="1" customWidth="1"/>
    <col min="11" max="11" width="34.109375" bestFit="1" customWidth="1"/>
    <col min="13" max="13" width="18.5546875" bestFit="1" customWidth="1"/>
    <col min="14" max="14" width="11.88671875" bestFit="1" customWidth="1"/>
    <col min="15" max="15" width="33" bestFit="1" customWidth="1"/>
    <col min="16" max="16" width="32.6640625" bestFit="1" customWidth="1"/>
    <col min="17" max="17" width="25.33203125" bestFit="1" customWidth="1"/>
    <col min="18" max="18" width="17.44140625" bestFit="1" customWidth="1"/>
    <col min="19" max="19" width="24.33203125" bestFit="1" customWidth="1"/>
    <col min="20" max="20" width="17.44140625" bestFit="1" customWidth="1"/>
    <col min="21" max="22" width="11.44140625" bestFit="1" customWidth="1"/>
    <col min="24" max="24" width="15.6640625" bestFit="1" customWidth="1"/>
    <col min="25" max="25" width="11.44140625" bestFit="1" customWidth="1"/>
    <col min="26" max="26" width="21.5546875" bestFit="1" customWidth="1"/>
    <col min="27" max="27" width="22.5546875" bestFit="1" customWidth="1"/>
    <col min="28" max="28" width="22.88671875" bestFit="1" customWidth="1"/>
    <col min="29" max="29" width="46.88671875" bestFit="1" customWidth="1"/>
    <col min="30" max="30" width="33.109375" bestFit="1" customWidth="1"/>
    <col min="31" max="31" width="12" bestFit="1" customWidth="1"/>
    <col min="32" max="32" width="20.88671875" bestFit="1" customWidth="1"/>
    <col min="33" max="33" width="15.44140625" bestFit="1" customWidth="1"/>
    <col min="34" max="34" width="21.6640625" bestFit="1" customWidth="1"/>
    <col min="35" max="37" width="12.6640625" bestFit="1" customWidth="1"/>
    <col min="38" max="38" width="13" bestFit="1" customWidth="1"/>
    <col min="39" max="43" width="12.6640625" bestFit="1" customWidth="1"/>
    <col min="44" max="44" width="13.6640625" bestFit="1" customWidth="1"/>
  </cols>
  <sheetData>
    <row r="1" spans="1:44">
      <c r="A1" s="465" t="s">
        <v>283</v>
      </c>
    </row>
    <row r="3" spans="1:44">
      <c r="A3" t="s">
        <v>284</v>
      </c>
      <c r="B3" t="s">
        <v>285</v>
      </c>
      <c r="C3" t="s">
        <v>286</v>
      </c>
      <c r="D3" t="s">
        <v>287</v>
      </c>
      <c r="E3" t="s">
        <v>288</v>
      </c>
      <c r="F3" t="s">
        <v>289</v>
      </c>
      <c r="G3" t="s">
        <v>290</v>
      </c>
      <c r="H3" t="s">
        <v>291</v>
      </c>
      <c r="I3" t="s">
        <v>18</v>
      </c>
      <c r="J3" t="s">
        <v>25</v>
      </c>
      <c r="K3" t="s">
        <v>292</v>
      </c>
      <c r="L3" t="s">
        <v>293</v>
      </c>
      <c r="M3" t="s">
        <v>294</v>
      </c>
      <c r="N3" t="s">
        <v>295</v>
      </c>
      <c r="O3" t="s">
        <v>296</v>
      </c>
      <c r="P3" t="s">
        <v>297</v>
      </c>
      <c r="Q3" t="s">
        <v>298</v>
      </c>
      <c r="R3" t="s">
        <v>299</v>
      </c>
      <c r="S3" t="s">
        <v>27</v>
      </c>
      <c r="T3" t="s">
        <v>300</v>
      </c>
      <c r="U3" t="s">
        <v>20</v>
      </c>
      <c r="V3" t="s">
        <v>301</v>
      </c>
      <c r="W3" t="s">
        <v>16</v>
      </c>
      <c r="X3" t="s">
        <v>302</v>
      </c>
      <c r="Y3" t="s">
        <v>303</v>
      </c>
      <c r="Z3" t="s">
        <v>304</v>
      </c>
      <c r="AA3" t="s">
        <v>21</v>
      </c>
      <c r="AB3" t="s">
        <v>23</v>
      </c>
      <c r="AC3" t="s">
        <v>305</v>
      </c>
      <c r="AD3" t="s">
        <v>306</v>
      </c>
      <c r="AE3" t="s">
        <v>307</v>
      </c>
      <c r="AF3" t="s">
        <v>308</v>
      </c>
      <c r="AG3" t="s">
        <v>309</v>
      </c>
      <c r="AH3" t="s">
        <v>310</v>
      </c>
      <c r="AI3" t="s">
        <v>311</v>
      </c>
      <c r="AJ3" t="s">
        <v>312</v>
      </c>
      <c r="AK3" t="s">
        <v>313</v>
      </c>
      <c r="AL3" t="s">
        <v>314</v>
      </c>
      <c r="AM3" t="s">
        <v>315</v>
      </c>
      <c r="AN3" t="s">
        <v>316</v>
      </c>
      <c r="AO3" t="s">
        <v>317</v>
      </c>
      <c r="AP3" t="s">
        <v>318</v>
      </c>
      <c r="AQ3" t="s">
        <v>319</v>
      </c>
      <c r="AR3" t="s">
        <v>320</v>
      </c>
    </row>
    <row r="4" spans="1:44">
      <c r="A4">
        <v>2850</v>
      </c>
      <c r="B4" t="s">
        <v>321</v>
      </c>
      <c r="C4" t="s">
        <v>322</v>
      </c>
      <c r="D4" t="s">
        <v>323</v>
      </c>
      <c r="E4" t="s">
        <v>324</v>
      </c>
      <c r="F4" t="s">
        <v>325</v>
      </c>
      <c r="G4" t="s">
        <v>326</v>
      </c>
      <c r="H4" t="s">
        <v>327</v>
      </c>
      <c r="I4" t="s">
        <v>242</v>
      </c>
      <c r="J4" t="s">
        <v>328</v>
      </c>
      <c r="M4" t="s">
        <v>329</v>
      </c>
      <c r="N4" t="s">
        <v>330</v>
      </c>
      <c r="P4">
        <v>15600000</v>
      </c>
      <c r="S4">
        <v>25200000</v>
      </c>
      <c r="U4" s="7">
        <v>46030</v>
      </c>
      <c r="V4" s="7">
        <v>46029</v>
      </c>
      <c r="W4" t="s">
        <v>17</v>
      </c>
      <c r="Y4" s="7">
        <v>46015</v>
      </c>
      <c r="Z4">
        <v>14</v>
      </c>
      <c r="AA4">
        <v>1</v>
      </c>
      <c r="AB4">
        <v>2026</v>
      </c>
      <c r="AC4" t="s">
        <v>331</v>
      </c>
      <c r="AD4" t="s">
        <v>332</v>
      </c>
      <c r="AE4">
        <v>4500026998</v>
      </c>
      <c r="AF4" t="s">
        <v>333</v>
      </c>
    </row>
    <row r="5" spans="1:44" ht="28.8">
      <c r="A5">
        <v>2863</v>
      </c>
      <c r="B5" t="s">
        <v>114</v>
      </c>
      <c r="C5" t="s">
        <v>334</v>
      </c>
      <c r="D5" s="464" t="s">
        <v>335</v>
      </c>
      <c r="E5" t="s">
        <v>324</v>
      </c>
      <c r="G5" t="s">
        <v>336</v>
      </c>
      <c r="H5" t="s">
        <v>327</v>
      </c>
      <c r="I5" t="s">
        <v>242</v>
      </c>
      <c r="M5" t="s">
        <v>337</v>
      </c>
      <c r="S5">
        <v>376500000</v>
      </c>
      <c r="U5" s="7">
        <v>45658</v>
      </c>
      <c r="V5" s="7">
        <v>46022</v>
      </c>
      <c r="W5" t="s">
        <v>17</v>
      </c>
      <c r="Y5" s="7">
        <v>46015</v>
      </c>
      <c r="Z5">
        <v>7</v>
      </c>
      <c r="AA5">
        <v>12</v>
      </c>
      <c r="AB5">
        <v>2025</v>
      </c>
      <c r="AC5">
        <v>4500022774</v>
      </c>
      <c r="AD5" t="s">
        <v>338</v>
      </c>
      <c r="AF5" t="s">
        <v>339</v>
      </c>
    </row>
    <row r="6" spans="1:44" ht="28.8">
      <c r="A6">
        <v>2862</v>
      </c>
      <c r="B6" t="s">
        <v>114</v>
      </c>
      <c r="C6" t="s">
        <v>340</v>
      </c>
      <c r="D6" s="464" t="s">
        <v>335</v>
      </c>
      <c r="E6" t="s">
        <v>324</v>
      </c>
      <c r="G6" t="s">
        <v>336</v>
      </c>
      <c r="H6" t="s">
        <v>327</v>
      </c>
      <c r="I6" t="s">
        <v>242</v>
      </c>
      <c r="M6" t="s">
        <v>337</v>
      </c>
      <c r="S6">
        <v>266500000</v>
      </c>
      <c r="U6" s="7">
        <v>45658</v>
      </c>
      <c r="V6" s="7">
        <v>46022</v>
      </c>
      <c r="W6" t="s">
        <v>17</v>
      </c>
      <c r="Y6" s="7">
        <v>46015</v>
      </c>
      <c r="Z6">
        <v>7</v>
      </c>
      <c r="AA6">
        <v>12</v>
      </c>
      <c r="AB6">
        <v>2025</v>
      </c>
      <c r="AC6">
        <v>4500022782</v>
      </c>
      <c r="AD6" t="s">
        <v>341</v>
      </c>
      <c r="AE6">
        <v>4500026964</v>
      </c>
      <c r="AF6" t="s">
        <v>339</v>
      </c>
    </row>
    <row r="7" spans="1:44" ht="28.8">
      <c r="A7">
        <v>2861</v>
      </c>
      <c r="B7" t="s">
        <v>114</v>
      </c>
      <c r="C7" t="s">
        <v>342</v>
      </c>
      <c r="D7" s="464" t="s">
        <v>335</v>
      </c>
      <c r="E7" t="s">
        <v>324</v>
      </c>
      <c r="G7" t="s">
        <v>336</v>
      </c>
      <c r="H7" t="s">
        <v>327</v>
      </c>
      <c r="I7" t="s">
        <v>242</v>
      </c>
      <c r="M7" t="s">
        <v>337</v>
      </c>
      <c r="S7">
        <v>317500000</v>
      </c>
      <c r="U7" s="7">
        <v>45658</v>
      </c>
      <c r="V7" s="7">
        <v>46022</v>
      </c>
      <c r="W7" t="s">
        <v>17</v>
      </c>
      <c r="Y7" s="7">
        <v>46015</v>
      </c>
      <c r="Z7">
        <v>7</v>
      </c>
      <c r="AA7">
        <v>12</v>
      </c>
      <c r="AB7">
        <v>2025</v>
      </c>
      <c r="AC7">
        <v>4500022782</v>
      </c>
      <c r="AD7" t="s">
        <v>343</v>
      </c>
      <c r="AE7">
        <v>4500026965</v>
      </c>
      <c r="AF7" t="s">
        <v>339</v>
      </c>
    </row>
    <row r="8" spans="1:44" ht="28.8">
      <c r="A8">
        <v>2806</v>
      </c>
      <c r="B8" t="s">
        <v>114</v>
      </c>
      <c r="C8" t="s">
        <v>344</v>
      </c>
      <c r="D8" s="464" t="s">
        <v>335</v>
      </c>
      <c r="E8" t="s">
        <v>324</v>
      </c>
      <c r="G8" t="s">
        <v>345</v>
      </c>
      <c r="H8" t="s">
        <v>327</v>
      </c>
      <c r="I8" t="s">
        <v>346</v>
      </c>
      <c r="M8" t="s">
        <v>337</v>
      </c>
      <c r="S8">
        <v>168000000</v>
      </c>
      <c r="U8" s="7">
        <v>45661</v>
      </c>
      <c r="V8" s="7">
        <v>46025</v>
      </c>
      <c r="W8" t="s">
        <v>17</v>
      </c>
      <c r="Y8" s="7">
        <v>46015</v>
      </c>
      <c r="Z8">
        <v>10</v>
      </c>
      <c r="AA8">
        <v>1</v>
      </c>
      <c r="AB8">
        <v>2026</v>
      </c>
      <c r="AC8">
        <v>4500023421</v>
      </c>
      <c r="AD8" t="s">
        <v>347</v>
      </c>
      <c r="AE8">
        <v>4500025630</v>
      </c>
      <c r="AF8" t="s">
        <v>339</v>
      </c>
      <c r="AQ8">
        <v>260</v>
      </c>
    </row>
    <row r="9" spans="1:44">
      <c r="A9">
        <v>2804</v>
      </c>
      <c r="B9" t="s">
        <v>348</v>
      </c>
      <c r="C9" t="s">
        <v>349</v>
      </c>
      <c r="E9" t="s">
        <v>324</v>
      </c>
      <c r="G9" t="s">
        <v>350</v>
      </c>
      <c r="H9" t="s">
        <v>327</v>
      </c>
      <c r="I9" t="s">
        <v>242</v>
      </c>
      <c r="J9" t="s">
        <v>351</v>
      </c>
      <c r="K9" t="s">
        <v>352</v>
      </c>
      <c r="M9" t="s">
        <v>353</v>
      </c>
      <c r="N9" t="s">
        <v>354</v>
      </c>
      <c r="P9">
        <v>10031613</v>
      </c>
      <c r="S9">
        <v>2428775</v>
      </c>
      <c r="U9" s="7">
        <v>45951</v>
      </c>
      <c r="V9" s="7">
        <v>46022</v>
      </c>
      <c r="W9" t="s">
        <v>17</v>
      </c>
      <c r="Y9" s="7">
        <v>46002</v>
      </c>
      <c r="Z9">
        <v>20</v>
      </c>
      <c r="AA9">
        <v>12</v>
      </c>
      <c r="AB9">
        <v>2025</v>
      </c>
      <c r="AD9" t="s">
        <v>355</v>
      </c>
      <c r="AE9">
        <v>4500026858</v>
      </c>
      <c r="AF9" t="s">
        <v>356</v>
      </c>
      <c r="AG9" t="s">
        <v>357</v>
      </c>
      <c r="AQ9">
        <v>346</v>
      </c>
    </row>
    <row r="10" spans="1:44">
      <c r="A10">
        <v>2803</v>
      </c>
      <c r="B10" t="s">
        <v>348</v>
      </c>
      <c r="C10" t="s">
        <v>358</v>
      </c>
      <c r="E10" t="s">
        <v>324</v>
      </c>
      <c r="G10" t="s">
        <v>359</v>
      </c>
      <c r="H10" t="s">
        <v>327</v>
      </c>
      <c r="I10" t="s">
        <v>242</v>
      </c>
      <c r="J10" t="s">
        <v>360</v>
      </c>
      <c r="K10" t="s">
        <v>361</v>
      </c>
      <c r="M10" t="s">
        <v>353</v>
      </c>
      <c r="N10" t="s">
        <v>362</v>
      </c>
      <c r="P10">
        <v>27810000</v>
      </c>
      <c r="S10">
        <v>6239580</v>
      </c>
      <c r="U10" s="7">
        <v>45948</v>
      </c>
      <c r="V10" s="7">
        <v>46022</v>
      </c>
      <c r="W10" t="s">
        <v>17</v>
      </c>
      <c r="Y10" s="7">
        <v>46002</v>
      </c>
      <c r="Z10">
        <v>20</v>
      </c>
      <c r="AA10">
        <v>12</v>
      </c>
      <c r="AB10">
        <v>2025</v>
      </c>
      <c r="AD10" t="s">
        <v>363</v>
      </c>
      <c r="AE10">
        <v>4500026316</v>
      </c>
      <c r="AF10" t="s">
        <v>356</v>
      </c>
      <c r="AG10" t="s">
        <v>357</v>
      </c>
      <c r="AQ10">
        <v>276</v>
      </c>
    </row>
    <row r="11" spans="1:44">
      <c r="A11">
        <v>2782</v>
      </c>
      <c r="B11" t="s">
        <v>129</v>
      </c>
      <c r="C11" t="s">
        <v>344</v>
      </c>
      <c r="E11" t="s">
        <v>324</v>
      </c>
      <c r="G11" t="s">
        <v>364</v>
      </c>
      <c r="H11" t="s">
        <v>327</v>
      </c>
      <c r="I11" t="s">
        <v>346</v>
      </c>
      <c r="M11" t="s">
        <v>365</v>
      </c>
      <c r="P11">
        <v>2098302444</v>
      </c>
      <c r="S11">
        <v>309750000</v>
      </c>
      <c r="U11" s="7">
        <v>45658</v>
      </c>
      <c r="V11" s="7">
        <v>46022</v>
      </c>
      <c r="W11" t="s">
        <v>17</v>
      </c>
      <c r="Y11" s="7">
        <v>46015</v>
      </c>
      <c r="Z11">
        <v>7</v>
      </c>
      <c r="AA11">
        <v>12</v>
      </c>
      <c r="AB11">
        <v>2025</v>
      </c>
      <c r="AC11">
        <v>4500022093</v>
      </c>
      <c r="AD11" t="s">
        <v>366</v>
      </c>
      <c r="AE11">
        <v>4500026692</v>
      </c>
      <c r="AF11" t="s">
        <v>333</v>
      </c>
      <c r="AG11" t="s">
        <v>367</v>
      </c>
    </row>
    <row r="12" spans="1:44">
      <c r="A12">
        <v>2750</v>
      </c>
      <c r="B12" t="s">
        <v>221</v>
      </c>
      <c r="C12" t="s">
        <v>368</v>
      </c>
      <c r="D12" t="s">
        <v>369</v>
      </c>
      <c r="E12" t="s">
        <v>324</v>
      </c>
      <c r="F12" t="s">
        <v>370</v>
      </c>
      <c r="G12" t="s">
        <v>371</v>
      </c>
      <c r="H12" t="s">
        <v>327</v>
      </c>
      <c r="I12" t="s">
        <v>242</v>
      </c>
      <c r="J12" t="s">
        <v>372</v>
      </c>
      <c r="M12" t="s">
        <v>365</v>
      </c>
      <c r="N12" t="s">
        <v>373</v>
      </c>
      <c r="P12">
        <v>540000000</v>
      </c>
      <c r="S12">
        <v>14400000</v>
      </c>
      <c r="U12" s="7">
        <v>45244</v>
      </c>
      <c r="V12" s="7">
        <v>45974</v>
      </c>
      <c r="W12" t="s">
        <v>17</v>
      </c>
      <c r="Y12" s="7">
        <v>45955</v>
      </c>
      <c r="Z12">
        <v>19</v>
      </c>
      <c r="AA12">
        <v>9</v>
      </c>
      <c r="AB12">
        <v>2025</v>
      </c>
      <c r="AC12" t="s">
        <v>374</v>
      </c>
      <c r="AD12" t="s">
        <v>375</v>
      </c>
      <c r="AE12">
        <v>4500026291</v>
      </c>
      <c r="AF12" t="s">
        <v>333</v>
      </c>
      <c r="AH12" t="s">
        <v>376</v>
      </c>
      <c r="AQ12">
        <v>333</v>
      </c>
    </row>
    <row r="13" spans="1:44">
      <c r="A13">
        <v>2716</v>
      </c>
      <c r="B13" t="s">
        <v>169</v>
      </c>
      <c r="C13" t="s">
        <v>344</v>
      </c>
      <c r="D13" t="s">
        <v>377</v>
      </c>
      <c r="E13" t="s">
        <v>324</v>
      </c>
      <c r="G13" t="s">
        <v>378</v>
      </c>
      <c r="H13" t="s">
        <v>327</v>
      </c>
      <c r="I13" t="s">
        <v>346</v>
      </c>
      <c r="P13">
        <v>328550000</v>
      </c>
      <c r="S13">
        <v>453000000</v>
      </c>
      <c r="U13" s="7">
        <v>45849</v>
      </c>
      <c r="V13" s="7">
        <v>46032</v>
      </c>
      <c r="W13" t="s">
        <v>17</v>
      </c>
      <c r="Y13" s="7">
        <v>46015</v>
      </c>
      <c r="Z13">
        <v>17</v>
      </c>
      <c r="AA13">
        <v>1</v>
      </c>
      <c r="AB13">
        <v>2026</v>
      </c>
      <c r="AC13">
        <v>4500024448</v>
      </c>
      <c r="AD13" t="s">
        <v>379</v>
      </c>
      <c r="AE13" t="s">
        <v>380</v>
      </c>
      <c r="AF13" t="s">
        <v>339</v>
      </c>
      <c r="AH13" t="s">
        <v>381</v>
      </c>
      <c r="AQ13">
        <v>288</v>
      </c>
    </row>
    <row r="14" spans="1:44">
      <c r="A14">
        <v>2711</v>
      </c>
      <c r="B14" t="s">
        <v>382</v>
      </c>
      <c r="C14" t="s">
        <v>383</v>
      </c>
      <c r="D14" t="s">
        <v>384</v>
      </c>
      <c r="E14" t="s">
        <v>324</v>
      </c>
      <c r="G14" t="s">
        <v>385</v>
      </c>
      <c r="H14" t="s">
        <v>327</v>
      </c>
      <c r="I14" t="s">
        <v>242</v>
      </c>
      <c r="J14" t="s">
        <v>386</v>
      </c>
      <c r="K14" t="s">
        <v>387</v>
      </c>
      <c r="M14" t="s">
        <v>388</v>
      </c>
      <c r="N14" t="s">
        <v>389</v>
      </c>
      <c r="P14">
        <v>120000000</v>
      </c>
      <c r="S14">
        <v>12000000</v>
      </c>
      <c r="U14" s="7">
        <v>45315</v>
      </c>
      <c r="V14" s="7">
        <v>46040</v>
      </c>
      <c r="W14" t="s">
        <v>17</v>
      </c>
      <c r="Y14" s="7">
        <v>46015</v>
      </c>
      <c r="Z14">
        <v>25</v>
      </c>
      <c r="AA14">
        <v>1</v>
      </c>
      <c r="AB14">
        <v>2026</v>
      </c>
      <c r="AC14" t="s">
        <v>390</v>
      </c>
      <c r="AD14" t="s">
        <v>391</v>
      </c>
      <c r="AE14">
        <v>4500026202</v>
      </c>
      <c r="AF14" t="s">
        <v>333</v>
      </c>
      <c r="AG14" t="s">
        <v>392</v>
      </c>
      <c r="AQ14">
        <v>292</v>
      </c>
    </row>
    <row r="15" spans="1:44">
      <c r="A15">
        <v>2240</v>
      </c>
      <c r="B15" t="s">
        <v>221</v>
      </c>
      <c r="C15" t="s">
        <v>393</v>
      </c>
      <c r="D15" t="s">
        <v>369</v>
      </c>
      <c r="E15" t="s">
        <v>324</v>
      </c>
      <c r="G15" t="s">
        <v>394</v>
      </c>
      <c r="H15" t="s">
        <v>327</v>
      </c>
      <c r="I15" t="s">
        <v>242</v>
      </c>
      <c r="J15" t="s">
        <v>395</v>
      </c>
      <c r="M15" t="s">
        <v>365</v>
      </c>
      <c r="N15" t="s">
        <v>396</v>
      </c>
      <c r="P15">
        <v>180000000</v>
      </c>
      <c r="S15">
        <v>7200000</v>
      </c>
      <c r="U15" s="7">
        <v>45674</v>
      </c>
      <c r="V15" s="7">
        <v>46038</v>
      </c>
      <c r="W15" t="s">
        <v>17</v>
      </c>
      <c r="Y15" s="7">
        <v>46015</v>
      </c>
      <c r="Z15">
        <v>23</v>
      </c>
      <c r="AA15">
        <v>1</v>
      </c>
      <c r="AB15">
        <v>2026</v>
      </c>
      <c r="AC15">
        <v>4500019908</v>
      </c>
      <c r="AD15" t="s">
        <v>397</v>
      </c>
      <c r="AE15" t="s">
        <v>398</v>
      </c>
      <c r="AF15" t="s">
        <v>399</v>
      </c>
      <c r="AG15" t="s">
        <v>376</v>
      </c>
      <c r="AQ15">
        <v>135</v>
      </c>
    </row>
    <row r="16" spans="1:44">
      <c r="A16">
        <v>2234</v>
      </c>
      <c r="B16" t="s">
        <v>400</v>
      </c>
      <c r="C16" t="s">
        <v>401</v>
      </c>
      <c r="D16" t="s">
        <v>402</v>
      </c>
      <c r="E16" t="s">
        <v>324</v>
      </c>
      <c r="F16" t="s">
        <v>403</v>
      </c>
      <c r="G16" t="s">
        <v>404</v>
      </c>
      <c r="H16" t="s">
        <v>327</v>
      </c>
      <c r="I16" t="s">
        <v>346</v>
      </c>
      <c r="K16" t="s">
        <v>405</v>
      </c>
      <c r="M16" t="s">
        <v>365</v>
      </c>
      <c r="N16" t="s">
        <v>406</v>
      </c>
      <c r="P16">
        <v>84000000</v>
      </c>
      <c r="S16">
        <v>7500000</v>
      </c>
      <c r="U16" s="7">
        <v>45678</v>
      </c>
      <c r="V16" s="7">
        <v>46042</v>
      </c>
      <c r="W16" t="s">
        <v>17</v>
      </c>
      <c r="Y16" s="7">
        <v>46015</v>
      </c>
      <c r="Z16">
        <v>27</v>
      </c>
      <c r="AA16">
        <v>1</v>
      </c>
      <c r="AB16">
        <v>2026</v>
      </c>
      <c r="AC16" t="s">
        <v>407</v>
      </c>
      <c r="AD16" t="s">
        <v>408</v>
      </c>
      <c r="AE16" t="s">
        <v>409</v>
      </c>
      <c r="AF16" t="s">
        <v>399</v>
      </c>
      <c r="AG16" t="s">
        <v>410</v>
      </c>
      <c r="AQ16">
        <v>125</v>
      </c>
    </row>
    <row r="17" spans="1:43">
      <c r="A17">
        <v>2227</v>
      </c>
      <c r="B17" t="s">
        <v>411</v>
      </c>
      <c r="C17" t="s">
        <v>412</v>
      </c>
      <c r="D17" t="s">
        <v>413</v>
      </c>
      <c r="E17" t="s">
        <v>324</v>
      </c>
      <c r="F17" t="s">
        <v>414</v>
      </c>
      <c r="G17" t="s">
        <v>415</v>
      </c>
      <c r="H17" t="s">
        <v>327</v>
      </c>
      <c r="I17" t="s">
        <v>346</v>
      </c>
      <c r="J17" t="s">
        <v>416</v>
      </c>
      <c r="M17" t="s">
        <v>365</v>
      </c>
      <c r="N17" t="s">
        <v>417</v>
      </c>
      <c r="P17">
        <v>24000000</v>
      </c>
      <c r="S17">
        <v>81000000</v>
      </c>
      <c r="U17" s="7">
        <v>45675</v>
      </c>
      <c r="V17" s="7">
        <v>46039</v>
      </c>
      <c r="W17" t="s">
        <v>17</v>
      </c>
      <c r="Y17" s="7">
        <v>46015</v>
      </c>
      <c r="Z17">
        <v>24</v>
      </c>
      <c r="AA17">
        <v>1</v>
      </c>
      <c r="AB17">
        <v>2026</v>
      </c>
      <c r="AC17">
        <v>4500017589</v>
      </c>
      <c r="AD17" t="s">
        <v>418</v>
      </c>
      <c r="AE17" t="s">
        <v>419</v>
      </c>
      <c r="AF17" t="s">
        <v>399</v>
      </c>
      <c r="AG17" t="s">
        <v>420</v>
      </c>
      <c r="AQ17">
        <v>120</v>
      </c>
    </row>
    <row r="18" spans="1:43">
      <c r="A18">
        <v>2183</v>
      </c>
      <c r="B18" t="s">
        <v>221</v>
      </c>
      <c r="C18" t="s">
        <v>421</v>
      </c>
      <c r="D18" t="s">
        <v>369</v>
      </c>
      <c r="E18" t="s">
        <v>324</v>
      </c>
      <c r="G18" t="s">
        <v>422</v>
      </c>
      <c r="H18" t="s">
        <v>327</v>
      </c>
      <c r="I18" t="s">
        <v>242</v>
      </c>
      <c r="J18" t="s">
        <v>423</v>
      </c>
      <c r="M18" t="s">
        <v>329</v>
      </c>
      <c r="N18" t="s">
        <v>424</v>
      </c>
      <c r="P18">
        <v>13200000</v>
      </c>
      <c r="S18">
        <v>6000000</v>
      </c>
      <c r="U18" s="7">
        <v>45680</v>
      </c>
      <c r="V18" s="7">
        <v>46044</v>
      </c>
      <c r="W18" t="s">
        <v>17</v>
      </c>
      <c r="Y18" s="7">
        <v>46015</v>
      </c>
      <c r="Z18">
        <v>29</v>
      </c>
      <c r="AA18">
        <v>1</v>
      </c>
      <c r="AB18">
        <v>2026</v>
      </c>
      <c r="AC18" t="s">
        <v>425</v>
      </c>
      <c r="AD18" t="s">
        <v>426</v>
      </c>
      <c r="AE18" t="s">
        <v>427</v>
      </c>
      <c r="AF18" t="s">
        <v>399</v>
      </c>
      <c r="AG18" t="s">
        <v>376</v>
      </c>
      <c r="AQ18">
        <v>89</v>
      </c>
    </row>
    <row r="19" spans="1:43">
      <c r="A19">
        <v>2164</v>
      </c>
      <c r="B19" t="s">
        <v>191</v>
      </c>
      <c r="C19" t="s">
        <v>428</v>
      </c>
      <c r="D19" t="s">
        <v>429</v>
      </c>
      <c r="E19" t="s">
        <v>324</v>
      </c>
      <c r="F19" t="s">
        <v>430</v>
      </c>
      <c r="G19" t="s">
        <v>430</v>
      </c>
      <c r="H19" t="s">
        <v>327</v>
      </c>
      <c r="I19" t="s">
        <v>346</v>
      </c>
      <c r="J19" t="s">
        <v>431</v>
      </c>
      <c r="M19" t="s">
        <v>329</v>
      </c>
      <c r="N19" t="s">
        <v>389</v>
      </c>
      <c r="P19">
        <v>105000000</v>
      </c>
      <c r="S19">
        <v>21600000</v>
      </c>
      <c r="U19" s="7">
        <v>45679</v>
      </c>
      <c r="V19" s="7">
        <v>46043</v>
      </c>
      <c r="W19" t="s">
        <v>17</v>
      </c>
      <c r="Y19" s="7">
        <v>46015</v>
      </c>
      <c r="Z19">
        <v>28</v>
      </c>
      <c r="AA19">
        <v>1</v>
      </c>
      <c r="AB19">
        <v>2026</v>
      </c>
      <c r="AC19">
        <v>4500022249</v>
      </c>
      <c r="AD19" t="s">
        <v>432</v>
      </c>
      <c r="AE19" t="s">
        <v>433</v>
      </c>
      <c r="AF19" t="s">
        <v>333</v>
      </c>
      <c r="AG19" t="s">
        <v>434</v>
      </c>
      <c r="AQ19">
        <v>48</v>
      </c>
    </row>
    <row r="20" spans="1:43" ht="57.6">
      <c r="A20">
        <v>2160</v>
      </c>
      <c r="B20" t="s">
        <v>169</v>
      </c>
      <c r="C20" s="464" t="s">
        <v>435</v>
      </c>
      <c r="D20" t="s">
        <v>377</v>
      </c>
      <c r="E20" t="s">
        <v>324</v>
      </c>
      <c r="G20" t="s">
        <v>436</v>
      </c>
      <c r="H20" t="s">
        <v>327</v>
      </c>
      <c r="I20" t="s">
        <v>242</v>
      </c>
      <c r="J20" s="464" t="s">
        <v>437</v>
      </c>
      <c r="M20" t="s">
        <v>365</v>
      </c>
      <c r="P20" t="s">
        <v>115</v>
      </c>
      <c r="S20">
        <v>18000000</v>
      </c>
      <c r="U20" s="7">
        <v>45668</v>
      </c>
      <c r="V20" s="7">
        <v>46032</v>
      </c>
      <c r="W20" t="s">
        <v>17</v>
      </c>
      <c r="Y20" s="7">
        <v>46015</v>
      </c>
      <c r="Z20">
        <v>17</v>
      </c>
      <c r="AA20">
        <v>1</v>
      </c>
      <c r="AB20">
        <v>2026</v>
      </c>
      <c r="AC20">
        <v>4500022597</v>
      </c>
      <c r="AD20" t="s">
        <v>438</v>
      </c>
      <c r="AE20" t="s">
        <v>439</v>
      </c>
      <c r="AF20" t="s">
        <v>333</v>
      </c>
      <c r="AG20" t="s">
        <v>381</v>
      </c>
      <c r="AQ20">
        <v>54</v>
      </c>
    </row>
    <row r="21" spans="1:43" ht="28.8">
      <c r="A21">
        <v>2147</v>
      </c>
      <c r="B21" t="s">
        <v>440</v>
      </c>
      <c r="C21" s="464" t="s">
        <v>441</v>
      </c>
      <c r="D21" t="s">
        <v>442</v>
      </c>
      <c r="E21" t="s">
        <v>324</v>
      </c>
      <c r="F21" t="s">
        <v>443</v>
      </c>
      <c r="G21" t="s">
        <v>444</v>
      </c>
      <c r="H21" t="s">
        <v>327</v>
      </c>
      <c r="I21" t="s">
        <v>346</v>
      </c>
      <c r="J21" s="464" t="s">
        <v>445</v>
      </c>
      <c r="M21" t="s">
        <v>365</v>
      </c>
      <c r="N21" t="s">
        <v>354</v>
      </c>
      <c r="P21">
        <v>231000000</v>
      </c>
      <c r="S21">
        <v>12000000</v>
      </c>
      <c r="U21" s="7">
        <v>45669</v>
      </c>
      <c r="V21" s="7">
        <v>46033</v>
      </c>
      <c r="W21" t="s">
        <v>17</v>
      </c>
      <c r="Y21" s="7">
        <v>46015</v>
      </c>
      <c r="Z21">
        <v>18</v>
      </c>
      <c r="AA21">
        <v>1</v>
      </c>
      <c r="AB21">
        <v>2026</v>
      </c>
      <c r="AC21" t="s">
        <v>446</v>
      </c>
      <c r="AD21" t="s">
        <v>447</v>
      </c>
      <c r="AE21" t="s">
        <v>448</v>
      </c>
      <c r="AF21" t="s">
        <v>333</v>
      </c>
      <c r="AG21" t="s">
        <v>449</v>
      </c>
      <c r="AQ21">
        <v>50</v>
      </c>
    </row>
    <row r="22" spans="1:43">
      <c r="A22">
        <v>2142</v>
      </c>
      <c r="B22" t="s">
        <v>450</v>
      </c>
      <c r="C22" t="s">
        <v>451</v>
      </c>
      <c r="D22" t="s">
        <v>452</v>
      </c>
      <c r="E22" t="s">
        <v>324</v>
      </c>
      <c r="F22" t="s">
        <v>453</v>
      </c>
      <c r="G22" t="s">
        <v>454</v>
      </c>
      <c r="H22" t="s">
        <v>327</v>
      </c>
      <c r="I22" t="s">
        <v>346</v>
      </c>
      <c r="J22" t="s">
        <v>455</v>
      </c>
      <c r="M22" t="s">
        <v>329</v>
      </c>
      <c r="N22" t="s">
        <v>417</v>
      </c>
      <c r="P22">
        <v>36000000</v>
      </c>
      <c r="S22">
        <v>2000000</v>
      </c>
      <c r="U22" s="7">
        <v>45675</v>
      </c>
      <c r="V22" s="7">
        <v>46039</v>
      </c>
      <c r="W22" t="s">
        <v>17</v>
      </c>
      <c r="Y22" s="7">
        <v>46015</v>
      </c>
      <c r="Z22">
        <v>24</v>
      </c>
      <c r="AA22">
        <v>1</v>
      </c>
      <c r="AB22">
        <v>2026</v>
      </c>
      <c r="AC22" t="s">
        <v>456</v>
      </c>
      <c r="AD22" t="s">
        <v>457</v>
      </c>
      <c r="AE22" t="s">
        <v>458</v>
      </c>
      <c r="AF22" t="s">
        <v>333</v>
      </c>
      <c r="AG22" t="s">
        <v>459</v>
      </c>
      <c r="AQ22">
        <v>46</v>
      </c>
    </row>
    <row r="23" spans="1:43">
      <c r="A23">
        <v>2112</v>
      </c>
      <c r="B23" t="s">
        <v>460</v>
      </c>
      <c r="C23" t="s">
        <v>461</v>
      </c>
      <c r="D23" t="s">
        <v>462</v>
      </c>
      <c r="E23" t="s">
        <v>324</v>
      </c>
      <c r="G23" t="s">
        <v>463</v>
      </c>
      <c r="H23" t="s">
        <v>464</v>
      </c>
      <c r="I23" t="s">
        <v>243</v>
      </c>
      <c r="J23" t="s">
        <v>465</v>
      </c>
      <c r="K23" t="s">
        <v>466</v>
      </c>
      <c r="L23">
        <v>0.995</v>
      </c>
      <c r="M23" t="s">
        <v>467</v>
      </c>
      <c r="N23" t="s">
        <v>468</v>
      </c>
      <c r="P23">
        <v>17329428</v>
      </c>
      <c r="S23">
        <v>2972976</v>
      </c>
      <c r="U23" s="7">
        <v>45669</v>
      </c>
      <c r="V23" s="7">
        <v>46033</v>
      </c>
      <c r="W23" t="s">
        <v>17</v>
      </c>
      <c r="Y23" s="7">
        <v>46015</v>
      </c>
      <c r="Z23">
        <v>18</v>
      </c>
      <c r="AA23">
        <v>1</v>
      </c>
      <c r="AB23">
        <v>2026</v>
      </c>
      <c r="AC23" t="s">
        <v>469</v>
      </c>
      <c r="AD23" t="s">
        <v>470</v>
      </c>
      <c r="AE23">
        <v>4500024348</v>
      </c>
      <c r="AF23" t="s">
        <v>471</v>
      </c>
      <c r="AG23" t="s">
        <v>472</v>
      </c>
      <c r="AQ23">
        <v>19</v>
      </c>
    </row>
    <row r="24" spans="1:43">
      <c r="A24">
        <v>2105</v>
      </c>
      <c r="B24" t="s">
        <v>348</v>
      </c>
      <c r="C24" t="s">
        <v>473</v>
      </c>
      <c r="D24" t="s">
        <v>474</v>
      </c>
      <c r="E24" t="s">
        <v>324</v>
      </c>
      <c r="F24" t="s">
        <v>475</v>
      </c>
      <c r="G24" t="s">
        <v>476</v>
      </c>
      <c r="H24" t="s">
        <v>327</v>
      </c>
      <c r="I24" t="s">
        <v>242</v>
      </c>
      <c r="J24" t="s">
        <v>477</v>
      </c>
      <c r="K24" t="s">
        <v>478</v>
      </c>
      <c r="M24" t="s">
        <v>365</v>
      </c>
      <c r="N24" t="s">
        <v>362</v>
      </c>
      <c r="O24">
        <v>5000000</v>
      </c>
      <c r="P24">
        <v>60000000</v>
      </c>
      <c r="S24">
        <v>30536280</v>
      </c>
      <c r="U24" s="7">
        <v>45673</v>
      </c>
      <c r="V24" s="7">
        <v>46037</v>
      </c>
      <c r="W24" t="s">
        <v>17</v>
      </c>
      <c r="Y24" s="7">
        <v>46015</v>
      </c>
      <c r="Z24">
        <v>22</v>
      </c>
      <c r="AA24">
        <v>1</v>
      </c>
      <c r="AB24">
        <v>2026</v>
      </c>
      <c r="AC24" t="s">
        <v>479</v>
      </c>
      <c r="AD24" t="s">
        <v>480</v>
      </c>
      <c r="AE24" t="s">
        <v>481</v>
      </c>
      <c r="AF24" t="s">
        <v>356</v>
      </c>
      <c r="AG24" t="s">
        <v>482</v>
      </c>
    </row>
    <row r="25" spans="1:43">
      <c r="A25">
        <v>2099</v>
      </c>
      <c r="B25" t="s">
        <v>348</v>
      </c>
      <c r="C25" t="s">
        <v>483</v>
      </c>
      <c r="D25" t="s">
        <v>474</v>
      </c>
      <c r="E25" t="s">
        <v>324</v>
      </c>
      <c r="G25" t="s">
        <v>484</v>
      </c>
      <c r="H25" t="s">
        <v>327</v>
      </c>
      <c r="I25" t="s">
        <v>242</v>
      </c>
      <c r="J25" t="s">
        <v>485</v>
      </c>
      <c r="K25" t="s">
        <v>486</v>
      </c>
      <c r="M25" t="s">
        <v>365</v>
      </c>
      <c r="N25" t="s">
        <v>406</v>
      </c>
      <c r="O25">
        <v>3500000</v>
      </c>
      <c r="P25">
        <v>54000000</v>
      </c>
      <c r="S25">
        <v>17479944</v>
      </c>
      <c r="U25" s="7">
        <v>45679</v>
      </c>
      <c r="V25" s="7">
        <v>46043</v>
      </c>
      <c r="W25" t="s">
        <v>17</v>
      </c>
      <c r="Y25" s="7">
        <v>46015</v>
      </c>
      <c r="Z25">
        <v>28</v>
      </c>
      <c r="AA25">
        <v>1</v>
      </c>
      <c r="AB25">
        <v>2026</v>
      </c>
      <c r="AC25" t="s">
        <v>479</v>
      </c>
      <c r="AD25" t="s">
        <v>487</v>
      </c>
      <c r="AE25" t="s">
        <v>488</v>
      </c>
      <c r="AF25" t="s">
        <v>356</v>
      </c>
      <c r="AG25" t="s">
        <v>482</v>
      </c>
    </row>
    <row r="26" spans="1:43">
      <c r="A26">
        <v>2036</v>
      </c>
      <c r="B26" t="s">
        <v>71</v>
      </c>
      <c r="C26" t="s">
        <v>489</v>
      </c>
      <c r="D26" t="s">
        <v>490</v>
      </c>
      <c r="E26" t="s">
        <v>324</v>
      </c>
      <c r="F26" t="s">
        <v>491</v>
      </c>
      <c r="G26" t="s">
        <v>492</v>
      </c>
      <c r="H26" t="s">
        <v>327</v>
      </c>
      <c r="I26" t="s">
        <v>242</v>
      </c>
      <c r="J26" t="s">
        <v>493</v>
      </c>
      <c r="M26" t="s">
        <v>365</v>
      </c>
      <c r="N26" t="s">
        <v>494</v>
      </c>
      <c r="P26">
        <v>155730480</v>
      </c>
      <c r="S26">
        <v>18000000</v>
      </c>
      <c r="U26" s="7">
        <v>45667</v>
      </c>
      <c r="V26" s="7">
        <v>46031</v>
      </c>
      <c r="W26" t="s">
        <v>17</v>
      </c>
      <c r="Y26" s="7">
        <v>46015</v>
      </c>
      <c r="Z26">
        <v>16</v>
      </c>
      <c r="AA26">
        <v>1</v>
      </c>
      <c r="AB26">
        <v>2026</v>
      </c>
      <c r="AC26">
        <v>4500022157</v>
      </c>
      <c r="AD26" t="s">
        <v>495</v>
      </c>
      <c r="AE26" t="s">
        <v>496</v>
      </c>
      <c r="AF26" t="s">
        <v>333</v>
      </c>
      <c r="AG26" t="s">
        <v>497</v>
      </c>
      <c r="AP26" t="s">
        <v>498</v>
      </c>
    </row>
    <row r="27" spans="1:43" ht="115.2">
      <c r="A27">
        <v>1313</v>
      </c>
      <c r="B27" t="s">
        <v>184</v>
      </c>
      <c r="C27" t="s">
        <v>499</v>
      </c>
      <c r="D27" s="464" t="s">
        <v>500</v>
      </c>
      <c r="E27" t="s">
        <v>324</v>
      </c>
      <c r="G27" t="s">
        <v>501</v>
      </c>
      <c r="H27" t="s">
        <v>327</v>
      </c>
      <c r="I27" t="s">
        <v>346</v>
      </c>
      <c r="J27" t="s">
        <v>185</v>
      </c>
      <c r="P27">
        <v>276000000</v>
      </c>
      <c r="S27">
        <v>60000000</v>
      </c>
      <c r="U27" s="7">
        <v>45314</v>
      </c>
      <c r="V27" s="7">
        <v>46044</v>
      </c>
      <c r="W27" t="s">
        <v>17</v>
      </c>
      <c r="Y27" s="7">
        <v>46015</v>
      </c>
      <c r="Z27">
        <v>29</v>
      </c>
      <c r="AA27">
        <v>1</v>
      </c>
      <c r="AB27">
        <v>2026</v>
      </c>
      <c r="AC27" s="464" t="s">
        <v>502</v>
      </c>
      <c r="AD27">
        <v>2632</v>
      </c>
      <c r="AE27">
        <v>4500022553</v>
      </c>
      <c r="AF27" t="s">
        <v>339</v>
      </c>
      <c r="AG27" t="s">
        <v>503</v>
      </c>
      <c r="AH27" t="s">
        <v>504</v>
      </c>
      <c r="AI27" t="s">
        <v>115</v>
      </c>
      <c r="AJ27">
        <v>178</v>
      </c>
      <c r="AK27" t="s">
        <v>505</v>
      </c>
      <c r="AL27" t="s">
        <v>506</v>
      </c>
      <c r="AM27" t="s">
        <v>507</v>
      </c>
      <c r="AN27" t="s">
        <v>508</v>
      </c>
      <c r="AP27" t="s">
        <v>509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7E5B4-F19C-4F0C-A93D-D087657CA4A0}">
  <dimension ref="A1:G50"/>
  <sheetViews>
    <sheetView workbookViewId="0">
      <selection activeCell="C17" sqref="C17:D17"/>
    </sheetView>
  </sheetViews>
  <sheetFormatPr defaultRowHeight="14.4"/>
  <cols>
    <col min="1" max="1" width="23.6640625" bestFit="1" customWidth="1"/>
    <col min="2" max="2" width="23.44140625" bestFit="1" customWidth="1"/>
    <col min="3" max="3" width="21.109375" bestFit="1" customWidth="1"/>
    <col min="4" max="5" width="20" bestFit="1" customWidth="1"/>
    <col min="6" max="6" width="16.109375" bestFit="1" customWidth="1"/>
    <col min="7" max="7" width="21.109375" bestFit="1" customWidth="1"/>
    <col min="8" max="9" width="17.5546875" bestFit="1" customWidth="1"/>
    <col min="10" max="10" width="13.88671875" bestFit="1" customWidth="1"/>
    <col min="11" max="11" width="12.33203125" bestFit="1" customWidth="1"/>
    <col min="12" max="12" width="10.5546875" bestFit="1" customWidth="1"/>
    <col min="13" max="13" width="11.109375" bestFit="1" customWidth="1"/>
    <col min="14" max="14" width="13.88671875" bestFit="1" customWidth="1"/>
    <col min="15" max="15" width="12.33203125" bestFit="1" customWidth="1"/>
    <col min="16" max="16" width="16.109375" bestFit="1" customWidth="1"/>
    <col min="17" max="17" width="10.5546875" bestFit="1" customWidth="1"/>
    <col min="18" max="18" width="11.109375" bestFit="1" customWidth="1"/>
    <col min="19" max="19" width="11.6640625" bestFit="1" customWidth="1"/>
    <col min="20" max="20" width="13.88671875" bestFit="1" customWidth="1"/>
    <col min="21" max="21" width="12.33203125" bestFit="1" customWidth="1"/>
    <col min="22" max="22" width="16.109375" bestFit="1" customWidth="1"/>
    <col min="23" max="23" width="10.5546875" bestFit="1" customWidth="1"/>
    <col min="24" max="24" width="11.109375" bestFit="1" customWidth="1"/>
    <col min="25" max="25" width="13.88671875" bestFit="1" customWidth="1"/>
    <col min="26" max="26" width="12.33203125" bestFit="1" customWidth="1"/>
    <col min="27" max="27" width="16.109375" bestFit="1" customWidth="1"/>
    <col min="28" max="28" width="10.5546875" bestFit="1" customWidth="1"/>
    <col min="29" max="29" width="11.109375" bestFit="1" customWidth="1"/>
    <col min="30" max="30" width="13.88671875" bestFit="1" customWidth="1"/>
    <col min="31" max="31" width="16.109375" bestFit="1" customWidth="1"/>
    <col min="32" max="32" width="10.5546875" bestFit="1" customWidth="1"/>
    <col min="33" max="33" width="11.109375" bestFit="1" customWidth="1"/>
    <col min="34" max="34" width="16.109375" bestFit="1" customWidth="1"/>
    <col min="35" max="35" width="10.5546875" bestFit="1" customWidth="1"/>
    <col min="36" max="36" width="16.109375" bestFit="1" customWidth="1"/>
    <col min="37" max="37" width="10.5546875" bestFit="1" customWidth="1"/>
    <col min="38" max="38" width="11.109375" bestFit="1" customWidth="1"/>
    <col min="39" max="39" width="16.109375" bestFit="1" customWidth="1"/>
    <col min="40" max="40" width="10.5546875" bestFit="1" customWidth="1"/>
    <col min="41" max="41" width="11.109375" bestFit="1" customWidth="1"/>
    <col min="42" max="42" width="11.6640625" bestFit="1" customWidth="1"/>
    <col min="43" max="43" width="13.88671875" bestFit="1" customWidth="1"/>
    <col min="44" max="44" width="14.33203125" bestFit="1" customWidth="1"/>
    <col min="45" max="45" width="12.33203125" bestFit="1" customWidth="1"/>
    <col min="46" max="46" width="14" bestFit="1" customWidth="1"/>
    <col min="47" max="47" width="17.5546875" bestFit="1" customWidth="1"/>
    <col min="48" max="102" width="8.6640625" bestFit="1" customWidth="1"/>
    <col min="103" max="436" width="9.88671875" bestFit="1" customWidth="1"/>
    <col min="437" max="549" width="10.88671875" bestFit="1" customWidth="1"/>
    <col min="550" max="553" width="12" bestFit="1" customWidth="1"/>
    <col min="554" max="554" width="1.88671875" bestFit="1" customWidth="1"/>
    <col min="555" max="555" width="8.88671875" bestFit="1" customWidth="1"/>
    <col min="556" max="556" width="17.5546875" bestFit="1" customWidth="1"/>
  </cols>
  <sheetData>
    <row r="1" spans="1:7">
      <c r="A1" s="18" t="s">
        <v>16</v>
      </c>
      <c r="B1" t="s">
        <v>17</v>
      </c>
    </row>
    <row r="3" spans="1:7">
      <c r="A3" s="18" t="s">
        <v>510</v>
      </c>
      <c r="C3" s="18" t="s">
        <v>18</v>
      </c>
    </row>
    <row r="4" spans="1:7">
      <c r="A4" s="18" t="s">
        <v>23</v>
      </c>
      <c r="B4" s="18" t="s">
        <v>21</v>
      </c>
      <c r="C4" t="s">
        <v>241</v>
      </c>
      <c r="D4" t="s">
        <v>242</v>
      </c>
      <c r="E4" t="s">
        <v>243</v>
      </c>
      <c r="F4" t="s">
        <v>511</v>
      </c>
      <c r="G4" t="s">
        <v>512</v>
      </c>
    </row>
    <row r="5" spans="1:7">
      <c r="A5">
        <v>2024</v>
      </c>
      <c r="B5">
        <v>1</v>
      </c>
      <c r="C5" s="473">
        <v>317400000</v>
      </c>
      <c r="D5" s="473">
        <v>54000000</v>
      </c>
      <c r="E5" s="473"/>
      <c r="F5" s="473"/>
      <c r="G5" s="473">
        <v>371400000</v>
      </c>
    </row>
    <row r="6" spans="1:7">
      <c r="B6">
        <v>2</v>
      </c>
      <c r="C6" s="473">
        <v>258000000</v>
      </c>
      <c r="D6" s="473">
        <v>48000000</v>
      </c>
      <c r="E6" s="473"/>
      <c r="F6" s="473"/>
      <c r="G6" s="473">
        <v>306000000</v>
      </c>
    </row>
    <row r="7" spans="1:7">
      <c r="B7">
        <v>3</v>
      </c>
      <c r="C7" s="473">
        <v>482910704</v>
      </c>
      <c r="D7" s="473">
        <v>666000000</v>
      </c>
      <c r="E7" s="473"/>
      <c r="F7" s="473"/>
      <c r="G7" s="473">
        <v>1148910704</v>
      </c>
    </row>
    <row r="8" spans="1:7">
      <c r="B8">
        <v>4</v>
      </c>
      <c r="C8" s="473">
        <v>255871339</v>
      </c>
      <c r="D8" s="473"/>
      <c r="E8" s="473">
        <v>66000000</v>
      </c>
      <c r="F8" s="473"/>
      <c r="G8" s="473">
        <v>321871339</v>
      </c>
    </row>
    <row r="9" spans="1:7">
      <c r="B9">
        <v>5</v>
      </c>
      <c r="C9" s="473">
        <v>183949677</v>
      </c>
      <c r="D9" s="473"/>
      <c r="E9" s="473"/>
      <c r="F9" s="473"/>
      <c r="G9" s="473">
        <v>183949677</v>
      </c>
    </row>
    <row r="10" spans="1:7">
      <c r="B10">
        <v>6</v>
      </c>
      <c r="C10" s="473">
        <v>148000000</v>
      </c>
      <c r="D10" s="473">
        <v>36000000</v>
      </c>
      <c r="E10" s="473">
        <v>111825000</v>
      </c>
      <c r="F10" s="473"/>
      <c r="G10" s="473">
        <v>295825000</v>
      </c>
    </row>
    <row r="11" spans="1:7">
      <c r="B11">
        <v>7</v>
      </c>
      <c r="C11" s="473">
        <v>757735628</v>
      </c>
      <c r="D11" s="473">
        <v>125040000</v>
      </c>
      <c r="E11" s="473">
        <v>105153000</v>
      </c>
      <c r="F11" s="473"/>
      <c r="G11" s="473">
        <v>987928628</v>
      </c>
    </row>
    <row r="12" spans="1:7">
      <c r="B12">
        <v>8</v>
      </c>
      <c r="C12" s="473">
        <v>655048118</v>
      </c>
      <c r="D12" s="473">
        <v>144000000</v>
      </c>
      <c r="E12" s="473">
        <v>986119380</v>
      </c>
      <c r="F12" s="473"/>
      <c r="G12" s="473">
        <v>1785167498</v>
      </c>
    </row>
    <row r="13" spans="1:7">
      <c r="B13">
        <v>9</v>
      </c>
      <c r="C13" s="473">
        <v>782062320</v>
      </c>
      <c r="D13" s="473">
        <v>408452296</v>
      </c>
      <c r="E13" s="473">
        <v>630203541</v>
      </c>
      <c r="F13" s="473"/>
      <c r="G13" s="473">
        <v>1820718157</v>
      </c>
    </row>
    <row r="14" spans="1:7">
      <c r="B14">
        <v>10</v>
      </c>
      <c r="C14" s="473">
        <v>489445856</v>
      </c>
      <c r="D14" s="473">
        <v>317490000</v>
      </c>
      <c r="E14" s="473">
        <v>958620026</v>
      </c>
      <c r="F14" s="473"/>
      <c r="G14" s="473">
        <v>1765555882</v>
      </c>
    </row>
    <row r="15" spans="1:7">
      <c r="B15">
        <v>11</v>
      </c>
      <c r="C15" s="473">
        <v>557150890</v>
      </c>
      <c r="D15" s="473">
        <v>216000000</v>
      </c>
      <c r="E15" s="473">
        <v>622231300</v>
      </c>
      <c r="F15" s="473"/>
      <c r="G15" s="473">
        <v>1395382190</v>
      </c>
    </row>
    <row r="16" spans="1:7">
      <c r="B16">
        <v>12</v>
      </c>
      <c r="C16" s="473">
        <v>1106218445</v>
      </c>
      <c r="D16" s="473">
        <v>2713569894</v>
      </c>
      <c r="E16" s="473">
        <v>1032100030</v>
      </c>
      <c r="F16" s="473"/>
      <c r="G16" s="473">
        <v>4851888369</v>
      </c>
    </row>
    <row r="17" spans="1:7">
      <c r="A17" t="s">
        <v>513</v>
      </c>
      <c r="C17" s="473">
        <v>5993792977</v>
      </c>
      <c r="D17" s="473">
        <v>4728552190</v>
      </c>
      <c r="E17" s="473">
        <v>4512252277</v>
      </c>
      <c r="F17" s="473"/>
      <c r="G17" s="473">
        <v>15234597444</v>
      </c>
    </row>
    <row r="18" spans="1:7">
      <c r="A18">
        <v>2025</v>
      </c>
      <c r="B18">
        <v>1</v>
      </c>
      <c r="C18" s="473">
        <v>1939189325</v>
      </c>
      <c r="D18" s="473">
        <v>1886900000</v>
      </c>
      <c r="E18" s="473">
        <v>452989776</v>
      </c>
      <c r="F18" s="473"/>
      <c r="G18" s="473">
        <v>4279079101</v>
      </c>
    </row>
    <row r="19" spans="1:7">
      <c r="B19">
        <v>2</v>
      </c>
      <c r="C19" s="473">
        <v>246638280</v>
      </c>
      <c r="D19" s="473">
        <v>153600000</v>
      </c>
      <c r="E19" s="473">
        <v>126600000</v>
      </c>
      <c r="F19" s="473"/>
      <c r="G19" s="473">
        <v>526838280</v>
      </c>
    </row>
    <row r="20" spans="1:7">
      <c r="B20">
        <v>3</v>
      </c>
      <c r="C20" s="473">
        <v>638780007</v>
      </c>
      <c r="D20" s="473">
        <v>242247500</v>
      </c>
      <c r="E20" s="473">
        <v>210900037</v>
      </c>
      <c r="F20" s="473"/>
      <c r="G20" s="473">
        <v>1091927544</v>
      </c>
    </row>
    <row r="21" spans="1:7">
      <c r="B21">
        <v>4</v>
      </c>
      <c r="C21" s="473">
        <v>77146000</v>
      </c>
      <c r="D21" s="473">
        <v>105000000</v>
      </c>
      <c r="E21" s="473">
        <v>528000010</v>
      </c>
      <c r="F21" s="473"/>
      <c r="G21" s="473">
        <v>710146010</v>
      </c>
    </row>
    <row r="22" spans="1:7">
      <c r="B22">
        <v>5</v>
      </c>
      <c r="C22" s="473">
        <v>198170100</v>
      </c>
      <c r="D22" s="473">
        <v>625780000</v>
      </c>
      <c r="E22" s="473">
        <v>181172592</v>
      </c>
      <c r="F22" s="473"/>
      <c r="G22" s="473">
        <v>1005122692</v>
      </c>
    </row>
    <row r="23" spans="1:7">
      <c r="B23">
        <v>6</v>
      </c>
      <c r="C23" s="473">
        <v>305176720</v>
      </c>
      <c r="D23" s="473">
        <v>247900000</v>
      </c>
      <c r="E23" s="473">
        <v>1111020000</v>
      </c>
      <c r="F23" s="473"/>
      <c r="G23" s="473">
        <v>1664096720</v>
      </c>
    </row>
    <row r="24" spans="1:7">
      <c r="B24">
        <v>7</v>
      </c>
      <c r="C24" s="473">
        <v>996666598</v>
      </c>
      <c r="D24" s="473">
        <v>101600000</v>
      </c>
      <c r="E24" s="473">
        <v>688560003</v>
      </c>
      <c r="F24" s="473"/>
      <c r="G24" s="473">
        <v>1786826601</v>
      </c>
    </row>
    <row r="25" spans="1:7">
      <c r="B25">
        <v>8</v>
      </c>
      <c r="C25" s="473">
        <v>13100300</v>
      </c>
      <c r="D25" s="473">
        <v>74500000</v>
      </c>
      <c r="E25" s="473">
        <v>692438375</v>
      </c>
      <c r="F25" s="473"/>
      <c r="G25" s="473">
        <v>780038675</v>
      </c>
    </row>
    <row r="26" spans="1:7">
      <c r="B26">
        <v>9</v>
      </c>
      <c r="C26" s="473">
        <v>93000000</v>
      </c>
      <c r="D26" s="473">
        <v>66000000</v>
      </c>
      <c r="E26" s="473">
        <v>376050000</v>
      </c>
      <c r="F26" s="473"/>
      <c r="G26" s="473">
        <v>535050000</v>
      </c>
    </row>
    <row r="27" spans="1:7">
      <c r="B27">
        <v>10</v>
      </c>
      <c r="C27" s="473">
        <v>30107581</v>
      </c>
      <c r="D27" s="473">
        <v>6000000</v>
      </c>
      <c r="E27" s="473">
        <v>4620000</v>
      </c>
      <c r="F27" s="473"/>
      <c r="G27" s="473">
        <v>40727581</v>
      </c>
    </row>
    <row r="28" spans="1:7">
      <c r="B28">
        <v>11</v>
      </c>
      <c r="C28" s="473">
        <v>161370395</v>
      </c>
      <c r="D28" s="473"/>
      <c r="E28" s="473"/>
      <c r="F28" s="473"/>
      <c r="G28" s="473">
        <v>161370395</v>
      </c>
    </row>
    <row r="29" spans="1:7">
      <c r="B29">
        <v>12</v>
      </c>
      <c r="C29" s="473"/>
      <c r="D29" s="473"/>
      <c r="E29" s="473"/>
      <c r="F29" s="473"/>
      <c r="G29" s="473"/>
    </row>
    <row r="30" spans="1:7">
      <c r="A30" t="s">
        <v>514</v>
      </c>
      <c r="C30" s="473">
        <v>4699345306</v>
      </c>
      <c r="D30" s="473">
        <v>3509527500</v>
      </c>
      <c r="E30" s="473">
        <v>4372350793</v>
      </c>
      <c r="F30" s="473"/>
      <c r="G30" s="473">
        <v>12581223599</v>
      </c>
    </row>
    <row r="31" spans="1:7">
      <c r="A31">
        <v>2026</v>
      </c>
      <c r="B31">
        <v>1</v>
      </c>
      <c r="C31" s="473">
        <v>60000000</v>
      </c>
      <c r="D31" s="473"/>
      <c r="E31" s="473"/>
      <c r="F31" s="473"/>
      <c r="G31" s="473">
        <v>60000000</v>
      </c>
    </row>
    <row r="32" spans="1:7">
      <c r="B32">
        <v>3</v>
      </c>
      <c r="C32" s="473"/>
      <c r="D32" s="473"/>
      <c r="E32" s="473"/>
      <c r="F32" s="473"/>
      <c r="G32" s="473"/>
    </row>
    <row r="33" spans="1:7">
      <c r="B33">
        <v>6</v>
      </c>
      <c r="C33" s="473"/>
      <c r="D33" s="473">
        <v>30000000</v>
      </c>
      <c r="E33" s="473"/>
      <c r="F33" s="473"/>
      <c r="G33" s="473">
        <v>30000000</v>
      </c>
    </row>
    <row r="34" spans="1:7">
      <c r="B34">
        <v>7</v>
      </c>
      <c r="C34" s="473">
        <v>50400000</v>
      </c>
      <c r="D34" s="473"/>
      <c r="E34" s="473"/>
      <c r="F34" s="473"/>
      <c r="G34" s="473">
        <v>50400000</v>
      </c>
    </row>
    <row r="35" spans="1:7">
      <c r="B35">
        <v>9</v>
      </c>
      <c r="C35" s="473">
        <v>103680000</v>
      </c>
      <c r="D35" s="473"/>
      <c r="E35" s="473"/>
      <c r="F35" s="473"/>
      <c r="G35" s="473">
        <v>103680000</v>
      </c>
    </row>
    <row r="36" spans="1:7">
      <c r="B36">
        <v>10</v>
      </c>
      <c r="C36" s="473"/>
      <c r="D36" s="473"/>
      <c r="E36" s="473"/>
      <c r="F36" s="473"/>
      <c r="G36" s="473"/>
    </row>
    <row r="37" spans="1:7">
      <c r="B37">
        <v>12</v>
      </c>
      <c r="C37" s="473"/>
      <c r="D37" s="473">
        <v>80640000</v>
      </c>
      <c r="E37" s="473"/>
      <c r="F37" s="473"/>
      <c r="G37" s="473">
        <v>80640000</v>
      </c>
    </row>
    <row r="38" spans="1:7">
      <c r="A38" t="s">
        <v>515</v>
      </c>
      <c r="C38" s="473">
        <v>214080000</v>
      </c>
      <c r="D38" s="473">
        <v>110640000</v>
      </c>
      <c r="E38" s="473"/>
      <c r="F38" s="473"/>
      <c r="G38" s="473">
        <v>324720000</v>
      </c>
    </row>
    <row r="39" spans="1:7">
      <c r="A39">
        <v>2027</v>
      </c>
      <c r="B39">
        <v>2</v>
      </c>
      <c r="C39" s="473">
        <v>169145640</v>
      </c>
      <c r="D39" s="473"/>
      <c r="E39" s="473"/>
      <c r="F39" s="473"/>
      <c r="G39" s="473">
        <v>169145640</v>
      </c>
    </row>
    <row r="40" spans="1:7">
      <c r="B40">
        <v>4</v>
      </c>
      <c r="C40" s="473">
        <v>336720000</v>
      </c>
      <c r="D40" s="473"/>
      <c r="E40" s="473"/>
      <c r="F40" s="473"/>
      <c r="G40" s="473">
        <v>336720000</v>
      </c>
    </row>
    <row r="41" spans="1:7">
      <c r="B41">
        <v>6</v>
      </c>
      <c r="C41" s="473"/>
      <c r="D41" s="473"/>
      <c r="E41" s="473"/>
      <c r="F41" s="473"/>
      <c r="G41" s="473"/>
    </row>
    <row r="42" spans="1:7">
      <c r="A42" t="s">
        <v>516</v>
      </c>
      <c r="C42" s="473">
        <v>505865640</v>
      </c>
      <c r="D42" s="473"/>
      <c r="E42" s="473"/>
      <c r="F42" s="473"/>
      <c r="G42" s="473">
        <v>505865640</v>
      </c>
    </row>
    <row r="43" spans="1:7">
      <c r="A43">
        <v>2028</v>
      </c>
      <c r="B43">
        <v>5</v>
      </c>
      <c r="C43" s="473"/>
      <c r="D43" s="473"/>
      <c r="E43" s="473"/>
      <c r="F43" s="473"/>
      <c r="G43" s="473"/>
    </row>
    <row r="44" spans="1:7">
      <c r="B44">
        <v>6</v>
      </c>
      <c r="C44" s="473"/>
      <c r="D44" s="473"/>
      <c r="E44" s="473"/>
      <c r="F44" s="473"/>
      <c r="G44" s="473"/>
    </row>
    <row r="45" spans="1:7">
      <c r="B45">
        <v>8</v>
      </c>
      <c r="C45" s="473"/>
      <c r="D45" s="473"/>
      <c r="E45" s="473"/>
      <c r="F45" s="473"/>
      <c r="G45" s="473"/>
    </row>
    <row r="46" spans="1:7">
      <c r="A46" t="s">
        <v>517</v>
      </c>
      <c r="C46" s="473"/>
      <c r="D46" s="473"/>
      <c r="E46" s="473"/>
      <c r="F46" s="473"/>
      <c r="G46" s="473"/>
    </row>
    <row r="47" spans="1:7">
      <c r="A47">
        <v>2029</v>
      </c>
      <c r="B47">
        <v>3</v>
      </c>
      <c r="C47" s="473">
        <v>123059078</v>
      </c>
      <c r="D47" s="473"/>
      <c r="E47" s="473"/>
      <c r="F47" s="473"/>
      <c r="G47" s="473">
        <v>123059078</v>
      </c>
    </row>
    <row r="48" spans="1:7">
      <c r="B48">
        <v>9</v>
      </c>
      <c r="C48" s="473"/>
      <c r="D48" s="473"/>
      <c r="E48" s="473"/>
      <c r="F48" s="473"/>
      <c r="G48" s="473"/>
    </row>
    <row r="49" spans="1:7">
      <c r="A49" t="s">
        <v>518</v>
      </c>
      <c r="C49" s="473">
        <v>123059078</v>
      </c>
      <c r="D49" s="473"/>
      <c r="E49" s="473"/>
      <c r="F49" s="473"/>
      <c r="G49" s="473">
        <v>123059078</v>
      </c>
    </row>
    <row r="50" spans="1:7">
      <c r="A50" t="s">
        <v>512</v>
      </c>
      <c r="C50" s="473">
        <v>11536143001</v>
      </c>
      <c r="D50" s="473">
        <v>8348719690</v>
      </c>
      <c r="E50" s="473">
        <v>8884603070</v>
      </c>
      <c r="F50" s="473"/>
      <c r="G50" s="473">
        <v>28769465761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U3127"/>
  <sheetViews>
    <sheetView tabSelected="1" topLeftCell="B1" zoomScale="85" zoomScaleNormal="85" workbookViewId="0">
      <selection activeCell="J2784" sqref="J2784"/>
    </sheetView>
  </sheetViews>
  <sheetFormatPr defaultColWidth="14.44140625" defaultRowHeight="15" customHeight="1"/>
  <cols>
    <col min="1" max="1" width="8.109375" style="26" customWidth="1"/>
    <col min="2" max="2" width="48.109375" style="153" customWidth="1"/>
    <col min="3" max="4" width="48.44140625" style="117" customWidth="1"/>
    <col min="5" max="5" width="45.5546875" style="118" customWidth="1"/>
    <col min="6" max="6" width="39.6640625" style="37" customWidth="1"/>
    <col min="7" max="7" width="98.5546875" style="37" customWidth="1"/>
    <col min="8" max="8" width="21.6640625" style="37" customWidth="1"/>
    <col min="9" max="9" width="27" style="37" customWidth="1"/>
    <col min="10" max="10" width="41.6640625" style="117" customWidth="1"/>
    <col min="11" max="11" width="32.5546875" style="117" customWidth="1"/>
    <col min="12" max="12" width="11.44140625" style="118" customWidth="1"/>
    <col min="13" max="13" width="30.6640625" style="118" customWidth="1"/>
    <col min="14" max="14" width="24.33203125" style="37" customWidth="1"/>
    <col min="15" max="15" width="33" style="119" customWidth="1"/>
    <col min="16" max="17" width="33" style="118" customWidth="1"/>
    <col min="18" max="18" width="33" style="120" customWidth="1"/>
    <col min="19" max="19" width="33" style="121" customWidth="1"/>
    <col min="20" max="20" width="14.44140625" style="122" customWidth="1"/>
    <col min="21" max="21" width="19.5546875" style="353" customWidth="1"/>
    <col min="22" max="22" width="19.88671875" style="353" bestFit="1" customWidth="1"/>
    <col min="23" max="25" width="16.44140625" style="118" customWidth="1"/>
    <col min="26" max="26" width="19.33203125" style="118" customWidth="1"/>
    <col min="27" max="27" width="18.6640625" style="118" customWidth="1"/>
    <col min="28" max="28" width="18.6640625" style="117" customWidth="1"/>
    <col min="29" max="29" width="64.109375" style="117" customWidth="1"/>
    <col min="30" max="30" width="43.33203125" style="117" customWidth="1"/>
    <col min="31" max="31" width="28.6640625" style="118" customWidth="1"/>
    <col min="32" max="32" width="28.6640625" style="123" customWidth="1"/>
    <col min="33" max="33" width="30.6640625" style="37" customWidth="1"/>
    <col min="34" max="34" width="26.88671875" style="117" customWidth="1"/>
    <col min="35" max="41" width="8.6640625" style="118" customWidth="1"/>
    <col min="42" max="44" width="8.6640625" style="37" customWidth="1"/>
    <col min="45" max="45" width="167.109375" style="117" customWidth="1"/>
    <col min="46" max="16384" width="14.44140625" style="37"/>
  </cols>
  <sheetData>
    <row r="1" spans="1:47" s="23" customFormat="1" ht="48.75" customHeight="1">
      <c r="A1" s="330" t="s">
        <v>284</v>
      </c>
      <c r="B1" s="320" t="s">
        <v>24</v>
      </c>
      <c r="C1" s="320" t="s">
        <v>286</v>
      </c>
      <c r="D1" s="457" t="s">
        <v>287</v>
      </c>
      <c r="E1" s="320" t="s">
        <v>288</v>
      </c>
      <c r="F1" s="320" t="s">
        <v>289</v>
      </c>
      <c r="G1" s="320" t="s">
        <v>290</v>
      </c>
      <c r="H1" s="320" t="s">
        <v>291</v>
      </c>
      <c r="I1" s="320" t="s">
        <v>18</v>
      </c>
      <c r="J1" s="320" t="s">
        <v>25</v>
      </c>
      <c r="K1" s="321" t="s">
        <v>292</v>
      </c>
      <c r="L1" s="320" t="s">
        <v>293</v>
      </c>
      <c r="M1" s="320" t="s">
        <v>294</v>
      </c>
      <c r="N1" s="322" t="s">
        <v>295</v>
      </c>
      <c r="O1" s="323" t="s">
        <v>296</v>
      </c>
      <c r="P1" s="324" t="s">
        <v>297</v>
      </c>
      <c r="Q1" s="325" t="s">
        <v>298</v>
      </c>
      <c r="R1" s="326" t="s">
        <v>299</v>
      </c>
      <c r="S1" s="327" t="s">
        <v>27</v>
      </c>
      <c r="T1" s="328" t="s">
        <v>300</v>
      </c>
      <c r="U1" s="352" t="s">
        <v>20</v>
      </c>
      <c r="V1" s="352" t="s">
        <v>301</v>
      </c>
      <c r="W1" s="320" t="s">
        <v>16</v>
      </c>
      <c r="X1" s="329" t="s">
        <v>302</v>
      </c>
      <c r="Y1" s="320" t="s">
        <v>303</v>
      </c>
      <c r="Z1" s="329" t="s">
        <v>304</v>
      </c>
      <c r="AA1" s="329" t="s">
        <v>21</v>
      </c>
      <c r="AB1" s="329" t="s">
        <v>23</v>
      </c>
      <c r="AC1" s="320" t="s">
        <v>305</v>
      </c>
      <c r="AD1" s="320" t="s">
        <v>306</v>
      </c>
      <c r="AE1" s="320" t="s">
        <v>307</v>
      </c>
      <c r="AF1" s="329" t="s">
        <v>308</v>
      </c>
      <c r="AG1" s="320" t="s">
        <v>309</v>
      </c>
      <c r="AH1" s="321" t="s">
        <v>310</v>
      </c>
      <c r="AI1" s="329" t="s">
        <v>311</v>
      </c>
      <c r="AJ1" s="329" t="s">
        <v>312</v>
      </c>
      <c r="AK1" s="329" t="s">
        <v>313</v>
      </c>
      <c r="AL1" s="329" t="s">
        <v>314</v>
      </c>
      <c r="AM1" s="329" t="s">
        <v>315</v>
      </c>
      <c r="AN1" s="329" t="s">
        <v>316</v>
      </c>
      <c r="AO1" s="329" t="s">
        <v>317</v>
      </c>
      <c r="AP1" s="329" t="s">
        <v>318</v>
      </c>
      <c r="AQ1" s="329" t="s">
        <v>319</v>
      </c>
      <c r="AR1" s="502" t="s">
        <v>519</v>
      </c>
      <c r="AS1" s="488" t="s">
        <v>320</v>
      </c>
      <c r="AT1" s="459" t="s">
        <v>520</v>
      </c>
    </row>
    <row r="2" spans="1:47" s="124" customFormat="1" ht="21.75" hidden="1" customHeight="1">
      <c r="A2" s="331">
        <v>1</v>
      </c>
      <c r="B2" s="28" t="s">
        <v>521</v>
      </c>
      <c r="C2" s="361" t="s">
        <v>522</v>
      </c>
      <c r="D2" s="435" t="s">
        <v>523</v>
      </c>
      <c r="E2" s="361" t="str">
        <f t="shared" ref="E2:E65" si="0">IF(Z2&lt;=0, "LOSS",IF(Z2&lt;=15, "CRITICAL",IF(Z2&lt;=30, "WARNING",IF(Z2&lt;60, "ATTENTION", "ON TRACK"))))</f>
        <v>LOSS</v>
      </c>
      <c r="F2" s="361"/>
      <c r="G2" s="361"/>
      <c r="H2" s="28" t="s">
        <v>261</v>
      </c>
      <c r="I2" s="361" t="s">
        <v>243</v>
      </c>
      <c r="J2" s="361" t="s">
        <v>524</v>
      </c>
      <c r="K2" s="361"/>
      <c r="L2" s="361"/>
      <c r="M2" s="361"/>
      <c r="N2" s="361"/>
      <c r="O2" s="362"/>
      <c r="P2" s="362">
        <v>556800000</v>
      </c>
      <c r="Q2" s="362"/>
      <c r="R2" s="362"/>
      <c r="S2" s="362">
        <v>460800000</v>
      </c>
      <c r="T2" s="361"/>
      <c r="U2" s="348">
        <v>44034</v>
      </c>
      <c r="V2" s="348">
        <v>44398</v>
      </c>
      <c r="W2" s="361" t="s">
        <v>250</v>
      </c>
      <c r="X2" s="361"/>
      <c r="Y2" s="361"/>
      <c r="Z2" s="361"/>
      <c r="AA2" s="361"/>
      <c r="AB2" s="361"/>
      <c r="AC2" s="361" t="s">
        <v>525</v>
      </c>
      <c r="AD2" s="363">
        <v>4500014678</v>
      </c>
      <c r="AE2" s="364"/>
      <c r="AF2" s="364"/>
      <c r="AG2" s="361"/>
      <c r="AH2" s="361"/>
      <c r="AI2" s="361"/>
      <c r="AJ2" s="361"/>
      <c r="AK2" s="361"/>
      <c r="AL2" s="361"/>
      <c r="AM2" s="361"/>
      <c r="AN2" s="361"/>
      <c r="AO2" s="361"/>
      <c r="AP2" s="361"/>
      <c r="AQ2" s="361"/>
      <c r="AR2" s="503"/>
      <c r="AS2" s="489"/>
      <c r="AT2" s="458"/>
      <c r="AU2" s="355"/>
    </row>
    <row r="3" spans="1:47" s="124" customFormat="1" ht="21.75" hidden="1" customHeight="1">
      <c r="A3" s="331">
        <v>2</v>
      </c>
      <c r="B3" s="361" t="s">
        <v>526</v>
      </c>
      <c r="C3" s="361" t="s">
        <v>527</v>
      </c>
      <c r="D3" s="436" t="s">
        <v>528</v>
      </c>
      <c r="E3" s="361" t="str">
        <f t="shared" si="0"/>
        <v>LOSS</v>
      </c>
      <c r="F3" s="361"/>
      <c r="G3" s="361"/>
      <c r="H3" s="361" t="s">
        <v>327</v>
      </c>
      <c r="I3" s="160" t="s">
        <v>346</v>
      </c>
      <c r="J3" s="361" t="s">
        <v>529</v>
      </c>
      <c r="K3" s="365"/>
      <c r="L3" s="361"/>
      <c r="M3" s="361"/>
      <c r="N3" s="361"/>
      <c r="O3" s="366"/>
      <c r="P3" s="366">
        <v>34800000</v>
      </c>
      <c r="Q3" s="366"/>
      <c r="R3" s="366"/>
      <c r="S3" s="366">
        <v>8750000</v>
      </c>
      <c r="T3" s="361"/>
      <c r="U3" s="367">
        <v>44169</v>
      </c>
      <c r="V3" s="367">
        <v>44504</v>
      </c>
      <c r="W3" s="361" t="s">
        <v>250</v>
      </c>
      <c r="X3" s="361"/>
      <c r="Y3" s="361"/>
      <c r="Z3" s="361"/>
      <c r="AA3" s="361"/>
      <c r="AB3" s="361"/>
      <c r="AC3" s="368"/>
      <c r="AD3" s="363">
        <v>4500014316</v>
      </c>
      <c r="AE3" s="364"/>
      <c r="AF3" s="364"/>
      <c r="AG3" s="361"/>
      <c r="AH3" s="365"/>
      <c r="AI3" s="361"/>
      <c r="AJ3" s="361"/>
      <c r="AK3" s="361"/>
      <c r="AL3" s="361"/>
      <c r="AM3" s="361"/>
      <c r="AN3" s="361"/>
      <c r="AO3" s="361"/>
      <c r="AP3" s="361"/>
      <c r="AQ3" s="361"/>
      <c r="AR3" s="503"/>
      <c r="AS3" s="489"/>
      <c r="AT3" s="160"/>
      <c r="AU3" s="355"/>
    </row>
    <row r="4" spans="1:47" s="124" customFormat="1" ht="21.75" hidden="1" customHeight="1">
      <c r="A4" s="331">
        <v>3</v>
      </c>
      <c r="B4" s="361" t="s">
        <v>530</v>
      </c>
      <c r="C4" s="361" t="s">
        <v>531</v>
      </c>
      <c r="D4" s="435" t="s">
        <v>532</v>
      </c>
      <c r="E4" s="361" t="str">
        <f t="shared" si="0"/>
        <v>LOSS</v>
      </c>
      <c r="F4" s="361"/>
      <c r="G4" s="361"/>
      <c r="H4" s="361" t="s">
        <v>327</v>
      </c>
      <c r="I4" s="160" t="s">
        <v>346</v>
      </c>
      <c r="J4" s="361" t="s">
        <v>533</v>
      </c>
      <c r="K4" s="365"/>
      <c r="L4" s="361"/>
      <c r="M4" s="361"/>
      <c r="N4" s="361"/>
      <c r="O4" s="366"/>
      <c r="P4" s="366">
        <v>120000000</v>
      </c>
      <c r="Q4" s="366"/>
      <c r="R4" s="366"/>
      <c r="S4" s="366">
        <v>70000000</v>
      </c>
      <c r="T4" s="361"/>
      <c r="U4" s="348">
        <v>44099</v>
      </c>
      <c r="V4" s="348">
        <v>44463</v>
      </c>
      <c r="W4" s="361" t="s">
        <v>250</v>
      </c>
      <c r="X4" s="361"/>
      <c r="Y4" s="361"/>
      <c r="Z4" s="361"/>
      <c r="AA4" s="361"/>
      <c r="AB4" s="361"/>
      <c r="AC4" s="361" t="s">
        <v>534</v>
      </c>
      <c r="AD4" s="363">
        <v>4500015016</v>
      </c>
      <c r="AE4" s="364"/>
      <c r="AF4" s="364"/>
      <c r="AG4" s="361"/>
      <c r="AH4" s="365"/>
      <c r="AI4" s="361"/>
      <c r="AJ4" s="361"/>
      <c r="AK4" s="361"/>
      <c r="AL4" s="361"/>
      <c r="AM4" s="361"/>
      <c r="AN4" s="361"/>
      <c r="AO4" s="361"/>
      <c r="AP4" s="361"/>
      <c r="AQ4" s="361"/>
      <c r="AR4" s="503"/>
      <c r="AS4" s="489"/>
      <c r="AT4" s="160"/>
      <c r="AU4" s="355"/>
    </row>
    <row r="5" spans="1:47" s="124" customFormat="1" ht="21.75" hidden="1" customHeight="1">
      <c r="A5" s="331">
        <v>4</v>
      </c>
      <c r="B5" s="361" t="s">
        <v>535</v>
      </c>
      <c r="C5" s="361" t="s">
        <v>536</v>
      </c>
      <c r="D5" s="436" t="s">
        <v>523</v>
      </c>
      <c r="E5" s="361" t="str">
        <f t="shared" si="0"/>
        <v>LOSS</v>
      </c>
      <c r="F5" s="361"/>
      <c r="G5" s="361"/>
      <c r="H5" s="361" t="s">
        <v>327</v>
      </c>
      <c r="I5" s="160" t="s">
        <v>346</v>
      </c>
      <c r="J5" s="361" t="s">
        <v>111</v>
      </c>
      <c r="K5" s="365"/>
      <c r="L5" s="361"/>
      <c r="M5" s="361"/>
      <c r="N5" s="361"/>
      <c r="O5" s="366"/>
      <c r="P5" s="366">
        <v>120000000</v>
      </c>
      <c r="Q5" s="366"/>
      <c r="R5" s="366"/>
      <c r="S5" s="366">
        <v>52656247</v>
      </c>
      <c r="T5" s="361"/>
      <c r="U5" s="367">
        <v>43862</v>
      </c>
      <c r="V5" s="367">
        <v>44197</v>
      </c>
      <c r="W5" s="361" t="s">
        <v>250</v>
      </c>
      <c r="X5" s="361"/>
      <c r="Y5" s="361"/>
      <c r="Z5" s="361"/>
      <c r="AA5" s="361"/>
      <c r="AB5" s="361"/>
      <c r="AC5" s="361" t="s">
        <v>537</v>
      </c>
      <c r="AD5" s="363">
        <v>4500013795</v>
      </c>
      <c r="AE5" s="364"/>
      <c r="AF5" s="364"/>
      <c r="AG5" s="361"/>
      <c r="AH5" s="365"/>
      <c r="AI5" s="361"/>
      <c r="AJ5" s="361"/>
      <c r="AK5" s="361"/>
      <c r="AL5" s="361"/>
      <c r="AM5" s="361"/>
      <c r="AN5" s="361"/>
      <c r="AO5" s="361"/>
      <c r="AP5" s="361"/>
      <c r="AQ5" s="361"/>
      <c r="AR5" s="503"/>
      <c r="AS5" s="489"/>
      <c r="AT5" s="160"/>
      <c r="AU5" s="355"/>
    </row>
    <row r="6" spans="1:47" s="124" customFormat="1" ht="21.75" hidden="1" customHeight="1">
      <c r="A6" s="331">
        <v>5</v>
      </c>
      <c r="B6" s="361" t="s">
        <v>400</v>
      </c>
      <c r="C6" s="361" t="s">
        <v>538</v>
      </c>
      <c r="D6" s="435" t="s">
        <v>539</v>
      </c>
      <c r="E6" s="361" t="str">
        <f t="shared" si="0"/>
        <v>LOSS</v>
      </c>
      <c r="F6" s="361"/>
      <c r="G6" s="361"/>
      <c r="H6" s="361" t="s">
        <v>327</v>
      </c>
      <c r="I6" s="160" t="s">
        <v>346</v>
      </c>
      <c r="J6" s="361" t="s">
        <v>540</v>
      </c>
      <c r="K6" s="365"/>
      <c r="L6" s="361"/>
      <c r="M6" s="361"/>
      <c r="N6" s="361"/>
      <c r="O6" s="366"/>
      <c r="P6" s="366">
        <v>30000000</v>
      </c>
      <c r="Q6" s="366"/>
      <c r="R6" s="366"/>
      <c r="S6" s="366">
        <v>7500000</v>
      </c>
      <c r="T6" s="361"/>
      <c r="U6" s="367">
        <v>43926</v>
      </c>
      <c r="V6" s="367">
        <v>44260</v>
      </c>
      <c r="W6" s="361" t="s">
        <v>250</v>
      </c>
      <c r="X6" s="361"/>
      <c r="Y6" s="361"/>
      <c r="Z6" s="361"/>
      <c r="AA6" s="361"/>
      <c r="AB6" s="361"/>
      <c r="AC6" s="361" t="s">
        <v>541</v>
      </c>
      <c r="AD6" s="363">
        <v>4500014438</v>
      </c>
      <c r="AE6" s="364"/>
      <c r="AF6" s="364"/>
      <c r="AG6" s="361"/>
      <c r="AH6" s="365"/>
      <c r="AI6" s="361"/>
      <c r="AJ6" s="361"/>
      <c r="AK6" s="361"/>
      <c r="AL6" s="361"/>
      <c r="AM6" s="361"/>
      <c r="AN6" s="361"/>
      <c r="AO6" s="361"/>
      <c r="AP6" s="361"/>
      <c r="AQ6" s="361"/>
      <c r="AR6" s="503"/>
      <c r="AS6" s="489"/>
      <c r="AT6" s="160"/>
      <c r="AU6" s="355"/>
    </row>
    <row r="7" spans="1:47" s="124" customFormat="1" ht="21.75" hidden="1" customHeight="1">
      <c r="A7" s="331">
        <v>6</v>
      </c>
      <c r="B7" s="361" t="s">
        <v>542</v>
      </c>
      <c r="C7" s="361" t="s">
        <v>543</v>
      </c>
      <c r="D7" s="436" t="s">
        <v>544</v>
      </c>
      <c r="E7" s="361" t="str">
        <f t="shared" si="0"/>
        <v>LOSS</v>
      </c>
      <c r="F7" s="361"/>
      <c r="G7" s="361"/>
      <c r="H7" s="361" t="s">
        <v>327</v>
      </c>
      <c r="I7" s="160" t="s">
        <v>346</v>
      </c>
      <c r="J7" s="361" t="s">
        <v>545</v>
      </c>
      <c r="K7" s="365"/>
      <c r="L7" s="361"/>
      <c r="M7" s="361"/>
      <c r="N7" s="361"/>
      <c r="O7" s="366"/>
      <c r="P7" s="366">
        <v>144000000</v>
      </c>
      <c r="Q7" s="366"/>
      <c r="R7" s="366"/>
      <c r="S7" s="366">
        <v>6000000</v>
      </c>
      <c r="T7" s="361"/>
      <c r="U7" s="348">
        <v>44030</v>
      </c>
      <c r="V7" s="348">
        <v>44394</v>
      </c>
      <c r="W7" s="361" t="s">
        <v>250</v>
      </c>
      <c r="X7" s="361"/>
      <c r="Y7" s="361"/>
      <c r="Z7" s="361"/>
      <c r="AA7" s="361"/>
      <c r="AB7" s="361"/>
      <c r="AC7" s="361" t="s">
        <v>546</v>
      </c>
      <c r="AD7" s="363">
        <v>4500014714</v>
      </c>
      <c r="AE7" s="364"/>
      <c r="AF7" s="364"/>
      <c r="AG7" s="361"/>
      <c r="AH7" s="365"/>
      <c r="AI7" s="361"/>
      <c r="AJ7" s="361"/>
      <c r="AK7" s="361"/>
      <c r="AL7" s="361"/>
      <c r="AM7" s="361"/>
      <c r="AN7" s="361"/>
      <c r="AO7" s="361"/>
      <c r="AP7" s="361"/>
      <c r="AQ7" s="361"/>
      <c r="AR7" s="503"/>
      <c r="AS7" s="489"/>
      <c r="AT7" s="160"/>
      <c r="AU7" s="355"/>
    </row>
    <row r="8" spans="1:47" s="124" customFormat="1" ht="21.75" hidden="1" customHeight="1">
      <c r="A8" s="331">
        <v>7</v>
      </c>
      <c r="B8" s="361" t="s">
        <v>547</v>
      </c>
      <c r="C8" s="361" t="s">
        <v>548</v>
      </c>
      <c r="D8" s="435" t="s">
        <v>544</v>
      </c>
      <c r="E8" s="361" t="str">
        <f t="shared" si="0"/>
        <v>LOSS</v>
      </c>
      <c r="F8" s="361"/>
      <c r="G8" s="361"/>
      <c r="H8" s="361" t="s">
        <v>327</v>
      </c>
      <c r="I8" s="160" t="s">
        <v>346</v>
      </c>
      <c r="J8" s="361" t="s">
        <v>549</v>
      </c>
      <c r="K8" s="365"/>
      <c r="L8" s="361"/>
      <c r="M8" s="361"/>
      <c r="N8" s="361"/>
      <c r="O8" s="366"/>
      <c r="P8" s="366">
        <v>240000000</v>
      </c>
      <c r="Q8" s="366"/>
      <c r="R8" s="366"/>
      <c r="S8" s="366">
        <v>35000000</v>
      </c>
      <c r="T8" s="361"/>
      <c r="U8" s="348">
        <v>43853</v>
      </c>
      <c r="V8" s="348">
        <v>44218</v>
      </c>
      <c r="W8" s="361" t="s">
        <v>250</v>
      </c>
      <c r="X8" s="361"/>
      <c r="Y8" s="361"/>
      <c r="Z8" s="361"/>
      <c r="AA8" s="361"/>
      <c r="AB8" s="361"/>
      <c r="AC8" s="361" t="s">
        <v>550</v>
      </c>
      <c r="AD8" s="363">
        <v>4500014043</v>
      </c>
      <c r="AE8" s="364"/>
      <c r="AF8" s="364"/>
      <c r="AG8" s="361"/>
      <c r="AH8" s="365"/>
      <c r="AI8" s="361"/>
      <c r="AJ8" s="361"/>
      <c r="AK8" s="361"/>
      <c r="AL8" s="361"/>
      <c r="AM8" s="361"/>
      <c r="AN8" s="361"/>
      <c r="AO8" s="361"/>
      <c r="AP8" s="361"/>
      <c r="AQ8" s="361"/>
      <c r="AR8" s="503"/>
      <c r="AS8" s="489"/>
      <c r="AT8" s="160"/>
      <c r="AU8" s="355"/>
    </row>
    <row r="9" spans="1:47" s="124" customFormat="1" ht="21.75" hidden="1" customHeight="1">
      <c r="A9" s="331">
        <v>8</v>
      </c>
      <c r="B9" s="28" t="s">
        <v>69</v>
      </c>
      <c r="C9" s="361" t="s">
        <v>551</v>
      </c>
      <c r="D9" s="436" t="s">
        <v>552</v>
      </c>
      <c r="E9" s="361" t="str">
        <f t="shared" si="0"/>
        <v>LOSS</v>
      </c>
      <c r="F9" s="361"/>
      <c r="G9" s="361"/>
      <c r="H9" s="28" t="s">
        <v>261</v>
      </c>
      <c r="I9" s="361" t="s">
        <v>243</v>
      </c>
      <c r="J9" s="361" t="s">
        <v>553</v>
      </c>
      <c r="K9" s="361"/>
      <c r="L9" s="361"/>
      <c r="M9" s="361"/>
      <c r="N9" s="361"/>
      <c r="O9" s="366"/>
      <c r="P9" s="366">
        <v>420000000</v>
      </c>
      <c r="Q9" s="366"/>
      <c r="R9" s="366">
        <v>15000000</v>
      </c>
      <c r="S9" s="366">
        <v>9000000</v>
      </c>
      <c r="T9" s="361"/>
      <c r="U9" s="367">
        <v>44019</v>
      </c>
      <c r="V9" s="367">
        <v>44354</v>
      </c>
      <c r="W9" s="361" t="s">
        <v>250</v>
      </c>
      <c r="X9" s="361"/>
      <c r="Y9" s="361"/>
      <c r="Z9" s="361"/>
      <c r="AA9" s="361"/>
      <c r="AB9" s="361"/>
      <c r="AC9" s="361" t="s">
        <v>554</v>
      </c>
      <c r="AD9" s="363">
        <v>4500014385</v>
      </c>
      <c r="AE9" s="364"/>
      <c r="AF9" s="364"/>
      <c r="AG9" s="361"/>
      <c r="AH9" s="361"/>
      <c r="AI9" s="361"/>
      <c r="AJ9" s="361"/>
      <c r="AK9" s="361"/>
      <c r="AL9" s="361"/>
      <c r="AM9" s="361"/>
      <c r="AN9" s="361"/>
      <c r="AO9" s="361"/>
      <c r="AP9" s="361"/>
      <c r="AQ9" s="361"/>
      <c r="AR9" s="503"/>
      <c r="AS9" s="489"/>
      <c r="AT9" s="160"/>
      <c r="AU9" s="355"/>
    </row>
    <row r="10" spans="1:47" s="124" customFormat="1" ht="21.75" hidden="1" customHeight="1">
      <c r="A10" s="331">
        <v>9</v>
      </c>
      <c r="B10" s="361" t="s">
        <v>526</v>
      </c>
      <c r="C10" s="361" t="s">
        <v>555</v>
      </c>
      <c r="D10" s="435" t="s">
        <v>556</v>
      </c>
      <c r="E10" s="361" t="str">
        <f t="shared" si="0"/>
        <v>LOSS</v>
      </c>
      <c r="F10" s="361"/>
      <c r="G10" s="361"/>
      <c r="H10" s="361" t="s">
        <v>327</v>
      </c>
      <c r="I10" s="160" t="s">
        <v>346</v>
      </c>
      <c r="J10" s="361" t="s">
        <v>557</v>
      </c>
      <c r="K10" s="365"/>
      <c r="L10" s="361"/>
      <c r="M10" s="361"/>
      <c r="N10" s="361"/>
      <c r="O10" s="366"/>
      <c r="P10" s="366"/>
      <c r="Q10" s="366"/>
      <c r="R10" s="366"/>
      <c r="S10" s="366">
        <v>35000000</v>
      </c>
      <c r="T10" s="361"/>
      <c r="U10" s="348">
        <v>44070</v>
      </c>
      <c r="V10" s="348">
        <v>44434</v>
      </c>
      <c r="W10" s="361" t="s">
        <v>250</v>
      </c>
      <c r="X10" s="361"/>
      <c r="Y10" s="361"/>
      <c r="Z10" s="361"/>
      <c r="AA10" s="361"/>
      <c r="AB10" s="361"/>
      <c r="AC10" s="361" t="s">
        <v>558</v>
      </c>
      <c r="AD10" s="363">
        <v>4500014634</v>
      </c>
      <c r="AE10" s="364"/>
      <c r="AF10" s="364"/>
      <c r="AG10" s="361"/>
      <c r="AH10" s="365"/>
      <c r="AI10" s="361"/>
      <c r="AJ10" s="361"/>
      <c r="AK10" s="361"/>
      <c r="AL10" s="361"/>
      <c r="AM10" s="361"/>
      <c r="AN10" s="361"/>
      <c r="AO10" s="361"/>
      <c r="AP10" s="361"/>
      <c r="AQ10" s="361"/>
      <c r="AR10" s="503"/>
      <c r="AS10" s="489"/>
      <c r="AT10" s="160"/>
      <c r="AU10" s="355"/>
    </row>
    <row r="11" spans="1:47" s="124" customFormat="1" ht="21.75" hidden="1" customHeight="1">
      <c r="A11" s="331">
        <v>10</v>
      </c>
      <c r="B11" s="29" t="s">
        <v>169</v>
      </c>
      <c r="C11" s="29" t="s">
        <v>559</v>
      </c>
      <c r="D11" s="436" t="s">
        <v>560</v>
      </c>
      <c r="E11" s="361" t="str">
        <f t="shared" si="0"/>
        <v>LOSS</v>
      </c>
      <c r="F11" s="29"/>
      <c r="G11" s="29"/>
      <c r="H11" s="361" t="s">
        <v>327</v>
      </c>
      <c r="I11" s="29" t="s">
        <v>242</v>
      </c>
      <c r="J11" s="29" t="s">
        <v>561</v>
      </c>
      <c r="K11" s="28"/>
      <c r="L11" s="29"/>
      <c r="M11" s="29"/>
      <c r="N11" s="29"/>
      <c r="O11" s="259">
        <v>3500000</v>
      </c>
      <c r="P11" s="259">
        <v>300000000</v>
      </c>
      <c r="Q11" s="259"/>
      <c r="R11" s="259"/>
      <c r="S11" s="259">
        <v>2500000</v>
      </c>
      <c r="T11" s="29"/>
      <c r="U11" s="334">
        <v>43989</v>
      </c>
      <c r="V11" s="334">
        <v>44323</v>
      </c>
      <c r="W11" s="361" t="s">
        <v>250</v>
      </c>
      <c r="X11" s="29"/>
      <c r="Y11" s="29"/>
      <c r="Z11" s="361"/>
      <c r="AA11" s="29"/>
      <c r="AB11" s="29"/>
      <c r="AC11" s="260"/>
      <c r="AD11" s="261">
        <v>4500014669</v>
      </c>
      <c r="AE11" s="364"/>
      <c r="AF11" s="364"/>
      <c r="AG11" s="361"/>
      <c r="AH11" s="365"/>
      <c r="AI11" s="361"/>
      <c r="AJ11" s="361"/>
      <c r="AK11" s="361"/>
      <c r="AL11" s="361"/>
      <c r="AM11" s="361"/>
      <c r="AN11" s="361"/>
      <c r="AO11" s="361"/>
      <c r="AP11" s="361"/>
      <c r="AQ11" s="361"/>
      <c r="AR11" s="503"/>
      <c r="AS11" s="489"/>
      <c r="AT11" s="160"/>
      <c r="AU11" s="355"/>
    </row>
    <row r="12" spans="1:47" s="124" customFormat="1" ht="21.75" hidden="1" customHeight="1">
      <c r="A12" s="331">
        <v>11</v>
      </c>
      <c r="B12" s="361" t="s">
        <v>400</v>
      </c>
      <c r="C12" s="361" t="s">
        <v>562</v>
      </c>
      <c r="D12" s="435" t="s">
        <v>523</v>
      </c>
      <c r="E12" s="361" t="str">
        <f t="shared" si="0"/>
        <v>LOSS</v>
      </c>
      <c r="F12" s="361"/>
      <c r="G12" s="361"/>
      <c r="H12" s="361" t="s">
        <v>327</v>
      </c>
      <c r="I12" s="160" t="s">
        <v>346</v>
      </c>
      <c r="J12" s="361" t="s">
        <v>563</v>
      </c>
      <c r="K12" s="365"/>
      <c r="L12" s="361"/>
      <c r="M12" s="361"/>
      <c r="N12" s="361"/>
      <c r="O12" s="366"/>
      <c r="P12" s="366">
        <v>66240000</v>
      </c>
      <c r="Q12" s="366"/>
      <c r="R12" s="366"/>
      <c r="S12" s="366">
        <v>35000000</v>
      </c>
      <c r="T12" s="361"/>
      <c r="U12" s="348">
        <v>43979</v>
      </c>
      <c r="V12" s="348">
        <v>44343</v>
      </c>
      <c r="W12" s="361" t="s">
        <v>250</v>
      </c>
      <c r="X12" s="361"/>
      <c r="Y12" s="361"/>
      <c r="Z12" s="361"/>
      <c r="AA12" s="361"/>
      <c r="AB12" s="361"/>
      <c r="AC12" s="361" t="s">
        <v>564</v>
      </c>
      <c r="AD12" s="363">
        <v>4500014450</v>
      </c>
      <c r="AE12" s="364"/>
      <c r="AF12" s="364"/>
      <c r="AG12" s="361"/>
      <c r="AH12" s="365"/>
      <c r="AI12" s="361"/>
      <c r="AJ12" s="361"/>
      <c r="AK12" s="361"/>
      <c r="AL12" s="361"/>
      <c r="AM12" s="361"/>
      <c r="AN12" s="361"/>
      <c r="AO12" s="361"/>
      <c r="AP12" s="361"/>
      <c r="AQ12" s="361"/>
      <c r="AR12" s="503"/>
      <c r="AS12" s="489"/>
      <c r="AT12" s="160"/>
      <c r="AU12" s="355"/>
    </row>
    <row r="13" spans="1:47" s="124" customFormat="1" ht="21.75" hidden="1" customHeight="1">
      <c r="A13" s="331">
        <v>12</v>
      </c>
      <c r="B13" s="361" t="s">
        <v>542</v>
      </c>
      <c r="C13" s="361" t="s">
        <v>565</v>
      </c>
      <c r="D13" s="436" t="s">
        <v>544</v>
      </c>
      <c r="E13" s="361" t="str">
        <f t="shared" si="0"/>
        <v>LOSS</v>
      </c>
      <c r="F13" s="361"/>
      <c r="G13" s="361"/>
      <c r="H13" s="361" t="s">
        <v>327</v>
      </c>
      <c r="I13" s="160" t="s">
        <v>346</v>
      </c>
      <c r="J13" s="361" t="s">
        <v>566</v>
      </c>
      <c r="K13" s="365"/>
      <c r="L13" s="361"/>
      <c r="M13" s="361"/>
      <c r="N13" s="361"/>
      <c r="O13" s="366"/>
      <c r="P13" s="366">
        <v>84000000</v>
      </c>
      <c r="Q13" s="366"/>
      <c r="R13" s="366"/>
      <c r="S13" s="366">
        <v>6000000</v>
      </c>
      <c r="T13" s="361"/>
      <c r="U13" s="348">
        <v>44088</v>
      </c>
      <c r="V13" s="348">
        <v>44452</v>
      </c>
      <c r="W13" s="361" t="s">
        <v>250</v>
      </c>
      <c r="X13" s="361"/>
      <c r="Y13" s="361"/>
      <c r="Z13" s="361"/>
      <c r="AA13" s="361"/>
      <c r="AB13" s="361"/>
      <c r="AC13" s="361" t="s">
        <v>567</v>
      </c>
      <c r="AD13" s="363">
        <v>4500014893</v>
      </c>
      <c r="AE13" s="364"/>
      <c r="AF13" s="364"/>
      <c r="AG13" s="361"/>
      <c r="AH13" s="365"/>
      <c r="AI13" s="361"/>
      <c r="AJ13" s="361"/>
      <c r="AK13" s="361"/>
      <c r="AL13" s="361"/>
      <c r="AM13" s="361"/>
      <c r="AN13" s="361"/>
      <c r="AO13" s="361"/>
      <c r="AP13" s="361"/>
      <c r="AQ13" s="361"/>
      <c r="AR13" s="503"/>
      <c r="AS13" s="489"/>
      <c r="AT13" s="160"/>
      <c r="AU13" s="355"/>
    </row>
    <row r="14" spans="1:47" s="124" customFormat="1" ht="21.75" hidden="1" customHeight="1">
      <c r="A14" s="331">
        <v>13</v>
      </c>
      <c r="B14" s="361" t="s">
        <v>400</v>
      </c>
      <c r="C14" s="361" t="s">
        <v>568</v>
      </c>
      <c r="D14" s="435" t="s">
        <v>539</v>
      </c>
      <c r="E14" s="361" t="str">
        <f t="shared" si="0"/>
        <v>LOSS</v>
      </c>
      <c r="F14" s="361"/>
      <c r="G14" s="361"/>
      <c r="H14" s="361" t="s">
        <v>327</v>
      </c>
      <c r="I14" s="160" t="s">
        <v>346</v>
      </c>
      <c r="J14" s="361" t="s">
        <v>569</v>
      </c>
      <c r="K14" s="365"/>
      <c r="L14" s="361"/>
      <c r="M14" s="361"/>
      <c r="N14" s="361"/>
      <c r="O14" s="366"/>
      <c r="P14" s="366">
        <v>84000000</v>
      </c>
      <c r="Q14" s="366"/>
      <c r="R14" s="366"/>
      <c r="S14" s="366">
        <v>17000000</v>
      </c>
      <c r="T14" s="361"/>
      <c r="U14" s="367">
        <v>43991</v>
      </c>
      <c r="V14" s="367">
        <v>44325</v>
      </c>
      <c r="W14" s="361" t="s">
        <v>250</v>
      </c>
      <c r="X14" s="361"/>
      <c r="Y14" s="361"/>
      <c r="Z14" s="361"/>
      <c r="AA14" s="361"/>
      <c r="AB14" s="361"/>
      <c r="AC14" s="361" t="s">
        <v>570</v>
      </c>
      <c r="AD14" s="363">
        <v>4500014857</v>
      </c>
      <c r="AE14" s="364"/>
      <c r="AF14" s="364"/>
      <c r="AG14" s="361"/>
      <c r="AH14" s="365"/>
      <c r="AI14" s="361"/>
      <c r="AJ14" s="361"/>
      <c r="AK14" s="361"/>
      <c r="AL14" s="361"/>
      <c r="AM14" s="361"/>
      <c r="AN14" s="361"/>
      <c r="AO14" s="361"/>
      <c r="AP14" s="361"/>
      <c r="AQ14" s="361"/>
      <c r="AR14" s="503"/>
      <c r="AS14" s="489"/>
      <c r="AT14" s="160"/>
      <c r="AU14" s="355"/>
    </row>
    <row r="15" spans="1:47" s="124" customFormat="1" ht="21.75" hidden="1" customHeight="1">
      <c r="A15" s="331">
        <v>14</v>
      </c>
      <c r="B15" s="361" t="s">
        <v>71</v>
      </c>
      <c r="C15" s="361" t="s">
        <v>571</v>
      </c>
      <c r="D15" s="436" t="s">
        <v>572</v>
      </c>
      <c r="E15" s="361" t="str">
        <f t="shared" si="0"/>
        <v>LOSS</v>
      </c>
      <c r="F15" s="361"/>
      <c r="G15" s="361"/>
      <c r="H15" s="361" t="s">
        <v>327</v>
      </c>
      <c r="I15" s="361" t="s">
        <v>242</v>
      </c>
      <c r="J15" s="361" t="s">
        <v>573</v>
      </c>
      <c r="K15" s="365"/>
      <c r="L15" s="361"/>
      <c r="M15" s="361"/>
      <c r="N15" s="361"/>
      <c r="O15" s="366">
        <v>5000000</v>
      </c>
      <c r="P15" s="366">
        <v>42000000</v>
      </c>
      <c r="Q15" s="366"/>
      <c r="R15" s="366">
        <v>4000000</v>
      </c>
      <c r="S15" s="366">
        <v>36000000</v>
      </c>
      <c r="T15" s="361"/>
      <c r="U15" s="367">
        <v>43857</v>
      </c>
      <c r="V15" s="367">
        <v>44222</v>
      </c>
      <c r="W15" s="361" t="s">
        <v>250</v>
      </c>
      <c r="X15" s="361"/>
      <c r="Y15" s="361"/>
      <c r="Z15" s="361"/>
      <c r="AA15" s="361"/>
      <c r="AB15" s="361"/>
      <c r="AC15" s="361" t="s">
        <v>574</v>
      </c>
      <c r="AD15" s="363">
        <v>4500013824</v>
      </c>
      <c r="AE15" s="364"/>
      <c r="AF15" s="364"/>
      <c r="AG15" s="361"/>
      <c r="AH15" s="365"/>
      <c r="AI15" s="361"/>
      <c r="AJ15" s="361"/>
      <c r="AK15" s="361"/>
      <c r="AL15" s="361"/>
      <c r="AM15" s="361"/>
      <c r="AN15" s="361"/>
      <c r="AO15" s="361"/>
      <c r="AP15" s="361"/>
      <c r="AQ15" s="361"/>
      <c r="AR15" s="503"/>
      <c r="AS15" s="489"/>
      <c r="AT15" s="160"/>
      <c r="AU15" s="355"/>
    </row>
    <row r="16" spans="1:47" s="124" customFormat="1" ht="21.75" hidden="1" customHeight="1">
      <c r="A16" s="331">
        <v>15</v>
      </c>
      <c r="B16" s="28" t="s">
        <v>521</v>
      </c>
      <c r="C16" s="361" t="s">
        <v>575</v>
      </c>
      <c r="D16" s="435" t="s">
        <v>539</v>
      </c>
      <c r="E16" s="361" t="str">
        <f t="shared" si="0"/>
        <v>LOSS</v>
      </c>
      <c r="F16" s="361"/>
      <c r="G16" s="361"/>
      <c r="H16" s="28" t="s">
        <v>261</v>
      </c>
      <c r="I16" s="361" t="s">
        <v>243</v>
      </c>
      <c r="J16" s="361" t="s">
        <v>576</v>
      </c>
      <c r="K16" s="361"/>
      <c r="L16" s="361"/>
      <c r="M16" s="361"/>
      <c r="N16" s="361"/>
      <c r="O16" s="366"/>
      <c r="P16" s="366">
        <v>290400000</v>
      </c>
      <c r="Q16" s="366"/>
      <c r="R16" s="366"/>
      <c r="S16" s="366">
        <v>8400000</v>
      </c>
      <c r="T16" s="361"/>
      <c r="U16" s="367">
        <v>43837</v>
      </c>
      <c r="V16" s="367">
        <v>44074</v>
      </c>
      <c r="W16" s="361" t="s">
        <v>250</v>
      </c>
      <c r="X16" s="361"/>
      <c r="Y16" s="361"/>
      <c r="Z16" s="361"/>
      <c r="AA16" s="361"/>
      <c r="AB16" s="361"/>
      <c r="AC16" s="361" t="s">
        <v>577</v>
      </c>
      <c r="AD16" s="363">
        <v>4500014789</v>
      </c>
      <c r="AE16" s="364"/>
      <c r="AF16" s="364"/>
      <c r="AG16" s="361"/>
      <c r="AH16" s="361"/>
      <c r="AI16" s="361"/>
      <c r="AJ16" s="361"/>
      <c r="AK16" s="361"/>
      <c r="AL16" s="361"/>
      <c r="AM16" s="361"/>
      <c r="AN16" s="361"/>
      <c r="AO16" s="361"/>
      <c r="AP16" s="361"/>
      <c r="AQ16" s="361"/>
      <c r="AR16" s="503"/>
      <c r="AS16" s="489"/>
      <c r="AT16" s="160"/>
      <c r="AU16" s="355"/>
    </row>
    <row r="17" spans="1:47" s="124" customFormat="1" ht="21.75" hidden="1" customHeight="1">
      <c r="A17" s="331">
        <v>16</v>
      </c>
      <c r="B17" s="361" t="s">
        <v>169</v>
      </c>
      <c r="C17" s="361" t="s">
        <v>578</v>
      </c>
      <c r="D17" s="436" t="s">
        <v>560</v>
      </c>
      <c r="E17" s="361" t="str">
        <f t="shared" si="0"/>
        <v>LOSS</v>
      </c>
      <c r="F17" s="361"/>
      <c r="G17" s="361"/>
      <c r="H17" s="361" t="s">
        <v>327</v>
      </c>
      <c r="I17" s="361" t="s">
        <v>242</v>
      </c>
      <c r="J17" s="361" t="s">
        <v>579</v>
      </c>
      <c r="K17" s="365"/>
      <c r="L17" s="361"/>
      <c r="M17" s="361"/>
      <c r="N17" s="361"/>
      <c r="O17" s="366">
        <v>1000000</v>
      </c>
      <c r="P17" s="366">
        <v>840000000</v>
      </c>
      <c r="Q17" s="366"/>
      <c r="R17" s="366">
        <v>2500000</v>
      </c>
      <c r="S17" s="366">
        <v>2500000</v>
      </c>
      <c r="T17" s="361"/>
      <c r="U17" s="367">
        <v>44099</v>
      </c>
      <c r="V17" s="367">
        <v>44463</v>
      </c>
      <c r="W17" s="361" t="s">
        <v>250</v>
      </c>
      <c r="X17" s="361"/>
      <c r="Y17" s="361"/>
      <c r="Z17" s="361"/>
      <c r="AA17" s="361"/>
      <c r="AB17" s="361"/>
      <c r="AC17" s="361" t="s">
        <v>580</v>
      </c>
      <c r="AD17" s="363">
        <v>4500015013</v>
      </c>
      <c r="AE17" s="364"/>
      <c r="AF17" s="364"/>
      <c r="AG17" s="361"/>
      <c r="AH17" s="365"/>
      <c r="AI17" s="361"/>
      <c r="AJ17" s="361"/>
      <c r="AK17" s="361"/>
      <c r="AL17" s="361"/>
      <c r="AM17" s="361"/>
      <c r="AN17" s="361"/>
      <c r="AO17" s="361"/>
      <c r="AP17" s="361"/>
      <c r="AQ17" s="361"/>
      <c r="AR17" s="503"/>
      <c r="AS17" s="489"/>
      <c r="AT17" s="160"/>
      <c r="AU17" s="355"/>
    </row>
    <row r="18" spans="1:47" s="124" customFormat="1" ht="21.75" hidden="1" customHeight="1">
      <c r="A18" s="331">
        <v>17</v>
      </c>
      <c r="B18" s="361" t="s">
        <v>198</v>
      </c>
      <c r="C18" s="361" t="s">
        <v>581</v>
      </c>
      <c r="D18" s="435" t="s">
        <v>544</v>
      </c>
      <c r="E18" s="361" t="str">
        <f t="shared" si="0"/>
        <v>LOSS</v>
      </c>
      <c r="F18" s="361"/>
      <c r="G18" s="361"/>
      <c r="H18" s="361" t="s">
        <v>327</v>
      </c>
      <c r="I18" s="160" t="s">
        <v>346</v>
      </c>
      <c r="J18" s="361" t="s">
        <v>582</v>
      </c>
      <c r="K18" s="365"/>
      <c r="L18" s="361"/>
      <c r="M18" s="361"/>
      <c r="N18" s="361"/>
      <c r="O18" s="366"/>
      <c r="P18" s="366">
        <v>368114352</v>
      </c>
      <c r="Q18" s="366"/>
      <c r="R18" s="366"/>
      <c r="S18" s="366">
        <v>25000000</v>
      </c>
      <c r="T18" s="361"/>
      <c r="U18" s="367">
        <v>43955</v>
      </c>
      <c r="V18" s="367">
        <v>44290</v>
      </c>
      <c r="W18" s="361" t="s">
        <v>250</v>
      </c>
      <c r="X18" s="361"/>
      <c r="Y18" s="361"/>
      <c r="Z18" s="361"/>
      <c r="AA18" s="361"/>
      <c r="AB18" s="361"/>
      <c r="AC18" s="361" t="s">
        <v>583</v>
      </c>
      <c r="AD18" s="363">
        <v>4500013982</v>
      </c>
      <c r="AE18" s="364"/>
      <c r="AF18" s="364"/>
      <c r="AG18" s="361"/>
      <c r="AH18" s="365"/>
      <c r="AI18" s="361"/>
      <c r="AJ18" s="361"/>
      <c r="AK18" s="361"/>
      <c r="AL18" s="361"/>
      <c r="AM18" s="361"/>
      <c r="AN18" s="361"/>
      <c r="AO18" s="361"/>
      <c r="AP18" s="361"/>
      <c r="AQ18" s="361"/>
      <c r="AR18" s="503"/>
      <c r="AS18" s="489"/>
      <c r="AT18" s="160"/>
      <c r="AU18" s="355"/>
    </row>
    <row r="19" spans="1:47" s="124" customFormat="1" ht="21.75" hidden="1" customHeight="1">
      <c r="A19" s="331">
        <v>18</v>
      </c>
      <c r="B19" s="28" t="s">
        <v>584</v>
      </c>
      <c r="C19" s="361" t="s">
        <v>585</v>
      </c>
      <c r="D19" s="436" t="s">
        <v>586</v>
      </c>
      <c r="E19" s="361" t="str">
        <f t="shared" si="0"/>
        <v>LOSS</v>
      </c>
      <c r="F19" s="361"/>
      <c r="G19" s="361"/>
      <c r="H19" s="361" t="s">
        <v>327</v>
      </c>
      <c r="I19" s="160" t="s">
        <v>346</v>
      </c>
      <c r="J19" s="361" t="s">
        <v>587</v>
      </c>
      <c r="K19" s="365"/>
      <c r="L19" s="361"/>
      <c r="M19" s="361"/>
      <c r="N19" s="361"/>
      <c r="O19" s="366"/>
      <c r="P19" s="366">
        <v>34560000</v>
      </c>
      <c r="Q19" s="366"/>
      <c r="R19" s="366"/>
      <c r="S19" s="366">
        <v>26000000</v>
      </c>
      <c r="T19" s="361"/>
      <c r="U19" s="348">
        <v>43838</v>
      </c>
      <c r="V19" s="348">
        <v>44408</v>
      </c>
      <c r="W19" s="361" t="s">
        <v>250</v>
      </c>
      <c r="X19" s="361"/>
      <c r="Y19" s="361"/>
      <c r="Z19" s="361"/>
      <c r="AA19" s="361"/>
      <c r="AB19" s="361"/>
      <c r="AC19" s="368"/>
      <c r="AD19" s="363">
        <v>4500014819</v>
      </c>
      <c r="AE19" s="364"/>
      <c r="AF19" s="364"/>
      <c r="AG19" s="361"/>
      <c r="AH19" s="365"/>
      <c r="AI19" s="361"/>
      <c r="AJ19" s="361"/>
      <c r="AK19" s="361"/>
      <c r="AL19" s="361"/>
      <c r="AM19" s="361"/>
      <c r="AN19" s="361"/>
      <c r="AO19" s="361"/>
      <c r="AP19" s="361"/>
      <c r="AQ19" s="361"/>
      <c r="AR19" s="503"/>
      <c r="AS19" s="489"/>
      <c r="AT19" s="160"/>
      <c r="AU19" s="355"/>
    </row>
    <row r="20" spans="1:47" s="124" customFormat="1" ht="21.75" hidden="1" customHeight="1">
      <c r="A20" s="331">
        <v>19</v>
      </c>
      <c r="B20" s="361" t="s">
        <v>588</v>
      </c>
      <c r="C20" s="361" t="s">
        <v>589</v>
      </c>
      <c r="D20" s="435" t="s">
        <v>590</v>
      </c>
      <c r="E20" s="361" t="str">
        <f t="shared" si="0"/>
        <v>LOSS</v>
      </c>
      <c r="F20" s="361"/>
      <c r="G20" s="361"/>
      <c r="H20" s="361" t="s">
        <v>327</v>
      </c>
      <c r="I20" s="160" t="s">
        <v>346</v>
      </c>
      <c r="J20" s="361" t="s">
        <v>591</v>
      </c>
      <c r="K20" s="365"/>
      <c r="L20" s="361"/>
      <c r="M20" s="361"/>
      <c r="N20" s="361"/>
      <c r="O20" s="366"/>
      <c r="P20" s="366">
        <v>180000000</v>
      </c>
      <c r="Q20" s="366"/>
      <c r="R20" s="366"/>
      <c r="S20" s="366">
        <v>30000000</v>
      </c>
      <c r="T20" s="361"/>
      <c r="U20" s="348">
        <v>43833</v>
      </c>
      <c r="V20" s="348">
        <v>44255</v>
      </c>
      <c r="W20" s="361" t="s">
        <v>250</v>
      </c>
      <c r="X20" s="361"/>
      <c r="Y20" s="361"/>
      <c r="Z20" s="361"/>
      <c r="AA20" s="361"/>
      <c r="AB20" s="361"/>
      <c r="AC20" s="361" t="s">
        <v>592</v>
      </c>
      <c r="AD20" s="363">
        <v>4500013907</v>
      </c>
      <c r="AE20" s="364"/>
      <c r="AF20" s="364"/>
      <c r="AG20" s="361"/>
      <c r="AH20" s="365"/>
      <c r="AI20" s="361"/>
      <c r="AJ20" s="361"/>
      <c r="AK20" s="361"/>
      <c r="AL20" s="361"/>
      <c r="AM20" s="361"/>
      <c r="AN20" s="361"/>
      <c r="AO20" s="361"/>
      <c r="AP20" s="361"/>
      <c r="AQ20" s="361"/>
      <c r="AR20" s="503"/>
      <c r="AS20" s="489"/>
      <c r="AT20" s="160"/>
      <c r="AU20" s="355"/>
    </row>
    <row r="21" spans="1:47" s="124" customFormat="1" ht="21.75" hidden="1" customHeight="1">
      <c r="A21" s="331">
        <v>20</v>
      </c>
      <c r="B21" s="159" t="s">
        <v>593</v>
      </c>
      <c r="C21" s="361" t="s">
        <v>594</v>
      </c>
      <c r="D21" s="436" t="s">
        <v>544</v>
      </c>
      <c r="E21" s="361" t="str">
        <f t="shared" si="0"/>
        <v>LOSS</v>
      </c>
      <c r="F21" s="361"/>
      <c r="G21" s="361"/>
      <c r="H21" s="361" t="s">
        <v>327</v>
      </c>
      <c r="I21" s="160" t="s">
        <v>346</v>
      </c>
      <c r="J21" s="361">
        <v>1000029813</v>
      </c>
      <c r="K21" s="365"/>
      <c r="L21" s="361"/>
      <c r="M21" s="361"/>
      <c r="N21" s="361"/>
      <c r="O21" s="366"/>
      <c r="P21" s="366">
        <v>84000000</v>
      </c>
      <c r="Q21" s="366"/>
      <c r="R21" s="366"/>
      <c r="S21" s="366">
        <v>21850005</v>
      </c>
      <c r="T21" s="361"/>
      <c r="U21" s="348">
        <v>43840</v>
      </c>
      <c r="V21" s="348">
        <v>44469</v>
      </c>
      <c r="W21" s="361" t="s">
        <v>250</v>
      </c>
      <c r="X21" s="361"/>
      <c r="Y21" s="361"/>
      <c r="Z21" s="361"/>
      <c r="AA21" s="361"/>
      <c r="AB21" s="361"/>
      <c r="AC21" s="361" t="s">
        <v>595</v>
      </c>
      <c r="AD21" s="363">
        <v>4500015007</v>
      </c>
      <c r="AE21" s="364"/>
      <c r="AF21" s="364"/>
      <c r="AG21" s="361"/>
      <c r="AH21" s="365"/>
      <c r="AI21" s="361"/>
      <c r="AJ21" s="361"/>
      <c r="AK21" s="361"/>
      <c r="AL21" s="361"/>
      <c r="AM21" s="361"/>
      <c r="AN21" s="361"/>
      <c r="AO21" s="361"/>
      <c r="AP21" s="361"/>
      <c r="AQ21" s="361"/>
      <c r="AR21" s="503"/>
      <c r="AS21" s="489"/>
      <c r="AT21" s="160"/>
      <c r="AU21" s="355"/>
    </row>
    <row r="22" spans="1:47" s="124" customFormat="1" ht="21.75" hidden="1" customHeight="1">
      <c r="A22" s="331">
        <v>21</v>
      </c>
      <c r="B22" s="28" t="s">
        <v>119</v>
      </c>
      <c r="C22" s="361" t="s">
        <v>596</v>
      </c>
      <c r="D22" s="435" t="s">
        <v>597</v>
      </c>
      <c r="E22" s="361" t="str">
        <f t="shared" si="0"/>
        <v>LOSS</v>
      </c>
      <c r="F22" s="361"/>
      <c r="G22" s="361"/>
      <c r="H22" s="361" t="s">
        <v>327</v>
      </c>
      <c r="I22" s="160" t="s">
        <v>346</v>
      </c>
      <c r="J22" s="361" t="s">
        <v>598</v>
      </c>
      <c r="K22" s="365"/>
      <c r="L22" s="361"/>
      <c r="M22" s="361"/>
      <c r="N22" s="361"/>
      <c r="O22" s="366">
        <v>3000000</v>
      </c>
      <c r="P22" s="366">
        <v>64800000</v>
      </c>
      <c r="Q22" s="366"/>
      <c r="R22" s="366">
        <v>1000000</v>
      </c>
      <c r="S22" s="366">
        <v>12000000</v>
      </c>
      <c r="T22" s="361"/>
      <c r="U22" s="367">
        <v>44046</v>
      </c>
      <c r="V22" s="367">
        <v>44380</v>
      </c>
      <c r="W22" s="361" t="s">
        <v>250</v>
      </c>
      <c r="X22" s="361"/>
      <c r="Y22" s="361"/>
      <c r="Z22" s="361"/>
      <c r="AA22" s="361"/>
      <c r="AB22" s="361"/>
      <c r="AC22" s="361" t="s">
        <v>599</v>
      </c>
      <c r="AD22" s="363">
        <v>4500014386</v>
      </c>
      <c r="AE22" s="364"/>
      <c r="AF22" s="364"/>
      <c r="AG22" s="361"/>
      <c r="AH22" s="365"/>
      <c r="AI22" s="361"/>
      <c r="AJ22" s="361"/>
      <c r="AK22" s="361"/>
      <c r="AL22" s="361"/>
      <c r="AM22" s="361"/>
      <c r="AN22" s="361"/>
      <c r="AO22" s="361"/>
      <c r="AP22" s="361"/>
      <c r="AQ22" s="361"/>
      <c r="AR22" s="503"/>
      <c r="AS22" s="489"/>
      <c r="AT22" s="160"/>
      <c r="AU22" s="355"/>
    </row>
    <row r="23" spans="1:47" s="124" customFormat="1" ht="21.75" hidden="1" customHeight="1">
      <c r="A23" s="331">
        <v>22</v>
      </c>
      <c r="B23" s="361" t="s">
        <v>600</v>
      </c>
      <c r="C23" s="361" t="s">
        <v>601</v>
      </c>
      <c r="D23" s="436" t="s">
        <v>602</v>
      </c>
      <c r="E23" s="361" t="str">
        <f t="shared" si="0"/>
        <v>LOSS</v>
      </c>
      <c r="F23" s="361"/>
      <c r="G23" s="361"/>
      <c r="H23" s="361" t="s">
        <v>327</v>
      </c>
      <c r="I23" s="160" t="s">
        <v>346</v>
      </c>
      <c r="J23" s="361" t="s">
        <v>603</v>
      </c>
      <c r="K23" s="365"/>
      <c r="L23" s="361"/>
      <c r="M23" s="361"/>
      <c r="N23" s="361"/>
      <c r="O23" s="366"/>
      <c r="P23" s="366">
        <v>39600000</v>
      </c>
      <c r="Q23" s="366"/>
      <c r="R23" s="366"/>
      <c r="S23" s="366">
        <v>12000000</v>
      </c>
      <c r="T23" s="361"/>
      <c r="U23" s="348">
        <v>44032</v>
      </c>
      <c r="V23" s="348">
        <v>44396</v>
      </c>
      <c r="W23" s="361" t="s">
        <v>250</v>
      </c>
      <c r="X23" s="361"/>
      <c r="Y23" s="361"/>
      <c r="Z23" s="361"/>
      <c r="AA23" s="361"/>
      <c r="AB23" s="361"/>
      <c r="AC23" s="361" t="s">
        <v>604</v>
      </c>
      <c r="AD23" s="363">
        <v>4500014492</v>
      </c>
      <c r="AE23" s="364"/>
      <c r="AF23" s="364"/>
      <c r="AG23" s="361"/>
      <c r="AH23" s="365"/>
      <c r="AI23" s="361"/>
      <c r="AJ23" s="361"/>
      <c r="AK23" s="361"/>
      <c r="AL23" s="361"/>
      <c r="AM23" s="361"/>
      <c r="AN23" s="361"/>
      <c r="AO23" s="361"/>
      <c r="AP23" s="361"/>
      <c r="AQ23" s="361"/>
      <c r="AR23" s="503"/>
      <c r="AS23" s="489"/>
      <c r="AT23" s="160"/>
      <c r="AU23" s="355"/>
    </row>
    <row r="24" spans="1:47" s="124" customFormat="1" ht="21.75" hidden="1" customHeight="1">
      <c r="A24" s="331">
        <v>23</v>
      </c>
      <c r="B24" s="361" t="s">
        <v>600</v>
      </c>
      <c r="C24" s="361" t="s">
        <v>605</v>
      </c>
      <c r="D24" s="435" t="s">
        <v>602</v>
      </c>
      <c r="E24" s="361" t="str">
        <f t="shared" si="0"/>
        <v>LOSS</v>
      </c>
      <c r="F24" s="361"/>
      <c r="G24" s="361"/>
      <c r="H24" s="361" t="s">
        <v>327</v>
      </c>
      <c r="I24" s="160" t="s">
        <v>346</v>
      </c>
      <c r="J24" s="361" t="s">
        <v>606</v>
      </c>
      <c r="K24" s="365"/>
      <c r="L24" s="361"/>
      <c r="M24" s="361"/>
      <c r="N24" s="361"/>
      <c r="O24" s="366"/>
      <c r="P24" s="366">
        <v>157418184</v>
      </c>
      <c r="Q24" s="366"/>
      <c r="R24" s="366"/>
      <c r="S24" s="366">
        <v>24000000</v>
      </c>
      <c r="T24" s="361"/>
      <c r="U24" s="348">
        <v>44032</v>
      </c>
      <c r="V24" s="348">
        <v>44396</v>
      </c>
      <c r="W24" s="361" t="s">
        <v>250</v>
      </c>
      <c r="X24" s="361"/>
      <c r="Y24" s="361"/>
      <c r="Z24" s="361"/>
      <c r="AA24" s="361"/>
      <c r="AB24" s="361"/>
      <c r="AC24" s="361" t="s">
        <v>607</v>
      </c>
      <c r="AD24" s="363">
        <v>4500014491</v>
      </c>
      <c r="AE24" s="364"/>
      <c r="AF24" s="364"/>
      <c r="AG24" s="361"/>
      <c r="AH24" s="365"/>
      <c r="AI24" s="361"/>
      <c r="AJ24" s="361"/>
      <c r="AK24" s="361"/>
      <c r="AL24" s="361"/>
      <c r="AM24" s="361"/>
      <c r="AN24" s="361"/>
      <c r="AO24" s="361"/>
      <c r="AP24" s="361"/>
      <c r="AQ24" s="361"/>
      <c r="AR24" s="503"/>
      <c r="AS24" s="489"/>
      <c r="AT24" s="160"/>
      <c r="AU24" s="355"/>
    </row>
    <row r="25" spans="1:47" s="124" customFormat="1" ht="21.75" hidden="1" customHeight="1">
      <c r="A25" s="331">
        <v>24</v>
      </c>
      <c r="B25" s="361" t="s">
        <v>71</v>
      </c>
      <c r="C25" s="361" t="s">
        <v>538</v>
      </c>
      <c r="D25" s="436" t="s">
        <v>572</v>
      </c>
      <c r="E25" s="361" t="str">
        <f t="shared" si="0"/>
        <v>LOSS</v>
      </c>
      <c r="F25" s="361"/>
      <c r="G25" s="361"/>
      <c r="H25" s="361" t="s">
        <v>327</v>
      </c>
      <c r="I25" s="160" t="s">
        <v>346</v>
      </c>
      <c r="J25" s="361" t="s">
        <v>608</v>
      </c>
      <c r="K25" s="365"/>
      <c r="L25" s="361"/>
      <c r="M25" s="361"/>
      <c r="N25" s="361"/>
      <c r="O25" s="366"/>
      <c r="P25" s="366">
        <v>33000000</v>
      </c>
      <c r="Q25" s="366"/>
      <c r="R25" s="366"/>
      <c r="S25" s="366">
        <v>18000000</v>
      </c>
      <c r="T25" s="361"/>
      <c r="U25" s="348">
        <v>43836</v>
      </c>
      <c r="V25" s="348">
        <v>44347</v>
      </c>
      <c r="W25" s="361" t="s">
        <v>250</v>
      </c>
      <c r="X25" s="361"/>
      <c r="Y25" s="361"/>
      <c r="Z25" s="361"/>
      <c r="AA25" s="361"/>
      <c r="AB25" s="361"/>
      <c r="AC25" s="368"/>
      <c r="AD25" s="363">
        <v>4500014432</v>
      </c>
      <c r="AE25" s="364"/>
      <c r="AF25" s="364"/>
      <c r="AG25" s="361"/>
      <c r="AH25" s="365"/>
      <c r="AI25" s="361"/>
      <c r="AJ25" s="361"/>
      <c r="AK25" s="361"/>
      <c r="AL25" s="361"/>
      <c r="AM25" s="361"/>
      <c r="AN25" s="361"/>
      <c r="AO25" s="361"/>
      <c r="AP25" s="361"/>
      <c r="AQ25" s="361"/>
      <c r="AR25" s="503"/>
      <c r="AS25" s="489"/>
      <c r="AT25" s="160"/>
      <c r="AU25" s="355"/>
    </row>
    <row r="26" spans="1:47" s="124" customFormat="1" ht="21.75" hidden="1" customHeight="1">
      <c r="A26" s="331">
        <v>25</v>
      </c>
      <c r="B26" s="361" t="s">
        <v>609</v>
      </c>
      <c r="C26" s="361" t="s">
        <v>610</v>
      </c>
      <c r="D26" s="435" t="s">
        <v>611</v>
      </c>
      <c r="E26" s="361" t="str">
        <f t="shared" si="0"/>
        <v>LOSS</v>
      </c>
      <c r="F26" s="361"/>
      <c r="G26" s="361"/>
      <c r="H26" s="361" t="s">
        <v>327</v>
      </c>
      <c r="I26" s="361" t="s">
        <v>242</v>
      </c>
      <c r="J26" s="361" t="s">
        <v>612</v>
      </c>
      <c r="K26" s="365"/>
      <c r="L26" s="361"/>
      <c r="M26" s="361"/>
      <c r="N26" s="361"/>
      <c r="O26" s="366">
        <v>3000000</v>
      </c>
      <c r="P26" s="366">
        <v>43200000</v>
      </c>
      <c r="Q26" s="366"/>
      <c r="R26" s="366">
        <v>3000000</v>
      </c>
      <c r="S26" s="366">
        <v>6000000</v>
      </c>
      <c r="T26" s="361"/>
      <c r="U26" s="348">
        <v>43878</v>
      </c>
      <c r="V26" s="348">
        <v>44243</v>
      </c>
      <c r="W26" s="361" t="s">
        <v>250</v>
      </c>
      <c r="X26" s="361"/>
      <c r="Y26" s="361"/>
      <c r="Z26" s="361"/>
      <c r="AA26" s="361"/>
      <c r="AB26" s="361"/>
      <c r="AC26" s="361" t="s">
        <v>613</v>
      </c>
      <c r="AD26" s="363">
        <v>4500013949</v>
      </c>
      <c r="AE26" s="364"/>
      <c r="AF26" s="364"/>
      <c r="AG26" s="361"/>
      <c r="AH26" s="365"/>
      <c r="AI26" s="361"/>
      <c r="AJ26" s="361"/>
      <c r="AK26" s="361"/>
      <c r="AL26" s="361"/>
      <c r="AM26" s="361"/>
      <c r="AN26" s="361"/>
      <c r="AO26" s="361"/>
      <c r="AP26" s="361"/>
      <c r="AQ26" s="361"/>
      <c r="AR26" s="503"/>
      <c r="AS26" s="489"/>
      <c r="AT26" s="160"/>
      <c r="AU26" s="355"/>
    </row>
    <row r="27" spans="1:47" s="124" customFormat="1" ht="21.75" hidden="1" customHeight="1">
      <c r="A27" s="331">
        <v>26</v>
      </c>
      <c r="B27" s="159" t="s">
        <v>614</v>
      </c>
      <c r="C27" s="361" t="s">
        <v>615</v>
      </c>
      <c r="D27" s="436" t="s">
        <v>616</v>
      </c>
      <c r="E27" s="361" t="str">
        <f t="shared" si="0"/>
        <v>LOSS</v>
      </c>
      <c r="F27" s="361"/>
      <c r="G27" s="361"/>
      <c r="H27" s="361" t="s">
        <v>327</v>
      </c>
      <c r="I27" s="160" t="s">
        <v>346</v>
      </c>
      <c r="J27" s="361" t="s">
        <v>617</v>
      </c>
      <c r="K27" s="365"/>
      <c r="L27" s="361"/>
      <c r="M27" s="361"/>
      <c r="N27" s="361"/>
      <c r="O27" s="366"/>
      <c r="P27" s="366">
        <v>42000000</v>
      </c>
      <c r="Q27" s="366"/>
      <c r="R27" s="366"/>
      <c r="S27" s="366">
        <v>12000000</v>
      </c>
      <c r="T27" s="361"/>
      <c r="U27" s="348">
        <v>43834</v>
      </c>
      <c r="V27" s="348">
        <v>44286</v>
      </c>
      <c r="W27" s="361" t="s">
        <v>250</v>
      </c>
      <c r="X27" s="361"/>
      <c r="Y27" s="361"/>
      <c r="Z27" s="361"/>
      <c r="AA27" s="361"/>
      <c r="AB27" s="361"/>
      <c r="AC27" s="361" t="s">
        <v>618</v>
      </c>
      <c r="AD27" s="363">
        <v>4500014234</v>
      </c>
      <c r="AE27" s="364"/>
      <c r="AF27" s="364"/>
      <c r="AG27" s="361"/>
      <c r="AH27" s="365"/>
      <c r="AI27" s="361"/>
      <c r="AJ27" s="361"/>
      <c r="AK27" s="361"/>
      <c r="AL27" s="361"/>
      <c r="AM27" s="361"/>
      <c r="AN27" s="361"/>
      <c r="AO27" s="361"/>
      <c r="AP27" s="361"/>
      <c r="AQ27" s="361"/>
      <c r="AR27" s="503"/>
      <c r="AS27" s="489"/>
      <c r="AT27" s="160"/>
      <c r="AU27" s="355"/>
    </row>
    <row r="28" spans="1:47" s="124" customFormat="1" ht="21.75" hidden="1" customHeight="1">
      <c r="A28" s="331">
        <v>27</v>
      </c>
      <c r="B28" s="361" t="s">
        <v>609</v>
      </c>
      <c r="C28" s="361" t="s">
        <v>619</v>
      </c>
      <c r="D28" s="435" t="s">
        <v>611</v>
      </c>
      <c r="E28" s="361" t="str">
        <f t="shared" si="0"/>
        <v>LOSS</v>
      </c>
      <c r="F28" s="361"/>
      <c r="G28" s="361"/>
      <c r="H28" s="361" t="s">
        <v>327</v>
      </c>
      <c r="I28" s="160" t="s">
        <v>346</v>
      </c>
      <c r="J28" s="361" t="s">
        <v>620</v>
      </c>
      <c r="K28" s="365"/>
      <c r="L28" s="361"/>
      <c r="M28" s="361"/>
      <c r="N28" s="361"/>
      <c r="O28" s="366"/>
      <c r="P28" s="366">
        <v>439800000</v>
      </c>
      <c r="Q28" s="366"/>
      <c r="R28" s="366"/>
      <c r="S28" s="366">
        <v>151200000</v>
      </c>
      <c r="T28" s="361"/>
      <c r="U28" s="348">
        <v>43936</v>
      </c>
      <c r="V28" s="348">
        <v>44300</v>
      </c>
      <c r="W28" s="361" t="s">
        <v>250</v>
      </c>
      <c r="X28" s="361"/>
      <c r="Y28" s="361"/>
      <c r="Z28" s="361"/>
      <c r="AA28" s="361"/>
      <c r="AB28" s="361"/>
      <c r="AC28" s="361" t="s">
        <v>621</v>
      </c>
      <c r="AD28" s="363">
        <v>4500014236</v>
      </c>
      <c r="AE28" s="364"/>
      <c r="AF28" s="364"/>
      <c r="AG28" s="361"/>
      <c r="AH28" s="365"/>
      <c r="AI28" s="361"/>
      <c r="AJ28" s="361"/>
      <c r="AK28" s="361"/>
      <c r="AL28" s="361"/>
      <c r="AM28" s="361"/>
      <c r="AN28" s="361"/>
      <c r="AO28" s="361"/>
      <c r="AP28" s="361"/>
      <c r="AQ28" s="361"/>
      <c r="AR28" s="503"/>
      <c r="AS28" s="489"/>
      <c r="AT28" s="160"/>
      <c r="AU28" s="355"/>
    </row>
    <row r="29" spans="1:47" s="124" customFormat="1" ht="21.75" hidden="1" customHeight="1">
      <c r="A29" s="331">
        <v>28</v>
      </c>
      <c r="B29" s="361" t="s">
        <v>609</v>
      </c>
      <c r="C29" s="361" t="s">
        <v>619</v>
      </c>
      <c r="D29" s="436" t="s">
        <v>611</v>
      </c>
      <c r="E29" s="361" t="str">
        <f t="shared" si="0"/>
        <v>LOSS</v>
      </c>
      <c r="F29" s="361"/>
      <c r="G29" s="361"/>
      <c r="H29" s="361" t="s">
        <v>327</v>
      </c>
      <c r="I29" s="361" t="s">
        <v>242</v>
      </c>
      <c r="J29" s="361" t="s">
        <v>620</v>
      </c>
      <c r="K29" s="365"/>
      <c r="L29" s="361"/>
      <c r="M29" s="361"/>
      <c r="N29" s="361"/>
      <c r="O29" s="362"/>
      <c r="P29" s="362">
        <v>439800000</v>
      </c>
      <c r="Q29" s="362"/>
      <c r="R29" s="362"/>
      <c r="S29" s="366">
        <v>151200000</v>
      </c>
      <c r="T29" s="361"/>
      <c r="U29" s="348">
        <v>43936</v>
      </c>
      <c r="V29" s="348">
        <v>44300</v>
      </c>
      <c r="W29" s="361" t="s">
        <v>250</v>
      </c>
      <c r="X29" s="361"/>
      <c r="Y29" s="361"/>
      <c r="Z29" s="361"/>
      <c r="AA29" s="361"/>
      <c r="AB29" s="361"/>
      <c r="AC29" s="361" t="s">
        <v>622</v>
      </c>
      <c r="AD29" s="363">
        <v>4500014237</v>
      </c>
      <c r="AE29" s="364"/>
      <c r="AF29" s="364"/>
      <c r="AG29" s="361"/>
      <c r="AH29" s="365"/>
      <c r="AI29" s="361"/>
      <c r="AJ29" s="361"/>
      <c r="AK29" s="361"/>
      <c r="AL29" s="361"/>
      <c r="AM29" s="361"/>
      <c r="AN29" s="361"/>
      <c r="AO29" s="361"/>
      <c r="AP29" s="361"/>
      <c r="AQ29" s="361"/>
      <c r="AR29" s="503"/>
      <c r="AS29" s="489"/>
      <c r="AT29" s="160"/>
      <c r="AU29" s="355"/>
    </row>
    <row r="30" spans="1:47" s="124" customFormat="1" ht="21.75" hidden="1" customHeight="1">
      <c r="A30" s="331">
        <v>29</v>
      </c>
      <c r="B30" s="361" t="s">
        <v>623</v>
      </c>
      <c r="C30" s="361" t="s">
        <v>624</v>
      </c>
      <c r="D30" s="435" t="s">
        <v>625</v>
      </c>
      <c r="E30" s="361" t="str">
        <f t="shared" si="0"/>
        <v>LOSS</v>
      </c>
      <c r="F30" s="361"/>
      <c r="G30" s="361"/>
      <c r="H30" s="361" t="s">
        <v>327</v>
      </c>
      <c r="I30" s="361" t="s">
        <v>242</v>
      </c>
      <c r="J30" s="361" t="s">
        <v>626</v>
      </c>
      <c r="K30" s="365"/>
      <c r="L30" s="361"/>
      <c r="M30" s="361"/>
      <c r="N30" s="361"/>
      <c r="O30" s="362">
        <v>2500000</v>
      </c>
      <c r="P30" s="362">
        <v>28800000</v>
      </c>
      <c r="Q30" s="362"/>
      <c r="R30" s="362">
        <v>5000000</v>
      </c>
      <c r="S30" s="362">
        <v>12000000</v>
      </c>
      <c r="T30" s="361"/>
      <c r="U30" s="348">
        <v>43861</v>
      </c>
      <c r="V30" s="348">
        <v>44226</v>
      </c>
      <c r="W30" s="361" t="s">
        <v>250</v>
      </c>
      <c r="X30" s="361"/>
      <c r="Y30" s="361"/>
      <c r="Z30" s="361"/>
      <c r="AA30" s="361"/>
      <c r="AB30" s="361"/>
      <c r="AC30" s="361" t="s">
        <v>627</v>
      </c>
      <c r="AD30" s="363">
        <v>4500013932</v>
      </c>
      <c r="AE30" s="364"/>
      <c r="AF30" s="364"/>
      <c r="AG30" s="361"/>
      <c r="AH30" s="365"/>
      <c r="AI30" s="361"/>
      <c r="AJ30" s="361"/>
      <c r="AK30" s="361"/>
      <c r="AL30" s="361"/>
      <c r="AM30" s="361"/>
      <c r="AN30" s="361"/>
      <c r="AO30" s="361"/>
      <c r="AP30" s="361"/>
      <c r="AQ30" s="361"/>
      <c r="AR30" s="503"/>
      <c r="AS30" s="489"/>
      <c r="AT30" s="160"/>
      <c r="AU30" s="355"/>
    </row>
    <row r="31" spans="1:47" s="124" customFormat="1" ht="21.75" hidden="1" customHeight="1">
      <c r="A31" s="331">
        <v>30</v>
      </c>
      <c r="B31" s="361" t="s">
        <v>628</v>
      </c>
      <c r="C31" s="361" t="s">
        <v>629</v>
      </c>
      <c r="D31" s="436" t="s">
        <v>630</v>
      </c>
      <c r="E31" s="361" t="str">
        <f t="shared" si="0"/>
        <v>LOSS</v>
      </c>
      <c r="F31" s="361"/>
      <c r="G31" s="361"/>
      <c r="H31" s="361" t="s">
        <v>327</v>
      </c>
      <c r="I31" s="361" t="s">
        <v>242</v>
      </c>
      <c r="J31" s="361" t="s">
        <v>631</v>
      </c>
      <c r="K31" s="365"/>
      <c r="L31" s="361"/>
      <c r="M31" s="361"/>
      <c r="N31" s="361"/>
      <c r="O31" s="362">
        <v>5000000</v>
      </c>
      <c r="P31" s="362">
        <v>180000000</v>
      </c>
      <c r="Q31" s="362"/>
      <c r="R31" s="362"/>
      <c r="S31" s="362">
        <v>3000000</v>
      </c>
      <c r="T31" s="361"/>
      <c r="U31" s="348">
        <v>44035</v>
      </c>
      <c r="V31" s="348">
        <v>44399</v>
      </c>
      <c r="W31" s="361" t="s">
        <v>250</v>
      </c>
      <c r="X31" s="361"/>
      <c r="Y31" s="361"/>
      <c r="Z31" s="361"/>
      <c r="AA31" s="361"/>
      <c r="AB31" s="361"/>
      <c r="AC31" s="361" t="s">
        <v>632</v>
      </c>
      <c r="AD31" s="363">
        <v>4500014708</v>
      </c>
      <c r="AE31" s="364"/>
      <c r="AF31" s="364"/>
      <c r="AG31" s="160" t="s">
        <v>633</v>
      </c>
      <c r="AH31" s="174" t="s">
        <v>634</v>
      </c>
      <c r="AI31" s="361"/>
      <c r="AJ31" s="361"/>
      <c r="AK31" s="361"/>
      <c r="AL31" s="361"/>
      <c r="AM31" s="361"/>
      <c r="AN31" s="361"/>
      <c r="AO31" s="361"/>
      <c r="AP31" s="361"/>
      <c r="AQ31" s="361"/>
      <c r="AR31" s="503"/>
      <c r="AS31" s="489"/>
      <c r="AT31" s="160"/>
      <c r="AU31" s="355"/>
    </row>
    <row r="32" spans="1:47" s="124" customFormat="1" ht="21.75" hidden="1" customHeight="1">
      <c r="A32" s="331">
        <v>31</v>
      </c>
      <c r="B32" s="28" t="s">
        <v>635</v>
      </c>
      <c r="C32" s="361" t="s">
        <v>636</v>
      </c>
      <c r="D32" s="435" t="s">
        <v>539</v>
      </c>
      <c r="E32" s="361" t="str">
        <f t="shared" si="0"/>
        <v>LOSS</v>
      </c>
      <c r="F32" s="361"/>
      <c r="G32" s="361"/>
      <c r="H32" s="361" t="s">
        <v>327</v>
      </c>
      <c r="I32" s="361" t="s">
        <v>242</v>
      </c>
      <c r="J32" s="361" t="s">
        <v>637</v>
      </c>
      <c r="K32" s="365"/>
      <c r="L32" s="361"/>
      <c r="M32" s="361"/>
      <c r="N32" s="361"/>
      <c r="O32" s="362">
        <v>10000000</v>
      </c>
      <c r="P32" s="369" t="s">
        <v>638</v>
      </c>
      <c r="Q32" s="362"/>
      <c r="R32" s="362"/>
      <c r="S32" s="362">
        <v>24000000</v>
      </c>
      <c r="T32" s="361"/>
      <c r="U32" s="348">
        <v>43946</v>
      </c>
      <c r="V32" s="348">
        <v>44310</v>
      </c>
      <c r="W32" s="361" t="s">
        <v>250</v>
      </c>
      <c r="X32" s="361"/>
      <c r="Y32" s="361"/>
      <c r="Z32" s="361"/>
      <c r="AA32" s="361"/>
      <c r="AB32" s="361"/>
      <c r="AC32" s="361" t="s">
        <v>639</v>
      </c>
      <c r="AD32" s="363">
        <v>4500014318</v>
      </c>
      <c r="AE32" s="364"/>
      <c r="AF32" s="364"/>
      <c r="AG32" s="361"/>
      <c r="AH32" s="365"/>
      <c r="AI32" s="361"/>
      <c r="AJ32" s="361"/>
      <c r="AK32" s="361"/>
      <c r="AL32" s="361"/>
      <c r="AM32" s="361"/>
      <c r="AN32" s="361"/>
      <c r="AO32" s="361"/>
      <c r="AP32" s="361"/>
      <c r="AQ32" s="361"/>
      <c r="AR32" s="503"/>
      <c r="AS32" s="489"/>
      <c r="AT32" s="160"/>
      <c r="AU32" s="355"/>
    </row>
    <row r="33" spans="1:47" s="124" customFormat="1" ht="21.75" hidden="1" customHeight="1">
      <c r="A33" s="331">
        <v>32</v>
      </c>
      <c r="B33" s="361" t="s">
        <v>640</v>
      </c>
      <c r="C33" s="361" t="s">
        <v>641</v>
      </c>
      <c r="D33" s="436" t="s">
        <v>642</v>
      </c>
      <c r="E33" s="361" t="str">
        <f t="shared" si="0"/>
        <v>LOSS</v>
      </c>
      <c r="F33" s="361"/>
      <c r="G33" s="361"/>
      <c r="H33" s="361" t="s">
        <v>327</v>
      </c>
      <c r="I33" s="160" t="s">
        <v>346</v>
      </c>
      <c r="J33" s="361" t="s">
        <v>643</v>
      </c>
      <c r="K33" s="365"/>
      <c r="L33" s="361"/>
      <c r="M33" s="361"/>
      <c r="N33" s="361"/>
      <c r="O33" s="362">
        <v>20000000</v>
      </c>
      <c r="P33" s="362">
        <v>180000000</v>
      </c>
      <c r="Q33" s="362"/>
      <c r="R33" s="362"/>
      <c r="S33" s="362">
        <v>60500000</v>
      </c>
      <c r="T33" s="361"/>
      <c r="U33" s="348">
        <v>43835</v>
      </c>
      <c r="V33" s="348">
        <v>44316</v>
      </c>
      <c r="W33" s="361" t="s">
        <v>250</v>
      </c>
      <c r="X33" s="361"/>
      <c r="Y33" s="361"/>
      <c r="Z33" s="361"/>
      <c r="AA33" s="361"/>
      <c r="AB33" s="361"/>
      <c r="AC33" s="361" t="s">
        <v>644</v>
      </c>
      <c r="AD33" s="363">
        <v>4500013808</v>
      </c>
      <c r="AE33" s="364"/>
      <c r="AF33" s="364"/>
      <c r="AG33" s="361"/>
      <c r="AH33" s="365"/>
      <c r="AI33" s="361"/>
      <c r="AJ33" s="361"/>
      <c r="AK33" s="361"/>
      <c r="AL33" s="361"/>
      <c r="AM33" s="361"/>
      <c r="AN33" s="361"/>
      <c r="AO33" s="361"/>
      <c r="AP33" s="361"/>
      <c r="AQ33" s="361"/>
      <c r="AR33" s="503"/>
      <c r="AS33" s="489"/>
      <c r="AT33" s="160"/>
      <c r="AU33" s="355"/>
    </row>
    <row r="34" spans="1:47" s="124" customFormat="1" ht="21.75" hidden="1" customHeight="1">
      <c r="A34" s="331">
        <v>33</v>
      </c>
      <c r="B34" s="361" t="s">
        <v>645</v>
      </c>
      <c r="C34" s="361" t="s">
        <v>349</v>
      </c>
      <c r="D34" s="435" t="s">
        <v>646</v>
      </c>
      <c r="E34" s="361" t="str">
        <f t="shared" si="0"/>
        <v>LOSS</v>
      </c>
      <c r="F34" s="361"/>
      <c r="G34" s="361"/>
      <c r="H34" s="361" t="s">
        <v>327</v>
      </c>
      <c r="I34" s="160" t="s">
        <v>346</v>
      </c>
      <c r="J34" s="361" t="s">
        <v>203</v>
      </c>
      <c r="K34" s="365"/>
      <c r="L34" s="361"/>
      <c r="M34" s="361"/>
      <c r="N34" s="361"/>
      <c r="O34" s="362"/>
      <c r="P34" s="362">
        <v>34800000</v>
      </c>
      <c r="Q34" s="362"/>
      <c r="R34" s="362"/>
      <c r="S34" s="362">
        <v>3000000</v>
      </c>
      <c r="T34" s="361"/>
      <c r="U34" s="367">
        <v>44044</v>
      </c>
      <c r="V34" s="367">
        <v>44378</v>
      </c>
      <c r="W34" s="361" t="s">
        <v>250</v>
      </c>
      <c r="X34" s="361"/>
      <c r="Y34" s="361"/>
      <c r="Z34" s="361"/>
      <c r="AA34" s="361"/>
      <c r="AB34" s="361"/>
      <c r="AC34" s="361" t="s">
        <v>647</v>
      </c>
      <c r="AD34" s="363">
        <v>4500013766</v>
      </c>
      <c r="AE34" s="364"/>
      <c r="AF34" s="364"/>
      <c r="AG34" s="361"/>
      <c r="AH34" s="365"/>
      <c r="AI34" s="361"/>
      <c r="AJ34" s="361"/>
      <c r="AK34" s="361"/>
      <c r="AL34" s="361"/>
      <c r="AM34" s="361"/>
      <c r="AN34" s="361"/>
      <c r="AO34" s="361"/>
      <c r="AP34" s="361"/>
      <c r="AQ34" s="361"/>
      <c r="AR34" s="503"/>
      <c r="AS34" s="489"/>
      <c r="AT34" s="160"/>
      <c r="AU34" s="355"/>
    </row>
    <row r="35" spans="1:47" s="124" customFormat="1" ht="21.75" hidden="1" customHeight="1">
      <c r="A35" s="331">
        <v>34</v>
      </c>
      <c r="B35" s="361" t="s">
        <v>169</v>
      </c>
      <c r="C35" s="361" t="s">
        <v>648</v>
      </c>
      <c r="D35" s="436" t="s">
        <v>560</v>
      </c>
      <c r="E35" s="361" t="str">
        <f t="shared" si="0"/>
        <v>LOSS</v>
      </c>
      <c r="F35" s="361"/>
      <c r="G35" s="361"/>
      <c r="H35" s="361" t="s">
        <v>327</v>
      </c>
      <c r="I35" s="361" t="s">
        <v>242</v>
      </c>
      <c r="J35" s="361" t="s">
        <v>649</v>
      </c>
      <c r="K35" s="365"/>
      <c r="L35" s="361"/>
      <c r="M35" s="361"/>
      <c r="N35" s="361"/>
      <c r="O35" s="362">
        <v>5000000</v>
      </c>
      <c r="P35" s="369" t="s">
        <v>650</v>
      </c>
      <c r="Q35" s="362"/>
      <c r="R35" s="362"/>
      <c r="S35" s="362">
        <v>38500000</v>
      </c>
      <c r="T35" s="361"/>
      <c r="U35" s="367">
        <v>43897</v>
      </c>
      <c r="V35" s="367">
        <v>44234</v>
      </c>
      <c r="W35" s="361" t="s">
        <v>250</v>
      </c>
      <c r="X35" s="361"/>
      <c r="Y35" s="361"/>
      <c r="Z35" s="361"/>
      <c r="AA35" s="361"/>
      <c r="AB35" s="361"/>
      <c r="AC35" s="361" t="s">
        <v>651</v>
      </c>
      <c r="AD35" s="363">
        <v>4500014453</v>
      </c>
      <c r="AE35" s="364"/>
      <c r="AF35" s="364"/>
      <c r="AG35" s="361"/>
      <c r="AH35" s="365"/>
      <c r="AI35" s="361"/>
      <c r="AJ35" s="361"/>
      <c r="AK35" s="361"/>
      <c r="AL35" s="361"/>
      <c r="AM35" s="361"/>
      <c r="AN35" s="361"/>
      <c r="AO35" s="361"/>
      <c r="AP35" s="361"/>
      <c r="AQ35" s="361"/>
      <c r="AR35" s="503"/>
      <c r="AS35" s="489"/>
      <c r="AT35" s="160"/>
      <c r="AU35" s="355"/>
    </row>
    <row r="36" spans="1:47" s="124" customFormat="1" ht="21.75" hidden="1" customHeight="1">
      <c r="A36" s="331">
        <v>35</v>
      </c>
      <c r="B36" s="361" t="s">
        <v>609</v>
      </c>
      <c r="C36" s="361" t="s">
        <v>562</v>
      </c>
      <c r="D36" s="435" t="s">
        <v>611</v>
      </c>
      <c r="E36" s="361" t="str">
        <f t="shared" si="0"/>
        <v>LOSS</v>
      </c>
      <c r="F36" s="361"/>
      <c r="G36" s="361"/>
      <c r="H36" s="361" t="s">
        <v>327</v>
      </c>
      <c r="I36" s="361" t="s">
        <v>242</v>
      </c>
      <c r="J36" s="361" t="s">
        <v>652</v>
      </c>
      <c r="K36" s="365"/>
      <c r="L36" s="361"/>
      <c r="M36" s="361"/>
      <c r="N36" s="361"/>
      <c r="O36" s="362">
        <v>5000000</v>
      </c>
      <c r="P36" s="362">
        <v>54000000</v>
      </c>
      <c r="Q36" s="362"/>
      <c r="R36" s="362">
        <v>4000000</v>
      </c>
      <c r="S36" s="362">
        <v>24000000</v>
      </c>
      <c r="T36" s="361"/>
      <c r="U36" s="348">
        <v>44038</v>
      </c>
      <c r="V36" s="348">
        <v>44402</v>
      </c>
      <c r="W36" s="361" t="s">
        <v>250</v>
      </c>
      <c r="X36" s="361"/>
      <c r="Y36" s="361"/>
      <c r="Z36" s="361"/>
      <c r="AA36" s="361"/>
      <c r="AB36" s="361"/>
      <c r="AC36" s="361" t="s">
        <v>653</v>
      </c>
      <c r="AD36" s="363">
        <v>4500014447</v>
      </c>
      <c r="AE36" s="364"/>
      <c r="AF36" s="364"/>
      <c r="AG36" s="361"/>
      <c r="AH36" s="365"/>
      <c r="AI36" s="361"/>
      <c r="AJ36" s="361"/>
      <c r="AK36" s="361"/>
      <c r="AL36" s="361"/>
      <c r="AM36" s="361"/>
      <c r="AN36" s="361"/>
      <c r="AO36" s="361"/>
      <c r="AP36" s="361"/>
      <c r="AQ36" s="361"/>
      <c r="AR36" s="503"/>
      <c r="AS36" s="489"/>
      <c r="AT36" s="160"/>
      <c r="AU36" s="355"/>
    </row>
    <row r="37" spans="1:47" s="124" customFormat="1" ht="21.75" hidden="1" customHeight="1">
      <c r="A37" s="331">
        <v>36</v>
      </c>
      <c r="B37" s="28" t="s">
        <v>179</v>
      </c>
      <c r="C37" s="361" t="s">
        <v>654</v>
      </c>
      <c r="D37" s="436" t="s">
        <v>539</v>
      </c>
      <c r="E37" s="361" t="str">
        <f t="shared" si="0"/>
        <v>LOSS</v>
      </c>
      <c r="F37" s="361"/>
      <c r="G37" s="361"/>
      <c r="H37" s="361" t="s">
        <v>327</v>
      </c>
      <c r="I37" s="361" t="s">
        <v>242</v>
      </c>
      <c r="J37" s="361" t="s">
        <v>655</v>
      </c>
      <c r="K37" s="365"/>
      <c r="L37" s="361"/>
      <c r="M37" s="361"/>
      <c r="N37" s="361"/>
      <c r="O37" s="362">
        <v>3000000</v>
      </c>
      <c r="P37" s="362">
        <v>300000000</v>
      </c>
      <c r="Q37" s="362"/>
      <c r="R37" s="362">
        <v>2500000</v>
      </c>
      <c r="S37" s="362">
        <v>2500000</v>
      </c>
      <c r="T37" s="361"/>
      <c r="U37" s="348">
        <v>44103</v>
      </c>
      <c r="V37" s="348">
        <v>44467</v>
      </c>
      <c r="W37" s="361" t="s">
        <v>250</v>
      </c>
      <c r="X37" s="361"/>
      <c r="Y37" s="361"/>
      <c r="Z37" s="361"/>
      <c r="AA37" s="361"/>
      <c r="AB37" s="361"/>
      <c r="AC37" s="361" t="s">
        <v>656</v>
      </c>
      <c r="AD37" s="363">
        <v>4500015060</v>
      </c>
      <c r="AE37" s="364"/>
      <c r="AF37" s="364"/>
      <c r="AG37" s="361"/>
      <c r="AH37" s="365"/>
      <c r="AI37" s="361"/>
      <c r="AJ37" s="361"/>
      <c r="AK37" s="361"/>
      <c r="AL37" s="361"/>
      <c r="AM37" s="361"/>
      <c r="AN37" s="361"/>
      <c r="AO37" s="361"/>
      <c r="AP37" s="361"/>
      <c r="AQ37" s="361"/>
      <c r="AR37" s="503"/>
      <c r="AS37" s="489"/>
      <c r="AT37" s="160"/>
      <c r="AU37" s="355"/>
    </row>
    <row r="38" spans="1:47" s="124" customFormat="1" ht="21.75" hidden="1" customHeight="1">
      <c r="A38" s="331">
        <v>37</v>
      </c>
      <c r="B38" s="361" t="s">
        <v>657</v>
      </c>
      <c r="C38" s="361" t="s">
        <v>658</v>
      </c>
      <c r="D38" s="435" t="s">
        <v>544</v>
      </c>
      <c r="E38" s="361" t="str">
        <f t="shared" si="0"/>
        <v>LOSS</v>
      </c>
      <c r="F38" s="361"/>
      <c r="G38" s="361"/>
      <c r="H38" s="361" t="s">
        <v>327</v>
      </c>
      <c r="I38" s="160" t="s">
        <v>346</v>
      </c>
      <c r="J38" s="361" t="s">
        <v>659</v>
      </c>
      <c r="K38" s="365"/>
      <c r="L38" s="361"/>
      <c r="M38" s="361"/>
      <c r="N38" s="361"/>
      <c r="O38" s="362"/>
      <c r="P38" s="362">
        <v>840000000</v>
      </c>
      <c r="Q38" s="362"/>
      <c r="R38" s="362"/>
      <c r="S38" s="362">
        <v>110000000</v>
      </c>
      <c r="T38" s="361"/>
      <c r="U38" s="348">
        <v>43838</v>
      </c>
      <c r="V38" s="348">
        <v>44408</v>
      </c>
      <c r="W38" s="361" t="s">
        <v>250</v>
      </c>
      <c r="X38" s="361"/>
      <c r="Y38" s="361"/>
      <c r="Z38" s="361"/>
      <c r="AA38" s="361"/>
      <c r="AB38" s="361"/>
      <c r="AC38" s="361" t="s">
        <v>660</v>
      </c>
      <c r="AD38" s="363">
        <v>4500014650</v>
      </c>
      <c r="AE38" s="364"/>
      <c r="AF38" s="364"/>
      <c r="AG38" s="361"/>
      <c r="AH38" s="365"/>
      <c r="AI38" s="361"/>
      <c r="AJ38" s="361"/>
      <c r="AK38" s="361"/>
      <c r="AL38" s="361"/>
      <c r="AM38" s="361"/>
      <c r="AN38" s="361"/>
      <c r="AO38" s="361"/>
      <c r="AP38" s="361"/>
      <c r="AQ38" s="361"/>
      <c r="AR38" s="503"/>
      <c r="AS38" s="489"/>
      <c r="AT38" s="160"/>
      <c r="AU38" s="355"/>
    </row>
    <row r="39" spans="1:47" s="124" customFormat="1" ht="21.75" hidden="1" customHeight="1">
      <c r="A39" s="331">
        <v>38</v>
      </c>
      <c r="B39" s="361" t="s">
        <v>609</v>
      </c>
      <c r="C39" s="361" t="s">
        <v>661</v>
      </c>
      <c r="D39" s="436" t="s">
        <v>611</v>
      </c>
      <c r="E39" s="361" t="str">
        <f t="shared" si="0"/>
        <v>LOSS</v>
      </c>
      <c r="F39" s="361"/>
      <c r="G39" s="361"/>
      <c r="H39" s="361" t="s">
        <v>327</v>
      </c>
      <c r="I39" s="361" t="s">
        <v>242</v>
      </c>
      <c r="J39" s="361" t="s">
        <v>662</v>
      </c>
      <c r="K39" s="365"/>
      <c r="L39" s="361"/>
      <c r="M39" s="361"/>
      <c r="N39" s="361"/>
      <c r="O39" s="362"/>
      <c r="P39" s="362">
        <v>238909080</v>
      </c>
      <c r="Q39" s="362"/>
      <c r="R39" s="362">
        <v>3000000</v>
      </c>
      <c r="S39" s="362">
        <v>6000000</v>
      </c>
      <c r="T39" s="361"/>
      <c r="U39" s="367">
        <v>44014</v>
      </c>
      <c r="V39" s="367">
        <v>44349</v>
      </c>
      <c r="W39" s="361" t="s">
        <v>250</v>
      </c>
      <c r="X39" s="361"/>
      <c r="Y39" s="361"/>
      <c r="Z39" s="361"/>
      <c r="AA39" s="361"/>
      <c r="AB39" s="361"/>
      <c r="AC39" s="361" t="s">
        <v>663</v>
      </c>
      <c r="AD39" s="363">
        <v>4500013871</v>
      </c>
      <c r="AE39" s="364"/>
      <c r="AF39" s="364"/>
      <c r="AG39" s="361"/>
      <c r="AH39" s="365"/>
      <c r="AI39" s="361"/>
      <c r="AJ39" s="361"/>
      <c r="AK39" s="361"/>
      <c r="AL39" s="361"/>
      <c r="AM39" s="361"/>
      <c r="AN39" s="361"/>
      <c r="AO39" s="361"/>
      <c r="AP39" s="361"/>
      <c r="AQ39" s="361"/>
      <c r="AR39" s="503"/>
      <c r="AS39" s="489"/>
      <c r="AT39" s="160"/>
      <c r="AU39" s="355"/>
    </row>
    <row r="40" spans="1:47" s="124" customFormat="1" ht="21.75" hidden="1" customHeight="1">
      <c r="A40" s="331">
        <v>39</v>
      </c>
      <c r="B40" s="361" t="s">
        <v>664</v>
      </c>
      <c r="C40" s="361" t="s">
        <v>665</v>
      </c>
      <c r="D40" s="435" t="s">
        <v>666</v>
      </c>
      <c r="E40" s="361" t="str">
        <f t="shared" si="0"/>
        <v>LOSS</v>
      </c>
      <c r="F40" s="361"/>
      <c r="G40" s="361"/>
      <c r="H40" s="28" t="s">
        <v>261</v>
      </c>
      <c r="I40" s="361" t="s">
        <v>243</v>
      </c>
      <c r="J40" s="361" t="s">
        <v>667</v>
      </c>
      <c r="K40" s="361"/>
      <c r="L40" s="361"/>
      <c r="M40" s="361"/>
      <c r="N40" s="361"/>
      <c r="O40" s="362"/>
      <c r="P40" s="362">
        <v>36000000</v>
      </c>
      <c r="Q40" s="362"/>
      <c r="R40" s="362">
        <v>1500000</v>
      </c>
      <c r="S40" s="362">
        <v>18000000</v>
      </c>
      <c r="T40" s="361"/>
      <c r="U40" s="348">
        <v>44089</v>
      </c>
      <c r="V40" s="348">
        <v>44453</v>
      </c>
      <c r="W40" s="361" t="s">
        <v>250</v>
      </c>
      <c r="X40" s="361"/>
      <c r="Y40" s="361"/>
      <c r="Z40" s="361"/>
      <c r="AA40" s="361"/>
      <c r="AB40" s="361"/>
      <c r="AC40" s="361" t="s">
        <v>668</v>
      </c>
      <c r="AD40" s="363">
        <v>4500015790</v>
      </c>
      <c r="AE40" s="364"/>
      <c r="AF40" s="364"/>
      <c r="AG40" s="361"/>
      <c r="AH40" s="361"/>
      <c r="AI40" s="361"/>
      <c r="AJ40" s="361"/>
      <c r="AK40" s="361"/>
      <c r="AL40" s="361"/>
      <c r="AM40" s="361"/>
      <c r="AN40" s="361"/>
      <c r="AO40" s="361"/>
      <c r="AP40" s="361"/>
      <c r="AQ40" s="361"/>
      <c r="AR40" s="503"/>
      <c r="AS40" s="489"/>
      <c r="AT40" s="160"/>
      <c r="AU40" s="355"/>
    </row>
    <row r="41" spans="1:47" s="124" customFormat="1" ht="21.75" hidden="1" customHeight="1">
      <c r="A41" s="331">
        <v>40</v>
      </c>
      <c r="B41" s="28" t="s">
        <v>669</v>
      </c>
      <c r="C41" s="361" t="s">
        <v>670</v>
      </c>
      <c r="D41" s="436" t="s">
        <v>671</v>
      </c>
      <c r="E41" s="361" t="str">
        <f t="shared" si="0"/>
        <v>LOSS</v>
      </c>
      <c r="F41" s="361"/>
      <c r="G41" s="361"/>
      <c r="H41" s="361" t="s">
        <v>327</v>
      </c>
      <c r="I41" s="160" t="s">
        <v>346</v>
      </c>
      <c r="J41" s="361" t="s">
        <v>672</v>
      </c>
      <c r="K41" s="365"/>
      <c r="L41" s="361"/>
      <c r="M41" s="361"/>
      <c r="N41" s="361"/>
      <c r="O41" s="370" t="s">
        <v>115</v>
      </c>
      <c r="P41" s="371">
        <v>144000000</v>
      </c>
      <c r="Q41" s="372"/>
      <c r="R41" s="372">
        <v>200000</v>
      </c>
      <c r="S41" s="372">
        <v>109511230</v>
      </c>
      <c r="T41" s="361"/>
      <c r="U41" s="373">
        <v>43831</v>
      </c>
      <c r="V41" s="367">
        <v>44439</v>
      </c>
      <c r="W41" s="361" t="s">
        <v>250</v>
      </c>
      <c r="X41" s="361"/>
      <c r="Y41" s="361"/>
      <c r="Z41" s="361"/>
      <c r="AA41" s="361"/>
      <c r="AB41" s="361"/>
      <c r="AC41" s="361" t="s">
        <v>673</v>
      </c>
      <c r="AD41" s="361">
        <v>4500014841</v>
      </c>
      <c r="AE41" s="364"/>
      <c r="AF41" s="364"/>
      <c r="AG41" s="361"/>
      <c r="AH41" s="365"/>
      <c r="AI41" s="361"/>
      <c r="AJ41" s="361"/>
      <c r="AK41" s="361"/>
      <c r="AL41" s="361"/>
      <c r="AM41" s="361"/>
      <c r="AN41" s="361"/>
      <c r="AO41" s="361"/>
      <c r="AP41" s="361"/>
      <c r="AQ41" s="361"/>
      <c r="AR41" s="503"/>
      <c r="AS41" s="489"/>
      <c r="AT41" s="160"/>
      <c r="AU41" s="355"/>
    </row>
    <row r="42" spans="1:47" s="124" customFormat="1" ht="21.75" hidden="1" customHeight="1">
      <c r="A42" s="331">
        <v>41</v>
      </c>
      <c r="B42" s="28" t="s">
        <v>669</v>
      </c>
      <c r="C42" s="361" t="s">
        <v>674</v>
      </c>
      <c r="D42" s="435" t="s">
        <v>675</v>
      </c>
      <c r="E42" s="361" t="str">
        <f t="shared" si="0"/>
        <v>LOSS</v>
      </c>
      <c r="F42" s="361"/>
      <c r="G42" s="361"/>
      <c r="H42" s="361" t="s">
        <v>327</v>
      </c>
      <c r="I42" s="160" t="s">
        <v>346</v>
      </c>
      <c r="J42" s="361" t="s">
        <v>676</v>
      </c>
      <c r="K42" s="365"/>
      <c r="L42" s="361"/>
      <c r="M42" s="361"/>
      <c r="N42" s="361"/>
      <c r="O42" s="374" t="s">
        <v>115</v>
      </c>
      <c r="P42" s="372">
        <v>49200000</v>
      </c>
      <c r="Q42" s="372"/>
      <c r="R42" s="375" t="s">
        <v>677</v>
      </c>
      <c r="S42" s="372">
        <v>10000000</v>
      </c>
      <c r="T42" s="361"/>
      <c r="U42" s="373">
        <v>43831</v>
      </c>
      <c r="V42" s="367">
        <v>44561</v>
      </c>
      <c r="W42" s="361" t="s">
        <v>250</v>
      </c>
      <c r="X42" s="361"/>
      <c r="Y42" s="361"/>
      <c r="Z42" s="361"/>
      <c r="AA42" s="361"/>
      <c r="AB42" s="361"/>
      <c r="AC42" s="361" t="s">
        <v>678</v>
      </c>
      <c r="AD42" s="361">
        <v>4500003887</v>
      </c>
      <c r="AE42" s="364"/>
      <c r="AF42" s="364"/>
      <c r="AG42" s="361"/>
      <c r="AH42" s="365"/>
      <c r="AI42" s="361"/>
      <c r="AJ42" s="361"/>
      <c r="AK42" s="361"/>
      <c r="AL42" s="361"/>
      <c r="AM42" s="361"/>
      <c r="AN42" s="361"/>
      <c r="AO42" s="361"/>
      <c r="AP42" s="361"/>
      <c r="AQ42" s="361"/>
      <c r="AR42" s="503"/>
      <c r="AS42" s="489"/>
      <c r="AT42" s="160"/>
      <c r="AU42" s="355"/>
    </row>
    <row r="43" spans="1:47" s="124" customFormat="1" ht="21.75" hidden="1" customHeight="1">
      <c r="A43" s="331">
        <v>42</v>
      </c>
      <c r="B43" s="361" t="s">
        <v>679</v>
      </c>
      <c r="C43" s="361" t="s">
        <v>680</v>
      </c>
      <c r="D43" s="436" t="s">
        <v>681</v>
      </c>
      <c r="E43" s="361" t="str">
        <f t="shared" si="0"/>
        <v>LOSS</v>
      </c>
      <c r="F43" s="361"/>
      <c r="G43" s="361"/>
      <c r="H43" s="361" t="s">
        <v>327</v>
      </c>
      <c r="I43" s="160" t="s">
        <v>346</v>
      </c>
      <c r="J43" s="361" t="s">
        <v>682</v>
      </c>
      <c r="K43" s="365"/>
      <c r="L43" s="361"/>
      <c r="M43" s="361"/>
      <c r="N43" s="361"/>
      <c r="O43" s="374" t="s">
        <v>115</v>
      </c>
      <c r="P43" s="372">
        <v>61704000</v>
      </c>
      <c r="Q43" s="372"/>
      <c r="R43" s="375" t="s">
        <v>677</v>
      </c>
      <c r="S43" s="372">
        <v>9900000</v>
      </c>
      <c r="T43" s="361"/>
      <c r="U43" s="373">
        <v>43939</v>
      </c>
      <c r="V43" s="367">
        <v>44303</v>
      </c>
      <c r="W43" s="361" t="s">
        <v>250</v>
      </c>
      <c r="X43" s="361"/>
      <c r="Y43" s="361"/>
      <c r="Z43" s="361"/>
      <c r="AA43" s="361"/>
      <c r="AB43" s="361"/>
      <c r="AC43" s="159"/>
      <c r="AD43" s="361" t="s">
        <v>683</v>
      </c>
      <c r="AE43" s="364">
        <v>4500014156</v>
      </c>
      <c r="AF43" s="364"/>
      <c r="AG43" s="361"/>
      <c r="AH43" s="365"/>
      <c r="AI43" s="361"/>
      <c r="AJ43" s="361"/>
      <c r="AK43" s="361"/>
      <c r="AL43" s="361"/>
      <c r="AM43" s="361"/>
      <c r="AN43" s="361"/>
      <c r="AO43" s="361"/>
      <c r="AP43" s="361"/>
      <c r="AQ43" s="361"/>
      <c r="AR43" s="503"/>
      <c r="AS43" s="489"/>
      <c r="AT43" s="160"/>
      <c r="AU43" s="355"/>
    </row>
    <row r="44" spans="1:47" s="124" customFormat="1" ht="21.75" hidden="1" customHeight="1">
      <c r="A44" s="331">
        <v>43</v>
      </c>
      <c r="B44" s="361" t="s">
        <v>93</v>
      </c>
      <c r="C44" s="361" t="s">
        <v>684</v>
      </c>
      <c r="D44" s="435" t="s">
        <v>685</v>
      </c>
      <c r="E44" s="361" t="str">
        <f t="shared" si="0"/>
        <v>LOSS</v>
      </c>
      <c r="F44" s="361"/>
      <c r="G44" s="361"/>
      <c r="H44" s="361" t="s">
        <v>327</v>
      </c>
      <c r="I44" s="361" t="s">
        <v>242</v>
      </c>
      <c r="J44" s="361" t="s">
        <v>686</v>
      </c>
      <c r="K44" s="365"/>
      <c r="L44" s="361"/>
      <c r="M44" s="361"/>
      <c r="N44" s="361"/>
      <c r="O44" s="374" t="s">
        <v>115</v>
      </c>
      <c r="P44" s="372">
        <v>72000000</v>
      </c>
      <c r="Q44" s="372"/>
      <c r="R44" s="375" t="s">
        <v>677</v>
      </c>
      <c r="S44" s="372">
        <v>18000000</v>
      </c>
      <c r="T44" s="361"/>
      <c r="U44" s="373">
        <v>43899</v>
      </c>
      <c r="V44" s="367">
        <v>44263</v>
      </c>
      <c r="W44" s="361" t="s">
        <v>250</v>
      </c>
      <c r="X44" s="361"/>
      <c r="Y44" s="361"/>
      <c r="Z44" s="361"/>
      <c r="AA44" s="361"/>
      <c r="AB44" s="361"/>
      <c r="AC44" s="159"/>
      <c r="AD44" s="361" t="s">
        <v>687</v>
      </c>
      <c r="AE44" s="364">
        <v>4500014090</v>
      </c>
      <c r="AF44" s="364"/>
      <c r="AG44" s="361"/>
      <c r="AH44" s="365"/>
      <c r="AI44" s="361"/>
      <c r="AJ44" s="361"/>
      <c r="AK44" s="361"/>
      <c r="AL44" s="361"/>
      <c r="AM44" s="361"/>
      <c r="AN44" s="361"/>
      <c r="AO44" s="361"/>
      <c r="AP44" s="361"/>
      <c r="AQ44" s="361"/>
      <c r="AR44" s="503"/>
      <c r="AS44" s="489"/>
      <c r="AT44" s="160"/>
      <c r="AU44" s="355"/>
    </row>
    <row r="45" spans="1:47" s="124" customFormat="1" ht="21.75" hidden="1" customHeight="1">
      <c r="A45" s="331">
        <v>44</v>
      </c>
      <c r="B45" s="28" t="s">
        <v>119</v>
      </c>
      <c r="C45" s="361" t="s">
        <v>688</v>
      </c>
      <c r="D45" s="436" t="s">
        <v>689</v>
      </c>
      <c r="E45" s="361" t="str">
        <f t="shared" si="0"/>
        <v>LOSS</v>
      </c>
      <c r="F45" s="361"/>
      <c r="G45" s="361"/>
      <c r="H45" s="361" t="s">
        <v>327</v>
      </c>
      <c r="I45" s="160" t="s">
        <v>346</v>
      </c>
      <c r="J45" s="361" t="s">
        <v>690</v>
      </c>
      <c r="K45" s="365"/>
      <c r="L45" s="361"/>
      <c r="M45" s="361"/>
      <c r="N45" s="361"/>
      <c r="O45" s="374" t="s">
        <v>115</v>
      </c>
      <c r="P45" s="372">
        <v>27000000</v>
      </c>
      <c r="Q45" s="372"/>
      <c r="R45" s="375" t="s">
        <v>677</v>
      </c>
      <c r="S45" s="372">
        <v>2500000</v>
      </c>
      <c r="T45" s="361"/>
      <c r="U45" s="373">
        <v>43942</v>
      </c>
      <c r="V45" s="367">
        <v>44306</v>
      </c>
      <c r="W45" s="361" t="s">
        <v>250</v>
      </c>
      <c r="X45" s="361"/>
      <c r="Y45" s="361"/>
      <c r="Z45" s="361"/>
      <c r="AA45" s="361"/>
      <c r="AB45" s="361"/>
      <c r="AC45" s="159"/>
      <c r="AD45" s="361" t="s">
        <v>691</v>
      </c>
      <c r="AE45" s="364">
        <v>4500014193</v>
      </c>
      <c r="AF45" s="364"/>
      <c r="AG45" s="361"/>
      <c r="AH45" s="365"/>
      <c r="AI45" s="361"/>
      <c r="AJ45" s="361"/>
      <c r="AK45" s="361"/>
      <c r="AL45" s="361"/>
      <c r="AM45" s="361"/>
      <c r="AN45" s="361"/>
      <c r="AO45" s="361"/>
      <c r="AP45" s="361"/>
      <c r="AQ45" s="361"/>
      <c r="AR45" s="503"/>
      <c r="AS45" s="489"/>
      <c r="AT45" s="160"/>
      <c r="AU45" s="355"/>
    </row>
    <row r="46" spans="1:47" s="124" customFormat="1" ht="21.75" hidden="1" customHeight="1">
      <c r="A46" s="331">
        <v>45</v>
      </c>
      <c r="B46" s="361" t="s">
        <v>692</v>
      </c>
      <c r="C46" s="361" t="s">
        <v>693</v>
      </c>
      <c r="D46" s="435" t="s">
        <v>694</v>
      </c>
      <c r="E46" s="361" t="str">
        <f t="shared" si="0"/>
        <v>LOSS</v>
      </c>
      <c r="F46" s="361"/>
      <c r="G46" s="361"/>
      <c r="H46" s="361" t="s">
        <v>327</v>
      </c>
      <c r="I46" s="160" t="s">
        <v>346</v>
      </c>
      <c r="J46" s="361" t="s">
        <v>695</v>
      </c>
      <c r="K46" s="365"/>
      <c r="L46" s="361"/>
      <c r="M46" s="361"/>
      <c r="N46" s="361"/>
      <c r="O46" s="374" t="s">
        <v>115</v>
      </c>
      <c r="P46" s="372">
        <v>5500000</v>
      </c>
      <c r="Q46" s="372"/>
      <c r="R46" s="375" t="s">
        <v>677</v>
      </c>
      <c r="S46" s="372">
        <v>23888889</v>
      </c>
      <c r="T46" s="361"/>
      <c r="U46" s="351">
        <v>43862</v>
      </c>
      <c r="V46" s="367">
        <v>44227</v>
      </c>
      <c r="W46" s="361" t="s">
        <v>250</v>
      </c>
      <c r="X46" s="361"/>
      <c r="Y46" s="361"/>
      <c r="Z46" s="361"/>
      <c r="AA46" s="361"/>
      <c r="AB46" s="361"/>
      <c r="AC46" s="159"/>
      <c r="AD46" s="361" t="s">
        <v>696</v>
      </c>
      <c r="AE46" s="364">
        <v>4500013954</v>
      </c>
      <c r="AF46" s="364"/>
      <c r="AG46" s="361"/>
      <c r="AH46" s="365"/>
      <c r="AI46" s="361"/>
      <c r="AJ46" s="361"/>
      <c r="AK46" s="361"/>
      <c r="AL46" s="361"/>
      <c r="AM46" s="361"/>
      <c r="AN46" s="361"/>
      <c r="AO46" s="361"/>
      <c r="AP46" s="361"/>
      <c r="AQ46" s="361"/>
      <c r="AR46" s="503"/>
      <c r="AS46" s="489"/>
      <c r="AT46" s="160"/>
      <c r="AU46" s="355"/>
    </row>
    <row r="47" spans="1:47" s="124" customFormat="1" ht="21.75" hidden="1" customHeight="1">
      <c r="A47" s="331">
        <v>46</v>
      </c>
      <c r="B47" s="28" t="s">
        <v>119</v>
      </c>
      <c r="C47" s="361" t="s">
        <v>697</v>
      </c>
      <c r="D47" s="436" t="s">
        <v>689</v>
      </c>
      <c r="E47" s="361" t="str">
        <f t="shared" si="0"/>
        <v>LOSS</v>
      </c>
      <c r="F47" s="361"/>
      <c r="G47" s="361"/>
      <c r="H47" s="361" t="s">
        <v>327</v>
      </c>
      <c r="I47" s="160" t="s">
        <v>346</v>
      </c>
      <c r="J47" s="361" t="s">
        <v>698</v>
      </c>
      <c r="K47" s="365"/>
      <c r="L47" s="361"/>
      <c r="M47" s="361"/>
      <c r="N47" s="361"/>
      <c r="O47" s="374" t="s">
        <v>115</v>
      </c>
      <c r="P47" s="372">
        <v>66000000</v>
      </c>
      <c r="Q47" s="372"/>
      <c r="R47" s="375" t="s">
        <v>677</v>
      </c>
      <c r="S47" s="372">
        <v>3500000</v>
      </c>
      <c r="T47" s="361"/>
      <c r="U47" s="351">
        <v>43831</v>
      </c>
      <c r="V47" s="367">
        <v>44196</v>
      </c>
      <c r="W47" s="361" t="s">
        <v>250</v>
      </c>
      <c r="X47" s="361"/>
      <c r="Y47" s="361"/>
      <c r="Z47" s="361"/>
      <c r="AA47" s="361"/>
      <c r="AB47" s="361"/>
      <c r="AC47" s="159"/>
      <c r="AD47" s="368"/>
      <c r="AE47" s="364">
        <v>4500013749</v>
      </c>
      <c r="AF47" s="364"/>
      <c r="AG47" s="361"/>
      <c r="AH47" s="365"/>
      <c r="AI47" s="361"/>
      <c r="AJ47" s="361"/>
      <c r="AK47" s="361"/>
      <c r="AL47" s="361"/>
      <c r="AM47" s="361"/>
      <c r="AN47" s="361"/>
      <c r="AO47" s="361"/>
      <c r="AP47" s="361"/>
      <c r="AQ47" s="361"/>
      <c r="AR47" s="503"/>
      <c r="AS47" s="489"/>
      <c r="AT47" s="160"/>
      <c r="AU47" s="355"/>
    </row>
    <row r="48" spans="1:47" s="124" customFormat="1" ht="21.75" hidden="1" customHeight="1">
      <c r="A48" s="331">
        <v>47</v>
      </c>
      <c r="B48" s="28" t="s">
        <v>119</v>
      </c>
      <c r="C48" s="361" t="s">
        <v>699</v>
      </c>
      <c r="D48" s="435" t="s">
        <v>689</v>
      </c>
      <c r="E48" s="361" t="str">
        <f t="shared" si="0"/>
        <v>LOSS</v>
      </c>
      <c r="F48" s="361"/>
      <c r="G48" s="361"/>
      <c r="H48" s="361" t="s">
        <v>327</v>
      </c>
      <c r="I48" s="160" t="s">
        <v>346</v>
      </c>
      <c r="J48" s="361" t="s">
        <v>700</v>
      </c>
      <c r="K48" s="365"/>
      <c r="L48" s="361"/>
      <c r="M48" s="361"/>
      <c r="N48" s="361"/>
      <c r="O48" s="374" t="s">
        <v>115</v>
      </c>
      <c r="P48" s="372">
        <v>27000000</v>
      </c>
      <c r="Q48" s="372"/>
      <c r="R48" s="375" t="s">
        <v>677</v>
      </c>
      <c r="S48" s="372">
        <v>2500000</v>
      </c>
      <c r="T48" s="361"/>
      <c r="U48" s="351">
        <v>43893</v>
      </c>
      <c r="V48" s="367">
        <v>44257</v>
      </c>
      <c r="W48" s="361" t="s">
        <v>250</v>
      </c>
      <c r="X48" s="361"/>
      <c r="Y48" s="361"/>
      <c r="Z48" s="361"/>
      <c r="AA48" s="361"/>
      <c r="AB48" s="361"/>
      <c r="AC48" s="159"/>
      <c r="AD48" s="361" t="s">
        <v>701</v>
      </c>
      <c r="AE48" s="364">
        <v>4500013985</v>
      </c>
      <c r="AF48" s="364"/>
      <c r="AG48" s="361"/>
      <c r="AH48" s="365"/>
      <c r="AI48" s="361"/>
      <c r="AJ48" s="361"/>
      <c r="AK48" s="361"/>
      <c r="AL48" s="361"/>
      <c r="AM48" s="361"/>
      <c r="AN48" s="361"/>
      <c r="AO48" s="361"/>
      <c r="AP48" s="361"/>
      <c r="AQ48" s="361"/>
      <c r="AR48" s="503"/>
      <c r="AS48" s="489"/>
      <c r="AT48" s="160"/>
      <c r="AU48" s="355"/>
    </row>
    <row r="49" spans="1:47" s="124" customFormat="1" ht="21.75" hidden="1" customHeight="1">
      <c r="A49" s="331">
        <v>48</v>
      </c>
      <c r="B49" s="361" t="s">
        <v>93</v>
      </c>
      <c r="C49" s="361" t="s">
        <v>702</v>
      </c>
      <c r="D49" s="436" t="s">
        <v>685</v>
      </c>
      <c r="E49" s="361" t="str">
        <f t="shared" si="0"/>
        <v>LOSS</v>
      </c>
      <c r="F49" s="361"/>
      <c r="G49" s="361"/>
      <c r="H49" s="361" t="s">
        <v>327</v>
      </c>
      <c r="I49" s="361" t="s">
        <v>242</v>
      </c>
      <c r="J49" s="361" t="s">
        <v>703</v>
      </c>
      <c r="K49" s="365"/>
      <c r="L49" s="361"/>
      <c r="M49" s="361"/>
      <c r="N49" s="361"/>
      <c r="O49" s="374" t="s">
        <v>115</v>
      </c>
      <c r="P49" s="372">
        <v>54000000</v>
      </c>
      <c r="Q49" s="372"/>
      <c r="R49" s="375" t="s">
        <v>677</v>
      </c>
      <c r="S49" s="372">
        <v>18000000</v>
      </c>
      <c r="T49" s="361"/>
      <c r="U49" s="351">
        <v>44029</v>
      </c>
      <c r="V49" s="367">
        <v>44393</v>
      </c>
      <c r="W49" s="361" t="s">
        <v>250</v>
      </c>
      <c r="X49" s="361"/>
      <c r="Y49" s="361"/>
      <c r="Z49" s="361"/>
      <c r="AA49" s="361"/>
      <c r="AB49" s="361"/>
      <c r="AC49" s="159"/>
      <c r="AD49" s="368"/>
      <c r="AE49" s="364">
        <v>4500014528</v>
      </c>
      <c r="AF49" s="364"/>
      <c r="AG49" s="361"/>
      <c r="AH49" s="365"/>
      <c r="AI49" s="361"/>
      <c r="AJ49" s="361"/>
      <c r="AK49" s="361"/>
      <c r="AL49" s="361"/>
      <c r="AM49" s="361"/>
      <c r="AN49" s="361"/>
      <c r="AO49" s="361"/>
      <c r="AP49" s="361"/>
      <c r="AQ49" s="361"/>
      <c r="AR49" s="503"/>
      <c r="AS49" s="489"/>
      <c r="AT49" s="160"/>
      <c r="AU49" s="355"/>
    </row>
    <row r="50" spans="1:47" s="124" customFormat="1" ht="21.75" hidden="1" customHeight="1">
      <c r="A50" s="331">
        <v>49</v>
      </c>
      <c r="B50" s="28" t="s">
        <v>30</v>
      </c>
      <c r="C50" s="361" t="s">
        <v>704</v>
      </c>
      <c r="D50" s="435" t="s">
        <v>705</v>
      </c>
      <c r="E50" s="361" t="str">
        <f t="shared" si="0"/>
        <v>LOSS</v>
      </c>
      <c r="F50" s="361"/>
      <c r="G50" s="361"/>
      <c r="H50" s="361" t="s">
        <v>327</v>
      </c>
      <c r="I50" s="29" t="s">
        <v>346</v>
      </c>
      <c r="J50" s="361" t="s">
        <v>706</v>
      </c>
      <c r="K50" s="365"/>
      <c r="L50" s="361"/>
      <c r="M50" s="361"/>
      <c r="N50" s="361"/>
      <c r="O50" s="374" t="s">
        <v>115</v>
      </c>
      <c r="P50" s="372">
        <v>48600000</v>
      </c>
      <c r="Q50" s="372"/>
      <c r="R50" s="375" t="s">
        <v>677</v>
      </c>
      <c r="S50" s="372">
        <v>20000000</v>
      </c>
      <c r="T50" s="361"/>
      <c r="U50" s="351">
        <v>43993</v>
      </c>
      <c r="V50" s="367">
        <v>44357</v>
      </c>
      <c r="W50" s="361" t="s">
        <v>250</v>
      </c>
      <c r="X50" s="361"/>
      <c r="Y50" s="361"/>
      <c r="Z50" s="361"/>
      <c r="AA50" s="361"/>
      <c r="AB50" s="361"/>
      <c r="AC50" s="159"/>
      <c r="AD50" s="361" t="s">
        <v>707</v>
      </c>
      <c r="AE50" s="364">
        <v>4500014585</v>
      </c>
      <c r="AF50" s="364"/>
      <c r="AG50" s="361"/>
      <c r="AH50" s="365"/>
      <c r="AI50" s="361"/>
      <c r="AJ50" s="361"/>
      <c r="AK50" s="361"/>
      <c r="AL50" s="361"/>
      <c r="AM50" s="361"/>
      <c r="AN50" s="361"/>
      <c r="AO50" s="361"/>
      <c r="AP50" s="361"/>
      <c r="AQ50" s="361"/>
      <c r="AR50" s="503"/>
      <c r="AS50" s="489"/>
      <c r="AT50" s="160"/>
      <c r="AU50" s="355"/>
    </row>
    <row r="51" spans="1:47" s="124" customFormat="1" ht="21.75" hidden="1" customHeight="1">
      <c r="A51" s="331">
        <v>50</v>
      </c>
      <c r="B51" s="361" t="s">
        <v>708</v>
      </c>
      <c r="C51" s="361" t="s">
        <v>709</v>
      </c>
      <c r="D51" s="436" t="s">
        <v>710</v>
      </c>
      <c r="E51" s="361" t="str">
        <f t="shared" si="0"/>
        <v>LOSS</v>
      </c>
      <c r="F51" s="361"/>
      <c r="G51" s="361"/>
      <c r="H51" s="361" t="s">
        <v>327</v>
      </c>
      <c r="I51" s="160" t="s">
        <v>346</v>
      </c>
      <c r="J51" s="361" t="s">
        <v>711</v>
      </c>
      <c r="K51" s="365"/>
      <c r="L51" s="361"/>
      <c r="M51" s="361"/>
      <c r="N51" s="361"/>
      <c r="O51" s="374" t="s">
        <v>115</v>
      </c>
      <c r="P51" s="372">
        <v>60000000</v>
      </c>
      <c r="Q51" s="372"/>
      <c r="R51" s="375" t="s">
        <v>677</v>
      </c>
      <c r="S51" s="372">
        <v>6050000</v>
      </c>
      <c r="T51" s="361"/>
      <c r="U51" s="351">
        <v>44101</v>
      </c>
      <c r="V51" s="367">
        <v>44465</v>
      </c>
      <c r="W51" s="361" t="s">
        <v>250</v>
      </c>
      <c r="X51" s="361"/>
      <c r="Y51" s="361"/>
      <c r="Z51" s="361"/>
      <c r="AA51" s="361"/>
      <c r="AB51" s="361"/>
      <c r="AC51" s="159"/>
      <c r="AD51" s="361" t="s">
        <v>712</v>
      </c>
      <c r="AE51" s="364">
        <v>4500014889</v>
      </c>
      <c r="AF51" s="364"/>
      <c r="AG51" s="361"/>
      <c r="AH51" s="365"/>
      <c r="AI51" s="361"/>
      <c r="AJ51" s="361"/>
      <c r="AK51" s="361"/>
      <c r="AL51" s="361"/>
      <c r="AM51" s="361"/>
      <c r="AN51" s="361"/>
      <c r="AO51" s="361"/>
      <c r="AP51" s="361"/>
      <c r="AQ51" s="361"/>
      <c r="AR51" s="503"/>
      <c r="AS51" s="489"/>
      <c r="AT51" s="160"/>
      <c r="AU51" s="355"/>
    </row>
    <row r="52" spans="1:47" s="124" customFormat="1" ht="21.75" hidden="1" customHeight="1">
      <c r="A52" s="331">
        <v>51</v>
      </c>
      <c r="B52" s="361" t="s">
        <v>93</v>
      </c>
      <c r="C52" s="361" t="s">
        <v>713</v>
      </c>
      <c r="D52" s="435" t="s">
        <v>685</v>
      </c>
      <c r="E52" s="361" t="str">
        <f t="shared" si="0"/>
        <v>LOSS</v>
      </c>
      <c r="F52" s="361"/>
      <c r="G52" s="361"/>
      <c r="H52" s="361" t="s">
        <v>327</v>
      </c>
      <c r="I52" s="361" t="s">
        <v>242</v>
      </c>
      <c r="J52" s="361" t="s">
        <v>714</v>
      </c>
      <c r="K52" s="365"/>
      <c r="L52" s="361"/>
      <c r="M52" s="361"/>
      <c r="N52" s="361"/>
      <c r="O52" s="374" t="s">
        <v>115</v>
      </c>
      <c r="P52" s="372">
        <v>66000000</v>
      </c>
      <c r="Q52" s="372"/>
      <c r="R52" s="375" t="s">
        <v>677</v>
      </c>
      <c r="S52" s="372">
        <v>18000000</v>
      </c>
      <c r="T52" s="361"/>
      <c r="U52" s="351">
        <v>44103</v>
      </c>
      <c r="V52" s="367">
        <v>44467</v>
      </c>
      <c r="W52" s="361" t="s">
        <v>250</v>
      </c>
      <c r="X52" s="361"/>
      <c r="Y52" s="361"/>
      <c r="Z52" s="361"/>
      <c r="AA52" s="361"/>
      <c r="AB52" s="361"/>
      <c r="AC52" s="159"/>
      <c r="AD52" s="361" t="s">
        <v>715</v>
      </c>
      <c r="AE52" s="364">
        <v>4500014632</v>
      </c>
      <c r="AF52" s="364"/>
      <c r="AG52" s="361"/>
      <c r="AH52" s="365"/>
      <c r="AI52" s="361"/>
      <c r="AJ52" s="361"/>
      <c r="AK52" s="361"/>
      <c r="AL52" s="361"/>
      <c r="AM52" s="361"/>
      <c r="AN52" s="361"/>
      <c r="AO52" s="361"/>
      <c r="AP52" s="361"/>
      <c r="AQ52" s="361"/>
      <c r="AR52" s="503"/>
      <c r="AS52" s="489"/>
      <c r="AT52" s="160"/>
      <c r="AU52" s="355"/>
    </row>
    <row r="53" spans="1:47" s="124" customFormat="1" ht="21.75" hidden="1" customHeight="1">
      <c r="A53" s="331">
        <v>52</v>
      </c>
      <c r="B53" s="361" t="s">
        <v>542</v>
      </c>
      <c r="C53" s="361" t="s">
        <v>716</v>
      </c>
      <c r="D53" s="436" t="s">
        <v>717</v>
      </c>
      <c r="E53" s="361" t="str">
        <f t="shared" si="0"/>
        <v>LOSS</v>
      </c>
      <c r="F53" s="361"/>
      <c r="G53" s="361"/>
      <c r="H53" s="361" t="s">
        <v>327</v>
      </c>
      <c r="I53" s="361" t="s">
        <v>242</v>
      </c>
      <c r="J53" s="361" t="s">
        <v>64</v>
      </c>
      <c r="K53" s="365"/>
      <c r="L53" s="361"/>
      <c r="M53" s="361"/>
      <c r="N53" s="361"/>
      <c r="O53" s="374" t="s">
        <v>115</v>
      </c>
      <c r="P53" s="372">
        <v>108000000</v>
      </c>
      <c r="Q53" s="372"/>
      <c r="R53" s="375" t="s">
        <v>677</v>
      </c>
      <c r="S53" s="372">
        <v>8000000</v>
      </c>
      <c r="T53" s="361"/>
      <c r="U53" s="351">
        <v>44075</v>
      </c>
      <c r="V53" s="367">
        <v>44439</v>
      </c>
      <c r="W53" s="361" t="s">
        <v>250</v>
      </c>
      <c r="X53" s="361"/>
      <c r="Y53" s="361"/>
      <c r="Z53" s="361"/>
      <c r="AA53" s="361"/>
      <c r="AB53" s="361"/>
      <c r="AC53" s="159"/>
      <c r="AD53" s="361" t="s">
        <v>718</v>
      </c>
      <c r="AE53" s="364">
        <v>4500014745</v>
      </c>
      <c r="AF53" s="364"/>
      <c r="AG53" s="361"/>
      <c r="AH53" s="365"/>
      <c r="AI53" s="361"/>
      <c r="AJ53" s="361"/>
      <c r="AK53" s="361"/>
      <c r="AL53" s="361"/>
      <c r="AM53" s="361"/>
      <c r="AN53" s="361"/>
      <c r="AO53" s="361"/>
      <c r="AP53" s="361"/>
      <c r="AQ53" s="361"/>
      <c r="AR53" s="503"/>
      <c r="AS53" s="489"/>
      <c r="AT53" s="160"/>
      <c r="AU53" s="355"/>
    </row>
    <row r="54" spans="1:47" s="124" customFormat="1" ht="21.75" hidden="1" customHeight="1">
      <c r="A54" s="331">
        <v>53</v>
      </c>
      <c r="B54" s="28" t="s">
        <v>103</v>
      </c>
      <c r="C54" s="361" t="s">
        <v>719</v>
      </c>
      <c r="D54" s="435" t="s">
        <v>720</v>
      </c>
      <c r="E54" s="361" t="str">
        <f t="shared" si="0"/>
        <v>LOSS</v>
      </c>
      <c r="F54" s="361"/>
      <c r="G54" s="361"/>
      <c r="H54" s="361" t="s">
        <v>327</v>
      </c>
      <c r="I54" s="160" t="s">
        <v>346</v>
      </c>
      <c r="J54" s="361" t="s">
        <v>721</v>
      </c>
      <c r="K54" s="365"/>
      <c r="L54" s="361"/>
      <c r="M54" s="361"/>
      <c r="N54" s="361"/>
      <c r="O54" s="374" t="s">
        <v>115</v>
      </c>
      <c r="P54" s="372">
        <v>13800000</v>
      </c>
      <c r="Q54" s="372"/>
      <c r="R54" s="375" t="s">
        <v>677</v>
      </c>
      <c r="S54" s="372">
        <v>10500000</v>
      </c>
      <c r="T54" s="361"/>
      <c r="U54" s="351">
        <v>44062</v>
      </c>
      <c r="V54" s="367">
        <v>44426</v>
      </c>
      <c r="W54" s="361" t="s">
        <v>250</v>
      </c>
      <c r="X54" s="361"/>
      <c r="Y54" s="361"/>
      <c r="Z54" s="361"/>
      <c r="AA54" s="361"/>
      <c r="AB54" s="361"/>
      <c r="AC54" s="159"/>
      <c r="AD54" s="361" t="s">
        <v>722</v>
      </c>
      <c r="AE54" s="364">
        <v>4500014744</v>
      </c>
      <c r="AF54" s="364"/>
      <c r="AG54" s="361"/>
      <c r="AH54" s="365"/>
      <c r="AI54" s="361"/>
      <c r="AJ54" s="361"/>
      <c r="AK54" s="361"/>
      <c r="AL54" s="361"/>
      <c r="AM54" s="361"/>
      <c r="AN54" s="361"/>
      <c r="AO54" s="361"/>
      <c r="AP54" s="361"/>
      <c r="AQ54" s="361"/>
      <c r="AR54" s="503"/>
      <c r="AS54" s="489"/>
      <c r="AT54" s="160"/>
      <c r="AU54" s="355"/>
    </row>
    <row r="55" spans="1:47" s="124" customFormat="1" ht="21.75" hidden="1" customHeight="1">
      <c r="A55" s="331">
        <v>54</v>
      </c>
      <c r="B55" s="361" t="s">
        <v>542</v>
      </c>
      <c r="C55" s="361" t="s">
        <v>723</v>
      </c>
      <c r="D55" s="436" t="s">
        <v>717</v>
      </c>
      <c r="E55" s="361" t="str">
        <f t="shared" si="0"/>
        <v>LOSS</v>
      </c>
      <c r="F55" s="361"/>
      <c r="G55" s="361"/>
      <c r="H55" s="361" t="s">
        <v>327</v>
      </c>
      <c r="I55" s="160" t="s">
        <v>346</v>
      </c>
      <c r="J55" s="361" t="s">
        <v>724</v>
      </c>
      <c r="K55" s="365"/>
      <c r="L55" s="361"/>
      <c r="M55" s="361"/>
      <c r="N55" s="361"/>
      <c r="O55" s="374" t="s">
        <v>115</v>
      </c>
      <c r="P55" s="372">
        <v>28800000</v>
      </c>
      <c r="Q55" s="372"/>
      <c r="R55" s="375" t="s">
        <v>677</v>
      </c>
      <c r="S55" s="372">
        <v>6000000</v>
      </c>
      <c r="T55" s="361"/>
      <c r="U55" s="351">
        <v>44036</v>
      </c>
      <c r="V55" s="367">
        <v>44400</v>
      </c>
      <c r="W55" s="361" t="s">
        <v>250</v>
      </c>
      <c r="X55" s="361"/>
      <c r="Y55" s="361"/>
      <c r="Z55" s="361"/>
      <c r="AA55" s="361"/>
      <c r="AB55" s="361"/>
      <c r="AC55" s="159"/>
      <c r="AD55" s="361" t="s">
        <v>725</v>
      </c>
      <c r="AE55" s="364">
        <v>4500014715</v>
      </c>
      <c r="AF55" s="364"/>
      <c r="AG55" s="361"/>
      <c r="AH55" s="365"/>
      <c r="AI55" s="361"/>
      <c r="AJ55" s="361"/>
      <c r="AK55" s="361"/>
      <c r="AL55" s="361"/>
      <c r="AM55" s="361"/>
      <c r="AN55" s="361"/>
      <c r="AO55" s="361"/>
      <c r="AP55" s="361"/>
      <c r="AQ55" s="361"/>
      <c r="AR55" s="503"/>
      <c r="AS55" s="489"/>
      <c r="AT55" s="160"/>
      <c r="AU55" s="355"/>
    </row>
    <row r="56" spans="1:47" s="124" customFormat="1" ht="21.75" hidden="1" customHeight="1">
      <c r="A56" s="331">
        <v>55</v>
      </c>
      <c r="B56" s="361" t="s">
        <v>726</v>
      </c>
      <c r="C56" s="361" t="s">
        <v>727</v>
      </c>
      <c r="D56" s="435" t="s">
        <v>728</v>
      </c>
      <c r="E56" s="361" t="str">
        <f t="shared" si="0"/>
        <v>LOSS</v>
      </c>
      <c r="F56" s="361"/>
      <c r="G56" s="361"/>
      <c r="H56" s="361" t="s">
        <v>327</v>
      </c>
      <c r="I56" s="361" t="s">
        <v>242</v>
      </c>
      <c r="J56" s="361" t="s">
        <v>729</v>
      </c>
      <c r="K56" s="365"/>
      <c r="L56" s="361"/>
      <c r="M56" s="361"/>
      <c r="N56" s="361"/>
      <c r="O56" s="374" t="s">
        <v>115</v>
      </c>
      <c r="P56" s="372">
        <v>252000000</v>
      </c>
      <c r="Q56" s="372"/>
      <c r="R56" s="375" t="s">
        <v>677</v>
      </c>
      <c r="S56" s="372">
        <v>6000000</v>
      </c>
      <c r="T56" s="361"/>
      <c r="U56" s="351">
        <v>44012</v>
      </c>
      <c r="V56" s="367">
        <v>44376</v>
      </c>
      <c r="W56" s="361" t="s">
        <v>250</v>
      </c>
      <c r="X56" s="361"/>
      <c r="Y56" s="361"/>
      <c r="Z56" s="361"/>
      <c r="AA56" s="361"/>
      <c r="AB56" s="361"/>
      <c r="AC56" s="159"/>
      <c r="AD56" s="361" t="s">
        <v>730</v>
      </c>
      <c r="AE56" s="364">
        <v>4500014656</v>
      </c>
      <c r="AF56" s="364"/>
      <c r="AG56" s="361"/>
      <c r="AH56" s="365"/>
      <c r="AI56" s="361"/>
      <c r="AJ56" s="361"/>
      <c r="AK56" s="361"/>
      <c r="AL56" s="361"/>
      <c r="AM56" s="361"/>
      <c r="AN56" s="361"/>
      <c r="AO56" s="361"/>
      <c r="AP56" s="361"/>
      <c r="AQ56" s="361"/>
      <c r="AR56" s="503"/>
      <c r="AS56" s="489"/>
      <c r="AT56" s="160"/>
      <c r="AU56" s="355"/>
    </row>
    <row r="57" spans="1:47" s="124" customFormat="1" ht="21.75" hidden="1" customHeight="1">
      <c r="A57" s="331">
        <v>56</v>
      </c>
      <c r="B57" s="361" t="s">
        <v>93</v>
      </c>
      <c r="C57" s="361" t="s">
        <v>382</v>
      </c>
      <c r="D57" s="436" t="s">
        <v>685</v>
      </c>
      <c r="E57" s="361" t="str">
        <f t="shared" si="0"/>
        <v>LOSS</v>
      </c>
      <c r="F57" s="361"/>
      <c r="G57" s="361"/>
      <c r="H57" s="361" t="s">
        <v>327</v>
      </c>
      <c r="I57" s="160" t="s">
        <v>346</v>
      </c>
      <c r="J57" s="361" t="s">
        <v>81</v>
      </c>
      <c r="K57" s="365"/>
      <c r="L57" s="361"/>
      <c r="M57" s="361"/>
      <c r="N57" s="361"/>
      <c r="O57" s="374" t="s">
        <v>115</v>
      </c>
      <c r="P57" s="372">
        <v>168000000</v>
      </c>
      <c r="Q57" s="372"/>
      <c r="R57" s="375" t="s">
        <v>677</v>
      </c>
      <c r="S57" s="372">
        <v>18000000</v>
      </c>
      <c r="T57" s="361"/>
      <c r="U57" s="351">
        <v>44006</v>
      </c>
      <c r="V57" s="367">
        <v>44370</v>
      </c>
      <c r="W57" s="361" t="s">
        <v>250</v>
      </c>
      <c r="X57" s="361"/>
      <c r="Y57" s="361"/>
      <c r="Z57" s="361"/>
      <c r="AA57" s="361"/>
      <c r="AB57" s="361"/>
      <c r="AC57" s="159"/>
      <c r="AD57" s="368"/>
      <c r="AE57" s="364">
        <v>4500014434</v>
      </c>
      <c r="AF57" s="364"/>
      <c r="AG57" s="361"/>
      <c r="AH57" s="365"/>
      <c r="AI57" s="361"/>
      <c r="AJ57" s="361"/>
      <c r="AK57" s="361"/>
      <c r="AL57" s="361"/>
      <c r="AM57" s="361"/>
      <c r="AN57" s="361"/>
      <c r="AO57" s="361"/>
      <c r="AP57" s="361"/>
      <c r="AQ57" s="361"/>
      <c r="AR57" s="503"/>
      <c r="AS57" s="489"/>
      <c r="AT57" s="160"/>
      <c r="AU57" s="355"/>
    </row>
    <row r="58" spans="1:47" s="124" customFormat="1" ht="21.75" hidden="1" customHeight="1">
      <c r="A58" s="331">
        <v>57</v>
      </c>
      <c r="B58" s="361" t="s">
        <v>93</v>
      </c>
      <c r="C58" s="361" t="s">
        <v>731</v>
      </c>
      <c r="D58" s="435" t="s">
        <v>685</v>
      </c>
      <c r="E58" s="361" t="str">
        <f t="shared" si="0"/>
        <v>LOSS</v>
      </c>
      <c r="F58" s="361"/>
      <c r="G58" s="361"/>
      <c r="H58" s="361" t="s">
        <v>327</v>
      </c>
      <c r="I58" s="361" t="s">
        <v>242</v>
      </c>
      <c r="J58" s="361" t="s">
        <v>732</v>
      </c>
      <c r="K58" s="365"/>
      <c r="L58" s="361"/>
      <c r="M58" s="361"/>
      <c r="N58" s="361"/>
      <c r="O58" s="374" t="s">
        <v>115</v>
      </c>
      <c r="P58" s="372">
        <v>155730480</v>
      </c>
      <c r="Q58" s="372"/>
      <c r="R58" s="375" t="s">
        <v>677</v>
      </c>
      <c r="S58" s="372">
        <v>20000000</v>
      </c>
      <c r="T58" s="361"/>
      <c r="U58" s="351">
        <v>43840</v>
      </c>
      <c r="V58" s="367">
        <v>44205</v>
      </c>
      <c r="W58" s="361" t="s">
        <v>250</v>
      </c>
      <c r="X58" s="361"/>
      <c r="Y58" s="361"/>
      <c r="Z58" s="361"/>
      <c r="AA58" s="361"/>
      <c r="AB58" s="361"/>
      <c r="AC58" s="159"/>
      <c r="AD58" s="361" t="s">
        <v>733</v>
      </c>
      <c r="AE58" s="364">
        <v>4500013953</v>
      </c>
      <c r="AF58" s="364"/>
      <c r="AG58" s="361"/>
      <c r="AH58" s="365"/>
      <c r="AI58" s="361"/>
      <c r="AJ58" s="361"/>
      <c r="AK58" s="361"/>
      <c r="AL58" s="361"/>
      <c r="AM58" s="361"/>
      <c r="AN58" s="361"/>
      <c r="AO58" s="361"/>
      <c r="AP58" s="361"/>
      <c r="AQ58" s="361"/>
      <c r="AR58" s="503"/>
      <c r="AS58" s="489"/>
      <c r="AT58" s="160"/>
      <c r="AU58" s="355"/>
    </row>
    <row r="59" spans="1:47" s="124" customFormat="1" ht="21.75" hidden="1" customHeight="1">
      <c r="A59" s="331">
        <v>58</v>
      </c>
      <c r="B59" s="361" t="s">
        <v>93</v>
      </c>
      <c r="C59" s="361" t="s">
        <v>37</v>
      </c>
      <c r="D59" s="436" t="s">
        <v>685</v>
      </c>
      <c r="E59" s="361" t="str">
        <f t="shared" si="0"/>
        <v>LOSS</v>
      </c>
      <c r="F59" s="361"/>
      <c r="G59" s="361"/>
      <c r="H59" s="361" t="s">
        <v>327</v>
      </c>
      <c r="I59" s="160" t="s">
        <v>346</v>
      </c>
      <c r="J59" s="361" t="s">
        <v>79</v>
      </c>
      <c r="K59" s="365"/>
      <c r="L59" s="361"/>
      <c r="M59" s="361"/>
      <c r="N59" s="361"/>
      <c r="O59" s="374" t="s">
        <v>115</v>
      </c>
      <c r="P59" s="372">
        <v>60000000</v>
      </c>
      <c r="Q59" s="372"/>
      <c r="R59" s="375" t="s">
        <v>677</v>
      </c>
      <c r="S59" s="372">
        <v>18000000</v>
      </c>
      <c r="T59" s="361"/>
      <c r="U59" s="351">
        <v>43998</v>
      </c>
      <c r="V59" s="367">
        <v>44362</v>
      </c>
      <c r="W59" s="361" t="s">
        <v>250</v>
      </c>
      <c r="X59" s="361"/>
      <c r="Y59" s="361"/>
      <c r="Z59" s="361"/>
      <c r="AA59" s="361"/>
      <c r="AB59" s="361"/>
      <c r="AC59" s="159"/>
      <c r="AD59" s="368"/>
      <c r="AE59" s="364">
        <v>4500014433</v>
      </c>
      <c r="AF59" s="364"/>
      <c r="AG59" s="361"/>
      <c r="AH59" s="365"/>
      <c r="AI59" s="361"/>
      <c r="AJ59" s="361"/>
      <c r="AK59" s="361"/>
      <c r="AL59" s="361"/>
      <c r="AM59" s="361"/>
      <c r="AN59" s="361"/>
      <c r="AO59" s="361"/>
      <c r="AP59" s="361"/>
      <c r="AQ59" s="361"/>
      <c r="AR59" s="503"/>
      <c r="AS59" s="489"/>
      <c r="AT59" s="160"/>
      <c r="AU59" s="355"/>
    </row>
    <row r="60" spans="1:47" s="124" customFormat="1" ht="21.75" hidden="1" customHeight="1">
      <c r="A60" s="331">
        <v>59</v>
      </c>
      <c r="B60" s="361" t="s">
        <v>400</v>
      </c>
      <c r="C60" s="361" t="s">
        <v>734</v>
      </c>
      <c r="D60" s="435" t="s">
        <v>735</v>
      </c>
      <c r="E60" s="361" t="str">
        <f t="shared" si="0"/>
        <v>LOSS</v>
      </c>
      <c r="F60" s="361"/>
      <c r="G60" s="361"/>
      <c r="H60" s="361" t="s">
        <v>327</v>
      </c>
      <c r="I60" s="160" t="s">
        <v>346</v>
      </c>
      <c r="J60" s="376" t="s">
        <v>115</v>
      </c>
      <c r="K60" s="365"/>
      <c r="L60" s="361"/>
      <c r="M60" s="361"/>
      <c r="N60" s="361"/>
      <c r="O60" s="374" t="s">
        <v>115</v>
      </c>
      <c r="P60" s="375" t="s">
        <v>115</v>
      </c>
      <c r="Q60" s="372"/>
      <c r="R60" s="375" t="s">
        <v>677</v>
      </c>
      <c r="S60" s="372">
        <v>7500000</v>
      </c>
      <c r="T60" s="361"/>
      <c r="U60" s="351">
        <v>44074</v>
      </c>
      <c r="V60" s="367">
        <v>44438</v>
      </c>
      <c r="W60" s="361" t="s">
        <v>250</v>
      </c>
      <c r="X60" s="361"/>
      <c r="Y60" s="361"/>
      <c r="Z60" s="361"/>
      <c r="AA60" s="361"/>
      <c r="AB60" s="361"/>
      <c r="AC60" s="159"/>
      <c r="AD60" s="368"/>
      <c r="AE60" s="364">
        <v>4500014683</v>
      </c>
      <c r="AF60" s="364"/>
      <c r="AG60" s="361"/>
      <c r="AH60" s="365"/>
      <c r="AI60" s="361"/>
      <c r="AJ60" s="361"/>
      <c r="AK60" s="361"/>
      <c r="AL60" s="361"/>
      <c r="AM60" s="361"/>
      <c r="AN60" s="361"/>
      <c r="AO60" s="361"/>
      <c r="AP60" s="361"/>
      <c r="AQ60" s="361"/>
      <c r="AR60" s="503"/>
      <c r="AS60" s="489"/>
      <c r="AT60" s="160"/>
      <c r="AU60" s="355"/>
    </row>
    <row r="61" spans="1:47" s="124" customFormat="1" ht="21.75" hidden="1" customHeight="1">
      <c r="A61" s="331">
        <v>60</v>
      </c>
      <c r="B61" s="28" t="s">
        <v>635</v>
      </c>
      <c r="C61" s="361" t="s">
        <v>736</v>
      </c>
      <c r="D61" s="436" t="s">
        <v>735</v>
      </c>
      <c r="E61" s="361" t="str">
        <f t="shared" si="0"/>
        <v>LOSS</v>
      </c>
      <c r="F61" s="361"/>
      <c r="G61" s="361"/>
      <c r="H61" s="361" t="s">
        <v>327</v>
      </c>
      <c r="I61" s="361" t="s">
        <v>242</v>
      </c>
      <c r="J61" s="361" t="s">
        <v>737</v>
      </c>
      <c r="K61" s="365"/>
      <c r="L61" s="361"/>
      <c r="M61" s="361"/>
      <c r="N61" s="361"/>
      <c r="O61" s="362">
        <v>2500000</v>
      </c>
      <c r="P61" s="372">
        <v>78000000</v>
      </c>
      <c r="Q61" s="372"/>
      <c r="R61" s="375" t="s">
        <v>677</v>
      </c>
      <c r="S61" s="372">
        <v>12000000</v>
      </c>
      <c r="T61" s="361"/>
      <c r="U61" s="351">
        <v>43979</v>
      </c>
      <c r="V61" s="367">
        <v>44343</v>
      </c>
      <c r="W61" s="361" t="s">
        <v>250</v>
      </c>
      <c r="X61" s="361"/>
      <c r="Y61" s="361"/>
      <c r="Z61" s="361"/>
      <c r="AA61" s="361"/>
      <c r="AB61" s="361"/>
      <c r="AC61" s="159"/>
      <c r="AD61" s="361" t="s">
        <v>738</v>
      </c>
      <c r="AE61" s="364">
        <v>4500014489</v>
      </c>
      <c r="AF61" s="364"/>
      <c r="AG61" s="361"/>
      <c r="AH61" s="365"/>
      <c r="AI61" s="361"/>
      <c r="AJ61" s="361"/>
      <c r="AK61" s="361"/>
      <c r="AL61" s="361"/>
      <c r="AM61" s="361"/>
      <c r="AN61" s="361"/>
      <c r="AO61" s="361"/>
      <c r="AP61" s="361"/>
      <c r="AQ61" s="361"/>
      <c r="AR61" s="503"/>
      <c r="AS61" s="489"/>
      <c r="AT61" s="160"/>
      <c r="AU61" s="355"/>
    </row>
    <row r="62" spans="1:47" s="124" customFormat="1" ht="21.75" hidden="1" customHeight="1">
      <c r="A62" s="331">
        <v>61</v>
      </c>
      <c r="B62" s="159" t="s">
        <v>739</v>
      </c>
      <c r="C62" s="361" t="s">
        <v>713</v>
      </c>
      <c r="D62" s="435" t="s">
        <v>740</v>
      </c>
      <c r="E62" s="361" t="str">
        <f t="shared" si="0"/>
        <v>LOSS</v>
      </c>
      <c r="F62" s="361"/>
      <c r="G62" s="361"/>
      <c r="H62" s="361" t="s">
        <v>327</v>
      </c>
      <c r="I62" s="160" t="s">
        <v>346</v>
      </c>
      <c r="J62" s="361" t="s">
        <v>741</v>
      </c>
      <c r="K62" s="365"/>
      <c r="L62" s="361"/>
      <c r="M62" s="361"/>
      <c r="N62" s="361"/>
      <c r="O62" s="374" t="s">
        <v>115</v>
      </c>
      <c r="P62" s="372">
        <v>32400000</v>
      </c>
      <c r="Q62" s="372"/>
      <c r="R62" s="375" t="s">
        <v>677</v>
      </c>
      <c r="S62" s="372">
        <v>19360000</v>
      </c>
      <c r="T62" s="361"/>
      <c r="U62" s="351">
        <v>44175</v>
      </c>
      <c r="V62" s="367">
        <v>44539</v>
      </c>
      <c r="W62" s="361" t="s">
        <v>250</v>
      </c>
      <c r="X62" s="361"/>
      <c r="Y62" s="361"/>
      <c r="Z62" s="361"/>
      <c r="AA62" s="361"/>
      <c r="AB62" s="361"/>
      <c r="AC62" s="159"/>
      <c r="AD62" s="368"/>
      <c r="AE62" s="364">
        <v>4500015422</v>
      </c>
      <c r="AF62" s="364"/>
      <c r="AG62" s="361"/>
      <c r="AH62" s="365"/>
      <c r="AI62" s="361"/>
      <c r="AJ62" s="361"/>
      <c r="AK62" s="361"/>
      <c r="AL62" s="361"/>
      <c r="AM62" s="361"/>
      <c r="AN62" s="361"/>
      <c r="AO62" s="361"/>
      <c r="AP62" s="361"/>
      <c r="AQ62" s="361"/>
      <c r="AR62" s="503"/>
      <c r="AS62" s="489"/>
      <c r="AT62" s="160"/>
      <c r="AU62" s="355"/>
    </row>
    <row r="63" spans="1:47" s="124" customFormat="1" ht="21.75" hidden="1" customHeight="1">
      <c r="A63" s="331">
        <v>62</v>
      </c>
      <c r="B63" s="361" t="s">
        <v>542</v>
      </c>
      <c r="C63" s="361" t="s">
        <v>742</v>
      </c>
      <c r="D63" s="436" t="s">
        <v>743</v>
      </c>
      <c r="E63" s="361" t="str">
        <f t="shared" si="0"/>
        <v>LOSS</v>
      </c>
      <c r="F63" s="361"/>
      <c r="G63" s="361"/>
      <c r="H63" s="361" t="s">
        <v>327</v>
      </c>
      <c r="I63" s="160" t="s">
        <v>346</v>
      </c>
      <c r="J63" s="361" t="s">
        <v>744</v>
      </c>
      <c r="K63" s="365"/>
      <c r="L63" s="361"/>
      <c r="M63" s="361"/>
      <c r="N63" s="361"/>
      <c r="O63" s="374" t="s">
        <v>115</v>
      </c>
      <c r="P63" s="372">
        <v>216000000</v>
      </c>
      <c r="Q63" s="372"/>
      <c r="R63" s="375" t="s">
        <v>677</v>
      </c>
      <c r="S63" s="372">
        <v>6000000</v>
      </c>
      <c r="T63" s="361"/>
      <c r="U63" s="351">
        <v>43891</v>
      </c>
      <c r="V63" s="367">
        <v>44255</v>
      </c>
      <c r="W63" s="361" t="s">
        <v>250</v>
      </c>
      <c r="X63" s="361"/>
      <c r="Y63" s="361"/>
      <c r="Z63" s="361"/>
      <c r="AA63" s="361"/>
      <c r="AB63" s="361"/>
      <c r="AC63" s="159"/>
      <c r="AD63" s="368"/>
      <c r="AE63" s="364">
        <v>4500013940</v>
      </c>
      <c r="AF63" s="364"/>
      <c r="AG63" s="361"/>
      <c r="AH63" s="365"/>
      <c r="AI63" s="361"/>
      <c r="AJ63" s="361"/>
      <c r="AK63" s="361"/>
      <c r="AL63" s="361"/>
      <c r="AM63" s="361"/>
      <c r="AN63" s="361"/>
      <c r="AO63" s="361"/>
      <c r="AP63" s="361"/>
      <c r="AQ63" s="361"/>
      <c r="AR63" s="503"/>
      <c r="AS63" s="489"/>
      <c r="AT63" s="160"/>
      <c r="AU63" s="355"/>
    </row>
    <row r="64" spans="1:47" s="124" customFormat="1" ht="21.75" hidden="1" customHeight="1">
      <c r="A64" s="331">
        <v>63</v>
      </c>
      <c r="B64" s="361" t="s">
        <v>628</v>
      </c>
      <c r="C64" s="361" t="s">
        <v>745</v>
      </c>
      <c r="D64" s="435" t="s">
        <v>746</v>
      </c>
      <c r="E64" s="361" t="str">
        <f t="shared" si="0"/>
        <v>LOSS</v>
      </c>
      <c r="F64" s="361"/>
      <c r="G64" s="361"/>
      <c r="H64" s="28" t="s">
        <v>261</v>
      </c>
      <c r="I64" s="361" t="s">
        <v>243</v>
      </c>
      <c r="J64" s="361" t="s">
        <v>747</v>
      </c>
      <c r="K64" s="361"/>
      <c r="L64" s="361"/>
      <c r="M64" s="361"/>
      <c r="N64" s="361"/>
      <c r="O64" s="374" t="s">
        <v>115</v>
      </c>
      <c r="P64" s="372">
        <v>89296800</v>
      </c>
      <c r="Q64" s="372"/>
      <c r="R64" s="375" t="s">
        <v>677</v>
      </c>
      <c r="S64" s="372">
        <v>11160000</v>
      </c>
      <c r="T64" s="361"/>
      <c r="U64" s="351">
        <v>44166</v>
      </c>
      <c r="V64" s="367">
        <v>44530</v>
      </c>
      <c r="W64" s="361" t="s">
        <v>250</v>
      </c>
      <c r="X64" s="361"/>
      <c r="Y64" s="361"/>
      <c r="Z64" s="361"/>
      <c r="AA64" s="361"/>
      <c r="AB64" s="361"/>
      <c r="AC64" s="159"/>
      <c r="AD64" s="368"/>
      <c r="AE64" s="364">
        <v>4500015427</v>
      </c>
      <c r="AF64" s="364"/>
      <c r="AG64" s="160" t="s">
        <v>633</v>
      </c>
      <c r="AH64" s="174" t="s">
        <v>634</v>
      </c>
      <c r="AI64" s="361"/>
      <c r="AJ64" s="361"/>
      <c r="AK64" s="361"/>
      <c r="AL64" s="361"/>
      <c r="AM64" s="361"/>
      <c r="AN64" s="361"/>
      <c r="AO64" s="361"/>
      <c r="AP64" s="361"/>
      <c r="AQ64" s="361"/>
      <c r="AR64" s="503"/>
      <c r="AS64" s="489"/>
      <c r="AT64" s="160"/>
      <c r="AU64" s="355"/>
    </row>
    <row r="65" spans="1:47" s="124" customFormat="1" ht="21.75" hidden="1" customHeight="1">
      <c r="A65" s="331">
        <v>64</v>
      </c>
      <c r="B65" s="28" t="s">
        <v>30</v>
      </c>
      <c r="C65" s="361" t="s">
        <v>748</v>
      </c>
      <c r="D65" s="436" t="s">
        <v>705</v>
      </c>
      <c r="E65" s="361" t="str">
        <f t="shared" si="0"/>
        <v>LOSS</v>
      </c>
      <c r="F65" s="361"/>
      <c r="G65" s="361"/>
      <c r="H65" s="361" t="s">
        <v>327</v>
      </c>
      <c r="I65" s="29" t="s">
        <v>346</v>
      </c>
      <c r="J65" s="361" t="s">
        <v>749</v>
      </c>
      <c r="K65" s="365"/>
      <c r="L65" s="361"/>
      <c r="M65" s="361"/>
      <c r="N65" s="361"/>
      <c r="O65" s="374" t="s">
        <v>115</v>
      </c>
      <c r="P65" s="372">
        <v>33600000</v>
      </c>
      <c r="Q65" s="372"/>
      <c r="R65" s="375" t="s">
        <v>677</v>
      </c>
      <c r="S65" s="372">
        <v>20000000</v>
      </c>
      <c r="T65" s="361"/>
      <c r="U65" s="351">
        <v>44187</v>
      </c>
      <c r="V65" s="367">
        <v>44551</v>
      </c>
      <c r="W65" s="361" t="s">
        <v>250</v>
      </c>
      <c r="X65" s="361"/>
      <c r="Y65" s="361"/>
      <c r="Z65" s="361"/>
      <c r="AA65" s="361"/>
      <c r="AB65" s="361"/>
      <c r="AC65" s="159"/>
      <c r="AD65" s="368"/>
      <c r="AE65" s="364">
        <v>4500017117</v>
      </c>
      <c r="AF65" s="364"/>
      <c r="AG65" s="361"/>
      <c r="AH65" s="365"/>
      <c r="AI65" s="361"/>
      <c r="AJ65" s="361"/>
      <c r="AK65" s="361"/>
      <c r="AL65" s="361"/>
      <c r="AM65" s="361"/>
      <c r="AN65" s="361"/>
      <c r="AO65" s="361"/>
      <c r="AP65" s="361"/>
      <c r="AQ65" s="361"/>
      <c r="AR65" s="503"/>
      <c r="AS65" s="489"/>
      <c r="AT65" s="160"/>
      <c r="AU65" s="355"/>
    </row>
    <row r="66" spans="1:47" s="124" customFormat="1" ht="21.75" hidden="1" customHeight="1">
      <c r="A66" s="331">
        <v>65</v>
      </c>
      <c r="B66" s="361" t="s">
        <v>750</v>
      </c>
      <c r="C66" s="361" t="s">
        <v>751</v>
      </c>
      <c r="D66" s="435" t="s">
        <v>752</v>
      </c>
      <c r="E66" s="361" t="str">
        <f t="shared" ref="E66:E129" si="1">IF(Z66&lt;=0, "LOSS",IF(Z66&lt;=15, "CRITICAL",IF(Z66&lt;=30, "WARNING",IF(Z66&lt;60, "ATTENTION", "ON TRACK"))))</f>
        <v>LOSS</v>
      </c>
      <c r="F66" s="361"/>
      <c r="G66" s="361"/>
      <c r="H66" s="28" t="s">
        <v>261</v>
      </c>
      <c r="I66" s="361" t="s">
        <v>243</v>
      </c>
      <c r="J66" s="361" t="s">
        <v>753</v>
      </c>
      <c r="K66" s="361"/>
      <c r="L66" s="361"/>
      <c r="M66" s="361"/>
      <c r="N66" s="361"/>
      <c r="O66" s="374" t="s">
        <v>115</v>
      </c>
      <c r="P66" s="372">
        <v>48600000</v>
      </c>
      <c r="Q66" s="372"/>
      <c r="R66" s="375" t="s">
        <v>677</v>
      </c>
      <c r="S66" s="372">
        <v>48000000</v>
      </c>
      <c r="T66" s="361"/>
      <c r="U66" s="351">
        <v>44166</v>
      </c>
      <c r="V66" s="367">
        <v>44530</v>
      </c>
      <c r="W66" s="361" t="s">
        <v>250</v>
      </c>
      <c r="X66" s="361"/>
      <c r="Y66" s="361"/>
      <c r="Z66" s="361"/>
      <c r="AA66" s="361"/>
      <c r="AB66" s="361"/>
      <c r="AC66" s="159"/>
      <c r="AD66" s="368"/>
      <c r="AE66" s="364">
        <v>4500015361</v>
      </c>
      <c r="AF66" s="364"/>
      <c r="AG66" s="361"/>
      <c r="AH66" s="361"/>
      <c r="AI66" s="361"/>
      <c r="AJ66" s="361"/>
      <c r="AK66" s="361"/>
      <c r="AL66" s="361"/>
      <c r="AM66" s="361"/>
      <c r="AN66" s="361"/>
      <c r="AO66" s="361"/>
      <c r="AP66" s="361"/>
      <c r="AQ66" s="361"/>
      <c r="AR66" s="503"/>
      <c r="AS66" s="489"/>
      <c r="AT66" s="160"/>
      <c r="AU66" s="355"/>
    </row>
    <row r="67" spans="1:47" s="124" customFormat="1" ht="21.75" hidden="1" customHeight="1">
      <c r="A67" s="331">
        <v>66</v>
      </c>
      <c r="B67" s="361" t="s">
        <v>754</v>
      </c>
      <c r="C67" s="361" t="s">
        <v>755</v>
      </c>
      <c r="D67" s="436" t="s">
        <v>756</v>
      </c>
      <c r="E67" s="361" t="str">
        <f t="shared" si="1"/>
        <v>LOSS</v>
      </c>
      <c r="F67" s="361"/>
      <c r="G67" s="361"/>
      <c r="H67" s="361" t="s">
        <v>327</v>
      </c>
      <c r="I67" s="160" t="s">
        <v>346</v>
      </c>
      <c r="J67" s="361" t="s">
        <v>757</v>
      </c>
      <c r="K67" s="365"/>
      <c r="L67" s="361"/>
      <c r="M67" s="361"/>
      <c r="N67" s="361"/>
      <c r="O67" s="374" t="s">
        <v>115</v>
      </c>
      <c r="P67" s="372">
        <v>116298000</v>
      </c>
      <c r="Q67" s="361"/>
      <c r="R67" s="376" t="s">
        <v>115</v>
      </c>
      <c r="S67" s="372">
        <v>23100000</v>
      </c>
      <c r="T67" s="361"/>
      <c r="U67" s="351">
        <v>44167</v>
      </c>
      <c r="V67" s="367">
        <v>44531</v>
      </c>
      <c r="W67" s="361" t="s">
        <v>250</v>
      </c>
      <c r="X67" s="361"/>
      <c r="Y67" s="361"/>
      <c r="Z67" s="361"/>
      <c r="AA67" s="361"/>
      <c r="AB67" s="361"/>
      <c r="AC67" s="159"/>
      <c r="AD67" s="368"/>
      <c r="AE67" s="364">
        <v>4500015616</v>
      </c>
      <c r="AF67" s="364"/>
      <c r="AG67" s="361"/>
      <c r="AH67" s="365"/>
      <c r="AI67" s="361"/>
      <c r="AJ67" s="361"/>
      <c r="AK67" s="361"/>
      <c r="AL67" s="361"/>
      <c r="AM67" s="361"/>
      <c r="AN67" s="361"/>
      <c r="AO67" s="361"/>
      <c r="AP67" s="361"/>
      <c r="AQ67" s="361"/>
      <c r="AR67" s="503"/>
      <c r="AS67" s="489"/>
      <c r="AT67" s="160"/>
      <c r="AU67" s="355"/>
    </row>
    <row r="68" spans="1:47" s="124" customFormat="1" ht="21.75" hidden="1" customHeight="1">
      <c r="A68" s="331">
        <v>67</v>
      </c>
      <c r="B68" s="28" t="s">
        <v>119</v>
      </c>
      <c r="C68" s="361" t="s">
        <v>684</v>
      </c>
      <c r="D68" s="435" t="s">
        <v>689</v>
      </c>
      <c r="E68" s="361" t="str">
        <f t="shared" si="1"/>
        <v>LOSS</v>
      </c>
      <c r="F68" s="361"/>
      <c r="G68" s="361"/>
      <c r="H68" s="361" t="s">
        <v>327</v>
      </c>
      <c r="I68" s="160" t="s">
        <v>346</v>
      </c>
      <c r="J68" s="361" t="s">
        <v>118</v>
      </c>
      <c r="K68" s="365"/>
      <c r="L68" s="361"/>
      <c r="M68" s="361"/>
      <c r="N68" s="361"/>
      <c r="O68" s="374" t="s">
        <v>115</v>
      </c>
      <c r="P68" s="372">
        <v>72000000</v>
      </c>
      <c r="Q68" s="361"/>
      <c r="R68" s="376" t="s">
        <v>115</v>
      </c>
      <c r="S68" s="372">
        <v>2500000</v>
      </c>
      <c r="T68" s="361"/>
      <c r="U68" s="351">
        <v>43935</v>
      </c>
      <c r="V68" s="367">
        <v>44299</v>
      </c>
      <c r="W68" s="361" t="s">
        <v>250</v>
      </c>
      <c r="X68" s="361"/>
      <c r="Y68" s="361"/>
      <c r="Z68" s="361"/>
      <c r="AA68" s="361"/>
      <c r="AB68" s="361"/>
      <c r="AC68" s="159"/>
      <c r="AD68" s="377" t="s">
        <v>758</v>
      </c>
      <c r="AE68" s="364">
        <v>4500014248</v>
      </c>
      <c r="AF68" s="364"/>
      <c r="AG68" s="361"/>
      <c r="AH68" s="365"/>
      <c r="AI68" s="361"/>
      <c r="AJ68" s="361"/>
      <c r="AK68" s="361"/>
      <c r="AL68" s="361"/>
      <c r="AM68" s="361"/>
      <c r="AN68" s="361"/>
      <c r="AO68" s="361"/>
      <c r="AP68" s="361"/>
      <c r="AQ68" s="361"/>
      <c r="AR68" s="503"/>
      <c r="AS68" s="489"/>
      <c r="AT68" s="160"/>
      <c r="AU68" s="355"/>
    </row>
    <row r="69" spans="1:47" s="124" customFormat="1" ht="21.75" hidden="1" customHeight="1">
      <c r="A69" s="331">
        <v>68</v>
      </c>
      <c r="B69" s="361" t="s">
        <v>664</v>
      </c>
      <c r="C69" s="361" t="s">
        <v>759</v>
      </c>
      <c r="D69" s="437" t="s">
        <v>760</v>
      </c>
      <c r="E69" s="361" t="str">
        <f t="shared" si="1"/>
        <v>LOSS</v>
      </c>
      <c r="F69" s="361"/>
      <c r="G69" s="361"/>
      <c r="H69" s="28" t="s">
        <v>261</v>
      </c>
      <c r="I69" s="361" t="s">
        <v>243</v>
      </c>
      <c r="J69" s="361" t="s">
        <v>761</v>
      </c>
      <c r="K69" s="361"/>
      <c r="L69" s="361"/>
      <c r="M69" s="361"/>
      <c r="N69" s="361"/>
      <c r="O69" s="362">
        <v>1636364</v>
      </c>
      <c r="P69" s="372">
        <v>15272724</v>
      </c>
      <c r="Q69" s="372"/>
      <c r="R69" s="372">
        <v>1500000</v>
      </c>
      <c r="S69" s="372">
        <v>12000000</v>
      </c>
      <c r="T69" s="361"/>
      <c r="U69" s="351">
        <v>44091</v>
      </c>
      <c r="V69" s="367">
        <v>44455</v>
      </c>
      <c r="W69" s="361" t="s">
        <v>250</v>
      </c>
      <c r="X69" s="361"/>
      <c r="Y69" s="361"/>
      <c r="Z69" s="361"/>
      <c r="AA69" s="361"/>
      <c r="AB69" s="361"/>
      <c r="AC69" s="159"/>
      <c r="AD69" s="377" t="s">
        <v>762</v>
      </c>
      <c r="AE69" s="364">
        <v>4500016559</v>
      </c>
      <c r="AF69" s="364"/>
      <c r="AG69" s="361"/>
      <c r="AH69" s="361"/>
      <c r="AI69" s="361"/>
      <c r="AJ69" s="361"/>
      <c r="AK69" s="361"/>
      <c r="AL69" s="361"/>
      <c r="AM69" s="361"/>
      <c r="AN69" s="361"/>
      <c r="AO69" s="361"/>
      <c r="AP69" s="361"/>
      <c r="AQ69" s="361"/>
      <c r="AR69" s="503"/>
      <c r="AS69" s="489"/>
      <c r="AT69" s="160"/>
      <c r="AU69" s="355"/>
    </row>
    <row r="70" spans="1:47" s="124" customFormat="1" ht="21.75" hidden="1" customHeight="1">
      <c r="A70" s="331">
        <v>69</v>
      </c>
      <c r="B70" s="28" t="s">
        <v>114</v>
      </c>
      <c r="C70" s="361" t="s">
        <v>763</v>
      </c>
      <c r="D70" s="435" t="s">
        <v>764</v>
      </c>
      <c r="E70" s="361" t="str">
        <f t="shared" si="1"/>
        <v>LOSS</v>
      </c>
      <c r="F70" s="361"/>
      <c r="G70" s="361"/>
      <c r="H70" s="361" t="s">
        <v>327</v>
      </c>
      <c r="I70" s="160" t="s">
        <v>346</v>
      </c>
      <c r="J70" s="361"/>
      <c r="K70" s="365"/>
      <c r="L70" s="361"/>
      <c r="M70" s="361"/>
      <c r="N70" s="361"/>
      <c r="O70" s="374" t="s">
        <v>115</v>
      </c>
      <c r="P70" s="376" t="s">
        <v>115</v>
      </c>
      <c r="Q70" s="361"/>
      <c r="R70" s="376" t="s">
        <v>115</v>
      </c>
      <c r="S70" s="372">
        <v>104500008</v>
      </c>
      <c r="T70" s="361"/>
      <c r="U70" s="351">
        <v>44136</v>
      </c>
      <c r="V70" s="367">
        <v>44500</v>
      </c>
      <c r="W70" s="361" t="s">
        <v>250</v>
      </c>
      <c r="X70" s="361"/>
      <c r="Y70" s="361"/>
      <c r="Z70" s="361"/>
      <c r="AA70" s="361"/>
      <c r="AB70" s="361"/>
      <c r="AC70" s="159"/>
      <c r="AD70" s="368"/>
      <c r="AE70" s="364">
        <v>4500015278</v>
      </c>
      <c r="AF70" s="364"/>
      <c r="AG70" s="361"/>
      <c r="AH70" s="365"/>
      <c r="AI70" s="361"/>
      <c r="AJ70" s="361"/>
      <c r="AK70" s="361"/>
      <c r="AL70" s="361"/>
      <c r="AM70" s="361"/>
      <c r="AN70" s="361"/>
      <c r="AO70" s="361"/>
      <c r="AP70" s="361"/>
      <c r="AQ70" s="361"/>
      <c r="AR70" s="503"/>
      <c r="AS70" s="489"/>
      <c r="AT70" s="160"/>
      <c r="AU70" s="355"/>
    </row>
    <row r="71" spans="1:47" s="124" customFormat="1" ht="21.75" hidden="1" customHeight="1">
      <c r="A71" s="331">
        <v>70</v>
      </c>
      <c r="B71" s="28" t="s">
        <v>119</v>
      </c>
      <c r="C71" s="361" t="s">
        <v>765</v>
      </c>
      <c r="D71" s="436" t="s">
        <v>689</v>
      </c>
      <c r="E71" s="361" t="str">
        <f t="shared" si="1"/>
        <v>LOSS</v>
      </c>
      <c r="F71" s="361"/>
      <c r="G71" s="361"/>
      <c r="H71" s="28" t="s">
        <v>261</v>
      </c>
      <c r="I71" s="361" t="s">
        <v>243</v>
      </c>
      <c r="J71" s="361" t="s">
        <v>766</v>
      </c>
      <c r="K71" s="361"/>
      <c r="L71" s="361"/>
      <c r="M71" s="361"/>
      <c r="N71" s="361"/>
      <c r="O71" s="374" t="s">
        <v>115</v>
      </c>
      <c r="P71" s="372">
        <v>354000000</v>
      </c>
      <c r="Q71" s="372"/>
      <c r="R71" s="375" t="s">
        <v>115</v>
      </c>
      <c r="S71" s="372">
        <v>180000000</v>
      </c>
      <c r="T71" s="361"/>
      <c r="U71" s="351">
        <v>44175</v>
      </c>
      <c r="V71" s="367">
        <v>44539</v>
      </c>
      <c r="W71" s="364" t="s">
        <v>250</v>
      </c>
      <c r="X71" s="361"/>
      <c r="Y71" s="361"/>
      <c r="Z71" s="361"/>
      <c r="AA71" s="361"/>
      <c r="AB71" s="361"/>
      <c r="AC71" s="159"/>
      <c r="AD71" s="368"/>
      <c r="AE71" s="364">
        <v>4500015643</v>
      </c>
      <c r="AF71" s="364"/>
      <c r="AG71" s="361"/>
      <c r="AH71" s="361"/>
      <c r="AI71" s="361"/>
      <c r="AJ71" s="361"/>
      <c r="AK71" s="361"/>
      <c r="AL71" s="361"/>
      <c r="AM71" s="361"/>
      <c r="AN71" s="361"/>
      <c r="AO71" s="361"/>
      <c r="AP71" s="361"/>
      <c r="AQ71" s="361"/>
      <c r="AR71" s="503"/>
      <c r="AS71" s="489"/>
      <c r="AT71" s="160"/>
      <c r="AU71" s="355"/>
    </row>
    <row r="72" spans="1:47" s="124" customFormat="1" ht="21.75" hidden="1" customHeight="1">
      <c r="A72" s="331">
        <v>71</v>
      </c>
      <c r="B72" s="361" t="s">
        <v>400</v>
      </c>
      <c r="C72" s="361" t="s">
        <v>767</v>
      </c>
      <c r="D72" s="435" t="s">
        <v>768</v>
      </c>
      <c r="E72" s="361" t="str">
        <f t="shared" si="1"/>
        <v>LOSS</v>
      </c>
      <c r="F72" s="361"/>
      <c r="G72" s="361"/>
      <c r="H72" s="361" t="s">
        <v>327</v>
      </c>
      <c r="I72" s="160" t="s">
        <v>346</v>
      </c>
      <c r="J72" s="361" t="s">
        <v>769</v>
      </c>
      <c r="K72" s="365"/>
      <c r="L72" s="361"/>
      <c r="M72" s="361"/>
      <c r="N72" s="361"/>
      <c r="O72" s="362">
        <v>3000000</v>
      </c>
      <c r="P72" s="378">
        <v>240000000</v>
      </c>
      <c r="Q72" s="378"/>
      <c r="R72" s="379" t="s">
        <v>115</v>
      </c>
      <c r="S72" s="378">
        <v>7000000</v>
      </c>
      <c r="T72" s="361" t="s">
        <v>770</v>
      </c>
      <c r="U72" s="367">
        <v>43950</v>
      </c>
      <c r="V72" s="373">
        <v>44314</v>
      </c>
      <c r="W72" s="361" t="s">
        <v>250</v>
      </c>
      <c r="X72" s="361"/>
      <c r="Y72" s="361"/>
      <c r="Z72" s="361"/>
      <c r="AA72" s="361"/>
      <c r="AB72" s="361"/>
      <c r="AC72" s="159"/>
      <c r="AD72" s="361" t="s">
        <v>771</v>
      </c>
      <c r="AE72" s="364">
        <v>4500014161</v>
      </c>
      <c r="AF72" s="364"/>
      <c r="AG72" s="361"/>
      <c r="AH72" s="365"/>
      <c r="AI72" s="361"/>
      <c r="AJ72" s="361"/>
      <c r="AK72" s="361"/>
      <c r="AL72" s="361"/>
      <c r="AM72" s="361"/>
      <c r="AN72" s="361"/>
      <c r="AO72" s="361"/>
      <c r="AP72" s="361"/>
      <c r="AQ72" s="361"/>
      <c r="AR72" s="503"/>
      <c r="AS72" s="489"/>
      <c r="AT72" s="160"/>
      <c r="AU72" s="355"/>
    </row>
    <row r="73" spans="1:47" s="124" customFormat="1" ht="21.75" hidden="1" customHeight="1">
      <c r="A73" s="331">
        <v>72</v>
      </c>
      <c r="B73" s="361" t="s">
        <v>772</v>
      </c>
      <c r="C73" s="361" t="s">
        <v>773</v>
      </c>
      <c r="D73" s="436" t="s">
        <v>774</v>
      </c>
      <c r="E73" s="361" t="str">
        <f t="shared" si="1"/>
        <v>LOSS</v>
      </c>
      <c r="F73" s="361"/>
      <c r="G73" s="361"/>
      <c r="H73" s="361" t="s">
        <v>327</v>
      </c>
      <c r="I73" s="160" t="s">
        <v>346</v>
      </c>
      <c r="J73" s="361" t="s">
        <v>775</v>
      </c>
      <c r="K73" s="365"/>
      <c r="L73" s="361"/>
      <c r="M73" s="361"/>
      <c r="N73" s="361"/>
      <c r="O73" s="362">
        <v>5000000</v>
      </c>
      <c r="P73" s="378">
        <v>162000000</v>
      </c>
      <c r="Q73" s="378"/>
      <c r="R73" s="379" t="s">
        <v>115</v>
      </c>
      <c r="S73" s="378">
        <v>21900000</v>
      </c>
      <c r="T73" s="361"/>
      <c r="U73" s="367">
        <v>44158</v>
      </c>
      <c r="V73" s="373">
        <v>44522</v>
      </c>
      <c r="W73" s="361" t="s">
        <v>250</v>
      </c>
      <c r="X73" s="361"/>
      <c r="Y73" s="361"/>
      <c r="Z73" s="361"/>
      <c r="AA73" s="361"/>
      <c r="AB73" s="361"/>
      <c r="AC73" s="159"/>
      <c r="AD73" s="361" t="s">
        <v>776</v>
      </c>
      <c r="AE73" s="364">
        <v>4500015284</v>
      </c>
      <c r="AF73" s="364"/>
      <c r="AG73" s="361"/>
      <c r="AH73" s="365"/>
      <c r="AI73" s="361"/>
      <c r="AJ73" s="361"/>
      <c r="AK73" s="361"/>
      <c r="AL73" s="361"/>
      <c r="AM73" s="361"/>
      <c r="AN73" s="361"/>
      <c r="AO73" s="361"/>
      <c r="AP73" s="361"/>
      <c r="AQ73" s="361"/>
      <c r="AR73" s="503"/>
      <c r="AS73" s="489"/>
      <c r="AT73" s="160"/>
      <c r="AU73" s="355"/>
    </row>
    <row r="74" spans="1:47" s="124" customFormat="1" ht="21.75" hidden="1" customHeight="1">
      <c r="A74" s="331">
        <v>73</v>
      </c>
      <c r="B74" s="28" t="s">
        <v>635</v>
      </c>
      <c r="C74" s="361" t="s">
        <v>777</v>
      </c>
      <c r="D74" s="435" t="s">
        <v>778</v>
      </c>
      <c r="E74" s="361" t="str">
        <f t="shared" si="1"/>
        <v>LOSS</v>
      </c>
      <c r="F74" s="361"/>
      <c r="G74" s="361"/>
      <c r="H74" s="361" t="s">
        <v>327</v>
      </c>
      <c r="I74" s="361" t="s">
        <v>242</v>
      </c>
      <c r="J74" s="361" t="s">
        <v>779</v>
      </c>
      <c r="K74" s="365"/>
      <c r="L74" s="361"/>
      <c r="M74" s="361"/>
      <c r="N74" s="361"/>
      <c r="O74" s="369" t="s">
        <v>115</v>
      </c>
      <c r="P74" s="379" t="s">
        <v>115</v>
      </c>
      <c r="Q74" s="378"/>
      <c r="R74" s="379" t="s">
        <v>115</v>
      </c>
      <c r="S74" s="378">
        <v>40000000</v>
      </c>
      <c r="T74" s="361"/>
      <c r="U74" s="380">
        <v>43886</v>
      </c>
      <c r="V74" s="381">
        <v>44251</v>
      </c>
      <c r="W74" s="361" t="s">
        <v>250</v>
      </c>
      <c r="X74" s="361"/>
      <c r="Y74" s="361"/>
      <c r="Z74" s="361"/>
      <c r="AA74" s="361"/>
      <c r="AB74" s="361"/>
      <c r="AC74" s="159"/>
      <c r="AD74" s="361" t="s">
        <v>780</v>
      </c>
      <c r="AE74" s="364">
        <v>4500013999</v>
      </c>
      <c r="AF74" s="364"/>
      <c r="AG74" s="361"/>
      <c r="AH74" s="365"/>
      <c r="AI74" s="361"/>
      <c r="AJ74" s="361"/>
      <c r="AK74" s="361"/>
      <c r="AL74" s="361"/>
      <c r="AM74" s="361"/>
      <c r="AN74" s="361"/>
      <c r="AO74" s="361"/>
      <c r="AP74" s="361"/>
      <c r="AQ74" s="361"/>
      <c r="AR74" s="503"/>
      <c r="AS74" s="489"/>
      <c r="AT74" s="160"/>
      <c r="AU74" s="355"/>
    </row>
    <row r="75" spans="1:47" s="124" customFormat="1" ht="21.75" hidden="1" customHeight="1">
      <c r="A75" s="331">
        <v>74</v>
      </c>
      <c r="B75" s="361" t="s">
        <v>781</v>
      </c>
      <c r="C75" s="361" t="s">
        <v>782</v>
      </c>
      <c r="D75" s="436" t="s">
        <v>783</v>
      </c>
      <c r="E75" s="361" t="str">
        <f t="shared" si="1"/>
        <v>LOSS</v>
      </c>
      <c r="F75" s="361"/>
      <c r="G75" s="361"/>
      <c r="H75" s="361" t="s">
        <v>327</v>
      </c>
      <c r="I75" s="160" t="s">
        <v>346</v>
      </c>
      <c r="J75" s="361" t="s">
        <v>784</v>
      </c>
      <c r="K75" s="365"/>
      <c r="L75" s="361"/>
      <c r="M75" s="361"/>
      <c r="N75" s="361"/>
      <c r="O75" s="369" t="s">
        <v>115</v>
      </c>
      <c r="P75" s="378">
        <v>84000000</v>
      </c>
      <c r="Q75" s="378"/>
      <c r="R75" s="379" t="s">
        <v>115</v>
      </c>
      <c r="S75" s="378">
        <v>2000000</v>
      </c>
      <c r="T75" s="361"/>
      <c r="U75" s="367">
        <v>43941</v>
      </c>
      <c r="V75" s="367">
        <v>44305</v>
      </c>
      <c r="W75" s="361" t="s">
        <v>250</v>
      </c>
      <c r="X75" s="361"/>
      <c r="Y75" s="361"/>
      <c r="Z75" s="361"/>
      <c r="AA75" s="361"/>
      <c r="AB75" s="361"/>
      <c r="AC75" s="159"/>
      <c r="AD75" s="361" t="s">
        <v>785</v>
      </c>
      <c r="AE75" s="364">
        <v>4500013998</v>
      </c>
      <c r="AF75" s="364"/>
      <c r="AG75" s="361"/>
      <c r="AH75" s="365"/>
      <c r="AI75" s="361"/>
      <c r="AJ75" s="361"/>
      <c r="AK75" s="361"/>
      <c r="AL75" s="361"/>
      <c r="AM75" s="361"/>
      <c r="AN75" s="361"/>
      <c r="AO75" s="361"/>
      <c r="AP75" s="361"/>
      <c r="AQ75" s="361"/>
      <c r="AR75" s="503"/>
      <c r="AS75" s="489"/>
      <c r="AT75" s="160"/>
      <c r="AU75" s="355"/>
    </row>
    <row r="76" spans="1:47" s="124" customFormat="1" ht="21.75" hidden="1" customHeight="1">
      <c r="A76" s="331">
        <v>75</v>
      </c>
      <c r="B76" s="361" t="s">
        <v>93</v>
      </c>
      <c r="C76" s="361" t="s">
        <v>786</v>
      </c>
      <c r="D76" s="435" t="s">
        <v>787</v>
      </c>
      <c r="E76" s="361" t="str">
        <f t="shared" si="1"/>
        <v>LOSS</v>
      </c>
      <c r="F76" s="361"/>
      <c r="G76" s="361"/>
      <c r="H76" s="361" t="s">
        <v>327</v>
      </c>
      <c r="I76" s="361" t="s">
        <v>242</v>
      </c>
      <c r="J76" s="361" t="s">
        <v>788</v>
      </c>
      <c r="K76" s="365"/>
      <c r="L76" s="361"/>
      <c r="M76" s="361"/>
      <c r="N76" s="361"/>
      <c r="O76" s="369" t="s">
        <v>115</v>
      </c>
      <c r="P76" s="378">
        <v>90000000</v>
      </c>
      <c r="Q76" s="378"/>
      <c r="R76" s="379" t="s">
        <v>115</v>
      </c>
      <c r="S76" s="378">
        <v>18000000</v>
      </c>
      <c r="T76" s="361"/>
      <c r="U76" s="348">
        <v>43962</v>
      </c>
      <c r="V76" s="348">
        <v>44326</v>
      </c>
      <c r="W76" s="361" t="s">
        <v>250</v>
      </c>
      <c r="X76" s="361"/>
      <c r="Y76" s="361"/>
      <c r="Z76" s="361"/>
      <c r="AA76" s="361"/>
      <c r="AB76" s="361"/>
      <c r="AC76" s="159"/>
      <c r="AD76" s="361" t="s">
        <v>789</v>
      </c>
      <c r="AE76" s="364">
        <v>4500014317</v>
      </c>
      <c r="AF76" s="364"/>
      <c r="AG76" s="361"/>
      <c r="AH76" s="365"/>
      <c r="AI76" s="361"/>
      <c r="AJ76" s="361"/>
      <c r="AK76" s="361"/>
      <c r="AL76" s="361"/>
      <c r="AM76" s="361"/>
      <c r="AN76" s="361"/>
      <c r="AO76" s="361"/>
      <c r="AP76" s="361"/>
      <c r="AQ76" s="361"/>
      <c r="AR76" s="503"/>
      <c r="AS76" s="489"/>
      <c r="AT76" s="160"/>
      <c r="AU76" s="355"/>
    </row>
    <row r="77" spans="1:47" s="124" customFormat="1" ht="21.75" hidden="1" customHeight="1">
      <c r="A77" s="331">
        <v>76</v>
      </c>
      <c r="B77" s="361" t="s">
        <v>790</v>
      </c>
      <c r="C77" s="361" t="s">
        <v>791</v>
      </c>
      <c r="D77" s="436" t="s">
        <v>792</v>
      </c>
      <c r="E77" s="361" t="str">
        <f t="shared" si="1"/>
        <v>LOSS</v>
      </c>
      <c r="F77" s="361"/>
      <c r="G77" s="361"/>
      <c r="H77" s="361" t="s">
        <v>327</v>
      </c>
      <c r="I77" s="160" t="s">
        <v>346</v>
      </c>
      <c r="J77" s="361" t="s">
        <v>793</v>
      </c>
      <c r="K77" s="365"/>
      <c r="L77" s="361"/>
      <c r="M77" s="361"/>
      <c r="N77" s="361"/>
      <c r="O77" s="369" t="s">
        <v>115</v>
      </c>
      <c r="P77" s="378">
        <v>39600000</v>
      </c>
      <c r="Q77" s="378"/>
      <c r="R77" s="379" t="s">
        <v>677</v>
      </c>
      <c r="S77" s="378">
        <v>6363000</v>
      </c>
      <c r="T77" s="361"/>
      <c r="U77" s="367">
        <v>43936</v>
      </c>
      <c r="V77" s="367">
        <v>44300</v>
      </c>
      <c r="W77" s="361" t="s">
        <v>250</v>
      </c>
      <c r="X77" s="361"/>
      <c r="Y77" s="361"/>
      <c r="Z77" s="361"/>
      <c r="AA77" s="361"/>
      <c r="AB77" s="361"/>
      <c r="AC77" s="159"/>
      <c r="AD77" s="361" t="s">
        <v>794</v>
      </c>
      <c r="AE77" s="364">
        <v>4500014887</v>
      </c>
      <c r="AF77" s="364"/>
      <c r="AG77" s="361"/>
      <c r="AH77" s="365"/>
      <c r="AI77" s="361"/>
      <c r="AJ77" s="361"/>
      <c r="AK77" s="361"/>
      <c r="AL77" s="361"/>
      <c r="AM77" s="361"/>
      <c r="AN77" s="361"/>
      <c r="AO77" s="361"/>
      <c r="AP77" s="361"/>
      <c r="AQ77" s="361"/>
      <c r="AR77" s="503"/>
      <c r="AS77" s="489"/>
      <c r="AT77" s="160"/>
      <c r="AU77" s="355"/>
    </row>
    <row r="78" spans="1:47" s="124" customFormat="1" ht="21.75" hidden="1" customHeight="1">
      <c r="A78" s="331">
        <v>77</v>
      </c>
      <c r="B78" s="28" t="s">
        <v>521</v>
      </c>
      <c r="C78" s="361" t="s">
        <v>795</v>
      </c>
      <c r="D78" s="435" t="s">
        <v>796</v>
      </c>
      <c r="E78" s="361" t="str">
        <f t="shared" si="1"/>
        <v>LOSS</v>
      </c>
      <c r="F78" s="361"/>
      <c r="G78" s="361"/>
      <c r="H78" s="28" t="s">
        <v>261</v>
      </c>
      <c r="I78" s="361" t="s">
        <v>243</v>
      </c>
      <c r="J78" s="361" t="s">
        <v>797</v>
      </c>
      <c r="K78" s="361"/>
      <c r="L78" s="361"/>
      <c r="M78" s="361"/>
      <c r="N78" s="361"/>
      <c r="O78" s="369" t="s">
        <v>115</v>
      </c>
      <c r="P78" s="378">
        <v>99120000</v>
      </c>
      <c r="Q78" s="378"/>
      <c r="R78" s="379" t="s">
        <v>677</v>
      </c>
      <c r="S78" s="378">
        <v>69360000</v>
      </c>
      <c r="T78" s="361"/>
      <c r="U78" s="348">
        <v>44041</v>
      </c>
      <c r="V78" s="348">
        <v>44405</v>
      </c>
      <c r="W78" s="361" t="s">
        <v>250</v>
      </c>
      <c r="X78" s="361"/>
      <c r="Y78" s="361"/>
      <c r="Z78" s="361"/>
      <c r="AA78" s="361"/>
      <c r="AB78" s="361"/>
      <c r="AC78" s="159"/>
      <c r="AD78" s="361" t="s">
        <v>525</v>
      </c>
      <c r="AE78" s="364">
        <v>4500014675</v>
      </c>
      <c r="AF78" s="364"/>
      <c r="AG78" s="361"/>
      <c r="AH78" s="361"/>
      <c r="AI78" s="361"/>
      <c r="AJ78" s="361"/>
      <c r="AK78" s="361"/>
      <c r="AL78" s="361"/>
      <c r="AM78" s="361"/>
      <c r="AN78" s="361"/>
      <c r="AO78" s="361"/>
      <c r="AP78" s="361"/>
      <c r="AQ78" s="361"/>
      <c r="AR78" s="503"/>
      <c r="AS78" s="489"/>
      <c r="AT78" s="160"/>
      <c r="AU78" s="355"/>
    </row>
    <row r="79" spans="1:47" s="124" customFormat="1" ht="21.75" hidden="1" customHeight="1">
      <c r="A79" s="331">
        <v>78</v>
      </c>
      <c r="B79" s="361" t="s">
        <v>798</v>
      </c>
      <c r="C79" s="361" t="s">
        <v>799</v>
      </c>
      <c r="D79" s="436" t="s">
        <v>800</v>
      </c>
      <c r="E79" s="361" t="str">
        <f t="shared" si="1"/>
        <v>LOSS</v>
      </c>
      <c r="F79" s="361"/>
      <c r="G79" s="361"/>
      <c r="H79" s="361" t="s">
        <v>327</v>
      </c>
      <c r="I79" s="160" t="s">
        <v>346</v>
      </c>
      <c r="J79" s="361" t="s">
        <v>801</v>
      </c>
      <c r="K79" s="365"/>
      <c r="L79" s="361"/>
      <c r="M79" s="361"/>
      <c r="N79" s="361"/>
      <c r="O79" s="369" t="s">
        <v>115</v>
      </c>
      <c r="P79" s="378">
        <v>55860000</v>
      </c>
      <c r="Q79" s="378"/>
      <c r="R79" s="379" t="s">
        <v>115</v>
      </c>
      <c r="S79" s="378">
        <v>28000000</v>
      </c>
      <c r="T79" s="361"/>
      <c r="U79" s="348">
        <v>43874</v>
      </c>
      <c r="V79" s="348">
        <v>44239</v>
      </c>
      <c r="W79" s="361" t="s">
        <v>250</v>
      </c>
      <c r="X79" s="361"/>
      <c r="Y79" s="361"/>
      <c r="Z79" s="361"/>
      <c r="AA79" s="361"/>
      <c r="AB79" s="361"/>
      <c r="AC79" s="159"/>
      <c r="AD79" s="361" t="s">
        <v>802</v>
      </c>
      <c r="AE79" s="364">
        <v>4500013901</v>
      </c>
      <c r="AF79" s="364"/>
      <c r="AG79" s="361"/>
      <c r="AH79" s="365"/>
      <c r="AI79" s="361"/>
      <c r="AJ79" s="361"/>
      <c r="AK79" s="361"/>
      <c r="AL79" s="361"/>
      <c r="AM79" s="361"/>
      <c r="AN79" s="361"/>
      <c r="AO79" s="361"/>
      <c r="AP79" s="361"/>
      <c r="AQ79" s="361"/>
      <c r="AR79" s="503"/>
      <c r="AS79" s="489"/>
      <c r="AT79" s="160"/>
      <c r="AU79" s="355"/>
    </row>
    <row r="80" spans="1:47" s="124" customFormat="1" ht="21.75" hidden="1" customHeight="1">
      <c r="A80" s="331">
        <v>79</v>
      </c>
      <c r="B80" s="361" t="s">
        <v>803</v>
      </c>
      <c r="C80" s="361" t="s">
        <v>804</v>
      </c>
      <c r="D80" s="435" t="s">
        <v>805</v>
      </c>
      <c r="E80" s="361" t="str">
        <f t="shared" si="1"/>
        <v>LOSS</v>
      </c>
      <c r="F80" s="361"/>
      <c r="G80" s="361"/>
      <c r="H80" s="361" t="s">
        <v>327</v>
      </c>
      <c r="I80" s="160" t="s">
        <v>346</v>
      </c>
      <c r="J80" s="361" t="s">
        <v>757</v>
      </c>
      <c r="K80" s="365"/>
      <c r="L80" s="361"/>
      <c r="M80" s="361"/>
      <c r="N80" s="361"/>
      <c r="O80" s="369" t="s">
        <v>677</v>
      </c>
      <c r="P80" s="378">
        <v>116298000</v>
      </c>
      <c r="Q80" s="378"/>
      <c r="R80" s="379" t="s">
        <v>115</v>
      </c>
      <c r="S80" s="378">
        <v>25000000</v>
      </c>
      <c r="T80" s="361"/>
      <c r="U80" s="367">
        <v>43801</v>
      </c>
      <c r="V80" s="367">
        <v>44166</v>
      </c>
      <c r="W80" s="361" t="s">
        <v>250</v>
      </c>
      <c r="X80" s="361"/>
      <c r="Y80" s="361"/>
      <c r="Z80" s="361"/>
      <c r="AA80" s="361"/>
      <c r="AB80" s="361"/>
      <c r="AC80" s="159"/>
      <c r="AD80" s="361" t="s">
        <v>806</v>
      </c>
      <c r="AE80" s="364">
        <v>4500014086</v>
      </c>
      <c r="AF80" s="364"/>
      <c r="AG80" s="361"/>
      <c r="AH80" s="365"/>
      <c r="AI80" s="361"/>
      <c r="AJ80" s="361"/>
      <c r="AK80" s="361"/>
      <c r="AL80" s="361"/>
      <c r="AM80" s="361"/>
      <c r="AN80" s="361"/>
      <c r="AO80" s="361"/>
      <c r="AP80" s="361"/>
      <c r="AQ80" s="361"/>
      <c r="AR80" s="503"/>
      <c r="AS80" s="489"/>
      <c r="AT80" s="160"/>
      <c r="AU80" s="355"/>
    </row>
    <row r="81" spans="1:47" s="124" customFormat="1" ht="21.75" hidden="1" customHeight="1">
      <c r="A81" s="331">
        <v>80</v>
      </c>
      <c r="B81" s="361" t="s">
        <v>542</v>
      </c>
      <c r="C81" s="361" t="s">
        <v>807</v>
      </c>
      <c r="D81" s="436" t="s">
        <v>808</v>
      </c>
      <c r="E81" s="361" t="str">
        <f t="shared" si="1"/>
        <v>LOSS</v>
      </c>
      <c r="F81" s="361"/>
      <c r="G81" s="361"/>
      <c r="H81" s="361" t="s">
        <v>327</v>
      </c>
      <c r="I81" s="160" t="s">
        <v>346</v>
      </c>
      <c r="J81" s="361" t="s">
        <v>809</v>
      </c>
      <c r="K81" s="365"/>
      <c r="L81" s="361"/>
      <c r="M81" s="361"/>
      <c r="N81" s="361"/>
      <c r="O81" s="369" t="s">
        <v>115</v>
      </c>
      <c r="P81" s="378">
        <v>45540000</v>
      </c>
      <c r="Q81" s="378"/>
      <c r="R81" s="379" t="s">
        <v>115</v>
      </c>
      <c r="S81" s="378">
        <v>8000000</v>
      </c>
      <c r="T81" s="361"/>
      <c r="U81" s="367">
        <v>43833</v>
      </c>
      <c r="V81" s="367">
        <v>44198</v>
      </c>
      <c r="W81" s="361" t="s">
        <v>250</v>
      </c>
      <c r="X81" s="361"/>
      <c r="Y81" s="361"/>
      <c r="Z81" s="361"/>
      <c r="AA81" s="361"/>
      <c r="AB81" s="361"/>
      <c r="AC81" s="159"/>
      <c r="AD81" s="361" t="s">
        <v>810</v>
      </c>
      <c r="AE81" s="364">
        <v>4500013964</v>
      </c>
      <c r="AF81" s="364"/>
      <c r="AG81" s="361"/>
      <c r="AH81" s="365"/>
      <c r="AI81" s="361"/>
      <c r="AJ81" s="361"/>
      <c r="AK81" s="361"/>
      <c r="AL81" s="361"/>
      <c r="AM81" s="361"/>
      <c r="AN81" s="361"/>
      <c r="AO81" s="361"/>
      <c r="AP81" s="361"/>
      <c r="AQ81" s="361"/>
      <c r="AR81" s="503"/>
      <c r="AS81" s="489"/>
      <c r="AT81" s="160"/>
      <c r="AU81" s="355"/>
    </row>
    <row r="82" spans="1:47" s="124" customFormat="1" ht="21.75" hidden="1" customHeight="1">
      <c r="A82" s="331">
        <v>81</v>
      </c>
      <c r="B82" s="361" t="s">
        <v>811</v>
      </c>
      <c r="C82" s="361" t="s">
        <v>812</v>
      </c>
      <c r="D82" s="435" t="s">
        <v>813</v>
      </c>
      <c r="E82" s="361" t="str">
        <f t="shared" si="1"/>
        <v>LOSS</v>
      </c>
      <c r="F82" s="361"/>
      <c r="G82" s="361"/>
      <c r="H82" s="361" t="s">
        <v>327</v>
      </c>
      <c r="I82" s="361" t="s">
        <v>242</v>
      </c>
      <c r="J82" s="361" t="s">
        <v>814</v>
      </c>
      <c r="K82" s="365"/>
      <c r="L82" s="361"/>
      <c r="M82" s="361"/>
      <c r="N82" s="361"/>
      <c r="O82" s="369" t="s">
        <v>115</v>
      </c>
      <c r="P82" s="378">
        <v>138000000</v>
      </c>
      <c r="Q82" s="378"/>
      <c r="R82" s="379" t="s">
        <v>115</v>
      </c>
      <c r="S82" s="378">
        <v>11000000</v>
      </c>
      <c r="T82" s="361"/>
      <c r="U82" s="348">
        <v>43903</v>
      </c>
      <c r="V82" s="348">
        <v>44267</v>
      </c>
      <c r="W82" s="361" t="s">
        <v>250</v>
      </c>
      <c r="X82" s="361"/>
      <c r="Y82" s="361"/>
      <c r="Z82" s="361"/>
      <c r="AA82" s="361"/>
      <c r="AB82" s="361"/>
      <c r="AC82" s="159"/>
      <c r="AD82" s="361" t="s">
        <v>815</v>
      </c>
      <c r="AE82" s="364">
        <v>4500014042</v>
      </c>
      <c r="AF82" s="364"/>
      <c r="AG82" s="361"/>
      <c r="AH82" s="365"/>
      <c r="AI82" s="361"/>
      <c r="AJ82" s="361"/>
      <c r="AK82" s="361"/>
      <c r="AL82" s="361"/>
      <c r="AM82" s="361"/>
      <c r="AN82" s="361"/>
      <c r="AO82" s="361"/>
      <c r="AP82" s="361"/>
      <c r="AQ82" s="361"/>
      <c r="AR82" s="503"/>
      <c r="AS82" s="489"/>
      <c r="AT82" s="160"/>
      <c r="AU82" s="355"/>
    </row>
    <row r="83" spans="1:47" s="124" customFormat="1" ht="21.75" hidden="1" customHeight="1">
      <c r="A83" s="331">
        <v>82</v>
      </c>
      <c r="B83" s="361" t="s">
        <v>781</v>
      </c>
      <c r="C83" s="361" t="s">
        <v>816</v>
      </c>
      <c r="D83" s="436" t="s">
        <v>817</v>
      </c>
      <c r="E83" s="361" t="str">
        <f t="shared" si="1"/>
        <v>LOSS</v>
      </c>
      <c r="F83" s="361"/>
      <c r="G83" s="361"/>
      <c r="H83" s="361" t="s">
        <v>327</v>
      </c>
      <c r="I83" s="361" t="s">
        <v>242</v>
      </c>
      <c r="J83" s="361" t="s">
        <v>818</v>
      </c>
      <c r="K83" s="365"/>
      <c r="L83" s="361"/>
      <c r="M83" s="361"/>
      <c r="N83" s="361"/>
      <c r="O83" s="369" t="s">
        <v>115</v>
      </c>
      <c r="P83" s="378">
        <v>66000000</v>
      </c>
      <c r="Q83" s="378"/>
      <c r="R83" s="379" t="s">
        <v>115</v>
      </c>
      <c r="S83" s="378">
        <v>12000000</v>
      </c>
      <c r="T83" s="361"/>
      <c r="U83" s="348">
        <v>43911</v>
      </c>
      <c r="V83" s="348">
        <v>44275</v>
      </c>
      <c r="W83" s="361" t="s">
        <v>250</v>
      </c>
      <c r="X83" s="361"/>
      <c r="Y83" s="361"/>
      <c r="Z83" s="361"/>
      <c r="AA83" s="361"/>
      <c r="AB83" s="361"/>
      <c r="AC83" s="159"/>
      <c r="AD83" s="361" t="s">
        <v>819</v>
      </c>
      <c r="AE83" s="364">
        <v>4500014041</v>
      </c>
      <c r="AF83" s="364"/>
      <c r="AG83" s="361"/>
      <c r="AH83" s="365"/>
      <c r="AI83" s="361"/>
      <c r="AJ83" s="361"/>
      <c r="AK83" s="361"/>
      <c r="AL83" s="361"/>
      <c r="AM83" s="361"/>
      <c r="AN83" s="361"/>
      <c r="AO83" s="361"/>
      <c r="AP83" s="361"/>
      <c r="AQ83" s="361"/>
      <c r="AR83" s="503"/>
      <c r="AS83" s="489"/>
      <c r="AT83" s="160"/>
      <c r="AU83" s="355"/>
    </row>
    <row r="84" spans="1:47" s="124" customFormat="1" ht="21.75" hidden="1" customHeight="1">
      <c r="A84" s="331">
        <v>83</v>
      </c>
      <c r="B84" s="361" t="s">
        <v>820</v>
      </c>
      <c r="C84" s="361" t="s">
        <v>821</v>
      </c>
      <c r="D84" s="435" t="s">
        <v>822</v>
      </c>
      <c r="E84" s="361" t="str">
        <f t="shared" si="1"/>
        <v>LOSS</v>
      </c>
      <c r="F84" s="361"/>
      <c r="G84" s="361"/>
      <c r="H84" s="361" t="s">
        <v>327</v>
      </c>
      <c r="I84" s="160" t="s">
        <v>346</v>
      </c>
      <c r="J84" s="361"/>
      <c r="K84" s="365"/>
      <c r="L84" s="361"/>
      <c r="M84" s="361"/>
      <c r="N84" s="361"/>
      <c r="O84" s="369">
        <v>0</v>
      </c>
      <c r="P84" s="378">
        <v>0</v>
      </c>
      <c r="Q84" s="378"/>
      <c r="R84" s="378">
        <v>0</v>
      </c>
      <c r="S84" s="378">
        <v>7500000</v>
      </c>
      <c r="T84" s="361"/>
      <c r="U84" s="348">
        <v>44027</v>
      </c>
      <c r="V84" s="348">
        <v>44392</v>
      </c>
      <c r="W84" s="361" t="s">
        <v>250</v>
      </c>
      <c r="X84" s="361"/>
      <c r="Y84" s="361"/>
      <c r="Z84" s="361"/>
      <c r="AA84" s="361"/>
      <c r="AB84" s="361"/>
      <c r="AC84" s="159"/>
      <c r="AD84" s="361" t="s">
        <v>823</v>
      </c>
      <c r="AE84" s="364">
        <v>4500014586</v>
      </c>
      <c r="AF84" s="364"/>
      <c r="AG84" s="361"/>
      <c r="AH84" s="365"/>
      <c r="AI84" s="361"/>
      <c r="AJ84" s="361"/>
      <c r="AK84" s="361"/>
      <c r="AL84" s="361"/>
      <c r="AM84" s="361"/>
      <c r="AN84" s="361"/>
      <c r="AO84" s="361"/>
      <c r="AP84" s="361"/>
      <c r="AQ84" s="361"/>
      <c r="AR84" s="503"/>
      <c r="AS84" s="489"/>
      <c r="AT84" s="160"/>
      <c r="AU84" s="355"/>
    </row>
    <row r="85" spans="1:47" s="124" customFormat="1" ht="21.75" hidden="1" customHeight="1">
      <c r="A85" s="331">
        <v>84</v>
      </c>
      <c r="B85" s="28" t="s">
        <v>635</v>
      </c>
      <c r="C85" s="361" t="s">
        <v>824</v>
      </c>
      <c r="D85" s="436" t="s">
        <v>825</v>
      </c>
      <c r="E85" s="361" t="str">
        <f t="shared" si="1"/>
        <v>LOSS</v>
      </c>
      <c r="F85" s="361"/>
      <c r="G85" s="361"/>
      <c r="H85" s="361" t="s">
        <v>327</v>
      </c>
      <c r="I85" s="361" t="s">
        <v>242</v>
      </c>
      <c r="J85" s="361" t="s">
        <v>826</v>
      </c>
      <c r="K85" s="365"/>
      <c r="L85" s="361"/>
      <c r="M85" s="361"/>
      <c r="N85" s="361"/>
      <c r="O85" s="362">
        <v>5000000</v>
      </c>
      <c r="P85" s="378">
        <f>12*123000000</f>
        <v>1476000000</v>
      </c>
      <c r="Q85" s="378"/>
      <c r="R85" s="378">
        <v>0</v>
      </c>
      <c r="S85" s="378">
        <v>12000000</v>
      </c>
      <c r="T85" s="361"/>
      <c r="U85" s="348">
        <v>43965</v>
      </c>
      <c r="V85" s="348">
        <v>44329</v>
      </c>
      <c r="W85" s="361" t="s">
        <v>250</v>
      </c>
      <c r="X85" s="361"/>
      <c r="Y85" s="361"/>
      <c r="Z85" s="361"/>
      <c r="AA85" s="361"/>
      <c r="AB85" s="361"/>
      <c r="AC85" s="159"/>
      <c r="AD85" s="361" t="s">
        <v>827</v>
      </c>
      <c r="AE85" s="364">
        <v>4500014399</v>
      </c>
      <c r="AF85" s="364"/>
      <c r="AG85" s="361"/>
      <c r="AH85" s="365"/>
      <c r="AI85" s="361"/>
      <c r="AJ85" s="361"/>
      <c r="AK85" s="361"/>
      <c r="AL85" s="361"/>
      <c r="AM85" s="361"/>
      <c r="AN85" s="361"/>
      <c r="AO85" s="361"/>
      <c r="AP85" s="361"/>
      <c r="AQ85" s="361"/>
      <c r="AR85" s="503"/>
      <c r="AS85" s="489"/>
      <c r="AT85" s="160"/>
      <c r="AU85" s="355"/>
    </row>
    <row r="86" spans="1:47" s="124" customFormat="1" ht="21.75" hidden="1" customHeight="1">
      <c r="A86" s="331">
        <v>85</v>
      </c>
      <c r="B86" s="361" t="s">
        <v>828</v>
      </c>
      <c r="C86" s="361" t="s">
        <v>829</v>
      </c>
      <c r="D86" s="435" t="s">
        <v>830</v>
      </c>
      <c r="E86" s="361" t="str">
        <f t="shared" si="1"/>
        <v>LOSS</v>
      </c>
      <c r="F86" s="361"/>
      <c r="G86" s="361"/>
      <c r="H86" s="361" t="s">
        <v>327</v>
      </c>
      <c r="I86" s="160" t="s">
        <v>346</v>
      </c>
      <c r="J86" s="361"/>
      <c r="K86" s="365"/>
      <c r="L86" s="361"/>
      <c r="M86" s="361"/>
      <c r="N86" s="361"/>
      <c r="O86" s="362">
        <v>0</v>
      </c>
      <c r="P86" s="378">
        <v>0</v>
      </c>
      <c r="Q86" s="378"/>
      <c r="R86" s="378">
        <v>0</v>
      </c>
      <c r="S86" s="378">
        <v>166600100</v>
      </c>
      <c r="T86" s="361"/>
      <c r="U86" s="367">
        <v>43930</v>
      </c>
      <c r="V86" s="367">
        <v>44294</v>
      </c>
      <c r="W86" s="361" t="s">
        <v>250</v>
      </c>
      <c r="X86" s="361"/>
      <c r="Y86" s="361"/>
      <c r="Z86" s="361"/>
      <c r="AA86" s="361"/>
      <c r="AB86" s="361"/>
      <c r="AC86" s="159"/>
      <c r="AD86" s="361" t="s">
        <v>831</v>
      </c>
      <c r="AE86" s="364">
        <v>4500014029</v>
      </c>
      <c r="AF86" s="364"/>
      <c r="AG86" s="361"/>
      <c r="AH86" s="365"/>
      <c r="AI86" s="361"/>
      <c r="AJ86" s="361"/>
      <c r="AK86" s="361"/>
      <c r="AL86" s="361"/>
      <c r="AM86" s="361"/>
      <c r="AN86" s="361"/>
      <c r="AO86" s="361"/>
      <c r="AP86" s="361"/>
      <c r="AQ86" s="361"/>
      <c r="AR86" s="503"/>
      <c r="AS86" s="489"/>
      <c r="AT86" s="160"/>
      <c r="AU86" s="355"/>
    </row>
    <row r="87" spans="1:47" s="124" customFormat="1" ht="21.75" hidden="1" customHeight="1">
      <c r="A87" s="331">
        <v>86</v>
      </c>
      <c r="B87" s="28" t="s">
        <v>635</v>
      </c>
      <c r="C87" s="361" t="s">
        <v>832</v>
      </c>
      <c r="D87" s="436" t="s">
        <v>833</v>
      </c>
      <c r="E87" s="361" t="str">
        <f t="shared" si="1"/>
        <v>LOSS</v>
      </c>
      <c r="F87" s="361"/>
      <c r="G87" s="361"/>
      <c r="H87" s="361" t="s">
        <v>327</v>
      </c>
      <c r="I87" s="361" t="s">
        <v>242</v>
      </c>
      <c r="J87" s="361" t="s">
        <v>834</v>
      </c>
      <c r="K87" s="365"/>
      <c r="L87" s="361"/>
      <c r="M87" s="361"/>
      <c r="N87" s="361"/>
      <c r="O87" s="362">
        <v>5000000</v>
      </c>
      <c r="P87" s="378">
        <v>174000000</v>
      </c>
      <c r="Q87" s="378"/>
      <c r="R87" s="378">
        <v>0</v>
      </c>
      <c r="S87" s="378">
        <v>12000000</v>
      </c>
      <c r="T87" s="361"/>
      <c r="U87" s="348">
        <v>43979</v>
      </c>
      <c r="V87" s="348">
        <v>44343</v>
      </c>
      <c r="W87" s="361" t="s">
        <v>250</v>
      </c>
      <c r="X87" s="361"/>
      <c r="Y87" s="361"/>
      <c r="Z87" s="361"/>
      <c r="AA87" s="361"/>
      <c r="AB87" s="361"/>
      <c r="AC87" s="159"/>
      <c r="AD87" s="361" t="s">
        <v>835</v>
      </c>
      <c r="AE87" s="364">
        <v>4500014488</v>
      </c>
      <c r="AF87" s="364"/>
      <c r="AG87" s="361"/>
      <c r="AH87" s="365"/>
      <c r="AI87" s="361"/>
      <c r="AJ87" s="361"/>
      <c r="AK87" s="361"/>
      <c r="AL87" s="361"/>
      <c r="AM87" s="361"/>
      <c r="AN87" s="361"/>
      <c r="AO87" s="361"/>
      <c r="AP87" s="361"/>
      <c r="AQ87" s="361"/>
      <c r="AR87" s="503"/>
      <c r="AS87" s="489"/>
      <c r="AT87" s="160"/>
      <c r="AU87" s="355"/>
    </row>
    <row r="88" spans="1:47" s="124" customFormat="1" ht="21.75" hidden="1" customHeight="1">
      <c r="A88" s="331">
        <v>87</v>
      </c>
      <c r="B88" s="361" t="s">
        <v>836</v>
      </c>
      <c r="C88" s="361" t="s">
        <v>837</v>
      </c>
      <c r="D88" s="435" t="s">
        <v>838</v>
      </c>
      <c r="E88" s="361" t="str">
        <f t="shared" si="1"/>
        <v>LOSS</v>
      </c>
      <c r="F88" s="361"/>
      <c r="G88" s="361"/>
      <c r="H88" s="361" t="s">
        <v>839</v>
      </c>
      <c r="I88" s="361" t="s">
        <v>242</v>
      </c>
      <c r="J88" s="361" t="s">
        <v>840</v>
      </c>
      <c r="K88" s="365"/>
      <c r="L88" s="361"/>
      <c r="M88" s="361"/>
      <c r="N88" s="361"/>
      <c r="O88" s="382">
        <v>7000000</v>
      </c>
      <c r="P88" s="383">
        <v>78000000</v>
      </c>
      <c r="Q88" s="361"/>
      <c r="R88" s="383">
        <v>1500000</v>
      </c>
      <c r="S88" s="383">
        <v>4800000</v>
      </c>
      <c r="T88" s="361"/>
      <c r="U88" s="351">
        <v>44069</v>
      </c>
      <c r="V88" s="351">
        <v>44433</v>
      </c>
      <c r="W88" s="361" t="s">
        <v>250</v>
      </c>
      <c r="X88" s="361"/>
      <c r="Y88" s="361"/>
      <c r="Z88" s="361"/>
      <c r="AA88" s="361"/>
      <c r="AB88" s="361"/>
      <c r="AC88" s="159"/>
      <c r="AD88" s="361" t="s">
        <v>841</v>
      </c>
      <c r="AE88" s="364">
        <v>4500015170</v>
      </c>
      <c r="AF88" s="364"/>
      <c r="AG88" s="361"/>
      <c r="AH88" s="365"/>
      <c r="AI88" s="361"/>
      <c r="AJ88" s="361"/>
      <c r="AK88" s="361"/>
      <c r="AL88" s="361"/>
      <c r="AM88" s="361"/>
      <c r="AN88" s="361"/>
      <c r="AO88" s="361"/>
      <c r="AP88" s="361"/>
      <c r="AQ88" s="361"/>
      <c r="AR88" s="503"/>
      <c r="AS88" s="489"/>
      <c r="AT88" s="160"/>
      <c r="AU88" s="355"/>
    </row>
    <row r="89" spans="1:47" s="124" customFormat="1" ht="21.75" hidden="1" customHeight="1">
      <c r="A89" s="331">
        <v>88</v>
      </c>
      <c r="B89" s="28" t="s">
        <v>119</v>
      </c>
      <c r="C89" s="376" t="s">
        <v>842</v>
      </c>
      <c r="D89" s="436" t="s">
        <v>843</v>
      </c>
      <c r="E89" s="361" t="str">
        <f t="shared" si="1"/>
        <v>LOSS</v>
      </c>
      <c r="F89" s="361"/>
      <c r="G89" s="361"/>
      <c r="H89" s="361" t="s">
        <v>839</v>
      </c>
      <c r="I89" s="160" t="s">
        <v>346</v>
      </c>
      <c r="J89" s="361" t="s">
        <v>844</v>
      </c>
      <c r="K89" s="365"/>
      <c r="L89" s="361"/>
      <c r="M89" s="361"/>
      <c r="N89" s="361"/>
      <c r="O89" s="384" t="s">
        <v>115</v>
      </c>
      <c r="P89" s="383">
        <v>30000000</v>
      </c>
      <c r="Q89" s="361"/>
      <c r="R89" s="385" t="s">
        <v>115</v>
      </c>
      <c r="S89" s="383">
        <v>2500000</v>
      </c>
      <c r="T89" s="361"/>
      <c r="U89" s="351">
        <v>43876</v>
      </c>
      <c r="V89" s="351">
        <v>44241</v>
      </c>
      <c r="W89" s="361" t="s">
        <v>250</v>
      </c>
      <c r="X89" s="361"/>
      <c r="Y89" s="361"/>
      <c r="Z89" s="361"/>
      <c r="AA89" s="361"/>
      <c r="AB89" s="361"/>
      <c r="AC89" s="159"/>
      <c r="AD89" s="361" t="s">
        <v>845</v>
      </c>
      <c r="AE89" s="364">
        <v>4500014171</v>
      </c>
      <c r="AF89" s="364"/>
      <c r="AG89" s="361"/>
      <c r="AH89" s="365"/>
      <c r="AI89" s="361"/>
      <c r="AJ89" s="361"/>
      <c r="AK89" s="361"/>
      <c r="AL89" s="361"/>
      <c r="AM89" s="361"/>
      <c r="AN89" s="361"/>
      <c r="AO89" s="361"/>
      <c r="AP89" s="361"/>
      <c r="AQ89" s="361"/>
      <c r="AR89" s="503"/>
      <c r="AS89" s="489"/>
      <c r="AT89" s="160"/>
      <c r="AU89" s="355"/>
    </row>
    <row r="90" spans="1:47" s="124" customFormat="1" ht="21.75" hidden="1" customHeight="1">
      <c r="A90" s="331">
        <v>89</v>
      </c>
      <c r="B90" s="361" t="s">
        <v>846</v>
      </c>
      <c r="C90" s="361" t="s">
        <v>847</v>
      </c>
      <c r="D90" s="435" t="s">
        <v>848</v>
      </c>
      <c r="E90" s="361" t="str">
        <f t="shared" si="1"/>
        <v>LOSS</v>
      </c>
      <c r="F90" s="361"/>
      <c r="G90" s="361"/>
      <c r="H90" s="361" t="s">
        <v>839</v>
      </c>
      <c r="I90" s="160" t="s">
        <v>346</v>
      </c>
      <c r="J90" s="361"/>
      <c r="K90" s="365"/>
      <c r="L90" s="361"/>
      <c r="M90" s="361"/>
      <c r="N90" s="361"/>
      <c r="O90" s="384" t="s">
        <v>115</v>
      </c>
      <c r="P90" s="385" t="s">
        <v>115</v>
      </c>
      <c r="Q90" s="361"/>
      <c r="R90" s="385" t="s">
        <v>115</v>
      </c>
      <c r="S90" s="383">
        <v>50000000</v>
      </c>
      <c r="T90" s="361"/>
      <c r="U90" s="351">
        <v>44197</v>
      </c>
      <c r="V90" s="351">
        <v>44561</v>
      </c>
      <c r="W90" s="361" t="s">
        <v>250</v>
      </c>
      <c r="X90" s="361"/>
      <c r="Y90" s="361"/>
      <c r="Z90" s="361"/>
      <c r="AA90" s="361"/>
      <c r="AB90" s="361"/>
      <c r="AC90" s="159"/>
      <c r="AD90" s="262"/>
      <c r="AE90" s="364">
        <v>4500015689</v>
      </c>
      <c r="AF90" s="364"/>
      <c r="AG90" s="361"/>
      <c r="AH90" s="365"/>
      <c r="AI90" s="361"/>
      <c r="AJ90" s="361"/>
      <c r="AK90" s="361"/>
      <c r="AL90" s="361"/>
      <c r="AM90" s="361"/>
      <c r="AN90" s="361"/>
      <c r="AO90" s="361"/>
      <c r="AP90" s="361"/>
      <c r="AQ90" s="361"/>
      <c r="AR90" s="503"/>
      <c r="AS90" s="489"/>
      <c r="AT90" s="160"/>
      <c r="AU90" s="355"/>
    </row>
    <row r="91" spans="1:47" s="124" customFormat="1" ht="21.75" hidden="1" customHeight="1">
      <c r="A91" s="331">
        <v>90</v>
      </c>
      <c r="B91" s="361" t="s">
        <v>93</v>
      </c>
      <c r="C91" s="361" t="s">
        <v>849</v>
      </c>
      <c r="D91" s="436" t="s">
        <v>850</v>
      </c>
      <c r="E91" s="361" t="str">
        <f t="shared" si="1"/>
        <v>LOSS</v>
      </c>
      <c r="F91" s="361"/>
      <c r="G91" s="361"/>
      <c r="H91" s="361" t="s">
        <v>839</v>
      </c>
      <c r="I91" s="361" t="s">
        <v>242</v>
      </c>
      <c r="J91" s="361" t="s">
        <v>91</v>
      </c>
      <c r="K91" s="365"/>
      <c r="L91" s="361"/>
      <c r="M91" s="361"/>
      <c r="N91" s="361"/>
      <c r="O91" s="384" t="s">
        <v>115</v>
      </c>
      <c r="P91" s="383">
        <v>48000000</v>
      </c>
      <c r="Q91" s="361"/>
      <c r="R91" s="385" t="s">
        <v>115</v>
      </c>
      <c r="S91" s="383">
        <v>19000000</v>
      </c>
      <c r="T91" s="361"/>
      <c r="U91" s="351">
        <v>44274</v>
      </c>
      <c r="V91" s="351">
        <v>44273</v>
      </c>
      <c r="W91" s="361" t="s">
        <v>250</v>
      </c>
      <c r="X91" s="361"/>
      <c r="Y91" s="361"/>
      <c r="Z91" s="361"/>
      <c r="AA91" s="361"/>
      <c r="AB91" s="361"/>
      <c r="AC91" s="159"/>
      <c r="AD91" s="361" t="s">
        <v>851</v>
      </c>
      <c r="AE91" s="364">
        <v>4500014092</v>
      </c>
      <c r="AF91" s="364"/>
      <c r="AG91" s="361"/>
      <c r="AH91" s="365"/>
      <c r="AI91" s="361"/>
      <c r="AJ91" s="361"/>
      <c r="AK91" s="361"/>
      <c r="AL91" s="361"/>
      <c r="AM91" s="361"/>
      <c r="AN91" s="361"/>
      <c r="AO91" s="361"/>
      <c r="AP91" s="361"/>
      <c r="AQ91" s="361"/>
      <c r="AR91" s="503"/>
      <c r="AS91" s="489"/>
      <c r="AT91" s="160"/>
      <c r="AU91" s="355"/>
    </row>
    <row r="92" spans="1:47" s="124" customFormat="1" ht="21.75" hidden="1" customHeight="1">
      <c r="A92" s="331">
        <v>91</v>
      </c>
      <c r="B92" s="28" t="s">
        <v>119</v>
      </c>
      <c r="C92" s="361" t="s">
        <v>697</v>
      </c>
      <c r="D92" s="435" t="s">
        <v>843</v>
      </c>
      <c r="E92" s="361" t="str">
        <f t="shared" si="1"/>
        <v>LOSS</v>
      </c>
      <c r="F92" s="361"/>
      <c r="G92" s="361"/>
      <c r="H92" s="361" t="s">
        <v>839</v>
      </c>
      <c r="I92" s="160" t="s">
        <v>346</v>
      </c>
      <c r="J92" s="361" t="s">
        <v>698</v>
      </c>
      <c r="K92" s="365"/>
      <c r="L92" s="361"/>
      <c r="M92" s="361"/>
      <c r="N92" s="361"/>
      <c r="O92" s="384" t="s">
        <v>115</v>
      </c>
      <c r="P92" s="383">
        <v>66000000</v>
      </c>
      <c r="Q92" s="361"/>
      <c r="R92" s="385" t="s">
        <v>115</v>
      </c>
      <c r="S92" s="383">
        <v>5000000</v>
      </c>
      <c r="T92" s="361"/>
      <c r="U92" s="351">
        <v>43831</v>
      </c>
      <c r="V92" s="351">
        <v>44196</v>
      </c>
      <c r="W92" s="361" t="s">
        <v>250</v>
      </c>
      <c r="X92" s="361"/>
      <c r="Y92" s="361"/>
      <c r="Z92" s="361"/>
      <c r="AA92" s="361"/>
      <c r="AB92" s="361"/>
      <c r="AC92" s="159"/>
      <c r="AD92" s="361" t="s">
        <v>852</v>
      </c>
      <c r="AE92" s="364">
        <v>4500013749</v>
      </c>
      <c r="AF92" s="364"/>
      <c r="AG92" s="361"/>
      <c r="AH92" s="365"/>
      <c r="AI92" s="361"/>
      <c r="AJ92" s="361"/>
      <c r="AK92" s="361"/>
      <c r="AL92" s="361"/>
      <c r="AM92" s="361"/>
      <c r="AN92" s="361"/>
      <c r="AO92" s="361"/>
      <c r="AP92" s="361"/>
      <c r="AQ92" s="361"/>
      <c r="AR92" s="503"/>
      <c r="AS92" s="489"/>
      <c r="AT92" s="160"/>
      <c r="AU92" s="355"/>
    </row>
    <row r="93" spans="1:47" s="124" customFormat="1" ht="21.75" hidden="1" customHeight="1">
      <c r="A93" s="331">
        <v>92</v>
      </c>
      <c r="B93" s="361" t="s">
        <v>726</v>
      </c>
      <c r="C93" s="361" t="s">
        <v>853</v>
      </c>
      <c r="D93" s="436" t="s">
        <v>854</v>
      </c>
      <c r="E93" s="361" t="str">
        <f t="shared" si="1"/>
        <v>LOSS</v>
      </c>
      <c r="F93" s="361"/>
      <c r="G93" s="361"/>
      <c r="H93" s="361" t="s">
        <v>839</v>
      </c>
      <c r="I93" s="361" t="s">
        <v>242</v>
      </c>
      <c r="J93" s="361" t="s">
        <v>855</v>
      </c>
      <c r="K93" s="365"/>
      <c r="L93" s="361"/>
      <c r="M93" s="361"/>
      <c r="N93" s="361"/>
      <c r="O93" s="384" t="s">
        <v>115</v>
      </c>
      <c r="P93" s="383">
        <v>480000000</v>
      </c>
      <c r="Q93" s="361"/>
      <c r="R93" s="385" t="s">
        <v>115</v>
      </c>
      <c r="S93" s="383">
        <v>6000000</v>
      </c>
      <c r="T93" s="361"/>
      <c r="U93" s="351">
        <v>43937</v>
      </c>
      <c r="V93" s="351">
        <v>44301</v>
      </c>
      <c r="W93" s="361" t="s">
        <v>250</v>
      </c>
      <c r="X93" s="361"/>
      <c r="Y93" s="361"/>
      <c r="Z93" s="361"/>
      <c r="AA93" s="361"/>
      <c r="AB93" s="361"/>
      <c r="AC93" s="159"/>
      <c r="AD93" s="361" t="s">
        <v>856</v>
      </c>
      <c r="AE93" s="364">
        <v>4500014235</v>
      </c>
      <c r="AF93" s="364"/>
      <c r="AG93" s="361"/>
      <c r="AH93" s="365"/>
      <c r="AI93" s="361"/>
      <c r="AJ93" s="361"/>
      <c r="AK93" s="361"/>
      <c r="AL93" s="361"/>
      <c r="AM93" s="361"/>
      <c r="AN93" s="361"/>
      <c r="AO93" s="361"/>
      <c r="AP93" s="361"/>
      <c r="AQ93" s="361"/>
      <c r="AR93" s="503"/>
      <c r="AS93" s="489"/>
      <c r="AT93" s="160"/>
      <c r="AU93" s="355"/>
    </row>
    <row r="94" spans="1:47" s="124" customFormat="1" ht="21.75" hidden="1" customHeight="1">
      <c r="A94" s="331">
        <v>93</v>
      </c>
      <c r="B94" s="361" t="s">
        <v>857</v>
      </c>
      <c r="C94" s="361" t="s">
        <v>858</v>
      </c>
      <c r="D94" s="435" t="s">
        <v>859</v>
      </c>
      <c r="E94" s="361" t="str">
        <f t="shared" si="1"/>
        <v>LOSS</v>
      </c>
      <c r="F94" s="361"/>
      <c r="G94" s="361"/>
      <c r="H94" s="361" t="s">
        <v>839</v>
      </c>
      <c r="I94" s="361" t="s">
        <v>242</v>
      </c>
      <c r="J94" s="361" t="s">
        <v>860</v>
      </c>
      <c r="K94" s="365"/>
      <c r="L94" s="361"/>
      <c r="M94" s="361"/>
      <c r="N94" s="361"/>
      <c r="O94" s="384" t="s">
        <v>115</v>
      </c>
      <c r="P94" s="383">
        <v>66000000</v>
      </c>
      <c r="Q94" s="361"/>
      <c r="R94" s="385" t="s">
        <v>115</v>
      </c>
      <c r="S94" s="383">
        <v>2000000</v>
      </c>
      <c r="T94" s="361"/>
      <c r="U94" s="351">
        <v>43831</v>
      </c>
      <c r="V94" s="351">
        <v>44196</v>
      </c>
      <c r="W94" s="361" t="s">
        <v>250</v>
      </c>
      <c r="X94" s="361"/>
      <c r="Y94" s="361"/>
      <c r="Z94" s="361"/>
      <c r="AA94" s="361"/>
      <c r="AB94" s="361"/>
      <c r="AC94" s="159"/>
      <c r="AD94" s="368"/>
      <c r="AE94" s="364">
        <v>4500013733</v>
      </c>
      <c r="AF94" s="364"/>
      <c r="AG94" s="361"/>
      <c r="AH94" s="365"/>
      <c r="AI94" s="361"/>
      <c r="AJ94" s="361"/>
      <c r="AK94" s="361"/>
      <c r="AL94" s="361"/>
      <c r="AM94" s="361"/>
      <c r="AN94" s="361"/>
      <c r="AO94" s="361"/>
      <c r="AP94" s="361"/>
      <c r="AQ94" s="361"/>
      <c r="AR94" s="503"/>
      <c r="AS94" s="489"/>
      <c r="AT94" s="160"/>
      <c r="AU94" s="355"/>
    </row>
    <row r="95" spans="1:47" s="124" customFormat="1" ht="21.75" hidden="1" customHeight="1">
      <c r="A95" s="331">
        <v>94</v>
      </c>
      <c r="B95" s="28" t="s">
        <v>179</v>
      </c>
      <c r="C95" s="361" t="s">
        <v>861</v>
      </c>
      <c r="D95" s="436" t="s">
        <v>862</v>
      </c>
      <c r="E95" s="361" t="str">
        <f t="shared" si="1"/>
        <v>LOSS</v>
      </c>
      <c r="F95" s="361"/>
      <c r="G95" s="361"/>
      <c r="H95" s="361" t="s">
        <v>839</v>
      </c>
      <c r="I95" s="361" t="s">
        <v>242</v>
      </c>
      <c r="J95" s="361" t="s">
        <v>863</v>
      </c>
      <c r="K95" s="365"/>
      <c r="L95" s="361"/>
      <c r="M95" s="361"/>
      <c r="N95" s="361"/>
      <c r="O95" s="382">
        <v>3500000</v>
      </c>
      <c r="P95" s="383">
        <v>318000000</v>
      </c>
      <c r="Q95" s="361"/>
      <c r="R95" s="385" t="s">
        <v>115</v>
      </c>
      <c r="S95" s="383">
        <v>2500000</v>
      </c>
      <c r="T95" s="361"/>
      <c r="U95" s="351">
        <v>44028</v>
      </c>
      <c r="V95" s="351">
        <v>44392</v>
      </c>
      <c r="W95" s="361" t="s">
        <v>250</v>
      </c>
      <c r="X95" s="361"/>
      <c r="Y95" s="361"/>
      <c r="Z95" s="361"/>
      <c r="AA95" s="361"/>
      <c r="AB95" s="361"/>
      <c r="AC95" s="159"/>
      <c r="AD95" s="361" t="s">
        <v>864</v>
      </c>
      <c r="AE95" s="364">
        <v>4500014674</v>
      </c>
      <c r="AF95" s="364"/>
      <c r="AG95" s="361"/>
      <c r="AH95" s="365"/>
      <c r="AI95" s="361"/>
      <c r="AJ95" s="361"/>
      <c r="AK95" s="361"/>
      <c r="AL95" s="361"/>
      <c r="AM95" s="361"/>
      <c r="AN95" s="361"/>
      <c r="AO95" s="361"/>
      <c r="AP95" s="361"/>
      <c r="AQ95" s="361"/>
      <c r="AR95" s="503"/>
      <c r="AS95" s="489"/>
      <c r="AT95" s="160"/>
      <c r="AU95" s="355"/>
    </row>
    <row r="96" spans="1:47" s="124" customFormat="1" ht="21.75" hidden="1" customHeight="1">
      <c r="A96" s="331">
        <v>95</v>
      </c>
      <c r="B96" s="361" t="s">
        <v>865</v>
      </c>
      <c r="C96" s="361" t="s">
        <v>866</v>
      </c>
      <c r="D96" s="435" t="s">
        <v>867</v>
      </c>
      <c r="E96" s="361" t="str">
        <f t="shared" si="1"/>
        <v>LOSS</v>
      </c>
      <c r="F96" s="361"/>
      <c r="G96" s="361"/>
      <c r="H96" s="361" t="s">
        <v>839</v>
      </c>
      <c r="I96" s="160" t="s">
        <v>346</v>
      </c>
      <c r="J96" s="361" t="s">
        <v>868</v>
      </c>
      <c r="K96" s="365"/>
      <c r="L96" s="361"/>
      <c r="M96" s="361"/>
      <c r="N96" s="361"/>
      <c r="O96" s="384" t="s">
        <v>115</v>
      </c>
      <c r="P96" s="383">
        <v>20727276</v>
      </c>
      <c r="Q96" s="361"/>
      <c r="R96" s="385" t="s">
        <v>115</v>
      </c>
      <c r="S96" s="383">
        <v>6363636</v>
      </c>
      <c r="T96" s="361"/>
      <c r="U96" s="351">
        <v>44124</v>
      </c>
      <c r="V96" s="351">
        <v>44488</v>
      </c>
      <c r="W96" s="361" t="s">
        <v>250</v>
      </c>
      <c r="X96" s="361"/>
      <c r="Y96" s="361"/>
      <c r="Z96" s="361"/>
      <c r="AA96" s="361"/>
      <c r="AB96" s="361"/>
      <c r="AC96" s="159"/>
      <c r="AD96" s="361" t="s">
        <v>869</v>
      </c>
      <c r="AE96" s="364">
        <v>4500014924</v>
      </c>
      <c r="AF96" s="364"/>
      <c r="AG96" s="361"/>
      <c r="AH96" s="365"/>
      <c r="AI96" s="361"/>
      <c r="AJ96" s="361"/>
      <c r="AK96" s="361"/>
      <c r="AL96" s="361"/>
      <c r="AM96" s="361"/>
      <c r="AN96" s="361"/>
      <c r="AO96" s="361"/>
      <c r="AP96" s="361"/>
      <c r="AQ96" s="361"/>
      <c r="AR96" s="503"/>
      <c r="AS96" s="489"/>
      <c r="AT96" s="160"/>
      <c r="AU96" s="355"/>
    </row>
    <row r="97" spans="1:47" s="124" customFormat="1" ht="21.75" hidden="1" customHeight="1">
      <c r="A97" s="331">
        <v>96</v>
      </c>
      <c r="B97" s="361" t="s">
        <v>542</v>
      </c>
      <c r="C97" s="361" t="s">
        <v>870</v>
      </c>
      <c r="D97" s="436" t="s">
        <v>717</v>
      </c>
      <c r="E97" s="361" t="str">
        <f t="shared" si="1"/>
        <v>LOSS</v>
      </c>
      <c r="F97" s="361"/>
      <c r="G97" s="361"/>
      <c r="H97" s="361" t="s">
        <v>839</v>
      </c>
      <c r="I97" s="160" t="s">
        <v>346</v>
      </c>
      <c r="J97" s="361" t="s">
        <v>744</v>
      </c>
      <c r="K97" s="365"/>
      <c r="L97" s="361"/>
      <c r="M97" s="361"/>
      <c r="N97" s="361"/>
      <c r="O97" s="384" t="s">
        <v>115</v>
      </c>
      <c r="P97" s="383">
        <v>114000000</v>
      </c>
      <c r="Q97" s="361"/>
      <c r="R97" s="385" t="s">
        <v>115</v>
      </c>
      <c r="S97" s="383">
        <v>2000000</v>
      </c>
      <c r="T97" s="361"/>
      <c r="U97" s="351">
        <v>43949</v>
      </c>
      <c r="V97" s="351">
        <v>44313</v>
      </c>
      <c r="W97" s="361" t="s">
        <v>250</v>
      </c>
      <c r="X97" s="361"/>
      <c r="Y97" s="361"/>
      <c r="Z97" s="361"/>
      <c r="AA97" s="361"/>
      <c r="AB97" s="361"/>
      <c r="AC97" s="159"/>
      <c r="AD97" s="361" t="s">
        <v>871</v>
      </c>
      <c r="AE97" s="364">
        <v>4500013996</v>
      </c>
      <c r="AF97" s="364"/>
      <c r="AG97" s="361"/>
      <c r="AH97" s="365"/>
      <c r="AI97" s="361"/>
      <c r="AJ97" s="361"/>
      <c r="AK97" s="361"/>
      <c r="AL97" s="361"/>
      <c r="AM97" s="361"/>
      <c r="AN97" s="361"/>
      <c r="AO97" s="361"/>
      <c r="AP97" s="361"/>
      <c r="AQ97" s="361"/>
      <c r="AR97" s="503"/>
      <c r="AS97" s="489"/>
      <c r="AT97" s="160"/>
      <c r="AU97" s="355"/>
    </row>
    <row r="98" spans="1:47" s="124" customFormat="1" ht="21.75" hidden="1" customHeight="1">
      <c r="A98" s="331">
        <v>97</v>
      </c>
      <c r="B98" s="361" t="s">
        <v>726</v>
      </c>
      <c r="C98" s="361" t="s">
        <v>872</v>
      </c>
      <c r="D98" s="435" t="s">
        <v>854</v>
      </c>
      <c r="E98" s="361" t="str">
        <f t="shared" si="1"/>
        <v>LOSS</v>
      </c>
      <c r="F98" s="361"/>
      <c r="G98" s="361"/>
      <c r="H98" s="361" t="s">
        <v>839</v>
      </c>
      <c r="I98" s="361" t="s">
        <v>242</v>
      </c>
      <c r="J98" s="361" t="s">
        <v>873</v>
      </c>
      <c r="K98" s="365"/>
      <c r="L98" s="361"/>
      <c r="M98" s="361"/>
      <c r="N98" s="361"/>
      <c r="O98" s="382">
        <v>3000000</v>
      </c>
      <c r="P98" s="383">
        <v>13200000</v>
      </c>
      <c r="Q98" s="361"/>
      <c r="R98" s="383">
        <v>3000000</v>
      </c>
      <c r="S98" s="383">
        <v>6000000</v>
      </c>
      <c r="T98" s="361"/>
      <c r="U98" s="351">
        <v>43853</v>
      </c>
      <c r="V98" s="351">
        <v>44218</v>
      </c>
      <c r="W98" s="361" t="s">
        <v>250</v>
      </c>
      <c r="X98" s="361"/>
      <c r="Y98" s="361"/>
      <c r="Z98" s="361"/>
      <c r="AA98" s="361"/>
      <c r="AB98" s="361"/>
      <c r="AC98" s="159"/>
      <c r="AD98" s="361" t="s">
        <v>874</v>
      </c>
      <c r="AE98" s="364">
        <v>4500013806</v>
      </c>
      <c r="AF98" s="364"/>
      <c r="AG98" s="361"/>
      <c r="AH98" s="365"/>
      <c r="AI98" s="361"/>
      <c r="AJ98" s="361"/>
      <c r="AK98" s="361"/>
      <c r="AL98" s="361"/>
      <c r="AM98" s="361"/>
      <c r="AN98" s="361"/>
      <c r="AO98" s="361"/>
      <c r="AP98" s="361"/>
      <c r="AQ98" s="361"/>
      <c r="AR98" s="503"/>
      <c r="AS98" s="489"/>
      <c r="AT98" s="160"/>
      <c r="AU98" s="355"/>
    </row>
    <row r="99" spans="1:47" s="124" customFormat="1" ht="21.75" hidden="1" customHeight="1">
      <c r="A99" s="331">
        <v>98</v>
      </c>
      <c r="B99" s="361" t="s">
        <v>542</v>
      </c>
      <c r="C99" s="361" t="s">
        <v>875</v>
      </c>
      <c r="D99" s="437" t="s">
        <v>413</v>
      </c>
      <c r="E99" s="361" t="str">
        <f t="shared" si="1"/>
        <v>LOSS</v>
      </c>
      <c r="F99" s="361"/>
      <c r="G99" s="361"/>
      <c r="H99" s="361" t="s">
        <v>839</v>
      </c>
      <c r="I99" s="361" t="s">
        <v>242</v>
      </c>
      <c r="J99" s="361" t="s">
        <v>65</v>
      </c>
      <c r="K99" s="365"/>
      <c r="L99" s="361"/>
      <c r="M99" s="361"/>
      <c r="N99" s="361"/>
      <c r="O99" s="382">
        <v>5000000</v>
      </c>
      <c r="P99" s="383">
        <v>7500000</v>
      </c>
      <c r="Q99" s="361"/>
      <c r="R99" s="383">
        <v>2000000</v>
      </c>
      <c r="S99" s="383">
        <v>10000000</v>
      </c>
      <c r="T99" s="361"/>
      <c r="U99" s="351">
        <v>43874</v>
      </c>
      <c r="V99" s="351">
        <v>44239</v>
      </c>
      <c r="W99" s="361" t="s">
        <v>250</v>
      </c>
      <c r="X99" s="361"/>
      <c r="Y99" s="361"/>
      <c r="Z99" s="361"/>
      <c r="AA99" s="361"/>
      <c r="AB99" s="361"/>
      <c r="AC99" s="159"/>
      <c r="AD99" s="361" t="s">
        <v>876</v>
      </c>
      <c r="AE99" s="364">
        <v>4500013948</v>
      </c>
      <c r="AF99" s="364"/>
      <c r="AG99" s="361"/>
      <c r="AH99" s="365"/>
      <c r="AI99" s="361"/>
      <c r="AJ99" s="361"/>
      <c r="AK99" s="361"/>
      <c r="AL99" s="361"/>
      <c r="AM99" s="361"/>
      <c r="AN99" s="361"/>
      <c r="AO99" s="361"/>
      <c r="AP99" s="361"/>
      <c r="AQ99" s="361"/>
      <c r="AR99" s="503"/>
      <c r="AS99" s="489"/>
      <c r="AT99" s="160"/>
      <c r="AU99" s="355"/>
    </row>
    <row r="100" spans="1:47" s="124" customFormat="1" ht="21.75" hidden="1" customHeight="1">
      <c r="A100" s="331">
        <v>99</v>
      </c>
      <c r="B100" s="361" t="s">
        <v>400</v>
      </c>
      <c r="C100" s="361" t="s">
        <v>877</v>
      </c>
      <c r="D100" s="435" t="s">
        <v>878</v>
      </c>
      <c r="E100" s="361" t="str">
        <f t="shared" si="1"/>
        <v>LOSS</v>
      </c>
      <c r="F100" s="361"/>
      <c r="G100" s="361"/>
      <c r="H100" s="361" t="s">
        <v>839</v>
      </c>
      <c r="I100" s="160" t="s">
        <v>346</v>
      </c>
      <c r="J100" s="361" t="s">
        <v>879</v>
      </c>
      <c r="K100" s="365"/>
      <c r="L100" s="361"/>
      <c r="M100" s="361"/>
      <c r="N100" s="361"/>
      <c r="O100" s="384" t="s">
        <v>115</v>
      </c>
      <c r="P100" s="383">
        <v>84000000</v>
      </c>
      <c r="Q100" s="361"/>
      <c r="R100" s="385" t="s">
        <v>115</v>
      </c>
      <c r="S100" s="383">
        <v>7000000</v>
      </c>
      <c r="T100" s="361"/>
      <c r="U100" s="351">
        <v>43859</v>
      </c>
      <c r="V100" s="351">
        <v>44224</v>
      </c>
      <c r="W100" s="361" t="s">
        <v>250</v>
      </c>
      <c r="X100" s="361"/>
      <c r="Y100" s="361"/>
      <c r="Z100" s="361"/>
      <c r="AA100" s="361"/>
      <c r="AB100" s="361"/>
      <c r="AC100" s="159"/>
      <c r="AD100" s="368"/>
      <c r="AE100" s="364">
        <v>4500013868</v>
      </c>
      <c r="AF100" s="364"/>
      <c r="AG100" s="361"/>
      <c r="AH100" s="365"/>
      <c r="AI100" s="361"/>
      <c r="AJ100" s="361"/>
      <c r="AK100" s="361"/>
      <c r="AL100" s="361"/>
      <c r="AM100" s="361"/>
      <c r="AN100" s="361"/>
      <c r="AO100" s="361"/>
      <c r="AP100" s="361"/>
      <c r="AQ100" s="361"/>
      <c r="AR100" s="503"/>
      <c r="AS100" s="489"/>
      <c r="AT100" s="160"/>
      <c r="AU100" s="355"/>
    </row>
    <row r="101" spans="1:47" s="124" customFormat="1" ht="21.75" hidden="1" customHeight="1">
      <c r="A101" s="331">
        <v>100</v>
      </c>
      <c r="B101" s="361" t="s">
        <v>400</v>
      </c>
      <c r="C101" s="361" t="s">
        <v>877</v>
      </c>
      <c r="D101" s="436" t="s">
        <v>878</v>
      </c>
      <c r="E101" s="361" t="str">
        <f t="shared" si="1"/>
        <v>LOSS</v>
      </c>
      <c r="F101" s="361"/>
      <c r="G101" s="361"/>
      <c r="H101" s="361" t="s">
        <v>839</v>
      </c>
      <c r="I101" s="160" t="s">
        <v>346</v>
      </c>
      <c r="J101" s="361" t="s">
        <v>880</v>
      </c>
      <c r="K101" s="365"/>
      <c r="L101" s="361"/>
      <c r="M101" s="361"/>
      <c r="N101" s="361"/>
      <c r="O101" s="384" t="s">
        <v>115</v>
      </c>
      <c r="P101" s="383">
        <v>33000000</v>
      </c>
      <c r="Q101" s="361"/>
      <c r="R101" s="385" t="s">
        <v>115</v>
      </c>
      <c r="S101" s="383">
        <v>7000000</v>
      </c>
      <c r="T101" s="361"/>
      <c r="U101" s="351">
        <v>43851</v>
      </c>
      <c r="V101" s="351">
        <v>44216</v>
      </c>
      <c r="W101" s="361" t="s">
        <v>250</v>
      </c>
      <c r="X101" s="361"/>
      <c r="Y101" s="361"/>
      <c r="Z101" s="361"/>
      <c r="AA101" s="361"/>
      <c r="AB101" s="361"/>
      <c r="AC101" s="159"/>
      <c r="AD101" s="361" t="s">
        <v>881</v>
      </c>
      <c r="AE101" s="364">
        <v>4500013867</v>
      </c>
      <c r="AF101" s="364"/>
      <c r="AG101" s="361"/>
      <c r="AH101" s="365"/>
      <c r="AI101" s="361"/>
      <c r="AJ101" s="361"/>
      <c r="AK101" s="361"/>
      <c r="AL101" s="361"/>
      <c r="AM101" s="361"/>
      <c r="AN101" s="361"/>
      <c r="AO101" s="361"/>
      <c r="AP101" s="361"/>
      <c r="AQ101" s="361"/>
      <c r="AR101" s="503"/>
      <c r="AS101" s="489"/>
      <c r="AT101" s="160"/>
      <c r="AU101" s="355"/>
    </row>
    <row r="102" spans="1:47" s="124" customFormat="1" ht="21.75" hidden="1" customHeight="1">
      <c r="A102" s="331">
        <v>101</v>
      </c>
      <c r="B102" s="361" t="s">
        <v>882</v>
      </c>
      <c r="C102" s="361" t="s">
        <v>883</v>
      </c>
      <c r="D102" s="435" t="s">
        <v>884</v>
      </c>
      <c r="E102" s="361" t="str">
        <f t="shared" si="1"/>
        <v>LOSS</v>
      </c>
      <c r="F102" s="361"/>
      <c r="G102" s="361"/>
      <c r="H102" s="361" t="s">
        <v>839</v>
      </c>
      <c r="I102" s="361" t="s">
        <v>242</v>
      </c>
      <c r="J102" s="361" t="s">
        <v>885</v>
      </c>
      <c r="K102" s="365"/>
      <c r="L102" s="361"/>
      <c r="M102" s="361"/>
      <c r="N102" s="361"/>
      <c r="O102" s="382">
        <v>2500000</v>
      </c>
      <c r="P102" s="383">
        <v>60000000</v>
      </c>
      <c r="Q102" s="361"/>
      <c r="R102" s="383">
        <v>1500000</v>
      </c>
      <c r="S102" s="383">
        <v>2400000</v>
      </c>
      <c r="T102" s="361"/>
      <c r="U102" s="351">
        <v>44183</v>
      </c>
      <c r="V102" s="351">
        <v>44547</v>
      </c>
      <c r="W102" s="361" t="s">
        <v>250</v>
      </c>
      <c r="X102" s="361"/>
      <c r="Y102" s="361"/>
      <c r="Z102" s="361"/>
      <c r="AA102" s="361"/>
      <c r="AB102" s="361"/>
      <c r="AC102" s="159"/>
      <c r="AD102" s="361" t="s">
        <v>886</v>
      </c>
      <c r="AE102" s="364">
        <v>4500015466</v>
      </c>
      <c r="AF102" s="364"/>
      <c r="AG102" s="361"/>
      <c r="AH102" s="365"/>
      <c r="AI102" s="361"/>
      <c r="AJ102" s="361"/>
      <c r="AK102" s="361"/>
      <c r="AL102" s="361"/>
      <c r="AM102" s="361"/>
      <c r="AN102" s="361"/>
      <c r="AO102" s="361"/>
      <c r="AP102" s="361"/>
      <c r="AQ102" s="361"/>
      <c r="AR102" s="503"/>
      <c r="AS102" s="489"/>
      <c r="AT102" s="160"/>
      <c r="AU102" s="355"/>
    </row>
    <row r="103" spans="1:47" s="124" customFormat="1" ht="21.75" hidden="1" customHeight="1">
      <c r="A103" s="331">
        <v>102</v>
      </c>
      <c r="B103" s="28" t="s">
        <v>635</v>
      </c>
      <c r="C103" s="361" t="s">
        <v>887</v>
      </c>
      <c r="D103" s="436" t="s">
        <v>888</v>
      </c>
      <c r="E103" s="361" t="str">
        <f t="shared" si="1"/>
        <v>LOSS</v>
      </c>
      <c r="F103" s="361"/>
      <c r="G103" s="361"/>
      <c r="H103" s="361" t="s">
        <v>839</v>
      </c>
      <c r="I103" s="361" t="s">
        <v>242</v>
      </c>
      <c r="J103" s="361" t="s">
        <v>775</v>
      </c>
      <c r="K103" s="365"/>
      <c r="L103" s="361"/>
      <c r="M103" s="361"/>
      <c r="N103" s="361"/>
      <c r="O103" s="382">
        <v>5000000</v>
      </c>
      <c r="P103" s="383">
        <v>162000000</v>
      </c>
      <c r="Q103" s="361"/>
      <c r="R103" s="383">
        <v>1500000</v>
      </c>
      <c r="S103" s="383">
        <v>33900000</v>
      </c>
      <c r="T103" s="361"/>
      <c r="U103" s="351">
        <v>44130</v>
      </c>
      <c r="V103" s="351">
        <v>44494</v>
      </c>
      <c r="W103" s="361" t="s">
        <v>250</v>
      </c>
      <c r="X103" s="361"/>
      <c r="Y103" s="361"/>
      <c r="Z103" s="361"/>
      <c r="AA103" s="361"/>
      <c r="AB103" s="361"/>
      <c r="AC103" s="159"/>
      <c r="AD103" s="368"/>
      <c r="AE103" s="364">
        <v>4500015237</v>
      </c>
      <c r="AF103" s="364"/>
      <c r="AG103" s="361"/>
      <c r="AH103" s="365"/>
      <c r="AI103" s="361"/>
      <c r="AJ103" s="361"/>
      <c r="AK103" s="361"/>
      <c r="AL103" s="361"/>
      <c r="AM103" s="361"/>
      <c r="AN103" s="361"/>
      <c r="AO103" s="361"/>
      <c r="AP103" s="361"/>
      <c r="AQ103" s="361"/>
      <c r="AR103" s="503"/>
      <c r="AS103" s="489"/>
      <c r="AT103" s="160"/>
      <c r="AU103" s="355"/>
    </row>
    <row r="104" spans="1:47" s="124" customFormat="1" ht="21.75" hidden="1" customHeight="1">
      <c r="A104" s="331">
        <v>103</v>
      </c>
      <c r="B104" s="28" t="s">
        <v>119</v>
      </c>
      <c r="C104" s="159" t="s">
        <v>889</v>
      </c>
      <c r="D104" s="437" t="s">
        <v>452</v>
      </c>
      <c r="E104" s="361" t="str">
        <f t="shared" si="1"/>
        <v>LOSS</v>
      </c>
      <c r="F104" s="361"/>
      <c r="G104" s="361"/>
      <c r="H104" s="361" t="s">
        <v>839</v>
      </c>
      <c r="I104" s="361" t="s">
        <v>242</v>
      </c>
      <c r="J104" s="361" t="s">
        <v>890</v>
      </c>
      <c r="K104" s="365"/>
      <c r="L104" s="361"/>
      <c r="M104" s="361"/>
      <c r="N104" s="361"/>
      <c r="O104" s="384" t="s">
        <v>115</v>
      </c>
      <c r="P104" s="383">
        <v>43200000</v>
      </c>
      <c r="Q104" s="361"/>
      <c r="R104" s="385" t="s">
        <v>115</v>
      </c>
      <c r="S104" s="383">
        <v>2500000</v>
      </c>
      <c r="T104" s="361"/>
      <c r="U104" s="351">
        <v>43942</v>
      </c>
      <c r="V104" s="351">
        <v>44306</v>
      </c>
      <c r="W104" s="361" t="s">
        <v>250</v>
      </c>
      <c r="X104" s="361"/>
      <c r="Y104" s="361"/>
      <c r="Z104" s="361"/>
      <c r="AA104" s="361"/>
      <c r="AB104" s="361"/>
      <c r="AC104" s="159"/>
      <c r="AD104" s="361" t="s">
        <v>891</v>
      </c>
      <c r="AE104" s="364">
        <v>4500014203</v>
      </c>
      <c r="AF104" s="364"/>
      <c r="AG104" s="361"/>
      <c r="AH104" s="365"/>
      <c r="AI104" s="361"/>
      <c r="AJ104" s="361"/>
      <c r="AK104" s="361"/>
      <c r="AL104" s="361"/>
      <c r="AM104" s="361"/>
      <c r="AN104" s="361"/>
      <c r="AO104" s="361"/>
      <c r="AP104" s="361"/>
      <c r="AQ104" s="361"/>
      <c r="AR104" s="503"/>
      <c r="AS104" s="489"/>
      <c r="AT104" s="160"/>
      <c r="AU104" s="355"/>
    </row>
    <row r="105" spans="1:47" s="124" customFormat="1" ht="21.75" hidden="1" customHeight="1">
      <c r="A105" s="331">
        <v>104</v>
      </c>
      <c r="B105" s="28" t="s">
        <v>119</v>
      </c>
      <c r="C105" s="361" t="s">
        <v>892</v>
      </c>
      <c r="D105" s="436" t="s">
        <v>843</v>
      </c>
      <c r="E105" s="361" t="str">
        <f t="shared" si="1"/>
        <v>LOSS</v>
      </c>
      <c r="F105" s="361"/>
      <c r="G105" s="361"/>
      <c r="H105" s="361" t="s">
        <v>839</v>
      </c>
      <c r="I105" s="160" t="s">
        <v>346</v>
      </c>
      <c r="J105" s="361" t="s">
        <v>893</v>
      </c>
      <c r="K105" s="365"/>
      <c r="L105" s="361"/>
      <c r="M105" s="361"/>
      <c r="N105" s="361"/>
      <c r="O105" s="384" t="s">
        <v>115</v>
      </c>
      <c r="P105" s="383">
        <v>36000000</v>
      </c>
      <c r="Q105" s="361"/>
      <c r="R105" s="385" t="s">
        <v>115</v>
      </c>
      <c r="S105" s="383">
        <v>2500000</v>
      </c>
      <c r="T105" s="361"/>
      <c r="U105" s="351">
        <v>43990</v>
      </c>
      <c r="V105" s="351">
        <v>44354</v>
      </c>
      <c r="W105" s="361" t="s">
        <v>250</v>
      </c>
      <c r="X105" s="361"/>
      <c r="Y105" s="361"/>
      <c r="Z105" s="361"/>
      <c r="AA105" s="361"/>
      <c r="AB105" s="361"/>
      <c r="AC105" s="159"/>
      <c r="AD105" s="361" t="s">
        <v>894</v>
      </c>
      <c r="AE105" s="364">
        <v>4500014679</v>
      </c>
      <c r="AF105" s="364"/>
      <c r="AG105" s="361"/>
      <c r="AH105" s="365"/>
      <c r="AI105" s="361"/>
      <c r="AJ105" s="361"/>
      <c r="AK105" s="361"/>
      <c r="AL105" s="361"/>
      <c r="AM105" s="361"/>
      <c r="AN105" s="361"/>
      <c r="AO105" s="361"/>
      <c r="AP105" s="361"/>
      <c r="AQ105" s="361"/>
      <c r="AR105" s="503"/>
      <c r="AS105" s="489"/>
      <c r="AT105" s="160"/>
      <c r="AU105" s="355"/>
    </row>
    <row r="106" spans="1:47" s="124" customFormat="1" ht="21.75" hidden="1" customHeight="1">
      <c r="A106" s="331">
        <v>105</v>
      </c>
      <c r="B106" s="361" t="s">
        <v>726</v>
      </c>
      <c r="C106" s="361" t="s">
        <v>895</v>
      </c>
      <c r="D106" s="435" t="s">
        <v>854</v>
      </c>
      <c r="E106" s="361" t="str">
        <f t="shared" si="1"/>
        <v>LOSS</v>
      </c>
      <c r="F106" s="361"/>
      <c r="G106" s="361"/>
      <c r="H106" s="361" t="s">
        <v>839</v>
      </c>
      <c r="I106" s="361" t="s">
        <v>242</v>
      </c>
      <c r="J106" s="361" t="s">
        <v>896</v>
      </c>
      <c r="K106" s="365"/>
      <c r="L106" s="361"/>
      <c r="M106" s="361"/>
      <c r="N106" s="361"/>
      <c r="O106" s="384" t="s">
        <v>115</v>
      </c>
      <c r="P106" s="383">
        <v>818181816</v>
      </c>
      <c r="Q106" s="361"/>
      <c r="R106" s="383">
        <v>9000000</v>
      </c>
      <c r="S106" s="383">
        <v>18000000</v>
      </c>
      <c r="T106" s="361" t="s">
        <v>897</v>
      </c>
      <c r="U106" s="351">
        <v>44116</v>
      </c>
      <c r="V106" s="351">
        <v>44480</v>
      </c>
      <c r="W106" s="361" t="s">
        <v>250</v>
      </c>
      <c r="X106" s="361"/>
      <c r="Y106" s="361"/>
      <c r="Z106" s="361"/>
      <c r="AA106" s="361"/>
      <c r="AB106" s="361"/>
      <c r="AC106" s="159"/>
      <c r="AD106" s="361" t="s">
        <v>898</v>
      </c>
      <c r="AE106" s="364">
        <v>4500015465</v>
      </c>
      <c r="AF106" s="364"/>
      <c r="AG106" s="361"/>
      <c r="AH106" s="365"/>
      <c r="AI106" s="361"/>
      <c r="AJ106" s="361"/>
      <c r="AK106" s="361"/>
      <c r="AL106" s="361"/>
      <c r="AM106" s="361"/>
      <c r="AN106" s="361"/>
      <c r="AO106" s="361"/>
      <c r="AP106" s="361"/>
      <c r="AQ106" s="361"/>
      <c r="AR106" s="503"/>
      <c r="AS106" s="489"/>
      <c r="AT106" s="160"/>
      <c r="AU106" s="355"/>
    </row>
    <row r="107" spans="1:47" s="124" customFormat="1" ht="21.75" hidden="1" customHeight="1">
      <c r="A107" s="331">
        <v>106</v>
      </c>
      <c r="B107" s="361" t="s">
        <v>899</v>
      </c>
      <c r="C107" s="361" t="s">
        <v>900</v>
      </c>
      <c r="D107" s="436" t="s">
        <v>901</v>
      </c>
      <c r="E107" s="361" t="str">
        <f t="shared" si="1"/>
        <v>LOSS</v>
      </c>
      <c r="F107" s="361"/>
      <c r="G107" s="361"/>
      <c r="H107" s="361" t="s">
        <v>839</v>
      </c>
      <c r="I107" s="160" t="s">
        <v>346</v>
      </c>
      <c r="J107" s="361" t="s">
        <v>902</v>
      </c>
      <c r="K107" s="365"/>
      <c r="L107" s="361"/>
      <c r="M107" s="361"/>
      <c r="N107" s="361"/>
      <c r="O107" s="384" t="s">
        <v>115</v>
      </c>
      <c r="P107" s="385">
        <v>90000000</v>
      </c>
      <c r="Q107" s="361"/>
      <c r="R107" s="385" t="s">
        <v>115</v>
      </c>
      <c r="S107" s="383">
        <v>36300000</v>
      </c>
      <c r="T107" s="361"/>
      <c r="U107" s="351">
        <v>44138</v>
      </c>
      <c r="V107" s="351">
        <v>44502</v>
      </c>
      <c r="W107" s="361" t="s">
        <v>250</v>
      </c>
      <c r="X107" s="361"/>
      <c r="Y107" s="361"/>
      <c r="Z107" s="361"/>
      <c r="AA107" s="361"/>
      <c r="AB107" s="361"/>
      <c r="AC107" s="159"/>
      <c r="AD107" s="368"/>
      <c r="AE107" s="364">
        <v>4500015895</v>
      </c>
      <c r="AF107" s="364"/>
      <c r="AG107" s="361"/>
      <c r="AH107" s="365"/>
      <c r="AI107" s="361"/>
      <c r="AJ107" s="361"/>
      <c r="AK107" s="361"/>
      <c r="AL107" s="361"/>
      <c r="AM107" s="361"/>
      <c r="AN107" s="361"/>
      <c r="AO107" s="361"/>
      <c r="AP107" s="361"/>
      <c r="AQ107" s="361"/>
      <c r="AR107" s="503"/>
      <c r="AS107" s="489"/>
      <c r="AT107" s="160"/>
      <c r="AU107" s="355"/>
    </row>
    <row r="108" spans="1:47" s="124" customFormat="1" ht="21.75" hidden="1" customHeight="1">
      <c r="A108" s="331">
        <v>107</v>
      </c>
      <c r="B108" s="159" t="s">
        <v>903</v>
      </c>
      <c r="C108" s="361" t="s">
        <v>904</v>
      </c>
      <c r="D108" s="435" t="s">
        <v>905</v>
      </c>
      <c r="E108" s="361" t="str">
        <f t="shared" si="1"/>
        <v>LOSS</v>
      </c>
      <c r="F108" s="361"/>
      <c r="G108" s="361"/>
      <c r="H108" s="361" t="s">
        <v>839</v>
      </c>
      <c r="I108" s="361" t="s">
        <v>242</v>
      </c>
      <c r="J108" s="361" t="s">
        <v>906</v>
      </c>
      <c r="K108" s="365"/>
      <c r="L108" s="361"/>
      <c r="M108" s="361"/>
      <c r="N108" s="361"/>
      <c r="O108" s="384" t="s">
        <v>115</v>
      </c>
      <c r="P108" s="383">
        <v>46800000</v>
      </c>
      <c r="Q108" s="361"/>
      <c r="R108" s="385" t="s">
        <v>115</v>
      </c>
      <c r="S108" s="383">
        <v>25200000</v>
      </c>
      <c r="T108" s="361"/>
      <c r="U108" s="351">
        <v>44105</v>
      </c>
      <c r="V108" s="351">
        <v>44469</v>
      </c>
      <c r="W108" s="361" t="s">
        <v>250</v>
      </c>
      <c r="X108" s="361"/>
      <c r="Y108" s="361"/>
      <c r="Z108" s="361"/>
      <c r="AA108" s="361"/>
      <c r="AB108" s="361"/>
      <c r="AC108" s="159"/>
      <c r="AD108" s="361" t="s">
        <v>907</v>
      </c>
      <c r="AE108" s="364">
        <v>4500016329</v>
      </c>
      <c r="AF108" s="364"/>
      <c r="AG108" s="361"/>
      <c r="AH108" s="365"/>
      <c r="AI108" s="361"/>
      <c r="AJ108" s="361"/>
      <c r="AK108" s="361"/>
      <c r="AL108" s="361"/>
      <c r="AM108" s="361"/>
      <c r="AN108" s="361"/>
      <c r="AO108" s="361"/>
      <c r="AP108" s="361"/>
      <c r="AQ108" s="361"/>
      <c r="AR108" s="503"/>
      <c r="AS108" s="489"/>
      <c r="AT108" s="160"/>
      <c r="AU108" s="355"/>
    </row>
    <row r="109" spans="1:47" s="124" customFormat="1" ht="21.75" hidden="1" customHeight="1">
      <c r="A109" s="331">
        <v>108</v>
      </c>
      <c r="B109" s="361" t="s">
        <v>908</v>
      </c>
      <c r="C109" s="361" t="s">
        <v>704</v>
      </c>
      <c r="D109" s="436" t="s">
        <v>909</v>
      </c>
      <c r="E109" s="361" t="str">
        <f t="shared" si="1"/>
        <v>LOSS</v>
      </c>
      <c r="F109" s="361"/>
      <c r="G109" s="361"/>
      <c r="H109" s="28" t="s">
        <v>261</v>
      </c>
      <c r="I109" s="361" t="s">
        <v>243</v>
      </c>
      <c r="J109" s="361" t="s">
        <v>910</v>
      </c>
      <c r="K109" s="361"/>
      <c r="L109" s="361"/>
      <c r="M109" s="361"/>
      <c r="N109" s="361"/>
      <c r="O109" s="384" t="s">
        <v>115</v>
      </c>
      <c r="P109" s="383">
        <v>86550000</v>
      </c>
      <c r="Q109" s="361"/>
      <c r="R109" s="385" t="s">
        <v>115</v>
      </c>
      <c r="S109" s="383">
        <v>57600000</v>
      </c>
      <c r="T109" s="361"/>
      <c r="U109" s="351">
        <v>44181</v>
      </c>
      <c r="V109" s="351">
        <v>44545</v>
      </c>
      <c r="W109" s="361" t="s">
        <v>250</v>
      </c>
      <c r="X109" s="361"/>
      <c r="Y109" s="361"/>
      <c r="Z109" s="361"/>
      <c r="AA109" s="361"/>
      <c r="AB109" s="361"/>
      <c r="AC109" s="159"/>
      <c r="AD109" s="368"/>
      <c r="AE109" s="364">
        <v>4500015652</v>
      </c>
      <c r="AF109" s="364"/>
      <c r="AG109" s="361"/>
      <c r="AH109" s="361"/>
      <c r="AI109" s="361"/>
      <c r="AJ109" s="361"/>
      <c r="AK109" s="361"/>
      <c r="AL109" s="361"/>
      <c r="AM109" s="361"/>
      <c r="AN109" s="361"/>
      <c r="AO109" s="361"/>
      <c r="AP109" s="361"/>
      <c r="AQ109" s="361"/>
      <c r="AR109" s="503"/>
      <c r="AS109" s="489"/>
      <c r="AT109" s="160"/>
      <c r="AU109" s="355"/>
    </row>
    <row r="110" spans="1:47" s="124" customFormat="1" ht="21.75" hidden="1" customHeight="1">
      <c r="A110" s="331">
        <v>109</v>
      </c>
      <c r="B110" s="361" t="s">
        <v>628</v>
      </c>
      <c r="C110" s="361" t="s">
        <v>911</v>
      </c>
      <c r="D110" s="435" t="s">
        <v>912</v>
      </c>
      <c r="E110" s="361" t="str">
        <f t="shared" si="1"/>
        <v>LOSS</v>
      </c>
      <c r="F110" s="361"/>
      <c r="G110" s="361"/>
      <c r="H110" s="28" t="s">
        <v>261</v>
      </c>
      <c r="I110" s="361" t="s">
        <v>243</v>
      </c>
      <c r="J110" s="376" t="s">
        <v>913</v>
      </c>
      <c r="K110" s="361"/>
      <c r="L110" s="361"/>
      <c r="M110" s="361"/>
      <c r="N110" s="361"/>
      <c r="O110" s="384" t="s">
        <v>115</v>
      </c>
      <c r="P110" s="383">
        <v>1443846000</v>
      </c>
      <c r="Q110" s="361"/>
      <c r="R110" s="385" t="s">
        <v>115</v>
      </c>
      <c r="S110" s="383">
        <v>393120000</v>
      </c>
      <c r="T110" s="361"/>
      <c r="U110" s="351">
        <v>44136</v>
      </c>
      <c r="V110" s="351">
        <v>44500</v>
      </c>
      <c r="W110" s="361" t="s">
        <v>250</v>
      </c>
      <c r="X110" s="361"/>
      <c r="Y110" s="361"/>
      <c r="Z110" s="361"/>
      <c r="AA110" s="361"/>
      <c r="AB110" s="361"/>
      <c r="AC110" s="159"/>
      <c r="AD110" s="368"/>
      <c r="AE110" s="364">
        <v>4500015923</v>
      </c>
      <c r="AF110" s="364"/>
      <c r="AG110" s="160" t="s">
        <v>633</v>
      </c>
      <c r="AH110" s="174" t="s">
        <v>634</v>
      </c>
      <c r="AI110" s="361"/>
      <c r="AJ110" s="361"/>
      <c r="AK110" s="361"/>
      <c r="AL110" s="361"/>
      <c r="AM110" s="361"/>
      <c r="AN110" s="361"/>
      <c r="AO110" s="361"/>
      <c r="AP110" s="361"/>
      <c r="AQ110" s="361"/>
      <c r="AR110" s="503"/>
      <c r="AS110" s="489"/>
      <c r="AT110" s="160"/>
      <c r="AU110" s="355"/>
    </row>
    <row r="111" spans="1:47" s="124" customFormat="1" ht="21.75" hidden="1" customHeight="1">
      <c r="A111" s="331">
        <v>110</v>
      </c>
      <c r="B111" s="361" t="s">
        <v>400</v>
      </c>
      <c r="C111" s="361" t="s">
        <v>914</v>
      </c>
      <c r="D111" s="436" t="s">
        <v>878</v>
      </c>
      <c r="E111" s="361" t="str">
        <f t="shared" si="1"/>
        <v>LOSS</v>
      </c>
      <c r="F111" s="361"/>
      <c r="G111" s="361"/>
      <c r="H111" s="361" t="s">
        <v>839</v>
      </c>
      <c r="I111" s="160" t="s">
        <v>346</v>
      </c>
      <c r="J111" s="361"/>
      <c r="K111" s="365"/>
      <c r="L111" s="361"/>
      <c r="M111" s="361"/>
      <c r="N111" s="361"/>
      <c r="O111" s="384" t="s">
        <v>115</v>
      </c>
      <c r="P111" s="385" t="s">
        <v>115</v>
      </c>
      <c r="Q111" s="361"/>
      <c r="R111" s="385" t="s">
        <v>115</v>
      </c>
      <c r="S111" s="383">
        <v>35000000</v>
      </c>
      <c r="T111" s="361"/>
      <c r="U111" s="351">
        <v>44194</v>
      </c>
      <c r="V111" s="351">
        <v>44558</v>
      </c>
      <c r="W111" s="361" t="s">
        <v>250</v>
      </c>
      <c r="X111" s="361"/>
      <c r="Y111" s="361"/>
      <c r="Z111" s="361"/>
      <c r="AA111" s="361"/>
      <c r="AB111" s="361"/>
      <c r="AC111" s="159"/>
      <c r="AD111" s="368"/>
      <c r="AE111" s="364">
        <v>4500015420</v>
      </c>
      <c r="AF111" s="364"/>
      <c r="AG111" s="361"/>
      <c r="AH111" s="365"/>
      <c r="AI111" s="361"/>
      <c r="AJ111" s="361"/>
      <c r="AK111" s="361"/>
      <c r="AL111" s="361"/>
      <c r="AM111" s="361"/>
      <c r="AN111" s="361"/>
      <c r="AO111" s="361"/>
      <c r="AP111" s="361"/>
      <c r="AQ111" s="361"/>
      <c r="AR111" s="503"/>
      <c r="AS111" s="489"/>
      <c r="AT111" s="160"/>
      <c r="AU111" s="355"/>
    </row>
    <row r="112" spans="1:47" s="124" customFormat="1" ht="21.75" hidden="1" customHeight="1">
      <c r="A112" s="331">
        <v>111</v>
      </c>
      <c r="B112" s="361" t="s">
        <v>915</v>
      </c>
      <c r="C112" s="361" t="s">
        <v>870</v>
      </c>
      <c r="D112" s="435" t="s">
        <v>850</v>
      </c>
      <c r="E112" s="361" t="str">
        <f t="shared" si="1"/>
        <v>LOSS</v>
      </c>
      <c r="F112" s="361"/>
      <c r="G112" s="361"/>
      <c r="H112" s="361" t="s">
        <v>839</v>
      </c>
      <c r="I112" s="361" t="s">
        <v>242</v>
      </c>
      <c r="J112" s="361" t="s">
        <v>916</v>
      </c>
      <c r="K112" s="365"/>
      <c r="L112" s="361"/>
      <c r="M112" s="361"/>
      <c r="N112" s="361"/>
      <c r="O112" s="384" t="s">
        <v>115</v>
      </c>
      <c r="P112" s="383">
        <v>28500000</v>
      </c>
      <c r="Q112" s="361"/>
      <c r="R112" s="385" t="s">
        <v>115</v>
      </c>
      <c r="S112" s="383">
        <v>2893223</v>
      </c>
      <c r="T112" s="361"/>
      <c r="U112" s="351">
        <v>44168</v>
      </c>
      <c r="V112" s="351">
        <v>44532</v>
      </c>
      <c r="W112" s="361" t="s">
        <v>250</v>
      </c>
      <c r="X112" s="361"/>
      <c r="Y112" s="361"/>
      <c r="Z112" s="361"/>
      <c r="AA112" s="361"/>
      <c r="AB112" s="361"/>
      <c r="AC112" s="159"/>
      <c r="AD112" s="368"/>
      <c r="AE112" s="364">
        <v>4500015482</v>
      </c>
      <c r="AF112" s="364"/>
      <c r="AG112" s="361"/>
      <c r="AH112" s="365"/>
      <c r="AI112" s="361"/>
      <c r="AJ112" s="361"/>
      <c r="AK112" s="361"/>
      <c r="AL112" s="361"/>
      <c r="AM112" s="361"/>
      <c r="AN112" s="361"/>
      <c r="AO112" s="361"/>
      <c r="AP112" s="361"/>
      <c r="AQ112" s="361"/>
      <c r="AR112" s="503"/>
      <c r="AS112" s="489"/>
      <c r="AT112" s="160"/>
      <c r="AU112" s="355"/>
    </row>
    <row r="113" spans="1:47" s="124" customFormat="1" ht="21.75" hidden="1" customHeight="1">
      <c r="A113" s="331">
        <v>112</v>
      </c>
      <c r="B113" s="361" t="s">
        <v>400</v>
      </c>
      <c r="C113" s="361" t="s">
        <v>917</v>
      </c>
      <c r="D113" s="436" t="s">
        <v>878</v>
      </c>
      <c r="E113" s="361" t="str">
        <f t="shared" si="1"/>
        <v>LOSS</v>
      </c>
      <c r="F113" s="361"/>
      <c r="G113" s="361"/>
      <c r="H113" s="361" t="s">
        <v>839</v>
      </c>
      <c r="I113" s="160" t="s">
        <v>346</v>
      </c>
      <c r="J113" s="361"/>
      <c r="K113" s="365"/>
      <c r="L113" s="361"/>
      <c r="M113" s="361"/>
      <c r="N113" s="361"/>
      <c r="O113" s="384" t="s">
        <v>115</v>
      </c>
      <c r="P113" s="383">
        <v>187451000</v>
      </c>
      <c r="Q113" s="361"/>
      <c r="R113" s="385" t="s">
        <v>115</v>
      </c>
      <c r="S113" s="383">
        <v>7500000</v>
      </c>
      <c r="T113" s="361"/>
      <c r="U113" s="351">
        <v>44194</v>
      </c>
      <c r="V113" s="351">
        <v>44558</v>
      </c>
      <c r="W113" s="361" t="s">
        <v>250</v>
      </c>
      <c r="X113" s="361"/>
      <c r="Y113" s="361"/>
      <c r="Z113" s="361"/>
      <c r="AA113" s="361"/>
      <c r="AB113" s="361"/>
      <c r="AC113" s="159"/>
      <c r="AD113" s="368"/>
      <c r="AE113" s="364">
        <v>4500015421</v>
      </c>
      <c r="AF113" s="364"/>
      <c r="AG113" s="361"/>
      <c r="AH113" s="365"/>
      <c r="AI113" s="361"/>
      <c r="AJ113" s="361"/>
      <c r="AK113" s="361"/>
      <c r="AL113" s="361"/>
      <c r="AM113" s="361"/>
      <c r="AN113" s="361"/>
      <c r="AO113" s="361"/>
      <c r="AP113" s="361"/>
      <c r="AQ113" s="361"/>
      <c r="AR113" s="503"/>
      <c r="AS113" s="489"/>
      <c r="AT113" s="160"/>
      <c r="AU113" s="355"/>
    </row>
    <row r="114" spans="1:47" s="124" customFormat="1" ht="21.75" hidden="1" customHeight="1">
      <c r="A114" s="331">
        <v>113</v>
      </c>
      <c r="B114" s="361" t="s">
        <v>664</v>
      </c>
      <c r="C114" s="361" t="s">
        <v>918</v>
      </c>
      <c r="D114" s="435" t="s">
        <v>666</v>
      </c>
      <c r="E114" s="361" t="str">
        <f t="shared" si="1"/>
        <v>LOSS</v>
      </c>
      <c r="F114" s="376"/>
      <c r="G114" s="376"/>
      <c r="H114" s="361" t="s">
        <v>327</v>
      </c>
      <c r="I114" s="361" t="s">
        <v>919</v>
      </c>
      <c r="J114" s="361" t="s">
        <v>920</v>
      </c>
      <c r="K114" s="365"/>
      <c r="L114" s="361"/>
      <c r="M114" s="361"/>
      <c r="N114" s="361"/>
      <c r="O114" s="370">
        <v>2000000</v>
      </c>
      <c r="P114" s="386">
        <v>12000000</v>
      </c>
      <c r="Q114" s="361"/>
      <c r="R114" s="387"/>
      <c r="S114" s="388"/>
      <c r="T114" s="361"/>
      <c r="U114" s="367">
        <v>43970</v>
      </c>
      <c r="V114" s="367">
        <v>44334</v>
      </c>
      <c r="W114" s="361" t="s">
        <v>250</v>
      </c>
      <c r="X114" s="361"/>
      <c r="Y114" s="361"/>
      <c r="Z114" s="361"/>
      <c r="AA114" s="361"/>
      <c r="AB114" s="361"/>
      <c r="AC114" s="159"/>
      <c r="AD114" s="361" t="s">
        <v>921</v>
      </c>
      <c r="AE114" s="364">
        <v>4500015139</v>
      </c>
      <c r="AF114" s="364"/>
      <c r="AG114" s="361"/>
      <c r="AH114" s="365"/>
      <c r="AI114" s="361"/>
      <c r="AJ114" s="361"/>
      <c r="AK114" s="361"/>
      <c r="AL114" s="361"/>
      <c r="AM114" s="361"/>
      <c r="AN114" s="361"/>
      <c r="AO114" s="361"/>
      <c r="AP114" s="361"/>
      <c r="AQ114" s="361"/>
      <c r="AR114" s="503"/>
      <c r="AS114" s="489"/>
      <c r="AT114" s="160"/>
      <c r="AU114" s="355"/>
    </row>
    <row r="115" spans="1:47" s="124" customFormat="1" ht="21.75" hidden="1" customHeight="1">
      <c r="A115" s="331">
        <v>114</v>
      </c>
      <c r="B115" s="28" t="s">
        <v>179</v>
      </c>
      <c r="C115" s="361" t="s">
        <v>922</v>
      </c>
      <c r="D115" s="437" t="s">
        <v>923</v>
      </c>
      <c r="E115" s="361" t="str">
        <f t="shared" si="1"/>
        <v>LOSS</v>
      </c>
      <c r="F115" s="376"/>
      <c r="G115" s="376"/>
      <c r="H115" s="361" t="s">
        <v>327</v>
      </c>
      <c r="I115" s="361" t="s">
        <v>919</v>
      </c>
      <c r="J115" s="361" t="s">
        <v>924</v>
      </c>
      <c r="K115" s="365"/>
      <c r="L115" s="361"/>
      <c r="M115" s="361"/>
      <c r="N115" s="361"/>
      <c r="O115" s="370">
        <v>3000000</v>
      </c>
      <c r="P115" s="361">
        <v>180000000</v>
      </c>
      <c r="Q115" s="361"/>
      <c r="R115" s="387"/>
      <c r="S115" s="388"/>
      <c r="T115" s="361"/>
      <c r="U115" s="367">
        <v>44196</v>
      </c>
      <c r="V115" s="367">
        <v>44456</v>
      </c>
      <c r="W115" s="361" t="s">
        <v>250</v>
      </c>
      <c r="X115" s="361"/>
      <c r="Y115" s="361"/>
      <c r="Z115" s="361"/>
      <c r="AA115" s="361"/>
      <c r="AB115" s="361"/>
      <c r="AC115" s="159"/>
      <c r="AD115" s="361" t="s">
        <v>924</v>
      </c>
      <c r="AE115" s="364">
        <v>4500015140</v>
      </c>
      <c r="AF115" s="364"/>
      <c r="AG115" s="361"/>
      <c r="AH115" s="365"/>
      <c r="AI115" s="361"/>
      <c r="AJ115" s="361"/>
      <c r="AK115" s="361"/>
      <c r="AL115" s="361"/>
      <c r="AM115" s="361"/>
      <c r="AN115" s="361"/>
      <c r="AO115" s="361"/>
      <c r="AP115" s="361"/>
      <c r="AQ115" s="361"/>
      <c r="AR115" s="503"/>
      <c r="AS115" s="489"/>
      <c r="AT115" s="160"/>
      <c r="AU115" s="355"/>
    </row>
    <row r="116" spans="1:47" s="124" customFormat="1" ht="21.75" hidden="1" customHeight="1">
      <c r="A116" s="331">
        <v>115</v>
      </c>
      <c r="B116" s="361" t="s">
        <v>925</v>
      </c>
      <c r="C116" s="361" t="s">
        <v>926</v>
      </c>
      <c r="D116" s="438" t="s">
        <v>927</v>
      </c>
      <c r="E116" s="361" t="str">
        <f t="shared" si="1"/>
        <v>LOSS</v>
      </c>
      <c r="F116" s="376"/>
      <c r="G116" s="376"/>
      <c r="H116" s="361" t="s">
        <v>327</v>
      </c>
      <c r="I116" s="160" t="s">
        <v>346</v>
      </c>
      <c r="J116" s="361" t="s">
        <v>928</v>
      </c>
      <c r="K116" s="365"/>
      <c r="L116" s="361"/>
      <c r="M116" s="361"/>
      <c r="N116" s="361"/>
      <c r="O116" s="374" t="s">
        <v>115</v>
      </c>
      <c r="P116" s="361">
        <v>21120000</v>
      </c>
      <c r="Q116" s="361"/>
      <c r="R116" s="387"/>
      <c r="S116" s="388"/>
      <c r="T116" s="361"/>
      <c r="U116" s="367">
        <v>44075</v>
      </c>
      <c r="V116" s="367">
        <v>44439</v>
      </c>
      <c r="W116" s="361" t="s">
        <v>250</v>
      </c>
      <c r="X116" s="361"/>
      <c r="Y116" s="361"/>
      <c r="Z116" s="361"/>
      <c r="AA116" s="361"/>
      <c r="AB116" s="361"/>
      <c r="AC116" s="159"/>
      <c r="AD116" s="361" t="s">
        <v>929</v>
      </c>
      <c r="AE116" s="364">
        <v>4500015141</v>
      </c>
      <c r="AF116" s="364"/>
      <c r="AG116" s="361"/>
      <c r="AH116" s="365"/>
      <c r="AI116" s="361"/>
      <c r="AJ116" s="361"/>
      <c r="AK116" s="361"/>
      <c r="AL116" s="361"/>
      <c r="AM116" s="361"/>
      <c r="AN116" s="361"/>
      <c r="AO116" s="361"/>
      <c r="AP116" s="361"/>
      <c r="AQ116" s="361"/>
      <c r="AR116" s="503"/>
      <c r="AS116" s="489"/>
      <c r="AT116" s="160"/>
      <c r="AU116" s="355"/>
    </row>
    <row r="117" spans="1:47" s="124" customFormat="1" ht="21.75" hidden="1" customHeight="1">
      <c r="A117" s="331">
        <v>116</v>
      </c>
      <c r="B117" s="361" t="s">
        <v>930</v>
      </c>
      <c r="C117" s="361" t="s">
        <v>931</v>
      </c>
      <c r="D117" s="436" t="s">
        <v>932</v>
      </c>
      <c r="E117" s="361" t="str">
        <f t="shared" si="1"/>
        <v>LOSS</v>
      </c>
      <c r="F117" s="361"/>
      <c r="G117" s="361"/>
      <c r="H117" s="361" t="s">
        <v>327</v>
      </c>
      <c r="I117" s="361" t="s">
        <v>919</v>
      </c>
      <c r="J117" s="361" t="s">
        <v>933</v>
      </c>
      <c r="K117" s="365"/>
      <c r="L117" s="361"/>
      <c r="M117" s="361"/>
      <c r="N117" s="361"/>
      <c r="O117" s="374" t="s">
        <v>115</v>
      </c>
      <c r="P117" s="361">
        <v>182000000</v>
      </c>
      <c r="Q117" s="361"/>
      <c r="R117" s="387"/>
      <c r="S117" s="388"/>
      <c r="T117" s="361"/>
      <c r="U117" s="367">
        <v>44080</v>
      </c>
      <c r="V117" s="367">
        <v>44444</v>
      </c>
      <c r="W117" s="361" t="s">
        <v>250</v>
      </c>
      <c r="X117" s="361"/>
      <c r="Y117" s="361"/>
      <c r="Z117" s="361"/>
      <c r="AA117" s="361"/>
      <c r="AB117" s="361"/>
      <c r="AC117" s="159"/>
      <c r="AD117" s="368"/>
      <c r="AE117" s="364">
        <v>4500015026</v>
      </c>
      <c r="AF117" s="364"/>
      <c r="AG117" s="361"/>
      <c r="AH117" s="365"/>
      <c r="AI117" s="361"/>
      <c r="AJ117" s="361"/>
      <c r="AK117" s="361"/>
      <c r="AL117" s="361"/>
      <c r="AM117" s="361"/>
      <c r="AN117" s="361"/>
      <c r="AO117" s="361"/>
      <c r="AP117" s="361"/>
      <c r="AQ117" s="361"/>
      <c r="AR117" s="503"/>
      <c r="AS117" s="489"/>
      <c r="AT117" s="160"/>
      <c r="AU117" s="355"/>
    </row>
    <row r="118" spans="1:47" s="124" customFormat="1" ht="21.75" hidden="1" customHeight="1">
      <c r="A118" s="331">
        <v>117</v>
      </c>
      <c r="B118" s="361" t="s">
        <v>934</v>
      </c>
      <c r="C118" s="361" t="s">
        <v>935</v>
      </c>
      <c r="D118" s="435" t="s">
        <v>859</v>
      </c>
      <c r="E118" s="361" t="str">
        <f t="shared" si="1"/>
        <v>LOSS</v>
      </c>
      <c r="F118" s="361"/>
      <c r="G118" s="361"/>
      <c r="H118" s="361" t="s">
        <v>327</v>
      </c>
      <c r="I118" s="361" t="s">
        <v>919</v>
      </c>
      <c r="J118" s="361" t="s">
        <v>936</v>
      </c>
      <c r="K118" s="365"/>
      <c r="L118" s="361"/>
      <c r="M118" s="361"/>
      <c r="N118" s="361"/>
      <c r="O118" s="374" t="s">
        <v>115</v>
      </c>
      <c r="P118" s="361">
        <v>276000000</v>
      </c>
      <c r="Q118" s="361"/>
      <c r="R118" s="387"/>
      <c r="S118" s="388">
        <v>12000000</v>
      </c>
      <c r="T118" s="361"/>
      <c r="U118" s="367">
        <v>43891</v>
      </c>
      <c r="V118" s="367">
        <v>44255</v>
      </c>
      <c r="W118" s="361" t="s">
        <v>250</v>
      </c>
      <c r="X118" s="361"/>
      <c r="Y118" s="361"/>
      <c r="Z118" s="361"/>
      <c r="AA118" s="361"/>
      <c r="AB118" s="361"/>
      <c r="AC118" s="159"/>
      <c r="AD118" s="361" t="s">
        <v>937</v>
      </c>
      <c r="AE118" s="364">
        <v>4500014038</v>
      </c>
      <c r="AF118" s="364"/>
      <c r="AG118" s="361"/>
      <c r="AH118" s="365"/>
      <c r="AI118" s="361"/>
      <c r="AJ118" s="361"/>
      <c r="AK118" s="361"/>
      <c r="AL118" s="361"/>
      <c r="AM118" s="361"/>
      <c r="AN118" s="361"/>
      <c r="AO118" s="361"/>
      <c r="AP118" s="361"/>
      <c r="AQ118" s="361"/>
      <c r="AR118" s="503"/>
      <c r="AS118" s="489"/>
      <c r="AT118" s="160"/>
      <c r="AU118" s="355"/>
    </row>
    <row r="119" spans="1:47" s="124" customFormat="1" ht="21.75" hidden="1" customHeight="1">
      <c r="A119" s="331">
        <v>118</v>
      </c>
      <c r="B119" s="361" t="s">
        <v>930</v>
      </c>
      <c r="C119" s="361" t="s">
        <v>938</v>
      </c>
      <c r="D119" s="436" t="s">
        <v>932</v>
      </c>
      <c r="E119" s="361" t="str">
        <f t="shared" si="1"/>
        <v>LOSS</v>
      </c>
      <c r="F119" s="361"/>
      <c r="G119" s="361"/>
      <c r="H119" s="361" t="s">
        <v>327</v>
      </c>
      <c r="I119" s="361" t="s">
        <v>919</v>
      </c>
      <c r="J119" s="361" t="s">
        <v>939</v>
      </c>
      <c r="K119" s="365"/>
      <c r="L119" s="361"/>
      <c r="M119" s="361"/>
      <c r="N119" s="361"/>
      <c r="O119" s="370">
        <v>4000000</v>
      </c>
      <c r="P119" s="361">
        <v>46800000</v>
      </c>
      <c r="Q119" s="361"/>
      <c r="R119" s="387">
        <v>3000000</v>
      </c>
      <c r="S119" s="388">
        <v>6000000</v>
      </c>
      <c r="T119" s="361"/>
      <c r="U119" s="367">
        <v>43899</v>
      </c>
      <c r="V119" s="367">
        <v>44263</v>
      </c>
      <c r="W119" s="361" t="s">
        <v>250</v>
      </c>
      <c r="X119" s="361"/>
      <c r="Y119" s="361"/>
      <c r="Z119" s="361"/>
      <c r="AA119" s="361"/>
      <c r="AB119" s="361"/>
      <c r="AC119" s="159"/>
      <c r="AD119" s="361" t="s">
        <v>940</v>
      </c>
      <c r="AE119" s="364">
        <v>4500014036</v>
      </c>
      <c r="AF119" s="364"/>
      <c r="AG119" s="361"/>
      <c r="AH119" s="365"/>
      <c r="AI119" s="361"/>
      <c r="AJ119" s="361"/>
      <c r="AK119" s="361"/>
      <c r="AL119" s="361"/>
      <c r="AM119" s="361"/>
      <c r="AN119" s="361"/>
      <c r="AO119" s="361"/>
      <c r="AP119" s="361"/>
      <c r="AQ119" s="361"/>
      <c r="AR119" s="503"/>
      <c r="AS119" s="489"/>
      <c r="AT119" s="160"/>
      <c r="AU119" s="355"/>
    </row>
    <row r="120" spans="1:47" s="124" customFormat="1" ht="21.75" hidden="1" customHeight="1">
      <c r="A120" s="331">
        <v>119</v>
      </c>
      <c r="B120" s="361" t="s">
        <v>623</v>
      </c>
      <c r="C120" s="361" t="s">
        <v>941</v>
      </c>
      <c r="D120" s="435" t="s">
        <v>859</v>
      </c>
      <c r="E120" s="361" t="str">
        <f t="shared" si="1"/>
        <v>LOSS</v>
      </c>
      <c r="F120" s="361"/>
      <c r="G120" s="361"/>
      <c r="H120" s="361" t="s">
        <v>327</v>
      </c>
      <c r="I120" s="361" t="s">
        <v>242</v>
      </c>
      <c r="J120" s="361" t="s">
        <v>942</v>
      </c>
      <c r="K120" s="365"/>
      <c r="L120" s="361"/>
      <c r="M120" s="361"/>
      <c r="N120" s="361"/>
      <c r="O120" s="370">
        <v>6050000</v>
      </c>
      <c r="P120" s="361">
        <v>63360000</v>
      </c>
      <c r="Q120" s="361"/>
      <c r="R120" s="387">
        <v>3000000</v>
      </c>
      <c r="S120" s="388">
        <v>6000000</v>
      </c>
      <c r="T120" s="361"/>
      <c r="U120" s="367">
        <v>43894</v>
      </c>
      <c r="V120" s="367">
        <v>44258</v>
      </c>
      <c r="W120" s="361" t="s">
        <v>250</v>
      </c>
      <c r="X120" s="361"/>
      <c r="Y120" s="361"/>
      <c r="Z120" s="361"/>
      <c r="AA120" s="361"/>
      <c r="AB120" s="361"/>
      <c r="AC120" s="159"/>
      <c r="AD120" s="361" t="s">
        <v>943</v>
      </c>
      <c r="AE120" s="364">
        <v>4500014024</v>
      </c>
      <c r="AF120" s="364"/>
      <c r="AG120" s="361"/>
      <c r="AH120" s="365"/>
      <c r="AI120" s="361"/>
      <c r="AJ120" s="361"/>
      <c r="AK120" s="361"/>
      <c r="AL120" s="361"/>
      <c r="AM120" s="361"/>
      <c r="AN120" s="361"/>
      <c r="AO120" s="361"/>
      <c r="AP120" s="361"/>
      <c r="AQ120" s="361"/>
      <c r="AR120" s="503"/>
      <c r="AS120" s="489"/>
      <c r="AT120" s="160"/>
      <c r="AU120" s="355"/>
    </row>
    <row r="121" spans="1:47" s="124" customFormat="1" ht="21.75" hidden="1" customHeight="1">
      <c r="A121" s="331">
        <v>120</v>
      </c>
      <c r="B121" s="361" t="s">
        <v>930</v>
      </c>
      <c r="C121" s="361" t="s">
        <v>941</v>
      </c>
      <c r="D121" s="436" t="s">
        <v>932</v>
      </c>
      <c r="E121" s="361" t="str">
        <f t="shared" si="1"/>
        <v>LOSS</v>
      </c>
      <c r="F121" s="361"/>
      <c r="G121" s="361"/>
      <c r="H121" s="361" t="s">
        <v>327</v>
      </c>
      <c r="I121" s="361" t="s">
        <v>242</v>
      </c>
      <c r="J121" s="361" t="s">
        <v>226</v>
      </c>
      <c r="K121" s="365"/>
      <c r="L121" s="361"/>
      <c r="M121" s="361"/>
      <c r="N121" s="361"/>
      <c r="O121" s="370">
        <v>6050000</v>
      </c>
      <c r="P121" s="361">
        <v>63360000</v>
      </c>
      <c r="Q121" s="361"/>
      <c r="R121" s="387">
        <v>3000000</v>
      </c>
      <c r="S121" s="388">
        <v>6000000</v>
      </c>
      <c r="T121" s="361"/>
      <c r="U121" s="367">
        <v>43894</v>
      </c>
      <c r="V121" s="367">
        <v>44258</v>
      </c>
      <c r="W121" s="361" t="s">
        <v>250</v>
      </c>
      <c r="X121" s="361"/>
      <c r="Y121" s="361"/>
      <c r="Z121" s="361"/>
      <c r="AA121" s="361"/>
      <c r="AB121" s="361"/>
      <c r="AC121" s="159"/>
      <c r="AD121" s="361" t="s">
        <v>944</v>
      </c>
      <c r="AE121" s="364">
        <v>4500014025</v>
      </c>
      <c r="AF121" s="364"/>
      <c r="AG121" s="361"/>
      <c r="AH121" s="365"/>
      <c r="AI121" s="361"/>
      <c r="AJ121" s="361"/>
      <c r="AK121" s="361"/>
      <c r="AL121" s="361"/>
      <c r="AM121" s="361"/>
      <c r="AN121" s="361"/>
      <c r="AO121" s="361"/>
      <c r="AP121" s="361"/>
      <c r="AQ121" s="361"/>
      <c r="AR121" s="503"/>
      <c r="AS121" s="489"/>
      <c r="AT121" s="160"/>
      <c r="AU121" s="355"/>
    </row>
    <row r="122" spans="1:47" s="124" customFormat="1" ht="21.75" hidden="1" customHeight="1">
      <c r="A122" s="331">
        <v>121</v>
      </c>
      <c r="B122" s="361" t="s">
        <v>930</v>
      </c>
      <c r="C122" s="361" t="s">
        <v>945</v>
      </c>
      <c r="D122" s="435" t="s">
        <v>932</v>
      </c>
      <c r="E122" s="361" t="str">
        <f t="shared" si="1"/>
        <v>LOSS</v>
      </c>
      <c r="F122" s="361"/>
      <c r="G122" s="361"/>
      <c r="H122" s="361" t="s">
        <v>327</v>
      </c>
      <c r="I122" s="361" t="s">
        <v>242</v>
      </c>
      <c r="J122" s="361" t="s">
        <v>946</v>
      </c>
      <c r="K122" s="365"/>
      <c r="L122" s="361"/>
      <c r="M122" s="361"/>
      <c r="N122" s="361"/>
      <c r="O122" s="370">
        <v>20000000</v>
      </c>
      <c r="P122" s="361">
        <v>240000000</v>
      </c>
      <c r="Q122" s="361"/>
      <c r="R122" s="387">
        <v>6000000</v>
      </c>
      <c r="S122" s="388">
        <v>12000000</v>
      </c>
      <c r="T122" s="361"/>
      <c r="U122" s="367">
        <v>43913</v>
      </c>
      <c r="V122" s="367">
        <v>44277</v>
      </c>
      <c r="W122" s="361" t="s">
        <v>250</v>
      </c>
      <c r="X122" s="361"/>
      <c r="Y122" s="361"/>
      <c r="Z122" s="361"/>
      <c r="AA122" s="361"/>
      <c r="AB122" s="361"/>
      <c r="AC122" s="159"/>
      <c r="AD122" s="361" t="s">
        <v>947</v>
      </c>
      <c r="AE122" s="364">
        <v>4500014093</v>
      </c>
      <c r="AF122" s="364"/>
      <c r="AG122" s="361"/>
      <c r="AH122" s="365"/>
      <c r="AI122" s="361"/>
      <c r="AJ122" s="361"/>
      <c r="AK122" s="361"/>
      <c r="AL122" s="361"/>
      <c r="AM122" s="361"/>
      <c r="AN122" s="361"/>
      <c r="AO122" s="361"/>
      <c r="AP122" s="361"/>
      <c r="AQ122" s="361"/>
      <c r="AR122" s="503"/>
      <c r="AS122" s="489"/>
      <c r="AT122" s="160"/>
      <c r="AU122" s="355"/>
    </row>
    <row r="123" spans="1:47" s="124" customFormat="1" ht="21.75" hidden="1" customHeight="1">
      <c r="A123" s="331">
        <v>122</v>
      </c>
      <c r="B123" s="361" t="s">
        <v>71</v>
      </c>
      <c r="C123" s="361" t="s">
        <v>948</v>
      </c>
      <c r="D123" s="436" t="s">
        <v>850</v>
      </c>
      <c r="E123" s="361" t="str">
        <f t="shared" si="1"/>
        <v>LOSS</v>
      </c>
      <c r="F123" s="361"/>
      <c r="G123" s="361"/>
      <c r="H123" s="361" t="s">
        <v>327</v>
      </c>
      <c r="I123" s="361" t="s">
        <v>242</v>
      </c>
      <c r="J123" s="361" t="s">
        <v>949</v>
      </c>
      <c r="K123" s="365"/>
      <c r="L123" s="361"/>
      <c r="M123" s="361"/>
      <c r="N123" s="361"/>
      <c r="O123" s="370">
        <v>54000000</v>
      </c>
      <c r="P123" s="361">
        <v>6500000</v>
      </c>
      <c r="Q123" s="361"/>
      <c r="R123" s="387">
        <v>1500000</v>
      </c>
      <c r="S123" s="388">
        <v>18000000</v>
      </c>
      <c r="T123" s="361"/>
      <c r="U123" s="367">
        <v>43899</v>
      </c>
      <c r="V123" s="367">
        <v>44263</v>
      </c>
      <c r="W123" s="361" t="s">
        <v>250</v>
      </c>
      <c r="X123" s="361"/>
      <c r="Y123" s="361"/>
      <c r="Z123" s="361"/>
      <c r="AA123" s="361"/>
      <c r="AB123" s="361"/>
      <c r="AC123" s="159"/>
      <c r="AD123" s="361" t="s">
        <v>950</v>
      </c>
      <c r="AE123" s="364">
        <v>4500014027</v>
      </c>
      <c r="AF123" s="364"/>
      <c r="AG123" s="361"/>
      <c r="AH123" s="365"/>
      <c r="AI123" s="361"/>
      <c r="AJ123" s="361"/>
      <c r="AK123" s="361"/>
      <c r="AL123" s="361"/>
      <c r="AM123" s="361"/>
      <c r="AN123" s="361"/>
      <c r="AO123" s="361"/>
      <c r="AP123" s="361"/>
      <c r="AQ123" s="361"/>
      <c r="AR123" s="503"/>
      <c r="AS123" s="489"/>
      <c r="AT123" s="160"/>
      <c r="AU123" s="355"/>
    </row>
    <row r="124" spans="1:47" s="124" customFormat="1" ht="21.75" hidden="1" customHeight="1">
      <c r="A124" s="331">
        <v>123</v>
      </c>
      <c r="B124" s="361" t="s">
        <v>71</v>
      </c>
      <c r="C124" s="361" t="s">
        <v>596</v>
      </c>
      <c r="D124" s="435" t="s">
        <v>850</v>
      </c>
      <c r="E124" s="361" t="str">
        <f t="shared" si="1"/>
        <v>LOSS</v>
      </c>
      <c r="F124" s="361"/>
      <c r="G124" s="361"/>
      <c r="H124" s="361" t="s">
        <v>327</v>
      </c>
      <c r="I124" s="361" t="s">
        <v>242</v>
      </c>
      <c r="J124" s="361" t="s">
        <v>84</v>
      </c>
      <c r="K124" s="365"/>
      <c r="L124" s="361"/>
      <c r="M124" s="361"/>
      <c r="N124" s="361"/>
      <c r="O124" s="370">
        <v>3000000</v>
      </c>
      <c r="P124" s="361">
        <v>70800000</v>
      </c>
      <c r="Q124" s="361"/>
      <c r="R124" s="387">
        <v>1500000</v>
      </c>
      <c r="S124" s="388">
        <v>18000000</v>
      </c>
      <c r="T124" s="361"/>
      <c r="U124" s="367">
        <v>43913</v>
      </c>
      <c r="V124" s="367">
        <v>44277</v>
      </c>
      <c r="W124" s="361" t="s">
        <v>250</v>
      </c>
      <c r="X124" s="361"/>
      <c r="Y124" s="361"/>
      <c r="Z124" s="361"/>
      <c r="AA124" s="361"/>
      <c r="AB124" s="361"/>
      <c r="AC124" s="159"/>
      <c r="AD124" s="361" t="s">
        <v>951</v>
      </c>
      <c r="AE124" s="364">
        <v>4500014094</v>
      </c>
      <c r="AF124" s="364"/>
      <c r="AG124" s="361"/>
      <c r="AH124" s="365"/>
      <c r="AI124" s="361"/>
      <c r="AJ124" s="361"/>
      <c r="AK124" s="361"/>
      <c r="AL124" s="361"/>
      <c r="AM124" s="361"/>
      <c r="AN124" s="361"/>
      <c r="AO124" s="361"/>
      <c r="AP124" s="361"/>
      <c r="AQ124" s="361"/>
      <c r="AR124" s="503"/>
      <c r="AS124" s="489"/>
      <c r="AT124" s="160"/>
      <c r="AU124" s="355"/>
    </row>
    <row r="125" spans="1:47" s="124" customFormat="1" ht="21.75" hidden="1" customHeight="1">
      <c r="A125" s="331">
        <v>124</v>
      </c>
      <c r="B125" s="28" t="s">
        <v>119</v>
      </c>
      <c r="C125" s="361" t="s">
        <v>952</v>
      </c>
      <c r="D125" s="436" t="s">
        <v>953</v>
      </c>
      <c r="E125" s="361" t="str">
        <f t="shared" si="1"/>
        <v>LOSS</v>
      </c>
      <c r="F125" s="361"/>
      <c r="G125" s="361"/>
      <c r="H125" s="361" t="s">
        <v>327</v>
      </c>
      <c r="I125" s="160" t="s">
        <v>346</v>
      </c>
      <c r="J125" s="361" t="s">
        <v>954</v>
      </c>
      <c r="K125" s="365"/>
      <c r="L125" s="361"/>
      <c r="M125" s="361"/>
      <c r="N125" s="361"/>
      <c r="O125" s="374" t="s">
        <v>115</v>
      </c>
      <c r="P125" s="361">
        <v>30000000</v>
      </c>
      <c r="Q125" s="361"/>
      <c r="R125" s="387"/>
      <c r="S125" s="388">
        <v>2000000</v>
      </c>
      <c r="T125" s="361"/>
      <c r="U125" s="367">
        <v>43881</v>
      </c>
      <c r="V125" s="367">
        <v>44246</v>
      </c>
      <c r="W125" s="361" t="s">
        <v>250</v>
      </c>
      <c r="X125" s="361"/>
      <c r="Y125" s="361"/>
      <c r="Z125" s="361"/>
      <c r="AA125" s="361"/>
      <c r="AB125" s="361"/>
      <c r="AC125" s="159"/>
      <c r="AD125" s="361" t="s">
        <v>955</v>
      </c>
      <c r="AE125" s="364">
        <v>4500014170</v>
      </c>
      <c r="AF125" s="364"/>
      <c r="AG125" s="361"/>
      <c r="AH125" s="365"/>
      <c r="AI125" s="361"/>
      <c r="AJ125" s="361"/>
      <c r="AK125" s="361"/>
      <c r="AL125" s="361"/>
      <c r="AM125" s="361"/>
      <c r="AN125" s="361"/>
      <c r="AO125" s="361"/>
      <c r="AP125" s="361"/>
      <c r="AQ125" s="361"/>
      <c r="AR125" s="503"/>
      <c r="AS125" s="489"/>
      <c r="AT125" s="160"/>
      <c r="AU125" s="355"/>
    </row>
    <row r="126" spans="1:47" s="124" customFormat="1" ht="21.75" hidden="1" customHeight="1">
      <c r="A126" s="331">
        <v>125</v>
      </c>
      <c r="B126" s="361" t="s">
        <v>956</v>
      </c>
      <c r="C126" s="361" t="s">
        <v>957</v>
      </c>
      <c r="D126" s="435" t="s">
        <v>958</v>
      </c>
      <c r="E126" s="361" t="str">
        <f t="shared" si="1"/>
        <v>LOSS</v>
      </c>
      <c r="F126" s="361"/>
      <c r="G126" s="361"/>
      <c r="H126" s="361" t="s">
        <v>327</v>
      </c>
      <c r="I126" s="160" t="s">
        <v>346</v>
      </c>
      <c r="J126" s="361" t="s">
        <v>959</v>
      </c>
      <c r="K126" s="365"/>
      <c r="L126" s="361"/>
      <c r="M126" s="361"/>
      <c r="N126" s="361"/>
      <c r="O126" s="374" t="s">
        <v>115</v>
      </c>
      <c r="P126" s="361">
        <v>216000000</v>
      </c>
      <c r="Q126" s="361"/>
      <c r="R126" s="387"/>
      <c r="S126" s="389">
        <v>66000000</v>
      </c>
      <c r="T126" s="361"/>
      <c r="U126" s="367">
        <v>43941</v>
      </c>
      <c r="V126" s="367">
        <v>44305</v>
      </c>
      <c r="W126" s="361" t="s">
        <v>250</v>
      </c>
      <c r="X126" s="361"/>
      <c r="Y126" s="361"/>
      <c r="Z126" s="361"/>
      <c r="AA126" s="361"/>
      <c r="AB126" s="361"/>
      <c r="AC126" s="159"/>
      <c r="AD126" s="361" t="s">
        <v>960</v>
      </c>
      <c r="AE126" s="364">
        <v>4500014155</v>
      </c>
      <c r="AF126" s="364"/>
      <c r="AG126" s="361"/>
      <c r="AH126" s="365"/>
      <c r="AI126" s="361"/>
      <c r="AJ126" s="361"/>
      <c r="AK126" s="361"/>
      <c r="AL126" s="361"/>
      <c r="AM126" s="361"/>
      <c r="AN126" s="361"/>
      <c r="AO126" s="361"/>
      <c r="AP126" s="361"/>
      <c r="AQ126" s="361"/>
      <c r="AR126" s="503"/>
      <c r="AS126" s="489"/>
      <c r="AT126" s="160"/>
      <c r="AU126" s="355"/>
    </row>
    <row r="127" spans="1:47" s="124" customFormat="1" ht="21.75" hidden="1" customHeight="1">
      <c r="A127" s="331">
        <v>126</v>
      </c>
      <c r="B127" s="361" t="s">
        <v>961</v>
      </c>
      <c r="C127" s="361" t="s">
        <v>962</v>
      </c>
      <c r="D127" s="436" t="s">
        <v>963</v>
      </c>
      <c r="E127" s="361" t="str">
        <f t="shared" si="1"/>
        <v>LOSS</v>
      </c>
      <c r="F127" s="361"/>
      <c r="G127" s="361"/>
      <c r="H127" s="361" t="s">
        <v>327</v>
      </c>
      <c r="I127" s="160" t="s">
        <v>346</v>
      </c>
      <c r="J127" s="361" t="s">
        <v>964</v>
      </c>
      <c r="K127" s="365"/>
      <c r="L127" s="361"/>
      <c r="M127" s="361"/>
      <c r="N127" s="361"/>
      <c r="O127" s="374" t="s">
        <v>115</v>
      </c>
      <c r="P127" s="361">
        <v>49032000</v>
      </c>
      <c r="Q127" s="361"/>
      <c r="R127" s="387"/>
      <c r="S127" s="389">
        <v>37000000</v>
      </c>
      <c r="T127" s="361"/>
      <c r="U127" s="367">
        <v>43952</v>
      </c>
      <c r="V127" s="367">
        <v>44316</v>
      </c>
      <c r="W127" s="361" t="s">
        <v>250</v>
      </c>
      <c r="X127" s="361"/>
      <c r="Y127" s="361"/>
      <c r="Z127" s="361"/>
      <c r="AA127" s="361"/>
      <c r="AB127" s="361"/>
      <c r="AC127" s="159"/>
      <c r="AD127" s="361" t="s">
        <v>965</v>
      </c>
      <c r="AE127" s="364">
        <v>4500014608</v>
      </c>
      <c r="AF127" s="364"/>
      <c r="AG127" s="361"/>
      <c r="AH127" s="365"/>
      <c r="AI127" s="361"/>
      <c r="AJ127" s="361"/>
      <c r="AK127" s="361"/>
      <c r="AL127" s="361"/>
      <c r="AM127" s="361"/>
      <c r="AN127" s="361"/>
      <c r="AO127" s="361"/>
      <c r="AP127" s="361"/>
      <c r="AQ127" s="361"/>
      <c r="AR127" s="503"/>
      <c r="AS127" s="489"/>
      <c r="AT127" s="160"/>
      <c r="AU127" s="355"/>
    </row>
    <row r="128" spans="1:47" s="124" customFormat="1" ht="21.75" hidden="1" customHeight="1">
      <c r="A128" s="331">
        <v>127</v>
      </c>
      <c r="B128" s="361" t="s">
        <v>966</v>
      </c>
      <c r="C128" s="361" t="s">
        <v>967</v>
      </c>
      <c r="D128" s="435" t="s">
        <v>968</v>
      </c>
      <c r="E128" s="361" t="str">
        <f t="shared" si="1"/>
        <v>LOSS</v>
      </c>
      <c r="F128" s="361"/>
      <c r="G128" s="361"/>
      <c r="H128" s="361" t="s">
        <v>327</v>
      </c>
      <c r="I128" s="160" t="s">
        <v>346</v>
      </c>
      <c r="J128" s="361" t="s">
        <v>969</v>
      </c>
      <c r="K128" s="365"/>
      <c r="L128" s="361"/>
      <c r="M128" s="361"/>
      <c r="N128" s="361"/>
      <c r="O128" s="374" t="s">
        <v>115</v>
      </c>
      <c r="P128" s="361">
        <v>103800000</v>
      </c>
      <c r="Q128" s="361"/>
      <c r="R128" s="387"/>
      <c r="S128" s="389">
        <v>15000000</v>
      </c>
      <c r="T128" s="361"/>
      <c r="U128" s="367">
        <v>43976</v>
      </c>
      <c r="V128" s="367">
        <v>44340</v>
      </c>
      <c r="W128" s="361" t="s">
        <v>250</v>
      </c>
      <c r="X128" s="361"/>
      <c r="Y128" s="361"/>
      <c r="Z128" s="361"/>
      <c r="AA128" s="361"/>
      <c r="AB128" s="361"/>
      <c r="AC128" s="159"/>
      <c r="AD128" s="361" t="s">
        <v>970</v>
      </c>
      <c r="AE128" s="364">
        <v>4500014396</v>
      </c>
      <c r="AF128" s="364"/>
      <c r="AG128" s="361"/>
      <c r="AH128" s="365"/>
      <c r="AI128" s="361"/>
      <c r="AJ128" s="361"/>
      <c r="AK128" s="361"/>
      <c r="AL128" s="361"/>
      <c r="AM128" s="361"/>
      <c r="AN128" s="361"/>
      <c r="AO128" s="361"/>
      <c r="AP128" s="361"/>
      <c r="AQ128" s="361"/>
      <c r="AR128" s="503"/>
      <c r="AS128" s="489"/>
      <c r="AT128" s="160"/>
      <c r="AU128" s="355"/>
    </row>
    <row r="129" spans="1:47" s="124" customFormat="1" ht="21.75" hidden="1" customHeight="1">
      <c r="A129" s="331">
        <v>128</v>
      </c>
      <c r="B129" s="361" t="s">
        <v>71</v>
      </c>
      <c r="C129" s="361" t="s">
        <v>382</v>
      </c>
      <c r="D129" s="436" t="s">
        <v>850</v>
      </c>
      <c r="E129" s="361" t="str">
        <f t="shared" si="1"/>
        <v>LOSS</v>
      </c>
      <c r="F129" s="361"/>
      <c r="G129" s="361"/>
      <c r="H129" s="361" t="s">
        <v>327</v>
      </c>
      <c r="I129" s="160" t="s">
        <v>346</v>
      </c>
      <c r="J129" s="361" t="s">
        <v>971</v>
      </c>
      <c r="K129" s="365"/>
      <c r="L129" s="361"/>
      <c r="M129" s="361"/>
      <c r="N129" s="361"/>
      <c r="O129" s="374" t="s">
        <v>115</v>
      </c>
      <c r="P129" s="361">
        <v>984000000</v>
      </c>
      <c r="Q129" s="361"/>
      <c r="R129" s="387"/>
      <c r="S129" s="388">
        <v>18000000</v>
      </c>
      <c r="T129" s="361"/>
      <c r="U129" s="367">
        <v>44006</v>
      </c>
      <c r="V129" s="367">
        <v>44370</v>
      </c>
      <c r="W129" s="361" t="s">
        <v>250</v>
      </c>
      <c r="X129" s="361"/>
      <c r="Y129" s="361"/>
      <c r="Z129" s="361"/>
      <c r="AA129" s="361"/>
      <c r="AB129" s="361"/>
      <c r="AC129" s="159"/>
      <c r="AD129" s="262"/>
      <c r="AE129" s="364">
        <v>4500014435</v>
      </c>
      <c r="AF129" s="364"/>
      <c r="AG129" s="361"/>
      <c r="AH129" s="365"/>
      <c r="AI129" s="361"/>
      <c r="AJ129" s="361"/>
      <c r="AK129" s="361"/>
      <c r="AL129" s="361"/>
      <c r="AM129" s="361"/>
      <c r="AN129" s="361"/>
      <c r="AO129" s="361"/>
      <c r="AP129" s="361"/>
      <c r="AQ129" s="361"/>
      <c r="AR129" s="503"/>
      <c r="AS129" s="489"/>
      <c r="AT129" s="160"/>
      <c r="AU129" s="355"/>
    </row>
    <row r="130" spans="1:47" s="124" customFormat="1" ht="21.75" hidden="1" customHeight="1">
      <c r="A130" s="331">
        <v>129</v>
      </c>
      <c r="B130" s="361" t="s">
        <v>37</v>
      </c>
      <c r="C130" s="361" t="s">
        <v>972</v>
      </c>
      <c r="D130" s="435" t="s">
        <v>973</v>
      </c>
      <c r="E130" s="361" t="str">
        <f t="shared" ref="E130:E193" si="2">IF(Z130&lt;=0, "LOSS",IF(Z130&lt;=15, "CRITICAL",IF(Z130&lt;=30, "WARNING",IF(Z130&lt;60, "ATTENTION", "ON TRACK"))))</f>
        <v>LOSS</v>
      </c>
      <c r="F130" s="361"/>
      <c r="G130" s="361"/>
      <c r="H130" s="361" t="s">
        <v>327</v>
      </c>
      <c r="I130" s="361" t="s">
        <v>242</v>
      </c>
      <c r="J130" s="361" t="s">
        <v>974</v>
      </c>
      <c r="K130" s="365"/>
      <c r="L130" s="361"/>
      <c r="M130" s="361"/>
      <c r="N130" s="361"/>
      <c r="O130" s="374" t="s">
        <v>115</v>
      </c>
      <c r="P130" s="361">
        <v>36000000</v>
      </c>
      <c r="Q130" s="361"/>
      <c r="R130" s="387"/>
      <c r="S130" s="388">
        <v>15000000</v>
      </c>
      <c r="T130" s="361"/>
      <c r="U130" s="367">
        <v>43961</v>
      </c>
      <c r="V130" s="367">
        <v>44325</v>
      </c>
      <c r="W130" s="361" t="s">
        <v>250</v>
      </c>
      <c r="X130" s="361"/>
      <c r="Y130" s="361"/>
      <c r="Z130" s="361"/>
      <c r="AA130" s="361"/>
      <c r="AB130" s="361"/>
      <c r="AC130" s="159"/>
      <c r="AD130" s="368"/>
      <c r="AE130" s="364">
        <v>4500014207</v>
      </c>
      <c r="AF130" s="364"/>
      <c r="AG130" s="361"/>
      <c r="AH130" s="365"/>
      <c r="AI130" s="361"/>
      <c r="AJ130" s="361"/>
      <c r="AK130" s="361"/>
      <c r="AL130" s="361"/>
      <c r="AM130" s="361"/>
      <c r="AN130" s="361"/>
      <c r="AO130" s="361"/>
      <c r="AP130" s="361"/>
      <c r="AQ130" s="361"/>
      <c r="AR130" s="503"/>
      <c r="AS130" s="489"/>
      <c r="AT130" s="160"/>
      <c r="AU130" s="355"/>
    </row>
    <row r="131" spans="1:47" s="124" customFormat="1" ht="21.75" hidden="1" customHeight="1">
      <c r="A131" s="331">
        <v>130</v>
      </c>
      <c r="B131" s="361" t="s">
        <v>37</v>
      </c>
      <c r="C131" s="361" t="s">
        <v>975</v>
      </c>
      <c r="D131" s="436" t="s">
        <v>976</v>
      </c>
      <c r="E131" s="361" t="str">
        <f t="shared" si="2"/>
        <v>LOSS</v>
      </c>
      <c r="F131" s="361"/>
      <c r="G131" s="361"/>
      <c r="H131" s="361" t="s">
        <v>327</v>
      </c>
      <c r="I131" s="160" t="s">
        <v>346</v>
      </c>
      <c r="J131" s="361" t="s">
        <v>977</v>
      </c>
      <c r="K131" s="365"/>
      <c r="L131" s="361"/>
      <c r="M131" s="361"/>
      <c r="N131" s="361"/>
      <c r="O131" s="374" t="s">
        <v>115</v>
      </c>
      <c r="P131" s="361">
        <v>210000000</v>
      </c>
      <c r="Q131" s="361"/>
      <c r="R131" s="387"/>
      <c r="S131" s="388">
        <v>19500000</v>
      </c>
      <c r="T131" s="361"/>
      <c r="U131" s="367">
        <v>43982</v>
      </c>
      <c r="V131" s="367">
        <v>44346</v>
      </c>
      <c r="W131" s="361" t="s">
        <v>250</v>
      </c>
      <c r="X131" s="361"/>
      <c r="Y131" s="361"/>
      <c r="Z131" s="361"/>
      <c r="AA131" s="361"/>
      <c r="AB131" s="361"/>
      <c r="AC131" s="159"/>
      <c r="AD131" s="361" t="s">
        <v>978</v>
      </c>
      <c r="AE131" s="364">
        <v>4500014397</v>
      </c>
      <c r="AF131" s="364"/>
      <c r="AG131" s="361"/>
      <c r="AH131" s="365"/>
      <c r="AI131" s="361"/>
      <c r="AJ131" s="361"/>
      <c r="AK131" s="361"/>
      <c r="AL131" s="361"/>
      <c r="AM131" s="361"/>
      <c r="AN131" s="361"/>
      <c r="AO131" s="361"/>
      <c r="AP131" s="361"/>
      <c r="AQ131" s="361"/>
      <c r="AR131" s="503"/>
      <c r="AS131" s="489"/>
      <c r="AT131" s="160"/>
      <c r="AU131" s="355"/>
    </row>
    <row r="132" spans="1:47" s="124" customFormat="1" ht="21.75" hidden="1" customHeight="1">
      <c r="A132" s="331">
        <v>131</v>
      </c>
      <c r="B132" s="361" t="s">
        <v>979</v>
      </c>
      <c r="C132" s="361" t="s">
        <v>980</v>
      </c>
      <c r="D132" s="435" t="s">
        <v>981</v>
      </c>
      <c r="E132" s="361" t="str">
        <f t="shared" si="2"/>
        <v>LOSS</v>
      </c>
      <c r="F132" s="361"/>
      <c r="G132" s="361"/>
      <c r="H132" s="361" t="s">
        <v>327</v>
      </c>
      <c r="I132" s="160" t="s">
        <v>346</v>
      </c>
      <c r="J132" s="361" t="s">
        <v>982</v>
      </c>
      <c r="K132" s="365"/>
      <c r="L132" s="361"/>
      <c r="M132" s="361"/>
      <c r="N132" s="361"/>
      <c r="O132" s="374" t="s">
        <v>115</v>
      </c>
      <c r="P132" s="361">
        <v>75000000</v>
      </c>
      <c r="Q132" s="361"/>
      <c r="R132" s="387"/>
      <c r="S132" s="388">
        <v>55000000</v>
      </c>
      <c r="T132" s="361"/>
      <c r="U132" s="367">
        <v>43831</v>
      </c>
      <c r="V132" s="367">
        <v>44196</v>
      </c>
      <c r="W132" s="361" t="s">
        <v>250</v>
      </c>
      <c r="X132" s="361"/>
      <c r="Y132" s="361"/>
      <c r="Z132" s="361"/>
      <c r="AA132" s="361"/>
      <c r="AB132" s="361"/>
      <c r="AC132" s="159"/>
      <c r="AD132" s="361" t="s">
        <v>983</v>
      </c>
      <c r="AE132" s="364">
        <v>4500013876</v>
      </c>
      <c r="AF132" s="364"/>
      <c r="AG132" s="361"/>
      <c r="AH132" s="365"/>
      <c r="AI132" s="361"/>
      <c r="AJ132" s="361"/>
      <c r="AK132" s="361"/>
      <c r="AL132" s="361"/>
      <c r="AM132" s="361"/>
      <c r="AN132" s="361"/>
      <c r="AO132" s="361"/>
      <c r="AP132" s="361"/>
      <c r="AQ132" s="361"/>
      <c r="AR132" s="503"/>
      <c r="AS132" s="489"/>
      <c r="AT132" s="160"/>
      <c r="AU132" s="355"/>
    </row>
    <row r="133" spans="1:47" s="124" customFormat="1" ht="21.75" hidden="1" customHeight="1">
      <c r="A133" s="331">
        <v>132</v>
      </c>
      <c r="B133" s="361" t="s">
        <v>71</v>
      </c>
      <c r="C133" s="361" t="s">
        <v>984</v>
      </c>
      <c r="D133" s="436" t="s">
        <v>850</v>
      </c>
      <c r="E133" s="361" t="str">
        <f t="shared" si="2"/>
        <v>LOSS</v>
      </c>
      <c r="F133" s="361"/>
      <c r="G133" s="361"/>
      <c r="H133" s="361" t="s">
        <v>327</v>
      </c>
      <c r="I133" s="361" t="s">
        <v>242</v>
      </c>
      <c r="J133" s="361" t="s">
        <v>985</v>
      </c>
      <c r="K133" s="365"/>
      <c r="L133" s="361"/>
      <c r="M133" s="361"/>
      <c r="N133" s="361"/>
      <c r="O133" s="374" t="s">
        <v>115</v>
      </c>
      <c r="P133" s="361">
        <v>60000000</v>
      </c>
      <c r="Q133" s="361"/>
      <c r="R133" s="387"/>
      <c r="S133" s="388">
        <v>18000000</v>
      </c>
      <c r="T133" s="361"/>
      <c r="U133" s="367">
        <v>44136</v>
      </c>
      <c r="V133" s="367">
        <v>44500</v>
      </c>
      <c r="W133" s="361" t="s">
        <v>250</v>
      </c>
      <c r="X133" s="361"/>
      <c r="Y133" s="361"/>
      <c r="Z133" s="361"/>
      <c r="AA133" s="361"/>
      <c r="AB133" s="361"/>
      <c r="AC133" s="159"/>
      <c r="AD133" s="361" t="s">
        <v>986</v>
      </c>
      <c r="AE133" s="364">
        <v>4500014890</v>
      </c>
      <c r="AF133" s="364"/>
      <c r="AG133" s="361"/>
      <c r="AH133" s="365"/>
      <c r="AI133" s="361"/>
      <c r="AJ133" s="361"/>
      <c r="AK133" s="361"/>
      <c r="AL133" s="361"/>
      <c r="AM133" s="361"/>
      <c r="AN133" s="361"/>
      <c r="AO133" s="361"/>
      <c r="AP133" s="361"/>
      <c r="AQ133" s="361"/>
      <c r="AR133" s="503"/>
      <c r="AS133" s="489"/>
      <c r="AT133" s="160"/>
      <c r="AU133" s="355"/>
    </row>
    <row r="134" spans="1:47" s="124" customFormat="1" ht="21.75" hidden="1" customHeight="1">
      <c r="A134" s="331">
        <v>133</v>
      </c>
      <c r="B134" s="159" t="s">
        <v>614</v>
      </c>
      <c r="C134" s="361" t="s">
        <v>555</v>
      </c>
      <c r="D134" s="435" t="s">
        <v>850</v>
      </c>
      <c r="E134" s="361" t="str">
        <f t="shared" si="2"/>
        <v>LOSS</v>
      </c>
      <c r="F134" s="361"/>
      <c r="G134" s="361"/>
      <c r="H134" s="361" t="s">
        <v>327</v>
      </c>
      <c r="I134" s="160" t="s">
        <v>346</v>
      </c>
      <c r="J134" s="361" t="s">
        <v>987</v>
      </c>
      <c r="K134" s="365"/>
      <c r="L134" s="361"/>
      <c r="M134" s="361"/>
      <c r="N134" s="361"/>
      <c r="O134" s="374" t="s">
        <v>115</v>
      </c>
      <c r="P134" s="361">
        <v>54000000</v>
      </c>
      <c r="Q134" s="361"/>
      <c r="R134" s="387"/>
      <c r="S134" s="388">
        <v>7200000</v>
      </c>
      <c r="T134" s="361"/>
      <c r="U134" s="367">
        <v>44104</v>
      </c>
      <c r="V134" s="367">
        <v>44468</v>
      </c>
      <c r="W134" s="361" t="s">
        <v>250</v>
      </c>
      <c r="X134" s="361"/>
      <c r="Y134" s="361"/>
      <c r="Z134" s="361"/>
      <c r="AA134" s="361"/>
      <c r="AB134" s="361"/>
      <c r="AC134" s="159"/>
      <c r="AD134" s="368"/>
      <c r="AE134" s="364">
        <v>4500014934</v>
      </c>
      <c r="AF134" s="364"/>
      <c r="AG134" s="361"/>
      <c r="AH134" s="365"/>
      <c r="AI134" s="361"/>
      <c r="AJ134" s="361"/>
      <c r="AK134" s="361"/>
      <c r="AL134" s="361"/>
      <c r="AM134" s="361"/>
      <c r="AN134" s="361"/>
      <c r="AO134" s="361"/>
      <c r="AP134" s="361"/>
      <c r="AQ134" s="361"/>
      <c r="AR134" s="503"/>
      <c r="AS134" s="489"/>
      <c r="AT134" s="160"/>
      <c r="AU134" s="355"/>
    </row>
    <row r="135" spans="1:47" s="124" customFormat="1" ht="21.75" hidden="1" customHeight="1">
      <c r="A135" s="331">
        <v>134</v>
      </c>
      <c r="B135" s="361" t="s">
        <v>542</v>
      </c>
      <c r="C135" s="361" t="s">
        <v>988</v>
      </c>
      <c r="D135" s="436" t="s">
        <v>989</v>
      </c>
      <c r="E135" s="361" t="str">
        <f t="shared" si="2"/>
        <v>LOSS</v>
      </c>
      <c r="F135" s="361"/>
      <c r="G135" s="361"/>
      <c r="H135" s="361" t="s">
        <v>327</v>
      </c>
      <c r="I135" s="160" t="s">
        <v>346</v>
      </c>
      <c r="J135" s="361" t="s">
        <v>990</v>
      </c>
      <c r="K135" s="365"/>
      <c r="L135" s="361"/>
      <c r="M135" s="361"/>
      <c r="N135" s="361"/>
      <c r="O135" s="370">
        <v>5000000</v>
      </c>
      <c r="P135" s="361">
        <v>108000000</v>
      </c>
      <c r="Q135" s="361"/>
      <c r="R135" s="387">
        <v>2000000</v>
      </c>
      <c r="S135" s="388">
        <v>7000000</v>
      </c>
      <c r="T135" s="361"/>
      <c r="U135" s="367">
        <v>44136</v>
      </c>
      <c r="V135" s="367">
        <v>44500</v>
      </c>
      <c r="W135" s="361" t="s">
        <v>250</v>
      </c>
      <c r="X135" s="361"/>
      <c r="Y135" s="361"/>
      <c r="Z135" s="361"/>
      <c r="AA135" s="361"/>
      <c r="AB135" s="361"/>
      <c r="AC135" s="159"/>
      <c r="AD135" s="368"/>
      <c r="AE135" s="364">
        <v>4500015267</v>
      </c>
      <c r="AF135" s="364"/>
      <c r="AG135" s="361"/>
      <c r="AH135" s="365"/>
      <c r="AI135" s="361"/>
      <c r="AJ135" s="361"/>
      <c r="AK135" s="361"/>
      <c r="AL135" s="361"/>
      <c r="AM135" s="361"/>
      <c r="AN135" s="361"/>
      <c r="AO135" s="361"/>
      <c r="AP135" s="361"/>
      <c r="AQ135" s="361"/>
      <c r="AR135" s="503"/>
      <c r="AS135" s="489"/>
      <c r="AT135" s="160"/>
      <c r="AU135" s="355"/>
    </row>
    <row r="136" spans="1:47" s="124" customFormat="1" ht="21.75" hidden="1" customHeight="1">
      <c r="A136" s="331">
        <v>135</v>
      </c>
      <c r="B136" s="361" t="s">
        <v>623</v>
      </c>
      <c r="C136" s="361" t="s">
        <v>991</v>
      </c>
      <c r="D136" s="435" t="s">
        <v>859</v>
      </c>
      <c r="E136" s="361" t="str">
        <f t="shared" si="2"/>
        <v>LOSS</v>
      </c>
      <c r="F136" s="361"/>
      <c r="G136" s="361"/>
      <c r="H136" s="361" t="s">
        <v>839</v>
      </c>
      <c r="I136" s="361" t="s">
        <v>242</v>
      </c>
      <c r="J136" s="361" t="s">
        <v>992</v>
      </c>
      <c r="K136" s="365"/>
      <c r="L136" s="361"/>
      <c r="M136" s="361"/>
      <c r="N136" s="361"/>
      <c r="O136" s="374" t="s">
        <v>115</v>
      </c>
      <c r="P136" s="361">
        <v>282000000</v>
      </c>
      <c r="Q136" s="361"/>
      <c r="R136" s="387"/>
      <c r="S136" s="388">
        <v>3000000</v>
      </c>
      <c r="T136" s="361"/>
      <c r="U136" s="367">
        <v>43831</v>
      </c>
      <c r="V136" s="367">
        <v>44196</v>
      </c>
      <c r="W136" s="361" t="s">
        <v>250</v>
      </c>
      <c r="X136" s="361"/>
      <c r="Y136" s="361"/>
      <c r="Z136" s="361"/>
      <c r="AA136" s="361"/>
      <c r="AB136" s="361"/>
      <c r="AC136" s="159"/>
      <c r="AD136" s="368"/>
      <c r="AE136" s="364">
        <v>4500013734</v>
      </c>
      <c r="AF136" s="364"/>
      <c r="AG136" s="361"/>
      <c r="AH136" s="365"/>
      <c r="AI136" s="361"/>
      <c r="AJ136" s="361"/>
      <c r="AK136" s="361"/>
      <c r="AL136" s="361"/>
      <c r="AM136" s="361"/>
      <c r="AN136" s="361"/>
      <c r="AO136" s="361"/>
      <c r="AP136" s="361"/>
      <c r="AQ136" s="361"/>
      <c r="AR136" s="503"/>
      <c r="AS136" s="489"/>
      <c r="AT136" s="160"/>
      <c r="AU136" s="355"/>
    </row>
    <row r="137" spans="1:47" s="124" customFormat="1" ht="21.75" hidden="1" customHeight="1">
      <c r="A137" s="331">
        <v>136</v>
      </c>
      <c r="B137" s="361" t="s">
        <v>993</v>
      </c>
      <c r="C137" s="361" t="s">
        <v>994</v>
      </c>
      <c r="D137" s="436" t="s">
        <v>859</v>
      </c>
      <c r="E137" s="361" t="str">
        <f t="shared" si="2"/>
        <v>LOSS</v>
      </c>
      <c r="F137" s="361"/>
      <c r="G137" s="361"/>
      <c r="H137" s="361" t="s">
        <v>327</v>
      </c>
      <c r="I137" s="361" t="s">
        <v>242</v>
      </c>
      <c r="J137" s="361" t="s">
        <v>995</v>
      </c>
      <c r="K137" s="365"/>
      <c r="L137" s="361"/>
      <c r="M137" s="361"/>
      <c r="N137" s="361"/>
      <c r="O137" s="374" t="s">
        <v>115</v>
      </c>
      <c r="P137" s="361">
        <v>552000000</v>
      </c>
      <c r="Q137" s="361"/>
      <c r="R137" s="387"/>
      <c r="S137" s="388">
        <v>2000000</v>
      </c>
      <c r="T137" s="361"/>
      <c r="U137" s="367">
        <v>43862</v>
      </c>
      <c r="V137" s="367">
        <v>44227</v>
      </c>
      <c r="W137" s="361" t="s">
        <v>250</v>
      </c>
      <c r="X137" s="361"/>
      <c r="Y137" s="361"/>
      <c r="Z137" s="361"/>
      <c r="AA137" s="361"/>
      <c r="AB137" s="361"/>
      <c r="AC137" s="159"/>
      <c r="AD137" s="361" t="s">
        <v>996</v>
      </c>
      <c r="AE137" s="364">
        <v>4500013745</v>
      </c>
      <c r="AF137" s="364"/>
      <c r="AG137" s="361"/>
      <c r="AH137" s="365"/>
      <c r="AI137" s="361"/>
      <c r="AJ137" s="361"/>
      <c r="AK137" s="361"/>
      <c r="AL137" s="361"/>
      <c r="AM137" s="361"/>
      <c r="AN137" s="361"/>
      <c r="AO137" s="361"/>
      <c r="AP137" s="361"/>
      <c r="AQ137" s="361"/>
      <c r="AR137" s="503"/>
      <c r="AS137" s="489"/>
      <c r="AT137" s="160"/>
      <c r="AU137" s="355"/>
    </row>
    <row r="138" spans="1:47" s="124" customFormat="1" ht="21.75" hidden="1" customHeight="1">
      <c r="A138" s="331">
        <v>137</v>
      </c>
      <c r="B138" s="361" t="s">
        <v>930</v>
      </c>
      <c r="C138" s="361" t="s">
        <v>997</v>
      </c>
      <c r="D138" s="435" t="s">
        <v>932</v>
      </c>
      <c r="E138" s="361" t="str">
        <f t="shared" si="2"/>
        <v>LOSS</v>
      </c>
      <c r="F138" s="361"/>
      <c r="G138" s="361"/>
      <c r="H138" s="361" t="s">
        <v>839</v>
      </c>
      <c r="I138" s="361" t="s">
        <v>242</v>
      </c>
      <c r="J138" s="361" t="s">
        <v>998</v>
      </c>
      <c r="K138" s="365"/>
      <c r="L138" s="361"/>
      <c r="M138" s="361"/>
      <c r="N138" s="361"/>
      <c r="O138" s="370">
        <v>5000000</v>
      </c>
      <c r="P138" s="361">
        <v>24000000</v>
      </c>
      <c r="Q138" s="361"/>
      <c r="R138" s="387">
        <v>3000000</v>
      </c>
      <c r="S138" s="388">
        <v>6000000</v>
      </c>
      <c r="T138" s="361"/>
      <c r="U138" s="367">
        <v>43906</v>
      </c>
      <c r="V138" s="367">
        <v>44270</v>
      </c>
      <c r="W138" s="361" t="s">
        <v>250</v>
      </c>
      <c r="X138" s="361"/>
      <c r="Y138" s="361"/>
      <c r="Z138" s="361"/>
      <c r="AA138" s="361"/>
      <c r="AB138" s="361"/>
      <c r="AC138" s="159"/>
      <c r="AD138" s="361" t="s">
        <v>999</v>
      </c>
      <c r="AE138" s="364">
        <v>4500014044</v>
      </c>
      <c r="AF138" s="364"/>
      <c r="AG138" s="361"/>
      <c r="AH138" s="365"/>
      <c r="AI138" s="361"/>
      <c r="AJ138" s="361"/>
      <c r="AK138" s="361"/>
      <c r="AL138" s="361"/>
      <c r="AM138" s="361"/>
      <c r="AN138" s="361"/>
      <c r="AO138" s="361"/>
      <c r="AP138" s="361"/>
      <c r="AQ138" s="361"/>
      <c r="AR138" s="503"/>
      <c r="AS138" s="489"/>
      <c r="AT138" s="160"/>
      <c r="AU138" s="355"/>
    </row>
    <row r="139" spans="1:47" s="124" customFormat="1" ht="21.75" hidden="1" customHeight="1">
      <c r="A139" s="331">
        <v>138</v>
      </c>
      <c r="B139" s="361" t="s">
        <v>930</v>
      </c>
      <c r="C139" s="361" t="s">
        <v>1000</v>
      </c>
      <c r="D139" s="436" t="s">
        <v>1001</v>
      </c>
      <c r="E139" s="361" t="str">
        <f t="shared" si="2"/>
        <v>LOSS</v>
      </c>
      <c r="F139" s="361"/>
      <c r="G139" s="361"/>
      <c r="H139" s="361" t="s">
        <v>327</v>
      </c>
      <c r="I139" s="361" t="s">
        <v>242</v>
      </c>
      <c r="J139" s="361" t="s">
        <v>1002</v>
      </c>
      <c r="K139" s="365"/>
      <c r="L139" s="361"/>
      <c r="M139" s="361"/>
      <c r="N139" s="361"/>
      <c r="O139" s="370">
        <v>2000000</v>
      </c>
      <c r="P139" s="361">
        <v>27272724</v>
      </c>
      <c r="Q139" s="361"/>
      <c r="R139" s="387">
        <v>3000000</v>
      </c>
      <c r="S139" s="388">
        <v>6000000</v>
      </c>
      <c r="T139" s="361"/>
      <c r="U139" s="367">
        <v>43906</v>
      </c>
      <c r="V139" s="367">
        <v>44270</v>
      </c>
      <c r="W139" s="361" t="s">
        <v>250</v>
      </c>
      <c r="X139" s="361"/>
      <c r="Y139" s="361"/>
      <c r="Z139" s="361"/>
      <c r="AA139" s="361"/>
      <c r="AB139" s="361"/>
      <c r="AC139" s="159"/>
      <c r="AD139" s="361" t="s">
        <v>1003</v>
      </c>
      <c r="AE139" s="364">
        <v>4500014045</v>
      </c>
      <c r="AF139" s="364"/>
      <c r="AG139" s="361"/>
      <c r="AH139" s="365"/>
      <c r="AI139" s="361"/>
      <c r="AJ139" s="361"/>
      <c r="AK139" s="361"/>
      <c r="AL139" s="361"/>
      <c r="AM139" s="361"/>
      <c r="AN139" s="361"/>
      <c r="AO139" s="361"/>
      <c r="AP139" s="361"/>
      <c r="AQ139" s="361"/>
      <c r="AR139" s="503"/>
      <c r="AS139" s="489"/>
      <c r="AT139" s="160"/>
      <c r="AU139" s="355"/>
    </row>
    <row r="140" spans="1:47" s="124" customFormat="1" ht="21.75" hidden="1" customHeight="1">
      <c r="A140" s="331">
        <v>139</v>
      </c>
      <c r="B140" s="361" t="s">
        <v>1004</v>
      </c>
      <c r="C140" s="361" t="s">
        <v>1005</v>
      </c>
      <c r="D140" s="435" t="s">
        <v>1006</v>
      </c>
      <c r="E140" s="361" t="str">
        <f t="shared" si="2"/>
        <v>LOSS</v>
      </c>
      <c r="F140" s="361"/>
      <c r="G140" s="361"/>
      <c r="H140" s="361" t="s">
        <v>327</v>
      </c>
      <c r="I140" s="160" t="s">
        <v>346</v>
      </c>
      <c r="J140" s="361" t="s">
        <v>1007</v>
      </c>
      <c r="K140" s="365"/>
      <c r="L140" s="361"/>
      <c r="M140" s="361"/>
      <c r="N140" s="361"/>
      <c r="O140" s="374" t="s">
        <v>115</v>
      </c>
      <c r="P140" s="361">
        <v>51534546</v>
      </c>
      <c r="Q140" s="361"/>
      <c r="R140" s="387"/>
      <c r="S140" s="388">
        <v>15516048</v>
      </c>
      <c r="T140" s="361"/>
      <c r="U140" s="367">
        <v>43906</v>
      </c>
      <c r="V140" s="367">
        <v>44270</v>
      </c>
      <c r="W140" s="361" t="s">
        <v>250</v>
      </c>
      <c r="X140" s="361"/>
      <c r="Y140" s="361"/>
      <c r="Z140" s="361"/>
      <c r="AA140" s="361"/>
      <c r="AB140" s="361"/>
      <c r="AC140" s="159"/>
      <c r="AD140" s="368"/>
      <c r="AE140" s="364">
        <v>4500013955</v>
      </c>
      <c r="AF140" s="364"/>
      <c r="AG140" s="361"/>
      <c r="AH140" s="365"/>
      <c r="AI140" s="361"/>
      <c r="AJ140" s="361"/>
      <c r="AK140" s="361"/>
      <c r="AL140" s="361"/>
      <c r="AM140" s="361"/>
      <c r="AN140" s="361"/>
      <c r="AO140" s="361"/>
      <c r="AP140" s="361"/>
      <c r="AQ140" s="361"/>
      <c r="AR140" s="503"/>
      <c r="AS140" s="489"/>
      <c r="AT140" s="160"/>
      <c r="AU140" s="355"/>
    </row>
    <row r="141" spans="1:47" s="124" customFormat="1" ht="21.75" hidden="1" customHeight="1">
      <c r="A141" s="331">
        <v>140</v>
      </c>
      <c r="B141" s="28" t="s">
        <v>635</v>
      </c>
      <c r="C141" s="361" t="s">
        <v>37</v>
      </c>
      <c r="D141" s="436" t="s">
        <v>1008</v>
      </c>
      <c r="E141" s="361" t="str">
        <f t="shared" si="2"/>
        <v>LOSS</v>
      </c>
      <c r="F141" s="361"/>
      <c r="G141" s="361"/>
      <c r="H141" s="361" t="s">
        <v>327</v>
      </c>
      <c r="I141" s="361" t="s">
        <v>242</v>
      </c>
      <c r="J141" s="361" t="s">
        <v>985</v>
      </c>
      <c r="K141" s="365"/>
      <c r="L141" s="361"/>
      <c r="M141" s="361"/>
      <c r="N141" s="361"/>
      <c r="O141" s="374" t="s">
        <v>115</v>
      </c>
      <c r="P141" s="361">
        <v>102000000</v>
      </c>
      <c r="Q141" s="361"/>
      <c r="R141" s="387"/>
      <c r="S141" s="388">
        <v>12000000</v>
      </c>
      <c r="T141" s="361"/>
      <c r="U141" s="367">
        <v>43874</v>
      </c>
      <c r="V141" s="367">
        <v>44239</v>
      </c>
      <c r="W141" s="361" t="s">
        <v>250</v>
      </c>
      <c r="X141" s="361"/>
      <c r="Y141" s="361"/>
      <c r="Z141" s="361"/>
      <c r="AA141" s="361"/>
      <c r="AB141" s="361"/>
      <c r="AC141" s="159"/>
      <c r="AD141" s="260"/>
      <c r="AE141" s="364">
        <v>4500013965</v>
      </c>
      <c r="AF141" s="364"/>
      <c r="AG141" s="361"/>
      <c r="AH141" s="365"/>
      <c r="AI141" s="361"/>
      <c r="AJ141" s="361"/>
      <c r="AK141" s="361"/>
      <c r="AL141" s="361"/>
      <c r="AM141" s="361"/>
      <c r="AN141" s="361"/>
      <c r="AO141" s="361"/>
      <c r="AP141" s="361"/>
      <c r="AQ141" s="361"/>
      <c r="AR141" s="503"/>
      <c r="AS141" s="489"/>
      <c r="AT141" s="160"/>
      <c r="AU141" s="355"/>
    </row>
    <row r="142" spans="1:47" s="124" customFormat="1" ht="21.75" hidden="1" customHeight="1">
      <c r="A142" s="331">
        <v>141</v>
      </c>
      <c r="B142" s="361" t="s">
        <v>1009</v>
      </c>
      <c r="C142" s="361" t="s">
        <v>349</v>
      </c>
      <c r="D142" s="434" t="s">
        <v>1010</v>
      </c>
      <c r="E142" s="361" t="str">
        <f t="shared" si="2"/>
        <v>LOSS</v>
      </c>
      <c r="F142" s="361"/>
      <c r="G142" s="361"/>
      <c r="H142" s="361" t="s">
        <v>839</v>
      </c>
      <c r="I142" s="160" t="s">
        <v>346</v>
      </c>
      <c r="J142" s="361" t="s">
        <v>1011</v>
      </c>
      <c r="K142" s="365"/>
      <c r="L142" s="361"/>
      <c r="M142" s="361"/>
      <c r="N142" s="361"/>
      <c r="O142" s="374" t="s">
        <v>115</v>
      </c>
      <c r="P142" s="361">
        <v>34800000</v>
      </c>
      <c r="Q142" s="361"/>
      <c r="R142" s="387"/>
      <c r="S142" s="388">
        <v>12500000</v>
      </c>
      <c r="T142" s="361"/>
      <c r="U142" s="367">
        <v>43831</v>
      </c>
      <c r="V142" s="367">
        <v>44196</v>
      </c>
      <c r="W142" s="27" t="s">
        <v>250</v>
      </c>
      <c r="X142" s="361"/>
      <c r="Y142" s="361"/>
      <c r="Z142" s="361"/>
      <c r="AA142" s="361"/>
      <c r="AB142" s="361"/>
      <c r="AC142" s="159"/>
      <c r="AD142" s="361" t="s">
        <v>1012</v>
      </c>
      <c r="AE142" s="364">
        <v>4500013898</v>
      </c>
      <c r="AF142" s="364"/>
      <c r="AG142" s="361"/>
      <c r="AH142" s="365"/>
      <c r="AI142" s="361"/>
      <c r="AJ142" s="361"/>
      <c r="AK142" s="361"/>
      <c r="AL142" s="361"/>
      <c r="AM142" s="361"/>
      <c r="AN142" s="361"/>
      <c r="AO142" s="361"/>
      <c r="AP142" s="361"/>
      <c r="AQ142" s="361"/>
      <c r="AR142" s="503"/>
      <c r="AS142" s="489"/>
      <c r="AT142" s="160"/>
      <c r="AU142" s="355"/>
    </row>
    <row r="143" spans="1:47" s="124" customFormat="1" ht="21.75" hidden="1" customHeight="1">
      <c r="A143" s="331">
        <v>142</v>
      </c>
      <c r="B143" s="159" t="s">
        <v>614</v>
      </c>
      <c r="C143" s="361" t="s">
        <v>1013</v>
      </c>
      <c r="D143" s="436" t="s">
        <v>1014</v>
      </c>
      <c r="E143" s="361" t="str">
        <f t="shared" si="2"/>
        <v>LOSS</v>
      </c>
      <c r="F143" s="361"/>
      <c r="G143" s="361"/>
      <c r="H143" s="361" t="s">
        <v>327</v>
      </c>
      <c r="I143" s="160" t="s">
        <v>346</v>
      </c>
      <c r="J143" s="361" t="s">
        <v>1015</v>
      </c>
      <c r="K143" s="365"/>
      <c r="L143" s="361"/>
      <c r="M143" s="361"/>
      <c r="N143" s="361"/>
      <c r="O143" s="374" t="s">
        <v>115</v>
      </c>
      <c r="P143" s="361">
        <v>75420000</v>
      </c>
      <c r="Q143" s="361"/>
      <c r="R143" s="387"/>
      <c r="S143" s="388">
        <v>12000000</v>
      </c>
      <c r="T143" s="361"/>
      <c r="U143" s="367">
        <v>43917</v>
      </c>
      <c r="V143" s="367">
        <v>44281</v>
      </c>
      <c r="W143" s="361" t="s">
        <v>250</v>
      </c>
      <c r="X143" s="361"/>
      <c r="Y143" s="361"/>
      <c r="Z143" s="361"/>
      <c r="AA143" s="361"/>
      <c r="AB143" s="361"/>
      <c r="AC143" s="159"/>
      <c r="AD143" s="361" t="s">
        <v>1016</v>
      </c>
      <c r="AE143" s="364">
        <v>4500013963</v>
      </c>
      <c r="AF143" s="364"/>
      <c r="AG143" s="361"/>
      <c r="AH143" s="365"/>
      <c r="AI143" s="361"/>
      <c r="AJ143" s="361"/>
      <c r="AK143" s="361"/>
      <c r="AL143" s="361"/>
      <c r="AM143" s="361"/>
      <c r="AN143" s="361"/>
      <c r="AO143" s="361"/>
      <c r="AP143" s="361"/>
      <c r="AQ143" s="361"/>
      <c r="AR143" s="503"/>
      <c r="AS143" s="489"/>
      <c r="AT143" s="160"/>
      <c r="AU143" s="355"/>
    </row>
    <row r="144" spans="1:47" s="124" customFormat="1" ht="21.75" hidden="1" customHeight="1">
      <c r="A144" s="331">
        <v>143</v>
      </c>
      <c r="B144" s="361" t="s">
        <v>956</v>
      </c>
      <c r="C144" s="361" t="s">
        <v>1017</v>
      </c>
      <c r="D144" s="435" t="s">
        <v>958</v>
      </c>
      <c r="E144" s="361" t="str">
        <f t="shared" si="2"/>
        <v>LOSS</v>
      </c>
      <c r="F144" s="361"/>
      <c r="G144" s="361"/>
      <c r="H144" s="361" t="s">
        <v>327</v>
      </c>
      <c r="I144" s="160" t="s">
        <v>346</v>
      </c>
      <c r="J144" s="361" t="s">
        <v>1018</v>
      </c>
      <c r="K144" s="365"/>
      <c r="L144" s="361"/>
      <c r="M144" s="361"/>
      <c r="N144" s="361"/>
      <c r="O144" s="374" t="s">
        <v>115</v>
      </c>
      <c r="P144" s="361">
        <v>48000000</v>
      </c>
      <c r="Q144" s="361"/>
      <c r="R144" s="390"/>
      <c r="S144" s="388">
        <v>36000000</v>
      </c>
      <c r="T144" s="361"/>
      <c r="U144" s="367">
        <v>44013</v>
      </c>
      <c r="V144" s="367">
        <v>44377</v>
      </c>
      <c r="W144" s="361" t="s">
        <v>250</v>
      </c>
      <c r="X144" s="361"/>
      <c r="Y144" s="361"/>
      <c r="Z144" s="361"/>
      <c r="AA144" s="361"/>
      <c r="AB144" s="361"/>
      <c r="AC144" s="159"/>
      <c r="AD144" s="361" t="s">
        <v>1019</v>
      </c>
      <c r="AE144" s="364">
        <v>4500014680</v>
      </c>
      <c r="AF144" s="364"/>
      <c r="AG144" s="361"/>
      <c r="AH144" s="365"/>
      <c r="AI144" s="361"/>
      <c r="AJ144" s="361"/>
      <c r="AK144" s="361"/>
      <c r="AL144" s="361"/>
      <c r="AM144" s="361"/>
      <c r="AN144" s="361"/>
      <c r="AO144" s="361"/>
      <c r="AP144" s="361"/>
      <c r="AQ144" s="361"/>
      <c r="AR144" s="503"/>
      <c r="AS144" s="489"/>
      <c r="AT144" s="160"/>
      <c r="AU144" s="355"/>
    </row>
    <row r="145" spans="1:47" s="124" customFormat="1" ht="21.75" hidden="1" customHeight="1">
      <c r="A145" s="331">
        <v>144</v>
      </c>
      <c r="B145" s="361" t="s">
        <v>542</v>
      </c>
      <c r="C145" s="361" t="s">
        <v>1020</v>
      </c>
      <c r="D145" s="436" t="s">
        <v>989</v>
      </c>
      <c r="E145" s="361" t="str">
        <f t="shared" si="2"/>
        <v>LOSS</v>
      </c>
      <c r="F145" s="361"/>
      <c r="G145" s="361"/>
      <c r="H145" s="361" t="s">
        <v>327</v>
      </c>
      <c r="I145" s="160" t="s">
        <v>346</v>
      </c>
      <c r="J145" s="361" t="s">
        <v>1021</v>
      </c>
      <c r="K145" s="365"/>
      <c r="L145" s="361"/>
      <c r="M145" s="361"/>
      <c r="N145" s="361"/>
      <c r="O145" s="374" t="s">
        <v>115</v>
      </c>
      <c r="P145" s="361">
        <v>120000000</v>
      </c>
      <c r="Q145" s="361"/>
      <c r="R145" s="387"/>
      <c r="S145" s="388">
        <v>6000000</v>
      </c>
      <c r="T145" s="361"/>
      <c r="U145" s="367">
        <v>43983</v>
      </c>
      <c r="V145" s="367">
        <v>44347</v>
      </c>
      <c r="W145" s="361" t="s">
        <v>250</v>
      </c>
      <c r="X145" s="361"/>
      <c r="Y145" s="361"/>
      <c r="Z145" s="361"/>
      <c r="AA145" s="361"/>
      <c r="AB145" s="361"/>
      <c r="AC145" s="159"/>
      <c r="AD145" s="361" t="s">
        <v>1022</v>
      </c>
      <c r="AE145" s="364">
        <v>4500014363</v>
      </c>
      <c r="AF145" s="364"/>
      <c r="AG145" s="361"/>
      <c r="AH145" s="365"/>
      <c r="AI145" s="361"/>
      <c r="AJ145" s="361"/>
      <c r="AK145" s="361"/>
      <c r="AL145" s="361"/>
      <c r="AM145" s="361"/>
      <c r="AN145" s="361"/>
      <c r="AO145" s="361"/>
      <c r="AP145" s="361"/>
      <c r="AQ145" s="361"/>
      <c r="AR145" s="503"/>
      <c r="AS145" s="489"/>
      <c r="AT145" s="160"/>
      <c r="AU145" s="355"/>
    </row>
    <row r="146" spans="1:47" s="124" customFormat="1" ht="21.75" hidden="1" customHeight="1">
      <c r="A146" s="331">
        <v>145</v>
      </c>
      <c r="B146" s="28" t="s">
        <v>179</v>
      </c>
      <c r="C146" s="361" t="s">
        <v>1023</v>
      </c>
      <c r="D146" s="435" t="s">
        <v>862</v>
      </c>
      <c r="E146" s="361" t="str">
        <f t="shared" si="2"/>
        <v>LOSS</v>
      </c>
      <c r="F146" s="361"/>
      <c r="G146" s="361"/>
      <c r="H146" s="361" t="s">
        <v>839</v>
      </c>
      <c r="I146" s="361" t="s">
        <v>242</v>
      </c>
      <c r="J146" s="361" t="s">
        <v>1024</v>
      </c>
      <c r="K146" s="365"/>
      <c r="L146" s="361"/>
      <c r="M146" s="361"/>
      <c r="N146" s="361"/>
      <c r="O146" s="374">
        <v>3000000</v>
      </c>
      <c r="P146" s="361">
        <v>285600000</v>
      </c>
      <c r="Q146" s="361"/>
      <c r="R146" s="387"/>
      <c r="S146" s="388">
        <v>5000000</v>
      </c>
      <c r="T146" s="361"/>
      <c r="U146" s="367">
        <v>44034</v>
      </c>
      <c r="V146" s="367">
        <v>44398</v>
      </c>
      <c r="W146" s="361" t="s">
        <v>250</v>
      </c>
      <c r="X146" s="361"/>
      <c r="Y146" s="361"/>
      <c r="Z146" s="361"/>
      <c r="AA146" s="361"/>
      <c r="AB146" s="361"/>
      <c r="AC146" s="159"/>
      <c r="AD146" s="361" t="s">
        <v>1025</v>
      </c>
      <c r="AE146" s="364">
        <v>4500014743</v>
      </c>
      <c r="AF146" s="364"/>
      <c r="AG146" s="361"/>
      <c r="AH146" s="365"/>
      <c r="AI146" s="361"/>
      <c r="AJ146" s="361"/>
      <c r="AK146" s="361"/>
      <c r="AL146" s="361"/>
      <c r="AM146" s="361"/>
      <c r="AN146" s="361"/>
      <c r="AO146" s="361"/>
      <c r="AP146" s="361"/>
      <c r="AQ146" s="361"/>
      <c r="AR146" s="503"/>
      <c r="AS146" s="489"/>
      <c r="AT146" s="160"/>
      <c r="AU146" s="355"/>
    </row>
    <row r="147" spans="1:47" s="124" customFormat="1" ht="21.75" hidden="1" customHeight="1">
      <c r="A147" s="331">
        <v>146</v>
      </c>
      <c r="B147" s="361" t="s">
        <v>1026</v>
      </c>
      <c r="C147" s="361" t="s">
        <v>1027</v>
      </c>
      <c r="D147" s="436" t="s">
        <v>1028</v>
      </c>
      <c r="E147" s="361" t="str">
        <f t="shared" si="2"/>
        <v>LOSS</v>
      </c>
      <c r="F147" s="361"/>
      <c r="G147" s="361"/>
      <c r="H147" s="361" t="s">
        <v>839</v>
      </c>
      <c r="I147" s="160" t="s">
        <v>346</v>
      </c>
      <c r="J147" s="361" t="s">
        <v>1029</v>
      </c>
      <c r="K147" s="365"/>
      <c r="L147" s="361"/>
      <c r="M147" s="361"/>
      <c r="N147" s="361"/>
      <c r="O147" s="374" t="s">
        <v>115</v>
      </c>
      <c r="P147" s="361">
        <v>72000000</v>
      </c>
      <c r="Q147" s="361"/>
      <c r="R147" s="387"/>
      <c r="S147" s="388">
        <v>36000000</v>
      </c>
      <c r="T147" s="361"/>
      <c r="U147" s="367">
        <v>43831</v>
      </c>
      <c r="V147" s="367">
        <v>44196</v>
      </c>
      <c r="W147" s="361" t="s">
        <v>250</v>
      </c>
      <c r="X147" s="361"/>
      <c r="Y147" s="361"/>
      <c r="Z147" s="361"/>
      <c r="AA147" s="361"/>
      <c r="AB147" s="361"/>
      <c r="AC147" s="159"/>
      <c r="AD147" s="361" t="s">
        <v>1030</v>
      </c>
      <c r="AE147" s="364">
        <v>4500013750</v>
      </c>
      <c r="AF147" s="364"/>
      <c r="AG147" s="361"/>
      <c r="AH147" s="365"/>
      <c r="AI147" s="361"/>
      <c r="AJ147" s="361"/>
      <c r="AK147" s="361"/>
      <c r="AL147" s="361"/>
      <c r="AM147" s="361"/>
      <c r="AN147" s="361"/>
      <c r="AO147" s="361"/>
      <c r="AP147" s="361"/>
      <c r="AQ147" s="361"/>
      <c r="AR147" s="503"/>
      <c r="AS147" s="489"/>
      <c r="AT147" s="160"/>
      <c r="AU147" s="355"/>
    </row>
    <row r="148" spans="1:47" s="124" customFormat="1" ht="21.75" hidden="1" customHeight="1">
      <c r="A148" s="331">
        <v>147</v>
      </c>
      <c r="B148" s="361" t="s">
        <v>151</v>
      </c>
      <c r="C148" s="361" t="s">
        <v>1031</v>
      </c>
      <c r="D148" s="435" t="s">
        <v>1032</v>
      </c>
      <c r="E148" s="361" t="str">
        <f t="shared" si="2"/>
        <v>LOSS</v>
      </c>
      <c r="F148" s="361"/>
      <c r="G148" s="361"/>
      <c r="H148" s="361" t="s">
        <v>327</v>
      </c>
      <c r="I148" s="160" t="s">
        <v>346</v>
      </c>
      <c r="J148" s="361" t="s">
        <v>1033</v>
      </c>
      <c r="K148" s="365"/>
      <c r="L148" s="361"/>
      <c r="M148" s="361"/>
      <c r="N148" s="361"/>
      <c r="O148" s="374" t="s">
        <v>115</v>
      </c>
      <c r="P148" s="361">
        <v>558000000</v>
      </c>
      <c r="Q148" s="361"/>
      <c r="R148" s="387"/>
      <c r="S148" s="388">
        <v>35000000</v>
      </c>
      <c r="T148" s="361"/>
      <c r="U148" s="367">
        <v>44066</v>
      </c>
      <c r="V148" s="367">
        <v>44430</v>
      </c>
      <c r="W148" s="361" t="s">
        <v>250</v>
      </c>
      <c r="X148" s="361"/>
      <c r="Y148" s="361"/>
      <c r="Z148" s="361"/>
      <c r="AA148" s="361"/>
      <c r="AB148" s="361"/>
      <c r="AC148" s="159"/>
      <c r="AD148" s="361" t="s">
        <v>1034</v>
      </c>
      <c r="AE148" s="364">
        <v>4500014682</v>
      </c>
      <c r="AF148" s="364"/>
      <c r="AG148" s="361"/>
      <c r="AH148" s="365"/>
      <c r="AI148" s="361"/>
      <c r="AJ148" s="361"/>
      <c r="AK148" s="361"/>
      <c r="AL148" s="361"/>
      <c r="AM148" s="361"/>
      <c r="AN148" s="361"/>
      <c r="AO148" s="361"/>
      <c r="AP148" s="361"/>
      <c r="AQ148" s="361"/>
      <c r="AR148" s="503"/>
      <c r="AS148" s="489"/>
      <c r="AT148" s="160"/>
      <c r="AU148" s="355"/>
    </row>
    <row r="149" spans="1:47" s="124" customFormat="1" ht="21.75" hidden="1" customHeight="1">
      <c r="A149" s="331">
        <v>148</v>
      </c>
      <c r="B149" s="173" t="s">
        <v>1035</v>
      </c>
      <c r="C149" s="361" t="s">
        <v>1036</v>
      </c>
      <c r="D149" s="436" t="s">
        <v>1037</v>
      </c>
      <c r="E149" s="361" t="str">
        <f t="shared" si="2"/>
        <v>LOSS</v>
      </c>
      <c r="F149" s="361"/>
      <c r="G149" s="361"/>
      <c r="H149" s="361" t="s">
        <v>327</v>
      </c>
      <c r="I149" s="160" t="s">
        <v>346</v>
      </c>
      <c r="J149" s="361" t="s">
        <v>1038</v>
      </c>
      <c r="K149" s="365"/>
      <c r="L149" s="361"/>
      <c r="M149" s="361"/>
      <c r="N149" s="361"/>
      <c r="O149" s="374" t="s">
        <v>115</v>
      </c>
      <c r="P149" s="361">
        <v>114545448</v>
      </c>
      <c r="Q149" s="361"/>
      <c r="R149" s="387"/>
      <c r="S149" s="388">
        <v>10890000</v>
      </c>
      <c r="T149" s="361"/>
      <c r="U149" s="367">
        <v>44153</v>
      </c>
      <c r="V149" s="367">
        <v>44517</v>
      </c>
      <c r="W149" s="361" t="s">
        <v>250</v>
      </c>
      <c r="X149" s="361"/>
      <c r="Y149" s="361"/>
      <c r="Z149" s="361"/>
      <c r="AA149" s="361"/>
      <c r="AB149" s="361"/>
      <c r="AC149" s="159"/>
      <c r="AD149" s="368"/>
      <c r="AE149" s="364">
        <v>4500015363</v>
      </c>
      <c r="AF149" s="364"/>
      <c r="AG149" s="361"/>
      <c r="AH149" s="365"/>
      <c r="AI149" s="361"/>
      <c r="AJ149" s="361"/>
      <c r="AK149" s="361"/>
      <c r="AL149" s="361"/>
      <c r="AM149" s="361"/>
      <c r="AN149" s="361"/>
      <c r="AO149" s="361"/>
      <c r="AP149" s="361"/>
      <c r="AQ149" s="361"/>
      <c r="AR149" s="503"/>
      <c r="AS149" s="489"/>
      <c r="AT149" s="160"/>
      <c r="AU149" s="355"/>
    </row>
    <row r="150" spans="1:47" s="124" customFormat="1" ht="21.75" hidden="1" customHeight="1">
      <c r="A150" s="331">
        <v>149</v>
      </c>
      <c r="B150" s="28" t="s">
        <v>635</v>
      </c>
      <c r="C150" s="361" t="s">
        <v>1039</v>
      </c>
      <c r="D150" s="435" t="s">
        <v>1008</v>
      </c>
      <c r="E150" s="361" t="str">
        <f t="shared" si="2"/>
        <v>LOSS</v>
      </c>
      <c r="F150" s="361"/>
      <c r="G150" s="361"/>
      <c r="H150" s="361" t="s">
        <v>327</v>
      </c>
      <c r="I150" s="361" t="s">
        <v>242</v>
      </c>
      <c r="J150" s="361" t="s">
        <v>779</v>
      </c>
      <c r="K150" s="365"/>
      <c r="L150" s="361"/>
      <c r="M150" s="361"/>
      <c r="N150" s="361"/>
      <c r="O150" s="374" t="s">
        <v>115</v>
      </c>
      <c r="P150" s="376" t="s">
        <v>115</v>
      </c>
      <c r="Q150" s="361"/>
      <c r="R150" s="390" t="s">
        <v>115</v>
      </c>
      <c r="S150" s="388">
        <v>12000000</v>
      </c>
      <c r="T150" s="361"/>
      <c r="U150" s="367">
        <v>43886</v>
      </c>
      <c r="V150" s="367">
        <v>44251</v>
      </c>
      <c r="W150" s="361" t="s">
        <v>250</v>
      </c>
      <c r="X150" s="361"/>
      <c r="Y150" s="361"/>
      <c r="Z150" s="361"/>
      <c r="AA150" s="361"/>
      <c r="AB150" s="361"/>
      <c r="AC150" s="159"/>
      <c r="AD150" s="368"/>
      <c r="AE150" s="364">
        <v>4500013999</v>
      </c>
      <c r="AF150" s="364"/>
      <c r="AG150" s="361"/>
      <c r="AH150" s="365"/>
      <c r="AI150" s="361"/>
      <c r="AJ150" s="361"/>
      <c r="AK150" s="361"/>
      <c r="AL150" s="361"/>
      <c r="AM150" s="361"/>
      <c r="AN150" s="361"/>
      <c r="AO150" s="361"/>
      <c r="AP150" s="361"/>
      <c r="AQ150" s="361"/>
      <c r="AR150" s="503"/>
      <c r="AS150" s="489"/>
      <c r="AT150" s="160"/>
      <c r="AU150" s="355"/>
    </row>
    <row r="151" spans="1:47" s="124" customFormat="1" ht="21.75" hidden="1" customHeight="1">
      <c r="A151" s="331">
        <v>150</v>
      </c>
      <c r="B151" s="361" t="s">
        <v>1040</v>
      </c>
      <c r="C151" s="361" t="s">
        <v>1041</v>
      </c>
      <c r="D151" s="436" t="s">
        <v>1042</v>
      </c>
      <c r="E151" s="361" t="str">
        <f t="shared" si="2"/>
        <v>LOSS</v>
      </c>
      <c r="F151" s="361"/>
      <c r="G151" s="361"/>
      <c r="H151" s="361" t="s">
        <v>327</v>
      </c>
      <c r="I151" s="160" t="s">
        <v>346</v>
      </c>
      <c r="J151" s="361"/>
      <c r="K151" s="365"/>
      <c r="L151" s="361"/>
      <c r="M151" s="361"/>
      <c r="N151" s="361"/>
      <c r="O151" s="374" t="s">
        <v>115</v>
      </c>
      <c r="P151" s="376" t="s">
        <v>115</v>
      </c>
      <c r="Q151" s="361"/>
      <c r="R151" s="390" t="s">
        <v>115</v>
      </c>
      <c r="S151" s="388">
        <v>16666668</v>
      </c>
      <c r="T151" s="361"/>
      <c r="U151" s="367">
        <v>44169</v>
      </c>
      <c r="V151" s="367">
        <v>44533</v>
      </c>
      <c r="W151" s="361" t="s">
        <v>250</v>
      </c>
      <c r="X151" s="361"/>
      <c r="Y151" s="361"/>
      <c r="Z151" s="361"/>
      <c r="AA151" s="361"/>
      <c r="AB151" s="361"/>
      <c r="AC151" s="159"/>
      <c r="AD151" s="368"/>
      <c r="AE151" s="364">
        <v>4500015606</v>
      </c>
      <c r="AF151" s="364"/>
      <c r="AG151" s="361"/>
      <c r="AH151" s="365"/>
      <c r="AI151" s="361"/>
      <c r="AJ151" s="361"/>
      <c r="AK151" s="361"/>
      <c r="AL151" s="361"/>
      <c r="AM151" s="361"/>
      <c r="AN151" s="361"/>
      <c r="AO151" s="361"/>
      <c r="AP151" s="361"/>
      <c r="AQ151" s="361"/>
      <c r="AR151" s="503"/>
      <c r="AS151" s="489"/>
      <c r="AT151" s="160"/>
      <c r="AU151" s="355"/>
    </row>
    <row r="152" spans="1:47" s="124" customFormat="1" ht="21.75" hidden="1" customHeight="1">
      <c r="A152" s="331">
        <v>151</v>
      </c>
      <c r="B152" s="361" t="s">
        <v>542</v>
      </c>
      <c r="C152" s="361" t="s">
        <v>1043</v>
      </c>
      <c r="D152" s="435" t="s">
        <v>989</v>
      </c>
      <c r="E152" s="361" t="str">
        <f t="shared" si="2"/>
        <v>LOSS</v>
      </c>
      <c r="F152" s="361"/>
      <c r="G152" s="361"/>
      <c r="H152" s="361" t="s">
        <v>327</v>
      </c>
      <c r="I152" s="160" t="s">
        <v>346</v>
      </c>
      <c r="J152" s="361" t="s">
        <v>1044</v>
      </c>
      <c r="K152" s="365"/>
      <c r="L152" s="361"/>
      <c r="M152" s="361"/>
      <c r="N152" s="361"/>
      <c r="O152" s="374" t="s">
        <v>115</v>
      </c>
      <c r="P152" s="376">
        <v>276000000</v>
      </c>
      <c r="Q152" s="361"/>
      <c r="R152" s="390" t="s">
        <v>115</v>
      </c>
      <c r="S152" s="388">
        <v>108000000</v>
      </c>
      <c r="T152" s="361"/>
      <c r="U152" s="367">
        <v>44289</v>
      </c>
      <c r="V152" s="367">
        <v>44653</v>
      </c>
      <c r="W152" s="361" t="s">
        <v>250</v>
      </c>
      <c r="X152" s="361"/>
      <c r="Y152" s="361"/>
      <c r="Z152" s="361"/>
      <c r="AA152" s="361"/>
      <c r="AB152" s="361"/>
      <c r="AC152" s="159"/>
      <c r="AD152" s="368"/>
      <c r="AE152" s="364">
        <v>4500015428</v>
      </c>
      <c r="AF152" s="364"/>
      <c r="AG152" s="361"/>
      <c r="AH152" s="365"/>
      <c r="AI152" s="361"/>
      <c r="AJ152" s="361"/>
      <c r="AK152" s="361"/>
      <c r="AL152" s="361"/>
      <c r="AM152" s="361"/>
      <c r="AN152" s="361"/>
      <c r="AO152" s="361"/>
      <c r="AP152" s="361"/>
      <c r="AQ152" s="361"/>
      <c r="AR152" s="503"/>
      <c r="AS152" s="489"/>
      <c r="AT152" s="160"/>
      <c r="AU152" s="355"/>
    </row>
    <row r="153" spans="1:47" s="124" customFormat="1" ht="21.75" hidden="1" customHeight="1">
      <c r="A153" s="331">
        <v>152</v>
      </c>
      <c r="B153" s="361" t="s">
        <v>348</v>
      </c>
      <c r="C153" s="361" t="s">
        <v>1045</v>
      </c>
      <c r="D153" s="436" t="s">
        <v>1046</v>
      </c>
      <c r="E153" s="361" t="str">
        <f t="shared" si="2"/>
        <v>LOSS</v>
      </c>
      <c r="F153" s="361"/>
      <c r="G153" s="361"/>
      <c r="H153" s="361" t="s">
        <v>839</v>
      </c>
      <c r="I153" s="361" t="s">
        <v>242</v>
      </c>
      <c r="J153" s="361" t="s">
        <v>1047</v>
      </c>
      <c r="K153" s="365"/>
      <c r="L153" s="361"/>
      <c r="M153" s="361"/>
      <c r="N153" s="361"/>
      <c r="O153" s="374" t="s">
        <v>115</v>
      </c>
      <c r="P153" s="361">
        <v>4251745800</v>
      </c>
      <c r="Q153" s="361"/>
      <c r="R153" s="390" t="s">
        <v>115</v>
      </c>
      <c r="S153" s="388">
        <v>1275024444</v>
      </c>
      <c r="T153" s="361"/>
      <c r="U153" s="367">
        <v>44105</v>
      </c>
      <c r="V153" s="367">
        <v>44469</v>
      </c>
      <c r="W153" s="361" t="s">
        <v>250</v>
      </c>
      <c r="X153" s="361"/>
      <c r="Y153" s="361"/>
      <c r="Z153" s="361"/>
      <c r="AA153" s="361"/>
      <c r="AB153" s="361"/>
      <c r="AC153" s="159"/>
      <c r="AD153" s="361" t="s">
        <v>1048</v>
      </c>
      <c r="AE153" s="364">
        <v>4500015634</v>
      </c>
      <c r="AF153" s="364"/>
      <c r="AG153" s="361"/>
      <c r="AH153" s="365"/>
      <c r="AI153" s="361"/>
      <c r="AJ153" s="361"/>
      <c r="AK153" s="361"/>
      <c r="AL153" s="361"/>
      <c r="AM153" s="361"/>
      <c r="AN153" s="361"/>
      <c r="AO153" s="361"/>
      <c r="AP153" s="361"/>
      <c r="AQ153" s="361"/>
      <c r="AR153" s="503"/>
      <c r="AS153" s="489"/>
      <c r="AT153" s="160"/>
      <c r="AU153" s="355"/>
    </row>
    <row r="154" spans="1:47" s="124" customFormat="1" ht="21.75" hidden="1" customHeight="1">
      <c r="A154" s="331">
        <v>153</v>
      </c>
      <c r="B154" s="361" t="s">
        <v>542</v>
      </c>
      <c r="C154" s="361" t="s">
        <v>1043</v>
      </c>
      <c r="D154" s="435" t="s">
        <v>989</v>
      </c>
      <c r="E154" s="361" t="str">
        <f t="shared" si="2"/>
        <v>LOSS</v>
      </c>
      <c r="F154" s="361"/>
      <c r="G154" s="361"/>
      <c r="H154" s="361" t="s">
        <v>327</v>
      </c>
      <c r="I154" s="160" t="s">
        <v>346</v>
      </c>
      <c r="J154" s="361" t="s">
        <v>1049</v>
      </c>
      <c r="K154" s="365"/>
      <c r="L154" s="361"/>
      <c r="M154" s="361"/>
      <c r="N154" s="361"/>
      <c r="O154" s="374" t="s">
        <v>115</v>
      </c>
      <c r="P154" s="361">
        <v>216000000</v>
      </c>
      <c r="Q154" s="361"/>
      <c r="R154" s="390" t="s">
        <v>115</v>
      </c>
      <c r="S154" s="388">
        <v>108000000</v>
      </c>
      <c r="T154" s="361"/>
      <c r="U154" s="367">
        <v>44197</v>
      </c>
      <c r="V154" s="367">
        <v>44561</v>
      </c>
      <c r="W154" s="361" t="s">
        <v>250</v>
      </c>
      <c r="X154" s="361"/>
      <c r="Y154" s="361"/>
      <c r="Z154" s="361"/>
      <c r="AA154" s="361"/>
      <c r="AB154" s="361"/>
      <c r="AC154" s="159"/>
      <c r="AD154" s="368"/>
      <c r="AE154" s="364">
        <v>4500015428</v>
      </c>
      <c r="AF154" s="364"/>
      <c r="AG154" s="361"/>
      <c r="AH154" s="365"/>
      <c r="AI154" s="361"/>
      <c r="AJ154" s="361"/>
      <c r="AK154" s="361"/>
      <c r="AL154" s="361"/>
      <c r="AM154" s="361"/>
      <c r="AN154" s="361"/>
      <c r="AO154" s="361"/>
      <c r="AP154" s="361"/>
      <c r="AQ154" s="361"/>
      <c r="AR154" s="503"/>
      <c r="AS154" s="489"/>
      <c r="AT154" s="160"/>
      <c r="AU154" s="355"/>
    </row>
    <row r="155" spans="1:47" s="124" customFormat="1" ht="21.75" hidden="1" customHeight="1">
      <c r="A155" s="331">
        <v>154</v>
      </c>
      <c r="B155" s="361" t="s">
        <v>623</v>
      </c>
      <c r="C155" s="361" t="s">
        <v>1050</v>
      </c>
      <c r="D155" s="436" t="s">
        <v>859</v>
      </c>
      <c r="E155" s="361" t="str">
        <f t="shared" si="2"/>
        <v>LOSS</v>
      </c>
      <c r="F155" s="361"/>
      <c r="G155" s="361"/>
      <c r="H155" s="361" t="s">
        <v>327</v>
      </c>
      <c r="I155" s="160" t="s">
        <v>346</v>
      </c>
      <c r="J155" s="361"/>
      <c r="K155" s="365"/>
      <c r="L155" s="361"/>
      <c r="M155" s="361"/>
      <c r="N155" s="361"/>
      <c r="O155" s="374" t="s">
        <v>115</v>
      </c>
      <c r="P155" s="361">
        <v>270000000</v>
      </c>
      <c r="Q155" s="361"/>
      <c r="R155" s="390" t="s">
        <v>115</v>
      </c>
      <c r="S155" s="388">
        <v>171000000</v>
      </c>
      <c r="T155" s="361"/>
      <c r="U155" s="367">
        <v>44197</v>
      </c>
      <c r="V155" s="367">
        <v>44561</v>
      </c>
      <c r="W155" s="361" t="s">
        <v>250</v>
      </c>
      <c r="X155" s="361"/>
      <c r="Y155" s="361"/>
      <c r="Z155" s="361"/>
      <c r="AA155" s="361"/>
      <c r="AB155" s="361"/>
      <c r="AC155" s="159"/>
      <c r="AD155" s="361" t="s">
        <v>1051</v>
      </c>
      <c r="AE155" s="364"/>
      <c r="AF155" s="364"/>
      <c r="AG155" s="361"/>
      <c r="AH155" s="365"/>
      <c r="AI155" s="361"/>
      <c r="AJ155" s="361"/>
      <c r="AK155" s="361"/>
      <c r="AL155" s="361"/>
      <c r="AM155" s="361"/>
      <c r="AN155" s="361"/>
      <c r="AO155" s="361"/>
      <c r="AP155" s="361"/>
      <c r="AQ155" s="361"/>
      <c r="AR155" s="503"/>
      <c r="AS155" s="489"/>
      <c r="AT155" s="160"/>
      <c r="AU155" s="355"/>
    </row>
    <row r="156" spans="1:47" s="124" customFormat="1" ht="21.75" hidden="1" customHeight="1">
      <c r="A156" s="331">
        <v>155</v>
      </c>
      <c r="B156" s="391" t="s">
        <v>1052</v>
      </c>
      <c r="C156" s="391" t="s">
        <v>1053</v>
      </c>
      <c r="D156" s="439" t="s">
        <v>611</v>
      </c>
      <c r="E156" s="361" t="str">
        <f t="shared" si="2"/>
        <v>LOSS</v>
      </c>
      <c r="F156" s="391"/>
      <c r="G156" s="391" t="s">
        <v>1054</v>
      </c>
      <c r="H156" s="391" t="s">
        <v>839</v>
      </c>
      <c r="I156" s="391" t="s">
        <v>242</v>
      </c>
      <c r="J156" s="391" t="s">
        <v>933</v>
      </c>
      <c r="K156" s="392"/>
      <c r="L156" s="391"/>
      <c r="M156" s="391"/>
      <c r="N156" s="391"/>
      <c r="O156" s="393"/>
      <c r="P156" s="394">
        <v>182400000</v>
      </c>
      <c r="Q156" s="395"/>
      <c r="R156" s="395"/>
      <c r="S156" s="395"/>
      <c r="T156" s="391"/>
      <c r="U156" s="396">
        <v>44083</v>
      </c>
      <c r="V156" s="396">
        <v>44447</v>
      </c>
      <c r="W156" s="361" t="s">
        <v>250</v>
      </c>
      <c r="X156" s="391"/>
      <c r="Y156" s="391"/>
      <c r="Z156" s="361"/>
      <c r="AA156" s="391"/>
      <c r="AB156" s="391"/>
      <c r="AC156" s="159"/>
      <c r="AD156" s="368"/>
      <c r="AE156" s="397">
        <v>4500015027</v>
      </c>
      <c r="AF156" s="364"/>
      <c r="AG156" s="361"/>
      <c r="AH156" s="365"/>
      <c r="AI156" s="361"/>
      <c r="AJ156" s="361"/>
      <c r="AK156" s="361"/>
      <c r="AL156" s="361"/>
      <c r="AM156" s="361"/>
      <c r="AN156" s="361"/>
      <c r="AO156" s="361"/>
      <c r="AP156" s="361"/>
      <c r="AQ156" s="361"/>
      <c r="AR156" s="503"/>
      <c r="AS156" s="489"/>
      <c r="AT156" s="160"/>
      <c r="AU156" s="355"/>
    </row>
    <row r="157" spans="1:47" s="124" customFormat="1" ht="21.75" hidden="1" customHeight="1">
      <c r="A157" s="331">
        <v>156</v>
      </c>
      <c r="B157" s="391" t="s">
        <v>1052</v>
      </c>
      <c r="C157" s="391" t="s">
        <v>931</v>
      </c>
      <c r="D157" s="439" t="s">
        <v>611</v>
      </c>
      <c r="E157" s="361" t="str">
        <f t="shared" si="2"/>
        <v>LOSS</v>
      </c>
      <c r="F157" s="391"/>
      <c r="G157" s="391"/>
      <c r="H157" s="391" t="s">
        <v>839</v>
      </c>
      <c r="I157" s="160" t="s">
        <v>346</v>
      </c>
      <c r="J157" s="391" t="s">
        <v>933</v>
      </c>
      <c r="K157" s="392"/>
      <c r="L157" s="391"/>
      <c r="M157" s="391"/>
      <c r="N157" s="391"/>
      <c r="O157" s="393"/>
      <c r="P157" s="394">
        <v>182400000</v>
      </c>
      <c r="Q157" s="395"/>
      <c r="R157" s="395"/>
      <c r="S157" s="395"/>
      <c r="T157" s="391"/>
      <c r="U157" s="396">
        <v>44080</v>
      </c>
      <c r="V157" s="396">
        <v>44444</v>
      </c>
      <c r="W157" s="361" t="s">
        <v>250</v>
      </c>
      <c r="X157" s="391"/>
      <c r="Y157" s="391"/>
      <c r="Z157" s="361"/>
      <c r="AA157" s="391"/>
      <c r="AB157" s="391"/>
      <c r="AC157" s="159"/>
      <c r="AD157" s="368"/>
      <c r="AE157" s="397">
        <v>4500015025</v>
      </c>
      <c r="AF157" s="364"/>
      <c r="AG157" s="361"/>
      <c r="AH157" s="365"/>
      <c r="AI157" s="361"/>
      <c r="AJ157" s="361"/>
      <c r="AK157" s="361"/>
      <c r="AL157" s="361"/>
      <c r="AM157" s="361"/>
      <c r="AN157" s="361"/>
      <c r="AO157" s="361"/>
      <c r="AP157" s="361"/>
      <c r="AQ157" s="361"/>
      <c r="AR157" s="503"/>
      <c r="AS157" s="489"/>
      <c r="AT157" s="160"/>
      <c r="AU157" s="355"/>
    </row>
    <row r="158" spans="1:47" s="124" customFormat="1" ht="21.75" hidden="1" customHeight="1">
      <c r="A158" s="331">
        <v>157</v>
      </c>
      <c r="B158" s="361" t="s">
        <v>962</v>
      </c>
      <c r="C158" s="361" t="s">
        <v>1055</v>
      </c>
      <c r="D158" s="435" t="s">
        <v>1056</v>
      </c>
      <c r="E158" s="361" t="str">
        <f t="shared" si="2"/>
        <v>LOSS</v>
      </c>
      <c r="F158" s="361"/>
      <c r="G158" s="361"/>
      <c r="H158" s="361" t="s">
        <v>839</v>
      </c>
      <c r="I158" s="361" t="s">
        <v>242</v>
      </c>
      <c r="J158" s="361" t="s">
        <v>1057</v>
      </c>
      <c r="K158" s="365"/>
      <c r="L158" s="361"/>
      <c r="M158" s="361"/>
      <c r="N158" s="361"/>
      <c r="O158" s="382">
        <v>3500000</v>
      </c>
      <c r="P158" s="398">
        <v>330000000</v>
      </c>
      <c r="Q158" s="383"/>
      <c r="R158" s="383">
        <v>1000000</v>
      </c>
      <c r="S158" s="383">
        <v>9000000</v>
      </c>
      <c r="T158" s="361"/>
      <c r="U158" s="367">
        <v>44120</v>
      </c>
      <c r="V158" s="367">
        <v>44484</v>
      </c>
      <c r="W158" s="361" t="s">
        <v>250</v>
      </c>
      <c r="X158" s="361"/>
      <c r="Y158" s="361"/>
      <c r="Z158" s="361"/>
      <c r="AA158" s="361"/>
      <c r="AB158" s="361"/>
      <c r="AC158" s="159"/>
      <c r="AD158" s="361" t="s">
        <v>1058</v>
      </c>
      <c r="AE158" s="364">
        <v>4500015136</v>
      </c>
      <c r="AF158" s="364"/>
      <c r="AG158" s="361"/>
      <c r="AH158" s="365"/>
      <c r="AI158" s="361"/>
      <c r="AJ158" s="361"/>
      <c r="AK158" s="361"/>
      <c r="AL158" s="361"/>
      <c r="AM158" s="361"/>
      <c r="AN158" s="361"/>
      <c r="AO158" s="361"/>
      <c r="AP158" s="361"/>
      <c r="AQ158" s="361"/>
      <c r="AR158" s="503"/>
      <c r="AS158" s="489"/>
      <c r="AT158" s="160"/>
      <c r="AU158" s="355"/>
    </row>
    <row r="159" spans="1:47" s="124" customFormat="1" ht="21.75" hidden="1" customHeight="1">
      <c r="A159" s="331">
        <v>158</v>
      </c>
      <c r="B159" s="361" t="s">
        <v>1052</v>
      </c>
      <c r="C159" s="361" t="s">
        <v>1059</v>
      </c>
      <c r="D159" s="436" t="s">
        <v>611</v>
      </c>
      <c r="E159" s="361" t="str">
        <f t="shared" si="2"/>
        <v>LOSS</v>
      </c>
      <c r="F159" s="361"/>
      <c r="G159" s="361"/>
      <c r="H159" s="361" t="s">
        <v>839</v>
      </c>
      <c r="I159" s="361" t="s">
        <v>242</v>
      </c>
      <c r="J159" s="361" t="s">
        <v>1060</v>
      </c>
      <c r="K159" s="365"/>
      <c r="L159" s="361"/>
      <c r="M159" s="361"/>
      <c r="N159" s="361"/>
      <c r="O159" s="382">
        <v>4000000</v>
      </c>
      <c r="P159" s="398">
        <v>228000000</v>
      </c>
      <c r="Q159" s="383"/>
      <c r="R159" s="383">
        <v>3000000</v>
      </c>
      <c r="S159" s="383">
        <v>6000000</v>
      </c>
      <c r="T159" s="361"/>
      <c r="U159" s="367">
        <v>44118</v>
      </c>
      <c r="V159" s="367">
        <v>44482</v>
      </c>
      <c r="W159" s="361" t="s">
        <v>250</v>
      </c>
      <c r="X159" s="361"/>
      <c r="Y159" s="361"/>
      <c r="Z159" s="361"/>
      <c r="AA159" s="361"/>
      <c r="AB159" s="361"/>
      <c r="AC159" s="159"/>
      <c r="AD159" s="365" t="s">
        <v>1061</v>
      </c>
      <c r="AE159" s="364">
        <v>4500015135</v>
      </c>
      <c r="AF159" s="364"/>
      <c r="AG159" s="361"/>
      <c r="AH159" s="365"/>
      <c r="AI159" s="361"/>
      <c r="AJ159" s="361"/>
      <c r="AK159" s="361"/>
      <c r="AL159" s="361"/>
      <c r="AM159" s="361"/>
      <c r="AN159" s="361"/>
      <c r="AO159" s="361"/>
      <c r="AP159" s="361"/>
      <c r="AQ159" s="361"/>
      <c r="AR159" s="503"/>
      <c r="AS159" s="489"/>
      <c r="AT159" s="160"/>
      <c r="AU159" s="355"/>
    </row>
    <row r="160" spans="1:47" s="124" customFormat="1" ht="21.75" hidden="1" customHeight="1">
      <c r="A160" s="331">
        <v>159</v>
      </c>
      <c r="B160" s="361" t="s">
        <v>1062</v>
      </c>
      <c r="C160" s="361" t="s">
        <v>1063</v>
      </c>
      <c r="D160" s="435" t="s">
        <v>544</v>
      </c>
      <c r="E160" s="361" t="str">
        <f t="shared" si="2"/>
        <v>LOSS</v>
      </c>
      <c r="F160" s="361"/>
      <c r="G160" s="361"/>
      <c r="H160" s="361" t="s">
        <v>839</v>
      </c>
      <c r="I160" s="160" t="s">
        <v>346</v>
      </c>
      <c r="J160" s="361" t="s">
        <v>1064</v>
      </c>
      <c r="K160" s="365"/>
      <c r="L160" s="361"/>
      <c r="M160" s="361"/>
      <c r="N160" s="361"/>
      <c r="O160" s="382"/>
      <c r="P160" s="398">
        <v>192000000</v>
      </c>
      <c r="Q160" s="383"/>
      <c r="R160" s="383"/>
      <c r="S160" s="383">
        <v>29300000</v>
      </c>
      <c r="T160" s="361"/>
      <c r="U160" s="367">
        <v>43831</v>
      </c>
      <c r="V160" s="367">
        <v>44196</v>
      </c>
      <c r="W160" s="361" t="s">
        <v>250</v>
      </c>
      <c r="X160" s="361"/>
      <c r="Y160" s="361"/>
      <c r="Z160" s="361"/>
      <c r="AA160" s="361"/>
      <c r="AB160" s="361"/>
      <c r="AC160" s="159"/>
      <c r="AD160" s="365" t="s">
        <v>1065</v>
      </c>
      <c r="AE160" s="364">
        <v>4500014599</v>
      </c>
      <c r="AF160" s="364"/>
      <c r="AG160" s="361"/>
      <c r="AH160" s="365"/>
      <c r="AI160" s="361"/>
      <c r="AJ160" s="361"/>
      <c r="AK160" s="361"/>
      <c r="AL160" s="361"/>
      <c r="AM160" s="361"/>
      <c r="AN160" s="361"/>
      <c r="AO160" s="361"/>
      <c r="AP160" s="361"/>
      <c r="AQ160" s="361"/>
      <c r="AR160" s="503"/>
      <c r="AS160" s="489"/>
      <c r="AT160" s="160"/>
      <c r="AU160" s="355"/>
    </row>
    <row r="161" spans="1:47" s="124" customFormat="1" ht="21.75" hidden="1" customHeight="1">
      <c r="A161" s="331">
        <v>160</v>
      </c>
      <c r="B161" s="28" t="s">
        <v>230</v>
      </c>
      <c r="C161" s="361" t="s">
        <v>527</v>
      </c>
      <c r="D161" s="436" t="s">
        <v>1066</v>
      </c>
      <c r="E161" s="361" t="str">
        <f t="shared" si="2"/>
        <v>LOSS</v>
      </c>
      <c r="F161" s="361"/>
      <c r="G161" s="361"/>
      <c r="H161" s="361" t="s">
        <v>839</v>
      </c>
      <c r="I161" s="160" t="s">
        <v>346</v>
      </c>
      <c r="J161" s="361" t="s">
        <v>231</v>
      </c>
      <c r="K161" s="365"/>
      <c r="L161" s="361"/>
      <c r="M161" s="361"/>
      <c r="N161" s="361"/>
      <c r="O161" s="382"/>
      <c r="P161" s="398">
        <v>34800000</v>
      </c>
      <c r="Q161" s="383"/>
      <c r="R161" s="383"/>
      <c r="S161" s="383">
        <v>13200000</v>
      </c>
      <c r="T161" s="361"/>
      <c r="U161" s="367">
        <v>44000</v>
      </c>
      <c r="V161" s="367">
        <v>44364</v>
      </c>
      <c r="W161" s="361" t="s">
        <v>250</v>
      </c>
      <c r="X161" s="361"/>
      <c r="Y161" s="361"/>
      <c r="Z161" s="361"/>
      <c r="AA161" s="361"/>
      <c r="AB161" s="361"/>
      <c r="AC161" s="159"/>
      <c r="AD161" s="365" t="s">
        <v>1067</v>
      </c>
      <c r="AE161" s="364">
        <v>4500014749</v>
      </c>
      <c r="AF161" s="364"/>
      <c r="AG161" s="361"/>
      <c r="AH161" s="365"/>
      <c r="AI161" s="361"/>
      <c r="AJ161" s="361"/>
      <c r="AK161" s="361"/>
      <c r="AL161" s="361"/>
      <c r="AM161" s="361"/>
      <c r="AN161" s="361"/>
      <c r="AO161" s="361"/>
      <c r="AP161" s="361"/>
      <c r="AQ161" s="361"/>
      <c r="AR161" s="503"/>
      <c r="AS161" s="489"/>
      <c r="AT161" s="160"/>
      <c r="AU161" s="355"/>
    </row>
    <row r="162" spans="1:47" s="124" customFormat="1" ht="21.75" hidden="1" customHeight="1">
      <c r="A162" s="331">
        <v>161</v>
      </c>
      <c r="B162" s="28" t="s">
        <v>44</v>
      </c>
      <c r="C162" s="391" t="s">
        <v>1068</v>
      </c>
      <c r="D162" s="435" t="s">
        <v>1069</v>
      </c>
      <c r="E162" s="361" t="str">
        <f t="shared" si="2"/>
        <v>LOSS</v>
      </c>
      <c r="F162" s="361"/>
      <c r="G162" s="361"/>
      <c r="H162" s="361" t="s">
        <v>839</v>
      </c>
      <c r="I162" s="160" t="s">
        <v>346</v>
      </c>
      <c r="J162" s="361" t="s">
        <v>47</v>
      </c>
      <c r="K162" s="365"/>
      <c r="L162" s="361"/>
      <c r="M162" s="361"/>
      <c r="N162" s="361"/>
      <c r="O162" s="382"/>
      <c r="P162" s="398">
        <v>582000000</v>
      </c>
      <c r="Q162" s="383"/>
      <c r="R162" s="383">
        <v>1000000</v>
      </c>
      <c r="S162" s="383">
        <v>12000000</v>
      </c>
      <c r="T162" s="361"/>
      <c r="U162" s="367">
        <v>44092</v>
      </c>
      <c r="V162" s="367">
        <v>44456</v>
      </c>
      <c r="W162" s="361" t="s">
        <v>250</v>
      </c>
      <c r="X162" s="361"/>
      <c r="Y162" s="361"/>
      <c r="Z162" s="361"/>
      <c r="AA162" s="361"/>
      <c r="AB162" s="361"/>
      <c r="AC162" s="159"/>
      <c r="AD162" s="365" t="s">
        <v>1070</v>
      </c>
      <c r="AE162" s="364">
        <v>4500015137</v>
      </c>
      <c r="AF162" s="364"/>
      <c r="AG162" s="361"/>
      <c r="AH162" s="365"/>
      <c r="AI162" s="361"/>
      <c r="AJ162" s="361"/>
      <c r="AK162" s="361"/>
      <c r="AL162" s="361"/>
      <c r="AM162" s="361"/>
      <c r="AN162" s="361"/>
      <c r="AO162" s="361"/>
      <c r="AP162" s="361"/>
      <c r="AQ162" s="361"/>
      <c r="AR162" s="503"/>
      <c r="AS162" s="489"/>
      <c r="AT162" s="160"/>
      <c r="AU162" s="355"/>
    </row>
    <row r="163" spans="1:47" s="124" customFormat="1" ht="21.75" hidden="1" customHeight="1">
      <c r="A163" s="331">
        <v>162</v>
      </c>
      <c r="B163" s="263" t="s">
        <v>1071</v>
      </c>
      <c r="C163" s="361" t="s">
        <v>1072</v>
      </c>
      <c r="D163" s="436" t="s">
        <v>1073</v>
      </c>
      <c r="E163" s="361" t="str">
        <f t="shared" si="2"/>
        <v>LOSS</v>
      </c>
      <c r="F163" s="361"/>
      <c r="G163" s="361"/>
      <c r="H163" s="361" t="s">
        <v>839</v>
      </c>
      <c r="I163" s="160" t="s">
        <v>346</v>
      </c>
      <c r="J163" s="361" t="s">
        <v>1074</v>
      </c>
      <c r="K163" s="365"/>
      <c r="L163" s="361"/>
      <c r="M163" s="361"/>
      <c r="N163" s="361"/>
      <c r="O163" s="382"/>
      <c r="P163" s="398">
        <v>51600000</v>
      </c>
      <c r="Q163" s="383"/>
      <c r="R163" s="383"/>
      <c r="S163" s="383">
        <v>88330000</v>
      </c>
      <c r="T163" s="361"/>
      <c r="U163" s="367">
        <v>44044</v>
      </c>
      <c r="V163" s="367">
        <v>44408</v>
      </c>
      <c r="W163" s="361" t="s">
        <v>250</v>
      </c>
      <c r="X163" s="361"/>
      <c r="Y163" s="361"/>
      <c r="Z163" s="361"/>
      <c r="AA163" s="361"/>
      <c r="AB163" s="361"/>
      <c r="AC163" s="159"/>
      <c r="AD163" s="365" t="s">
        <v>1075</v>
      </c>
      <c r="AE163" s="364">
        <v>4500014817</v>
      </c>
      <c r="AF163" s="364"/>
      <c r="AG163" s="361"/>
      <c r="AH163" s="365"/>
      <c r="AI163" s="361"/>
      <c r="AJ163" s="361"/>
      <c r="AK163" s="361"/>
      <c r="AL163" s="361"/>
      <c r="AM163" s="361"/>
      <c r="AN163" s="361"/>
      <c r="AO163" s="361"/>
      <c r="AP163" s="361"/>
      <c r="AQ163" s="361"/>
      <c r="AR163" s="503"/>
      <c r="AS163" s="489"/>
      <c r="AT163" s="160"/>
      <c r="AU163" s="355"/>
    </row>
    <row r="164" spans="1:47" s="124" customFormat="1" ht="21.75" hidden="1" customHeight="1">
      <c r="A164" s="331">
        <v>163</v>
      </c>
      <c r="B164" s="263" t="s">
        <v>1076</v>
      </c>
      <c r="C164" s="361" t="s">
        <v>1077</v>
      </c>
      <c r="D164" s="435" t="s">
        <v>1078</v>
      </c>
      <c r="E164" s="361" t="str">
        <f t="shared" si="2"/>
        <v>LOSS</v>
      </c>
      <c r="F164" s="361"/>
      <c r="G164" s="361"/>
      <c r="H164" s="361" t="s">
        <v>839</v>
      </c>
      <c r="I164" s="160" t="s">
        <v>346</v>
      </c>
      <c r="J164" s="361" t="s">
        <v>1079</v>
      </c>
      <c r="K164" s="365"/>
      <c r="L164" s="361"/>
      <c r="M164" s="361"/>
      <c r="N164" s="361"/>
      <c r="O164" s="382"/>
      <c r="P164" s="398">
        <v>74181816</v>
      </c>
      <c r="Q164" s="383"/>
      <c r="R164" s="383"/>
      <c r="S164" s="383">
        <v>38500000</v>
      </c>
      <c r="T164" s="361"/>
      <c r="U164" s="367">
        <v>44013</v>
      </c>
      <c r="V164" s="367">
        <v>44377</v>
      </c>
      <c r="W164" s="361" t="s">
        <v>250</v>
      </c>
      <c r="X164" s="361"/>
      <c r="Y164" s="361"/>
      <c r="Z164" s="361"/>
      <c r="AA164" s="361"/>
      <c r="AB164" s="361"/>
      <c r="AC164" s="159"/>
      <c r="AD164" s="365" t="s">
        <v>1080</v>
      </c>
      <c r="AE164" s="399">
        <v>4500014595</v>
      </c>
      <c r="AF164" s="364"/>
      <c r="AG164" s="361"/>
      <c r="AH164" s="365"/>
      <c r="AI164" s="361"/>
      <c r="AJ164" s="361"/>
      <c r="AK164" s="361"/>
      <c r="AL164" s="361"/>
      <c r="AM164" s="361"/>
      <c r="AN164" s="361"/>
      <c r="AO164" s="361"/>
      <c r="AP164" s="361"/>
      <c r="AQ164" s="361"/>
      <c r="AR164" s="503"/>
      <c r="AS164" s="489"/>
      <c r="AT164" s="160"/>
      <c r="AU164" s="355"/>
    </row>
    <row r="165" spans="1:47" s="124" customFormat="1" ht="21.75" hidden="1" customHeight="1">
      <c r="A165" s="331">
        <v>164</v>
      </c>
      <c r="B165" s="361" t="s">
        <v>1081</v>
      </c>
      <c r="C165" s="361" t="s">
        <v>1082</v>
      </c>
      <c r="D165" s="436" t="s">
        <v>572</v>
      </c>
      <c r="E165" s="361" t="str">
        <f t="shared" si="2"/>
        <v>LOSS</v>
      </c>
      <c r="F165" s="361"/>
      <c r="G165" s="361"/>
      <c r="H165" s="361" t="s">
        <v>839</v>
      </c>
      <c r="I165" s="361" t="s">
        <v>346</v>
      </c>
      <c r="J165" s="361" t="s">
        <v>1083</v>
      </c>
      <c r="K165" s="365"/>
      <c r="L165" s="361"/>
      <c r="M165" s="361"/>
      <c r="N165" s="361"/>
      <c r="O165" s="382"/>
      <c r="P165" s="398">
        <v>228000000</v>
      </c>
      <c r="Q165" s="383"/>
      <c r="R165" s="383"/>
      <c r="S165" s="383">
        <v>22550000</v>
      </c>
      <c r="T165" s="361"/>
      <c r="U165" s="367">
        <v>44033</v>
      </c>
      <c r="V165" s="367">
        <v>44397</v>
      </c>
      <c r="W165" s="361" t="s">
        <v>250</v>
      </c>
      <c r="X165" s="361"/>
      <c r="Y165" s="361"/>
      <c r="Z165" s="361"/>
      <c r="AA165" s="361"/>
      <c r="AB165" s="361"/>
      <c r="AC165" s="159"/>
      <c r="AD165" s="365" t="s">
        <v>1084</v>
      </c>
      <c r="AE165" s="364">
        <v>4500014584</v>
      </c>
      <c r="AF165" s="364"/>
      <c r="AG165" s="361"/>
      <c r="AH165" s="365"/>
      <c r="AI165" s="361"/>
      <c r="AJ165" s="361"/>
      <c r="AK165" s="361"/>
      <c r="AL165" s="361"/>
      <c r="AM165" s="361"/>
      <c r="AN165" s="361"/>
      <c r="AO165" s="361"/>
      <c r="AP165" s="361"/>
      <c r="AQ165" s="361"/>
      <c r="AR165" s="503"/>
      <c r="AS165" s="489"/>
      <c r="AT165" s="160"/>
      <c r="AU165" s="355"/>
    </row>
    <row r="166" spans="1:47" s="124" customFormat="1" ht="21.75" hidden="1" customHeight="1">
      <c r="A166" s="331">
        <v>165</v>
      </c>
      <c r="B166" s="28" t="s">
        <v>966</v>
      </c>
      <c r="C166" s="361" t="s">
        <v>1085</v>
      </c>
      <c r="D166" s="435" t="s">
        <v>1086</v>
      </c>
      <c r="E166" s="361" t="str">
        <f t="shared" si="2"/>
        <v>LOSS</v>
      </c>
      <c r="F166" s="361"/>
      <c r="G166" s="361"/>
      <c r="H166" s="361" t="s">
        <v>839</v>
      </c>
      <c r="I166" s="160" t="s">
        <v>346</v>
      </c>
      <c r="J166" s="361" t="s">
        <v>1087</v>
      </c>
      <c r="K166" s="365"/>
      <c r="L166" s="361"/>
      <c r="M166" s="361"/>
      <c r="N166" s="361"/>
      <c r="O166" s="382"/>
      <c r="P166" s="383">
        <v>42000000</v>
      </c>
      <c r="Q166" s="383"/>
      <c r="R166" s="383"/>
      <c r="S166" s="383">
        <v>15000000</v>
      </c>
      <c r="T166" s="361"/>
      <c r="U166" s="367">
        <v>44137</v>
      </c>
      <c r="V166" s="367">
        <v>44501</v>
      </c>
      <c r="W166" s="361" t="s">
        <v>250</v>
      </c>
      <c r="X166" s="361"/>
      <c r="Y166" s="361"/>
      <c r="Z166" s="361"/>
      <c r="AA166" s="361"/>
      <c r="AB166" s="361"/>
      <c r="AC166" s="159"/>
      <c r="AD166" s="365" t="s">
        <v>1088</v>
      </c>
      <c r="AE166" s="364">
        <v>4500014888</v>
      </c>
      <c r="AF166" s="364"/>
      <c r="AG166" s="361"/>
      <c r="AH166" s="365"/>
      <c r="AI166" s="361"/>
      <c r="AJ166" s="361"/>
      <c r="AK166" s="361"/>
      <c r="AL166" s="361"/>
      <c r="AM166" s="361"/>
      <c r="AN166" s="361"/>
      <c r="AO166" s="361"/>
      <c r="AP166" s="361"/>
      <c r="AQ166" s="361"/>
      <c r="AR166" s="503"/>
      <c r="AS166" s="489"/>
      <c r="AT166" s="160"/>
      <c r="AU166" s="355"/>
    </row>
    <row r="167" spans="1:47" s="124" customFormat="1" ht="21.75" hidden="1" customHeight="1">
      <c r="A167" s="331">
        <v>166</v>
      </c>
      <c r="B167" s="159" t="s">
        <v>645</v>
      </c>
      <c r="C167" s="391" t="s">
        <v>555</v>
      </c>
      <c r="D167" s="439" t="s">
        <v>646</v>
      </c>
      <c r="E167" s="361" t="str">
        <f t="shared" si="2"/>
        <v>LOSS</v>
      </c>
      <c r="F167" s="391"/>
      <c r="G167" s="391"/>
      <c r="H167" s="391" t="s">
        <v>839</v>
      </c>
      <c r="I167" s="160" t="s">
        <v>346</v>
      </c>
      <c r="J167" s="391" t="s">
        <v>1089</v>
      </c>
      <c r="K167" s="392"/>
      <c r="L167" s="391"/>
      <c r="M167" s="391"/>
      <c r="N167" s="391"/>
      <c r="O167" s="393"/>
      <c r="P167" s="395">
        <v>54000000</v>
      </c>
      <c r="Q167" s="395"/>
      <c r="R167" s="395"/>
      <c r="S167" s="395">
        <v>14000000</v>
      </c>
      <c r="T167" s="391"/>
      <c r="U167" s="396">
        <v>44086</v>
      </c>
      <c r="V167" s="396">
        <v>44450</v>
      </c>
      <c r="W167" s="361" t="s">
        <v>250</v>
      </c>
      <c r="X167" s="391"/>
      <c r="Y167" s="391"/>
      <c r="Z167" s="361"/>
      <c r="AA167" s="391"/>
      <c r="AB167" s="391"/>
      <c r="AC167" s="159"/>
      <c r="AD167" s="400"/>
      <c r="AE167" s="397">
        <v>4500014892</v>
      </c>
      <c r="AF167" s="364"/>
      <c r="AG167" s="361"/>
      <c r="AH167" s="365"/>
      <c r="AI167" s="361"/>
      <c r="AJ167" s="361"/>
      <c r="AK167" s="361"/>
      <c r="AL167" s="361"/>
      <c r="AM167" s="361"/>
      <c r="AN167" s="361"/>
      <c r="AO167" s="361"/>
      <c r="AP167" s="361"/>
      <c r="AQ167" s="361"/>
      <c r="AR167" s="503"/>
      <c r="AS167" s="489"/>
      <c r="AT167" s="160"/>
      <c r="AU167" s="355"/>
    </row>
    <row r="168" spans="1:47" s="124" customFormat="1" ht="21.75" hidden="1" customHeight="1">
      <c r="A168" s="331">
        <v>167</v>
      </c>
      <c r="B168" s="28" t="s">
        <v>119</v>
      </c>
      <c r="C168" s="361" t="s">
        <v>948</v>
      </c>
      <c r="D168" s="435" t="s">
        <v>597</v>
      </c>
      <c r="E168" s="361" t="str">
        <f t="shared" si="2"/>
        <v>LOSS</v>
      </c>
      <c r="F168" s="361"/>
      <c r="G168" s="361"/>
      <c r="H168" s="361" t="s">
        <v>839</v>
      </c>
      <c r="I168" s="160" t="s">
        <v>346</v>
      </c>
      <c r="J168" s="361" t="s">
        <v>1090</v>
      </c>
      <c r="K168" s="365"/>
      <c r="L168" s="361"/>
      <c r="M168" s="361"/>
      <c r="N168" s="361"/>
      <c r="O168" s="382">
        <v>19500000</v>
      </c>
      <c r="P168" s="398">
        <v>180000000</v>
      </c>
      <c r="Q168" s="383"/>
      <c r="R168" s="383"/>
      <c r="S168" s="383">
        <v>54000000</v>
      </c>
      <c r="T168" s="361"/>
      <c r="U168" s="367">
        <v>43961</v>
      </c>
      <c r="V168" s="367">
        <v>44325</v>
      </c>
      <c r="W168" s="361" t="s">
        <v>250</v>
      </c>
      <c r="X168" s="361"/>
      <c r="Y168" s="361"/>
      <c r="Z168" s="361"/>
      <c r="AA168" s="361"/>
      <c r="AB168" s="361"/>
      <c r="AC168" s="159"/>
      <c r="AD168" s="365" t="s">
        <v>1091</v>
      </c>
      <c r="AE168" s="364">
        <v>4500016393</v>
      </c>
      <c r="AF168" s="364"/>
      <c r="AG168" s="361"/>
      <c r="AH168" s="365"/>
      <c r="AI168" s="361"/>
      <c r="AJ168" s="361"/>
      <c r="AK168" s="361"/>
      <c r="AL168" s="361"/>
      <c r="AM168" s="361"/>
      <c r="AN168" s="361"/>
      <c r="AO168" s="361"/>
      <c r="AP168" s="361"/>
      <c r="AQ168" s="361"/>
      <c r="AR168" s="503"/>
      <c r="AS168" s="489"/>
      <c r="AT168" s="160"/>
      <c r="AU168" s="355"/>
    </row>
    <row r="169" spans="1:47" s="124" customFormat="1" ht="21.75" hidden="1" customHeight="1">
      <c r="A169" s="331">
        <v>168</v>
      </c>
      <c r="B169" s="391" t="s">
        <v>1092</v>
      </c>
      <c r="C169" s="391" t="s">
        <v>1093</v>
      </c>
      <c r="D169" s="439" t="s">
        <v>1094</v>
      </c>
      <c r="E169" s="361" t="str">
        <f t="shared" si="2"/>
        <v>LOSS</v>
      </c>
      <c r="F169" s="391"/>
      <c r="G169" s="391"/>
      <c r="H169" s="391" t="s">
        <v>839</v>
      </c>
      <c r="I169" s="391" t="s">
        <v>242</v>
      </c>
      <c r="J169" s="391" t="s">
        <v>1095</v>
      </c>
      <c r="K169" s="392"/>
      <c r="L169" s="391"/>
      <c r="M169" s="391"/>
      <c r="N169" s="391"/>
      <c r="O169" s="393">
        <v>2500000</v>
      </c>
      <c r="P169" s="395">
        <v>45600000</v>
      </c>
      <c r="Q169" s="395"/>
      <c r="R169" s="395">
        <v>1500000</v>
      </c>
      <c r="S169" s="395">
        <v>4800000</v>
      </c>
      <c r="T169" s="391"/>
      <c r="U169" s="396">
        <v>44018</v>
      </c>
      <c r="V169" s="396">
        <v>44382</v>
      </c>
      <c r="W169" s="361" t="s">
        <v>250</v>
      </c>
      <c r="X169" s="391"/>
      <c r="Y169" s="391"/>
      <c r="Z169" s="361"/>
      <c r="AA169" s="391"/>
      <c r="AB169" s="391"/>
      <c r="AC169" s="159"/>
      <c r="AD169" s="368"/>
      <c r="AE169" s="397">
        <v>4500014812</v>
      </c>
      <c r="AF169" s="364"/>
      <c r="AG169" s="361"/>
      <c r="AH169" s="365"/>
      <c r="AI169" s="361"/>
      <c r="AJ169" s="361"/>
      <c r="AK169" s="361"/>
      <c r="AL169" s="361"/>
      <c r="AM169" s="361"/>
      <c r="AN169" s="361"/>
      <c r="AO169" s="361"/>
      <c r="AP169" s="361"/>
      <c r="AQ169" s="361"/>
      <c r="AR169" s="503"/>
      <c r="AS169" s="489"/>
      <c r="AT169" s="160"/>
      <c r="AU169" s="355"/>
    </row>
    <row r="170" spans="1:47" s="124" customFormat="1" ht="21.75" hidden="1" customHeight="1">
      <c r="A170" s="331">
        <v>169</v>
      </c>
      <c r="B170" s="361" t="s">
        <v>1096</v>
      </c>
      <c r="C170" s="361" t="s">
        <v>1097</v>
      </c>
      <c r="D170" s="435" t="s">
        <v>523</v>
      </c>
      <c r="E170" s="361" t="str">
        <f t="shared" si="2"/>
        <v>LOSS</v>
      </c>
      <c r="F170" s="361"/>
      <c r="G170" s="361"/>
      <c r="H170" s="361" t="s">
        <v>839</v>
      </c>
      <c r="I170" s="160" t="s">
        <v>346</v>
      </c>
      <c r="J170" s="361" t="s">
        <v>1098</v>
      </c>
      <c r="K170" s="365"/>
      <c r="L170" s="361"/>
      <c r="M170" s="361"/>
      <c r="N170" s="361"/>
      <c r="O170" s="382"/>
      <c r="P170" s="398">
        <v>290400000</v>
      </c>
      <c r="Q170" s="383"/>
      <c r="R170" s="383"/>
      <c r="S170" s="383">
        <v>36000000</v>
      </c>
      <c r="T170" s="361"/>
      <c r="U170" s="367">
        <v>44075</v>
      </c>
      <c r="V170" s="367">
        <v>44439</v>
      </c>
      <c r="W170" s="361" t="s">
        <v>250</v>
      </c>
      <c r="X170" s="361"/>
      <c r="Y170" s="361"/>
      <c r="Z170" s="361"/>
      <c r="AA170" s="361"/>
      <c r="AB170" s="361"/>
      <c r="AC170" s="159"/>
      <c r="AD170" s="365" t="s">
        <v>1099</v>
      </c>
      <c r="AE170" s="364">
        <v>4500014387</v>
      </c>
      <c r="AF170" s="364"/>
      <c r="AG170" s="361"/>
      <c r="AH170" s="365"/>
      <c r="AI170" s="361"/>
      <c r="AJ170" s="361"/>
      <c r="AK170" s="361"/>
      <c r="AL170" s="361"/>
      <c r="AM170" s="361"/>
      <c r="AN170" s="361"/>
      <c r="AO170" s="361"/>
      <c r="AP170" s="361"/>
      <c r="AQ170" s="361"/>
      <c r="AR170" s="503"/>
      <c r="AS170" s="489"/>
      <c r="AT170" s="160"/>
      <c r="AU170" s="355"/>
    </row>
    <row r="171" spans="1:47" s="124" customFormat="1" ht="21.75" hidden="1" customHeight="1">
      <c r="A171" s="331">
        <v>170</v>
      </c>
      <c r="B171" s="391" t="s">
        <v>71</v>
      </c>
      <c r="C171" s="391" t="s">
        <v>1100</v>
      </c>
      <c r="D171" s="436" t="s">
        <v>572</v>
      </c>
      <c r="E171" s="361" t="str">
        <f t="shared" si="2"/>
        <v>LOSS</v>
      </c>
      <c r="F171" s="361"/>
      <c r="G171" s="361"/>
      <c r="H171" s="361" t="s">
        <v>839</v>
      </c>
      <c r="I171" s="361" t="s">
        <v>242</v>
      </c>
      <c r="J171" s="361" t="s">
        <v>1101</v>
      </c>
      <c r="K171" s="365"/>
      <c r="L171" s="361"/>
      <c r="M171" s="361"/>
      <c r="N171" s="361"/>
      <c r="O171" s="382"/>
      <c r="P171" s="383">
        <v>66000000</v>
      </c>
      <c r="Q171" s="383"/>
      <c r="R171" s="383"/>
      <c r="S171" s="383">
        <v>36000000</v>
      </c>
      <c r="T171" s="361"/>
      <c r="U171" s="367">
        <v>44059</v>
      </c>
      <c r="V171" s="367">
        <v>44423</v>
      </c>
      <c r="W171" s="361" t="s">
        <v>250</v>
      </c>
      <c r="X171" s="361"/>
      <c r="Y171" s="361"/>
      <c r="Z171" s="361"/>
      <c r="AA171" s="361"/>
      <c r="AB171" s="361"/>
      <c r="AC171" s="159"/>
      <c r="AD171" s="365" t="s">
        <v>1102</v>
      </c>
      <c r="AE171" s="397">
        <v>4500014787</v>
      </c>
      <c r="AF171" s="364"/>
      <c r="AG171" s="361"/>
      <c r="AH171" s="365"/>
      <c r="AI171" s="361"/>
      <c r="AJ171" s="361"/>
      <c r="AK171" s="361"/>
      <c r="AL171" s="361"/>
      <c r="AM171" s="361"/>
      <c r="AN171" s="361"/>
      <c r="AO171" s="361"/>
      <c r="AP171" s="361"/>
      <c r="AQ171" s="361"/>
      <c r="AR171" s="503"/>
      <c r="AS171" s="489"/>
      <c r="AT171" s="160"/>
      <c r="AU171" s="355"/>
    </row>
    <row r="172" spans="1:47" s="124" customFormat="1" ht="21.75" hidden="1" customHeight="1">
      <c r="A172" s="331">
        <v>171</v>
      </c>
      <c r="B172" s="159" t="s">
        <v>1103</v>
      </c>
      <c r="C172" s="361" t="s">
        <v>1104</v>
      </c>
      <c r="D172" s="437" t="s">
        <v>1105</v>
      </c>
      <c r="E172" s="361" t="str">
        <f t="shared" si="2"/>
        <v>LOSS</v>
      </c>
      <c r="F172" s="361"/>
      <c r="G172" s="361"/>
      <c r="H172" s="361" t="s">
        <v>839</v>
      </c>
      <c r="I172" s="160" t="s">
        <v>346</v>
      </c>
      <c r="J172" s="361" t="s">
        <v>190</v>
      </c>
      <c r="K172" s="365"/>
      <c r="L172" s="361"/>
      <c r="M172" s="361"/>
      <c r="N172" s="361"/>
      <c r="O172" s="382"/>
      <c r="P172" s="383">
        <v>72000000</v>
      </c>
      <c r="Q172" s="383"/>
      <c r="R172" s="383"/>
      <c r="S172" s="383">
        <v>29000000</v>
      </c>
      <c r="T172" s="361"/>
      <c r="U172" s="367">
        <v>43864</v>
      </c>
      <c r="V172" s="367">
        <v>44229</v>
      </c>
      <c r="W172" s="361" t="s">
        <v>250</v>
      </c>
      <c r="X172" s="361"/>
      <c r="Y172" s="361"/>
      <c r="Z172" s="361"/>
      <c r="AA172" s="361"/>
      <c r="AB172" s="361"/>
      <c r="AC172" s="159"/>
      <c r="AD172" s="365" t="s">
        <v>1106</v>
      </c>
      <c r="AE172" s="364">
        <v>4500014005</v>
      </c>
      <c r="AF172" s="364"/>
      <c r="AG172" s="361"/>
      <c r="AH172" s="365"/>
      <c r="AI172" s="361"/>
      <c r="AJ172" s="361"/>
      <c r="AK172" s="361"/>
      <c r="AL172" s="361"/>
      <c r="AM172" s="361"/>
      <c r="AN172" s="361"/>
      <c r="AO172" s="361"/>
      <c r="AP172" s="361"/>
      <c r="AQ172" s="361"/>
      <c r="AR172" s="503"/>
      <c r="AS172" s="489"/>
      <c r="AT172" s="160"/>
      <c r="AU172" s="355"/>
    </row>
    <row r="173" spans="1:47" s="124" customFormat="1" ht="21.75" hidden="1" customHeight="1">
      <c r="A173" s="331">
        <v>172</v>
      </c>
      <c r="B173" s="28" t="s">
        <v>179</v>
      </c>
      <c r="C173" s="361" t="s">
        <v>1107</v>
      </c>
      <c r="D173" s="436" t="s">
        <v>560</v>
      </c>
      <c r="E173" s="361" t="str">
        <f t="shared" si="2"/>
        <v>LOSS</v>
      </c>
      <c r="F173" s="361"/>
      <c r="G173" s="361"/>
      <c r="H173" s="361" t="s">
        <v>839</v>
      </c>
      <c r="I173" s="160" t="s">
        <v>346</v>
      </c>
      <c r="J173" s="361" t="s">
        <v>1108</v>
      </c>
      <c r="K173" s="365"/>
      <c r="L173" s="361"/>
      <c r="M173" s="361"/>
      <c r="N173" s="361"/>
      <c r="O173" s="382"/>
      <c r="P173" s="401">
        <v>285600000</v>
      </c>
      <c r="Q173" s="383"/>
      <c r="R173" s="383">
        <v>2500000</v>
      </c>
      <c r="S173" s="383">
        <v>54500000</v>
      </c>
      <c r="T173" s="361"/>
      <c r="U173" s="367">
        <v>44023</v>
      </c>
      <c r="V173" s="367">
        <v>44387</v>
      </c>
      <c r="W173" s="361" t="s">
        <v>250</v>
      </c>
      <c r="X173" s="361"/>
      <c r="Y173" s="361"/>
      <c r="Z173" s="361"/>
      <c r="AA173" s="361"/>
      <c r="AB173" s="361"/>
      <c r="AC173" s="159"/>
      <c r="AD173" s="365" t="s">
        <v>1109</v>
      </c>
      <c r="AE173" s="364">
        <v>4500014668</v>
      </c>
      <c r="AF173" s="364"/>
      <c r="AG173" s="361"/>
      <c r="AH173" s="365"/>
      <c r="AI173" s="361"/>
      <c r="AJ173" s="361"/>
      <c r="AK173" s="361"/>
      <c r="AL173" s="361"/>
      <c r="AM173" s="361"/>
      <c r="AN173" s="361"/>
      <c r="AO173" s="361"/>
      <c r="AP173" s="361"/>
      <c r="AQ173" s="361"/>
      <c r="AR173" s="503"/>
      <c r="AS173" s="489"/>
      <c r="AT173" s="160"/>
      <c r="AU173" s="355"/>
    </row>
    <row r="174" spans="1:47" s="124" customFormat="1" ht="21.75" hidden="1" customHeight="1">
      <c r="A174" s="331">
        <v>173</v>
      </c>
      <c r="B174" s="361" t="s">
        <v>400</v>
      </c>
      <c r="C174" s="361" t="s">
        <v>1043</v>
      </c>
      <c r="D174" s="435" t="s">
        <v>539</v>
      </c>
      <c r="E174" s="361" t="str">
        <f t="shared" si="2"/>
        <v>LOSS</v>
      </c>
      <c r="F174" s="361"/>
      <c r="G174" s="361"/>
      <c r="H174" s="361" t="s">
        <v>839</v>
      </c>
      <c r="I174" s="160" t="s">
        <v>346</v>
      </c>
      <c r="J174" s="361" t="s">
        <v>1110</v>
      </c>
      <c r="K174" s="365"/>
      <c r="L174" s="361"/>
      <c r="M174" s="361"/>
      <c r="N174" s="361"/>
      <c r="O174" s="382"/>
      <c r="P174" s="401">
        <v>780000000</v>
      </c>
      <c r="Q174" s="383"/>
      <c r="R174" s="383"/>
      <c r="S174" s="383">
        <v>42500000</v>
      </c>
      <c r="T174" s="361"/>
      <c r="U174" s="367">
        <v>43961</v>
      </c>
      <c r="V174" s="367">
        <v>44325</v>
      </c>
      <c r="W174" s="361" t="s">
        <v>250</v>
      </c>
      <c r="X174" s="361"/>
      <c r="Y174" s="361"/>
      <c r="Z174" s="361"/>
      <c r="AA174" s="361"/>
      <c r="AB174" s="361"/>
      <c r="AC174" s="159"/>
      <c r="AD174" s="365" t="s">
        <v>1111</v>
      </c>
      <c r="AE174" s="364">
        <v>4500014574</v>
      </c>
      <c r="AF174" s="364"/>
      <c r="AG174" s="361"/>
      <c r="AH174" s="365"/>
      <c r="AI174" s="361"/>
      <c r="AJ174" s="361"/>
      <c r="AK174" s="361"/>
      <c r="AL174" s="361"/>
      <c r="AM174" s="361"/>
      <c r="AN174" s="361"/>
      <c r="AO174" s="361"/>
      <c r="AP174" s="361"/>
      <c r="AQ174" s="361"/>
      <c r="AR174" s="503"/>
      <c r="AS174" s="489"/>
      <c r="AT174" s="160"/>
      <c r="AU174" s="355"/>
    </row>
    <row r="175" spans="1:47" s="124" customFormat="1" ht="21.75" hidden="1" customHeight="1">
      <c r="A175" s="331">
        <v>174</v>
      </c>
      <c r="B175" s="361" t="s">
        <v>1112</v>
      </c>
      <c r="C175" s="361" t="s">
        <v>1113</v>
      </c>
      <c r="D175" s="436" t="s">
        <v>1114</v>
      </c>
      <c r="E175" s="361" t="str">
        <f t="shared" si="2"/>
        <v>LOSS</v>
      </c>
      <c r="F175" s="361"/>
      <c r="G175" s="361"/>
      <c r="H175" s="361" t="s">
        <v>839</v>
      </c>
      <c r="I175" s="160" t="s">
        <v>346</v>
      </c>
      <c r="J175" s="361" t="s">
        <v>60</v>
      </c>
      <c r="K175" s="365"/>
      <c r="L175" s="361"/>
      <c r="M175" s="361"/>
      <c r="N175" s="361"/>
      <c r="O175" s="382"/>
      <c r="P175" s="383">
        <v>36000000</v>
      </c>
      <c r="Q175" s="383"/>
      <c r="R175" s="383"/>
      <c r="S175" s="383">
        <v>17500000</v>
      </c>
      <c r="T175" s="361"/>
      <c r="U175" s="367">
        <v>43922</v>
      </c>
      <c r="V175" s="367">
        <v>44286</v>
      </c>
      <c r="W175" s="361" t="s">
        <v>250</v>
      </c>
      <c r="X175" s="361"/>
      <c r="Y175" s="361"/>
      <c r="Z175" s="361"/>
      <c r="AA175" s="361"/>
      <c r="AB175" s="361"/>
      <c r="AC175" s="159"/>
      <c r="AD175" s="365" t="s">
        <v>1115</v>
      </c>
      <c r="AE175" s="364">
        <v>4500013903</v>
      </c>
      <c r="AF175" s="364"/>
      <c r="AG175" s="361"/>
      <c r="AH175" s="365"/>
      <c r="AI175" s="361"/>
      <c r="AJ175" s="361"/>
      <c r="AK175" s="361"/>
      <c r="AL175" s="361"/>
      <c r="AM175" s="361"/>
      <c r="AN175" s="361"/>
      <c r="AO175" s="361"/>
      <c r="AP175" s="361"/>
      <c r="AQ175" s="361"/>
      <c r="AR175" s="503"/>
      <c r="AS175" s="489"/>
      <c r="AT175" s="160"/>
      <c r="AU175" s="355"/>
    </row>
    <row r="176" spans="1:47" s="124" customFormat="1" ht="21.75" hidden="1" customHeight="1">
      <c r="A176" s="331">
        <v>175</v>
      </c>
      <c r="B176" s="391" t="s">
        <v>1052</v>
      </c>
      <c r="C176" s="361" t="s">
        <v>1116</v>
      </c>
      <c r="D176" s="435" t="s">
        <v>611</v>
      </c>
      <c r="E176" s="361" t="str">
        <f t="shared" si="2"/>
        <v>LOSS</v>
      </c>
      <c r="F176" s="361"/>
      <c r="G176" s="361"/>
      <c r="H176" s="361" t="s">
        <v>839</v>
      </c>
      <c r="I176" s="361" t="s">
        <v>242</v>
      </c>
      <c r="J176" s="361" t="s">
        <v>1117</v>
      </c>
      <c r="K176" s="365"/>
      <c r="L176" s="361"/>
      <c r="M176" s="361"/>
      <c r="N176" s="361"/>
      <c r="O176" s="382">
        <v>17300000</v>
      </c>
      <c r="P176" s="398">
        <v>205200000</v>
      </c>
      <c r="Q176" s="383"/>
      <c r="R176" s="383">
        <v>4000000</v>
      </c>
      <c r="S176" s="383">
        <v>24000000</v>
      </c>
      <c r="T176" s="361"/>
      <c r="U176" s="367">
        <v>43987</v>
      </c>
      <c r="V176" s="367">
        <v>44351</v>
      </c>
      <c r="W176" s="361" t="s">
        <v>250</v>
      </c>
      <c r="X176" s="361"/>
      <c r="Y176" s="361"/>
      <c r="Z176" s="361"/>
      <c r="AA176" s="361"/>
      <c r="AB176" s="361"/>
      <c r="AC176" s="159"/>
      <c r="AD176" s="365" t="s">
        <v>1118</v>
      </c>
      <c r="AE176" s="364">
        <v>4500014282</v>
      </c>
      <c r="AF176" s="364"/>
      <c r="AG176" s="361"/>
      <c r="AH176" s="365"/>
      <c r="AI176" s="361"/>
      <c r="AJ176" s="361"/>
      <c r="AK176" s="361"/>
      <c r="AL176" s="361"/>
      <c r="AM176" s="361"/>
      <c r="AN176" s="361"/>
      <c r="AO176" s="361"/>
      <c r="AP176" s="361"/>
      <c r="AQ176" s="361"/>
      <c r="AR176" s="503"/>
      <c r="AS176" s="489"/>
      <c r="AT176" s="160"/>
      <c r="AU176" s="355"/>
    </row>
    <row r="177" spans="1:47" s="124" customFormat="1" ht="21.75" hidden="1" customHeight="1">
      <c r="A177" s="331">
        <v>176</v>
      </c>
      <c r="B177" s="28" t="s">
        <v>143</v>
      </c>
      <c r="C177" s="361" t="s">
        <v>527</v>
      </c>
      <c r="D177" s="437" t="s">
        <v>1119</v>
      </c>
      <c r="E177" s="361" t="str">
        <f t="shared" si="2"/>
        <v>LOSS</v>
      </c>
      <c r="F177" s="361"/>
      <c r="G177" s="361"/>
      <c r="H177" s="361" t="s">
        <v>839</v>
      </c>
      <c r="I177" s="160" t="s">
        <v>346</v>
      </c>
      <c r="J177" s="361" t="s">
        <v>1011</v>
      </c>
      <c r="K177" s="365"/>
      <c r="L177" s="361"/>
      <c r="M177" s="361"/>
      <c r="N177" s="361"/>
      <c r="O177" s="382"/>
      <c r="P177" s="383">
        <v>34800000</v>
      </c>
      <c r="Q177" s="383"/>
      <c r="R177" s="383"/>
      <c r="S177" s="383">
        <v>12500000</v>
      </c>
      <c r="T177" s="361"/>
      <c r="U177" s="367">
        <v>43862</v>
      </c>
      <c r="V177" s="367">
        <v>44227</v>
      </c>
      <c r="W177" s="361" t="s">
        <v>250</v>
      </c>
      <c r="X177" s="361"/>
      <c r="Y177" s="361"/>
      <c r="Z177" s="361"/>
      <c r="AA177" s="361"/>
      <c r="AB177" s="361"/>
      <c r="AC177" s="159"/>
      <c r="AD177" s="365" t="s">
        <v>1120</v>
      </c>
      <c r="AE177" s="364">
        <v>4500014000</v>
      </c>
      <c r="AF177" s="364"/>
      <c r="AG177" s="361"/>
      <c r="AH177" s="365"/>
      <c r="AI177" s="361"/>
      <c r="AJ177" s="361"/>
      <c r="AK177" s="361"/>
      <c r="AL177" s="361"/>
      <c r="AM177" s="361"/>
      <c r="AN177" s="361"/>
      <c r="AO177" s="361"/>
      <c r="AP177" s="361"/>
      <c r="AQ177" s="361"/>
      <c r="AR177" s="503"/>
      <c r="AS177" s="489"/>
      <c r="AT177" s="160"/>
      <c r="AU177" s="355"/>
    </row>
    <row r="178" spans="1:47" s="124" customFormat="1" ht="21.75" hidden="1" customHeight="1">
      <c r="A178" s="331">
        <v>177</v>
      </c>
      <c r="B178" s="391" t="s">
        <v>1121</v>
      </c>
      <c r="C178" s="391" t="s">
        <v>1122</v>
      </c>
      <c r="D178" s="439" t="s">
        <v>625</v>
      </c>
      <c r="E178" s="361" t="str">
        <f t="shared" si="2"/>
        <v>LOSS</v>
      </c>
      <c r="F178" s="391"/>
      <c r="G178" s="391"/>
      <c r="H178" s="391" t="s">
        <v>839</v>
      </c>
      <c r="I178" s="391" t="s">
        <v>242</v>
      </c>
      <c r="J178" s="391" t="s">
        <v>1123</v>
      </c>
      <c r="K178" s="392"/>
      <c r="L178" s="391"/>
      <c r="M178" s="391"/>
      <c r="N178" s="391"/>
      <c r="O178" s="393"/>
      <c r="P178" s="394">
        <v>143400000</v>
      </c>
      <c r="Q178" s="395"/>
      <c r="R178" s="395"/>
      <c r="S178" s="395">
        <v>12000000</v>
      </c>
      <c r="T178" s="391"/>
      <c r="U178" s="396">
        <v>43966</v>
      </c>
      <c r="V178" s="396">
        <v>44330</v>
      </c>
      <c r="W178" s="361" t="s">
        <v>250</v>
      </c>
      <c r="X178" s="391"/>
      <c r="Y178" s="391"/>
      <c r="Z178" s="361"/>
      <c r="AA178" s="391"/>
      <c r="AB178" s="391"/>
      <c r="AC178" s="159"/>
      <c r="AD178" s="400"/>
      <c r="AE178" s="397">
        <v>4500014192</v>
      </c>
      <c r="AF178" s="364"/>
      <c r="AG178" s="361"/>
      <c r="AH178" s="365"/>
      <c r="AI178" s="361"/>
      <c r="AJ178" s="361"/>
      <c r="AK178" s="361"/>
      <c r="AL178" s="361"/>
      <c r="AM178" s="361"/>
      <c r="AN178" s="361"/>
      <c r="AO178" s="361"/>
      <c r="AP178" s="361"/>
      <c r="AQ178" s="361"/>
      <c r="AR178" s="503"/>
      <c r="AS178" s="489"/>
      <c r="AT178" s="160"/>
      <c r="AU178" s="355"/>
    </row>
    <row r="179" spans="1:47" s="124" customFormat="1" ht="21.75" hidden="1" customHeight="1">
      <c r="A179" s="331">
        <v>178</v>
      </c>
      <c r="B179" s="391" t="s">
        <v>1121</v>
      </c>
      <c r="C179" s="361" t="s">
        <v>1124</v>
      </c>
      <c r="D179" s="439" t="s">
        <v>625</v>
      </c>
      <c r="E179" s="361" t="str">
        <f t="shared" si="2"/>
        <v>LOSS</v>
      </c>
      <c r="F179" s="361"/>
      <c r="G179" s="361"/>
      <c r="H179" s="361" t="s">
        <v>839</v>
      </c>
      <c r="I179" s="160" t="s">
        <v>346</v>
      </c>
      <c r="J179" s="361" t="s">
        <v>1125</v>
      </c>
      <c r="K179" s="365"/>
      <c r="L179" s="361"/>
      <c r="M179" s="361"/>
      <c r="N179" s="361"/>
      <c r="O179" s="382"/>
      <c r="P179" s="383">
        <v>36000000</v>
      </c>
      <c r="Q179" s="383"/>
      <c r="R179" s="383"/>
      <c r="S179" s="383">
        <v>2000000</v>
      </c>
      <c r="T179" s="361"/>
      <c r="U179" s="367">
        <v>43927</v>
      </c>
      <c r="V179" s="367">
        <v>44291</v>
      </c>
      <c r="W179" s="361" t="s">
        <v>250</v>
      </c>
      <c r="X179" s="361"/>
      <c r="Y179" s="361"/>
      <c r="Z179" s="361"/>
      <c r="AA179" s="361"/>
      <c r="AB179" s="361"/>
      <c r="AC179" s="159"/>
      <c r="AD179" s="365" t="s">
        <v>1126</v>
      </c>
      <c r="AE179" s="364">
        <v>4500014194</v>
      </c>
      <c r="AF179" s="364"/>
      <c r="AG179" s="361"/>
      <c r="AH179" s="365"/>
      <c r="AI179" s="361"/>
      <c r="AJ179" s="361"/>
      <c r="AK179" s="361"/>
      <c r="AL179" s="361"/>
      <c r="AM179" s="361"/>
      <c r="AN179" s="361"/>
      <c r="AO179" s="361"/>
      <c r="AP179" s="361"/>
      <c r="AQ179" s="361"/>
      <c r="AR179" s="503"/>
      <c r="AS179" s="489"/>
      <c r="AT179" s="160"/>
      <c r="AU179" s="355"/>
    </row>
    <row r="180" spans="1:47" s="124" customFormat="1" ht="21.75" hidden="1" customHeight="1">
      <c r="A180" s="331">
        <v>179</v>
      </c>
      <c r="B180" s="28" t="s">
        <v>635</v>
      </c>
      <c r="C180" s="361" t="s">
        <v>522</v>
      </c>
      <c r="D180" s="435" t="s">
        <v>560</v>
      </c>
      <c r="E180" s="361" t="str">
        <f t="shared" si="2"/>
        <v>LOSS</v>
      </c>
      <c r="F180" s="361"/>
      <c r="G180" s="361"/>
      <c r="H180" s="361" t="s">
        <v>839</v>
      </c>
      <c r="I180" s="361" t="s">
        <v>242</v>
      </c>
      <c r="J180" s="361" t="s">
        <v>775</v>
      </c>
      <c r="K180" s="365"/>
      <c r="L180" s="361"/>
      <c r="M180" s="361"/>
      <c r="N180" s="361"/>
      <c r="O180" s="382">
        <v>5000000</v>
      </c>
      <c r="P180" s="398">
        <v>162000000</v>
      </c>
      <c r="Q180" s="383"/>
      <c r="R180" s="383">
        <v>1500000</v>
      </c>
      <c r="S180" s="383">
        <v>33900000</v>
      </c>
      <c r="T180" s="361"/>
      <c r="U180" s="367">
        <v>44158</v>
      </c>
      <c r="V180" s="367">
        <v>44522</v>
      </c>
      <c r="W180" s="361" t="s">
        <v>250</v>
      </c>
      <c r="X180" s="361"/>
      <c r="Y180" s="361"/>
      <c r="Z180" s="361"/>
      <c r="AA180" s="361"/>
      <c r="AB180" s="361"/>
      <c r="AC180" s="159"/>
      <c r="AD180" s="365" t="s">
        <v>1127</v>
      </c>
      <c r="AE180" s="364">
        <v>4500015285</v>
      </c>
      <c r="AF180" s="364"/>
      <c r="AG180" s="361"/>
      <c r="AH180" s="365"/>
      <c r="AI180" s="361"/>
      <c r="AJ180" s="361"/>
      <c r="AK180" s="361"/>
      <c r="AL180" s="361"/>
      <c r="AM180" s="361"/>
      <c r="AN180" s="361"/>
      <c r="AO180" s="361"/>
      <c r="AP180" s="361"/>
      <c r="AQ180" s="361"/>
      <c r="AR180" s="503"/>
      <c r="AS180" s="489"/>
      <c r="AT180" s="160"/>
      <c r="AU180" s="355"/>
    </row>
    <row r="181" spans="1:47" s="124" customFormat="1" ht="21.75" hidden="1" customHeight="1">
      <c r="A181" s="331">
        <v>180</v>
      </c>
      <c r="B181" s="361" t="s">
        <v>37</v>
      </c>
      <c r="C181" s="361" t="s">
        <v>1128</v>
      </c>
      <c r="D181" s="436" t="s">
        <v>1129</v>
      </c>
      <c r="E181" s="361" t="str">
        <f t="shared" si="2"/>
        <v>LOSS</v>
      </c>
      <c r="F181" s="361"/>
      <c r="G181" s="361"/>
      <c r="H181" s="361" t="s">
        <v>839</v>
      </c>
      <c r="I181" s="361" t="s">
        <v>242</v>
      </c>
      <c r="J181" s="361" t="s">
        <v>1130</v>
      </c>
      <c r="K181" s="365"/>
      <c r="L181" s="361"/>
      <c r="M181" s="361"/>
      <c r="N181" s="361"/>
      <c r="O181" s="382">
        <v>3500000</v>
      </c>
      <c r="P181" s="401">
        <v>33000000</v>
      </c>
      <c r="Q181" s="383"/>
      <c r="R181" s="383">
        <v>2000000</v>
      </c>
      <c r="S181" s="383">
        <v>15000000</v>
      </c>
      <c r="T181" s="361"/>
      <c r="U181" s="367">
        <v>44165</v>
      </c>
      <c r="V181" s="367">
        <v>44529</v>
      </c>
      <c r="W181" s="361" t="s">
        <v>250</v>
      </c>
      <c r="X181" s="361"/>
      <c r="Y181" s="361"/>
      <c r="Z181" s="361"/>
      <c r="AA181" s="361"/>
      <c r="AB181" s="361"/>
      <c r="AC181" s="159"/>
      <c r="AD181" s="365" t="s">
        <v>1131</v>
      </c>
      <c r="AE181" s="364">
        <v>4500015410</v>
      </c>
      <c r="AF181" s="364"/>
      <c r="AG181" s="361"/>
      <c r="AH181" s="365"/>
      <c r="AI181" s="361"/>
      <c r="AJ181" s="361"/>
      <c r="AK181" s="361"/>
      <c r="AL181" s="361"/>
      <c r="AM181" s="361"/>
      <c r="AN181" s="361"/>
      <c r="AO181" s="361"/>
      <c r="AP181" s="361"/>
      <c r="AQ181" s="361"/>
      <c r="AR181" s="503"/>
      <c r="AS181" s="489"/>
      <c r="AT181" s="160"/>
      <c r="AU181" s="355"/>
    </row>
    <row r="182" spans="1:47" s="124" customFormat="1" ht="21.75" hidden="1" customHeight="1">
      <c r="A182" s="331">
        <v>181</v>
      </c>
      <c r="B182" s="391" t="s">
        <v>71</v>
      </c>
      <c r="C182" s="361" t="s">
        <v>1128</v>
      </c>
      <c r="D182" s="435" t="s">
        <v>572</v>
      </c>
      <c r="E182" s="361" t="str">
        <f t="shared" si="2"/>
        <v>LOSS</v>
      </c>
      <c r="F182" s="361"/>
      <c r="G182" s="361"/>
      <c r="H182" s="361" t="s">
        <v>839</v>
      </c>
      <c r="I182" s="361" t="s">
        <v>242</v>
      </c>
      <c r="J182" s="361" t="s">
        <v>1132</v>
      </c>
      <c r="K182" s="365"/>
      <c r="L182" s="361"/>
      <c r="M182" s="361"/>
      <c r="N182" s="361"/>
      <c r="O182" s="382">
        <v>3500000</v>
      </c>
      <c r="P182" s="383">
        <v>38400000</v>
      </c>
      <c r="Q182" s="383"/>
      <c r="R182" s="383">
        <v>1500000</v>
      </c>
      <c r="S182" s="383">
        <v>18000000</v>
      </c>
      <c r="T182" s="361"/>
      <c r="U182" s="367">
        <v>44158</v>
      </c>
      <c r="V182" s="367">
        <v>44522</v>
      </c>
      <c r="W182" s="361" t="s">
        <v>250</v>
      </c>
      <c r="X182" s="361"/>
      <c r="Y182" s="361"/>
      <c r="Z182" s="361"/>
      <c r="AA182" s="361"/>
      <c r="AB182" s="361"/>
      <c r="AC182" s="159"/>
      <c r="AD182" s="365" t="s">
        <v>1133</v>
      </c>
      <c r="AE182" s="364">
        <v>4500015378</v>
      </c>
      <c r="AF182" s="364"/>
      <c r="AG182" s="361"/>
      <c r="AH182" s="365"/>
      <c r="AI182" s="361"/>
      <c r="AJ182" s="361"/>
      <c r="AK182" s="361"/>
      <c r="AL182" s="361"/>
      <c r="AM182" s="361"/>
      <c r="AN182" s="361"/>
      <c r="AO182" s="361"/>
      <c r="AP182" s="361"/>
      <c r="AQ182" s="361"/>
      <c r="AR182" s="503"/>
      <c r="AS182" s="489"/>
      <c r="AT182" s="160"/>
      <c r="AU182" s="355"/>
    </row>
    <row r="183" spans="1:47" s="124" customFormat="1" ht="21.75" hidden="1" customHeight="1">
      <c r="A183" s="331">
        <v>182</v>
      </c>
      <c r="B183" s="391" t="s">
        <v>1052</v>
      </c>
      <c r="C183" s="361" t="s">
        <v>1134</v>
      </c>
      <c r="D183" s="436" t="s">
        <v>611</v>
      </c>
      <c r="E183" s="361" t="str">
        <f t="shared" si="2"/>
        <v>LOSS</v>
      </c>
      <c r="F183" s="361"/>
      <c r="G183" s="361"/>
      <c r="H183" s="361" t="s">
        <v>839</v>
      </c>
      <c r="I183" s="361" t="s">
        <v>242</v>
      </c>
      <c r="J183" s="361" t="s">
        <v>1135</v>
      </c>
      <c r="K183" s="365"/>
      <c r="L183" s="361"/>
      <c r="M183" s="361"/>
      <c r="N183" s="361"/>
      <c r="O183" s="382"/>
      <c r="P183" s="401">
        <v>1067040000</v>
      </c>
      <c r="Q183" s="383"/>
      <c r="R183" s="383"/>
      <c r="S183" s="402">
        <v>330900000</v>
      </c>
      <c r="T183" s="361"/>
      <c r="U183" s="367">
        <v>44083</v>
      </c>
      <c r="V183" s="367">
        <v>44447</v>
      </c>
      <c r="W183" s="361" t="s">
        <v>250</v>
      </c>
      <c r="X183" s="361"/>
      <c r="Y183" s="361"/>
      <c r="Z183" s="361"/>
      <c r="AA183" s="361"/>
      <c r="AB183" s="361"/>
      <c r="AC183" s="159"/>
      <c r="AD183" s="400"/>
      <c r="AE183" s="364">
        <v>4500015024</v>
      </c>
      <c r="AF183" s="364"/>
      <c r="AG183" s="361"/>
      <c r="AH183" s="365"/>
      <c r="AI183" s="361"/>
      <c r="AJ183" s="361"/>
      <c r="AK183" s="361"/>
      <c r="AL183" s="361"/>
      <c r="AM183" s="361"/>
      <c r="AN183" s="361"/>
      <c r="AO183" s="361"/>
      <c r="AP183" s="361"/>
      <c r="AQ183" s="361"/>
      <c r="AR183" s="503"/>
      <c r="AS183" s="489"/>
      <c r="AT183" s="160"/>
      <c r="AU183" s="355"/>
    </row>
    <row r="184" spans="1:47" s="124" customFormat="1" ht="21.75" hidden="1" customHeight="1">
      <c r="A184" s="331">
        <v>183</v>
      </c>
      <c r="B184" s="391" t="s">
        <v>1136</v>
      </c>
      <c r="C184" s="361" t="s">
        <v>1137</v>
      </c>
      <c r="D184" s="435" t="s">
        <v>1138</v>
      </c>
      <c r="E184" s="361" t="str">
        <f t="shared" si="2"/>
        <v>LOSS</v>
      </c>
      <c r="F184" s="361"/>
      <c r="G184" s="361"/>
      <c r="H184" s="361" t="s">
        <v>839</v>
      </c>
      <c r="I184" s="160" t="s">
        <v>346</v>
      </c>
      <c r="J184" s="361" t="s">
        <v>207</v>
      </c>
      <c r="K184" s="365"/>
      <c r="L184" s="361"/>
      <c r="M184" s="361"/>
      <c r="N184" s="361"/>
      <c r="O184" s="382">
        <v>10000000</v>
      </c>
      <c r="P184" s="398">
        <v>180000000</v>
      </c>
      <c r="Q184" s="383"/>
      <c r="R184" s="383"/>
      <c r="S184" s="383">
        <v>96000000</v>
      </c>
      <c r="T184" s="361"/>
      <c r="U184" s="367">
        <v>44012</v>
      </c>
      <c r="V184" s="367">
        <v>44376</v>
      </c>
      <c r="W184" s="361" t="s">
        <v>250</v>
      </c>
      <c r="X184" s="361"/>
      <c r="Y184" s="361"/>
      <c r="Z184" s="361"/>
      <c r="AA184" s="361"/>
      <c r="AB184" s="361"/>
      <c r="AC184" s="159"/>
      <c r="AD184" s="365" t="s">
        <v>1139</v>
      </c>
      <c r="AE184" s="364">
        <v>4500014791</v>
      </c>
      <c r="AF184" s="364"/>
      <c r="AG184" s="361"/>
      <c r="AH184" s="365"/>
      <c r="AI184" s="361"/>
      <c r="AJ184" s="361"/>
      <c r="AK184" s="361"/>
      <c r="AL184" s="361"/>
      <c r="AM184" s="361"/>
      <c r="AN184" s="361"/>
      <c r="AO184" s="361"/>
      <c r="AP184" s="361"/>
      <c r="AQ184" s="361"/>
      <c r="AR184" s="503"/>
      <c r="AS184" s="489"/>
      <c r="AT184" s="160"/>
      <c r="AU184" s="355"/>
    </row>
    <row r="185" spans="1:47" s="124" customFormat="1" ht="21.75" hidden="1" customHeight="1">
      <c r="A185" s="331">
        <v>184</v>
      </c>
      <c r="B185" s="28" t="s">
        <v>179</v>
      </c>
      <c r="C185" s="361" t="s">
        <v>1068</v>
      </c>
      <c r="D185" s="436" t="s">
        <v>560</v>
      </c>
      <c r="E185" s="361" t="str">
        <f t="shared" si="2"/>
        <v>LOSS</v>
      </c>
      <c r="F185" s="361"/>
      <c r="G185" s="361"/>
      <c r="H185" s="361" t="s">
        <v>839</v>
      </c>
      <c r="I185" s="361" t="s">
        <v>242</v>
      </c>
      <c r="J185" s="361" t="s">
        <v>1140</v>
      </c>
      <c r="K185" s="365"/>
      <c r="L185" s="361"/>
      <c r="M185" s="361"/>
      <c r="N185" s="361"/>
      <c r="O185" s="382">
        <v>3500000</v>
      </c>
      <c r="P185" s="398">
        <v>600000000</v>
      </c>
      <c r="Q185" s="383"/>
      <c r="R185" s="383"/>
      <c r="S185" s="383">
        <v>5000000</v>
      </c>
      <c r="T185" s="361"/>
      <c r="U185" s="367">
        <v>44055</v>
      </c>
      <c r="V185" s="367">
        <v>44419</v>
      </c>
      <c r="W185" s="361" t="s">
        <v>250</v>
      </c>
      <c r="X185" s="361"/>
      <c r="Y185" s="361"/>
      <c r="Z185" s="361"/>
      <c r="AA185" s="361"/>
      <c r="AB185" s="361"/>
      <c r="AC185" s="159"/>
      <c r="AD185" s="365" t="s">
        <v>1141</v>
      </c>
      <c r="AE185" s="364">
        <v>4500014802</v>
      </c>
      <c r="AF185" s="364"/>
      <c r="AG185" s="361"/>
      <c r="AH185" s="365"/>
      <c r="AI185" s="361"/>
      <c r="AJ185" s="361"/>
      <c r="AK185" s="361"/>
      <c r="AL185" s="361"/>
      <c r="AM185" s="361"/>
      <c r="AN185" s="361"/>
      <c r="AO185" s="361"/>
      <c r="AP185" s="361"/>
      <c r="AQ185" s="361"/>
      <c r="AR185" s="503"/>
      <c r="AS185" s="489"/>
      <c r="AT185" s="160"/>
      <c r="AU185" s="355"/>
    </row>
    <row r="186" spans="1:47" s="124" customFormat="1" ht="21.75" hidden="1" customHeight="1">
      <c r="A186" s="331">
        <v>185</v>
      </c>
      <c r="B186" s="391" t="s">
        <v>1052</v>
      </c>
      <c r="C186" s="361" t="s">
        <v>1142</v>
      </c>
      <c r="D186" s="435" t="s">
        <v>1143</v>
      </c>
      <c r="E186" s="361" t="str">
        <f t="shared" si="2"/>
        <v>LOSS</v>
      </c>
      <c r="F186" s="361"/>
      <c r="G186" s="361"/>
      <c r="H186" s="361" t="s">
        <v>839</v>
      </c>
      <c r="I186" s="361" t="s">
        <v>242</v>
      </c>
      <c r="J186" s="361" t="s">
        <v>1144</v>
      </c>
      <c r="K186" s="365"/>
      <c r="L186" s="361"/>
      <c r="M186" s="361"/>
      <c r="N186" s="361"/>
      <c r="O186" s="382">
        <v>2500000</v>
      </c>
      <c r="P186" s="383">
        <v>44400000</v>
      </c>
      <c r="Q186" s="383"/>
      <c r="R186" s="383">
        <v>6000000</v>
      </c>
      <c r="S186" s="383">
        <v>12000000</v>
      </c>
      <c r="T186" s="361"/>
      <c r="U186" s="367">
        <v>43864</v>
      </c>
      <c r="V186" s="367">
        <v>44229</v>
      </c>
      <c r="W186" s="361" t="s">
        <v>250</v>
      </c>
      <c r="X186" s="361"/>
      <c r="Y186" s="361"/>
      <c r="Z186" s="361"/>
      <c r="AA186" s="361"/>
      <c r="AB186" s="361"/>
      <c r="AC186" s="159"/>
      <c r="AD186" s="365" t="s">
        <v>1145</v>
      </c>
      <c r="AE186" s="364">
        <v>4500013872</v>
      </c>
      <c r="AF186" s="364"/>
      <c r="AG186" s="361"/>
      <c r="AH186" s="365"/>
      <c r="AI186" s="361"/>
      <c r="AJ186" s="361"/>
      <c r="AK186" s="361"/>
      <c r="AL186" s="361"/>
      <c r="AM186" s="361"/>
      <c r="AN186" s="361"/>
      <c r="AO186" s="361"/>
      <c r="AP186" s="361"/>
      <c r="AQ186" s="361"/>
      <c r="AR186" s="503"/>
      <c r="AS186" s="489"/>
      <c r="AT186" s="160"/>
      <c r="AU186" s="355"/>
    </row>
    <row r="187" spans="1:47" s="124" customFormat="1" ht="21.75" hidden="1" customHeight="1">
      <c r="A187" s="331">
        <v>186</v>
      </c>
      <c r="B187" s="28" t="s">
        <v>179</v>
      </c>
      <c r="C187" s="361" t="s">
        <v>1146</v>
      </c>
      <c r="D187" s="436" t="s">
        <v>560</v>
      </c>
      <c r="E187" s="361" t="str">
        <f t="shared" si="2"/>
        <v>LOSS</v>
      </c>
      <c r="F187" s="361"/>
      <c r="G187" s="361"/>
      <c r="H187" s="361" t="s">
        <v>839</v>
      </c>
      <c r="I187" s="361" t="s">
        <v>242</v>
      </c>
      <c r="J187" s="361" t="s">
        <v>1147</v>
      </c>
      <c r="K187" s="365"/>
      <c r="L187" s="361"/>
      <c r="M187" s="361"/>
      <c r="N187" s="361"/>
      <c r="O187" s="382">
        <v>2800000</v>
      </c>
      <c r="P187" s="383">
        <v>51264000</v>
      </c>
      <c r="Q187" s="383"/>
      <c r="R187" s="383"/>
      <c r="S187" s="383">
        <v>2500000</v>
      </c>
      <c r="T187" s="361"/>
      <c r="U187" s="367">
        <v>43985</v>
      </c>
      <c r="V187" s="367">
        <v>44349</v>
      </c>
      <c r="W187" s="361" t="s">
        <v>250</v>
      </c>
      <c r="X187" s="361"/>
      <c r="Y187" s="361"/>
      <c r="Z187" s="361"/>
      <c r="AA187" s="361"/>
      <c r="AB187" s="361"/>
      <c r="AC187" s="159"/>
      <c r="AD187" s="365" t="s">
        <v>1148</v>
      </c>
      <c r="AE187" s="364">
        <v>4500014448</v>
      </c>
      <c r="AF187" s="364"/>
      <c r="AG187" s="361"/>
      <c r="AH187" s="365"/>
      <c r="AI187" s="361"/>
      <c r="AJ187" s="361"/>
      <c r="AK187" s="361"/>
      <c r="AL187" s="361"/>
      <c r="AM187" s="361"/>
      <c r="AN187" s="361"/>
      <c r="AO187" s="361"/>
      <c r="AP187" s="361"/>
      <c r="AQ187" s="361"/>
      <c r="AR187" s="503"/>
      <c r="AS187" s="489"/>
      <c r="AT187" s="160"/>
      <c r="AU187" s="355"/>
    </row>
    <row r="188" spans="1:47" s="124" customFormat="1" ht="21.75" hidden="1" customHeight="1">
      <c r="A188" s="331">
        <v>187</v>
      </c>
      <c r="B188" s="391" t="s">
        <v>1052</v>
      </c>
      <c r="C188" s="361"/>
      <c r="D188" s="435" t="s">
        <v>611</v>
      </c>
      <c r="E188" s="361" t="str">
        <f t="shared" si="2"/>
        <v>LOSS</v>
      </c>
      <c r="F188" s="361"/>
      <c r="G188" s="361"/>
      <c r="H188" s="361" t="s">
        <v>839</v>
      </c>
      <c r="I188" s="160" t="s">
        <v>346</v>
      </c>
      <c r="J188" s="361"/>
      <c r="K188" s="365"/>
      <c r="L188" s="361"/>
      <c r="M188" s="361"/>
      <c r="N188" s="361"/>
      <c r="O188" s="382"/>
      <c r="P188" s="383"/>
      <c r="Q188" s="383"/>
      <c r="R188" s="383"/>
      <c r="S188" s="383">
        <v>106800000</v>
      </c>
      <c r="T188" s="361"/>
      <c r="U188" s="367">
        <v>43831</v>
      </c>
      <c r="V188" s="367">
        <v>44196</v>
      </c>
      <c r="W188" s="361" t="s">
        <v>250</v>
      </c>
      <c r="X188" s="361"/>
      <c r="Y188" s="361"/>
      <c r="Z188" s="361"/>
      <c r="AA188" s="361"/>
      <c r="AB188" s="361"/>
      <c r="AC188" s="159"/>
      <c r="AD188" s="365" t="s">
        <v>1149</v>
      </c>
      <c r="AE188" s="364">
        <v>4500013983</v>
      </c>
      <c r="AF188" s="364"/>
      <c r="AG188" s="361"/>
      <c r="AH188" s="365"/>
      <c r="AI188" s="361"/>
      <c r="AJ188" s="361"/>
      <c r="AK188" s="361"/>
      <c r="AL188" s="361"/>
      <c r="AM188" s="361"/>
      <c r="AN188" s="361"/>
      <c r="AO188" s="361"/>
      <c r="AP188" s="361"/>
      <c r="AQ188" s="361"/>
      <c r="AR188" s="503"/>
      <c r="AS188" s="489"/>
      <c r="AT188" s="160"/>
      <c r="AU188" s="355"/>
    </row>
    <row r="189" spans="1:47" s="124" customFormat="1" ht="21.75" hidden="1" customHeight="1">
      <c r="A189" s="331">
        <v>188</v>
      </c>
      <c r="B189" s="391" t="s">
        <v>1150</v>
      </c>
      <c r="C189" s="361" t="s">
        <v>610</v>
      </c>
      <c r="D189" s="436" t="s">
        <v>552</v>
      </c>
      <c r="E189" s="361" t="str">
        <f t="shared" si="2"/>
        <v>LOSS</v>
      </c>
      <c r="F189" s="361"/>
      <c r="G189" s="361"/>
      <c r="H189" s="361" t="s">
        <v>839</v>
      </c>
      <c r="I189" s="160" t="s">
        <v>346</v>
      </c>
      <c r="J189" s="361" t="s">
        <v>1151</v>
      </c>
      <c r="K189" s="365"/>
      <c r="L189" s="361"/>
      <c r="M189" s="361"/>
      <c r="N189" s="361"/>
      <c r="O189" s="382"/>
      <c r="P189" s="398">
        <v>222000000</v>
      </c>
      <c r="Q189" s="383"/>
      <c r="R189" s="383"/>
      <c r="S189" s="383">
        <v>96000000</v>
      </c>
      <c r="T189" s="361"/>
      <c r="U189" s="367">
        <v>43891</v>
      </c>
      <c r="V189" s="367">
        <v>44255</v>
      </c>
      <c r="W189" s="361" t="s">
        <v>250</v>
      </c>
      <c r="X189" s="361"/>
      <c r="Y189" s="361"/>
      <c r="Z189" s="361"/>
      <c r="AA189" s="361"/>
      <c r="AB189" s="361"/>
      <c r="AC189" s="159"/>
      <c r="AD189" s="365" t="s">
        <v>1152</v>
      </c>
      <c r="AE189" s="364">
        <v>4500013910</v>
      </c>
      <c r="AF189" s="364"/>
      <c r="AG189" s="361"/>
      <c r="AH189" s="365"/>
      <c r="AI189" s="361"/>
      <c r="AJ189" s="361"/>
      <c r="AK189" s="361"/>
      <c r="AL189" s="361"/>
      <c r="AM189" s="361"/>
      <c r="AN189" s="361"/>
      <c r="AO189" s="361"/>
      <c r="AP189" s="361"/>
      <c r="AQ189" s="361"/>
      <c r="AR189" s="503"/>
      <c r="AS189" s="489"/>
      <c r="AT189" s="160"/>
      <c r="AU189" s="355"/>
    </row>
    <row r="190" spans="1:47" s="124" customFormat="1" ht="21.75" hidden="1" customHeight="1">
      <c r="A190" s="331">
        <v>189</v>
      </c>
      <c r="B190" s="391" t="s">
        <v>1153</v>
      </c>
      <c r="C190" s="361"/>
      <c r="D190" s="435" t="s">
        <v>1073</v>
      </c>
      <c r="E190" s="361" t="str">
        <f t="shared" si="2"/>
        <v>LOSS</v>
      </c>
      <c r="F190" s="361"/>
      <c r="G190" s="361"/>
      <c r="H190" s="361" t="s">
        <v>839</v>
      </c>
      <c r="I190" s="160" t="s">
        <v>346</v>
      </c>
      <c r="J190" s="361"/>
      <c r="K190" s="365"/>
      <c r="L190" s="361"/>
      <c r="M190" s="361"/>
      <c r="N190" s="361"/>
      <c r="O190" s="382"/>
      <c r="P190" s="383"/>
      <c r="Q190" s="383"/>
      <c r="R190" s="383"/>
      <c r="S190" s="383">
        <v>29400000</v>
      </c>
      <c r="T190" s="361"/>
      <c r="U190" s="367">
        <v>43997</v>
      </c>
      <c r="V190" s="367">
        <v>44361</v>
      </c>
      <c r="W190" s="361" t="s">
        <v>250</v>
      </c>
      <c r="X190" s="361"/>
      <c r="Y190" s="361"/>
      <c r="Z190" s="361"/>
      <c r="AA190" s="361"/>
      <c r="AB190" s="361"/>
      <c r="AC190" s="159"/>
      <c r="AD190" s="365" t="s">
        <v>1154</v>
      </c>
      <c r="AE190" s="364">
        <v>4500014747</v>
      </c>
      <c r="AF190" s="364"/>
      <c r="AG190" s="361"/>
      <c r="AH190" s="365"/>
      <c r="AI190" s="361"/>
      <c r="AJ190" s="361"/>
      <c r="AK190" s="361"/>
      <c r="AL190" s="361"/>
      <c r="AM190" s="361"/>
      <c r="AN190" s="361"/>
      <c r="AO190" s="361"/>
      <c r="AP190" s="361"/>
      <c r="AQ190" s="361"/>
      <c r="AR190" s="503"/>
      <c r="AS190" s="489"/>
      <c r="AT190" s="160"/>
      <c r="AU190" s="355"/>
    </row>
    <row r="191" spans="1:47" s="124" customFormat="1" ht="21.75" hidden="1" customHeight="1">
      <c r="A191" s="331">
        <v>190</v>
      </c>
      <c r="B191" s="28" t="s">
        <v>635</v>
      </c>
      <c r="C191" s="361" t="s">
        <v>1155</v>
      </c>
      <c r="D191" s="436" t="s">
        <v>625</v>
      </c>
      <c r="E191" s="361" t="str">
        <f t="shared" si="2"/>
        <v>LOSS</v>
      </c>
      <c r="F191" s="361"/>
      <c r="G191" s="361"/>
      <c r="H191" s="361" t="s">
        <v>839</v>
      </c>
      <c r="I191" s="160" t="s">
        <v>346</v>
      </c>
      <c r="J191" s="361" t="s">
        <v>1156</v>
      </c>
      <c r="K191" s="365"/>
      <c r="L191" s="361"/>
      <c r="M191" s="361"/>
      <c r="N191" s="361"/>
      <c r="O191" s="382"/>
      <c r="P191" s="398">
        <v>732000000</v>
      </c>
      <c r="Q191" s="383"/>
      <c r="R191" s="383"/>
      <c r="S191" s="383">
        <v>60000000</v>
      </c>
      <c r="T191" s="361"/>
      <c r="U191" s="367">
        <v>44070</v>
      </c>
      <c r="V191" s="367">
        <v>44434</v>
      </c>
      <c r="W191" s="361" t="s">
        <v>250</v>
      </c>
      <c r="X191" s="361"/>
      <c r="Y191" s="361"/>
      <c r="Z191" s="361"/>
      <c r="AA191" s="361"/>
      <c r="AB191" s="361"/>
      <c r="AC191" s="159"/>
      <c r="AD191" s="365" t="s">
        <v>1157</v>
      </c>
      <c r="AE191" s="364">
        <v>4500014788</v>
      </c>
      <c r="AF191" s="364"/>
      <c r="AG191" s="361"/>
      <c r="AH191" s="365"/>
      <c r="AI191" s="361"/>
      <c r="AJ191" s="361"/>
      <c r="AK191" s="361"/>
      <c r="AL191" s="361"/>
      <c r="AM191" s="361"/>
      <c r="AN191" s="361"/>
      <c r="AO191" s="361"/>
      <c r="AP191" s="361"/>
      <c r="AQ191" s="361"/>
      <c r="AR191" s="503"/>
      <c r="AS191" s="489"/>
      <c r="AT191" s="160"/>
      <c r="AU191" s="355"/>
    </row>
    <row r="192" spans="1:47" s="124" customFormat="1" ht="21.75" hidden="1" customHeight="1">
      <c r="A192" s="331">
        <v>191</v>
      </c>
      <c r="B192" s="28" t="s">
        <v>635</v>
      </c>
      <c r="C192" s="361" t="s">
        <v>1158</v>
      </c>
      <c r="D192" s="435" t="s">
        <v>560</v>
      </c>
      <c r="E192" s="361" t="str">
        <f t="shared" si="2"/>
        <v>LOSS</v>
      </c>
      <c r="F192" s="361"/>
      <c r="G192" s="361"/>
      <c r="H192" s="361" t="s">
        <v>839</v>
      </c>
      <c r="I192" s="160" t="s">
        <v>346</v>
      </c>
      <c r="J192" s="361" t="s">
        <v>1159</v>
      </c>
      <c r="K192" s="365"/>
      <c r="L192" s="361"/>
      <c r="M192" s="361"/>
      <c r="N192" s="361"/>
      <c r="O192" s="382">
        <v>3000000</v>
      </c>
      <c r="P192" s="398">
        <v>102000000</v>
      </c>
      <c r="Q192" s="383"/>
      <c r="R192" s="383">
        <v>2500000</v>
      </c>
      <c r="S192" s="383">
        <v>30000000</v>
      </c>
      <c r="T192" s="361"/>
      <c r="U192" s="367">
        <v>44000</v>
      </c>
      <c r="V192" s="367">
        <v>44364</v>
      </c>
      <c r="W192" s="361" t="s">
        <v>250</v>
      </c>
      <c r="X192" s="361"/>
      <c r="Y192" s="361"/>
      <c r="Z192" s="361"/>
      <c r="AA192" s="361"/>
      <c r="AB192" s="361"/>
      <c r="AC192" s="159"/>
      <c r="AD192" s="400"/>
      <c r="AE192" s="364">
        <v>4500014483</v>
      </c>
      <c r="AF192" s="364"/>
      <c r="AG192" s="361"/>
      <c r="AH192" s="365"/>
      <c r="AI192" s="361"/>
      <c r="AJ192" s="361"/>
      <c r="AK192" s="361"/>
      <c r="AL192" s="361"/>
      <c r="AM192" s="361"/>
      <c r="AN192" s="361"/>
      <c r="AO192" s="361"/>
      <c r="AP192" s="361"/>
      <c r="AQ192" s="361"/>
      <c r="AR192" s="503"/>
      <c r="AS192" s="489"/>
      <c r="AT192" s="160"/>
      <c r="AU192" s="355"/>
    </row>
    <row r="193" spans="1:47" s="124" customFormat="1" ht="21.75" hidden="1" customHeight="1">
      <c r="A193" s="331">
        <v>192</v>
      </c>
      <c r="B193" s="361" t="s">
        <v>1160</v>
      </c>
      <c r="C193" s="361" t="s">
        <v>1161</v>
      </c>
      <c r="D193" s="436" t="s">
        <v>1162</v>
      </c>
      <c r="E193" s="361" t="str">
        <f t="shared" si="2"/>
        <v>LOSS</v>
      </c>
      <c r="F193" s="361"/>
      <c r="G193" s="361"/>
      <c r="H193" s="28" t="s">
        <v>261</v>
      </c>
      <c r="I193" s="361" t="s">
        <v>243</v>
      </c>
      <c r="J193" s="361" t="s">
        <v>1163</v>
      </c>
      <c r="K193" s="361"/>
      <c r="L193" s="361"/>
      <c r="M193" s="361"/>
      <c r="N193" s="361"/>
      <c r="O193" s="370">
        <v>5000000</v>
      </c>
      <c r="P193" s="385">
        <v>36000000</v>
      </c>
      <c r="Q193" s="383"/>
      <c r="R193" s="403">
        <v>500000</v>
      </c>
      <c r="S193" s="387">
        <v>6600000</v>
      </c>
      <c r="T193" s="361"/>
      <c r="U193" s="367">
        <v>44062</v>
      </c>
      <c r="V193" s="367">
        <v>44426</v>
      </c>
      <c r="W193" s="361" t="s">
        <v>250</v>
      </c>
      <c r="X193" s="361"/>
      <c r="Y193" s="361"/>
      <c r="Z193" s="361"/>
      <c r="AA193" s="361"/>
      <c r="AB193" s="361"/>
      <c r="AC193" s="159"/>
      <c r="AD193" s="361" t="s">
        <v>1164</v>
      </c>
      <c r="AE193" s="364">
        <v>4500016306</v>
      </c>
      <c r="AF193" s="364"/>
      <c r="AG193" s="361"/>
      <c r="AH193" s="361"/>
      <c r="AI193" s="361"/>
      <c r="AJ193" s="361"/>
      <c r="AK193" s="361"/>
      <c r="AL193" s="361"/>
      <c r="AM193" s="361"/>
      <c r="AN193" s="361"/>
      <c r="AO193" s="361"/>
      <c r="AP193" s="361"/>
      <c r="AQ193" s="361"/>
      <c r="AR193" s="503"/>
      <c r="AS193" s="489"/>
      <c r="AT193" s="160"/>
      <c r="AU193" s="355"/>
    </row>
    <row r="194" spans="1:47" s="124" customFormat="1" ht="21.75" hidden="1" customHeight="1">
      <c r="A194" s="331">
        <v>193</v>
      </c>
      <c r="B194" s="28" t="s">
        <v>119</v>
      </c>
      <c r="C194" s="361" t="s">
        <v>1165</v>
      </c>
      <c r="D194" s="435" t="s">
        <v>597</v>
      </c>
      <c r="E194" s="361" t="str">
        <f t="shared" ref="E194:E257" si="3">IF(Z194&lt;=0, "LOSS",IF(Z194&lt;=15, "CRITICAL",IF(Z194&lt;=30, "WARNING",IF(Z194&lt;60, "ATTENTION", "ON TRACK"))))</f>
        <v>LOSS</v>
      </c>
      <c r="F194" s="361"/>
      <c r="G194" s="361"/>
      <c r="H194" s="361" t="s">
        <v>839</v>
      </c>
      <c r="I194" s="160" t="s">
        <v>346</v>
      </c>
      <c r="J194" s="361" t="s">
        <v>1166</v>
      </c>
      <c r="K194" s="365"/>
      <c r="L194" s="361"/>
      <c r="M194" s="361"/>
      <c r="N194" s="361"/>
      <c r="O194" s="382"/>
      <c r="P194" s="383">
        <v>42000000</v>
      </c>
      <c r="Q194" s="383"/>
      <c r="R194" s="383"/>
      <c r="S194" s="383">
        <v>3500000</v>
      </c>
      <c r="T194" s="361"/>
      <c r="U194" s="367">
        <v>44097</v>
      </c>
      <c r="V194" s="367">
        <v>44461</v>
      </c>
      <c r="W194" s="361" t="s">
        <v>250</v>
      </c>
      <c r="X194" s="361"/>
      <c r="Y194" s="361"/>
      <c r="Z194" s="361"/>
      <c r="AA194" s="361"/>
      <c r="AB194" s="361"/>
      <c r="AC194" s="159"/>
      <c r="AD194" s="361" t="s">
        <v>1167</v>
      </c>
      <c r="AE194" s="364">
        <v>4500014894</v>
      </c>
      <c r="AF194" s="364"/>
      <c r="AG194" s="361"/>
      <c r="AH194" s="365"/>
      <c r="AI194" s="361"/>
      <c r="AJ194" s="361"/>
      <c r="AK194" s="361"/>
      <c r="AL194" s="361"/>
      <c r="AM194" s="361"/>
      <c r="AN194" s="361"/>
      <c r="AO194" s="361"/>
      <c r="AP194" s="361"/>
      <c r="AQ194" s="361"/>
      <c r="AR194" s="503"/>
      <c r="AS194" s="489"/>
      <c r="AT194" s="160"/>
      <c r="AU194" s="355"/>
    </row>
    <row r="195" spans="1:47" s="124" customFormat="1" ht="21.75" hidden="1" customHeight="1">
      <c r="A195" s="331">
        <v>194</v>
      </c>
      <c r="B195" s="28" t="s">
        <v>321</v>
      </c>
      <c r="C195" s="391" t="s">
        <v>1053</v>
      </c>
      <c r="D195" s="436" t="s">
        <v>1078</v>
      </c>
      <c r="E195" s="361" t="str">
        <f t="shared" si="3"/>
        <v>LOSS</v>
      </c>
      <c r="F195" s="361"/>
      <c r="G195" s="361"/>
      <c r="H195" s="361" t="s">
        <v>327</v>
      </c>
      <c r="I195" s="361" t="s">
        <v>242</v>
      </c>
      <c r="J195" s="361" t="s">
        <v>1168</v>
      </c>
      <c r="K195" s="365"/>
      <c r="L195" s="361"/>
      <c r="M195" s="361"/>
      <c r="N195" s="361"/>
      <c r="O195" s="370">
        <v>5000000</v>
      </c>
      <c r="P195" s="387">
        <v>105168000</v>
      </c>
      <c r="Q195" s="387"/>
      <c r="R195" s="387">
        <v>2500000</v>
      </c>
      <c r="S195" s="387">
        <v>25200000</v>
      </c>
      <c r="T195" s="361"/>
      <c r="U195" s="367">
        <v>44228</v>
      </c>
      <c r="V195" s="367">
        <v>44592</v>
      </c>
      <c r="W195" s="361" t="s">
        <v>250</v>
      </c>
      <c r="X195" s="361"/>
      <c r="Y195" s="361"/>
      <c r="Z195" s="361"/>
      <c r="AA195" s="361"/>
      <c r="AB195" s="361"/>
      <c r="AC195" s="159"/>
      <c r="AD195" s="365" t="s">
        <v>1169</v>
      </c>
      <c r="AE195" s="364">
        <v>4500015758</v>
      </c>
      <c r="AF195" s="364"/>
      <c r="AG195" s="361"/>
      <c r="AH195" s="365"/>
      <c r="AI195" s="361"/>
      <c r="AJ195" s="361"/>
      <c r="AK195" s="361"/>
      <c r="AL195" s="361"/>
      <c r="AM195" s="361"/>
      <c r="AN195" s="361"/>
      <c r="AO195" s="361"/>
      <c r="AP195" s="361"/>
      <c r="AQ195" s="361"/>
      <c r="AR195" s="503"/>
      <c r="AS195" s="489"/>
      <c r="AT195" s="160"/>
      <c r="AU195" s="355"/>
    </row>
    <row r="196" spans="1:47" s="124" customFormat="1" ht="21.75" hidden="1" customHeight="1">
      <c r="A196" s="331">
        <v>195</v>
      </c>
      <c r="B196" s="159" t="s">
        <v>1170</v>
      </c>
      <c r="C196" s="391" t="s">
        <v>1053</v>
      </c>
      <c r="D196" s="435" t="s">
        <v>1171</v>
      </c>
      <c r="E196" s="361" t="str">
        <f t="shared" si="3"/>
        <v>LOSS</v>
      </c>
      <c r="F196" s="361"/>
      <c r="G196" s="361"/>
      <c r="H196" s="28" t="s">
        <v>261</v>
      </c>
      <c r="I196" s="361" t="s">
        <v>243</v>
      </c>
      <c r="J196" s="361" t="s">
        <v>1172</v>
      </c>
      <c r="K196" s="361"/>
      <c r="L196" s="361"/>
      <c r="M196" s="361"/>
      <c r="N196" s="361"/>
      <c r="O196" s="370">
        <v>5000000</v>
      </c>
      <c r="P196" s="387">
        <v>105168000</v>
      </c>
      <c r="Q196" s="387"/>
      <c r="R196" s="387">
        <v>10000000</v>
      </c>
      <c r="S196" s="387">
        <v>70200000</v>
      </c>
      <c r="T196" s="361"/>
      <c r="U196" s="367">
        <v>44224</v>
      </c>
      <c r="V196" s="367">
        <v>44588</v>
      </c>
      <c r="W196" s="361" t="s">
        <v>250</v>
      </c>
      <c r="X196" s="361"/>
      <c r="Y196" s="361"/>
      <c r="Z196" s="361"/>
      <c r="AA196" s="361"/>
      <c r="AB196" s="361"/>
      <c r="AC196" s="159"/>
      <c r="AD196" s="365" t="s">
        <v>1173</v>
      </c>
      <c r="AE196" s="364">
        <v>4500015596</v>
      </c>
      <c r="AF196" s="364"/>
      <c r="AG196" s="361"/>
      <c r="AH196" s="361"/>
      <c r="AI196" s="361"/>
      <c r="AJ196" s="361"/>
      <c r="AK196" s="361"/>
      <c r="AL196" s="361"/>
      <c r="AM196" s="361"/>
      <c r="AN196" s="361"/>
      <c r="AO196" s="361"/>
      <c r="AP196" s="361"/>
      <c r="AQ196" s="361"/>
      <c r="AR196" s="503"/>
      <c r="AS196" s="489"/>
      <c r="AT196" s="160"/>
      <c r="AU196" s="355"/>
    </row>
    <row r="197" spans="1:47" s="124" customFormat="1" ht="21.75" hidden="1" customHeight="1">
      <c r="A197" s="331">
        <v>196</v>
      </c>
      <c r="B197" s="28" t="s">
        <v>179</v>
      </c>
      <c r="C197" s="361" t="s">
        <v>1174</v>
      </c>
      <c r="D197" s="436" t="s">
        <v>1175</v>
      </c>
      <c r="E197" s="361" t="str">
        <f t="shared" si="3"/>
        <v>LOSS</v>
      </c>
      <c r="F197" s="361"/>
      <c r="G197" s="361"/>
      <c r="H197" s="361" t="s">
        <v>327</v>
      </c>
      <c r="I197" s="361" t="s">
        <v>242</v>
      </c>
      <c r="J197" s="361"/>
      <c r="K197" s="365"/>
      <c r="L197" s="361"/>
      <c r="M197" s="361"/>
      <c r="N197" s="361"/>
      <c r="O197" s="370"/>
      <c r="P197" s="387"/>
      <c r="Q197" s="387"/>
      <c r="R197" s="387"/>
      <c r="S197" s="387">
        <v>18000000</v>
      </c>
      <c r="T197" s="361"/>
      <c r="U197" s="367">
        <v>44267</v>
      </c>
      <c r="V197" s="367">
        <v>44631</v>
      </c>
      <c r="W197" s="361" t="s">
        <v>250</v>
      </c>
      <c r="X197" s="361"/>
      <c r="Y197" s="361"/>
      <c r="Z197" s="361"/>
      <c r="AA197" s="361"/>
      <c r="AB197" s="361"/>
      <c r="AC197" s="159"/>
      <c r="AD197" s="361" t="s">
        <v>1176</v>
      </c>
      <c r="AE197" s="364">
        <v>4500015925</v>
      </c>
      <c r="AF197" s="364"/>
      <c r="AG197" s="361"/>
      <c r="AH197" s="365"/>
      <c r="AI197" s="361"/>
      <c r="AJ197" s="361"/>
      <c r="AK197" s="361"/>
      <c r="AL197" s="361"/>
      <c r="AM197" s="361"/>
      <c r="AN197" s="361"/>
      <c r="AO197" s="361"/>
      <c r="AP197" s="361"/>
      <c r="AQ197" s="361"/>
      <c r="AR197" s="503"/>
      <c r="AS197" s="489"/>
      <c r="AT197" s="160"/>
      <c r="AU197" s="355"/>
    </row>
    <row r="198" spans="1:47" s="124" customFormat="1" ht="21.75" hidden="1" customHeight="1">
      <c r="A198" s="331">
        <v>197</v>
      </c>
      <c r="B198" s="28" t="s">
        <v>179</v>
      </c>
      <c r="C198" s="361" t="s">
        <v>1177</v>
      </c>
      <c r="D198" s="435" t="s">
        <v>560</v>
      </c>
      <c r="E198" s="361" t="str">
        <f t="shared" si="3"/>
        <v>LOSS</v>
      </c>
      <c r="F198" s="361"/>
      <c r="G198" s="361"/>
      <c r="H198" s="361" t="s">
        <v>327</v>
      </c>
      <c r="I198" s="361" t="s">
        <v>242</v>
      </c>
      <c r="J198" s="361" t="s">
        <v>1178</v>
      </c>
      <c r="K198" s="365"/>
      <c r="L198" s="361"/>
      <c r="M198" s="361"/>
      <c r="N198" s="361"/>
      <c r="O198" s="370">
        <v>2500000</v>
      </c>
      <c r="P198" s="387">
        <v>288000000</v>
      </c>
      <c r="Q198" s="387"/>
      <c r="R198" s="387">
        <v>1500000</v>
      </c>
      <c r="S198" s="387">
        <v>18000000</v>
      </c>
      <c r="T198" s="361"/>
      <c r="U198" s="367">
        <v>44265</v>
      </c>
      <c r="V198" s="367">
        <v>44629</v>
      </c>
      <c r="W198" s="361" t="s">
        <v>250</v>
      </c>
      <c r="X198" s="361"/>
      <c r="Y198" s="361"/>
      <c r="Z198" s="361"/>
      <c r="AA198" s="361"/>
      <c r="AB198" s="361"/>
      <c r="AC198" s="159"/>
      <c r="AD198" s="361" t="s">
        <v>1179</v>
      </c>
      <c r="AE198" s="364">
        <v>4500015896</v>
      </c>
      <c r="AF198" s="364"/>
      <c r="AG198" s="361"/>
      <c r="AH198" s="365"/>
      <c r="AI198" s="361"/>
      <c r="AJ198" s="361"/>
      <c r="AK198" s="361"/>
      <c r="AL198" s="361"/>
      <c r="AM198" s="361"/>
      <c r="AN198" s="361"/>
      <c r="AO198" s="361"/>
      <c r="AP198" s="361"/>
      <c r="AQ198" s="361"/>
      <c r="AR198" s="503"/>
      <c r="AS198" s="489"/>
      <c r="AT198" s="160"/>
      <c r="AU198" s="355"/>
    </row>
    <row r="199" spans="1:47" s="124" customFormat="1" ht="21.75" hidden="1" customHeight="1">
      <c r="A199" s="331">
        <v>198</v>
      </c>
      <c r="B199" s="28" t="s">
        <v>119</v>
      </c>
      <c r="C199" s="361" t="s">
        <v>1180</v>
      </c>
      <c r="D199" s="436" t="s">
        <v>1181</v>
      </c>
      <c r="E199" s="361" t="str">
        <f t="shared" si="3"/>
        <v>LOSS</v>
      </c>
      <c r="F199" s="361"/>
      <c r="G199" s="361"/>
      <c r="H199" s="28" t="s">
        <v>261</v>
      </c>
      <c r="I199" s="361" t="s">
        <v>243</v>
      </c>
      <c r="J199" s="361" t="s">
        <v>1182</v>
      </c>
      <c r="K199" s="361"/>
      <c r="L199" s="361"/>
      <c r="M199" s="361"/>
      <c r="N199" s="361"/>
      <c r="O199" s="370"/>
      <c r="P199" s="387">
        <v>74161290</v>
      </c>
      <c r="Q199" s="387"/>
      <c r="R199" s="387"/>
      <c r="S199" s="387">
        <v>13785478</v>
      </c>
      <c r="T199" s="361"/>
      <c r="U199" s="367">
        <v>44078</v>
      </c>
      <c r="V199" s="367">
        <v>44170</v>
      </c>
      <c r="W199" s="361" t="s">
        <v>250</v>
      </c>
      <c r="X199" s="361"/>
      <c r="Y199" s="361"/>
      <c r="Z199" s="361"/>
      <c r="AA199" s="361"/>
      <c r="AB199" s="361"/>
      <c r="AC199" s="159"/>
      <c r="AD199" s="361" t="s">
        <v>1183</v>
      </c>
      <c r="AE199" s="364">
        <v>4500015865</v>
      </c>
      <c r="AF199" s="364"/>
      <c r="AG199" s="361"/>
      <c r="AH199" s="361"/>
      <c r="AI199" s="361"/>
      <c r="AJ199" s="361"/>
      <c r="AK199" s="361"/>
      <c r="AL199" s="361"/>
      <c r="AM199" s="361"/>
      <c r="AN199" s="361"/>
      <c r="AO199" s="361"/>
      <c r="AP199" s="361"/>
      <c r="AQ199" s="361"/>
      <c r="AR199" s="503"/>
      <c r="AS199" s="489"/>
      <c r="AT199" s="160"/>
      <c r="AU199" s="355"/>
    </row>
    <row r="200" spans="1:47" s="124" customFormat="1" ht="21.75" hidden="1" customHeight="1">
      <c r="A200" s="331">
        <v>199</v>
      </c>
      <c r="B200" s="391" t="s">
        <v>1052</v>
      </c>
      <c r="C200" s="361" t="s">
        <v>1184</v>
      </c>
      <c r="D200" s="435" t="s">
        <v>854</v>
      </c>
      <c r="E200" s="361" t="str">
        <f t="shared" si="3"/>
        <v>LOSS</v>
      </c>
      <c r="F200" s="361"/>
      <c r="G200" s="361"/>
      <c r="H200" s="361" t="s">
        <v>327</v>
      </c>
      <c r="I200" s="160" t="s">
        <v>346</v>
      </c>
      <c r="J200" s="361" t="s">
        <v>1185</v>
      </c>
      <c r="K200" s="365"/>
      <c r="L200" s="361"/>
      <c r="M200" s="361"/>
      <c r="N200" s="361"/>
      <c r="O200" s="370"/>
      <c r="P200" s="387">
        <v>72000000</v>
      </c>
      <c r="Q200" s="387"/>
      <c r="R200" s="387">
        <v>5000000</v>
      </c>
      <c r="S200" s="387">
        <v>49000000</v>
      </c>
      <c r="T200" s="361"/>
      <c r="U200" s="367">
        <v>44284</v>
      </c>
      <c r="V200" s="367">
        <v>44648</v>
      </c>
      <c r="W200" s="361" t="s">
        <v>250</v>
      </c>
      <c r="X200" s="361"/>
      <c r="Y200" s="361"/>
      <c r="Z200" s="361"/>
      <c r="AA200" s="361"/>
      <c r="AB200" s="361"/>
      <c r="AC200" s="159"/>
      <c r="AD200" s="361" t="s">
        <v>1176</v>
      </c>
      <c r="AE200" s="364">
        <v>4500015915</v>
      </c>
      <c r="AF200" s="364"/>
      <c r="AG200" s="361"/>
      <c r="AH200" s="365"/>
      <c r="AI200" s="361"/>
      <c r="AJ200" s="361"/>
      <c r="AK200" s="361"/>
      <c r="AL200" s="361"/>
      <c r="AM200" s="361"/>
      <c r="AN200" s="361"/>
      <c r="AO200" s="361"/>
      <c r="AP200" s="361"/>
      <c r="AQ200" s="361"/>
      <c r="AR200" s="503"/>
      <c r="AS200" s="489"/>
      <c r="AT200" s="160"/>
      <c r="AU200" s="355"/>
    </row>
    <row r="201" spans="1:47" s="124" customFormat="1" ht="21.75" hidden="1" customHeight="1">
      <c r="A201" s="331">
        <v>200</v>
      </c>
      <c r="B201" s="361" t="s">
        <v>348</v>
      </c>
      <c r="C201" s="361" t="s">
        <v>1186</v>
      </c>
      <c r="D201" s="436" t="s">
        <v>1187</v>
      </c>
      <c r="E201" s="361" t="str">
        <f t="shared" si="3"/>
        <v>LOSS</v>
      </c>
      <c r="F201" s="361"/>
      <c r="G201" s="361"/>
      <c r="H201" s="361" t="s">
        <v>464</v>
      </c>
      <c r="I201" s="361" t="s">
        <v>242</v>
      </c>
      <c r="J201" s="361" t="s">
        <v>1188</v>
      </c>
      <c r="K201" s="365"/>
      <c r="L201" s="361"/>
      <c r="M201" s="361"/>
      <c r="N201" s="361"/>
      <c r="O201" s="370"/>
      <c r="P201" s="387">
        <v>72000000</v>
      </c>
      <c r="Q201" s="387"/>
      <c r="R201" s="387"/>
      <c r="S201" s="387">
        <v>39458424</v>
      </c>
      <c r="T201" s="361"/>
      <c r="U201" s="367">
        <v>44217</v>
      </c>
      <c r="V201" s="367">
        <v>44469</v>
      </c>
      <c r="W201" s="361" t="s">
        <v>250</v>
      </c>
      <c r="X201" s="361"/>
      <c r="Y201" s="361"/>
      <c r="Z201" s="361"/>
      <c r="AA201" s="361"/>
      <c r="AB201" s="361"/>
      <c r="AC201" s="159"/>
      <c r="AD201" s="361" t="s">
        <v>1189</v>
      </c>
      <c r="AE201" s="364">
        <v>4500015811</v>
      </c>
      <c r="AF201" s="364"/>
      <c r="AG201" s="361"/>
      <c r="AH201" s="365"/>
      <c r="AI201" s="361"/>
      <c r="AJ201" s="361"/>
      <c r="AK201" s="361"/>
      <c r="AL201" s="361"/>
      <c r="AM201" s="361"/>
      <c r="AN201" s="361"/>
      <c r="AO201" s="361"/>
      <c r="AP201" s="361"/>
      <c r="AQ201" s="361"/>
      <c r="AR201" s="503"/>
      <c r="AS201" s="489"/>
      <c r="AT201" s="160"/>
      <c r="AU201" s="355"/>
    </row>
    <row r="202" spans="1:47" s="124" customFormat="1" ht="21.75" hidden="1" customHeight="1">
      <c r="A202" s="331">
        <v>201</v>
      </c>
      <c r="B202" s="391" t="s">
        <v>1052</v>
      </c>
      <c r="C202" s="361" t="s">
        <v>393</v>
      </c>
      <c r="D202" s="435" t="s">
        <v>854</v>
      </c>
      <c r="E202" s="361" t="str">
        <f t="shared" si="3"/>
        <v>LOSS</v>
      </c>
      <c r="F202" s="361"/>
      <c r="G202" s="361"/>
      <c r="H202" s="361" t="s">
        <v>327</v>
      </c>
      <c r="I202" s="361" t="s">
        <v>242</v>
      </c>
      <c r="J202" s="361" t="s">
        <v>1190</v>
      </c>
      <c r="K202" s="365"/>
      <c r="L202" s="361"/>
      <c r="M202" s="361"/>
      <c r="N202" s="361"/>
      <c r="O202" s="370">
        <v>1000000</v>
      </c>
      <c r="P202" s="387">
        <v>144000000</v>
      </c>
      <c r="Q202" s="387"/>
      <c r="R202" s="387">
        <v>3000000</v>
      </c>
      <c r="S202" s="387">
        <v>6000000</v>
      </c>
      <c r="T202" s="361"/>
      <c r="U202" s="367">
        <v>44245</v>
      </c>
      <c r="V202" s="367">
        <v>44609</v>
      </c>
      <c r="W202" s="361" t="s">
        <v>250</v>
      </c>
      <c r="X202" s="361"/>
      <c r="Y202" s="361"/>
      <c r="Z202" s="361"/>
      <c r="AA202" s="361"/>
      <c r="AB202" s="361"/>
      <c r="AC202" s="159"/>
      <c r="AD202" s="361" t="s">
        <v>1191</v>
      </c>
      <c r="AE202" s="364">
        <v>4500015833</v>
      </c>
      <c r="AF202" s="364"/>
      <c r="AG202" s="361"/>
      <c r="AH202" s="365"/>
      <c r="AI202" s="361"/>
      <c r="AJ202" s="361"/>
      <c r="AK202" s="361"/>
      <c r="AL202" s="361"/>
      <c r="AM202" s="361"/>
      <c r="AN202" s="361"/>
      <c r="AO202" s="361"/>
      <c r="AP202" s="361"/>
      <c r="AQ202" s="361"/>
      <c r="AR202" s="503"/>
      <c r="AS202" s="489"/>
      <c r="AT202" s="160"/>
      <c r="AU202" s="355"/>
    </row>
    <row r="203" spans="1:47" s="124" customFormat="1" ht="21.75" hidden="1" customHeight="1">
      <c r="A203" s="331">
        <v>202</v>
      </c>
      <c r="B203" s="361" t="s">
        <v>542</v>
      </c>
      <c r="C203" s="361" t="s">
        <v>1192</v>
      </c>
      <c r="D203" s="436" t="s">
        <v>1193</v>
      </c>
      <c r="E203" s="361" t="str">
        <f t="shared" si="3"/>
        <v>LOSS</v>
      </c>
      <c r="F203" s="361"/>
      <c r="G203" s="361"/>
      <c r="H203" s="361" t="s">
        <v>327</v>
      </c>
      <c r="I203" s="361" t="s">
        <v>242</v>
      </c>
      <c r="J203" s="361" t="s">
        <v>1194</v>
      </c>
      <c r="K203" s="365"/>
      <c r="L203" s="361"/>
      <c r="M203" s="361"/>
      <c r="N203" s="361"/>
      <c r="O203" s="370">
        <v>5000000</v>
      </c>
      <c r="P203" s="387">
        <v>324000000</v>
      </c>
      <c r="Q203" s="387"/>
      <c r="R203" s="387">
        <v>4000000</v>
      </c>
      <c r="S203" s="387">
        <v>8000000</v>
      </c>
      <c r="T203" s="361"/>
      <c r="U203" s="367">
        <v>44236</v>
      </c>
      <c r="V203" s="367">
        <v>44600</v>
      </c>
      <c r="W203" s="361" t="s">
        <v>250</v>
      </c>
      <c r="X203" s="361"/>
      <c r="Y203" s="361"/>
      <c r="Z203" s="361"/>
      <c r="AA203" s="361"/>
      <c r="AB203" s="361"/>
      <c r="AC203" s="159"/>
      <c r="AD203" s="361" t="s">
        <v>1195</v>
      </c>
      <c r="AE203" s="364">
        <v>4500015766</v>
      </c>
      <c r="AF203" s="364"/>
      <c r="AG203" s="361"/>
      <c r="AH203" s="365"/>
      <c r="AI203" s="361"/>
      <c r="AJ203" s="361"/>
      <c r="AK203" s="361"/>
      <c r="AL203" s="361"/>
      <c r="AM203" s="361"/>
      <c r="AN203" s="361"/>
      <c r="AO203" s="361"/>
      <c r="AP203" s="361"/>
      <c r="AQ203" s="361"/>
      <c r="AR203" s="503"/>
      <c r="AS203" s="489"/>
      <c r="AT203" s="160"/>
      <c r="AU203" s="355"/>
    </row>
    <row r="204" spans="1:47" s="124" customFormat="1" ht="21.75" hidden="1" customHeight="1">
      <c r="A204" s="331">
        <v>203</v>
      </c>
      <c r="B204" s="28" t="s">
        <v>521</v>
      </c>
      <c r="C204" s="361" t="s">
        <v>1196</v>
      </c>
      <c r="D204" s="435" t="s">
        <v>1197</v>
      </c>
      <c r="E204" s="361" t="str">
        <f t="shared" si="3"/>
        <v>LOSS</v>
      </c>
      <c r="F204" s="361"/>
      <c r="G204" s="361"/>
      <c r="H204" s="28" t="s">
        <v>261</v>
      </c>
      <c r="I204" s="361" t="s">
        <v>243</v>
      </c>
      <c r="J204" s="361" t="s">
        <v>1198</v>
      </c>
      <c r="K204" s="361"/>
      <c r="L204" s="361"/>
      <c r="M204" s="361"/>
      <c r="N204" s="361"/>
      <c r="O204" s="370"/>
      <c r="P204" s="387">
        <v>99120000</v>
      </c>
      <c r="Q204" s="387"/>
      <c r="R204" s="387"/>
      <c r="S204" s="387">
        <v>39120000</v>
      </c>
      <c r="T204" s="361"/>
      <c r="U204" s="367">
        <v>44406</v>
      </c>
      <c r="V204" s="367">
        <v>44770</v>
      </c>
      <c r="W204" s="361" t="s">
        <v>250</v>
      </c>
      <c r="X204" s="361"/>
      <c r="Y204" s="361"/>
      <c r="Z204" s="361"/>
      <c r="AA204" s="361"/>
      <c r="AB204" s="361"/>
      <c r="AC204" s="159"/>
      <c r="AD204" s="368"/>
      <c r="AE204" s="364">
        <v>4500016426</v>
      </c>
      <c r="AF204" s="364"/>
      <c r="AG204" s="361"/>
      <c r="AH204" s="361"/>
      <c r="AI204" s="361"/>
      <c r="AJ204" s="361"/>
      <c r="AK204" s="361"/>
      <c r="AL204" s="361"/>
      <c r="AM204" s="361"/>
      <c r="AN204" s="361"/>
      <c r="AO204" s="361"/>
      <c r="AP204" s="361"/>
      <c r="AQ204" s="361"/>
      <c r="AR204" s="503"/>
      <c r="AS204" s="489"/>
      <c r="AT204" s="160"/>
      <c r="AU204" s="355"/>
    </row>
    <row r="205" spans="1:47" s="124" customFormat="1" ht="21.75" hidden="1" customHeight="1">
      <c r="A205" s="331">
        <v>204</v>
      </c>
      <c r="B205" s="361" t="s">
        <v>400</v>
      </c>
      <c r="C205" s="361" t="s">
        <v>1043</v>
      </c>
      <c r="D205" s="436" t="s">
        <v>1199</v>
      </c>
      <c r="E205" s="361" t="str">
        <f t="shared" si="3"/>
        <v>LOSS</v>
      </c>
      <c r="F205" s="361"/>
      <c r="G205" s="361"/>
      <c r="H205" s="361" t="s">
        <v>327</v>
      </c>
      <c r="I205" s="160" t="s">
        <v>346</v>
      </c>
      <c r="J205" s="361" t="s">
        <v>1200</v>
      </c>
      <c r="K205" s="365"/>
      <c r="L205" s="361"/>
      <c r="M205" s="361"/>
      <c r="N205" s="361"/>
      <c r="O205" s="370"/>
      <c r="P205" s="387">
        <v>780000000</v>
      </c>
      <c r="Q205" s="387"/>
      <c r="R205" s="387"/>
      <c r="S205" s="387">
        <v>42500000</v>
      </c>
      <c r="T205" s="361"/>
      <c r="U205" s="367">
        <v>44326</v>
      </c>
      <c r="V205" s="367">
        <v>44690</v>
      </c>
      <c r="W205" s="361" t="s">
        <v>250</v>
      </c>
      <c r="X205" s="361"/>
      <c r="Y205" s="361"/>
      <c r="Z205" s="361"/>
      <c r="AA205" s="361"/>
      <c r="AB205" s="361"/>
      <c r="AC205" s="159"/>
      <c r="AD205" s="368"/>
      <c r="AE205" s="364">
        <v>4500016300</v>
      </c>
      <c r="AF205" s="364"/>
      <c r="AG205" s="361"/>
      <c r="AH205" s="365"/>
      <c r="AI205" s="361"/>
      <c r="AJ205" s="361"/>
      <c r="AK205" s="361"/>
      <c r="AL205" s="361"/>
      <c r="AM205" s="361"/>
      <c r="AN205" s="361"/>
      <c r="AO205" s="361"/>
      <c r="AP205" s="361"/>
      <c r="AQ205" s="361"/>
      <c r="AR205" s="503"/>
      <c r="AS205" s="489"/>
      <c r="AT205" s="160"/>
      <c r="AU205" s="355"/>
    </row>
    <row r="206" spans="1:47" s="124" customFormat="1" ht="21.75" hidden="1" customHeight="1">
      <c r="A206" s="331">
        <v>205</v>
      </c>
      <c r="B206" s="28" t="s">
        <v>119</v>
      </c>
      <c r="C206" s="361" t="s">
        <v>1201</v>
      </c>
      <c r="D206" s="435" t="s">
        <v>1181</v>
      </c>
      <c r="E206" s="361" t="str">
        <f t="shared" si="3"/>
        <v>LOSS</v>
      </c>
      <c r="F206" s="361"/>
      <c r="G206" s="361"/>
      <c r="H206" s="28" t="s">
        <v>261</v>
      </c>
      <c r="I206" s="361" t="s">
        <v>243</v>
      </c>
      <c r="J206" s="361" t="s">
        <v>1202</v>
      </c>
      <c r="K206" s="361"/>
      <c r="L206" s="361"/>
      <c r="M206" s="361"/>
      <c r="N206" s="361"/>
      <c r="O206" s="370"/>
      <c r="P206" s="387">
        <v>156000000</v>
      </c>
      <c r="Q206" s="387"/>
      <c r="R206" s="387"/>
      <c r="S206" s="387">
        <v>90000000</v>
      </c>
      <c r="T206" s="361"/>
      <c r="U206" s="348">
        <v>44409</v>
      </c>
      <c r="V206" s="348">
        <v>44804</v>
      </c>
      <c r="W206" s="361" t="s">
        <v>250</v>
      </c>
      <c r="X206" s="361"/>
      <c r="Y206" s="361"/>
      <c r="Z206" s="361"/>
      <c r="AA206" s="361"/>
      <c r="AB206" s="361"/>
      <c r="AC206" s="159"/>
      <c r="AD206" s="368"/>
      <c r="AE206" s="364">
        <v>4500016433</v>
      </c>
      <c r="AF206" s="364"/>
      <c r="AG206" s="361"/>
      <c r="AH206" s="361"/>
      <c r="AI206" s="361"/>
      <c r="AJ206" s="361"/>
      <c r="AK206" s="361"/>
      <c r="AL206" s="361"/>
      <c r="AM206" s="361"/>
      <c r="AN206" s="361"/>
      <c r="AO206" s="361"/>
      <c r="AP206" s="361"/>
      <c r="AQ206" s="361"/>
      <c r="AR206" s="503"/>
      <c r="AS206" s="489"/>
      <c r="AT206" s="160"/>
      <c r="AU206" s="355"/>
    </row>
    <row r="207" spans="1:47" s="124" customFormat="1" ht="21.75" hidden="1" customHeight="1">
      <c r="A207" s="331">
        <v>206</v>
      </c>
      <c r="B207" s="361" t="s">
        <v>1043</v>
      </c>
      <c r="C207" s="361" t="s">
        <v>1203</v>
      </c>
      <c r="D207" s="436" t="s">
        <v>1204</v>
      </c>
      <c r="E207" s="361" t="str">
        <f t="shared" si="3"/>
        <v>LOSS</v>
      </c>
      <c r="F207" s="361"/>
      <c r="G207" s="361"/>
      <c r="H207" s="28" t="s">
        <v>261</v>
      </c>
      <c r="I207" s="361" t="s">
        <v>243</v>
      </c>
      <c r="J207" s="361" t="s">
        <v>1205</v>
      </c>
      <c r="K207" s="361"/>
      <c r="L207" s="361"/>
      <c r="M207" s="361"/>
      <c r="N207" s="361"/>
      <c r="O207" s="370"/>
      <c r="P207" s="387">
        <v>112745460</v>
      </c>
      <c r="Q207" s="387"/>
      <c r="R207" s="387"/>
      <c r="S207" s="387">
        <v>104400000</v>
      </c>
      <c r="T207" s="361"/>
      <c r="U207" s="367">
        <v>44378</v>
      </c>
      <c r="V207" s="367">
        <v>44742</v>
      </c>
      <c r="W207" s="361" t="s">
        <v>250</v>
      </c>
      <c r="X207" s="361"/>
      <c r="Y207" s="361"/>
      <c r="Z207" s="361"/>
      <c r="AA207" s="361"/>
      <c r="AB207" s="361"/>
      <c r="AC207" s="159"/>
      <c r="AD207" s="368"/>
      <c r="AE207" s="364">
        <v>4500016429</v>
      </c>
      <c r="AF207" s="364"/>
      <c r="AG207" s="361"/>
      <c r="AH207" s="361"/>
      <c r="AI207" s="361"/>
      <c r="AJ207" s="361"/>
      <c r="AK207" s="361"/>
      <c r="AL207" s="361"/>
      <c r="AM207" s="361"/>
      <c r="AN207" s="361"/>
      <c r="AO207" s="361"/>
      <c r="AP207" s="361"/>
      <c r="AQ207" s="361"/>
      <c r="AR207" s="503"/>
      <c r="AS207" s="489"/>
      <c r="AT207" s="160"/>
      <c r="AU207" s="355"/>
    </row>
    <row r="208" spans="1:47" s="124" customFormat="1" ht="21.75" hidden="1" customHeight="1">
      <c r="A208" s="331">
        <v>207</v>
      </c>
      <c r="B208" s="159" t="s">
        <v>614</v>
      </c>
      <c r="C208" s="361" t="s">
        <v>1206</v>
      </c>
      <c r="D208" s="435" t="s">
        <v>1207</v>
      </c>
      <c r="E208" s="361" t="str">
        <f t="shared" si="3"/>
        <v>LOSS</v>
      </c>
      <c r="F208" s="361"/>
      <c r="G208" s="361"/>
      <c r="H208" s="28" t="s">
        <v>261</v>
      </c>
      <c r="I208" s="361" t="s">
        <v>243</v>
      </c>
      <c r="J208" s="361" t="s">
        <v>1208</v>
      </c>
      <c r="K208" s="361"/>
      <c r="L208" s="361"/>
      <c r="M208" s="361"/>
      <c r="N208" s="361"/>
      <c r="O208" s="370"/>
      <c r="P208" s="387">
        <v>316680000</v>
      </c>
      <c r="Q208" s="387"/>
      <c r="R208" s="387"/>
      <c r="S208" s="387">
        <v>204000000</v>
      </c>
      <c r="T208" s="361"/>
      <c r="U208" s="367">
        <v>44378</v>
      </c>
      <c r="V208" s="367">
        <v>44742</v>
      </c>
      <c r="W208" s="361" t="s">
        <v>250</v>
      </c>
      <c r="X208" s="361"/>
      <c r="Y208" s="361"/>
      <c r="Z208" s="361"/>
      <c r="AA208" s="361"/>
      <c r="AB208" s="361"/>
      <c r="AC208" s="159"/>
      <c r="AD208" s="368"/>
      <c r="AE208" s="364">
        <v>4500016428</v>
      </c>
      <c r="AF208" s="364"/>
      <c r="AG208" s="361"/>
      <c r="AH208" s="361"/>
      <c r="AI208" s="361"/>
      <c r="AJ208" s="361"/>
      <c r="AK208" s="361"/>
      <c r="AL208" s="361"/>
      <c r="AM208" s="361"/>
      <c r="AN208" s="361"/>
      <c r="AO208" s="361"/>
      <c r="AP208" s="361"/>
      <c r="AQ208" s="361"/>
      <c r="AR208" s="503"/>
      <c r="AS208" s="489"/>
      <c r="AT208" s="160"/>
      <c r="AU208" s="355"/>
    </row>
    <row r="209" spans="1:47" s="124" customFormat="1" ht="21.75" hidden="1" customHeight="1">
      <c r="A209" s="331">
        <v>208</v>
      </c>
      <c r="B209" s="361" t="s">
        <v>348</v>
      </c>
      <c r="C209" s="361" t="s">
        <v>1209</v>
      </c>
      <c r="D209" s="436" t="s">
        <v>1187</v>
      </c>
      <c r="E209" s="361" t="str">
        <f t="shared" si="3"/>
        <v>LOSS</v>
      </c>
      <c r="F209" s="361"/>
      <c r="G209" s="361"/>
      <c r="H209" s="361" t="s">
        <v>327</v>
      </c>
      <c r="I209" s="361" t="s">
        <v>242</v>
      </c>
      <c r="J209" s="361" t="s">
        <v>1210</v>
      </c>
      <c r="K209" s="365"/>
      <c r="L209" s="361"/>
      <c r="M209" s="361"/>
      <c r="N209" s="361"/>
      <c r="O209" s="370">
        <v>2000000</v>
      </c>
      <c r="P209" s="387">
        <v>84000000</v>
      </c>
      <c r="Q209" s="387"/>
      <c r="R209" s="387"/>
      <c r="S209" s="387">
        <v>26970084</v>
      </c>
      <c r="T209" s="361"/>
      <c r="U209" s="367">
        <v>44382</v>
      </c>
      <c r="V209" s="367">
        <v>44747</v>
      </c>
      <c r="W209" s="361" t="s">
        <v>250</v>
      </c>
      <c r="X209" s="361"/>
      <c r="Y209" s="361"/>
      <c r="Z209" s="361"/>
      <c r="AA209" s="361"/>
      <c r="AB209" s="361"/>
      <c r="AC209" s="159"/>
      <c r="AD209" s="361" t="s">
        <v>1211</v>
      </c>
      <c r="AE209" s="364">
        <v>4500016365</v>
      </c>
      <c r="AF209" s="364"/>
      <c r="AG209" s="361"/>
      <c r="AH209" s="365"/>
      <c r="AI209" s="361"/>
      <c r="AJ209" s="361"/>
      <c r="AK209" s="361"/>
      <c r="AL209" s="361"/>
      <c r="AM209" s="361"/>
      <c r="AN209" s="361"/>
      <c r="AO209" s="361"/>
      <c r="AP209" s="361"/>
      <c r="AQ209" s="361"/>
      <c r="AR209" s="503"/>
      <c r="AS209" s="489"/>
      <c r="AT209" s="160"/>
      <c r="AU209" s="355"/>
    </row>
    <row r="210" spans="1:47" s="124" customFormat="1" ht="21.75" hidden="1" customHeight="1">
      <c r="A210" s="331">
        <v>209</v>
      </c>
      <c r="B210" s="391" t="s">
        <v>1052</v>
      </c>
      <c r="C210" s="361" t="s">
        <v>945</v>
      </c>
      <c r="D210" s="435" t="s">
        <v>854</v>
      </c>
      <c r="E210" s="361" t="str">
        <f t="shared" si="3"/>
        <v>LOSS</v>
      </c>
      <c r="F210" s="361"/>
      <c r="G210" s="361"/>
      <c r="H210" s="361" t="s">
        <v>327</v>
      </c>
      <c r="I210" s="361" t="s">
        <v>242</v>
      </c>
      <c r="J210" s="361" t="s">
        <v>1212</v>
      </c>
      <c r="K210" s="365"/>
      <c r="L210" s="361"/>
      <c r="M210" s="361"/>
      <c r="N210" s="361"/>
      <c r="O210" s="370">
        <v>15000000</v>
      </c>
      <c r="P210" s="387">
        <v>240000000</v>
      </c>
      <c r="Q210" s="387"/>
      <c r="R210" s="387">
        <v>6000000</v>
      </c>
      <c r="S210" s="387">
        <v>12000000</v>
      </c>
      <c r="T210" s="361"/>
      <c r="U210" s="367">
        <v>44399</v>
      </c>
      <c r="V210" s="367">
        <v>44763</v>
      </c>
      <c r="W210" s="361" t="s">
        <v>250</v>
      </c>
      <c r="X210" s="361"/>
      <c r="Y210" s="361"/>
      <c r="Z210" s="361"/>
      <c r="AA210" s="361"/>
      <c r="AB210" s="361"/>
      <c r="AC210" s="159"/>
      <c r="AD210" s="361" t="s">
        <v>1213</v>
      </c>
      <c r="AE210" s="364">
        <v>4500016590</v>
      </c>
      <c r="AF210" s="364"/>
      <c r="AG210" s="361"/>
      <c r="AH210" s="365"/>
      <c r="AI210" s="361"/>
      <c r="AJ210" s="361"/>
      <c r="AK210" s="361"/>
      <c r="AL210" s="361"/>
      <c r="AM210" s="361"/>
      <c r="AN210" s="361"/>
      <c r="AO210" s="361"/>
      <c r="AP210" s="361"/>
      <c r="AQ210" s="361"/>
      <c r="AR210" s="503"/>
      <c r="AS210" s="489"/>
      <c r="AT210" s="160"/>
      <c r="AU210" s="355"/>
    </row>
    <row r="211" spans="1:47" s="124" customFormat="1" ht="21.75" hidden="1" customHeight="1">
      <c r="A211" s="331">
        <v>210</v>
      </c>
      <c r="B211" s="361" t="s">
        <v>1043</v>
      </c>
      <c r="C211" s="361" t="s">
        <v>1214</v>
      </c>
      <c r="D211" s="436" t="s">
        <v>1204</v>
      </c>
      <c r="E211" s="361" t="str">
        <f t="shared" si="3"/>
        <v>LOSS</v>
      </c>
      <c r="F211" s="361"/>
      <c r="G211" s="361"/>
      <c r="H211" s="28" t="s">
        <v>261</v>
      </c>
      <c r="I211" s="361" t="s">
        <v>243</v>
      </c>
      <c r="J211" s="361" t="s">
        <v>1215</v>
      </c>
      <c r="K211" s="361"/>
      <c r="L211" s="361"/>
      <c r="M211" s="361"/>
      <c r="N211" s="361"/>
      <c r="O211" s="370"/>
      <c r="P211" s="387">
        <v>5000000</v>
      </c>
      <c r="Q211" s="387"/>
      <c r="R211" s="387"/>
      <c r="S211" s="387">
        <v>1500000</v>
      </c>
      <c r="T211" s="361"/>
      <c r="U211" s="367">
        <v>44376</v>
      </c>
      <c r="V211" s="367">
        <v>44377</v>
      </c>
      <c r="W211" s="361" t="s">
        <v>250</v>
      </c>
      <c r="X211" s="361"/>
      <c r="Y211" s="361"/>
      <c r="Z211" s="361"/>
      <c r="AA211" s="361"/>
      <c r="AB211" s="361"/>
      <c r="AC211" s="159"/>
      <c r="AD211" s="361" t="s">
        <v>1216</v>
      </c>
      <c r="AE211" s="364">
        <v>4500016357</v>
      </c>
      <c r="AF211" s="364"/>
      <c r="AG211" s="361"/>
      <c r="AH211" s="361"/>
      <c r="AI211" s="361"/>
      <c r="AJ211" s="361"/>
      <c r="AK211" s="361"/>
      <c r="AL211" s="361"/>
      <c r="AM211" s="361"/>
      <c r="AN211" s="361"/>
      <c r="AO211" s="361"/>
      <c r="AP211" s="361"/>
      <c r="AQ211" s="361"/>
      <c r="AR211" s="503"/>
      <c r="AS211" s="489"/>
      <c r="AT211" s="160"/>
      <c r="AU211" s="355"/>
    </row>
    <row r="212" spans="1:47" s="124" customFormat="1" ht="21.75" hidden="1" customHeight="1">
      <c r="A212" s="331">
        <v>211</v>
      </c>
      <c r="B212" s="361" t="s">
        <v>348</v>
      </c>
      <c r="C212" s="361" t="s">
        <v>1217</v>
      </c>
      <c r="D212" s="435" t="s">
        <v>1187</v>
      </c>
      <c r="E212" s="361" t="str">
        <f t="shared" si="3"/>
        <v>LOSS</v>
      </c>
      <c r="F212" s="361"/>
      <c r="G212" s="361"/>
      <c r="H212" s="361" t="s">
        <v>327</v>
      </c>
      <c r="I212" s="361" t="s">
        <v>242</v>
      </c>
      <c r="J212" s="361" t="s">
        <v>1218</v>
      </c>
      <c r="K212" s="365"/>
      <c r="L212" s="361"/>
      <c r="M212" s="361"/>
      <c r="N212" s="361"/>
      <c r="O212" s="370">
        <v>3500000</v>
      </c>
      <c r="P212" s="387">
        <v>60000000</v>
      </c>
      <c r="Q212" s="387"/>
      <c r="R212" s="387"/>
      <c r="S212" s="387">
        <v>39458424</v>
      </c>
      <c r="T212" s="361"/>
      <c r="U212" s="367">
        <v>44343</v>
      </c>
      <c r="V212" s="367">
        <v>44707</v>
      </c>
      <c r="W212" s="361" t="s">
        <v>250</v>
      </c>
      <c r="X212" s="361"/>
      <c r="Y212" s="361"/>
      <c r="Z212" s="361"/>
      <c r="AA212" s="361"/>
      <c r="AB212" s="361"/>
      <c r="AC212" s="159"/>
      <c r="AD212" s="368"/>
      <c r="AE212" s="364">
        <v>4500016354</v>
      </c>
      <c r="AF212" s="364"/>
      <c r="AG212" s="361"/>
      <c r="AH212" s="365"/>
      <c r="AI212" s="361"/>
      <c r="AJ212" s="361"/>
      <c r="AK212" s="361"/>
      <c r="AL212" s="361"/>
      <c r="AM212" s="361"/>
      <c r="AN212" s="361"/>
      <c r="AO212" s="361"/>
      <c r="AP212" s="361"/>
      <c r="AQ212" s="361"/>
      <c r="AR212" s="503"/>
      <c r="AS212" s="489"/>
      <c r="AT212" s="160"/>
      <c r="AU212" s="355"/>
    </row>
    <row r="213" spans="1:47" s="124" customFormat="1" ht="21.75" hidden="1" customHeight="1">
      <c r="A213" s="331">
        <v>212</v>
      </c>
      <c r="B213" s="28" t="s">
        <v>30</v>
      </c>
      <c r="C213" s="361" t="s">
        <v>1219</v>
      </c>
      <c r="D213" s="436" t="s">
        <v>1220</v>
      </c>
      <c r="E213" s="361" t="str">
        <f t="shared" si="3"/>
        <v>LOSS</v>
      </c>
      <c r="F213" s="361"/>
      <c r="G213" s="361"/>
      <c r="H213" s="361" t="s">
        <v>327</v>
      </c>
      <c r="I213" s="29" t="s">
        <v>346</v>
      </c>
      <c r="J213" s="361" t="s">
        <v>1221</v>
      </c>
      <c r="K213" s="365"/>
      <c r="L213" s="361"/>
      <c r="M213" s="361"/>
      <c r="N213" s="361"/>
      <c r="O213" s="370"/>
      <c r="P213" s="387">
        <v>42000000</v>
      </c>
      <c r="Q213" s="387"/>
      <c r="R213" s="387"/>
      <c r="S213" s="387">
        <v>20000000</v>
      </c>
      <c r="T213" s="361"/>
      <c r="U213" s="367">
        <v>44346</v>
      </c>
      <c r="V213" s="367">
        <v>44710</v>
      </c>
      <c r="W213" s="361" t="s">
        <v>250</v>
      </c>
      <c r="X213" s="361"/>
      <c r="Y213" s="361"/>
      <c r="Z213" s="361"/>
      <c r="AA213" s="361"/>
      <c r="AB213" s="361"/>
      <c r="AC213" s="159"/>
      <c r="AD213" s="368"/>
      <c r="AE213" s="364">
        <v>4500016170</v>
      </c>
      <c r="AF213" s="364"/>
      <c r="AG213" s="361"/>
      <c r="AH213" s="365"/>
      <c r="AI213" s="361"/>
      <c r="AJ213" s="361"/>
      <c r="AK213" s="361"/>
      <c r="AL213" s="361"/>
      <c r="AM213" s="361"/>
      <c r="AN213" s="361"/>
      <c r="AO213" s="361"/>
      <c r="AP213" s="361"/>
      <c r="AQ213" s="361"/>
      <c r="AR213" s="503"/>
      <c r="AS213" s="489"/>
      <c r="AT213" s="160"/>
      <c r="AU213" s="355"/>
    </row>
    <row r="214" spans="1:47" s="124" customFormat="1" ht="21.75" hidden="1" customHeight="1">
      <c r="A214" s="331">
        <v>213</v>
      </c>
      <c r="B214" s="28" t="s">
        <v>103</v>
      </c>
      <c r="C214" s="361" t="s">
        <v>555</v>
      </c>
      <c r="D214" s="435" t="s">
        <v>1222</v>
      </c>
      <c r="E214" s="361" t="str">
        <f t="shared" si="3"/>
        <v>LOSS</v>
      </c>
      <c r="F214" s="361"/>
      <c r="G214" s="361"/>
      <c r="H214" s="361" t="s">
        <v>327</v>
      </c>
      <c r="I214" s="160" t="s">
        <v>346</v>
      </c>
      <c r="J214" s="361" t="s">
        <v>1223</v>
      </c>
      <c r="K214" s="365"/>
      <c r="L214" s="361"/>
      <c r="M214" s="361"/>
      <c r="N214" s="361"/>
      <c r="O214" s="370"/>
      <c r="P214" s="387">
        <v>37713600</v>
      </c>
      <c r="Q214" s="387"/>
      <c r="R214" s="387"/>
      <c r="S214" s="387">
        <v>9375000</v>
      </c>
      <c r="T214" s="361"/>
      <c r="U214" s="367">
        <v>44298</v>
      </c>
      <c r="V214" s="367">
        <v>44662</v>
      </c>
      <c r="W214" s="361" t="s">
        <v>250</v>
      </c>
      <c r="X214" s="361"/>
      <c r="Y214" s="361"/>
      <c r="Z214" s="361"/>
      <c r="AA214" s="361"/>
      <c r="AB214" s="361"/>
      <c r="AC214" s="159"/>
      <c r="AD214" s="368"/>
      <c r="AE214" s="364">
        <v>4500016054</v>
      </c>
      <c r="AF214" s="364"/>
      <c r="AG214" s="361"/>
      <c r="AH214" s="365"/>
      <c r="AI214" s="361"/>
      <c r="AJ214" s="361"/>
      <c r="AK214" s="361"/>
      <c r="AL214" s="361"/>
      <c r="AM214" s="361"/>
      <c r="AN214" s="361"/>
      <c r="AO214" s="361"/>
      <c r="AP214" s="361"/>
      <c r="AQ214" s="361"/>
      <c r="AR214" s="503"/>
      <c r="AS214" s="489"/>
      <c r="AT214" s="160"/>
      <c r="AU214" s="355"/>
    </row>
    <row r="215" spans="1:47" s="124" customFormat="1" ht="21.75" hidden="1" customHeight="1">
      <c r="A215" s="331">
        <v>214</v>
      </c>
      <c r="B215" s="391" t="s">
        <v>1224</v>
      </c>
      <c r="C215" s="361" t="s">
        <v>1225</v>
      </c>
      <c r="D215" s="436" t="s">
        <v>1073</v>
      </c>
      <c r="E215" s="361" t="str">
        <f t="shared" si="3"/>
        <v>LOSS</v>
      </c>
      <c r="F215" s="361"/>
      <c r="G215" s="361"/>
      <c r="H215" s="361" t="s">
        <v>327</v>
      </c>
      <c r="I215" s="160" t="s">
        <v>346</v>
      </c>
      <c r="J215" s="361" t="s">
        <v>1226</v>
      </c>
      <c r="K215" s="365"/>
      <c r="L215" s="361"/>
      <c r="M215" s="361"/>
      <c r="N215" s="361"/>
      <c r="O215" s="370"/>
      <c r="P215" s="387">
        <v>357000000</v>
      </c>
      <c r="Q215" s="387"/>
      <c r="R215" s="387"/>
      <c r="S215" s="387">
        <v>88330000</v>
      </c>
      <c r="T215" s="361"/>
      <c r="U215" s="367">
        <v>44409</v>
      </c>
      <c r="V215" s="367">
        <v>44773</v>
      </c>
      <c r="W215" s="361" t="s">
        <v>250</v>
      </c>
      <c r="X215" s="361"/>
      <c r="Y215" s="361"/>
      <c r="Z215" s="361"/>
      <c r="AA215" s="361"/>
      <c r="AB215" s="361"/>
      <c r="AC215" s="159"/>
      <c r="AD215" s="368"/>
      <c r="AE215" s="364">
        <v>4500016264</v>
      </c>
      <c r="AF215" s="364"/>
      <c r="AG215" s="361"/>
      <c r="AH215" s="365"/>
      <c r="AI215" s="361"/>
      <c r="AJ215" s="361"/>
      <c r="AK215" s="361"/>
      <c r="AL215" s="361"/>
      <c r="AM215" s="361"/>
      <c r="AN215" s="361"/>
      <c r="AO215" s="361"/>
      <c r="AP215" s="361"/>
      <c r="AQ215" s="361"/>
      <c r="AR215" s="503"/>
      <c r="AS215" s="489"/>
      <c r="AT215" s="160"/>
      <c r="AU215" s="355"/>
    </row>
    <row r="216" spans="1:47" s="124" customFormat="1" ht="21.75" hidden="1" customHeight="1">
      <c r="A216" s="331">
        <v>215</v>
      </c>
      <c r="B216" s="28" t="s">
        <v>179</v>
      </c>
      <c r="C216" s="361" t="s">
        <v>1227</v>
      </c>
      <c r="D216" s="435" t="s">
        <v>560</v>
      </c>
      <c r="E216" s="361" t="str">
        <f t="shared" si="3"/>
        <v>LOSS</v>
      </c>
      <c r="F216" s="361"/>
      <c r="G216" s="361"/>
      <c r="H216" s="361" t="s">
        <v>327</v>
      </c>
      <c r="I216" s="361" t="s">
        <v>242</v>
      </c>
      <c r="J216" s="361" t="s">
        <v>1228</v>
      </c>
      <c r="K216" s="365"/>
      <c r="L216" s="361"/>
      <c r="M216" s="361"/>
      <c r="N216" s="361"/>
      <c r="O216" s="370"/>
      <c r="P216" s="387">
        <v>57000000</v>
      </c>
      <c r="Q216" s="387"/>
      <c r="R216" s="387"/>
      <c r="S216" s="387">
        <v>18000000</v>
      </c>
      <c r="T216" s="387"/>
      <c r="U216" s="367">
        <v>44554</v>
      </c>
      <c r="V216" s="367">
        <v>44918</v>
      </c>
      <c r="W216" s="361" t="s">
        <v>250</v>
      </c>
      <c r="X216" s="361"/>
      <c r="Y216" s="361"/>
      <c r="Z216" s="361"/>
      <c r="AA216" s="361"/>
      <c r="AB216" s="361"/>
      <c r="AC216" s="159"/>
      <c r="AD216" s="368"/>
      <c r="AE216" s="364">
        <v>4500017434</v>
      </c>
      <c r="AF216" s="364"/>
      <c r="AG216" s="361"/>
      <c r="AH216" s="365"/>
      <c r="AI216" s="361"/>
      <c r="AJ216" s="361"/>
      <c r="AK216" s="361"/>
      <c r="AL216" s="361"/>
      <c r="AM216" s="361"/>
      <c r="AN216" s="361"/>
      <c r="AO216" s="361"/>
      <c r="AP216" s="361"/>
      <c r="AQ216" s="361"/>
      <c r="AR216" s="503"/>
      <c r="AS216" s="489"/>
      <c r="AT216" s="160"/>
      <c r="AU216" s="355"/>
    </row>
    <row r="217" spans="1:47" s="124" customFormat="1" ht="21.75" hidden="1" customHeight="1">
      <c r="A217" s="331">
        <v>216</v>
      </c>
      <c r="B217" s="361" t="s">
        <v>542</v>
      </c>
      <c r="C217" s="361" t="s">
        <v>1229</v>
      </c>
      <c r="D217" s="436" t="s">
        <v>544</v>
      </c>
      <c r="E217" s="361" t="str">
        <f t="shared" si="3"/>
        <v>LOSS</v>
      </c>
      <c r="F217" s="361"/>
      <c r="G217" s="361"/>
      <c r="H217" s="361" t="s">
        <v>327</v>
      </c>
      <c r="I217" s="361" t="s">
        <v>242</v>
      </c>
      <c r="J217" s="361" t="s">
        <v>1230</v>
      </c>
      <c r="K217" s="365"/>
      <c r="L217" s="361"/>
      <c r="M217" s="361"/>
      <c r="N217" s="361"/>
      <c r="O217" s="370"/>
      <c r="P217" s="387">
        <v>36000000</v>
      </c>
      <c r="Q217" s="387"/>
      <c r="R217" s="387"/>
      <c r="S217" s="387">
        <v>8000000</v>
      </c>
      <c r="T217" s="387"/>
      <c r="U217" s="367">
        <v>44548</v>
      </c>
      <c r="V217" s="367">
        <v>44912</v>
      </c>
      <c r="W217" s="361" t="s">
        <v>250</v>
      </c>
      <c r="X217" s="361"/>
      <c r="Y217" s="361"/>
      <c r="Z217" s="361"/>
      <c r="AA217" s="361"/>
      <c r="AB217" s="361"/>
      <c r="AC217" s="159"/>
      <c r="AD217" s="368"/>
      <c r="AE217" s="364">
        <v>4500017405</v>
      </c>
      <c r="AF217" s="364"/>
      <c r="AG217" s="361"/>
      <c r="AH217" s="365"/>
      <c r="AI217" s="361"/>
      <c r="AJ217" s="361"/>
      <c r="AK217" s="361"/>
      <c r="AL217" s="361"/>
      <c r="AM217" s="361"/>
      <c r="AN217" s="361"/>
      <c r="AO217" s="361"/>
      <c r="AP217" s="361"/>
      <c r="AQ217" s="361"/>
      <c r="AR217" s="503"/>
      <c r="AS217" s="489"/>
      <c r="AT217" s="160"/>
      <c r="AU217" s="355"/>
    </row>
    <row r="218" spans="1:47" s="124" customFormat="1" ht="21.75" hidden="1" customHeight="1">
      <c r="A218" s="331">
        <v>217</v>
      </c>
      <c r="B218" s="28" t="s">
        <v>179</v>
      </c>
      <c r="C218" s="361" t="s">
        <v>624</v>
      </c>
      <c r="D218" s="435" t="s">
        <v>560</v>
      </c>
      <c r="E218" s="361" t="str">
        <f t="shared" si="3"/>
        <v>LOSS</v>
      </c>
      <c r="F218" s="361"/>
      <c r="G218" s="361"/>
      <c r="H218" s="361" t="s">
        <v>327</v>
      </c>
      <c r="I218" s="361" t="s">
        <v>242</v>
      </c>
      <c r="J218" s="361" t="s">
        <v>1231</v>
      </c>
      <c r="K218" s="365"/>
      <c r="L218" s="361"/>
      <c r="M218" s="361"/>
      <c r="N218" s="361"/>
      <c r="O218" s="370"/>
      <c r="P218" s="387">
        <v>28800000</v>
      </c>
      <c r="Q218" s="387"/>
      <c r="R218" s="387"/>
      <c r="S218" s="387">
        <v>18000000</v>
      </c>
      <c r="T218" s="387"/>
      <c r="U218" s="367">
        <v>44554</v>
      </c>
      <c r="V218" s="367">
        <v>44918</v>
      </c>
      <c r="W218" s="361" t="s">
        <v>250</v>
      </c>
      <c r="X218" s="361"/>
      <c r="Y218" s="361"/>
      <c r="Z218" s="361"/>
      <c r="AA218" s="361"/>
      <c r="AB218" s="361"/>
      <c r="AC218" s="159"/>
      <c r="AD218" s="368"/>
      <c r="AE218" s="364">
        <v>4500017432</v>
      </c>
      <c r="AF218" s="364"/>
      <c r="AG218" s="361"/>
      <c r="AH218" s="365"/>
      <c r="AI218" s="361"/>
      <c r="AJ218" s="361"/>
      <c r="AK218" s="361"/>
      <c r="AL218" s="361"/>
      <c r="AM218" s="361"/>
      <c r="AN218" s="361"/>
      <c r="AO218" s="361"/>
      <c r="AP218" s="361"/>
      <c r="AQ218" s="361"/>
      <c r="AR218" s="503"/>
      <c r="AS218" s="489"/>
      <c r="AT218" s="160"/>
      <c r="AU218" s="355"/>
    </row>
    <row r="219" spans="1:47" s="124" customFormat="1" ht="21.75" hidden="1" customHeight="1">
      <c r="A219" s="331">
        <v>218</v>
      </c>
      <c r="B219" s="361" t="s">
        <v>1035</v>
      </c>
      <c r="C219" s="361" t="s">
        <v>1232</v>
      </c>
      <c r="D219" s="436" t="s">
        <v>1233</v>
      </c>
      <c r="E219" s="361" t="str">
        <f t="shared" si="3"/>
        <v>LOSS</v>
      </c>
      <c r="F219" s="361"/>
      <c r="G219" s="361"/>
      <c r="H219" s="361" t="s">
        <v>327</v>
      </c>
      <c r="I219" s="160" t="s">
        <v>346</v>
      </c>
      <c r="J219" s="361" t="s">
        <v>1234</v>
      </c>
      <c r="K219" s="365"/>
      <c r="L219" s="361"/>
      <c r="M219" s="361"/>
      <c r="N219" s="361"/>
      <c r="O219" s="370">
        <v>5000000</v>
      </c>
      <c r="P219" s="387">
        <v>270000000</v>
      </c>
      <c r="Q219" s="387"/>
      <c r="R219" s="387"/>
      <c r="S219" s="387">
        <v>45612000</v>
      </c>
      <c r="T219" s="387"/>
      <c r="U219" s="367">
        <v>44557</v>
      </c>
      <c r="V219" s="367">
        <v>44921</v>
      </c>
      <c r="W219" s="361" t="s">
        <v>250</v>
      </c>
      <c r="X219" s="361"/>
      <c r="Y219" s="361"/>
      <c r="Z219" s="361"/>
      <c r="AA219" s="361"/>
      <c r="AB219" s="361"/>
      <c r="AC219" s="159"/>
      <c r="AD219" s="361" t="s">
        <v>1235</v>
      </c>
      <c r="AE219" s="364">
        <v>4500017450</v>
      </c>
      <c r="AF219" s="364"/>
      <c r="AG219" s="361"/>
      <c r="AH219" s="365"/>
      <c r="AI219" s="361"/>
      <c r="AJ219" s="361"/>
      <c r="AK219" s="361"/>
      <c r="AL219" s="361"/>
      <c r="AM219" s="361"/>
      <c r="AN219" s="361"/>
      <c r="AO219" s="361"/>
      <c r="AP219" s="361"/>
      <c r="AQ219" s="361"/>
      <c r="AR219" s="503"/>
      <c r="AS219" s="489"/>
      <c r="AT219" s="160"/>
      <c r="AU219" s="355"/>
    </row>
    <row r="220" spans="1:47" s="124" customFormat="1" ht="21.75" hidden="1" customHeight="1">
      <c r="A220" s="331">
        <v>219</v>
      </c>
      <c r="B220" s="361" t="s">
        <v>450</v>
      </c>
      <c r="C220" s="361" t="s">
        <v>1236</v>
      </c>
      <c r="D220" s="435" t="s">
        <v>597</v>
      </c>
      <c r="E220" s="361" t="str">
        <f t="shared" si="3"/>
        <v>LOSS</v>
      </c>
      <c r="F220" s="361"/>
      <c r="G220" s="361"/>
      <c r="H220" s="361" t="s">
        <v>327</v>
      </c>
      <c r="I220" s="160" t="s">
        <v>346</v>
      </c>
      <c r="J220" s="361" t="s">
        <v>1237</v>
      </c>
      <c r="K220" s="365"/>
      <c r="L220" s="361"/>
      <c r="M220" s="361"/>
      <c r="N220" s="361"/>
      <c r="O220" s="370"/>
      <c r="P220" s="387">
        <v>154800000</v>
      </c>
      <c r="Q220" s="387"/>
      <c r="R220" s="387"/>
      <c r="S220" s="387">
        <v>2500000</v>
      </c>
      <c r="T220" s="387"/>
      <c r="U220" s="367">
        <v>44519</v>
      </c>
      <c r="V220" s="367">
        <v>44883</v>
      </c>
      <c r="W220" s="361" t="s">
        <v>250</v>
      </c>
      <c r="X220" s="361"/>
      <c r="Y220" s="361"/>
      <c r="Z220" s="361"/>
      <c r="AA220" s="361"/>
      <c r="AB220" s="361"/>
      <c r="AC220" s="159"/>
      <c r="AD220" s="361" t="s">
        <v>1238</v>
      </c>
      <c r="AE220" s="364">
        <v>4500017890</v>
      </c>
      <c r="AF220" s="364"/>
      <c r="AG220" s="361"/>
      <c r="AH220" s="365"/>
      <c r="AI220" s="361"/>
      <c r="AJ220" s="361"/>
      <c r="AK220" s="361"/>
      <c r="AL220" s="361"/>
      <c r="AM220" s="361"/>
      <c r="AN220" s="361"/>
      <c r="AO220" s="361"/>
      <c r="AP220" s="361"/>
      <c r="AQ220" s="361"/>
      <c r="AR220" s="503"/>
      <c r="AS220" s="489"/>
      <c r="AT220" s="160"/>
      <c r="AU220" s="355"/>
    </row>
    <row r="221" spans="1:47" s="124" customFormat="1" ht="21.75" hidden="1" customHeight="1">
      <c r="A221" s="331">
        <v>220</v>
      </c>
      <c r="B221" s="173" t="s">
        <v>1035</v>
      </c>
      <c r="C221" s="361" t="s">
        <v>1239</v>
      </c>
      <c r="D221" s="436" t="s">
        <v>1240</v>
      </c>
      <c r="E221" s="361" t="str">
        <f t="shared" si="3"/>
        <v>LOSS</v>
      </c>
      <c r="F221" s="361"/>
      <c r="G221" s="361"/>
      <c r="H221" s="361" t="s">
        <v>327</v>
      </c>
      <c r="I221" s="160" t="s">
        <v>346</v>
      </c>
      <c r="J221" s="361" t="s">
        <v>1241</v>
      </c>
      <c r="K221" s="365"/>
      <c r="L221" s="361"/>
      <c r="M221" s="361"/>
      <c r="N221" s="361"/>
      <c r="O221" s="370"/>
      <c r="P221" s="387">
        <v>337200000</v>
      </c>
      <c r="Q221" s="387"/>
      <c r="R221" s="387"/>
      <c r="S221" s="387">
        <v>14660000</v>
      </c>
      <c r="T221" s="387"/>
      <c r="U221" s="367">
        <v>44518</v>
      </c>
      <c r="V221" s="367">
        <v>44882</v>
      </c>
      <c r="W221" s="361" t="s">
        <v>250</v>
      </c>
      <c r="X221" s="361"/>
      <c r="Y221" s="361"/>
      <c r="Z221" s="361"/>
      <c r="AA221" s="361"/>
      <c r="AB221" s="361"/>
      <c r="AC221" s="159"/>
      <c r="AD221" s="361" t="s">
        <v>1242</v>
      </c>
      <c r="AE221" s="364">
        <v>4500017412</v>
      </c>
      <c r="AF221" s="364"/>
      <c r="AG221" s="361"/>
      <c r="AH221" s="365"/>
      <c r="AI221" s="361"/>
      <c r="AJ221" s="361"/>
      <c r="AK221" s="361"/>
      <c r="AL221" s="361"/>
      <c r="AM221" s="361"/>
      <c r="AN221" s="361"/>
      <c r="AO221" s="361"/>
      <c r="AP221" s="361"/>
      <c r="AQ221" s="361"/>
      <c r="AR221" s="503"/>
      <c r="AS221" s="489"/>
      <c r="AT221" s="160"/>
      <c r="AU221" s="355"/>
    </row>
    <row r="222" spans="1:47" s="124" customFormat="1" ht="21.75" hidden="1" customHeight="1">
      <c r="A222" s="331">
        <v>221</v>
      </c>
      <c r="B222" s="361" t="s">
        <v>348</v>
      </c>
      <c r="C222" s="361" t="s">
        <v>1243</v>
      </c>
      <c r="D222" s="435" t="s">
        <v>1187</v>
      </c>
      <c r="E222" s="361" t="str">
        <f t="shared" si="3"/>
        <v>LOSS</v>
      </c>
      <c r="F222" s="361"/>
      <c r="G222" s="361"/>
      <c r="H222" s="361" t="s">
        <v>327</v>
      </c>
      <c r="I222" s="361" t="s">
        <v>242</v>
      </c>
      <c r="J222" s="361" t="s">
        <v>1244</v>
      </c>
      <c r="K222" s="365"/>
      <c r="L222" s="361"/>
      <c r="M222" s="361"/>
      <c r="N222" s="361"/>
      <c r="O222" s="370">
        <v>3500000</v>
      </c>
      <c r="P222" s="387">
        <v>108000000</v>
      </c>
      <c r="Q222" s="387"/>
      <c r="R222" s="387"/>
      <c r="S222" s="387">
        <v>101500000</v>
      </c>
      <c r="T222" s="361"/>
      <c r="U222" s="367">
        <v>44495</v>
      </c>
      <c r="V222" s="367">
        <v>44834</v>
      </c>
      <c r="W222" s="361" t="s">
        <v>250</v>
      </c>
      <c r="X222" s="361"/>
      <c r="Y222" s="361"/>
      <c r="Z222" s="361"/>
      <c r="AA222" s="361"/>
      <c r="AB222" s="361"/>
      <c r="AC222" s="159"/>
      <c r="AD222" s="361" t="s">
        <v>1245</v>
      </c>
      <c r="AE222" s="364">
        <v>4500016810</v>
      </c>
      <c r="AF222" s="364"/>
      <c r="AG222" s="361"/>
      <c r="AH222" s="365"/>
      <c r="AI222" s="361"/>
      <c r="AJ222" s="361"/>
      <c r="AK222" s="361"/>
      <c r="AL222" s="361"/>
      <c r="AM222" s="361"/>
      <c r="AN222" s="361"/>
      <c r="AO222" s="361"/>
      <c r="AP222" s="361"/>
      <c r="AQ222" s="361"/>
      <c r="AR222" s="503"/>
      <c r="AS222" s="489"/>
      <c r="AT222" s="160"/>
      <c r="AU222" s="355"/>
    </row>
    <row r="223" spans="1:47" s="124" customFormat="1" ht="21.75" hidden="1" customHeight="1">
      <c r="A223" s="331">
        <v>222</v>
      </c>
      <c r="B223" s="28" t="s">
        <v>179</v>
      </c>
      <c r="C223" s="361" t="s">
        <v>1246</v>
      </c>
      <c r="D223" s="436" t="s">
        <v>560</v>
      </c>
      <c r="E223" s="361" t="str">
        <f t="shared" si="3"/>
        <v>LOSS</v>
      </c>
      <c r="F223" s="361"/>
      <c r="G223" s="361"/>
      <c r="H223" s="361" t="s">
        <v>327</v>
      </c>
      <c r="I223" s="361" t="s">
        <v>242</v>
      </c>
      <c r="J223" s="361" t="s">
        <v>1247</v>
      </c>
      <c r="K223" s="365"/>
      <c r="L223" s="361"/>
      <c r="M223" s="361"/>
      <c r="N223" s="361"/>
      <c r="O223" s="370"/>
      <c r="P223" s="387">
        <v>300000000</v>
      </c>
      <c r="Q223" s="387"/>
      <c r="R223" s="387">
        <v>1500000</v>
      </c>
      <c r="S223" s="387">
        <v>36000000</v>
      </c>
      <c r="T223" s="361"/>
      <c r="U223" s="367">
        <v>44483</v>
      </c>
      <c r="V223" s="367">
        <v>44847</v>
      </c>
      <c r="W223" s="361" t="s">
        <v>250</v>
      </c>
      <c r="X223" s="361"/>
      <c r="Y223" s="361"/>
      <c r="Z223" s="361"/>
      <c r="AA223" s="361"/>
      <c r="AB223" s="361"/>
      <c r="AC223" s="159"/>
      <c r="AD223" s="361" t="s">
        <v>1248</v>
      </c>
      <c r="AE223" s="364">
        <v>4500016925</v>
      </c>
      <c r="AF223" s="364"/>
      <c r="AG223" s="361"/>
      <c r="AH223" s="365"/>
      <c r="AI223" s="361"/>
      <c r="AJ223" s="361"/>
      <c r="AK223" s="361"/>
      <c r="AL223" s="361"/>
      <c r="AM223" s="361"/>
      <c r="AN223" s="361"/>
      <c r="AO223" s="361"/>
      <c r="AP223" s="361"/>
      <c r="AQ223" s="361"/>
      <c r="AR223" s="503"/>
      <c r="AS223" s="489"/>
      <c r="AT223" s="160"/>
      <c r="AU223" s="355"/>
    </row>
    <row r="224" spans="1:47" s="124" customFormat="1" ht="21.75" hidden="1" customHeight="1">
      <c r="A224" s="331">
        <v>223</v>
      </c>
      <c r="B224" s="28" t="s">
        <v>1249</v>
      </c>
      <c r="C224" s="361" t="s">
        <v>1250</v>
      </c>
      <c r="D224" s="435" t="s">
        <v>572</v>
      </c>
      <c r="E224" s="361" t="str">
        <f t="shared" si="3"/>
        <v>LOSS</v>
      </c>
      <c r="F224" s="361"/>
      <c r="G224" s="361"/>
      <c r="H224" s="28" t="s">
        <v>261</v>
      </c>
      <c r="I224" s="361" t="s">
        <v>243</v>
      </c>
      <c r="J224" s="361" t="s">
        <v>1251</v>
      </c>
      <c r="K224" s="361"/>
      <c r="L224" s="361"/>
      <c r="M224" s="361"/>
      <c r="N224" s="361"/>
      <c r="O224" s="370"/>
      <c r="P224" s="387">
        <v>96000000</v>
      </c>
      <c r="Q224" s="387"/>
      <c r="R224" s="387"/>
      <c r="S224" s="387">
        <v>111000000</v>
      </c>
      <c r="T224" s="361"/>
      <c r="U224" s="367">
        <v>44378</v>
      </c>
      <c r="V224" s="367">
        <v>44742</v>
      </c>
      <c r="W224" s="361" t="s">
        <v>250</v>
      </c>
      <c r="X224" s="361"/>
      <c r="Y224" s="361"/>
      <c r="Z224" s="361"/>
      <c r="AA224" s="361"/>
      <c r="AB224" s="361"/>
      <c r="AC224" s="159"/>
      <c r="AD224" s="368"/>
      <c r="AE224" s="364">
        <v>4500016936</v>
      </c>
      <c r="AF224" s="364"/>
      <c r="AG224" s="361"/>
      <c r="AH224" s="361"/>
      <c r="AI224" s="361"/>
      <c r="AJ224" s="361"/>
      <c r="AK224" s="361"/>
      <c r="AL224" s="361"/>
      <c r="AM224" s="361"/>
      <c r="AN224" s="361"/>
      <c r="AO224" s="361"/>
      <c r="AP224" s="361"/>
      <c r="AQ224" s="361"/>
      <c r="AR224" s="503"/>
      <c r="AS224" s="489"/>
      <c r="AT224" s="160"/>
      <c r="AU224" s="355"/>
    </row>
    <row r="225" spans="1:47" s="124" customFormat="1" ht="21.75" hidden="1" customHeight="1">
      <c r="A225" s="331">
        <v>224</v>
      </c>
      <c r="B225" s="361" t="s">
        <v>1160</v>
      </c>
      <c r="C225" s="361" t="s">
        <v>1252</v>
      </c>
      <c r="D225" s="436" t="s">
        <v>1162</v>
      </c>
      <c r="E225" s="361" t="str">
        <f t="shared" si="3"/>
        <v>LOSS</v>
      </c>
      <c r="F225" s="361"/>
      <c r="G225" s="361"/>
      <c r="H225" s="28" t="s">
        <v>261</v>
      </c>
      <c r="I225" s="361" t="s">
        <v>243</v>
      </c>
      <c r="J225" s="361" t="s">
        <v>1163</v>
      </c>
      <c r="K225" s="361"/>
      <c r="L225" s="361"/>
      <c r="M225" s="361"/>
      <c r="N225" s="361"/>
      <c r="O225" s="370"/>
      <c r="P225" s="387">
        <v>36000000</v>
      </c>
      <c r="Q225" s="387"/>
      <c r="R225" s="387"/>
      <c r="S225" s="387">
        <v>6600000</v>
      </c>
      <c r="T225" s="361"/>
      <c r="U225" s="367">
        <v>44427</v>
      </c>
      <c r="V225" s="367">
        <v>44791</v>
      </c>
      <c r="W225" s="361" t="s">
        <v>250</v>
      </c>
      <c r="X225" s="361"/>
      <c r="Y225" s="361"/>
      <c r="Z225" s="361"/>
      <c r="AA225" s="361"/>
      <c r="AB225" s="361"/>
      <c r="AC225" s="159"/>
      <c r="AD225" s="368"/>
      <c r="AE225" s="364">
        <v>4500016793</v>
      </c>
      <c r="AF225" s="364"/>
      <c r="AG225" s="361"/>
      <c r="AH225" s="361"/>
      <c r="AI225" s="361"/>
      <c r="AJ225" s="361"/>
      <c r="AK225" s="361"/>
      <c r="AL225" s="361"/>
      <c r="AM225" s="361"/>
      <c r="AN225" s="361"/>
      <c r="AO225" s="361"/>
      <c r="AP225" s="361"/>
      <c r="AQ225" s="361"/>
      <c r="AR225" s="503"/>
      <c r="AS225" s="489"/>
      <c r="AT225" s="160"/>
      <c r="AU225" s="355"/>
    </row>
    <row r="226" spans="1:47" s="124" customFormat="1" ht="21.75" hidden="1" customHeight="1">
      <c r="A226" s="331">
        <v>225</v>
      </c>
      <c r="B226" s="28" t="s">
        <v>44</v>
      </c>
      <c r="C226" s="361" t="s">
        <v>1253</v>
      </c>
      <c r="D226" s="435" t="s">
        <v>539</v>
      </c>
      <c r="E226" s="361" t="str">
        <f t="shared" si="3"/>
        <v>LOSS</v>
      </c>
      <c r="F226" s="361"/>
      <c r="G226" s="361"/>
      <c r="H226" s="361" t="s">
        <v>327</v>
      </c>
      <c r="I226" s="160" t="s">
        <v>346</v>
      </c>
      <c r="J226" s="361"/>
      <c r="K226" s="365"/>
      <c r="L226" s="361"/>
      <c r="M226" s="361"/>
      <c r="N226" s="361"/>
      <c r="O226" s="370"/>
      <c r="P226" s="387"/>
      <c r="Q226" s="387"/>
      <c r="R226" s="387"/>
      <c r="S226" s="387">
        <v>12000000</v>
      </c>
      <c r="T226" s="361"/>
      <c r="U226" s="367">
        <v>44498</v>
      </c>
      <c r="V226" s="367">
        <v>44862</v>
      </c>
      <c r="W226" s="361" t="s">
        <v>250</v>
      </c>
      <c r="X226" s="361"/>
      <c r="Y226" s="361"/>
      <c r="Z226" s="361"/>
      <c r="AA226" s="361"/>
      <c r="AB226" s="361"/>
      <c r="AC226" s="159"/>
      <c r="AD226" s="368"/>
      <c r="AE226" s="364">
        <v>4500016735</v>
      </c>
      <c r="AF226" s="364"/>
      <c r="AG226" s="361"/>
      <c r="AH226" s="365"/>
      <c r="AI226" s="361"/>
      <c r="AJ226" s="361"/>
      <c r="AK226" s="361"/>
      <c r="AL226" s="361"/>
      <c r="AM226" s="361"/>
      <c r="AN226" s="361"/>
      <c r="AO226" s="361"/>
      <c r="AP226" s="361"/>
      <c r="AQ226" s="361"/>
      <c r="AR226" s="503"/>
      <c r="AS226" s="489"/>
      <c r="AT226" s="160"/>
      <c r="AU226" s="355"/>
    </row>
    <row r="227" spans="1:47" s="124" customFormat="1" ht="21.75" hidden="1" customHeight="1">
      <c r="A227" s="331">
        <v>226</v>
      </c>
      <c r="B227" s="361" t="s">
        <v>348</v>
      </c>
      <c r="C227" s="361" t="s">
        <v>1254</v>
      </c>
      <c r="D227" s="436" t="s">
        <v>1187</v>
      </c>
      <c r="E227" s="361" t="str">
        <f t="shared" si="3"/>
        <v>LOSS</v>
      </c>
      <c r="F227" s="361"/>
      <c r="G227" s="361"/>
      <c r="H227" s="361" t="s">
        <v>464</v>
      </c>
      <c r="I227" s="361" t="s">
        <v>242</v>
      </c>
      <c r="J227" s="361" t="s">
        <v>1255</v>
      </c>
      <c r="K227" s="365"/>
      <c r="L227" s="361"/>
      <c r="M227" s="361"/>
      <c r="N227" s="361"/>
      <c r="O227" s="370">
        <v>3000000</v>
      </c>
      <c r="P227" s="387">
        <v>10950000</v>
      </c>
      <c r="Q227" s="387"/>
      <c r="R227" s="387"/>
      <c r="S227" s="387">
        <v>18981108</v>
      </c>
      <c r="T227" s="361"/>
      <c r="U227" s="367">
        <v>44351</v>
      </c>
      <c r="V227" s="367">
        <v>44469</v>
      </c>
      <c r="W227" s="361" t="s">
        <v>250</v>
      </c>
      <c r="X227" s="361"/>
      <c r="Y227" s="361"/>
      <c r="Z227" s="361"/>
      <c r="AA227" s="361"/>
      <c r="AB227" s="361"/>
      <c r="AC227" s="159"/>
      <c r="AD227" s="361" t="s">
        <v>1256</v>
      </c>
      <c r="AE227" s="364">
        <v>4500016199</v>
      </c>
      <c r="AF227" s="364"/>
      <c r="AG227" s="361"/>
      <c r="AH227" s="365"/>
      <c r="AI227" s="361"/>
      <c r="AJ227" s="361"/>
      <c r="AK227" s="361"/>
      <c r="AL227" s="361"/>
      <c r="AM227" s="361"/>
      <c r="AN227" s="361"/>
      <c r="AO227" s="361"/>
      <c r="AP227" s="361"/>
      <c r="AQ227" s="361"/>
      <c r="AR227" s="503"/>
      <c r="AS227" s="489"/>
      <c r="AT227" s="160"/>
      <c r="AU227" s="355"/>
    </row>
    <row r="228" spans="1:47" s="124" customFormat="1" ht="21.75" hidden="1" customHeight="1">
      <c r="A228" s="331">
        <v>227</v>
      </c>
      <c r="B228" s="361" t="s">
        <v>1257</v>
      </c>
      <c r="C228" s="361" t="s">
        <v>1258</v>
      </c>
      <c r="D228" s="435" t="s">
        <v>1259</v>
      </c>
      <c r="E228" s="361" t="str">
        <f t="shared" si="3"/>
        <v>LOSS</v>
      </c>
      <c r="F228" s="361"/>
      <c r="G228" s="361"/>
      <c r="H228" s="28" t="s">
        <v>261</v>
      </c>
      <c r="I228" s="361" t="s">
        <v>243</v>
      </c>
      <c r="J228" s="361" t="s">
        <v>1260</v>
      </c>
      <c r="K228" s="361"/>
      <c r="L228" s="361"/>
      <c r="M228" s="361"/>
      <c r="N228" s="361"/>
      <c r="O228" s="370"/>
      <c r="P228" s="387">
        <v>65345460</v>
      </c>
      <c r="Q228" s="387"/>
      <c r="R228" s="387">
        <v>5500000</v>
      </c>
      <c r="S228" s="387">
        <v>45000000</v>
      </c>
      <c r="T228" s="361"/>
      <c r="U228" s="367">
        <v>44460</v>
      </c>
      <c r="V228" s="367">
        <v>44824</v>
      </c>
      <c r="W228" s="361" t="s">
        <v>250</v>
      </c>
      <c r="X228" s="361"/>
      <c r="Y228" s="361"/>
      <c r="Z228" s="361"/>
      <c r="AA228" s="361"/>
      <c r="AB228" s="361"/>
      <c r="AC228" s="159"/>
      <c r="AD228" s="368"/>
      <c r="AE228" s="364">
        <v>4500016774</v>
      </c>
      <c r="AF228" s="364"/>
      <c r="AG228" s="361"/>
      <c r="AH228" s="361"/>
      <c r="AI228" s="361"/>
      <c r="AJ228" s="361"/>
      <c r="AK228" s="361"/>
      <c r="AL228" s="361"/>
      <c r="AM228" s="361"/>
      <c r="AN228" s="361"/>
      <c r="AO228" s="361"/>
      <c r="AP228" s="361"/>
      <c r="AQ228" s="361"/>
      <c r="AR228" s="503"/>
      <c r="AS228" s="489"/>
      <c r="AT228" s="160"/>
      <c r="AU228" s="355"/>
    </row>
    <row r="229" spans="1:47" s="124" customFormat="1" ht="21.75" hidden="1" customHeight="1">
      <c r="A229" s="331">
        <v>228</v>
      </c>
      <c r="B229" s="361" t="s">
        <v>37</v>
      </c>
      <c r="C229" s="361" t="s">
        <v>1184</v>
      </c>
      <c r="D229" s="436" t="s">
        <v>1129</v>
      </c>
      <c r="E229" s="361" t="str">
        <f t="shared" si="3"/>
        <v>LOSS</v>
      </c>
      <c r="F229" s="361"/>
      <c r="G229" s="361"/>
      <c r="H229" s="28" t="s">
        <v>261</v>
      </c>
      <c r="I229" s="361" t="s">
        <v>243</v>
      </c>
      <c r="J229" s="361" t="s">
        <v>1261</v>
      </c>
      <c r="K229" s="361"/>
      <c r="L229" s="361"/>
      <c r="M229" s="361"/>
      <c r="N229" s="361"/>
      <c r="O229" s="370"/>
      <c r="P229" s="387">
        <v>370909092</v>
      </c>
      <c r="Q229" s="387"/>
      <c r="R229" s="387">
        <v>2500000</v>
      </c>
      <c r="S229" s="387">
        <v>66000000</v>
      </c>
      <c r="T229" s="361"/>
      <c r="U229" s="367">
        <v>44543</v>
      </c>
      <c r="V229" s="367">
        <v>44907</v>
      </c>
      <c r="W229" s="361" t="s">
        <v>250</v>
      </c>
      <c r="X229" s="361"/>
      <c r="Y229" s="361"/>
      <c r="Z229" s="361"/>
      <c r="AA229" s="361"/>
      <c r="AB229" s="361"/>
      <c r="AC229" s="159"/>
      <c r="AD229" s="361" t="s">
        <v>1262</v>
      </c>
      <c r="AE229" s="364">
        <v>4500016990</v>
      </c>
      <c r="AF229" s="364"/>
      <c r="AG229" s="361"/>
      <c r="AH229" s="361"/>
      <c r="AI229" s="361"/>
      <c r="AJ229" s="361"/>
      <c r="AK229" s="361"/>
      <c r="AL229" s="361"/>
      <c r="AM229" s="361"/>
      <c r="AN229" s="361"/>
      <c r="AO229" s="361"/>
      <c r="AP229" s="361"/>
      <c r="AQ229" s="361"/>
      <c r="AR229" s="503"/>
      <c r="AS229" s="489"/>
      <c r="AT229" s="160"/>
      <c r="AU229" s="355"/>
    </row>
    <row r="230" spans="1:47" s="124" customFormat="1" ht="21.75" hidden="1" customHeight="1">
      <c r="A230" s="331">
        <v>229</v>
      </c>
      <c r="B230" s="361" t="s">
        <v>1043</v>
      </c>
      <c r="C230" s="361" t="s">
        <v>1214</v>
      </c>
      <c r="D230" s="435" t="s">
        <v>1263</v>
      </c>
      <c r="E230" s="361" t="str">
        <f t="shared" si="3"/>
        <v>LOSS</v>
      </c>
      <c r="F230" s="361"/>
      <c r="G230" s="361"/>
      <c r="H230" s="28" t="s">
        <v>261</v>
      </c>
      <c r="I230" s="361" t="s">
        <v>243</v>
      </c>
      <c r="J230" s="361" t="s">
        <v>1264</v>
      </c>
      <c r="K230" s="361"/>
      <c r="L230" s="361"/>
      <c r="M230" s="361"/>
      <c r="N230" s="361"/>
      <c r="O230" s="370"/>
      <c r="P230" s="387">
        <v>5000000</v>
      </c>
      <c r="Q230" s="387"/>
      <c r="R230" s="387"/>
      <c r="S230" s="387">
        <v>1500000</v>
      </c>
      <c r="T230" s="361"/>
      <c r="U230" s="367">
        <v>44475</v>
      </c>
      <c r="V230" s="367">
        <v>44476</v>
      </c>
      <c r="W230" s="361" t="s">
        <v>250</v>
      </c>
      <c r="X230" s="361"/>
      <c r="Y230" s="361"/>
      <c r="Z230" s="361"/>
      <c r="AA230" s="361"/>
      <c r="AB230" s="361"/>
      <c r="AC230" s="159"/>
      <c r="AD230" s="368"/>
      <c r="AE230" s="364">
        <v>4500017073</v>
      </c>
      <c r="AF230" s="364"/>
      <c r="AG230" s="361"/>
      <c r="AH230" s="361"/>
      <c r="AI230" s="361"/>
      <c r="AJ230" s="361"/>
      <c r="AK230" s="361"/>
      <c r="AL230" s="361"/>
      <c r="AM230" s="361"/>
      <c r="AN230" s="361"/>
      <c r="AO230" s="361"/>
      <c r="AP230" s="361"/>
      <c r="AQ230" s="361"/>
      <c r="AR230" s="503"/>
      <c r="AS230" s="489"/>
      <c r="AT230" s="160"/>
      <c r="AU230" s="355"/>
    </row>
    <row r="231" spans="1:47" s="124" customFormat="1" ht="21.75" hidden="1" customHeight="1">
      <c r="A231" s="331">
        <v>230</v>
      </c>
      <c r="B231" s="361" t="s">
        <v>71</v>
      </c>
      <c r="C231" s="361" t="s">
        <v>1265</v>
      </c>
      <c r="D231" s="436" t="s">
        <v>572</v>
      </c>
      <c r="E231" s="361" t="str">
        <f t="shared" si="3"/>
        <v>LOSS</v>
      </c>
      <c r="F231" s="361"/>
      <c r="G231" s="361"/>
      <c r="H231" s="361" t="s">
        <v>327</v>
      </c>
      <c r="I231" s="361" t="s">
        <v>242</v>
      </c>
      <c r="J231" s="361"/>
      <c r="K231" s="365"/>
      <c r="L231" s="361"/>
      <c r="M231" s="361"/>
      <c r="N231" s="361"/>
      <c r="O231" s="370"/>
      <c r="P231" s="387"/>
      <c r="Q231" s="387"/>
      <c r="R231" s="387"/>
      <c r="S231" s="387">
        <v>40000000</v>
      </c>
      <c r="T231" s="361"/>
      <c r="U231" s="367">
        <v>44466</v>
      </c>
      <c r="V231" s="367">
        <v>44830</v>
      </c>
      <c r="W231" s="361" t="s">
        <v>250</v>
      </c>
      <c r="X231" s="361"/>
      <c r="Y231" s="361"/>
      <c r="Z231" s="361"/>
      <c r="AA231" s="361"/>
      <c r="AB231" s="361"/>
      <c r="AC231" s="159"/>
      <c r="AD231" s="361" t="s">
        <v>1266</v>
      </c>
      <c r="AE231" s="364">
        <v>4500016819</v>
      </c>
      <c r="AF231" s="364"/>
      <c r="AG231" s="361"/>
      <c r="AH231" s="365"/>
      <c r="AI231" s="361"/>
      <c r="AJ231" s="361"/>
      <c r="AK231" s="361"/>
      <c r="AL231" s="361"/>
      <c r="AM231" s="361"/>
      <c r="AN231" s="361"/>
      <c r="AO231" s="361"/>
      <c r="AP231" s="361"/>
      <c r="AQ231" s="361"/>
      <c r="AR231" s="503"/>
      <c r="AS231" s="489"/>
      <c r="AT231" s="160"/>
      <c r="AU231" s="355"/>
    </row>
    <row r="232" spans="1:47" s="124" customFormat="1" ht="21.75" hidden="1" customHeight="1">
      <c r="A232" s="331">
        <v>231</v>
      </c>
      <c r="B232" s="361" t="s">
        <v>1052</v>
      </c>
      <c r="C232" s="361" t="s">
        <v>1253</v>
      </c>
      <c r="D232" s="435" t="s">
        <v>611</v>
      </c>
      <c r="E232" s="361" t="str">
        <f t="shared" si="3"/>
        <v>LOSS</v>
      </c>
      <c r="F232" s="361"/>
      <c r="G232" s="361"/>
      <c r="H232" s="361" t="s">
        <v>327</v>
      </c>
      <c r="I232" s="361" t="s">
        <v>242</v>
      </c>
      <c r="J232" s="361"/>
      <c r="K232" s="365"/>
      <c r="L232" s="361"/>
      <c r="M232" s="361"/>
      <c r="N232" s="361"/>
      <c r="O232" s="370"/>
      <c r="P232" s="387"/>
      <c r="Q232" s="387"/>
      <c r="R232" s="387"/>
      <c r="S232" s="387">
        <v>81000000</v>
      </c>
      <c r="T232" s="361"/>
      <c r="U232" s="367">
        <v>44439</v>
      </c>
      <c r="V232" s="367">
        <v>44803</v>
      </c>
      <c r="W232" s="361" t="s">
        <v>250</v>
      </c>
      <c r="X232" s="361"/>
      <c r="Y232" s="361"/>
      <c r="Z232" s="361"/>
      <c r="AA232" s="361"/>
      <c r="AB232" s="361"/>
      <c r="AC232" s="159"/>
      <c r="AD232" s="361" t="s">
        <v>1267</v>
      </c>
      <c r="AE232" s="364">
        <v>4500016647</v>
      </c>
      <c r="AF232" s="364"/>
      <c r="AG232" s="361"/>
      <c r="AH232" s="365"/>
      <c r="AI232" s="361"/>
      <c r="AJ232" s="361"/>
      <c r="AK232" s="361"/>
      <c r="AL232" s="361"/>
      <c r="AM232" s="361"/>
      <c r="AN232" s="361"/>
      <c r="AO232" s="361"/>
      <c r="AP232" s="361"/>
      <c r="AQ232" s="361"/>
      <c r="AR232" s="503"/>
      <c r="AS232" s="489"/>
      <c r="AT232" s="160"/>
      <c r="AU232" s="355"/>
    </row>
    <row r="233" spans="1:47" s="124" customFormat="1" ht="21.75" hidden="1" customHeight="1">
      <c r="A233" s="331">
        <v>232</v>
      </c>
      <c r="B233" s="361" t="s">
        <v>97</v>
      </c>
      <c r="C233" s="361" t="s">
        <v>1268</v>
      </c>
      <c r="D233" s="436" t="s">
        <v>1269</v>
      </c>
      <c r="E233" s="361" t="str">
        <f t="shared" si="3"/>
        <v>LOSS</v>
      </c>
      <c r="F233" s="361"/>
      <c r="G233" s="361"/>
      <c r="H233" s="361" t="s">
        <v>327</v>
      </c>
      <c r="I233" s="160" t="s">
        <v>346</v>
      </c>
      <c r="J233" s="361" t="s">
        <v>1270</v>
      </c>
      <c r="K233" s="365"/>
      <c r="L233" s="361"/>
      <c r="M233" s="361"/>
      <c r="N233" s="361"/>
      <c r="O233" s="370"/>
      <c r="P233" s="370">
        <v>84000000</v>
      </c>
      <c r="Q233" s="370"/>
      <c r="R233" s="370"/>
      <c r="S233" s="370">
        <v>2000000</v>
      </c>
      <c r="T233" s="361"/>
      <c r="U233" s="348">
        <v>44306</v>
      </c>
      <c r="V233" s="348">
        <v>44670</v>
      </c>
      <c r="W233" s="361" t="s">
        <v>250</v>
      </c>
      <c r="X233" s="361"/>
      <c r="Y233" s="361"/>
      <c r="Z233" s="361"/>
      <c r="AA233" s="361"/>
      <c r="AB233" s="361"/>
      <c r="AC233" s="159"/>
      <c r="AD233" s="368"/>
      <c r="AE233" s="364">
        <v>4500016056</v>
      </c>
      <c r="AF233" s="364"/>
      <c r="AG233" s="361"/>
      <c r="AH233" s="365"/>
      <c r="AI233" s="361"/>
      <c r="AJ233" s="361"/>
      <c r="AK233" s="361"/>
      <c r="AL233" s="361"/>
      <c r="AM233" s="361"/>
      <c r="AN233" s="361"/>
      <c r="AO233" s="361"/>
      <c r="AP233" s="361"/>
      <c r="AQ233" s="361"/>
      <c r="AR233" s="503"/>
      <c r="AS233" s="489"/>
      <c r="AT233" s="160"/>
      <c r="AU233" s="355"/>
    </row>
    <row r="234" spans="1:47" s="124" customFormat="1" ht="21.75" hidden="1" customHeight="1">
      <c r="A234" s="331">
        <v>233</v>
      </c>
      <c r="B234" s="361" t="s">
        <v>348</v>
      </c>
      <c r="C234" s="361" t="s">
        <v>1271</v>
      </c>
      <c r="D234" s="435" t="s">
        <v>1187</v>
      </c>
      <c r="E234" s="361" t="str">
        <f t="shared" si="3"/>
        <v>LOSS</v>
      </c>
      <c r="F234" s="361"/>
      <c r="G234" s="361"/>
      <c r="H234" s="361" t="s">
        <v>327</v>
      </c>
      <c r="I234" s="361" t="s">
        <v>242</v>
      </c>
      <c r="J234" s="361" t="s">
        <v>1272</v>
      </c>
      <c r="K234" s="365"/>
      <c r="L234" s="361"/>
      <c r="M234" s="361"/>
      <c r="N234" s="361"/>
      <c r="O234" s="370">
        <v>5000000</v>
      </c>
      <c r="P234" s="370">
        <v>44400000</v>
      </c>
      <c r="Q234" s="370"/>
      <c r="R234" s="370"/>
      <c r="S234" s="370">
        <v>18981108</v>
      </c>
      <c r="T234" s="361"/>
      <c r="U234" s="367">
        <v>44258</v>
      </c>
      <c r="V234" s="367">
        <v>44595</v>
      </c>
      <c r="W234" s="361" t="s">
        <v>250</v>
      </c>
      <c r="X234" s="361"/>
      <c r="Y234" s="361"/>
      <c r="Z234" s="361"/>
      <c r="AA234" s="361"/>
      <c r="AB234" s="361"/>
      <c r="AC234" s="159"/>
      <c r="AD234" s="361" t="s">
        <v>1273</v>
      </c>
      <c r="AE234" s="364">
        <v>4500015860</v>
      </c>
      <c r="AF234" s="364"/>
      <c r="AG234" s="361"/>
      <c r="AH234" s="365"/>
      <c r="AI234" s="361"/>
      <c r="AJ234" s="361"/>
      <c r="AK234" s="361"/>
      <c r="AL234" s="361"/>
      <c r="AM234" s="361"/>
      <c r="AN234" s="361"/>
      <c r="AO234" s="361"/>
      <c r="AP234" s="361"/>
      <c r="AQ234" s="361"/>
      <c r="AR234" s="503"/>
      <c r="AS234" s="489"/>
      <c r="AT234" s="160"/>
      <c r="AU234" s="355"/>
    </row>
    <row r="235" spans="1:47" s="124" customFormat="1" ht="21.75" hidden="1" customHeight="1">
      <c r="A235" s="331">
        <v>234</v>
      </c>
      <c r="B235" s="361" t="s">
        <v>165</v>
      </c>
      <c r="C235" s="361" t="s">
        <v>1274</v>
      </c>
      <c r="D235" s="436" t="s">
        <v>1073</v>
      </c>
      <c r="E235" s="361" t="str">
        <f t="shared" si="3"/>
        <v>LOSS</v>
      </c>
      <c r="F235" s="361"/>
      <c r="G235" s="361"/>
      <c r="H235" s="28" t="s">
        <v>261</v>
      </c>
      <c r="I235" s="361" t="s">
        <v>243</v>
      </c>
      <c r="J235" s="361" t="s">
        <v>1275</v>
      </c>
      <c r="K235" s="361"/>
      <c r="L235" s="361"/>
      <c r="M235" s="361"/>
      <c r="N235" s="361"/>
      <c r="O235" s="370"/>
      <c r="P235" s="370">
        <v>734597695</v>
      </c>
      <c r="Q235" s="370"/>
      <c r="R235" s="370">
        <v>5000000</v>
      </c>
      <c r="S235" s="370">
        <v>69600000</v>
      </c>
      <c r="T235" s="361"/>
      <c r="U235" s="348">
        <v>44225</v>
      </c>
      <c r="V235" s="348">
        <v>44346</v>
      </c>
      <c r="W235" s="361" t="s">
        <v>250</v>
      </c>
      <c r="X235" s="361"/>
      <c r="Y235" s="361"/>
      <c r="Z235" s="361"/>
      <c r="AA235" s="361"/>
      <c r="AB235" s="361"/>
      <c r="AC235" s="159"/>
      <c r="AD235" s="361" t="s">
        <v>1276</v>
      </c>
      <c r="AE235" s="364">
        <v>4500015809</v>
      </c>
      <c r="AF235" s="364"/>
      <c r="AG235" s="361"/>
      <c r="AH235" s="361"/>
      <c r="AI235" s="361"/>
      <c r="AJ235" s="361"/>
      <c r="AK235" s="361"/>
      <c r="AL235" s="361"/>
      <c r="AM235" s="361"/>
      <c r="AN235" s="361"/>
      <c r="AO235" s="361"/>
      <c r="AP235" s="361"/>
      <c r="AQ235" s="361"/>
      <c r="AR235" s="503"/>
      <c r="AS235" s="489"/>
      <c r="AT235" s="160"/>
      <c r="AU235" s="355"/>
    </row>
    <row r="236" spans="1:47" s="124" customFormat="1" ht="21.75" hidden="1" customHeight="1">
      <c r="A236" s="331">
        <v>235</v>
      </c>
      <c r="B236" s="361" t="s">
        <v>348</v>
      </c>
      <c r="C236" s="361" t="s">
        <v>1277</v>
      </c>
      <c r="D236" s="435" t="s">
        <v>1187</v>
      </c>
      <c r="E236" s="361" t="str">
        <f t="shared" si="3"/>
        <v>LOSS</v>
      </c>
      <c r="F236" s="361"/>
      <c r="G236" s="361"/>
      <c r="H236" s="361" t="s">
        <v>327</v>
      </c>
      <c r="I236" s="361" t="s">
        <v>242</v>
      </c>
      <c r="J236" s="361" t="s">
        <v>1278</v>
      </c>
      <c r="K236" s="365"/>
      <c r="L236" s="361"/>
      <c r="M236" s="361"/>
      <c r="N236" s="361"/>
      <c r="O236" s="370"/>
      <c r="P236" s="370">
        <v>67200000</v>
      </c>
      <c r="Q236" s="370"/>
      <c r="R236" s="370"/>
      <c r="S236" s="370">
        <v>26143452</v>
      </c>
      <c r="T236" s="361"/>
      <c r="U236" s="348">
        <v>44252</v>
      </c>
      <c r="V236" s="348">
        <v>44616</v>
      </c>
      <c r="W236" s="361" t="s">
        <v>250</v>
      </c>
      <c r="X236" s="361"/>
      <c r="Y236" s="361"/>
      <c r="Z236" s="361"/>
      <c r="AA236" s="361"/>
      <c r="AB236" s="361"/>
      <c r="AC236" s="159"/>
      <c r="AD236" s="361" t="s">
        <v>1279</v>
      </c>
      <c r="AE236" s="364">
        <v>4500015859</v>
      </c>
      <c r="AF236" s="364"/>
      <c r="AG236" s="361"/>
      <c r="AH236" s="365"/>
      <c r="AI236" s="361"/>
      <c r="AJ236" s="361"/>
      <c r="AK236" s="361"/>
      <c r="AL236" s="361"/>
      <c r="AM236" s="361"/>
      <c r="AN236" s="361"/>
      <c r="AO236" s="361"/>
      <c r="AP236" s="361"/>
      <c r="AQ236" s="361"/>
      <c r="AR236" s="503"/>
      <c r="AS236" s="489"/>
      <c r="AT236" s="160"/>
      <c r="AU236" s="355"/>
    </row>
    <row r="237" spans="1:47" s="124" customFormat="1" ht="21.75" hidden="1" customHeight="1">
      <c r="A237" s="331">
        <v>236</v>
      </c>
      <c r="B237" s="159" t="s">
        <v>1280</v>
      </c>
      <c r="C237" s="361" t="s">
        <v>1281</v>
      </c>
      <c r="D237" s="434" t="s">
        <v>1282</v>
      </c>
      <c r="E237" s="361" t="str">
        <f t="shared" si="3"/>
        <v>LOSS</v>
      </c>
      <c r="F237" s="361"/>
      <c r="G237" s="361"/>
      <c r="H237" s="361" t="s">
        <v>327</v>
      </c>
      <c r="I237" s="361" t="s">
        <v>242</v>
      </c>
      <c r="J237" s="361" t="s">
        <v>54</v>
      </c>
      <c r="K237" s="365"/>
      <c r="L237" s="361"/>
      <c r="M237" s="361"/>
      <c r="N237" s="361"/>
      <c r="O237" s="370">
        <v>5000000</v>
      </c>
      <c r="P237" s="370">
        <v>120000000</v>
      </c>
      <c r="Q237" s="370"/>
      <c r="R237" s="370">
        <v>1000000</v>
      </c>
      <c r="S237" s="370">
        <v>78000000</v>
      </c>
      <c r="T237" s="361"/>
      <c r="U237" s="367">
        <v>44319</v>
      </c>
      <c r="V237" s="367">
        <v>44654</v>
      </c>
      <c r="W237" s="361" t="s">
        <v>250</v>
      </c>
      <c r="X237" s="361"/>
      <c r="Y237" s="361"/>
      <c r="Z237" s="361"/>
      <c r="AA237" s="361"/>
      <c r="AB237" s="361"/>
      <c r="AC237" s="159"/>
      <c r="AD237" s="361" t="s">
        <v>1283</v>
      </c>
      <c r="AE237" s="364">
        <v>4500015834</v>
      </c>
      <c r="AF237" s="364"/>
      <c r="AG237" s="361"/>
      <c r="AH237" s="365"/>
      <c r="AI237" s="361"/>
      <c r="AJ237" s="361"/>
      <c r="AK237" s="361"/>
      <c r="AL237" s="361"/>
      <c r="AM237" s="361"/>
      <c r="AN237" s="361"/>
      <c r="AO237" s="361"/>
      <c r="AP237" s="361"/>
      <c r="AQ237" s="361"/>
      <c r="AR237" s="503"/>
      <c r="AS237" s="489"/>
      <c r="AT237" s="160"/>
      <c r="AU237" s="355"/>
    </row>
    <row r="238" spans="1:47" s="124" customFormat="1" ht="21.75" hidden="1" customHeight="1">
      <c r="A238" s="331">
        <v>237</v>
      </c>
      <c r="B238" s="361" t="s">
        <v>1284</v>
      </c>
      <c r="C238" s="361" t="s">
        <v>1285</v>
      </c>
      <c r="D238" s="435" t="s">
        <v>590</v>
      </c>
      <c r="E238" s="361" t="str">
        <f t="shared" si="3"/>
        <v>LOSS</v>
      </c>
      <c r="F238" s="361"/>
      <c r="G238" s="361"/>
      <c r="H238" s="361" t="s">
        <v>327</v>
      </c>
      <c r="I238" s="160" t="s">
        <v>346</v>
      </c>
      <c r="J238" s="361" t="s">
        <v>1286</v>
      </c>
      <c r="K238" s="365"/>
      <c r="L238" s="361"/>
      <c r="M238" s="361"/>
      <c r="N238" s="361"/>
      <c r="O238" s="370">
        <v>10000000</v>
      </c>
      <c r="P238" s="370">
        <v>180000000</v>
      </c>
      <c r="Q238" s="370"/>
      <c r="R238" s="370"/>
      <c r="S238" s="370">
        <v>6000000</v>
      </c>
      <c r="T238" s="361"/>
      <c r="U238" s="367">
        <v>44472</v>
      </c>
      <c r="V238" s="367">
        <v>44807</v>
      </c>
      <c r="W238" s="361" t="s">
        <v>250</v>
      </c>
      <c r="X238" s="361"/>
      <c r="Y238" s="361"/>
      <c r="Z238" s="361"/>
      <c r="AA238" s="361"/>
      <c r="AB238" s="361"/>
      <c r="AC238" s="159"/>
      <c r="AD238" s="361" t="s">
        <v>1287</v>
      </c>
      <c r="AE238" s="364">
        <v>4500015835</v>
      </c>
      <c r="AF238" s="364"/>
      <c r="AG238" s="361"/>
      <c r="AH238" s="365"/>
      <c r="AI238" s="361"/>
      <c r="AJ238" s="361"/>
      <c r="AK238" s="361"/>
      <c r="AL238" s="361"/>
      <c r="AM238" s="361"/>
      <c r="AN238" s="361"/>
      <c r="AO238" s="361"/>
      <c r="AP238" s="361"/>
      <c r="AQ238" s="361"/>
      <c r="AR238" s="503"/>
      <c r="AS238" s="489"/>
      <c r="AT238" s="160"/>
      <c r="AU238" s="355"/>
    </row>
    <row r="239" spans="1:47" s="124" customFormat="1" ht="21.75" hidden="1" customHeight="1">
      <c r="A239" s="331">
        <v>238</v>
      </c>
      <c r="B239" s="28" t="s">
        <v>179</v>
      </c>
      <c r="C239" s="361" t="s">
        <v>1288</v>
      </c>
      <c r="D239" s="436" t="s">
        <v>560</v>
      </c>
      <c r="E239" s="361" t="str">
        <f t="shared" si="3"/>
        <v>LOSS</v>
      </c>
      <c r="F239" s="361"/>
      <c r="G239" s="361"/>
      <c r="H239" s="361" t="s">
        <v>327</v>
      </c>
      <c r="I239" s="361" t="s">
        <v>242</v>
      </c>
      <c r="J239" s="361" t="s">
        <v>1289</v>
      </c>
      <c r="K239" s="365"/>
      <c r="L239" s="361"/>
      <c r="M239" s="361"/>
      <c r="N239" s="361"/>
      <c r="O239" s="370">
        <v>2500000</v>
      </c>
      <c r="P239" s="370">
        <v>288000000</v>
      </c>
      <c r="Q239" s="370"/>
      <c r="R239" s="370"/>
      <c r="S239" s="370">
        <v>18000000</v>
      </c>
      <c r="T239" s="361"/>
      <c r="U239" s="367">
        <v>44318</v>
      </c>
      <c r="V239" s="367">
        <v>44653</v>
      </c>
      <c r="W239" s="361" t="s">
        <v>250</v>
      </c>
      <c r="X239" s="361"/>
      <c r="Y239" s="361"/>
      <c r="Z239" s="361"/>
      <c r="AA239" s="361"/>
      <c r="AB239" s="361"/>
      <c r="AC239" s="159"/>
      <c r="AD239" s="361" t="s">
        <v>1290</v>
      </c>
      <c r="AE239" s="364">
        <v>4500015757</v>
      </c>
      <c r="AF239" s="364"/>
      <c r="AG239" s="361"/>
      <c r="AH239" s="365"/>
      <c r="AI239" s="361"/>
      <c r="AJ239" s="361"/>
      <c r="AK239" s="361"/>
      <c r="AL239" s="361"/>
      <c r="AM239" s="361"/>
      <c r="AN239" s="361"/>
      <c r="AO239" s="361"/>
      <c r="AP239" s="361"/>
      <c r="AQ239" s="361"/>
      <c r="AR239" s="503"/>
      <c r="AS239" s="489"/>
      <c r="AT239" s="160"/>
      <c r="AU239" s="355"/>
    </row>
    <row r="240" spans="1:47" s="124" customFormat="1" ht="21.75" hidden="1" customHeight="1">
      <c r="A240" s="331">
        <v>239</v>
      </c>
      <c r="B240" s="28" t="s">
        <v>179</v>
      </c>
      <c r="C240" s="361" t="s">
        <v>1288</v>
      </c>
      <c r="D240" s="438" t="s">
        <v>560</v>
      </c>
      <c r="E240" s="361" t="str">
        <f t="shared" si="3"/>
        <v>LOSS</v>
      </c>
      <c r="F240" s="361"/>
      <c r="G240" s="361"/>
      <c r="H240" s="361" t="s">
        <v>327</v>
      </c>
      <c r="I240" s="361" t="s">
        <v>242</v>
      </c>
      <c r="J240" s="361" t="s">
        <v>1291</v>
      </c>
      <c r="K240" s="365"/>
      <c r="L240" s="361"/>
      <c r="M240" s="361"/>
      <c r="N240" s="361"/>
      <c r="O240" s="370">
        <v>2500000</v>
      </c>
      <c r="P240" s="370">
        <v>288000000</v>
      </c>
      <c r="Q240" s="370"/>
      <c r="R240" s="370"/>
      <c r="S240" s="370">
        <v>18000000</v>
      </c>
      <c r="T240" s="361"/>
      <c r="U240" s="367">
        <v>44318</v>
      </c>
      <c r="V240" s="367">
        <v>44653</v>
      </c>
      <c r="W240" s="361" t="s">
        <v>250</v>
      </c>
      <c r="X240" s="361"/>
      <c r="Y240" s="361"/>
      <c r="Z240" s="361"/>
      <c r="AA240" s="361"/>
      <c r="AB240" s="361"/>
      <c r="AC240" s="159"/>
      <c r="AD240" s="361" t="s">
        <v>1292</v>
      </c>
      <c r="AE240" s="364">
        <v>4500015756</v>
      </c>
      <c r="AF240" s="364"/>
      <c r="AG240" s="361"/>
      <c r="AH240" s="365"/>
      <c r="AI240" s="361"/>
      <c r="AJ240" s="361"/>
      <c r="AK240" s="361"/>
      <c r="AL240" s="361"/>
      <c r="AM240" s="361"/>
      <c r="AN240" s="361"/>
      <c r="AO240" s="361"/>
      <c r="AP240" s="361"/>
      <c r="AQ240" s="361"/>
      <c r="AR240" s="503"/>
      <c r="AS240" s="489"/>
      <c r="AT240" s="160"/>
      <c r="AU240" s="355"/>
    </row>
    <row r="241" spans="1:47" s="124" customFormat="1" ht="21.75" hidden="1" customHeight="1">
      <c r="A241" s="331">
        <v>240</v>
      </c>
      <c r="B241" s="28" t="s">
        <v>114</v>
      </c>
      <c r="C241" s="361" t="s">
        <v>1274</v>
      </c>
      <c r="D241" s="436" t="s">
        <v>764</v>
      </c>
      <c r="E241" s="361" t="str">
        <f t="shared" si="3"/>
        <v>LOSS</v>
      </c>
      <c r="F241" s="361"/>
      <c r="G241" s="361"/>
      <c r="H241" s="361" t="s">
        <v>327</v>
      </c>
      <c r="I241" s="361" t="s">
        <v>242</v>
      </c>
      <c r="J241" s="361" t="s">
        <v>1293</v>
      </c>
      <c r="K241" s="365"/>
      <c r="L241" s="361"/>
      <c r="M241" s="361"/>
      <c r="N241" s="361"/>
      <c r="O241" s="370"/>
      <c r="P241" s="370">
        <v>126000000</v>
      </c>
      <c r="Q241" s="370"/>
      <c r="R241" s="370"/>
      <c r="S241" s="370">
        <v>115500000</v>
      </c>
      <c r="T241" s="361"/>
      <c r="U241" s="348">
        <v>44210</v>
      </c>
      <c r="V241" s="348">
        <v>44543</v>
      </c>
      <c r="W241" s="361" t="s">
        <v>250</v>
      </c>
      <c r="X241" s="361"/>
      <c r="Y241" s="361"/>
      <c r="Z241" s="361"/>
      <c r="AA241" s="361"/>
      <c r="AB241" s="361"/>
      <c r="AC241" s="159"/>
      <c r="AD241" s="361" t="s">
        <v>1294</v>
      </c>
      <c r="AE241" s="364">
        <v>4500015736</v>
      </c>
      <c r="AF241" s="364"/>
      <c r="AG241" s="361"/>
      <c r="AH241" s="365"/>
      <c r="AI241" s="361"/>
      <c r="AJ241" s="361"/>
      <c r="AK241" s="361"/>
      <c r="AL241" s="361"/>
      <c r="AM241" s="361"/>
      <c r="AN241" s="361"/>
      <c r="AO241" s="361"/>
      <c r="AP241" s="361"/>
      <c r="AQ241" s="361"/>
      <c r="AR241" s="503"/>
      <c r="AS241" s="489"/>
      <c r="AT241" s="160"/>
      <c r="AU241" s="355"/>
    </row>
    <row r="242" spans="1:47" s="124" customFormat="1" ht="21.75" hidden="1" customHeight="1">
      <c r="A242" s="331">
        <v>241</v>
      </c>
      <c r="B242" s="361" t="s">
        <v>542</v>
      </c>
      <c r="C242" s="361" t="s">
        <v>1295</v>
      </c>
      <c r="D242" s="435" t="s">
        <v>544</v>
      </c>
      <c r="E242" s="361" t="str">
        <f t="shared" si="3"/>
        <v>LOSS</v>
      </c>
      <c r="F242" s="361"/>
      <c r="G242" s="361"/>
      <c r="H242" s="361" t="s">
        <v>327</v>
      </c>
      <c r="I242" s="361" t="s">
        <v>242</v>
      </c>
      <c r="J242" s="361" t="s">
        <v>1296</v>
      </c>
      <c r="K242" s="365"/>
      <c r="L242" s="361"/>
      <c r="M242" s="361"/>
      <c r="N242" s="361"/>
      <c r="O242" s="370"/>
      <c r="P242" s="370">
        <v>60000000</v>
      </c>
      <c r="Q242" s="370"/>
      <c r="R242" s="370"/>
      <c r="S242" s="370">
        <v>8000000</v>
      </c>
      <c r="T242" s="361"/>
      <c r="U242" s="348">
        <v>44331</v>
      </c>
      <c r="V242" s="348">
        <v>44695</v>
      </c>
      <c r="W242" s="361" t="s">
        <v>250</v>
      </c>
      <c r="X242" s="361"/>
      <c r="Y242" s="361"/>
      <c r="Z242" s="361"/>
      <c r="AA242" s="361"/>
      <c r="AB242" s="361"/>
      <c r="AC242" s="159"/>
      <c r="AD242" s="368"/>
      <c r="AE242" s="364">
        <v>4500016427</v>
      </c>
      <c r="AF242" s="364"/>
      <c r="AG242" s="361"/>
      <c r="AH242" s="365"/>
      <c r="AI242" s="361"/>
      <c r="AJ242" s="361"/>
      <c r="AK242" s="361"/>
      <c r="AL242" s="361"/>
      <c r="AM242" s="361"/>
      <c r="AN242" s="361"/>
      <c r="AO242" s="361"/>
      <c r="AP242" s="361"/>
      <c r="AQ242" s="361"/>
      <c r="AR242" s="503"/>
      <c r="AS242" s="489"/>
      <c r="AT242" s="160"/>
      <c r="AU242" s="355"/>
    </row>
    <row r="243" spans="1:47" s="124" customFormat="1" ht="21.75" hidden="1" customHeight="1">
      <c r="A243" s="331">
        <v>242</v>
      </c>
      <c r="B243" s="361" t="s">
        <v>1043</v>
      </c>
      <c r="C243" s="361" t="s">
        <v>1297</v>
      </c>
      <c r="D243" s="436" t="s">
        <v>1263</v>
      </c>
      <c r="E243" s="361" t="str">
        <f t="shared" si="3"/>
        <v>LOSS</v>
      </c>
      <c r="F243" s="361"/>
      <c r="G243" s="361"/>
      <c r="H243" s="28" t="s">
        <v>261</v>
      </c>
      <c r="I243" s="361" t="s">
        <v>243</v>
      </c>
      <c r="J243" s="361" t="s">
        <v>1298</v>
      </c>
      <c r="K243" s="361"/>
      <c r="L243" s="361"/>
      <c r="M243" s="361"/>
      <c r="N243" s="361"/>
      <c r="O243" s="370"/>
      <c r="P243" s="370">
        <v>144000000</v>
      </c>
      <c r="Q243" s="370"/>
      <c r="R243" s="370"/>
      <c r="S243" s="370">
        <v>66992000</v>
      </c>
      <c r="T243" s="361"/>
      <c r="U243" s="367">
        <v>44446</v>
      </c>
      <c r="V243" s="367">
        <v>44780</v>
      </c>
      <c r="W243" s="361" t="s">
        <v>250</v>
      </c>
      <c r="X243" s="361"/>
      <c r="Y243" s="361"/>
      <c r="Z243" s="361"/>
      <c r="AA243" s="361"/>
      <c r="AB243" s="361"/>
      <c r="AC243" s="159"/>
      <c r="AD243" s="368"/>
      <c r="AE243" s="364">
        <v>4500016430</v>
      </c>
      <c r="AF243" s="364"/>
      <c r="AG243" s="361"/>
      <c r="AH243" s="361"/>
      <c r="AI243" s="361"/>
      <c r="AJ243" s="361"/>
      <c r="AK243" s="361"/>
      <c r="AL243" s="361"/>
      <c r="AM243" s="361"/>
      <c r="AN243" s="361"/>
      <c r="AO243" s="361"/>
      <c r="AP243" s="361"/>
      <c r="AQ243" s="361"/>
      <c r="AR243" s="503"/>
      <c r="AS243" s="489"/>
      <c r="AT243" s="160"/>
      <c r="AU243" s="355"/>
    </row>
    <row r="244" spans="1:47" s="124" customFormat="1" ht="21.75" hidden="1" customHeight="1">
      <c r="A244" s="331">
        <v>243</v>
      </c>
      <c r="B244" s="361" t="s">
        <v>450</v>
      </c>
      <c r="C244" s="361" t="s">
        <v>1299</v>
      </c>
      <c r="D244" s="435" t="s">
        <v>597</v>
      </c>
      <c r="E244" s="361" t="str">
        <f t="shared" si="3"/>
        <v>LOSS</v>
      </c>
      <c r="F244" s="361"/>
      <c r="G244" s="361"/>
      <c r="H244" s="28" t="s">
        <v>261</v>
      </c>
      <c r="I244" s="361" t="s">
        <v>243</v>
      </c>
      <c r="J244" s="361" t="s">
        <v>1300</v>
      </c>
      <c r="K244" s="361"/>
      <c r="L244" s="361"/>
      <c r="M244" s="361"/>
      <c r="N244" s="361"/>
      <c r="O244" s="370"/>
      <c r="P244" s="370">
        <v>120000000</v>
      </c>
      <c r="Q244" s="370"/>
      <c r="R244" s="370"/>
      <c r="S244" s="370">
        <v>90000000</v>
      </c>
      <c r="T244" s="361"/>
      <c r="U244" s="348">
        <v>44406</v>
      </c>
      <c r="V244" s="348">
        <v>44770</v>
      </c>
      <c r="W244" s="361" t="s">
        <v>250</v>
      </c>
      <c r="X244" s="361"/>
      <c r="Y244" s="361"/>
      <c r="Z244" s="361"/>
      <c r="AA244" s="361"/>
      <c r="AB244" s="361"/>
      <c r="AC244" s="159"/>
      <c r="AD244" s="368"/>
      <c r="AE244" s="364">
        <v>4500016432</v>
      </c>
      <c r="AF244" s="364"/>
      <c r="AG244" s="361"/>
      <c r="AH244" s="361"/>
      <c r="AI244" s="361"/>
      <c r="AJ244" s="361"/>
      <c r="AK244" s="361"/>
      <c r="AL244" s="361"/>
      <c r="AM244" s="361"/>
      <c r="AN244" s="361"/>
      <c r="AO244" s="361"/>
      <c r="AP244" s="361"/>
      <c r="AQ244" s="361"/>
      <c r="AR244" s="503"/>
      <c r="AS244" s="489"/>
      <c r="AT244" s="160"/>
      <c r="AU244" s="355"/>
    </row>
    <row r="245" spans="1:47" s="124" customFormat="1" ht="21.75" hidden="1" customHeight="1">
      <c r="A245" s="331">
        <v>244</v>
      </c>
      <c r="B245" s="28" t="s">
        <v>1301</v>
      </c>
      <c r="C245" s="361" t="s">
        <v>1302</v>
      </c>
      <c r="D245" s="436" t="s">
        <v>1303</v>
      </c>
      <c r="E245" s="361" t="str">
        <f t="shared" si="3"/>
        <v>LOSS</v>
      </c>
      <c r="F245" s="361"/>
      <c r="G245" s="361"/>
      <c r="H245" s="28" t="s">
        <v>261</v>
      </c>
      <c r="I245" s="361" t="s">
        <v>243</v>
      </c>
      <c r="J245" s="361" t="s">
        <v>1304</v>
      </c>
      <c r="K245" s="361"/>
      <c r="L245" s="361"/>
      <c r="M245" s="361"/>
      <c r="N245" s="361"/>
      <c r="O245" s="370"/>
      <c r="P245" s="370">
        <v>66000000</v>
      </c>
      <c r="Q245" s="370"/>
      <c r="R245" s="370"/>
      <c r="S245" s="370">
        <v>30000000</v>
      </c>
      <c r="T245" s="361"/>
      <c r="U245" s="348">
        <v>44203</v>
      </c>
      <c r="V245" s="348">
        <v>44742</v>
      </c>
      <c r="W245" s="361" t="s">
        <v>250</v>
      </c>
      <c r="X245" s="361"/>
      <c r="Y245" s="361"/>
      <c r="Z245" s="361"/>
      <c r="AA245" s="361"/>
      <c r="AB245" s="361"/>
      <c r="AC245" s="159"/>
      <c r="AD245" s="368"/>
      <c r="AE245" s="364">
        <v>4500016431</v>
      </c>
      <c r="AF245" s="364"/>
      <c r="AG245" s="361"/>
      <c r="AH245" s="361"/>
      <c r="AI245" s="361"/>
      <c r="AJ245" s="361"/>
      <c r="AK245" s="361"/>
      <c r="AL245" s="361"/>
      <c r="AM245" s="361"/>
      <c r="AN245" s="361"/>
      <c r="AO245" s="361"/>
      <c r="AP245" s="361"/>
      <c r="AQ245" s="361"/>
      <c r="AR245" s="503"/>
      <c r="AS245" s="489"/>
      <c r="AT245" s="160"/>
      <c r="AU245" s="355"/>
    </row>
    <row r="246" spans="1:47" s="124" customFormat="1" ht="21.75" hidden="1" customHeight="1">
      <c r="A246" s="331">
        <v>245</v>
      </c>
      <c r="B246" s="28" t="s">
        <v>521</v>
      </c>
      <c r="C246" s="361" t="s">
        <v>522</v>
      </c>
      <c r="D246" s="435" t="s">
        <v>523</v>
      </c>
      <c r="E246" s="361" t="str">
        <f t="shared" si="3"/>
        <v>LOSS</v>
      </c>
      <c r="F246" s="361"/>
      <c r="G246" s="361"/>
      <c r="H246" s="28" t="s">
        <v>261</v>
      </c>
      <c r="I246" s="361" t="s">
        <v>243</v>
      </c>
      <c r="J246" s="361" t="s">
        <v>524</v>
      </c>
      <c r="K246" s="361"/>
      <c r="L246" s="361"/>
      <c r="M246" s="361"/>
      <c r="N246" s="361"/>
      <c r="O246" s="370"/>
      <c r="P246" s="370">
        <v>556800000</v>
      </c>
      <c r="Q246" s="370"/>
      <c r="R246" s="370"/>
      <c r="S246" s="370">
        <v>460800000</v>
      </c>
      <c r="T246" s="361"/>
      <c r="U246" s="348">
        <v>44399</v>
      </c>
      <c r="V246" s="348">
        <v>44763</v>
      </c>
      <c r="W246" s="361" t="s">
        <v>250</v>
      </c>
      <c r="X246" s="361"/>
      <c r="Y246" s="361"/>
      <c r="Z246" s="361"/>
      <c r="AA246" s="361"/>
      <c r="AB246" s="361"/>
      <c r="AC246" s="159"/>
      <c r="AD246" s="368"/>
      <c r="AE246" s="364">
        <v>4500016425</v>
      </c>
      <c r="AF246" s="364"/>
      <c r="AG246" s="361"/>
      <c r="AH246" s="361"/>
      <c r="AI246" s="361"/>
      <c r="AJ246" s="361"/>
      <c r="AK246" s="361"/>
      <c r="AL246" s="361"/>
      <c r="AM246" s="361"/>
      <c r="AN246" s="361"/>
      <c r="AO246" s="361"/>
      <c r="AP246" s="361"/>
      <c r="AQ246" s="361"/>
      <c r="AR246" s="503"/>
      <c r="AS246" s="489"/>
      <c r="AT246" s="160"/>
      <c r="AU246" s="355"/>
    </row>
    <row r="247" spans="1:47" s="124" customFormat="1" ht="21.75" hidden="1" customHeight="1">
      <c r="A247" s="331">
        <v>246</v>
      </c>
      <c r="B247" s="361" t="s">
        <v>348</v>
      </c>
      <c r="C247" s="361" t="s">
        <v>1305</v>
      </c>
      <c r="D247" s="436" t="s">
        <v>1187</v>
      </c>
      <c r="E247" s="361" t="str">
        <f t="shared" si="3"/>
        <v>LOSS</v>
      </c>
      <c r="F247" s="361"/>
      <c r="G247" s="361"/>
      <c r="H247" s="361" t="s">
        <v>327</v>
      </c>
      <c r="I247" s="361" t="s">
        <v>242</v>
      </c>
      <c r="J247" s="361" t="s">
        <v>1306</v>
      </c>
      <c r="K247" s="365"/>
      <c r="L247" s="361"/>
      <c r="M247" s="361"/>
      <c r="N247" s="361"/>
      <c r="O247" s="370"/>
      <c r="P247" s="370">
        <v>93600000</v>
      </c>
      <c r="Q247" s="370"/>
      <c r="R247" s="370"/>
      <c r="S247" s="370">
        <v>79425018</v>
      </c>
      <c r="T247" s="361"/>
      <c r="U247" s="348">
        <v>44399</v>
      </c>
      <c r="V247" s="348">
        <v>44794</v>
      </c>
      <c r="W247" s="361" t="s">
        <v>250</v>
      </c>
      <c r="X247" s="361"/>
      <c r="Y247" s="361"/>
      <c r="Z247" s="361"/>
      <c r="AA247" s="361"/>
      <c r="AB247" s="361"/>
      <c r="AC247" s="159"/>
      <c r="AD247" s="361" t="s">
        <v>1307</v>
      </c>
      <c r="AE247" s="364">
        <v>4500016356</v>
      </c>
      <c r="AF247" s="364"/>
      <c r="AG247" s="361"/>
      <c r="AH247" s="365"/>
      <c r="AI247" s="361"/>
      <c r="AJ247" s="361"/>
      <c r="AK247" s="361"/>
      <c r="AL247" s="361"/>
      <c r="AM247" s="361"/>
      <c r="AN247" s="361"/>
      <c r="AO247" s="361"/>
      <c r="AP247" s="361"/>
      <c r="AQ247" s="361"/>
      <c r="AR247" s="503"/>
      <c r="AS247" s="489"/>
      <c r="AT247" s="160"/>
      <c r="AU247" s="355"/>
    </row>
    <row r="248" spans="1:47" s="124" customFormat="1" ht="21.75" hidden="1" customHeight="1">
      <c r="A248" s="331">
        <v>247</v>
      </c>
      <c r="B248" s="361" t="s">
        <v>450</v>
      </c>
      <c r="C248" s="361" t="s">
        <v>1308</v>
      </c>
      <c r="D248" s="435" t="s">
        <v>597</v>
      </c>
      <c r="E248" s="361" t="str">
        <f t="shared" si="3"/>
        <v>LOSS</v>
      </c>
      <c r="F248" s="361"/>
      <c r="G248" s="361"/>
      <c r="H248" s="361" t="s">
        <v>327</v>
      </c>
      <c r="I248" s="361" t="s">
        <v>242</v>
      </c>
      <c r="J248" s="361" t="s">
        <v>1309</v>
      </c>
      <c r="K248" s="365"/>
      <c r="L248" s="361"/>
      <c r="M248" s="361"/>
      <c r="N248" s="361"/>
      <c r="O248" s="370">
        <v>5000000</v>
      </c>
      <c r="P248" s="370">
        <v>48000000</v>
      </c>
      <c r="Q248" s="370"/>
      <c r="R248" s="370">
        <v>1000000</v>
      </c>
      <c r="S248" s="370">
        <v>12000000</v>
      </c>
      <c r="T248" s="361"/>
      <c r="U248" s="367">
        <v>44447</v>
      </c>
      <c r="V248" s="367">
        <v>44781</v>
      </c>
      <c r="W248" s="361" t="s">
        <v>250</v>
      </c>
      <c r="X248" s="361"/>
      <c r="Y248" s="361"/>
      <c r="Z248" s="361"/>
      <c r="AA248" s="361"/>
      <c r="AB248" s="361"/>
      <c r="AC248" s="159"/>
      <c r="AD248" s="361" t="s">
        <v>1310</v>
      </c>
      <c r="AE248" s="364">
        <v>4500016416</v>
      </c>
      <c r="AF248" s="364"/>
      <c r="AG248" s="361"/>
      <c r="AH248" s="365"/>
      <c r="AI248" s="361"/>
      <c r="AJ248" s="361"/>
      <c r="AK248" s="361"/>
      <c r="AL248" s="361"/>
      <c r="AM248" s="361"/>
      <c r="AN248" s="361"/>
      <c r="AO248" s="361"/>
      <c r="AP248" s="361"/>
      <c r="AQ248" s="361"/>
      <c r="AR248" s="503"/>
      <c r="AS248" s="489"/>
      <c r="AT248" s="160"/>
      <c r="AU248" s="355"/>
    </row>
    <row r="249" spans="1:47" s="124" customFormat="1" ht="21.75" hidden="1" customHeight="1">
      <c r="A249" s="331">
        <v>248</v>
      </c>
      <c r="B249" s="361" t="s">
        <v>348</v>
      </c>
      <c r="C249" s="361" t="s">
        <v>1311</v>
      </c>
      <c r="D249" s="436" t="s">
        <v>1187</v>
      </c>
      <c r="E249" s="361" t="str">
        <f t="shared" si="3"/>
        <v>LOSS</v>
      </c>
      <c r="F249" s="361"/>
      <c r="G249" s="361"/>
      <c r="H249" s="361" t="s">
        <v>327</v>
      </c>
      <c r="I249" s="361" t="s">
        <v>242</v>
      </c>
      <c r="J249" s="361" t="s">
        <v>1312</v>
      </c>
      <c r="K249" s="365"/>
      <c r="L249" s="361"/>
      <c r="M249" s="361"/>
      <c r="N249" s="361"/>
      <c r="O249" s="370">
        <v>3000000</v>
      </c>
      <c r="P249" s="370">
        <v>36000000</v>
      </c>
      <c r="Q249" s="370"/>
      <c r="R249" s="370"/>
      <c r="S249" s="370">
        <v>15399936</v>
      </c>
      <c r="T249" s="361"/>
      <c r="U249" s="348">
        <v>44343</v>
      </c>
      <c r="V249" s="348">
        <v>44707</v>
      </c>
      <c r="W249" s="361" t="s">
        <v>250</v>
      </c>
      <c r="X249" s="361"/>
      <c r="Y249" s="361"/>
      <c r="Z249" s="361"/>
      <c r="AA249" s="361"/>
      <c r="AB249" s="361"/>
      <c r="AC249" s="159"/>
      <c r="AD249" s="361" t="s">
        <v>1313</v>
      </c>
      <c r="AE249" s="364">
        <v>4500016355</v>
      </c>
      <c r="AF249" s="364"/>
      <c r="AG249" s="361"/>
      <c r="AH249" s="365"/>
      <c r="AI249" s="361"/>
      <c r="AJ249" s="361"/>
      <c r="AK249" s="361"/>
      <c r="AL249" s="361"/>
      <c r="AM249" s="361"/>
      <c r="AN249" s="361"/>
      <c r="AO249" s="361"/>
      <c r="AP249" s="361"/>
      <c r="AQ249" s="361"/>
      <c r="AR249" s="503"/>
      <c r="AS249" s="489"/>
      <c r="AT249" s="160"/>
      <c r="AU249" s="355"/>
    </row>
    <row r="250" spans="1:47" s="124" customFormat="1" ht="21.75" hidden="1" customHeight="1">
      <c r="A250" s="331">
        <v>249</v>
      </c>
      <c r="B250" s="404" t="s">
        <v>1314</v>
      </c>
      <c r="C250" s="404" t="s">
        <v>1315</v>
      </c>
      <c r="D250" s="440" t="s">
        <v>1316</v>
      </c>
      <c r="E250" s="361" t="str">
        <f t="shared" si="3"/>
        <v>LOSS</v>
      </c>
      <c r="F250" s="404"/>
      <c r="G250" s="404"/>
      <c r="H250" s="404" t="s">
        <v>327</v>
      </c>
      <c r="I250" s="404" t="s">
        <v>242</v>
      </c>
      <c r="J250" s="404" t="s">
        <v>1317</v>
      </c>
      <c r="K250" s="405"/>
      <c r="L250" s="404"/>
      <c r="M250" s="404"/>
      <c r="N250" s="404"/>
      <c r="O250" s="406">
        <v>5000000</v>
      </c>
      <c r="P250" s="406">
        <v>126000000</v>
      </c>
      <c r="Q250" s="406"/>
      <c r="R250" s="406"/>
      <c r="S250" s="406">
        <v>30000000</v>
      </c>
      <c r="T250" s="404"/>
      <c r="U250" s="407">
        <v>44377</v>
      </c>
      <c r="V250" s="407">
        <v>46202</v>
      </c>
      <c r="W250" s="361" t="s">
        <v>250</v>
      </c>
      <c r="X250" s="404"/>
      <c r="Y250" s="404"/>
      <c r="Z250" s="361"/>
      <c r="AA250" s="404"/>
      <c r="AB250" s="404"/>
      <c r="AC250" s="159"/>
      <c r="AD250" s="404" t="s">
        <v>1318</v>
      </c>
      <c r="AE250" s="408">
        <v>4500016364</v>
      </c>
      <c r="AF250" s="364"/>
      <c r="AG250" s="361"/>
      <c r="AH250" s="365"/>
      <c r="AI250" s="361"/>
      <c r="AJ250" s="361"/>
      <c r="AK250" s="361"/>
      <c r="AL250" s="361"/>
      <c r="AM250" s="361"/>
      <c r="AN250" s="361"/>
      <c r="AO250" s="361"/>
      <c r="AP250" s="361"/>
      <c r="AQ250" s="361"/>
      <c r="AR250" s="503"/>
      <c r="AS250" s="489"/>
      <c r="AT250" s="160"/>
      <c r="AU250" s="355"/>
    </row>
    <row r="251" spans="1:47" s="124" customFormat="1" ht="21.75" hidden="1" customHeight="1">
      <c r="A251" s="331">
        <v>250</v>
      </c>
      <c r="B251" s="361" t="s">
        <v>1319</v>
      </c>
      <c r="C251" s="361" t="s">
        <v>1320</v>
      </c>
      <c r="D251" s="436" t="s">
        <v>1078</v>
      </c>
      <c r="E251" s="361" t="str">
        <f t="shared" si="3"/>
        <v>LOSS</v>
      </c>
      <c r="F251" s="361"/>
      <c r="G251" s="361"/>
      <c r="H251" s="361" t="s">
        <v>327</v>
      </c>
      <c r="I251" s="160" t="s">
        <v>346</v>
      </c>
      <c r="J251" s="361" t="s">
        <v>1321</v>
      </c>
      <c r="K251" s="365"/>
      <c r="L251" s="361"/>
      <c r="M251" s="361"/>
      <c r="N251" s="361"/>
      <c r="O251" s="370"/>
      <c r="P251" s="370">
        <v>436363632</v>
      </c>
      <c r="Q251" s="370"/>
      <c r="R251" s="370"/>
      <c r="S251" s="370">
        <v>38500000</v>
      </c>
      <c r="T251" s="361"/>
      <c r="U251" s="348">
        <v>44203</v>
      </c>
      <c r="V251" s="348">
        <v>44742</v>
      </c>
      <c r="W251" s="361" t="s">
        <v>250</v>
      </c>
      <c r="X251" s="361"/>
      <c r="Y251" s="361"/>
      <c r="Z251" s="361"/>
      <c r="AA251" s="361"/>
      <c r="AB251" s="361"/>
      <c r="AC251" s="159"/>
      <c r="AD251" s="262"/>
      <c r="AE251" s="364">
        <v>4500016269</v>
      </c>
      <c r="AF251" s="364"/>
      <c r="AG251" s="361"/>
      <c r="AH251" s="365"/>
      <c r="AI251" s="361"/>
      <c r="AJ251" s="361"/>
      <c r="AK251" s="361"/>
      <c r="AL251" s="361"/>
      <c r="AM251" s="361"/>
      <c r="AN251" s="361"/>
      <c r="AO251" s="361"/>
      <c r="AP251" s="361"/>
      <c r="AQ251" s="361"/>
      <c r="AR251" s="503"/>
      <c r="AS251" s="489"/>
      <c r="AT251" s="160"/>
      <c r="AU251" s="355"/>
    </row>
    <row r="252" spans="1:47" s="124" customFormat="1" ht="21.75" hidden="1" customHeight="1">
      <c r="A252" s="331">
        <v>251</v>
      </c>
      <c r="B252" s="159" t="s">
        <v>645</v>
      </c>
      <c r="C252" s="361" t="s">
        <v>349</v>
      </c>
      <c r="D252" s="435" t="s">
        <v>646</v>
      </c>
      <c r="E252" s="361" t="str">
        <f t="shared" si="3"/>
        <v>LOSS</v>
      </c>
      <c r="F252" s="361"/>
      <c r="G252" s="361"/>
      <c r="H252" s="361" t="s">
        <v>327</v>
      </c>
      <c r="I252" s="160" t="s">
        <v>346</v>
      </c>
      <c r="J252" s="361" t="s">
        <v>203</v>
      </c>
      <c r="K252" s="365"/>
      <c r="L252" s="361"/>
      <c r="M252" s="361"/>
      <c r="N252" s="361"/>
      <c r="O252" s="370"/>
      <c r="P252" s="370">
        <v>34800000</v>
      </c>
      <c r="Q252" s="370"/>
      <c r="R252" s="370"/>
      <c r="S252" s="370">
        <v>1700000</v>
      </c>
      <c r="T252" s="361"/>
      <c r="U252" s="367">
        <v>44409</v>
      </c>
      <c r="V252" s="367">
        <v>44743</v>
      </c>
      <c r="W252" s="361" t="s">
        <v>250</v>
      </c>
      <c r="X252" s="361"/>
      <c r="Y252" s="361"/>
      <c r="Z252" s="361"/>
      <c r="AA252" s="361"/>
      <c r="AB252" s="361"/>
      <c r="AC252" s="159"/>
      <c r="AD252" s="368"/>
      <c r="AE252" s="364">
        <v>4500015663</v>
      </c>
      <c r="AF252" s="364"/>
      <c r="AG252" s="361"/>
      <c r="AH252" s="365"/>
      <c r="AI252" s="361"/>
      <c r="AJ252" s="361"/>
      <c r="AK252" s="361"/>
      <c r="AL252" s="361"/>
      <c r="AM252" s="361"/>
      <c r="AN252" s="361"/>
      <c r="AO252" s="361"/>
      <c r="AP252" s="361"/>
      <c r="AQ252" s="361"/>
      <c r="AR252" s="503"/>
      <c r="AS252" s="489"/>
      <c r="AT252" s="160"/>
      <c r="AU252" s="355"/>
    </row>
    <row r="253" spans="1:47" s="124" customFormat="1" ht="21.75" hidden="1" customHeight="1">
      <c r="A253" s="331">
        <v>252</v>
      </c>
      <c r="B253" s="361" t="s">
        <v>962</v>
      </c>
      <c r="C253" s="361" t="s">
        <v>1322</v>
      </c>
      <c r="D253" s="436" t="s">
        <v>1056</v>
      </c>
      <c r="E253" s="361" t="str">
        <f t="shared" si="3"/>
        <v>LOSS</v>
      </c>
      <c r="F253" s="361"/>
      <c r="G253" s="361"/>
      <c r="H253" s="28" t="s">
        <v>261</v>
      </c>
      <c r="I253" s="361" t="s">
        <v>243</v>
      </c>
      <c r="J253" s="361" t="s">
        <v>1323</v>
      </c>
      <c r="K253" s="361"/>
      <c r="L253" s="361"/>
      <c r="M253" s="361"/>
      <c r="N253" s="361"/>
      <c r="O253" s="370"/>
      <c r="P253" s="370">
        <v>72000000</v>
      </c>
      <c r="Q253" s="370"/>
      <c r="R253" s="370"/>
      <c r="S253" s="370">
        <v>36000000</v>
      </c>
      <c r="T253" s="361"/>
      <c r="U253" s="348">
        <v>44203</v>
      </c>
      <c r="V253" s="348">
        <v>44742</v>
      </c>
      <c r="W253" s="361" t="s">
        <v>250</v>
      </c>
      <c r="X253" s="361"/>
      <c r="Y253" s="361"/>
      <c r="Z253" s="361"/>
      <c r="AA253" s="361"/>
      <c r="AB253" s="361"/>
      <c r="AC253" s="159"/>
      <c r="AD253" s="262"/>
      <c r="AE253" s="364">
        <v>4500016435</v>
      </c>
      <c r="AF253" s="364"/>
      <c r="AG253" s="361"/>
      <c r="AH253" s="361"/>
      <c r="AI253" s="361"/>
      <c r="AJ253" s="361"/>
      <c r="AK253" s="361"/>
      <c r="AL253" s="361"/>
      <c r="AM253" s="361"/>
      <c r="AN253" s="361"/>
      <c r="AO253" s="361"/>
      <c r="AP253" s="361"/>
      <c r="AQ253" s="361"/>
      <c r="AR253" s="503"/>
      <c r="AS253" s="489"/>
      <c r="AT253" s="160"/>
      <c r="AU253" s="355"/>
    </row>
    <row r="254" spans="1:47" s="124" customFormat="1" ht="21.75" hidden="1" customHeight="1">
      <c r="A254" s="331">
        <v>253</v>
      </c>
      <c r="B254" s="361" t="s">
        <v>37</v>
      </c>
      <c r="C254" s="361" t="s">
        <v>1324</v>
      </c>
      <c r="D254" s="435" t="s">
        <v>1129</v>
      </c>
      <c r="E254" s="361" t="str">
        <f t="shared" si="3"/>
        <v>LOSS</v>
      </c>
      <c r="F254" s="361"/>
      <c r="G254" s="361"/>
      <c r="H254" s="28" t="s">
        <v>261</v>
      </c>
      <c r="I254" s="361" t="s">
        <v>243</v>
      </c>
      <c r="J254" s="361" t="s">
        <v>1325</v>
      </c>
      <c r="K254" s="361"/>
      <c r="L254" s="361"/>
      <c r="M254" s="361"/>
      <c r="N254" s="361"/>
      <c r="O254" s="370"/>
      <c r="P254" s="370">
        <v>285600000</v>
      </c>
      <c r="Q254" s="370"/>
      <c r="R254" s="370"/>
      <c r="S254" s="370">
        <v>96000000</v>
      </c>
      <c r="T254" s="361"/>
      <c r="U254" s="348">
        <v>44203</v>
      </c>
      <c r="V254" s="348">
        <v>44742</v>
      </c>
      <c r="W254" s="361" t="s">
        <v>250</v>
      </c>
      <c r="X254" s="361"/>
      <c r="Y254" s="361"/>
      <c r="Z254" s="361"/>
      <c r="AA254" s="361"/>
      <c r="AB254" s="361"/>
      <c r="AC254" s="159"/>
      <c r="AD254" s="368"/>
      <c r="AE254" s="364">
        <v>4500016424</v>
      </c>
      <c r="AF254" s="364"/>
      <c r="AG254" s="361"/>
      <c r="AH254" s="361"/>
      <c r="AI254" s="361"/>
      <c r="AJ254" s="361"/>
      <c r="AK254" s="361"/>
      <c r="AL254" s="361"/>
      <c r="AM254" s="361"/>
      <c r="AN254" s="361"/>
      <c r="AO254" s="361"/>
      <c r="AP254" s="361"/>
      <c r="AQ254" s="361"/>
      <c r="AR254" s="503"/>
      <c r="AS254" s="489"/>
      <c r="AT254" s="160"/>
      <c r="AU254" s="355"/>
    </row>
    <row r="255" spans="1:47" s="124" customFormat="1" ht="21.75" hidden="1" customHeight="1">
      <c r="A255" s="331">
        <v>254</v>
      </c>
      <c r="B255" s="361" t="s">
        <v>1326</v>
      </c>
      <c r="C255" s="361" t="s">
        <v>1327</v>
      </c>
      <c r="D255" s="436" t="s">
        <v>1328</v>
      </c>
      <c r="E255" s="361" t="str">
        <f t="shared" si="3"/>
        <v>LOSS</v>
      </c>
      <c r="F255" s="361"/>
      <c r="G255" s="361"/>
      <c r="H255" s="28" t="s">
        <v>261</v>
      </c>
      <c r="I255" s="361" t="s">
        <v>243</v>
      </c>
      <c r="J255" s="361" t="s">
        <v>1329</v>
      </c>
      <c r="K255" s="361"/>
      <c r="L255" s="361"/>
      <c r="M255" s="361"/>
      <c r="N255" s="361"/>
      <c r="O255" s="370"/>
      <c r="P255" s="370">
        <v>21818181</v>
      </c>
      <c r="Q255" s="370"/>
      <c r="R255" s="370"/>
      <c r="S255" s="370">
        <v>282200000</v>
      </c>
      <c r="T255" s="361"/>
      <c r="U255" s="348">
        <v>44562</v>
      </c>
      <c r="V255" s="348">
        <v>44926</v>
      </c>
      <c r="W255" s="361" t="s">
        <v>250</v>
      </c>
      <c r="X255" s="361"/>
      <c r="Y255" s="361"/>
      <c r="Z255" s="361"/>
      <c r="AA255" s="361"/>
      <c r="AB255" s="361"/>
      <c r="AC255" s="159"/>
      <c r="AD255" s="361" t="s">
        <v>1330</v>
      </c>
      <c r="AE255" s="364">
        <v>4500017443</v>
      </c>
      <c r="AF255" s="364"/>
      <c r="AG255" s="361"/>
      <c r="AH255" s="361"/>
      <c r="AI255" s="361"/>
      <c r="AJ255" s="361"/>
      <c r="AK255" s="361"/>
      <c r="AL255" s="361"/>
      <c r="AM255" s="361"/>
      <c r="AN255" s="361"/>
      <c r="AO255" s="361"/>
      <c r="AP255" s="361"/>
      <c r="AQ255" s="361"/>
      <c r="AR255" s="503"/>
      <c r="AS255" s="489"/>
      <c r="AT255" s="160"/>
      <c r="AU255" s="355"/>
    </row>
    <row r="256" spans="1:47" s="124" customFormat="1" ht="21.75" hidden="1" customHeight="1">
      <c r="A256" s="331">
        <v>255</v>
      </c>
      <c r="B256" s="361" t="s">
        <v>542</v>
      </c>
      <c r="C256" s="361" t="s">
        <v>1229</v>
      </c>
      <c r="D256" s="435" t="s">
        <v>544</v>
      </c>
      <c r="E256" s="361" t="str">
        <f t="shared" si="3"/>
        <v>LOSS</v>
      </c>
      <c r="F256" s="361"/>
      <c r="G256" s="361"/>
      <c r="H256" s="361" t="s">
        <v>327</v>
      </c>
      <c r="I256" s="160" t="s">
        <v>346</v>
      </c>
      <c r="J256" s="361" t="s">
        <v>1331</v>
      </c>
      <c r="K256" s="365"/>
      <c r="L256" s="361"/>
      <c r="M256" s="361"/>
      <c r="N256" s="361"/>
      <c r="O256" s="370"/>
      <c r="P256" s="370">
        <v>72000000</v>
      </c>
      <c r="Q256" s="370"/>
      <c r="R256" s="370"/>
      <c r="S256" s="370">
        <v>6000000</v>
      </c>
      <c r="T256" s="361"/>
      <c r="U256" s="348">
        <v>44548</v>
      </c>
      <c r="V256" s="348">
        <v>44912</v>
      </c>
      <c r="W256" s="361" t="s">
        <v>250</v>
      </c>
      <c r="X256" s="361"/>
      <c r="Y256" s="361"/>
      <c r="Z256" s="361"/>
      <c r="AA256" s="361"/>
      <c r="AB256" s="361"/>
      <c r="AC256" s="159"/>
      <c r="AD256" s="368"/>
      <c r="AE256" s="364">
        <v>4500017405</v>
      </c>
      <c r="AF256" s="364"/>
      <c r="AG256" s="361"/>
      <c r="AH256" s="365"/>
      <c r="AI256" s="361"/>
      <c r="AJ256" s="361"/>
      <c r="AK256" s="361"/>
      <c r="AL256" s="361"/>
      <c r="AM256" s="361"/>
      <c r="AN256" s="361"/>
      <c r="AO256" s="361"/>
      <c r="AP256" s="361"/>
      <c r="AQ256" s="361"/>
      <c r="AR256" s="503"/>
      <c r="AS256" s="489"/>
      <c r="AT256" s="160"/>
      <c r="AU256" s="355"/>
    </row>
    <row r="257" spans="1:47" s="124" customFormat="1" ht="21.75" hidden="1" customHeight="1">
      <c r="A257" s="331">
        <v>256</v>
      </c>
      <c r="B257" s="28" t="s">
        <v>179</v>
      </c>
      <c r="C257" s="361" t="s">
        <v>1227</v>
      </c>
      <c r="D257" s="436" t="s">
        <v>560</v>
      </c>
      <c r="E257" s="361" t="str">
        <f t="shared" si="3"/>
        <v>LOSS</v>
      </c>
      <c r="F257" s="361"/>
      <c r="G257" s="361"/>
      <c r="H257" s="361" t="s">
        <v>327</v>
      </c>
      <c r="I257" s="361" t="s">
        <v>242</v>
      </c>
      <c r="J257" s="361" t="s">
        <v>1332</v>
      </c>
      <c r="K257" s="365"/>
      <c r="L257" s="361"/>
      <c r="M257" s="361"/>
      <c r="N257" s="361"/>
      <c r="O257" s="370">
        <v>1000000</v>
      </c>
      <c r="P257" s="370">
        <v>324000000</v>
      </c>
      <c r="Q257" s="370"/>
      <c r="R257" s="370"/>
      <c r="S257" s="370">
        <v>18000000</v>
      </c>
      <c r="T257" s="361"/>
      <c r="U257" s="348">
        <v>44559</v>
      </c>
      <c r="V257" s="348">
        <v>44923</v>
      </c>
      <c r="W257" s="361" t="s">
        <v>250</v>
      </c>
      <c r="X257" s="361"/>
      <c r="Y257" s="361"/>
      <c r="Z257" s="361"/>
      <c r="AA257" s="361"/>
      <c r="AB257" s="361"/>
      <c r="AC257" s="159"/>
      <c r="AD257" s="368"/>
      <c r="AE257" s="364">
        <v>4500017435</v>
      </c>
      <c r="AF257" s="364"/>
      <c r="AG257" s="361"/>
      <c r="AH257" s="365"/>
      <c r="AI257" s="361"/>
      <c r="AJ257" s="361"/>
      <c r="AK257" s="361"/>
      <c r="AL257" s="361"/>
      <c r="AM257" s="361"/>
      <c r="AN257" s="361"/>
      <c r="AO257" s="361"/>
      <c r="AP257" s="361"/>
      <c r="AQ257" s="361"/>
      <c r="AR257" s="503"/>
      <c r="AS257" s="489"/>
      <c r="AT257" s="160"/>
      <c r="AU257" s="355"/>
    </row>
    <row r="258" spans="1:47" s="124" customFormat="1" ht="21.75" hidden="1" customHeight="1">
      <c r="A258" s="331">
        <v>257</v>
      </c>
      <c r="B258" s="361" t="s">
        <v>1035</v>
      </c>
      <c r="C258" s="361" t="s">
        <v>1333</v>
      </c>
      <c r="D258" s="435" t="s">
        <v>1240</v>
      </c>
      <c r="E258" s="361" t="str">
        <f t="shared" ref="E258:E321" si="4">IF(Z258&lt;=0, "LOSS",IF(Z258&lt;=15, "CRITICAL",IF(Z258&lt;=30, "WARNING",IF(Z258&lt;60, "ATTENTION", "ON TRACK"))))</f>
        <v>LOSS</v>
      </c>
      <c r="F258" s="361"/>
      <c r="G258" s="361"/>
      <c r="H258" s="361" t="s">
        <v>327</v>
      </c>
      <c r="I258" s="160" t="s">
        <v>346</v>
      </c>
      <c r="J258" s="361" t="s">
        <v>1334</v>
      </c>
      <c r="K258" s="365"/>
      <c r="L258" s="361"/>
      <c r="M258" s="361"/>
      <c r="N258" s="361"/>
      <c r="O258" s="370"/>
      <c r="P258" s="370">
        <v>42000000</v>
      </c>
      <c r="Q258" s="370"/>
      <c r="R258" s="370"/>
      <c r="S258" s="370">
        <v>14680000</v>
      </c>
      <c r="T258" s="361"/>
      <c r="U258" s="348">
        <v>44547</v>
      </c>
      <c r="V258" s="348">
        <v>44911</v>
      </c>
      <c r="W258" s="361" t="s">
        <v>250</v>
      </c>
      <c r="X258" s="361"/>
      <c r="Y258" s="361"/>
      <c r="Z258" s="361"/>
      <c r="AA258" s="361"/>
      <c r="AB258" s="361"/>
      <c r="AC258" s="159"/>
      <c r="AD258" s="361" t="s">
        <v>1335</v>
      </c>
      <c r="AE258" s="364">
        <v>4500017399</v>
      </c>
      <c r="AF258" s="364"/>
      <c r="AG258" s="361"/>
      <c r="AH258" s="365"/>
      <c r="AI258" s="361"/>
      <c r="AJ258" s="361"/>
      <c r="AK258" s="361"/>
      <c r="AL258" s="361"/>
      <c r="AM258" s="361"/>
      <c r="AN258" s="361"/>
      <c r="AO258" s="361"/>
      <c r="AP258" s="361"/>
      <c r="AQ258" s="361"/>
      <c r="AR258" s="503"/>
      <c r="AS258" s="489"/>
      <c r="AT258" s="160"/>
      <c r="AU258" s="355"/>
    </row>
    <row r="259" spans="1:47" s="124" customFormat="1" ht="21.75" hidden="1" customHeight="1">
      <c r="A259" s="331">
        <v>258</v>
      </c>
      <c r="B259" s="361" t="s">
        <v>1336</v>
      </c>
      <c r="C259" s="361" t="s">
        <v>1337</v>
      </c>
      <c r="D259" s="436" t="s">
        <v>611</v>
      </c>
      <c r="E259" s="361" t="str">
        <f t="shared" si="4"/>
        <v>LOSS</v>
      </c>
      <c r="F259" s="361"/>
      <c r="G259" s="361"/>
      <c r="H259" s="361" t="s">
        <v>327</v>
      </c>
      <c r="I259" s="361" t="s">
        <v>242</v>
      </c>
      <c r="J259" s="361" t="s">
        <v>1338</v>
      </c>
      <c r="K259" s="365"/>
      <c r="L259" s="361"/>
      <c r="M259" s="361"/>
      <c r="N259" s="361"/>
      <c r="O259" s="370"/>
      <c r="P259" s="370">
        <v>130548000</v>
      </c>
      <c r="Q259" s="370"/>
      <c r="R259" s="370">
        <v>3000000</v>
      </c>
      <c r="S259" s="370">
        <v>6000000</v>
      </c>
      <c r="T259" s="361"/>
      <c r="U259" s="348">
        <v>44553</v>
      </c>
      <c r="V259" s="348">
        <v>44917</v>
      </c>
      <c r="W259" s="361" t="s">
        <v>250</v>
      </c>
      <c r="X259" s="361"/>
      <c r="Y259" s="361"/>
      <c r="Z259" s="361"/>
      <c r="AA259" s="361"/>
      <c r="AB259" s="361"/>
      <c r="AC259" s="159"/>
      <c r="AD259" s="361" t="s">
        <v>1339</v>
      </c>
      <c r="AE259" s="364">
        <v>4500017398</v>
      </c>
      <c r="AF259" s="364"/>
      <c r="AG259" s="361"/>
      <c r="AH259" s="365"/>
      <c r="AI259" s="361"/>
      <c r="AJ259" s="361"/>
      <c r="AK259" s="361"/>
      <c r="AL259" s="361"/>
      <c r="AM259" s="361"/>
      <c r="AN259" s="361"/>
      <c r="AO259" s="361"/>
      <c r="AP259" s="361"/>
      <c r="AQ259" s="361"/>
      <c r="AR259" s="503"/>
      <c r="AS259" s="489"/>
      <c r="AT259" s="160"/>
      <c r="AU259" s="355"/>
    </row>
    <row r="260" spans="1:47" s="124" customFormat="1" ht="21.75" hidden="1" customHeight="1">
      <c r="A260" s="331">
        <v>259</v>
      </c>
      <c r="B260" s="361" t="s">
        <v>37</v>
      </c>
      <c r="C260" s="361" t="s">
        <v>1308</v>
      </c>
      <c r="D260" s="435" t="s">
        <v>1129</v>
      </c>
      <c r="E260" s="361" t="str">
        <f t="shared" si="4"/>
        <v>LOSS</v>
      </c>
      <c r="F260" s="361"/>
      <c r="G260" s="361"/>
      <c r="H260" s="361" t="s">
        <v>327</v>
      </c>
      <c r="I260" s="361" t="s">
        <v>242</v>
      </c>
      <c r="J260" s="361" t="s">
        <v>1340</v>
      </c>
      <c r="K260" s="365"/>
      <c r="L260" s="361"/>
      <c r="M260" s="361"/>
      <c r="N260" s="361"/>
      <c r="O260" s="370">
        <v>6000000</v>
      </c>
      <c r="P260" s="370">
        <v>48000000</v>
      </c>
      <c r="Q260" s="370"/>
      <c r="R260" s="370">
        <v>1000000</v>
      </c>
      <c r="S260" s="370">
        <v>24000000</v>
      </c>
      <c r="T260" s="361"/>
      <c r="U260" s="367">
        <v>44478</v>
      </c>
      <c r="V260" s="367">
        <v>44813</v>
      </c>
      <c r="W260" s="361" t="s">
        <v>250</v>
      </c>
      <c r="X260" s="361"/>
      <c r="Y260" s="361"/>
      <c r="Z260" s="361"/>
      <c r="AA260" s="361"/>
      <c r="AB260" s="361"/>
      <c r="AC260" s="159"/>
      <c r="AD260" s="361" t="s">
        <v>1341</v>
      </c>
      <c r="AE260" s="364">
        <v>4500016617</v>
      </c>
      <c r="AF260" s="364"/>
      <c r="AG260" s="361"/>
      <c r="AH260" s="365"/>
      <c r="AI260" s="361"/>
      <c r="AJ260" s="361"/>
      <c r="AK260" s="361"/>
      <c r="AL260" s="361"/>
      <c r="AM260" s="361"/>
      <c r="AN260" s="361"/>
      <c r="AO260" s="361"/>
      <c r="AP260" s="361"/>
      <c r="AQ260" s="361"/>
      <c r="AR260" s="503"/>
      <c r="AS260" s="489"/>
      <c r="AT260" s="160"/>
      <c r="AU260" s="355"/>
    </row>
    <row r="261" spans="1:47" s="124" customFormat="1" ht="21.75" hidden="1" customHeight="1">
      <c r="A261" s="331">
        <v>260</v>
      </c>
      <c r="B261" s="361" t="s">
        <v>1035</v>
      </c>
      <c r="C261" s="361" t="s">
        <v>1342</v>
      </c>
      <c r="D261" s="436" t="s">
        <v>1240</v>
      </c>
      <c r="E261" s="361" t="str">
        <f t="shared" si="4"/>
        <v>LOSS</v>
      </c>
      <c r="F261" s="361"/>
      <c r="G261" s="361"/>
      <c r="H261" s="361" t="s">
        <v>327</v>
      </c>
      <c r="I261" s="160" t="s">
        <v>346</v>
      </c>
      <c r="J261" s="361" t="s">
        <v>1343</v>
      </c>
      <c r="K261" s="365"/>
      <c r="L261" s="361"/>
      <c r="M261" s="361"/>
      <c r="N261" s="361"/>
      <c r="O261" s="370"/>
      <c r="P261" s="370">
        <v>87387600</v>
      </c>
      <c r="Q261" s="370"/>
      <c r="R261" s="370"/>
      <c r="S261" s="370">
        <v>22440000</v>
      </c>
      <c r="T261" s="361"/>
      <c r="U261" s="348">
        <v>44463</v>
      </c>
      <c r="V261" s="348">
        <v>44827</v>
      </c>
      <c r="W261" s="361" t="s">
        <v>250</v>
      </c>
      <c r="X261" s="361"/>
      <c r="Y261" s="361"/>
      <c r="Z261" s="361"/>
      <c r="AA261" s="361"/>
      <c r="AB261" s="361"/>
      <c r="AC261" s="159"/>
      <c r="AD261" s="361" t="s">
        <v>1344</v>
      </c>
      <c r="AE261" s="364">
        <v>4500016699</v>
      </c>
      <c r="AF261" s="364"/>
      <c r="AG261" s="361"/>
      <c r="AH261" s="365"/>
      <c r="AI261" s="361"/>
      <c r="AJ261" s="361"/>
      <c r="AK261" s="361"/>
      <c r="AL261" s="361"/>
      <c r="AM261" s="361"/>
      <c r="AN261" s="361"/>
      <c r="AO261" s="361"/>
      <c r="AP261" s="361"/>
      <c r="AQ261" s="361"/>
      <c r="AR261" s="503"/>
      <c r="AS261" s="489"/>
      <c r="AT261" s="160"/>
      <c r="AU261" s="355"/>
    </row>
    <row r="262" spans="1:47" s="124" customFormat="1" ht="21.75" hidden="1" customHeight="1">
      <c r="A262" s="331">
        <v>261</v>
      </c>
      <c r="B262" s="159" t="s">
        <v>593</v>
      </c>
      <c r="C262" s="361" t="s">
        <v>594</v>
      </c>
      <c r="D262" s="435" t="s">
        <v>544</v>
      </c>
      <c r="E262" s="361" t="str">
        <f t="shared" si="4"/>
        <v>LOSS</v>
      </c>
      <c r="F262" s="361"/>
      <c r="G262" s="361"/>
      <c r="H262" s="361" t="s">
        <v>327</v>
      </c>
      <c r="I262" s="160" t="s">
        <v>346</v>
      </c>
      <c r="J262" s="361">
        <v>1000029813</v>
      </c>
      <c r="K262" s="365"/>
      <c r="L262" s="361"/>
      <c r="M262" s="361"/>
      <c r="N262" s="361"/>
      <c r="O262" s="370"/>
      <c r="P262" s="370">
        <v>84000000</v>
      </c>
      <c r="Q262" s="370"/>
      <c r="R262" s="370"/>
      <c r="S262" s="370">
        <v>20900000</v>
      </c>
      <c r="T262" s="361"/>
      <c r="U262" s="348">
        <v>44206</v>
      </c>
      <c r="V262" s="348">
        <v>44834</v>
      </c>
      <c r="W262" s="361" t="s">
        <v>250</v>
      </c>
      <c r="X262" s="361"/>
      <c r="Y262" s="361"/>
      <c r="Z262" s="361"/>
      <c r="AA262" s="361"/>
      <c r="AB262" s="361"/>
      <c r="AC262" s="159"/>
      <c r="AD262" s="368"/>
      <c r="AE262" s="364">
        <v>4500016708</v>
      </c>
      <c r="AF262" s="364"/>
      <c r="AG262" s="361"/>
      <c r="AH262" s="365"/>
      <c r="AI262" s="361"/>
      <c r="AJ262" s="361"/>
      <c r="AK262" s="361"/>
      <c r="AL262" s="361"/>
      <c r="AM262" s="361"/>
      <c r="AN262" s="361"/>
      <c r="AO262" s="361"/>
      <c r="AP262" s="361"/>
      <c r="AQ262" s="361"/>
      <c r="AR262" s="503"/>
      <c r="AS262" s="489"/>
      <c r="AT262" s="160"/>
      <c r="AU262" s="355"/>
    </row>
    <row r="263" spans="1:47" s="124" customFormat="1" ht="21.75" hidden="1" customHeight="1">
      <c r="A263" s="331">
        <v>262</v>
      </c>
      <c r="B263" s="159" t="s">
        <v>614</v>
      </c>
      <c r="C263" s="361" t="s">
        <v>322</v>
      </c>
      <c r="D263" s="436" t="s">
        <v>1207</v>
      </c>
      <c r="E263" s="361" t="str">
        <f t="shared" si="4"/>
        <v>LOSS</v>
      </c>
      <c r="F263" s="361"/>
      <c r="G263" s="361"/>
      <c r="H263" s="28" t="s">
        <v>261</v>
      </c>
      <c r="I263" s="361" t="s">
        <v>243</v>
      </c>
      <c r="J263" s="361" t="s">
        <v>1345</v>
      </c>
      <c r="K263" s="361"/>
      <c r="L263" s="361"/>
      <c r="M263" s="361"/>
      <c r="N263" s="361"/>
      <c r="O263" s="370">
        <v>2500000</v>
      </c>
      <c r="P263" s="370">
        <v>48000000</v>
      </c>
      <c r="Q263" s="370"/>
      <c r="R263" s="370">
        <v>2500000</v>
      </c>
      <c r="S263" s="370">
        <v>36000000</v>
      </c>
      <c r="T263" s="361"/>
      <c r="U263" s="348">
        <v>44485</v>
      </c>
      <c r="V263" s="348">
        <v>44849</v>
      </c>
      <c r="W263" s="361" t="s">
        <v>250</v>
      </c>
      <c r="X263" s="361"/>
      <c r="Y263" s="361"/>
      <c r="Z263" s="361"/>
      <c r="AA263" s="361"/>
      <c r="AB263" s="361"/>
      <c r="AC263" s="159"/>
      <c r="AD263" s="361" t="s">
        <v>1346</v>
      </c>
      <c r="AE263" s="364">
        <v>4500016833</v>
      </c>
      <c r="AF263" s="364"/>
      <c r="AG263" s="361"/>
      <c r="AH263" s="361"/>
      <c r="AI263" s="361"/>
      <c r="AJ263" s="361"/>
      <c r="AK263" s="361"/>
      <c r="AL263" s="361"/>
      <c r="AM263" s="361"/>
      <c r="AN263" s="361"/>
      <c r="AO263" s="361"/>
      <c r="AP263" s="361"/>
      <c r="AQ263" s="361"/>
      <c r="AR263" s="503"/>
      <c r="AS263" s="489"/>
      <c r="AT263" s="160"/>
      <c r="AU263" s="355"/>
    </row>
    <row r="264" spans="1:47" s="124" customFormat="1" ht="21.75" hidden="1" customHeight="1">
      <c r="A264" s="331">
        <v>263</v>
      </c>
      <c r="B264" s="361" t="s">
        <v>1347</v>
      </c>
      <c r="C264" s="361" t="s">
        <v>1348</v>
      </c>
      <c r="D264" s="435" t="s">
        <v>544</v>
      </c>
      <c r="E264" s="361" t="str">
        <f t="shared" si="4"/>
        <v>LOSS</v>
      </c>
      <c r="F264" s="361"/>
      <c r="G264" s="361"/>
      <c r="H264" s="28" t="s">
        <v>261</v>
      </c>
      <c r="I264" s="361" t="s">
        <v>243</v>
      </c>
      <c r="J264" s="361" t="s">
        <v>1349</v>
      </c>
      <c r="K264" s="361"/>
      <c r="L264" s="361"/>
      <c r="M264" s="361"/>
      <c r="N264" s="361"/>
      <c r="O264" s="370"/>
      <c r="P264" s="370">
        <v>12100000</v>
      </c>
      <c r="Q264" s="370"/>
      <c r="R264" s="370"/>
      <c r="S264" s="370">
        <v>3300538</v>
      </c>
      <c r="T264" s="361"/>
      <c r="U264" s="348">
        <v>44371</v>
      </c>
      <c r="V264" s="348">
        <v>44764</v>
      </c>
      <c r="W264" s="361" t="s">
        <v>250</v>
      </c>
      <c r="X264" s="361"/>
      <c r="Y264" s="361"/>
      <c r="Z264" s="361"/>
      <c r="AA264" s="361"/>
      <c r="AB264" s="361"/>
      <c r="AC264" s="159"/>
      <c r="AD264" s="361" t="s">
        <v>1350</v>
      </c>
      <c r="AE264" s="364">
        <v>4500016712</v>
      </c>
      <c r="AF264" s="364"/>
      <c r="AG264" s="361"/>
      <c r="AH264" s="361"/>
      <c r="AI264" s="361"/>
      <c r="AJ264" s="361"/>
      <c r="AK264" s="361"/>
      <c r="AL264" s="361"/>
      <c r="AM264" s="361"/>
      <c r="AN264" s="361"/>
      <c r="AO264" s="361"/>
      <c r="AP264" s="361"/>
      <c r="AQ264" s="361"/>
      <c r="AR264" s="503"/>
      <c r="AS264" s="489"/>
      <c r="AT264" s="160"/>
      <c r="AU264" s="355"/>
    </row>
    <row r="265" spans="1:47" s="124" customFormat="1" ht="21.75" hidden="1" customHeight="1">
      <c r="A265" s="331">
        <v>264</v>
      </c>
      <c r="B265" s="361" t="s">
        <v>400</v>
      </c>
      <c r="C265" s="361" t="s">
        <v>1351</v>
      </c>
      <c r="D265" s="436" t="s">
        <v>539</v>
      </c>
      <c r="E265" s="361" t="str">
        <f t="shared" si="4"/>
        <v>LOSS</v>
      </c>
      <c r="F265" s="361"/>
      <c r="G265" s="361"/>
      <c r="H265" s="361" t="s">
        <v>327</v>
      </c>
      <c r="I265" s="160" t="s">
        <v>346</v>
      </c>
      <c r="J265" s="361" t="s">
        <v>1352</v>
      </c>
      <c r="K265" s="365"/>
      <c r="L265" s="361"/>
      <c r="M265" s="361"/>
      <c r="N265" s="361"/>
      <c r="O265" s="370"/>
      <c r="P265" s="370">
        <v>901800000</v>
      </c>
      <c r="Q265" s="370"/>
      <c r="R265" s="370"/>
      <c r="S265" s="370">
        <v>7500000</v>
      </c>
      <c r="T265" s="361"/>
      <c r="U265" s="348">
        <v>44439</v>
      </c>
      <c r="V265" s="348">
        <v>44803</v>
      </c>
      <c r="W265" s="361" t="s">
        <v>250</v>
      </c>
      <c r="X265" s="361"/>
      <c r="Y265" s="361"/>
      <c r="Z265" s="361"/>
      <c r="AA265" s="361"/>
      <c r="AB265" s="361"/>
      <c r="AC265" s="159"/>
      <c r="AD265" s="368"/>
      <c r="AE265" s="364">
        <v>4500016495</v>
      </c>
      <c r="AF265" s="364"/>
      <c r="AG265" s="361"/>
      <c r="AH265" s="365"/>
      <c r="AI265" s="361"/>
      <c r="AJ265" s="361"/>
      <c r="AK265" s="361"/>
      <c r="AL265" s="361"/>
      <c r="AM265" s="361"/>
      <c r="AN265" s="361"/>
      <c r="AO265" s="361"/>
      <c r="AP265" s="361"/>
      <c r="AQ265" s="361"/>
      <c r="AR265" s="503"/>
      <c r="AS265" s="489"/>
      <c r="AT265" s="160"/>
      <c r="AU265" s="355"/>
    </row>
    <row r="266" spans="1:47" s="124" customFormat="1" ht="21.75" hidden="1" customHeight="1">
      <c r="A266" s="331">
        <v>265</v>
      </c>
      <c r="B266" s="361" t="s">
        <v>1353</v>
      </c>
      <c r="C266" s="361" t="s">
        <v>1354</v>
      </c>
      <c r="D266" s="435" t="s">
        <v>630</v>
      </c>
      <c r="E266" s="361" t="str">
        <f t="shared" si="4"/>
        <v>LOSS</v>
      </c>
      <c r="F266" s="361"/>
      <c r="G266" s="361"/>
      <c r="H266" s="28" t="s">
        <v>261</v>
      </c>
      <c r="I266" s="361" t="s">
        <v>243</v>
      </c>
      <c r="J266" s="361" t="s">
        <v>1355</v>
      </c>
      <c r="K266" s="361"/>
      <c r="L266" s="361"/>
      <c r="M266" s="361"/>
      <c r="N266" s="361"/>
      <c r="O266" s="370"/>
      <c r="P266" s="370">
        <v>265200000</v>
      </c>
      <c r="Q266" s="370"/>
      <c r="R266" s="370"/>
      <c r="S266" s="370">
        <v>143100000</v>
      </c>
      <c r="T266" s="361"/>
      <c r="U266" s="348">
        <v>44203</v>
      </c>
      <c r="V266" s="348">
        <v>44742</v>
      </c>
      <c r="W266" s="361" t="s">
        <v>250</v>
      </c>
      <c r="X266" s="361"/>
      <c r="Y266" s="361"/>
      <c r="Z266" s="361"/>
      <c r="AA266" s="361"/>
      <c r="AB266" s="361"/>
      <c r="AC266" s="159"/>
      <c r="AD266" s="361" t="s">
        <v>1356</v>
      </c>
      <c r="AE266" s="364">
        <v>4500016646</v>
      </c>
      <c r="AF266" s="364"/>
      <c r="AG266" s="160" t="s">
        <v>633</v>
      </c>
      <c r="AH266" s="174" t="s">
        <v>634</v>
      </c>
      <c r="AI266" s="361"/>
      <c r="AJ266" s="361"/>
      <c r="AK266" s="361"/>
      <c r="AL266" s="361"/>
      <c r="AM266" s="361"/>
      <c r="AN266" s="361"/>
      <c r="AO266" s="361"/>
      <c r="AP266" s="361"/>
      <c r="AQ266" s="361"/>
      <c r="AR266" s="503"/>
      <c r="AS266" s="489"/>
      <c r="AT266" s="160"/>
      <c r="AU266" s="355"/>
    </row>
    <row r="267" spans="1:47" s="124" customFormat="1" ht="21.75" hidden="1" customHeight="1">
      <c r="A267" s="331">
        <v>266</v>
      </c>
      <c r="B267" s="361" t="s">
        <v>657</v>
      </c>
      <c r="C267" s="361" t="s">
        <v>1274</v>
      </c>
      <c r="D267" s="436" t="s">
        <v>544</v>
      </c>
      <c r="E267" s="361" t="str">
        <f t="shared" si="4"/>
        <v>LOSS</v>
      </c>
      <c r="F267" s="361"/>
      <c r="G267" s="361"/>
      <c r="H267" s="361" t="s">
        <v>464</v>
      </c>
      <c r="I267" s="160" t="s">
        <v>346</v>
      </c>
      <c r="J267" s="361"/>
      <c r="K267" s="365"/>
      <c r="L267" s="361"/>
      <c r="M267" s="361"/>
      <c r="N267" s="361"/>
      <c r="O267" s="370"/>
      <c r="P267" s="370"/>
      <c r="Q267" s="370"/>
      <c r="R267" s="370"/>
      <c r="S267" s="370">
        <v>46000000</v>
      </c>
      <c r="T267" s="361"/>
      <c r="U267" s="348">
        <v>44204</v>
      </c>
      <c r="V267" s="348">
        <v>44561</v>
      </c>
      <c r="W267" s="361" t="s">
        <v>250</v>
      </c>
      <c r="X267" s="361"/>
      <c r="Y267" s="361"/>
      <c r="Z267" s="361"/>
      <c r="AA267" s="361"/>
      <c r="AB267" s="361"/>
      <c r="AC267" s="159"/>
      <c r="AD267" s="361" t="s">
        <v>1357</v>
      </c>
      <c r="AE267" s="364">
        <v>4500016454</v>
      </c>
      <c r="AF267" s="364"/>
      <c r="AG267" s="361"/>
      <c r="AH267" s="365"/>
      <c r="AI267" s="361"/>
      <c r="AJ267" s="361"/>
      <c r="AK267" s="361"/>
      <c r="AL267" s="361"/>
      <c r="AM267" s="361"/>
      <c r="AN267" s="361"/>
      <c r="AO267" s="361"/>
      <c r="AP267" s="361"/>
      <c r="AQ267" s="361"/>
      <c r="AR267" s="503"/>
      <c r="AS267" s="489"/>
      <c r="AT267" s="160"/>
      <c r="AU267" s="355"/>
    </row>
    <row r="268" spans="1:47" s="124" customFormat="1" ht="21.75" hidden="1" customHeight="1">
      <c r="A268" s="331">
        <v>267</v>
      </c>
      <c r="B268" s="28" t="s">
        <v>321</v>
      </c>
      <c r="C268" s="361" t="s">
        <v>555</v>
      </c>
      <c r="D268" s="435" t="s">
        <v>1078</v>
      </c>
      <c r="E268" s="361" t="str">
        <f t="shared" si="4"/>
        <v>LOSS</v>
      </c>
      <c r="F268" s="361"/>
      <c r="G268" s="361"/>
      <c r="H268" s="28" t="s">
        <v>261</v>
      </c>
      <c r="I268" s="361" t="s">
        <v>243</v>
      </c>
      <c r="J268" s="361" t="s">
        <v>1358</v>
      </c>
      <c r="K268" s="361"/>
      <c r="L268" s="361"/>
      <c r="M268" s="361"/>
      <c r="N268" s="361"/>
      <c r="O268" s="370"/>
      <c r="P268" s="370">
        <v>108000000</v>
      </c>
      <c r="Q268" s="370"/>
      <c r="R268" s="370"/>
      <c r="S268" s="370">
        <v>81840000</v>
      </c>
      <c r="T268" s="361"/>
      <c r="U268" s="348">
        <v>44197</v>
      </c>
      <c r="V268" s="348">
        <v>44561</v>
      </c>
      <c r="W268" s="361" t="s">
        <v>250</v>
      </c>
      <c r="X268" s="361"/>
      <c r="Y268" s="361"/>
      <c r="Z268" s="361"/>
      <c r="AA268" s="361"/>
      <c r="AB268" s="361"/>
      <c r="AC268" s="159"/>
      <c r="AD268" s="361" t="s">
        <v>1359</v>
      </c>
      <c r="AE268" s="364">
        <v>4500015650</v>
      </c>
      <c r="AF268" s="364"/>
      <c r="AG268" s="361"/>
      <c r="AH268" s="361"/>
      <c r="AI268" s="361"/>
      <c r="AJ268" s="361"/>
      <c r="AK268" s="361"/>
      <c r="AL268" s="361"/>
      <c r="AM268" s="361"/>
      <c r="AN268" s="361"/>
      <c r="AO268" s="361"/>
      <c r="AP268" s="361"/>
      <c r="AQ268" s="361"/>
      <c r="AR268" s="503"/>
      <c r="AS268" s="489"/>
      <c r="AT268" s="160"/>
      <c r="AU268" s="355"/>
    </row>
    <row r="269" spans="1:47" s="124" customFormat="1" ht="21.75" hidden="1" customHeight="1">
      <c r="A269" s="331">
        <v>268</v>
      </c>
      <c r="B269" s="361" t="s">
        <v>71</v>
      </c>
      <c r="C269" s="361" t="s">
        <v>1360</v>
      </c>
      <c r="D269" s="436" t="s">
        <v>850</v>
      </c>
      <c r="E269" s="361" t="str">
        <f t="shared" si="4"/>
        <v>LOSS</v>
      </c>
      <c r="F269" s="361"/>
      <c r="G269" s="361"/>
      <c r="H269" s="361" t="s">
        <v>327</v>
      </c>
      <c r="I269" s="361" t="s">
        <v>242</v>
      </c>
      <c r="J269" s="361" t="s">
        <v>788</v>
      </c>
      <c r="K269" s="365"/>
      <c r="L269" s="361"/>
      <c r="M269" s="361"/>
      <c r="N269" s="361"/>
      <c r="O269" s="369" t="s">
        <v>115</v>
      </c>
      <c r="P269" s="409">
        <v>90000000</v>
      </c>
      <c r="Q269" s="361"/>
      <c r="R269" s="410" t="s">
        <v>115</v>
      </c>
      <c r="S269" s="409">
        <v>18000000</v>
      </c>
      <c r="T269" s="361"/>
      <c r="U269" s="367">
        <v>44327</v>
      </c>
      <c r="V269" s="367">
        <v>44691</v>
      </c>
      <c r="W269" s="361" t="s">
        <v>250</v>
      </c>
      <c r="X269" s="361"/>
      <c r="Y269" s="361"/>
      <c r="Z269" s="361"/>
      <c r="AA269" s="361"/>
      <c r="AB269" s="361"/>
      <c r="AC269" s="159"/>
      <c r="AD269" s="368"/>
      <c r="AE269" s="364">
        <v>4500016044</v>
      </c>
      <c r="AF269" s="364"/>
      <c r="AG269" s="361"/>
      <c r="AH269" s="365"/>
      <c r="AI269" s="361"/>
      <c r="AJ269" s="361"/>
      <c r="AK269" s="361"/>
      <c r="AL269" s="361"/>
      <c r="AM269" s="361"/>
      <c r="AN269" s="361"/>
      <c r="AO269" s="361"/>
      <c r="AP269" s="361"/>
      <c r="AQ269" s="361"/>
      <c r="AR269" s="503"/>
      <c r="AS269" s="489"/>
      <c r="AT269" s="160"/>
      <c r="AU269" s="355"/>
    </row>
    <row r="270" spans="1:47" s="124" customFormat="1" ht="21.75" hidden="1" customHeight="1">
      <c r="A270" s="331">
        <v>269</v>
      </c>
      <c r="B270" s="28" t="s">
        <v>521</v>
      </c>
      <c r="C270" s="361" t="s">
        <v>575</v>
      </c>
      <c r="D270" s="435" t="s">
        <v>1361</v>
      </c>
      <c r="E270" s="361" t="str">
        <f t="shared" si="4"/>
        <v>LOSS</v>
      </c>
      <c r="F270" s="361"/>
      <c r="G270" s="361"/>
      <c r="H270" s="28" t="s">
        <v>261</v>
      </c>
      <c r="I270" s="361" t="s">
        <v>243</v>
      </c>
      <c r="J270" s="361" t="s">
        <v>1362</v>
      </c>
      <c r="K270" s="361"/>
      <c r="L270" s="361"/>
      <c r="M270" s="361"/>
      <c r="N270" s="361"/>
      <c r="O270" s="369" t="s">
        <v>115</v>
      </c>
      <c r="P270" s="409">
        <v>25200000</v>
      </c>
      <c r="Q270" s="361"/>
      <c r="R270" s="410" t="s">
        <v>115</v>
      </c>
      <c r="S270" s="409">
        <v>4620000</v>
      </c>
      <c r="T270" s="361"/>
      <c r="U270" s="367">
        <v>44479</v>
      </c>
      <c r="V270" s="367">
        <v>44843</v>
      </c>
      <c r="W270" s="361" t="s">
        <v>250</v>
      </c>
      <c r="X270" s="361"/>
      <c r="Y270" s="361"/>
      <c r="Z270" s="361"/>
      <c r="AA270" s="361"/>
      <c r="AB270" s="361"/>
      <c r="AC270" s="159"/>
      <c r="AD270" s="368"/>
      <c r="AE270" s="364">
        <v>4500017006</v>
      </c>
      <c r="AF270" s="364"/>
      <c r="AG270" s="361"/>
      <c r="AH270" s="361"/>
      <c r="AI270" s="361"/>
      <c r="AJ270" s="361"/>
      <c r="AK270" s="361"/>
      <c r="AL270" s="361"/>
      <c r="AM270" s="361"/>
      <c r="AN270" s="361"/>
      <c r="AO270" s="361"/>
      <c r="AP270" s="361"/>
      <c r="AQ270" s="361"/>
      <c r="AR270" s="503"/>
      <c r="AS270" s="489"/>
      <c r="AT270" s="160"/>
      <c r="AU270" s="355"/>
    </row>
    <row r="271" spans="1:47" s="124" customFormat="1" ht="21.75" hidden="1" customHeight="1">
      <c r="A271" s="331">
        <v>270</v>
      </c>
      <c r="B271" s="28" t="s">
        <v>143</v>
      </c>
      <c r="C271" s="361" t="s">
        <v>527</v>
      </c>
      <c r="D271" s="437" t="s">
        <v>1119</v>
      </c>
      <c r="E271" s="361" t="str">
        <f t="shared" si="4"/>
        <v>LOSS</v>
      </c>
      <c r="F271" s="361"/>
      <c r="G271" s="361"/>
      <c r="H271" s="361" t="s">
        <v>327</v>
      </c>
      <c r="I271" s="160" t="s">
        <v>346</v>
      </c>
      <c r="J271" s="361" t="s">
        <v>1011</v>
      </c>
      <c r="K271" s="365"/>
      <c r="L271" s="361"/>
      <c r="M271" s="361"/>
      <c r="N271" s="361"/>
      <c r="O271" s="411" t="s">
        <v>115</v>
      </c>
      <c r="P271" s="409">
        <v>2900000</v>
      </c>
      <c r="Q271" s="361"/>
      <c r="R271" s="410" t="s">
        <v>115</v>
      </c>
      <c r="S271" s="409">
        <v>13000000</v>
      </c>
      <c r="T271" s="361"/>
      <c r="U271" s="367">
        <v>44228</v>
      </c>
      <c r="V271" s="367">
        <v>44592</v>
      </c>
      <c r="W271" s="361" t="s">
        <v>250</v>
      </c>
      <c r="X271" s="361"/>
      <c r="Y271" s="361"/>
      <c r="Z271" s="361"/>
      <c r="AA271" s="361"/>
      <c r="AB271" s="361"/>
      <c r="AC271" s="159"/>
      <c r="AD271" s="368"/>
      <c r="AE271" s="364">
        <v>4500015608</v>
      </c>
      <c r="AF271" s="364"/>
      <c r="AG271" s="361"/>
      <c r="AH271" s="365"/>
      <c r="AI271" s="361"/>
      <c r="AJ271" s="361"/>
      <c r="AK271" s="361"/>
      <c r="AL271" s="361"/>
      <c r="AM271" s="361"/>
      <c r="AN271" s="361"/>
      <c r="AO271" s="361"/>
      <c r="AP271" s="361"/>
      <c r="AQ271" s="361"/>
      <c r="AR271" s="503"/>
      <c r="AS271" s="489"/>
      <c r="AT271" s="160"/>
      <c r="AU271" s="355"/>
    </row>
    <row r="272" spans="1:47" s="124" customFormat="1" ht="21.75" hidden="1" customHeight="1">
      <c r="A272" s="331">
        <v>271</v>
      </c>
      <c r="B272" s="361" t="s">
        <v>71</v>
      </c>
      <c r="C272" s="361" t="s">
        <v>1363</v>
      </c>
      <c r="D272" s="435" t="s">
        <v>850</v>
      </c>
      <c r="E272" s="361" t="str">
        <f t="shared" si="4"/>
        <v>LOSS</v>
      </c>
      <c r="F272" s="361"/>
      <c r="G272" s="361"/>
      <c r="H272" s="361" t="s">
        <v>327</v>
      </c>
      <c r="I272" s="361" t="s">
        <v>242</v>
      </c>
      <c r="J272" s="361" t="s">
        <v>1364</v>
      </c>
      <c r="K272" s="365"/>
      <c r="L272" s="361"/>
      <c r="M272" s="361"/>
      <c r="N272" s="361"/>
      <c r="O272" s="411">
        <v>10500000</v>
      </c>
      <c r="P272" s="409">
        <v>246000000</v>
      </c>
      <c r="Q272" s="361"/>
      <c r="R272" s="410">
        <v>1500000</v>
      </c>
      <c r="S272" s="409">
        <v>18000000</v>
      </c>
      <c r="T272" s="361"/>
      <c r="U272" s="367">
        <v>44356</v>
      </c>
      <c r="V272" s="367">
        <v>44720</v>
      </c>
      <c r="W272" s="361" t="s">
        <v>250</v>
      </c>
      <c r="X272" s="361"/>
      <c r="Y272" s="361"/>
      <c r="Z272" s="361"/>
      <c r="AA272" s="361"/>
      <c r="AB272" s="361"/>
      <c r="AC272" s="159"/>
      <c r="AD272" s="361" t="s">
        <v>1365</v>
      </c>
      <c r="AE272" s="364">
        <v>4500016290</v>
      </c>
      <c r="AF272" s="364"/>
      <c r="AG272" s="361"/>
      <c r="AH272" s="365"/>
      <c r="AI272" s="361"/>
      <c r="AJ272" s="361"/>
      <c r="AK272" s="361"/>
      <c r="AL272" s="361"/>
      <c r="AM272" s="361"/>
      <c r="AN272" s="361"/>
      <c r="AO272" s="361"/>
      <c r="AP272" s="361"/>
      <c r="AQ272" s="361"/>
      <c r="AR272" s="503"/>
      <c r="AS272" s="489"/>
      <c r="AT272" s="160"/>
      <c r="AU272" s="355"/>
    </row>
    <row r="273" spans="1:47" s="124" customFormat="1" ht="21.75" hidden="1" customHeight="1">
      <c r="A273" s="331">
        <v>272</v>
      </c>
      <c r="B273" s="361" t="s">
        <v>1366</v>
      </c>
      <c r="C273" s="361" t="s">
        <v>1367</v>
      </c>
      <c r="D273" s="436" t="s">
        <v>1032</v>
      </c>
      <c r="E273" s="361" t="str">
        <f t="shared" si="4"/>
        <v>LOSS</v>
      </c>
      <c r="F273" s="361"/>
      <c r="G273" s="361"/>
      <c r="H273" s="361" t="s">
        <v>327</v>
      </c>
      <c r="I273" s="160" t="s">
        <v>346</v>
      </c>
      <c r="J273" s="361" t="s">
        <v>1368</v>
      </c>
      <c r="K273" s="365"/>
      <c r="L273" s="361"/>
      <c r="M273" s="361"/>
      <c r="N273" s="361"/>
      <c r="O273" s="411" t="s">
        <v>115</v>
      </c>
      <c r="P273" s="410" t="s">
        <v>115</v>
      </c>
      <c r="Q273" s="361"/>
      <c r="R273" s="410" t="s">
        <v>115</v>
      </c>
      <c r="S273" s="409">
        <v>24000000</v>
      </c>
      <c r="T273" s="361"/>
      <c r="U273" s="367">
        <v>43966</v>
      </c>
      <c r="V273" s="367">
        <v>44695</v>
      </c>
      <c r="W273" s="361" t="s">
        <v>250</v>
      </c>
      <c r="X273" s="361"/>
      <c r="Y273" s="361"/>
      <c r="Z273" s="361"/>
      <c r="AA273" s="361"/>
      <c r="AB273" s="361"/>
      <c r="AC273" s="159"/>
      <c r="AD273" s="361" t="s">
        <v>1369</v>
      </c>
      <c r="AE273" s="364">
        <v>4500016104</v>
      </c>
      <c r="AF273" s="364"/>
      <c r="AG273" s="361"/>
      <c r="AH273" s="365"/>
      <c r="AI273" s="361"/>
      <c r="AJ273" s="361"/>
      <c r="AK273" s="361"/>
      <c r="AL273" s="361"/>
      <c r="AM273" s="361"/>
      <c r="AN273" s="361"/>
      <c r="AO273" s="361"/>
      <c r="AP273" s="361"/>
      <c r="AQ273" s="361"/>
      <c r="AR273" s="503"/>
      <c r="AS273" s="489"/>
      <c r="AT273" s="160"/>
      <c r="AU273" s="355"/>
    </row>
    <row r="274" spans="1:47" s="124" customFormat="1" ht="21.75" hidden="1" customHeight="1">
      <c r="A274" s="331">
        <v>273</v>
      </c>
      <c r="B274" s="361" t="s">
        <v>962</v>
      </c>
      <c r="C274" s="361" t="s">
        <v>1370</v>
      </c>
      <c r="D274" s="435" t="s">
        <v>1371</v>
      </c>
      <c r="E274" s="361" t="str">
        <f t="shared" si="4"/>
        <v>LOSS</v>
      </c>
      <c r="F274" s="361"/>
      <c r="G274" s="361"/>
      <c r="H274" s="28" t="s">
        <v>261</v>
      </c>
      <c r="I274" s="361" t="s">
        <v>243</v>
      </c>
      <c r="J274" s="361" t="s">
        <v>1372</v>
      </c>
      <c r="K274" s="361"/>
      <c r="L274" s="361"/>
      <c r="M274" s="361"/>
      <c r="N274" s="361"/>
      <c r="O274" s="362">
        <v>2500000</v>
      </c>
      <c r="P274" s="409">
        <v>44400000</v>
      </c>
      <c r="Q274" s="361"/>
      <c r="R274" s="410">
        <v>3000000</v>
      </c>
      <c r="S274" s="409">
        <v>36000000</v>
      </c>
      <c r="T274" s="361"/>
      <c r="U274" s="367">
        <v>44429</v>
      </c>
      <c r="V274" s="367">
        <v>44793</v>
      </c>
      <c r="W274" s="361" t="s">
        <v>250</v>
      </c>
      <c r="X274" s="361"/>
      <c r="Y274" s="361"/>
      <c r="Z274" s="361"/>
      <c r="AA274" s="361"/>
      <c r="AB274" s="361"/>
      <c r="AC274" s="159"/>
      <c r="AD274" s="361" t="s">
        <v>1373</v>
      </c>
      <c r="AE274" s="364">
        <v>4500016190</v>
      </c>
      <c r="AF274" s="364"/>
      <c r="AG274" s="361"/>
      <c r="AH274" s="361"/>
      <c r="AI274" s="361"/>
      <c r="AJ274" s="361"/>
      <c r="AK274" s="361"/>
      <c r="AL274" s="361"/>
      <c r="AM274" s="361"/>
      <c r="AN274" s="361"/>
      <c r="AO274" s="361"/>
      <c r="AP274" s="361"/>
      <c r="AQ274" s="361"/>
      <c r="AR274" s="503"/>
      <c r="AS274" s="489"/>
      <c r="AT274" s="160"/>
      <c r="AU274" s="355"/>
    </row>
    <row r="275" spans="1:47" s="124" customFormat="1" ht="21.75" hidden="1" customHeight="1">
      <c r="A275" s="331">
        <v>274</v>
      </c>
      <c r="B275" s="361" t="s">
        <v>1374</v>
      </c>
      <c r="C275" s="361" t="s">
        <v>1375</v>
      </c>
      <c r="D275" s="436" t="s">
        <v>1376</v>
      </c>
      <c r="E275" s="361" t="str">
        <f t="shared" si="4"/>
        <v>LOSS</v>
      </c>
      <c r="F275" s="361"/>
      <c r="G275" s="361"/>
      <c r="H275" s="28" t="s">
        <v>261</v>
      </c>
      <c r="I275" s="361" t="s">
        <v>243</v>
      </c>
      <c r="J275" s="361" t="s">
        <v>1377</v>
      </c>
      <c r="K275" s="361"/>
      <c r="L275" s="361"/>
      <c r="M275" s="361"/>
      <c r="N275" s="361"/>
      <c r="O275" s="411" t="s">
        <v>115</v>
      </c>
      <c r="P275" s="409">
        <v>120000000</v>
      </c>
      <c r="Q275" s="361"/>
      <c r="R275" s="410" t="s">
        <v>115</v>
      </c>
      <c r="S275" s="409">
        <v>56300000</v>
      </c>
      <c r="T275" s="361"/>
      <c r="U275" s="367">
        <v>44311</v>
      </c>
      <c r="V275" s="367">
        <v>44675</v>
      </c>
      <c r="W275" s="361" t="s">
        <v>250</v>
      </c>
      <c r="X275" s="361"/>
      <c r="Y275" s="361"/>
      <c r="Z275" s="361"/>
      <c r="AA275" s="361"/>
      <c r="AB275" s="361"/>
      <c r="AC275" s="159"/>
      <c r="AD275" s="361" t="s">
        <v>1378</v>
      </c>
      <c r="AE275" s="364">
        <v>4500016194</v>
      </c>
      <c r="AF275" s="364"/>
      <c r="AG275" s="361"/>
      <c r="AH275" s="361"/>
      <c r="AI275" s="361"/>
      <c r="AJ275" s="361"/>
      <c r="AK275" s="361"/>
      <c r="AL275" s="361"/>
      <c r="AM275" s="361"/>
      <c r="AN275" s="361"/>
      <c r="AO275" s="361"/>
      <c r="AP275" s="361"/>
      <c r="AQ275" s="361"/>
      <c r="AR275" s="503"/>
      <c r="AS275" s="489"/>
      <c r="AT275" s="160"/>
      <c r="AU275" s="355"/>
    </row>
    <row r="276" spans="1:47" s="124" customFormat="1" ht="21.75" hidden="1" customHeight="1">
      <c r="A276" s="331">
        <v>275</v>
      </c>
      <c r="B276" s="361" t="s">
        <v>1379</v>
      </c>
      <c r="C276" s="361" t="s">
        <v>1380</v>
      </c>
      <c r="D276" s="435" t="s">
        <v>1381</v>
      </c>
      <c r="E276" s="361" t="str">
        <f t="shared" si="4"/>
        <v>LOSS</v>
      </c>
      <c r="F276" s="361"/>
      <c r="G276" s="361"/>
      <c r="H276" s="28" t="s">
        <v>261</v>
      </c>
      <c r="I276" s="361" t="s">
        <v>243</v>
      </c>
      <c r="J276" s="361" t="s">
        <v>1382</v>
      </c>
      <c r="K276" s="361"/>
      <c r="L276" s="361"/>
      <c r="M276" s="361"/>
      <c r="N276" s="361"/>
      <c r="O276" s="411" t="s">
        <v>115</v>
      </c>
      <c r="P276" s="409">
        <v>120000000</v>
      </c>
      <c r="Q276" s="361"/>
      <c r="R276" s="410" t="s">
        <v>115</v>
      </c>
      <c r="S276" s="409">
        <v>66000000</v>
      </c>
      <c r="T276" s="361"/>
      <c r="U276" s="367">
        <v>44299</v>
      </c>
      <c r="V276" s="367">
        <v>44663</v>
      </c>
      <c r="W276" s="361" t="s">
        <v>250</v>
      </c>
      <c r="X276" s="361"/>
      <c r="Y276" s="361"/>
      <c r="Z276" s="361"/>
      <c r="AA276" s="361"/>
      <c r="AB276" s="361"/>
      <c r="AC276" s="159"/>
      <c r="AD276" s="368"/>
      <c r="AE276" s="364">
        <v>4500016193</v>
      </c>
      <c r="AF276" s="364"/>
      <c r="AG276" s="361"/>
      <c r="AH276" s="361"/>
      <c r="AI276" s="361"/>
      <c r="AJ276" s="361"/>
      <c r="AK276" s="361"/>
      <c r="AL276" s="361"/>
      <c r="AM276" s="361"/>
      <c r="AN276" s="361"/>
      <c r="AO276" s="361"/>
      <c r="AP276" s="361"/>
      <c r="AQ276" s="361"/>
      <c r="AR276" s="503"/>
      <c r="AS276" s="489"/>
      <c r="AT276" s="160"/>
      <c r="AU276" s="355"/>
    </row>
    <row r="277" spans="1:47" s="124" customFormat="1" ht="21.75" hidden="1" customHeight="1">
      <c r="A277" s="331">
        <v>276</v>
      </c>
      <c r="B277" s="361" t="s">
        <v>97</v>
      </c>
      <c r="C277" s="361" t="s">
        <v>1192</v>
      </c>
      <c r="D277" s="436" t="s">
        <v>1383</v>
      </c>
      <c r="E277" s="361" t="str">
        <f t="shared" si="4"/>
        <v>LOSS</v>
      </c>
      <c r="F277" s="361"/>
      <c r="G277" s="361"/>
      <c r="H277" s="361" t="s">
        <v>327</v>
      </c>
      <c r="I277" s="361" t="s">
        <v>242</v>
      </c>
      <c r="J277" s="361" t="s">
        <v>1123</v>
      </c>
      <c r="K277" s="365"/>
      <c r="L277" s="361"/>
      <c r="M277" s="361"/>
      <c r="N277" s="361"/>
      <c r="O277" s="411" t="s">
        <v>115</v>
      </c>
      <c r="P277" s="409">
        <v>143400000</v>
      </c>
      <c r="Q277" s="361"/>
      <c r="R277" s="410" t="s">
        <v>115</v>
      </c>
      <c r="S277" s="409">
        <v>12000000</v>
      </c>
      <c r="T277" s="361"/>
      <c r="U277" s="367">
        <v>44270</v>
      </c>
      <c r="V277" s="367">
        <v>44634</v>
      </c>
      <c r="W277" s="361" t="s">
        <v>250</v>
      </c>
      <c r="X277" s="361"/>
      <c r="Y277" s="361"/>
      <c r="Z277" s="361"/>
      <c r="AA277" s="361"/>
      <c r="AB277" s="361"/>
      <c r="AC277" s="159"/>
      <c r="AD277" s="368"/>
      <c r="AE277" s="364">
        <v>4500016050</v>
      </c>
      <c r="AF277" s="364"/>
      <c r="AG277" s="361"/>
      <c r="AH277" s="365"/>
      <c r="AI277" s="361"/>
      <c r="AJ277" s="361"/>
      <c r="AK277" s="361"/>
      <c r="AL277" s="361"/>
      <c r="AM277" s="361"/>
      <c r="AN277" s="361"/>
      <c r="AO277" s="361"/>
      <c r="AP277" s="361"/>
      <c r="AQ277" s="361"/>
      <c r="AR277" s="503"/>
      <c r="AS277" s="489"/>
      <c r="AT277" s="160"/>
      <c r="AU277" s="355"/>
    </row>
    <row r="278" spans="1:47" s="124" customFormat="1" ht="21.75" hidden="1" customHeight="1">
      <c r="A278" s="331">
        <v>277</v>
      </c>
      <c r="B278" s="361" t="s">
        <v>71</v>
      </c>
      <c r="C278" s="361" t="s">
        <v>1384</v>
      </c>
      <c r="D278" s="435" t="s">
        <v>850</v>
      </c>
      <c r="E278" s="361" t="str">
        <f t="shared" si="4"/>
        <v>LOSS</v>
      </c>
      <c r="F278" s="361"/>
      <c r="G278" s="361"/>
      <c r="H278" s="361" t="s">
        <v>327</v>
      </c>
      <c r="I278" s="160" t="s">
        <v>346</v>
      </c>
      <c r="J278" s="361" t="s">
        <v>608</v>
      </c>
      <c r="K278" s="365"/>
      <c r="L278" s="361"/>
      <c r="M278" s="361"/>
      <c r="N278" s="361"/>
      <c r="O278" s="411" t="s">
        <v>115</v>
      </c>
      <c r="P278" s="409">
        <v>33000000</v>
      </c>
      <c r="Q278" s="361"/>
      <c r="R278" s="410" t="s">
        <v>115</v>
      </c>
      <c r="S278" s="409">
        <v>18000000</v>
      </c>
      <c r="T278" s="361"/>
      <c r="U278" s="367">
        <v>44348</v>
      </c>
      <c r="V278" s="367">
        <v>44712</v>
      </c>
      <c r="W278" s="361" t="s">
        <v>250</v>
      </c>
      <c r="X278" s="361"/>
      <c r="Y278" s="361"/>
      <c r="Z278" s="361"/>
      <c r="AA278" s="361"/>
      <c r="AB278" s="361"/>
      <c r="AC278" s="159"/>
      <c r="AD278" s="368"/>
      <c r="AE278" s="364">
        <v>4500016057</v>
      </c>
      <c r="AF278" s="364"/>
      <c r="AG278" s="361"/>
      <c r="AH278" s="365"/>
      <c r="AI278" s="361"/>
      <c r="AJ278" s="361"/>
      <c r="AK278" s="361"/>
      <c r="AL278" s="361"/>
      <c r="AM278" s="361"/>
      <c r="AN278" s="361"/>
      <c r="AO278" s="361"/>
      <c r="AP278" s="361"/>
      <c r="AQ278" s="361"/>
      <c r="AR278" s="503"/>
      <c r="AS278" s="489"/>
      <c r="AT278" s="160"/>
      <c r="AU278" s="355"/>
    </row>
    <row r="279" spans="1:47" s="124" customFormat="1" ht="21.75" hidden="1" customHeight="1">
      <c r="A279" s="331">
        <v>278</v>
      </c>
      <c r="B279" s="361" t="s">
        <v>1385</v>
      </c>
      <c r="C279" s="361" t="s">
        <v>980</v>
      </c>
      <c r="D279" s="436" t="s">
        <v>1386</v>
      </c>
      <c r="E279" s="361" t="str">
        <f t="shared" si="4"/>
        <v>LOSS</v>
      </c>
      <c r="F279" s="361"/>
      <c r="G279" s="361"/>
      <c r="H279" s="361" t="s">
        <v>327</v>
      </c>
      <c r="I279" s="160" t="s">
        <v>346</v>
      </c>
      <c r="J279" s="361" t="s">
        <v>982</v>
      </c>
      <c r="K279" s="365"/>
      <c r="L279" s="361"/>
      <c r="M279" s="361"/>
      <c r="N279" s="361"/>
      <c r="O279" s="411" t="s">
        <v>115</v>
      </c>
      <c r="P279" s="409">
        <v>75000000</v>
      </c>
      <c r="Q279" s="361"/>
      <c r="R279" s="410" t="s">
        <v>115</v>
      </c>
      <c r="S279" s="409">
        <v>50000000</v>
      </c>
      <c r="T279" s="361"/>
      <c r="U279" s="367">
        <v>44197</v>
      </c>
      <c r="V279" s="367">
        <v>44561</v>
      </c>
      <c r="W279" s="361" t="s">
        <v>250</v>
      </c>
      <c r="X279" s="361"/>
      <c r="Y279" s="361"/>
      <c r="Z279" s="361"/>
      <c r="AA279" s="361"/>
      <c r="AB279" s="361"/>
      <c r="AC279" s="159"/>
      <c r="AD279" s="368"/>
      <c r="AE279" s="364">
        <v>4500015689</v>
      </c>
      <c r="AF279" s="364"/>
      <c r="AG279" s="361"/>
      <c r="AH279" s="365"/>
      <c r="AI279" s="361"/>
      <c r="AJ279" s="361"/>
      <c r="AK279" s="361"/>
      <c r="AL279" s="361"/>
      <c r="AM279" s="361"/>
      <c r="AN279" s="361"/>
      <c r="AO279" s="361"/>
      <c r="AP279" s="361"/>
      <c r="AQ279" s="361"/>
      <c r="AR279" s="503"/>
      <c r="AS279" s="489"/>
      <c r="AT279" s="160"/>
      <c r="AU279" s="355"/>
    </row>
    <row r="280" spans="1:47" s="124" customFormat="1" ht="21.75" hidden="1" customHeight="1">
      <c r="A280" s="331">
        <v>279</v>
      </c>
      <c r="B280" s="361" t="s">
        <v>450</v>
      </c>
      <c r="C280" s="159" t="s">
        <v>889</v>
      </c>
      <c r="D280" s="437" t="s">
        <v>452</v>
      </c>
      <c r="E280" s="361" t="str">
        <f t="shared" si="4"/>
        <v>LOSS</v>
      </c>
      <c r="F280" s="361"/>
      <c r="G280" s="361"/>
      <c r="H280" s="361" t="s">
        <v>839</v>
      </c>
      <c r="I280" s="160" t="s">
        <v>346</v>
      </c>
      <c r="J280" s="361" t="s">
        <v>890</v>
      </c>
      <c r="K280" s="365"/>
      <c r="L280" s="361"/>
      <c r="M280" s="361"/>
      <c r="N280" s="361"/>
      <c r="O280" s="411" t="s">
        <v>115</v>
      </c>
      <c r="P280" s="409">
        <v>43200000</v>
      </c>
      <c r="Q280" s="361"/>
      <c r="R280" s="410" t="s">
        <v>115</v>
      </c>
      <c r="S280" s="409">
        <v>2500000</v>
      </c>
      <c r="T280" s="361"/>
      <c r="U280" s="367">
        <v>44307</v>
      </c>
      <c r="V280" s="367">
        <v>44671</v>
      </c>
      <c r="W280" s="361" t="s">
        <v>250</v>
      </c>
      <c r="X280" s="361"/>
      <c r="Y280" s="361"/>
      <c r="Z280" s="361"/>
      <c r="AA280" s="361"/>
      <c r="AB280" s="361"/>
      <c r="AC280" s="159"/>
      <c r="AD280" s="368"/>
      <c r="AE280" s="364">
        <v>4500016055</v>
      </c>
      <c r="AF280" s="364"/>
      <c r="AG280" s="361"/>
      <c r="AH280" s="365"/>
      <c r="AI280" s="361"/>
      <c r="AJ280" s="361"/>
      <c r="AK280" s="361"/>
      <c r="AL280" s="361"/>
      <c r="AM280" s="361"/>
      <c r="AN280" s="361"/>
      <c r="AO280" s="361"/>
      <c r="AP280" s="361"/>
      <c r="AQ280" s="361"/>
      <c r="AR280" s="503"/>
      <c r="AS280" s="489"/>
      <c r="AT280" s="160"/>
      <c r="AU280" s="355"/>
    </row>
    <row r="281" spans="1:47" s="124" customFormat="1" ht="21.75" hidden="1" customHeight="1">
      <c r="A281" s="331">
        <v>280</v>
      </c>
      <c r="B281" s="159" t="s">
        <v>1387</v>
      </c>
      <c r="C281" s="361" t="s">
        <v>1388</v>
      </c>
      <c r="D281" s="436" t="s">
        <v>1389</v>
      </c>
      <c r="E281" s="361" t="str">
        <f t="shared" si="4"/>
        <v>LOSS</v>
      </c>
      <c r="F281" s="361"/>
      <c r="G281" s="361"/>
      <c r="H281" s="361" t="s">
        <v>327</v>
      </c>
      <c r="I281" s="361" t="s">
        <v>346</v>
      </c>
      <c r="J281" s="361" t="s">
        <v>36</v>
      </c>
      <c r="K281" s="365"/>
      <c r="L281" s="361"/>
      <c r="M281" s="361"/>
      <c r="N281" s="361"/>
      <c r="O281" s="362">
        <v>2727273</v>
      </c>
      <c r="P281" s="409">
        <v>21181818160</v>
      </c>
      <c r="Q281" s="361"/>
      <c r="R281" s="410" t="s">
        <v>115</v>
      </c>
      <c r="S281" s="409">
        <v>56000000</v>
      </c>
      <c r="T281" s="361"/>
      <c r="U281" s="367">
        <v>44400</v>
      </c>
      <c r="V281" s="367">
        <v>44764</v>
      </c>
      <c r="W281" s="361" t="s">
        <v>250</v>
      </c>
      <c r="X281" s="361"/>
      <c r="Y281" s="361"/>
      <c r="Z281" s="361"/>
      <c r="AA281" s="361"/>
      <c r="AB281" s="361"/>
      <c r="AC281" s="159"/>
      <c r="AD281" s="361" t="s">
        <v>1390</v>
      </c>
      <c r="AE281" s="364">
        <v>4500016461</v>
      </c>
      <c r="AF281" s="364"/>
      <c r="AG281" s="361"/>
      <c r="AH281" s="365"/>
      <c r="AI281" s="361"/>
      <c r="AJ281" s="361"/>
      <c r="AK281" s="361"/>
      <c r="AL281" s="361"/>
      <c r="AM281" s="361"/>
      <c r="AN281" s="361"/>
      <c r="AO281" s="361"/>
      <c r="AP281" s="361"/>
      <c r="AQ281" s="361"/>
      <c r="AR281" s="503"/>
      <c r="AS281" s="489"/>
      <c r="AT281" s="160"/>
      <c r="AU281" s="355"/>
    </row>
    <row r="282" spans="1:47" s="124" customFormat="1" ht="21.75" hidden="1" customHeight="1">
      <c r="A282" s="331">
        <v>281</v>
      </c>
      <c r="B282" s="28" t="s">
        <v>179</v>
      </c>
      <c r="C282" s="361" t="s">
        <v>1192</v>
      </c>
      <c r="D282" s="435" t="s">
        <v>1391</v>
      </c>
      <c r="E282" s="361" t="str">
        <f t="shared" si="4"/>
        <v>LOSS</v>
      </c>
      <c r="F282" s="361"/>
      <c r="G282" s="361"/>
      <c r="H282" s="361" t="s">
        <v>839</v>
      </c>
      <c r="I282" s="160" t="s">
        <v>346</v>
      </c>
      <c r="J282" s="361" t="s">
        <v>1392</v>
      </c>
      <c r="K282" s="365"/>
      <c r="L282" s="361"/>
      <c r="M282" s="361"/>
      <c r="N282" s="361"/>
      <c r="O282" s="362">
        <v>7000000</v>
      </c>
      <c r="P282" s="409">
        <v>180000000</v>
      </c>
      <c r="Q282" s="361"/>
      <c r="R282" s="409">
        <v>2500000</v>
      </c>
      <c r="S282" s="409">
        <v>72000000</v>
      </c>
      <c r="T282" s="361"/>
      <c r="U282" s="367">
        <v>44411</v>
      </c>
      <c r="V282" s="367">
        <v>44775</v>
      </c>
      <c r="W282" s="361" t="s">
        <v>250</v>
      </c>
      <c r="X282" s="361"/>
      <c r="Y282" s="361"/>
      <c r="Z282" s="361"/>
      <c r="AA282" s="361"/>
      <c r="AB282" s="361"/>
      <c r="AC282" s="159"/>
      <c r="AD282" s="361" t="s">
        <v>1393</v>
      </c>
      <c r="AE282" s="364">
        <v>4500016522</v>
      </c>
      <c r="AF282" s="364"/>
      <c r="AG282" s="361"/>
      <c r="AH282" s="365"/>
      <c r="AI282" s="361"/>
      <c r="AJ282" s="361"/>
      <c r="AK282" s="361"/>
      <c r="AL282" s="361"/>
      <c r="AM282" s="361"/>
      <c r="AN282" s="361"/>
      <c r="AO282" s="361"/>
      <c r="AP282" s="361"/>
      <c r="AQ282" s="361"/>
      <c r="AR282" s="503"/>
      <c r="AS282" s="489"/>
      <c r="AT282" s="160"/>
      <c r="AU282" s="355"/>
    </row>
    <row r="283" spans="1:47" s="124" customFormat="1" ht="21.75" hidden="1" customHeight="1">
      <c r="A283" s="331">
        <v>282</v>
      </c>
      <c r="B283" s="361" t="s">
        <v>400</v>
      </c>
      <c r="C283" s="361" t="s">
        <v>1394</v>
      </c>
      <c r="D283" s="436" t="s">
        <v>1032</v>
      </c>
      <c r="E283" s="361" t="str">
        <f t="shared" si="4"/>
        <v>LOSS</v>
      </c>
      <c r="F283" s="361"/>
      <c r="G283" s="361"/>
      <c r="H283" s="361" t="s">
        <v>327</v>
      </c>
      <c r="I283" s="160" t="s">
        <v>346</v>
      </c>
      <c r="J283" s="361" t="s">
        <v>1395</v>
      </c>
      <c r="K283" s="365"/>
      <c r="L283" s="361"/>
      <c r="M283" s="361"/>
      <c r="N283" s="361"/>
      <c r="O283" s="369" t="s">
        <v>115</v>
      </c>
      <c r="P283" s="409">
        <v>54000000</v>
      </c>
      <c r="Q283" s="361"/>
      <c r="R283" s="410" t="s">
        <v>115</v>
      </c>
      <c r="S283" s="409">
        <v>7000000</v>
      </c>
      <c r="T283" s="361"/>
      <c r="U283" s="367">
        <v>44225</v>
      </c>
      <c r="V283" s="367">
        <v>44589</v>
      </c>
      <c r="W283" s="361" t="s">
        <v>250</v>
      </c>
      <c r="X283" s="361"/>
      <c r="Y283" s="361"/>
      <c r="Z283" s="361"/>
      <c r="AA283" s="361"/>
      <c r="AB283" s="361"/>
      <c r="AC283" s="159"/>
      <c r="AD283" s="368"/>
      <c r="AE283" s="364">
        <v>4500015725</v>
      </c>
      <c r="AF283" s="364"/>
      <c r="AG283" s="361"/>
      <c r="AH283" s="365"/>
      <c r="AI283" s="361"/>
      <c r="AJ283" s="361"/>
      <c r="AK283" s="361"/>
      <c r="AL283" s="361"/>
      <c r="AM283" s="361"/>
      <c r="AN283" s="361"/>
      <c r="AO283" s="361"/>
      <c r="AP283" s="361"/>
      <c r="AQ283" s="361"/>
      <c r="AR283" s="503"/>
      <c r="AS283" s="489"/>
      <c r="AT283" s="160"/>
      <c r="AU283" s="355"/>
    </row>
    <row r="284" spans="1:47" s="124" customFormat="1" ht="21.75" hidden="1" customHeight="1">
      <c r="A284" s="331">
        <v>283</v>
      </c>
      <c r="B284" s="361" t="s">
        <v>1396</v>
      </c>
      <c r="C284" s="361" t="s">
        <v>935</v>
      </c>
      <c r="D284" s="435" t="s">
        <v>1383</v>
      </c>
      <c r="E284" s="361" t="str">
        <f t="shared" si="4"/>
        <v>LOSS</v>
      </c>
      <c r="F284" s="361"/>
      <c r="G284" s="361"/>
      <c r="H284" s="361" t="s">
        <v>327</v>
      </c>
      <c r="I284" s="361" t="s">
        <v>242</v>
      </c>
      <c r="J284" s="361" t="s">
        <v>1397</v>
      </c>
      <c r="K284" s="365"/>
      <c r="L284" s="361"/>
      <c r="M284" s="361"/>
      <c r="N284" s="361"/>
      <c r="O284" s="369" t="s">
        <v>115</v>
      </c>
      <c r="P284" s="409">
        <v>324000000</v>
      </c>
      <c r="Q284" s="361"/>
      <c r="R284" s="410" t="s">
        <v>115</v>
      </c>
      <c r="S284" s="409">
        <v>2000000</v>
      </c>
      <c r="T284" s="361"/>
      <c r="U284" s="367">
        <v>44256</v>
      </c>
      <c r="V284" s="367">
        <v>44620</v>
      </c>
      <c r="W284" s="361" t="s">
        <v>250</v>
      </c>
      <c r="X284" s="361"/>
      <c r="Y284" s="361"/>
      <c r="Z284" s="361"/>
      <c r="AA284" s="361"/>
      <c r="AB284" s="361"/>
      <c r="AC284" s="159"/>
      <c r="AD284" s="368"/>
      <c r="AE284" s="364">
        <v>4500015683</v>
      </c>
      <c r="AF284" s="364"/>
      <c r="AG284" s="361"/>
      <c r="AH284" s="365"/>
      <c r="AI284" s="361"/>
      <c r="AJ284" s="361"/>
      <c r="AK284" s="361"/>
      <c r="AL284" s="361"/>
      <c r="AM284" s="361"/>
      <c r="AN284" s="361"/>
      <c r="AO284" s="361"/>
      <c r="AP284" s="361"/>
      <c r="AQ284" s="361"/>
      <c r="AR284" s="503"/>
      <c r="AS284" s="489"/>
      <c r="AT284" s="160"/>
      <c r="AU284" s="355"/>
    </row>
    <row r="285" spans="1:47" s="124" customFormat="1" ht="21.75" hidden="1" customHeight="1">
      <c r="A285" s="331">
        <v>284</v>
      </c>
      <c r="B285" s="361" t="s">
        <v>1396</v>
      </c>
      <c r="C285" s="361" t="s">
        <v>994</v>
      </c>
      <c r="D285" s="436" t="s">
        <v>1383</v>
      </c>
      <c r="E285" s="361" t="str">
        <f t="shared" si="4"/>
        <v>LOSS</v>
      </c>
      <c r="F285" s="361"/>
      <c r="G285" s="361"/>
      <c r="H285" s="361" t="s">
        <v>327</v>
      </c>
      <c r="I285" s="361" t="s">
        <v>242</v>
      </c>
      <c r="J285" s="361" t="s">
        <v>1397</v>
      </c>
      <c r="K285" s="365"/>
      <c r="L285" s="361"/>
      <c r="M285" s="361"/>
      <c r="N285" s="361"/>
      <c r="O285" s="369" t="s">
        <v>115</v>
      </c>
      <c r="P285" s="409">
        <v>324000000</v>
      </c>
      <c r="Q285" s="361"/>
      <c r="R285" s="410" t="s">
        <v>115</v>
      </c>
      <c r="S285" s="409">
        <v>2000000</v>
      </c>
      <c r="T285" s="361"/>
      <c r="U285" s="367">
        <v>44228</v>
      </c>
      <c r="V285" s="367">
        <v>44592</v>
      </c>
      <c r="W285" s="361" t="s">
        <v>250</v>
      </c>
      <c r="X285" s="361"/>
      <c r="Y285" s="361"/>
      <c r="Z285" s="361"/>
      <c r="AA285" s="361"/>
      <c r="AB285" s="361"/>
      <c r="AC285" s="159"/>
      <c r="AD285" s="368"/>
      <c r="AE285" s="364">
        <v>4500015682</v>
      </c>
      <c r="AF285" s="364"/>
      <c r="AG285" s="361"/>
      <c r="AH285" s="365"/>
      <c r="AI285" s="361"/>
      <c r="AJ285" s="361"/>
      <c r="AK285" s="361"/>
      <c r="AL285" s="361"/>
      <c r="AM285" s="361"/>
      <c r="AN285" s="361"/>
      <c r="AO285" s="361"/>
      <c r="AP285" s="361"/>
      <c r="AQ285" s="361"/>
      <c r="AR285" s="503"/>
      <c r="AS285" s="489"/>
      <c r="AT285" s="160"/>
      <c r="AU285" s="355"/>
    </row>
    <row r="286" spans="1:47" s="124" customFormat="1" ht="21.75" hidden="1" customHeight="1">
      <c r="A286" s="331">
        <v>285</v>
      </c>
      <c r="B286" s="361" t="s">
        <v>542</v>
      </c>
      <c r="C286" s="361" t="s">
        <v>1297</v>
      </c>
      <c r="D286" s="435" t="s">
        <v>1398</v>
      </c>
      <c r="E286" s="361" t="str">
        <f t="shared" si="4"/>
        <v>LOSS</v>
      </c>
      <c r="F286" s="361"/>
      <c r="G286" s="361"/>
      <c r="H286" s="361" t="s">
        <v>327</v>
      </c>
      <c r="I286" s="361" t="s">
        <v>242</v>
      </c>
      <c r="J286" s="361" t="s">
        <v>1399</v>
      </c>
      <c r="K286" s="365"/>
      <c r="L286" s="361"/>
      <c r="M286" s="361"/>
      <c r="N286" s="361"/>
      <c r="O286" s="369" t="s">
        <v>115</v>
      </c>
      <c r="P286" s="409">
        <v>144000000</v>
      </c>
      <c r="Q286" s="361"/>
      <c r="R286" s="410" t="s">
        <v>115</v>
      </c>
      <c r="S286" s="409">
        <v>6600000</v>
      </c>
      <c r="T286" s="361"/>
      <c r="U286" s="367">
        <v>44287</v>
      </c>
      <c r="V286" s="367">
        <v>44651</v>
      </c>
      <c r="W286" s="361" t="s">
        <v>250</v>
      </c>
      <c r="X286" s="361"/>
      <c r="Y286" s="361"/>
      <c r="Z286" s="361"/>
      <c r="AA286" s="361"/>
      <c r="AB286" s="361"/>
      <c r="AC286" s="159"/>
      <c r="AD286" s="361" t="s">
        <v>1400</v>
      </c>
      <c r="AE286" s="364">
        <v>4500015888</v>
      </c>
      <c r="AF286" s="364"/>
      <c r="AG286" s="361"/>
      <c r="AH286" s="365"/>
      <c r="AI286" s="361"/>
      <c r="AJ286" s="361"/>
      <c r="AK286" s="361"/>
      <c r="AL286" s="361"/>
      <c r="AM286" s="361"/>
      <c r="AN286" s="361"/>
      <c r="AO286" s="361"/>
      <c r="AP286" s="361"/>
      <c r="AQ286" s="361"/>
      <c r="AR286" s="503"/>
      <c r="AS286" s="489"/>
      <c r="AT286" s="160"/>
      <c r="AU286" s="355"/>
    </row>
    <row r="287" spans="1:47" s="124" customFormat="1" ht="21.75" hidden="1" customHeight="1">
      <c r="A287" s="331">
        <v>286</v>
      </c>
      <c r="B287" s="361" t="s">
        <v>1401</v>
      </c>
      <c r="C287" s="361" t="s">
        <v>1402</v>
      </c>
      <c r="D287" s="441"/>
      <c r="E287" s="361" t="str">
        <f t="shared" si="4"/>
        <v>LOSS</v>
      </c>
      <c r="F287" s="361"/>
      <c r="G287" s="361"/>
      <c r="H287" s="361" t="s">
        <v>327</v>
      </c>
      <c r="I287" s="160" t="s">
        <v>346</v>
      </c>
      <c r="J287" s="361" t="s">
        <v>1403</v>
      </c>
      <c r="K287" s="365"/>
      <c r="L287" s="361"/>
      <c r="M287" s="361"/>
      <c r="N287" s="361"/>
      <c r="O287" s="369" t="s">
        <v>115</v>
      </c>
      <c r="P287" s="409">
        <v>18000000</v>
      </c>
      <c r="Q287" s="361"/>
      <c r="R287" s="410" t="s">
        <v>115</v>
      </c>
      <c r="S287" s="409">
        <v>48015000</v>
      </c>
      <c r="T287" s="361"/>
      <c r="U287" s="367">
        <v>44197</v>
      </c>
      <c r="V287" s="367">
        <v>44561</v>
      </c>
      <c r="W287" s="361" t="s">
        <v>250</v>
      </c>
      <c r="X287" s="361"/>
      <c r="Y287" s="361"/>
      <c r="Z287" s="361"/>
      <c r="AA287" s="361"/>
      <c r="AB287" s="361"/>
      <c r="AC287" s="159"/>
      <c r="AD287" s="368"/>
      <c r="AE287" s="364">
        <v>4500015365</v>
      </c>
      <c r="AF287" s="364"/>
      <c r="AG287" s="361"/>
      <c r="AH287" s="365"/>
      <c r="AI287" s="361"/>
      <c r="AJ287" s="361"/>
      <c r="AK287" s="361"/>
      <c r="AL287" s="361"/>
      <c r="AM287" s="361"/>
      <c r="AN287" s="361"/>
      <c r="AO287" s="361"/>
      <c r="AP287" s="361"/>
      <c r="AQ287" s="361"/>
      <c r="AR287" s="503"/>
      <c r="AS287" s="489"/>
      <c r="AT287" s="160"/>
      <c r="AU287" s="355"/>
    </row>
    <row r="288" spans="1:47" s="124" customFormat="1" ht="21.75" hidden="1" customHeight="1">
      <c r="A288" s="331">
        <v>287</v>
      </c>
      <c r="B288" s="361" t="s">
        <v>71</v>
      </c>
      <c r="C288" s="361" t="s">
        <v>1404</v>
      </c>
      <c r="D288" s="435" t="s">
        <v>850</v>
      </c>
      <c r="E288" s="361" t="str">
        <f t="shared" si="4"/>
        <v>LOSS</v>
      </c>
      <c r="F288" s="361"/>
      <c r="G288" s="361"/>
      <c r="H288" s="361" t="s">
        <v>839</v>
      </c>
      <c r="I288" s="361" t="s">
        <v>1405</v>
      </c>
      <c r="J288" s="361" t="s">
        <v>1406</v>
      </c>
      <c r="K288" s="365"/>
      <c r="L288" s="361"/>
      <c r="M288" s="361"/>
      <c r="N288" s="361"/>
      <c r="O288" s="369" t="s">
        <v>115</v>
      </c>
      <c r="P288" s="409">
        <v>84000000</v>
      </c>
      <c r="Q288" s="361"/>
      <c r="R288" s="410" t="s">
        <v>115</v>
      </c>
      <c r="S288" s="409">
        <v>36000000</v>
      </c>
      <c r="T288" s="361"/>
      <c r="U288" s="367">
        <v>44223</v>
      </c>
      <c r="V288" s="367">
        <v>44587</v>
      </c>
      <c r="W288" s="361" t="s">
        <v>250</v>
      </c>
      <c r="X288" s="361"/>
      <c r="Y288" s="361"/>
      <c r="Z288" s="361"/>
      <c r="AA288" s="361"/>
      <c r="AB288" s="361"/>
      <c r="AC288" s="159"/>
      <c r="AD288" s="368"/>
      <c r="AE288" s="364">
        <v>4500015714</v>
      </c>
      <c r="AF288" s="364"/>
      <c r="AG288" s="361"/>
      <c r="AH288" s="365"/>
      <c r="AI288" s="361"/>
      <c r="AJ288" s="361"/>
      <c r="AK288" s="361"/>
      <c r="AL288" s="361"/>
      <c r="AM288" s="361"/>
      <c r="AN288" s="361"/>
      <c r="AO288" s="361"/>
      <c r="AP288" s="361"/>
      <c r="AQ288" s="361"/>
      <c r="AR288" s="503"/>
      <c r="AS288" s="489"/>
      <c r="AT288" s="160"/>
      <c r="AU288" s="355"/>
    </row>
    <row r="289" spans="1:47" s="124" customFormat="1" ht="21.75" hidden="1" customHeight="1">
      <c r="A289" s="331">
        <v>288</v>
      </c>
      <c r="B289" s="361" t="s">
        <v>450</v>
      </c>
      <c r="C289" s="361" t="s">
        <v>451</v>
      </c>
      <c r="D289" s="437" t="s">
        <v>452</v>
      </c>
      <c r="E289" s="361" t="str">
        <f t="shared" si="4"/>
        <v>LOSS</v>
      </c>
      <c r="F289" s="361"/>
      <c r="G289" s="361"/>
      <c r="H289" s="361" t="s">
        <v>327</v>
      </c>
      <c r="I289" s="160" t="s">
        <v>346</v>
      </c>
      <c r="J289" s="361" t="s">
        <v>121</v>
      </c>
      <c r="K289" s="365"/>
      <c r="L289" s="361"/>
      <c r="M289" s="361"/>
      <c r="N289" s="361"/>
      <c r="O289" s="369" t="s">
        <v>115</v>
      </c>
      <c r="P289" s="409">
        <v>36000000</v>
      </c>
      <c r="Q289" s="361"/>
      <c r="R289" s="410" t="s">
        <v>115</v>
      </c>
      <c r="S289" s="409">
        <v>2500000</v>
      </c>
      <c r="T289" s="361"/>
      <c r="U289" s="367">
        <v>44214</v>
      </c>
      <c r="V289" s="367">
        <v>44578</v>
      </c>
      <c r="W289" s="364" t="s">
        <v>250</v>
      </c>
      <c r="X289" s="361"/>
      <c r="Y289" s="361"/>
      <c r="Z289" s="361"/>
      <c r="AA289" s="361"/>
      <c r="AB289" s="361"/>
      <c r="AC289" s="159"/>
      <c r="AD289" s="368"/>
      <c r="AE289" s="364">
        <v>4500015691</v>
      </c>
      <c r="AF289" s="364"/>
      <c r="AG289" s="361"/>
      <c r="AH289" s="365"/>
      <c r="AI289" s="361"/>
      <c r="AJ289" s="361"/>
      <c r="AK289" s="361"/>
      <c r="AL289" s="361"/>
      <c r="AM289" s="361"/>
      <c r="AN289" s="361"/>
      <c r="AO289" s="361"/>
      <c r="AP289" s="361"/>
      <c r="AQ289" s="361"/>
      <c r="AR289" s="503"/>
      <c r="AS289" s="489"/>
      <c r="AT289" s="160"/>
      <c r="AU289" s="355"/>
    </row>
    <row r="290" spans="1:47" s="124" customFormat="1" ht="21.75" hidden="1" customHeight="1">
      <c r="A290" s="331">
        <v>289</v>
      </c>
      <c r="B290" s="159" t="s">
        <v>614</v>
      </c>
      <c r="C290" s="361" t="s">
        <v>1013</v>
      </c>
      <c r="D290" s="435" t="s">
        <v>1407</v>
      </c>
      <c r="E290" s="361" t="str">
        <f t="shared" si="4"/>
        <v>LOSS</v>
      </c>
      <c r="F290" s="361"/>
      <c r="G290" s="361"/>
      <c r="H290" s="361" t="s">
        <v>327</v>
      </c>
      <c r="I290" s="160" t="s">
        <v>346</v>
      </c>
      <c r="J290" s="361" t="s">
        <v>1408</v>
      </c>
      <c r="K290" s="365"/>
      <c r="L290" s="361"/>
      <c r="M290" s="361"/>
      <c r="N290" s="361"/>
      <c r="O290" s="369" t="s">
        <v>115</v>
      </c>
      <c r="P290" s="409">
        <v>75420000</v>
      </c>
      <c r="Q290" s="361"/>
      <c r="R290" s="410" t="s">
        <v>115</v>
      </c>
      <c r="S290" s="409">
        <v>12000000</v>
      </c>
      <c r="T290" s="361"/>
      <c r="U290" s="367">
        <v>44282</v>
      </c>
      <c r="V290" s="367">
        <v>44646</v>
      </c>
      <c r="W290" s="361" t="s">
        <v>250</v>
      </c>
      <c r="X290" s="361"/>
      <c r="Y290" s="361"/>
      <c r="Z290" s="361"/>
      <c r="AA290" s="361"/>
      <c r="AB290" s="361"/>
      <c r="AC290" s="159"/>
      <c r="AD290" s="368"/>
      <c r="AE290" s="364">
        <v>4500015719</v>
      </c>
      <c r="AF290" s="364"/>
      <c r="AG290" s="361"/>
      <c r="AH290" s="365"/>
      <c r="AI290" s="361"/>
      <c r="AJ290" s="361"/>
      <c r="AK290" s="361"/>
      <c r="AL290" s="361"/>
      <c r="AM290" s="361"/>
      <c r="AN290" s="361"/>
      <c r="AO290" s="361"/>
      <c r="AP290" s="361"/>
      <c r="AQ290" s="361"/>
      <c r="AR290" s="503"/>
      <c r="AS290" s="489"/>
      <c r="AT290" s="160"/>
      <c r="AU290" s="355"/>
    </row>
    <row r="291" spans="1:47" s="124" customFormat="1" ht="21.75" hidden="1" customHeight="1">
      <c r="A291" s="331">
        <v>290</v>
      </c>
      <c r="B291" s="361" t="s">
        <v>450</v>
      </c>
      <c r="C291" s="361" t="s">
        <v>1409</v>
      </c>
      <c r="D291" s="436" t="s">
        <v>1410</v>
      </c>
      <c r="E291" s="361" t="str">
        <f t="shared" si="4"/>
        <v>LOSS</v>
      </c>
      <c r="F291" s="361"/>
      <c r="G291" s="361"/>
      <c r="H291" s="28" t="s">
        <v>261</v>
      </c>
      <c r="I291" s="361" t="s">
        <v>243</v>
      </c>
      <c r="J291" s="361" t="s">
        <v>1411</v>
      </c>
      <c r="K291" s="361"/>
      <c r="L291" s="361"/>
      <c r="M291" s="361"/>
      <c r="N291" s="361"/>
      <c r="O291" s="369" t="s">
        <v>115</v>
      </c>
      <c r="P291" s="409">
        <v>123600000</v>
      </c>
      <c r="Q291" s="361"/>
      <c r="R291" s="410" t="s">
        <v>115</v>
      </c>
      <c r="S291" s="409">
        <v>18000000</v>
      </c>
      <c r="T291" s="361"/>
      <c r="U291" s="367">
        <v>44249</v>
      </c>
      <c r="V291" s="367">
        <v>44613</v>
      </c>
      <c r="W291" s="361" t="s">
        <v>250</v>
      </c>
      <c r="X291" s="361"/>
      <c r="Y291" s="361"/>
      <c r="Z291" s="361"/>
      <c r="AA291" s="361"/>
      <c r="AB291" s="361"/>
      <c r="AC291" s="159"/>
      <c r="AD291" s="262"/>
      <c r="AE291" s="364">
        <v>4500015720</v>
      </c>
      <c r="AF291" s="364"/>
      <c r="AG291" s="361"/>
      <c r="AH291" s="361"/>
      <c r="AI291" s="361"/>
      <c r="AJ291" s="361"/>
      <c r="AK291" s="361"/>
      <c r="AL291" s="361"/>
      <c r="AM291" s="361"/>
      <c r="AN291" s="361"/>
      <c r="AO291" s="361"/>
      <c r="AP291" s="361"/>
      <c r="AQ291" s="361"/>
      <c r="AR291" s="503"/>
      <c r="AS291" s="489"/>
      <c r="AT291" s="160"/>
      <c r="AU291" s="355"/>
    </row>
    <row r="292" spans="1:47" s="124" customFormat="1" ht="21.75" hidden="1" customHeight="1">
      <c r="A292" s="331">
        <v>291</v>
      </c>
      <c r="B292" s="361" t="s">
        <v>542</v>
      </c>
      <c r="C292" s="361" t="s">
        <v>1412</v>
      </c>
      <c r="D292" s="435" t="s">
        <v>1398</v>
      </c>
      <c r="E292" s="361" t="str">
        <f t="shared" si="4"/>
        <v>LOSS</v>
      </c>
      <c r="F292" s="361"/>
      <c r="G292" s="361"/>
      <c r="H292" s="28" t="s">
        <v>261</v>
      </c>
      <c r="I292" s="361" t="s">
        <v>243</v>
      </c>
      <c r="J292" s="361" t="s">
        <v>1413</v>
      </c>
      <c r="K292" s="361"/>
      <c r="L292" s="361"/>
      <c r="M292" s="361"/>
      <c r="N292" s="361"/>
      <c r="O292" s="369" t="s">
        <v>115</v>
      </c>
      <c r="P292" s="409">
        <v>42000000</v>
      </c>
      <c r="Q292" s="361"/>
      <c r="R292" s="410" t="s">
        <v>115</v>
      </c>
      <c r="S292" s="409">
        <v>6000000</v>
      </c>
      <c r="T292" s="361"/>
      <c r="U292" s="367">
        <v>44256</v>
      </c>
      <c r="V292" s="367">
        <v>44620</v>
      </c>
      <c r="W292" s="361" t="s">
        <v>250</v>
      </c>
      <c r="X292" s="361"/>
      <c r="Y292" s="361"/>
      <c r="Z292" s="361"/>
      <c r="AA292" s="361"/>
      <c r="AB292" s="361"/>
      <c r="AC292" s="159"/>
      <c r="AD292" s="368"/>
      <c r="AE292" s="364">
        <v>4500015717</v>
      </c>
      <c r="AF292" s="364"/>
      <c r="AG292" s="361"/>
      <c r="AH292" s="361"/>
      <c r="AI292" s="361"/>
      <c r="AJ292" s="361"/>
      <c r="AK292" s="361"/>
      <c r="AL292" s="361"/>
      <c r="AM292" s="361"/>
      <c r="AN292" s="361"/>
      <c r="AO292" s="361"/>
      <c r="AP292" s="361"/>
      <c r="AQ292" s="361"/>
      <c r="AR292" s="503"/>
      <c r="AS292" s="489"/>
      <c r="AT292" s="160"/>
      <c r="AU292" s="355"/>
    </row>
    <row r="293" spans="1:47" s="124" customFormat="1" ht="21.75" hidden="1" customHeight="1">
      <c r="A293" s="331">
        <v>292</v>
      </c>
      <c r="B293" s="361" t="s">
        <v>1414</v>
      </c>
      <c r="C293" s="361" t="s">
        <v>548</v>
      </c>
      <c r="D293" s="441"/>
      <c r="E293" s="361" t="str">
        <f t="shared" si="4"/>
        <v>LOSS</v>
      </c>
      <c r="F293" s="361"/>
      <c r="G293" s="361"/>
      <c r="H293" s="361" t="s">
        <v>327</v>
      </c>
      <c r="I293" s="160" t="s">
        <v>346</v>
      </c>
      <c r="J293" s="361" t="s">
        <v>1415</v>
      </c>
      <c r="K293" s="365"/>
      <c r="L293" s="361"/>
      <c r="M293" s="361"/>
      <c r="N293" s="361"/>
      <c r="O293" s="369" t="s">
        <v>115</v>
      </c>
      <c r="P293" s="409">
        <v>240000000</v>
      </c>
      <c r="Q293" s="361"/>
      <c r="R293" s="410" t="s">
        <v>115</v>
      </c>
      <c r="S293" s="409">
        <v>30000000</v>
      </c>
      <c r="T293" s="361"/>
      <c r="U293" s="367">
        <v>44219</v>
      </c>
      <c r="V293" s="367">
        <v>44583</v>
      </c>
      <c r="W293" s="361" t="s">
        <v>250</v>
      </c>
      <c r="X293" s="361"/>
      <c r="Y293" s="361"/>
      <c r="Z293" s="361"/>
      <c r="AA293" s="361"/>
      <c r="AB293" s="361"/>
      <c r="AC293" s="159"/>
      <c r="AD293" s="368"/>
      <c r="AE293" s="364">
        <v>4500015685</v>
      </c>
      <c r="AF293" s="364"/>
      <c r="AG293" s="361"/>
      <c r="AH293" s="365"/>
      <c r="AI293" s="361"/>
      <c r="AJ293" s="361"/>
      <c r="AK293" s="361"/>
      <c r="AL293" s="361"/>
      <c r="AM293" s="361"/>
      <c r="AN293" s="361"/>
      <c r="AO293" s="361"/>
      <c r="AP293" s="361"/>
      <c r="AQ293" s="361"/>
      <c r="AR293" s="503"/>
      <c r="AS293" s="489"/>
      <c r="AT293" s="160"/>
      <c r="AU293" s="355"/>
    </row>
    <row r="294" spans="1:47" s="124" customFormat="1" ht="21.75" hidden="1" customHeight="1">
      <c r="A294" s="331">
        <v>293</v>
      </c>
      <c r="B294" s="28" t="s">
        <v>521</v>
      </c>
      <c r="C294" s="361" t="s">
        <v>1416</v>
      </c>
      <c r="D294" s="435" t="s">
        <v>1361</v>
      </c>
      <c r="E294" s="361" t="str">
        <f t="shared" si="4"/>
        <v>LOSS</v>
      </c>
      <c r="F294" s="361"/>
      <c r="G294" s="361"/>
      <c r="H294" s="28" t="s">
        <v>261</v>
      </c>
      <c r="I294" s="361" t="s">
        <v>243</v>
      </c>
      <c r="J294" s="361" t="s">
        <v>1417</v>
      </c>
      <c r="K294" s="361"/>
      <c r="L294" s="361"/>
      <c r="M294" s="361"/>
      <c r="N294" s="361"/>
      <c r="O294" s="369" t="s">
        <v>115</v>
      </c>
      <c r="P294" s="409">
        <v>60000000</v>
      </c>
      <c r="Q294" s="361"/>
      <c r="R294" s="410" t="s">
        <v>115</v>
      </c>
      <c r="S294" s="409">
        <v>30000000</v>
      </c>
      <c r="T294" s="361"/>
      <c r="U294" s="367">
        <v>44264</v>
      </c>
      <c r="V294" s="367">
        <v>44628</v>
      </c>
      <c r="W294" s="361" t="s">
        <v>250</v>
      </c>
      <c r="X294" s="361"/>
      <c r="Y294" s="361"/>
      <c r="Z294" s="361"/>
      <c r="AA294" s="361"/>
      <c r="AB294" s="361"/>
      <c r="AC294" s="159"/>
      <c r="AD294" s="368"/>
      <c r="AE294" s="364">
        <v>4500015721</v>
      </c>
      <c r="AF294" s="364"/>
      <c r="AG294" s="361"/>
      <c r="AH294" s="361"/>
      <c r="AI294" s="361"/>
      <c r="AJ294" s="361"/>
      <c r="AK294" s="361"/>
      <c r="AL294" s="361"/>
      <c r="AM294" s="361"/>
      <c r="AN294" s="361"/>
      <c r="AO294" s="361"/>
      <c r="AP294" s="361"/>
      <c r="AQ294" s="361"/>
      <c r="AR294" s="503"/>
      <c r="AS294" s="489"/>
      <c r="AT294" s="160"/>
      <c r="AU294" s="355"/>
    </row>
    <row r="295" spans="1:47" s="124" customFormat="1" ht="21.75" hidden="1" customHeight="1">
      <c r="A295" s="331">
        <v>294</v>
      </c>
      <c r="B295" s="361" t="s">
        <v>542</v>
      </c>
      <c r="C295" s="361" t="s">
        <v>1418</v>
      </c>
      <c r="D295" s="436" t="s">
        <v>1398</v>
      </c>
      <c r="E295" s="361" t="str">
        <f t="shared" si="4"/>
        <v>LOSS</v>
      </c>
      <c r="F295" s="361"/>
      <c r="G295" s="361"/>
      <c r="H295" s="361" t="s">
        <v>327</v>
      </c>
      <c r="I295" s="160" t="s">
        <v>346</v>
      </c>
      <c r="J295" s="361" t="s">
        <v>809</v>
      </c>
      <c r="K295" s="365"/>
      <c r="L295" s="361"/>
      <c r="M295" s="361"/>
      <c r="N295" s="361"/>
      <c r="O295" s="369" t="s">
        <v>115</v>
      </c>
      <c r="P295" s="409">
        <v>45540000</v>
      </c>
      <c r="Q295" s="361"/>
      <c r="R295" s="410" t="s">
        <v>115</v>
      </c>
      <c r="S295" s="409">
        <v>8000000</v>
      </c>
      <c r="T295" s="361"/>
      <c r="U295" s="367">
        <v>44199</v>
      </c>
      <c r="V295" s="367">
        <v>44563</v>
      </c>
      <c r="W295" s="361" t="s">
        <v>250</v>
      </c>
      <c r="X295" s="361"/>
      <c r="Y295" s="361"/>
      <c r="Z295" s="361"/>
      <c r="AA295" s="361"/>
      <c r="AB295" s="361"/>
      <c r="AC295" s="159"/>
      <c r="AD295" s="368"/>
      <c r="AE295" s="364">
        <v>4500015718</v>
      </c>
      <c r="AF295" s="364"/>
      <c r="AG295" s="361"/>
      <c r="AH295" s="365"/>
      <c r="AI295" s="361"/>
      <c r="AJ295" s="361"/>
      <c r="AK295" s="361"/>
      <c r="AL295" s="361"/>
      <c r="AM295" s="361"/>
      <c r="AN295" s="361"/>
      <c r="AO295" s="361"/>
      <c r="AP295" s="361"/>
      <c r="AQ295" s="361"/>
      <c r="AR295" s="503"/>
      <c r="AS295" s="489"/>
      <c r="AT295" s="160"/>
      <c r="AU295" s="355"/>
    </row>
    <row r="296" spans="1:47" s="124" customFormat="1" ht="21.75" hidden="1" customHeight="1">
      <c r="A296" s="331">
        <v>295</v>
      </c>
      <c r="B296" s="361" t="s">
        <v>71</v>
      </c>
      <c r="C296" s="361" t="s">
        <v>37</v>
      </c>
      <c r="D296" s="435" t="s">
        <v>850</v>
      </c>
      <c r="E296" s="361" t="str">
        <f t="shared" si="4"/>
        <v>LOSS</v>
      </c>
      <c r="F296" s="361"/>
      <c r="G296" s="361"/>
      <c r="H296" s="361" t="s">
        <v>327</v>
      </c>
      <c r="I296" s="160" t="s">
        <v>346</v>
      </c>
      <c r="J296" s="361" t="s">
        <v>79</v>
      </c>
      <c r="K296" s="365"/>
      <c r="L296" s="361"/>
      <c r="M296" s="361"/>
      <c r="N296" s="361"/>
      <c r="O296" s="369" t="s">
        <v>115</v>
      </c>
      <c r="P296" s="409">
        <v>60000000</v>
      </c>
      <c r="Q296" s="361"/>
      <c r="R296" s="410" t="s">
        <v>115</v>
      </c>
      <c r="S296" s="409">
        <v>18000000</v>
      </c>
      <c r="T296" s="361"/>
      <c r="U296" s="367">
        <v>44363</v>
      </c>
      <c r="V296" s="367">
        <v>44727</v>
      </c>
      <c r="W296" s="361" t="s">
        <v>250</v>
      </c>
      <c r="X296" s="361"/>
      <c r="Y296" s="361"/>
      <c r="Z296" s="361"/>
      <c r="AA296" s="361"/>
      <c r="AB296" s="361"/>
      <c r="AC296" s="159"/>
      <c r="AD296" s="368"/>
      <c r="AE296" s="364">
        <v>4500016261</v>
      </c>
      <c r="AF296" s="364"/>
      <c r="AG296" s="361"/>
      <c r="AH296" s="365"/>
      <c r="AI296" s="361"/>
      <c r="AJ296" s="361"/>
      <c r="AK296" s="361"/>
      <c r="AL296" s="361"/>
      <c r="AM296" s="361"/>
      <c r="AN296" s="361"/>
      <c r="AO296" s="361"/>
      <c r="AP296" s="361"/>
      <c r="AQ296" s="361"/>
      <c r="AR296" s="503"/>
      <c r="AS296" s="489"/>
      <c r="AT296" s="160"/>
      <c r="AU296" s="355"/>
    </row>
    <row r="297" spans="1:47" s="124" customFormat="1" ht="21.75" hidden="1" customHeight="1">
      <c r="A297" s="331">
        <v>296</v>
      </c>
      <c r="B297" s="361" t="s">
        <v>71</v>
      </c>
      <c r="C297" s="361" t="s">
        <v>382</v>
      </c>
      <c r="D297" s="436" t="s">
        <v>850</v>
      </c>
      <c r="E297" s="361" t="str">
        <f t="shared" si="4"/>
        <v>LOSS</v>
      </c>
      <c r="F297" s="361"/>
      <c r="G297" s="361"/>
      <c r="H297" s="361" t="s">
        <v>327</v>
      </c>
      <c r="I297" s="160" t="s">
        <v>346</v>
      </c>
      <c r="J297" s="361" t="s">
        <v>81</v>
      </c>
      <c r="K297" s="365"/>
      <c r="L297" s="361"/>
      <c r="M297" s="361"/>
      <c r="N297" s="361"/>
      <c r="O297" s="369" t="s">
        <v>115</v>
      </c>
      <c r="P297" s="409">
        <v>168000000</v>
      </c>
      <c r="Q297" s="361"/>
      <c r="R297" s="410" t="s">
        <v>115</v>
      </c>
      <c r="S297" s="409">
        <v>36000000</v>
      </c>
      <c r="T297" s="361"/>
      <c r="U297" s="367">
        <v>44371</v>
      </c>
      <c r="V297" s="367">
        <v>44735</v>
      </c>
      <c r="W297" s="361" t="s">
        <v>250</v>
      </c>
      <c r="X297" s="361"/>
      <c r="Y297" s="361"/>
      <c r="Z297" s="361"/>
      <c r="AA297" s="361"/>
      <c r="AB297" s="361"/>
      <c r="AC297" s="159"/>
      <c r="AD297" s="368"/>
      <c r="AE297" s="364">
        <v>4500016259</v>
      </c>
      <c r="AF297" s="364"/>
      <c r="AG297" s="361"/>
      <c r="AH297" s="365"/>
      <c r="AI297" s="361"/>
      <c r="AJ297" s="361"/>
      <c r="AK297" s="361"/>
      <c r="AL297" s="361"/>
      <c r="AM297" s="361"/>
      <c r="AN297" s="361"/>
      <c r="AO297" s="361"/>
      <c r="AP297" s="361"/>
      <c r="AQ297" s="361"/>
      <c r="AR297" s="503"/>
      <c r="AS297" s="489"/>
      <c r="AT297" s="160"/>
      <c r="AU297" s="355"/>
    </row>
    <row r="298" spans="1:47" s="124" customFormat="1" ht="21.75" hidden="1" customHeight="1">
      <c r="A298" s="331">
        <v>297</v>
      </c>
      <c r="B298" s="28" t="s">
        <v>30</v>
      </c>
      <c r="C298" s="361" t="s">
        <v>1206</v>
      </c>
      <c r="D298" s="435" t="s">
        <v>1419</v>
      </c>
      <c r="E298" s="361" t="str">
        <f t="shared" si="4"/>
        <v>LOSS</v>
      </c>
      <c r="F298" s="361"/>
      <c r="G298" s="361"/>
      <c r="H298" s="361" t="s">
        <v>327</v>
      </c>
      <c r="I298" s="29" t="s">
        <v>346</v>
      </c>
      <c r="J298" s="361" t="s">
        <v>706</v>
      </c>
      <c r="K298" s="365"/>
      <c r="L298" s="361"/>
      <c r="M298" s="361"/>
      <c r="N298" s="361"/>
      <c r="O298" s="369" t="s">
        <v>115</v>
      </c>
      <c r="P298" s="409">
        <v>48600000</v>
      </c>
      <c r="Q298" s="361"/>
      <c r="R298" s="410" t="s">
        <v>115</v>
      </c>
      <c r="S298" s="409">
        <v>20000000</v>
      </c>
      <c r="T298" s="361"/>
      <c r="U298" s="367">
        <v>44358</v>
      </c>
      <c r="V298" s="367">
        <v>44722</v>
      </c>
      <c r="W298" s="361" t="s">
        <v>250</v>
      </c>
      <c r="X298" s="361"/>
      <c r="Y298" s="361"/>
      <c r="Z298" s="361"/>
      <c r="AA298" s="361"/>
      <c r="AB298" s="361"/>
      <c r="AC298" s="159"/>
      <c r="AD298" s="368"/>
      <c r="AE298" s="364">
        <v>4500016262</v>
      </c>
      <c r="AF298" s="364"/>
      <c r="AG298" s="361"/>
      <c r="AH298" s="365"/>
      <c r="AI298" s="361"/>
      <c r="AJ298" s="361"/>
      <c r="AK298" s="361"/>
      <c r="AL298" s="361"/>
      <c r="AM298" s="361"/>
      <c r="AN298" s="361"/>
      <c r="AO298" s="361"/>
      <c r="AP298" s="361"/>
      <c r="AQ298" s="361"/>
      <c r="AR298" s="503"/>
      <c r="AS298" s="489"/>
      <c r="AT298" s="160"/>
      <c r="AU298" s="355"/>
    </row>
    <row r="299" spans="1:47" s="124" customFormat="1" ht="21.75" hidden="1" customHeight="1">
      <c r="A299" s="331">
        <v>298</v>
      </c>
      <c r="B299" s="361" t="s">
        <v>400</v>
      </c>
      <c r="C299" s="361" t="s">
        <v>1366</v>
      </c>
      <c r="D299" s="436" t="s">
        <v>1032</v>
      </c>
      <c r="E299" s="361" t="str">
        <f t="shared" si="4"/>
        <v>LOSS</v>
      </c>
      <c r="F299" s="361"/>
      <c r="G299" s="361"/>
      <c r="H299" s="361" t="s">
        <v>327</v>
      </c>
      <c r="I299" s="160" t="s">
        <v>346</v>
      </c>
      <c r="J299" s="361" t="s">
        <v>563</v>
      </c>
      <c r="K299" s="365"/>
      <c r="L299" s="361"/>
      <c r="M299" s="361"/>
      <c r="N299" s="361"/>
      <c r="O299" s="369" t="s">
        <v>115</v>
      </c>
      <c r="P299" s="409">
        <v>252480000</v>
      </c>
      <c r="Q299" s="361"/>
      <c r="R299" s="410" t="s">
        <v>115</v>
      </c>
      <c r="S299" s="409">
        <v>35000000</v>
      </c>
      <c r="T299" s="361"/>
      <c r="U299" s="367">
        <v>44344</v>
      </c>
      <c r="V299" s="367">
        <v>44708</v>
      </c>
      <c r="W299" s="361" t="s">
        <v>250</v>
      </c>
      <c r="X299" s="361"/>
      <c r="Y299" s="361"/>
      <c r="Z299" s="361"/>
      <c r="AA299" s="361"/>
      <c r="AB299" s="361"/>
      <c r="AC299" s="159"/>
      <c r="AD299" s="368"/>
      <c r="AE299" s="364">
        <v>4500016058</v>
      </c>
      <c r="AF299" s="364"/>
      <c r="AG299" s="361"/>
      <c r="AH299" s="365"/>
      <c r="AI299" s="361"/>
      <c r="AJ299" s="361"/>
      <c r="AK299" s="361"/>
      <c r="AL299" s="361"/>
      <c r="AM299" s="361"/>
      <c r="AN299" s="361"/>
      <c r="AO299" s="361"/>
      <c r="AP299" s="361"/>
      <c r="AQ299" s="361"/>
      <c r="AR299" s="503"/>
      <c r="AS299" s="489"/>
      <c r="AT299" s="160"/>
      <c r="AU299" s="355"/>
    </row>
    <row r="300" spans="1:47" s="124" customFormat="1" ht="21.75" hidden="1" customHeight="1">
      <c r="A300" s="331">
        <v>299</v>
      </c>
      <c r="B300" s="361" t="s">
        <v>450</v>
      </c>
      <c r="C300" s="361" t="s">
        <v>1420</v>
      </c>
      <c r="D300" s="435" t="s">
        <v>1410</v>
      </c>
      <c r="E300" s="361" t="str">
        <f t="shared" si="4"/>
        <v>LOSS</v>
      </c>
      <c r="F300" s="361"/>
      <c r="G300" s="361"/>
      <c r="H300" s="361" t="s">
        <v>327</v>
      </c>
      <c r="I300" s="361" t="s">
        <v>242</v>
      </c>
      <c r="J300" s="361" t="s">
        <v>1421</v>
      </c>
      <c r="K300" s="365"/>
      <c r="L300" s="361"/>
      <c r="M300" s="361"/>
      <c r="N300" s="361"/>
      <c r="O300" s="362">
        <v>2500000</v>
      </c>
      <c r="P300" s="409">
        <v>39600000</v>
      </c>
      <c r="Q300" s="361"/>
      <c r="R300" s="410" t="s">
        <v>115</v>
      </c>
      <c r="S300" s="409">
        <v>12000000</v>
      </c>
      <c r="T300" s="361"/>
      <c r="U300" s="367">
        <v>44361</v>
      </c>
      <c r="V300" s="367">
        <v>44725</v>
      </c>
      <c r="W300" s="361" t="s">
        <v>250</v>
      </c>
      <c r="X300" s="361"/>
      <c r="Y300" s="361"/>
      <c r="Z300" s="361"/>
      <c r="AA300" s="361"/>
      <c r="AB300" s="361"/>
      <c r="AC300" s="159"/>
      <c r="AD300" s="361" t="s">
        <v>1422</v>
      </c>
      <c r="AE300" s="364">
        <v>4500016292</v>
      </c>
      <c r="AF300" s="364"/>
      <c r="AG300" s="361"/>
      <c r="AH300" s="365"/>
      <c r="AI300" s="361"/>
      <c r="AJ300" s="361"/>
      <c r="AK300" s="361"/>
      <c r="AL300" s="361"/>
      <c r="AM300" s="361"/>
      <c r="AN300" s="361"/>
      <c r="AO300" s="361"/>
      <c r="AP300" s="361"/>
      <c r="AQ300" s="361"/>
      <c r="AR300" s="503"/>
      <c r="AS300" s="489"/>
      <c r="AT300" s="160"/>
      <c r="AU300" s="355"/>
    </row>
    <row r="301" spans="1:47" s="124" customFormat="1" ht="21.75" hidden="1" customHeight="1">
      <c r="A301" s="331">
        <v>300</v>
      </c>
      <c r="B301" s="361" t="s">
        <v>1423</v>
      </c>
      <c r="C301" s="361" t="s">
        <v>1363</v>
      </c>
      <c r="D301" s="436" t="s">
        <v>1424</v>
      </c>
      <c r="E301" s="361" t="str">
        <f t="shared" si="4"/>
        <v>LOSS</v>
      </c>
      <c r="F301" s="361"/>
      <c r="G301" s="361"/>
      <c r="H301" s="361" t="s">
        <v>327</v>
      </c>
      <c r="I301" s="361" t="s">
        <v>242</v>
      </c>
      <c r="J301" s="361" t="s">
        <v>1425</v>
      </c>
      <c r="K301" s="365"/>
      <c r="L301" s="361"/>
      <c r="M301" s="361"/>
      <c r="N301" s="361"/>
      <c r="O301" s="362">
        <v>5500000</v>
      </c>
      <c r="P301" s="409">
        <v>216000000</v>
      </c>
      <c r="Q301" s="361"/>
      <c r="R301" s="409">
        <v>6000000</v>
      </c>
      <c r="S301" s="409">
        <v>12000000</v>
      </c>
      <c r="T301" s="361"/>
      <c r="U301" s="367">
        <v>44354</v>
      </c>
      <c r="V301" s="367">
        <v>44718</v>
      </c>
      <c r="W301" s="361" t="s">
        <v>250</v>
      </c>
      <c r="X301" s="361"/>
      <c r="Y301" s="361"/>
      <c r="Z301" s="361"/>
      <c r="AA301" s="361"/>
      <c r="AB301" s="361"/>
      <c r="AC301" s="159"/>
      <c r="AD301" s="361" t="s">
        <v>1426</v>
      </c>
      <c r="AE301" s="364">
        <v>4500016294</v>
      </c>
      <c r="AF301" s="364"/>
      <c r="AG301" s="361"/>
      <c r="AH301" s="365"/>
      <c r="AI301" s="361"/>
      <c r="AJ301" s="361"/>
      <c r="AK301" s="361"/>
      <c r="AL301" s="361"/>
      <c r="AM301" s="361"/>
      <c r="AN301" s="361"/>
      <c r="AO301" s="361"/>
      <c r="AP301" s="361"/>
      <c r="AQ301" s="361"/>
      <c r="AR301" s="503"/>
      <c r="AS301" s="489"/>
      <c r="AT301" s="160"/>
      <c r="AU301" s="355"/>
    </row>
    <row r="302" spans="1:47" s="124" customFormat="1" ht="21.75" hidden="1" customHeight="1">
      <c r="A302" s="331">
        <v>301</v>
      </c>
      <c r="B302" s="159" t="s">
        <v>1427</v>
      </c>
      <c r="C302" s="361" t="s">
        <v>1428</v>
      </c>
      <c r="D302" s="435" t="s">
        <v>1429</v>
      </c>
      <c r="E302" s="361" t="str">
        <f t="shared" si="4"/>
        <v>LOSS</v>
      </c>
      <c r="F302" s="361"/>
      <c r="G302" s="361"/>
      <c r="H302" s="361" t="s">
        <v>327</v>
      </c>
      <c r="I302" s="160" t="s">
        <v>346</v>
      </c>
      <c r="J302" s="361" t="s">
        <v>1430</v>
      </c>
      <c r="K302" s="365"/>
      <c r="L302" s="361"/>
      <c r="M302" s="361"/>
      <c r="N302" s="361"/>
      <c r="O302" s="369" t="s">
        <v>115</v>
      </c>
      <c r="P302" s="409">
        <v>286200000</v>
      </c>
      <c r="Q302" s="361"/>
      <c r="R302" s="410" t="s">
        <v>115</v>
      </c>
      <c r="S302" s="409">
        <v>50000000</v>
      </c>
      <c r="T302" s="361"/>
      <c r="U302" s="367">
        <v>44197</v>
      </c>
      <c r="V302" s="367">
        <v>44561</v>
      </c>
      <c r="W302" s="361" t="s">
        <v>250</v>
      </c>
      <c r="X302" s="361"/>
      <c r="Y302" s="361"/>
      <c r="Z302" s="361"/>
      <c r="AA302" s="361"/>
      <c r="AB302" s="361"/>
      <c r="AC302" s="159"/>
      <c r="AD302" s="368"/>
      <c r="AE302" s="364">
        <v>4500015692</v>
      </c>
      <c r="AF302" s="364"/>
      <c r="AG302" s="361"/>
      <c r="AH302" s="365"/>
      <c r="AI302" s="361"/>
      <c r="AJ302" s="361"/>
      <c r="AK302" s="361"/>
      <c r="AL302" s="361"/>
      <c r="AM302" s="361"/>
      <c r="AN302" s="361"/>
      <c r="AO302" s="361"/>
      <c r="AP302" s="361"/>
      <c r="AQ302" s="361"/>
      <c r="AR302" s="503"/>
      <c r="AS302" s="489"/>
      <c r="AT302" s="160"/>
      <c r="AU302" s="355"/>
    </row>
    <row r="303" spans="1:47" s="124" customFormat="1" ht="21.75" hidden="1" customHeight="1">
      <c r="A303" s="331">
        <v>302</v>
      </c>
      <c r="B303" s="361" t="s">
        <v>165</v>
      </c>
      <c r="C303" s="361" t="s">
        <v>1431</v>
      </c>
      <c r="D303" s="436" t="s">
        <v>1432</v>
      </c>
      <c r="E303" s="361" t="str">
        <f t="shared" si="4"/>
        <v>LOSS</v>
      </c>
      <c r="F303" s="361"/>
      <c r="G303" s="361"/>
      <c r="H303" s="28" t="s">
        <v>261</v>
      </c>
      <c r="I303" s="361" t="s">
        <v>243</v>
      </c>
      <c r="J303" s="361" t="s">
        <v>1433</v>
      </c>
      <c r="K303" s="361"/>
      <c r="L303" s="361"/>
      <c r="M303" s="361"/>
      <c r="N303" s="361"/>
      <c r="O303" s="369" t="s">
        <v>115</v>
      </c>
      <c r="P303" s="410" t="s">
        <v>115</v>
      </c>
      <c r="Q303" s="361"/>
      <c r="R303" s="409">
        <v>5000000</v>
      </c>
      <c r="S303" s="409">
        <v>96000000</v>
      </c>
      <c r="T303" s="361"/>
      <c r="U303" s="367">
        <v>44336</v>
      </c>
      <c r="V303" s="367">
        <v>44700</v>
      </c>
      <c r="W303" s="361" t="s">
        <v>250</v>
      </c>
      <c r="X303" s="361"/>
      <c r="Y303" s="361"/>
      <c r="Z303" s="361"/>
      <c r="AA303" s="361"/>
      <c r="AB303" s="361"/>
      <c r="AC303" s="159"/>
      <c r="AD303" s="368"/>
      <c r="AE303" s="364">
        <v>4500016133</v>
      </c>
      <c r="AF303" s="364"/>
      <c r="AG303" s="361"/>
      <c r="AH303" s="361"/>
      <c r="AI303" s="361"/>
      <c r="AJ303" s="361"/>
      <c r="AK303" s="361"/>
      <c r="AL303" s="361"/>
      <c r="AM303" s="361"/>
      <c r="AN303" s="361"/>
      <c r="AO303" s="361"/>
      <c r="AP303" s="361"/>
      <c r="AQ303" s="361"/>
      <c r="AR303" s="503"/>
      <c r="AS303" s="489"/>
      <c r="AT303" s="160"/>
      <c r="AU303" s="355"/>
    </row>
    <row r="304" spans="1:47" s="124" customFormat="1" ht="21.75" hidden="1" customHeight="1">
      <c r="A304" s="331">
        <v>303</v>
      </c>
      <c r="B304" s="361" t="s">
        <v>1423</v>
      </c>
      <c r="C304" s="361" t="s">
        <v>1434</v>
      </c>
      <c r="D304" s="435" t="s">
        <v>1424</v>
      </c>
      <c r="E304" s="361" t="str">
        <f t="shared" si="4"/>
        <v>LOSS</v>
      </c>
      <c r="F304" s="361"/>
      <c r="G304" s="361"/>
      <c r="H304" s="361" t="s">
        <v>327</v>
      </c>
      <c r="I304" s="361" t="s">
        <v>242</v>
      </c>
      <c r="J304" s="361" t="s">
        <v>1364</v>
      </c>
      <c r="K304" s="365"/>
      <c r="L304" s="361"/>
      <c r="M304" s="361"/>
      <c r="N304" s="361"/>
      <c r="O304" s="362">
        <v>10500000</v>
      </c>
      <c r="P304" s="409">
        <v>20500000</v>
      </c>
      <c r="Q304" s="361"/>
      <c r="R304" s="409">
        <v>12000000</v>
      </c>
      <c r="S304" s="409">
        <v>24000000</v>
      </c>
      <c r="T304" s="361"/>
      <c r="U304" s="367">
        <v>44349</v>
      </c>
      <c r="V304" s="367">
        <v>44713</v>
      </c>
      <c r="W304" s="361" t="s">
        <v>250</v>
      </c>
      <c r="X304" s="361"/>
      <c r="Y304" s="361"/>
      <c r="Z304" s="361"/>
      <c r="AA304" s="361"/>
      <c r="AB304" s="361"/>
      <c r="AC304" s="159"/>
      <c r="AD304" s="361" t="s">
        <v>1435</v>
      </c>
      <c r="AE304" s="364">
        <v>4500016293</v>
      </c>
      <c r="AF304" s="364"/>
      <c r="AG304" s="361"/>
      <c r="AH304" s="365"/>
      <c r="AI304" s="361"/>
      <c r="AJ304" s="361"/>
      <c r="AK304" s="361"/>
      <c r="AL304" s="361"/>
      <c r="AM304" s="361"/>
      <c r="AN304" s="361"/>
      <c r="AO304" s="361"/>
      <c r="AP304" s="361"/>
      <c r="AQ304" s="361"/>
      <c r="AR304" s="503"/>
      <c r="AS304" s="489"/>
      <c r="AT304" s="160"/>
      <c r="AU304" s="355"/>
    </row>
    <row r="305" spans="1:47" s="124" customFormat="1" ht="21.75" hidden="1" customHeight="1">
      <c r="A305" s="331">
        <v>304</v>
      </c>
      <c r="B305" s="28" t="s">
        <v>114</v>
      </c>
      <c r="C305" s="361" t="s">
        <v>1045</v>
      </c>
      <c r="D305" s="441"/>
      <c r="E305" s="361" t="str">
        <f t="shared" si="4"/>
        <v>LOSS</v>
      </c>
      <c r="F305" s="361"/>
      <c r="G305" s="361"/>
      <c r="H305" s="361" t="s">
        <v>327</v>
      </c>
      <c r="I305" s="361" t="s">
        <v>242</v>
      </c>
      <c r="J305" s="361"/>
      <c r="K305" s="365"/>
      <c r="L305" s="361"/>
      <c r="M305" s="361"/>
      <c r="N305" s="361"/>
      <c r="O305" s="369" t="s">
        <v>115</v>
      </c>
      <c r="P305" s="410" t="s">
        <v>115</v>
      </c>
      <c r="Q305" s="361"/>
      <c r="R305" s="410" t="s">
        <v>115</v>
      </c>
      <c r="S305" s="409">
        <v>1164000000</v>
      </c>
      <c r="T305" s="361"/>
      <c r="U305" s="367">
        <v>44287</v>
      </c>
      <c r="V305" s="367">
        <v>44651</v>
      </c>
      <c r="W305" s="361" t="s">
        <v>250</v>
      </c>
      <c r="X305" s="361"/>
      <c r="Y305" s="361"/>
      <c r="Z305" s="361"/>
      <c r="AA305" s="361"/>
      <c r="AB305" s="361"/>
      <c r="AC305" s="159"/>
      <c r="AD305" s="361" t="s">
        <v>1436</v>
      </c>
      <c r="AE305" s="364">
        <v>4500016114</v>
      </c>
      <c r="AF305" s="364"/>
      <c r="AG305" s="361"/>
      <c r="AH305" s="365"/>
      <c r="AI305" s="361"/>
      <c r="AJ305" s="361"/>
      <c r="AK305" s="361"/>
      <c r="AL305" s="361"/>
      <c r="AM305" s="361"/>
      <c r="AN305" s="361"/>
      <c r="AO305" s="361"/>
      <c r="AP305" s="361"/>
      <c r="AQ305" s="361"/>
      <c r="AR305" s="503"/>
      <c r="AS305" s="489"/>
      <c r="AT305" s="160"/>
      <c r="AU305" s="355"/>
    </row>
    <row r="306" spans="1:47" s="124" customFormat="1" ht="21.75" hidden="1" customHeight="1">
      <c r="A306" s="331">
        <v>305</v>
      </c>
      <c r="B306" s="361" t="s">
        <v>71</v>
      </c>
      <c r="C306" s="361" t="s">
        <v>684</v>
      </c>
      <c r="D306" s="435" t="s">
        <v>850</v>
      </c>
      <c r="E306" s="361" t="str">
        <f t="shared" si="4"/>
        <v>LOSS</v>
      </c>
      <c r="F306" s="361"/>
      <c r="G306" s="361"/>
      <c r="H306" s="361" t="s">
        <v>327</v>
      </c>
      <c r="I306" s="361" t="s">
        <v>242</v>
      </c>
      <c r="J306" s="361" t="s">
        <v>1437</v>
      </c>
      <c r="K306" s="365"/>
      <c r="L306" s="361"/>
      <c r="M306" s="361"/>
      <c r="N306" s="361"/>
      <c r="O306" s="369" t="s">
        <v>115</v>
      </c>
      <c r="P306" s="409">
        <v>72000000</v>
      </c>
      <c r="Q306" s="361"/>
      <c r="R306" s="410" t="s">
        <v>115</v>
      </c>
      <c r="S306" s="409">
        <v>18000000</v>
      </c>
      <c r="T306" s="361"/>
      <c r="U306" s="367">
        <v>44264</v>
      </c>
      <c r="V306" s="367">
        <v>44628</v>
      </c>
      <c r="W306" s="361" t="s">
        <v>250</v>
      </c>
      <c r="X306" s="361"/>
      <c r="Y306" s="361"/>
      <c r="Z306" s="361"/>
      <c r="AA306" s="361"/>
      <c r="AB306" s="361"/>
      <c r="AC306" s="159"/>
      <c r="AD306" s="361" t="s">
        <v>1438</v>
      </c>
      <c r="AE306" s="364">
        <v>4500015871</v>
      </c>
      <c r="AF306" s="364"/>
      <c r="AG306" s="361"/>
      <c r="AH306" s="365"/>
      <c r="AI306" s="361"/>
      <c r="AJ306" s="361"/>
      <c r="AK306" s="361"/>
      <c r="AL306" s="361"/>
      <c r="AM306" s="361"/>
      <c r="AN306" s="361"/>
      <c r="AO306" s="361"/>
      <c r="AP306" s="361"/>
      <c r="AQ306" s="361"/>
      <c r="AR306" s="503"/>
      <c r="AS306" s="489"/>
      <c r="AT306" s="160"/>
      <c r="AU306" s="355"/>
    </row>
    <row r="307" spans="1:47" s="124" customFormat="1" ht="21.75" hidden="1" customHeight="1">
      <c r="A307" s="331">
        <v>306</v>
      </c>
      <c r="B307" s="361" t="s">
        <v>71</v>
      </c>
      <c r="C307" s="361" t="s">
        <v>596</v>
      </c>
      <c r="D307" s="436" t="s">
        <v>850</v>
      </c>
      <c r="E307" s="361" t="str">
        <f t="shared" si="4"/>
        <v>LOSS</v>
      </c>
      <c r="F307" s="361"/>
      <c r="G307" s="361"/>
      <c r="H307" s="361" t="s">
        <v>327</v>
      </c>
      <c r="I307" s="361" t="s">
        <v>242</v>
      </c>
      <c r="J307" s="361" t="s">
        <v>1439</v>
      </c>
      <c r="K307" s="365"/>
      <c r="L307" s="361"/>
      <c r="M307" s="361"/>
      <c r="N307" s="361"/>
      <c r="O307" s="369" t="s">
        <v>115</v>
      </c>
      <c r="P307" s="410">
        <v>70800000</v>
      </c>
      <c r="Q307" s="361"/>
      <c r="R307" s="410" t="s">
        <v>115</v>
      </c>
      <c r="S307" s="409">
        <v>18000000</v>
      </c>
      <c r="T307" s="361"/>
      <c r="U307" s="367">
        <v>44278</v>
      </c>
      <c r="V307" s="367">
        <v>44642</v>
      </c>
      <c r="W307" s="361" t="s">
        <v>250</v>
      </c>
      <c r="X307" s="361"/>
      <c r="Y307" s="361"/>
      <c r="Z307" s="361"/>
      <c r="AA307" s="361"/>
      <c r="AB307" s="361"/>
      <c r="AC307" s="159"/>
      <c r="AD307" s="361" t="s">
        <v>1440</v>
      </c>
      <c r="AE307" s="364">
        <v>4500015880</v>
      </c>
      <c r="AF307" s="364"/>
      <c r="AG307" s="361"/>
      <c r="AH307" s="365"/>
      <c r="AI307" s="361"/>
      <c r="AJ307" s="361"/>
      <c r="AK307" s="361"/>
      <c r="AL307" s="361"/>
      <c r="AM307" s="361"/>
      <c r="AN307" s="361"/>
      <c r="AO307" s="361"/>
      <c r="AP307" s="361"/>
      <c r="AQ307" s="361"/>
      <c r="AR307" s="503"/>
      <c r="AS307" s="489"/>
      <c r="AT307" s="160"/>
      <c r="AU307" s="355"/>
    </row>
    <row r="308" spans="1:47" s="124" customFormat="1" ht="21.75" hidden="1" customHeight="1">
      <c r="A308" s="331">
        <v>307</v>
      </c>
      <c r="B308" s="361" t="s">
        <v>1385</v>
      </c>
      <c r="C308" s="361" t="s">
        <v>1441</v>
      </c>
      <c r="D308" s="435" t="s">
        <v>1398</v>
      </c>
      <c r="E308" s="361" t="str">
        <f t="shared" si="4"/>
        <v>LOSS</v>
      </c>
      <c r="F308" s="361"/>
      <c r="G308" s="361"/>
      <c r="H308" s="361" t="s">
        <v>327</v>
      </c>
      <c r="I308" s="160" t="s">
        <v>346</v>
      </c>
      <c r="J308" s="361" t="s">
        <v>1442</v>
      </c>
      <c r="K308" s="365"/>
      <c r="L308" s="361"/>
      <c r="M308" s="361"/>
      <c r="N308" s="361"/>
      <c r="O308" s="369" t="s">
        <v>115</v>
      </c>
      <c r="P308" s="409">
        <v>103154352</v>
      </c>
      <c r="Q308" s="361"/>
      <c r="R308" s="410" t="s">
        <v>115</v>
      </c>
      <c r="S308" s="409">
        <v>25520000</v>
      </c>
      <c r="T308" s="361"/>
      <c r="U308" s="367">
        <v>44291</v>
      </c>
      <c r="V308" s="367">
        <v>44655</v>
      </c>
      <c r="W308" s="361" t="s">
        <v>250</v>
      </c>
      <c r="X308" s="361"/>
      <c r="Y308" s="361"/>
      <c r="Z308" s="361"/>
      <c r="AA308" s="361"/>
      <c r="AB308" s="361"/>
      <c r="AC308" s="159"/>
      <c r="AD308" s="361" t="s">
        <v>1443</v>
      </c>
      <c r="AE308" s="364">
        <v>4500016070</v>
      </c>
      <c r="AF308" s="364"/>
      <c r="AG308" s="361"/>
      <c r="AH308" s="365"/>
      <c r="AI308" s="361"/>
      <c r="AJ308" s="361"/>
      <c r="AK308" s="361"/>
      <c r="AL308" s="361"/>
      <c r="AM308" s="361"/>
      <c r="AN308" s="361"/>
      <c r="AO308" s="361"/>
      <c r="AP308" s="361"/>
      <c r="AQ308" s="361"/>
      <c r="AR308" s="503"/>
      <c r="AS308" s="489"/>
      <c r="AT308" s="160"/>
      <c r="AU308" s="355"/>
    </row>
    <row r="309" spans="1:47" s="124" customFormat="1" ht="21.75" hidden="1" customHeight="1">
      <c r="A309" s="331">
        <v>308</v>
      </c>
      <c r="B309" s="361" t="s">
        <v>1444</v>
      </c>
      <c r="C309" s="361" t="s">
        <v>1445</v>
      </c>
      <c r="D309" s="436" t="s">
        <v>1381</v>
      </c>
      <c r="E309" s="361" t="str">
        <f t="shared" si="4"/>
        <v>LOSS</v>
      </c>
      <c r="F309" s="361"/>
      <c r="G309" s="361"/>
      <c r="H309" s="28" t="s">
        <v>261</v>
      </c>
      <c r="I309" s="361" t="s">
        <v>243</v>
      </c>
      <c r="J309" s="361" t="s">
        <v>1446</v>
      </c>
      <c r="K309" s="361"/>
      <c r="L309" s="361"/>
      <c r="M309" s="361"/>
      <c r="N309" s="361"/>
      <c r="O309" s="362">
        <v>6500000</v>
      </c>
      <c r="P309" s="409">
        <v>7700000</v>
      </c>
      <c r="Q309" s="361"/>
      <c r="R309" s="410" t="s">
        <v>115</v>
      </c>
      <c r="S309" s="409">
        <v>48000000</v>
      </c>
      <c r="T309" s="361"/>
      <c r="U309" s="367">
        <v>44219</v>
      </c>
      <c r="V309" s="367">
        <v>44583</v>
      </c>
      <c r="W309" s="361" t="s">
        <v>250</v>
      </c>
      <c r="X309" s="361"/>
      <c r="Y309" s="361"/>
      <c r="Z309" s="361"/>
      <c r="AA309" s="361"/>
      <c r="AB309" s="361"/>
      <c r="AC309" s="159"/>
      <c r="AD309" s="368"/>
      <c r="AE309" s="364">
        <v>4500015815</v>
      </c>
      <c r="AF309" s="364"/>
      <c r="AG309" s="361"/>
      <c r="AH309" s="361"/>
      <c r="AI309" s="361"/>
      <c r="AJ309" s="361"/>
      <c r="AK309" s="361"/>
      <c r="AL309" s="361"/>
      <c r="AM309" s="361"/>
      <c r="AN309" s="361"/>
      <c r="AO309" s="361"/>
      <c r="AP309" s="361"/>
      <c r="AQ309" s="361"/>
      <c r="AR309" s="503"/>
      <c r="AS309" s="489"/>
      <c r="AT309" s="160"/>
      <c r="AU309" s="355"/>
    </row>
    <row r="310" spans="1:47" s="124" customFormat="1" ht="21.75" hidden="1" customHeight="1">
      <c r="A310" s="331">
        <v>309</v>
      </c>
      <c r="B310" s="361" t="s">
        <v>71</v>
      </c>
      <c r="C310" s="361" t="s">
        <v>1363</v>
      </c>
      <c r="D310" s="435" t="s">
        <v>850</v>
      </c>
      <c r="E310" s="361" t="str">
        <f t="shared" si="4"/>
        <v>LOSS</v>
      </c>
      <c r="F310" s="361"/>
      <c r="G310" s="361"/>
      <c r="H310" s="361" t="s">
        <v>327</v>
      </c>
      <c r="I310" s="361" t="s">
        <v>242</v>
      </c>
      <c r="J310" s="361" t="s">
        <v>1447</v>
      </c>
      <c r="K310" s="365"/>
      <c r="L310" s="361"/>
      <c r="M310" s="361"/>
      <c r="N310" s="361"/>
      <c r="O310" s="362">
        <v>10500000</v>
      </c>
      <c r="P310" s="409">
        <v>246000000</v>
      </c>
      <c r="Q310" s="361"/>
      <c r="R310" s="409">
        <v>1500000</v>
      </c>
      <c r="S310" s="409">
        <v>18000000</v>
      </c>
      <c r="T310" s="361"/>
      <c r="U310" s="367">
        <v>44336</v>
      </c>
      <c r="V310" s="367">
        <v>44700</v>
      </c>
      <c r="W310" s="361" t="s">
        <v>250</v>
      </c>
      <c r="X310" s="361"/>
      <c r="Y310" s="361"/>
      <c r="Z310" s="361"/>
      <c r="AA310" s="361"/>
      <c r="AB310" s="361"/>
      <c r="AC310" s="159"/>
      <c r="AD310" s="361" t="s">
        <v>1448</v>
      </c>
      <c r="AE310" s="364">
        <v>4500016201</v>
      </c>
      <c r="AF310" s="364"/>
      <c r="AG310" s="361"/>
      <c r="AH310" s="365"/>
      <c r="AI310" s="361"/>
      <c r="AJ310" s="361"/>
      <c r="AK310" s="361"/>
      <c r="AL310" s="361"/>
      <c r="AM310" s="361"/>
      <c r="AN310" s="361"/>
      <c r="AO310" s="361"/>
      <c r="AP310" s="361"/>
      <c r="AQ310" s="361"/>
      <c r="AR310" s="503"/>
      <c r="AS310" s="489"/>
      <c r="AT310" s="160"/>
      <c r="AU310" s="355"/>
    </row>
    <row r="311" spans="1:47" s="124" customFormat="1" ht="21.75" hidden="1" customHeight="1">
      <c r="A311" s="331">
        <v>310</v>
      </c>
      <c r="B311" s="361" t="s">
        <v>1449</v>
      </c>
      <c r="C311" s="361" t="s">
        <v>1450</v>
      </c>
      <c r="D311" s="436" t="s">
        <v>1451</v>
      </c>
      <c r="E311" s="361" t="str">
        <f t="shared" si="4"/>
        <v>LOSS</v>
      </c>
      <c r="F311" s="361"/>
      <c r="G311" s="361"/>
      <c r="H311" s="361" t="s">
        <v>327</v>
      </c>
      <c r="I311" s="160" t="s">
        <v>346</v>
      </c>
      <c r="J311" s="361" t="s">
        <v>113</v>
      </c>
      <c r="K311" s="365"/>
      <c r="L311" s="361"/>
      <c r="M311" s="361"/>
      <c r="N311" s="361"/>
      <c r="O311" s="362">
        <v>3000000</v>
      </c>
      <c r="P311" s="409">
        <v>80400000</v>
      </c>
      <c r="Q311" s="361"/>
      <c r="R311" s="410" t="s">
        <v>115</v>
      </c>
      <c r="S311" s="409">
        <v>8500000</v>
      </c>
      <c r="T311" s="361"/>
      <c r="U311" s="348">
        <v>44228</v>
      </c>
      <c r="V311" s="348">
        <v>44620</v>
      </c>
      <c r="W311" s="361" t="s">
        <v>250</v>
      </c>
      <c r="X311" s="361"/>
      <c r="Y311" s="361"/>
      <c r="Z311" s="361"/>
      <c r="AA311" s="361"/>
      <c r="AB311" s="361"/>
      <c r="AC311" s="159"/>
      <c r="AD311" s="361" t="s">
        <v>1452</v>
      </c>
      <c r="AE311" s="364">
        <v>4500016197</v>
      </c>
      <c r="AF311" s="364"/>
      <c r="AG311" s="361"/>
      <c r="AH311" s="365"/>
      <c r="AI311" s="361"/>
      <c r="AJ311" s="361"/>
      <c r="AK311" s="361"/>
      <c r="AL311" s="361"/>
      <c r="AM311" s="361"/>
      <c r="AN311" s="361"/>
      <c r="AO311" s="361"/>
      <c r="AP311" s="361"/>
      <c r="AQ311" s="361"/>
      <c r="AR311" s="503"/>
      <c r="AS311" s="489"/>
      <c r="AT311" s="160"/>
      <c r="AU311" s="355"/>
    </row>
    <row r="312" spans="1:47" s="124" customFormat="1" ht="21.75" hidden="1" customHeight="1">
      <c r="A312" s="331">
        <v>311</v>
      </c>
      <c r="B312" s="28" t="s">
        <v>179</v>
      </c>
      <c r="C312" s="361" t="s">
        <v>1453</v>
      </c>
      <c r="D312" s="435" t="s">
        <v>1391</v>
      </c>
      <c r="E312" s="361" t="str">
        <f t="shared" si="4"/>
        <v>LOSS</v>
      </c>
      <c r="F312" s="361"/>
      <c r="G312" s="361"/>
      <c r="H312" s="361" t="s">
        <v>327</v>
      </c>
      <c r="I312" s="361" t="s">
        <v>242</v>
      </c>
      <c r="J312" s="361"/>
      <c r="K312" s="365"/>
      <c r="L312" s="361"/>
      <c r="M312" s="361"/>
      <c r="N312" s="361"/>
      <c r="O312" s="369" t="s">
        <v>115</v>
      </c>
      <c r="P312" s="410" t="s">
        <v>115</v>
      </c>
      <c r="Q312" s="361"/>
      <c r="R312" s="410" t="s">
        <v>115</v>
      </c>
      <c r="S312" s="409">
        <v>39000000</v>
      </c>
      <c r="T312" s="361"/>
      <c r="U312" s="367">
        <v>44329</v>
      </c>
      <c r="V312" s="367">
        <v>44693</v>
      </c>
      <c r="W312" s="361" t="s">
        <v>250</v>
      </c>
      <c r="X312" s="361"/>
      <c r="Y312" s="361"/>
      <c r="Z312" s="361"/>
      <c r="AA312" s="361"/>
      <c r="AB312" s="361"/>
      <c r="AC312" s="159"/>
      <c r="AD312" s="361" t="s">
        <v>1454</v>
      </c>
      <c r="AE312" s="364">
        <v>4500016167</v>
      </c>
      <c r="AF312" s="364"/>
      <c r="AG312" s="361"/>
      <c r="AH312" s="365"/>
      <c r="AI312" s="361"/>
      <c r="AJ312" s="361"/>
      <c r="AK312" s="361"/>
      <c r="AL312" s="361"/>
      <c r="AM312" s="361"/>
      <c r="AN312" s="361"/>
      <c r="AO312" s="361"/>
      <c r="AP312" s="361"/>
      <c r="AQ312" s="361"/>
      <c r="AR312" s="503"/>
      <c r="AS312" s="489"/>
      <c r="AT312" s="160"/>
      <c r="AU312" s="355"/>
    </row>
    <row r="313" spans="1:47" s="124" customFormat="1" ht="21.75" hidden="1" customHeight="1">
      <c r="A313" s="331">
        <v>312</v>
      </c>
      <c r="B313" s="361" t="s">
        <v>450</v>
      </c>
      <c r="C313" s="361" t="s">
        <v>1455</v>
      </c>
      <c r="D313" s="436" t="s">
        <v>1410</v>
      </c>
      <c r="E313" s="361" t="str">
        <f t="shared" si="4"/>
        <v>LOSS</v>
      </c>
      <c r="F313" s="361"/>
      <c r="G313" s="361"/>
      <c r="H313" s="361" t="s">
        <v>327</v>
      </c>
      <c r="I313" s="361" t="s">
        <v>242</v>
      </c>
      <c r="J313" s="361" t="s">
        <v>1456</v>
      </c>
      <c r="K313" s="365"/>
      <c r="L313" s="361"/>
      <c r="M313" s="361"/>
      <c r="N313" s="361"/>
      <c r="O313" s="369" t="s">
        <v>115</v>
      </c>
      <c r="P313" s="410" t="s">
        <v>115</v>
      </c>
      <c r="Q313" s="361"/>
      <c r="R313" s="410" t="s">
        <v>115</v>
      </c>
      <c r="S313" s="409">
        <v>2500000</v>
      </c>
      <c r="T313" s="361"/>
      <c r="U313" s="367">
        <v>44289</v>
      </c>
      <c r="V313" s="367">
        <v>44653</v>
      </c>
      <c r="W313" s="361" t="s">
        <v>250</v>
      </c>
      <c r="X313" s="361"/>
      <c r="Y313" s="361"/>
      <c r="Z313" s="361"/>
      <c r="AA313" s="361"/>
      <c r="AB313" s="361"/>
      <c r="AC313" s="159"/>
      <c r="AD313" s="361" t="s">
        <v>1457</v>
      </c>
      <c r="AE313" s="364">
        <v>4500016185</v>
      </c>
      <c r="AF313" s="364"/>
      <c r="AG313" s="361"/>
      <c r="AH313" s="365"/>
      <c r="AI313" s="361"/>
      <c r="AJ313" s="361"/>
      <c r="AK313" s="361"/>
      <c r="AL313" s="361"/>
      <c r="AM313" s="361"/>
      <c r="AN313" s="361"/>
      <c r="AO313" s="361"/>
      <c r="AP313" s="361"/>
      <c r="AQ313" s="361"/>
      <c r="AR313" s="503"/>
      <c r="AS313" s="489"/>
      <c r="AT313" s="160"/>
      <c r="AU313" s="355"/>
    </row>
    <row r="314" spans="1:47" s="124" customFormat="1" ht="21.75" hidden="1" customHeight="1">
      <c r="A314" s="331">
        <v>313</v>
      </c>
      <c r="B314" s="361" t="s">
        <v>37</v>
      </c>
      <c r="C314" s="361" t="s">
        <v>1458</v>
      </c>
      <c r="D314" s="435" t="s">
        <v>1459</v>
      </c>
      <c r="E314" s="361" t="str">
        <f t="shared" si="4"/>
        <v>LOSS</v>
      </c>
      <c r="F314" s="361"/>
      <c r="G314" s="361"/>
      <c r="H314" s="28" t="s">
        <v>261</v>
      </c>
      <c r="I314" s="361" t="s">
        <v>243</v>
      </c>
      <c r="J314" s="361" t="s">
        <v>1460</v>
      </c>
      <c r="K314" s="361"/>
      <c r="L314" s="361"/>
      <c r="M314" s="361"/>
      <c r="N314" s="361"/>
      <c r="O314" s="374" t="s">
        <v>115</v>
      </c>
      <c r="P314" s="361">
        <v>372000000</v>
      </c>
      <c r="Q314" s="361"/>
      <c r="R314" s="376" t="s">
        <v>115</v>
      </c>
      <c r="S314" s="361">
        <v>196560000</v>
      </c>
      <c r="T314" s="361"/>
      <c r="U314" s="367">
        <v>44520</v>
      </c>
      <c r="V314" s="367">
        <v>44884</v>
      </c>
      <c r="W314" s="361" t="s">
        <v>250</v>
      </c>
      <c r="X314" s="361"/>
      <c r="Y314" s="361"/>
      <c r="Z314" s="361"/>
      <c r="AA314" s="361"/>
      <c r="AB314" s="361"/>
      <c r="AC314" s="159"/>
      <c r="AD314" s="361" t="s">
        <v>1461</v>
      </c>
      <c r="AE314" s="364">
        <v>4500017665</v>
      </c>
      <c r="AF314" s="364"/>
      <c r="AG314" s="361"/>
      <c r="AH314" s="361"/>
      <c r="AI314" s="361"/>
      <c r="AJ314" s="361"/>
      <c r="AK314" s="361"/>
      <c r="AL314" s="361"/>
      <c r="AM314" s="361"/>
      <c r="AN314" s="361"/>
      <c r="AO314" s="361"/>
      <c r="AP314" s="361"/>
      <c r="AQ314" s="361"/>
      <c r="AR314" s="503"/>
      <c r="AS314" s="489"/>
      <c r="AT314" s="160"/>
      <c r="AU314" s="355"/>
    </row>
    <row r="315" spans="1:47" s="124" customFormat="1" ht="21.75" hidden="1" customHeight="1">
      <c r="A315" s="331">
        <v>314</v>
      </c>
      <c r="B315" s="361" t="s">
        <v>1462</v>
      </c>
      <c r="C315" s="361" t="s">
        <v>1463</v>
      </c>
      <c r="D315" s="436" t="s">
        <v>1464</v>
      </c>
      <c r="E315" s="361" t="str">
        <f t="shared" si="4"/>
        <v>LOSS</v>
      </c>
      <c r="F315" s="361"/>
      <c r="G315" s="361"/>
      <c r="H315" s="28" t="s">
        <v>261</v>
      </c>
      <c r="I315" s="361" t="s">
        <v>243</v>
      </c>
      <c r="J315" s="361" t="s">
        <v>1465</v>
      </c>
      <c r="K315" s="361"/>
      <c r="L315" s="361"/>
      <c r="M315" s="361"/>
      <c r="N315" s="361"/>
      <c r="O315" s="374" t="s">
        <v>115</v>
      </c>
      <c r="P315" s="361">
        <v>15600000</v>
      </c>
      <c r="Q315" s="361"/>
      <c r="R315" s="376" t="s">
        <v>115</v>
      </c>
      <c r="S315" s="361">
        <v>42000000</v>
      </c>
      <c r="T315" s="361"/>
      <c r="U315" s="367">
        <v>44501</v>
      </c>
      <c r="V315" s="367">
        <v>44865</v>
      </c>
      <c r="W315" s="361" t="s">
        <v>250</v>
      </c>
      <c r="X315" s="361"/>
      <c r="Y315" s="361"/>
      <c r="Z315" s="361"/>
      <c r="AA315" s="361"/>
      <c r="AB315" s="361"/>
      <c r="AC315" s="159"/>
      <c r="AD315" s="368"/>
      <c r="AE315" s="364">
        <v>4500017612</v>
      </c>
      <c r="AF315" s="364"/>
      <c r="AG315" s="361"/>
      <c r="AH315" s="361"/>
      <c r="AI315" s="361"/>
      <c r="AJ315" s="361"/>
      <c r="AK315" s="361"/>
      <c r="AL315" s="361"/>
      <c r="AM315" s="361"/>
      <c r="AN315" s="361"/>
      <c r="AO315" s="361"/>
      <c r="AP315" s="361"/>
      <c r="AQ315" s="361"/>
      <c r="AR315" s="503"/>
      <c r="AS315" s="489"/>
      <c r="AT315" s="160"/>
      <c r="AU315" s="355"/>
    </row>
    <row r="316" spans="1:47" s="124" customFormat="1" ht="21.75" hidden="1" customHeight="1">
      <c r="A316" s="331">
        <v>315</v>
      </c>
      <c r="B316" s="361" t="s">
        <v>1466</v>
      </c>
      <c r="C316" s="361" t="s">
        <v>1467</v>
      </c>
      <c r="D316" s="435" t="s">
        <v>1468</v>
      </c>
      <c r="E316" s="361" t="str">
        <f t="shared" si="4"/>
        <v>LOSS</v>
      </c>
      <c r="F316" s="361"/>
      <c r="G316" s="361"/>
      <c r="H316" s="361" t="s">
        <v>327</v>
      </c>
      <c r="I316" s="160" t="s">
        <v>346</v>
      </c>
      <c r="J316" s="361" t="s">
        <v>1469</v>
      </c>
      <c r="K316" s="365"/>
      <c r="L316" s="361"/>
      <c r="M316" s="361"/>
      <c r="N316" s="361"/>
      <c r="O316" s="374" t="s">
        <v>115</v>
      </c>
      <c r="P316" s="361">
        <v>113479200</v>
      </c>
      <c r="Q316" s="361"/>
      <c r="R316" s="376" t="s">
        <v>115</v>
      </c>
      <c r="S316" s="361">
        <v>23224051</v>
      </c>
      <c r="T316" s="361"/>
      <c r="U316" s="367">
        <v>44409</v>
      </c>
      <c r="V316" s="367">
        <v>44773</v>
      </c>
      <c r="W316" s="361" t="s">
        <v>250</v>
      </c>
      <c r="X316" s="361"/>
      <c r="Y316" s="361"/>
      <c r="Z316" s="361"/>
      <c r="AA316" s="361"/>
      <c r="AB316" s="361"/>
      <c r="AC316" s="159"/>
      <c r="AD316" s="368"/>
      <c r="AE316" s="364">
        <v>4500016715</v>
      </c>
      <c r="AF316" s="364"/>
      <c r="AG316" s="361"/>
      <c r="AH316" s="365"/>
      <c r="AI316" s="361"/>
      <c r="AJ316" s="361"/>
      <c r="AK316" s="361"/>
      <c r="AL316" s="361"/>
      <c r="AM316" s="361"/>
      <c r="AN316" s="361"/>
      <c r="AO316" s="361"/>
      <c r="AP316" s="361"/>
      <c r="AQ316" s="361"/>
      <c r="AR316" s="503"/>
      <c r="AS316" s="489"/>
      <c r="AT316" s="160"/>
      <c r="AU316" s="355"/>
    </row>
    <row r="317" spans="1:47" s="124" customFormat="1" ht="21.75" hidden="1" customHeight="1">
      <c r="A317" s="331">
        <v>316</v>
      </c>
      <c r="B317" s="361" t="s">
        <v>664</v>
      </c>
      <c r="C317" s="361" t="s">
        <v>1470</v>
      </c>
      <c r="D317" s="436" t="s">
        <v>1471</v>
      </c>
      <c r="E317" s="361" t="str">
        <f t="shared" si="4"/>
        <v>LOSS</v>
      </c>
      <c r="F317" s="361"/>
      <c r="G317" s="361"/>
      <c r="H317" s="28" t="s">
        <v>261</v>
      </c>
      <c r="I317" s="361" t="s">
        <v>243</v>
      </c>
      <c r="J317" s="361" t="s">
        <v>1472</v>
      </c>
      <c r="K317" s="361"/>
      <c r="L317" s="361"/>
      <c r="M317" s="361"/>
      <c r="N317" s="361"/>
      <c r="O317" s="374" t="s">
        <v>115</v>
      </c>
      <c r="P317" s="361">
        <v>85200000</v>
      </c>
      <c r="Q317" s="361"/>
      <c r="R317" s="376" t="s">
        <v>115</v>
      </c>
      <c r="S317" s="361">
        <v>18000000</v>
      </c>
      <c r="T317" s="361"/>
      <c r="U317" s="367">
        <v>44454</v>
      </c>
      <c r="V317" s="367">
        <v>44818</v>
      </c>
      <c r="W317" s="361" t="s">
        <v>250</v>
      </c>
      <c r="X317" s="361"/>
      <c r="Y317" s="361"/>
      <c r="Z317" s="361"/>
      <c r="AA317" s="361"/>
      <c r="AB317" s="361"/>
      <c r="AC317" s="159"/>
      <c r="AD317" s="368"/>
      <c r="AE317" s="364">
        <v>4500017606</v>
      </c>
      <c r="AF317" s="364"/>
      <c r="AG317" s="361"/>
      <c r="AH317" s="361"/>
      <c r="AI317" s="361"/>
      <c r="AJ317" s="361"/>
      <c r="AK317" s="361"/>
      <c r="AL317" s="361"/>
      <c r="AM317" s="361"/>
      <c r="AN317" s="361"/>
      <c r="AO317" s="361"/>
      <c r="AP317" s="361"/>
      <c r="AQ317" s="361"/>
      <c r="AR317" s="503"/>
      <c r="AS317" s="489"/>
      <c r="AT317" s="160"/>
      <c r="AU317" s="355"/>
    </row>
    <row r="318" spans="1:47" s="124" customFormat="1" ht="21.75" hidden="1" customHeight="1">
      <c r="A318" s="331">
        <v>317</v>
      </c>
      <c r="B318" s="361" t="s">
        <v>400</v>
      </c>
      <c r="C318" s="361" t="s">
        <v>1473</v>
      </c>
      <c r="D318" s="435" t="s">
        <v>1032</v>
      </c>
      <c r="E318" s="361" t="str">
        <f t="shared" si="4"/>
        <v>LOSS</v>
      </c>
      <c r="F318" s="361"/>
      <c r="G318" s="361"/>
      <c r="H318" s="361" t="s">
        <v>327</v>
      </c>
      <c r="I318" s="160" t="s">
        <v>346</v>
      </c>
      <c r="J318" s="361" t="s">
        <v>1474</v>
      </c>
      <c r="K318" s="365"/>
      <c r="L318" s="361"/>
      <c r="M318" s="361"/>
      <c r="N318" s="361"/>
      <c r="O318" s="374" t="s">
        <v>115</v>
      </c>
      <c r="P318" s="361">
        <v>2166000000</v>
      </c>
      <c r="Q318" s="361"/>
      <c r="R318" s="376" t="s">
        <v>115</v>
      </c>
      <c r="S318" s="361">
        <v>35000000</v>
      </c>
      <c r="T318" s="361"/>
      <c r="U318" s="367">
        <v>44559</v>
      </c>
      <c r="V318" s="367">
        <v>44923</v>
      </c>
      <c r="W318" s="361" t="s">
        <v>250</v>
      </c>
      <c r="X318" s="361"/>
      <c r="Y318" s="361"/>
      <c r="Z318" s="361"/>
      <c r="AA318" s="361"/>
      <c r="AB318" s="361"/>
      <c r="AC318" s="159"/>
      <c r="AD318" s="368"/>
      <c r="AE318" s="364">
        <v>4500017568</v>
      </c>
      <c r="AF318" s="364"/>
      <c r="AG318" s="361"/>
      <c r="AH318" s="365"/>
      <c r="AI318" s="361"/>
      <c r="AJ318" s="361"/>
      <c r="AK318" s="361"/>
      <c r="AL318" s="361"/>
      <c r="AM318" s="361"/>
      <c r="AN318" s="361"/>
      <c r="AO318" s="361"/>
      <c r="AP318" s="361"/>
      <c r="AQ318" s="361"/>
      <c r="AR318" s="503"/>
      <c r="AS318" s="489"/>
      <c r="AT318" s="160"/>
      <c r="AU318" s="355"/>
    </row>
    <row r="319" spans="1:47" s="124" customFormat="1" ht="21.75" hidden="1" customHeight="1">
      <c r="A319" s="331">
        <v>318</v>
      </c>
      <c r="B319" s="361" t="s">
        <v>400</v>
      </c>
      <c r="C319" s="361" t="s">
        <v>1475</v>
      </c>
      <c r="D319" s="436" t="s">
        <v>1032</v>
      </c>
      <c r="E319" s="361" t="str">
        <f t="shared" si="4"/>
        <v>LOSS</v>
      </c>
      <c r="F319" s="361"/>
      <c r="G319" s="361"/>
      <c r="H319" s="361" t="s">
        <v>327</v>
      </c>
      <c r="I319" s="160" t="s">
        <v>346</v>
      </c>
      <c r="J319" s="361" t="s">
        <v>1476</v>
      </c>
      <c r="K319" s="365"/>
      <c r="L319" s="361"/>
      <c r="M319" s="361"/>
      <c r="N319" s="361"/>
      <c r="O319" s="374" t="s">
        <v>115</v>
      </c>
      <c r="P319" s="361">
        <v>28800000</v>
      </c>
      <c r="Q319" s="361"/>
      <c r="R319" s="376" t="s">
        <v>115</v>
      </c>
      <c r="S319" s="361">
        <v>7500000</v>
      </c>
      <c r="T319" s="361"/>
      <c r="U319" s="367">
        <v>44493</v>
      </c>
      <c r="V319" s="367">
        <v>44857</v>
      </c>
      <c r="W319" s="361" t="s">
        <v>250</v>
      </c>
      <c r="X319" s="361"/>
      <c r="Y319" s="361"/>
      <c r="Z319" s="361"/>
      <c r="AA319" s="361"/>
      <c r="AB319" s="361"/>
      <c r="AC319" s="159"/>
      <c r="AD319" s="368"/>
      <c r="AE319" s="364">
        <v>4500017513</v>
      </c>
      <c r="AF319" s="364"/>
      <c r="AG319" s="361"/>
      <c r="AH319" s="365"/>
      <c r="AI319" s="361"/>
      <c r="AJ319" s="361"/>
      <c r="AK319" s="361"/>
      <c r="AL319" s="361"/>
      <c r="AM319" s="361"/>
      <c r="AN319" s="361"/>
      <c r="AO319" s="361"/>
      <c r="AP319" s="361"/>
      <c r="AQ319" s="361"/>
      <c r="AR319" s="503"/>
      <c r="AS319" s="489"/>
      <c r="AT319" s="160"/>
      <c r="AU319" s="355"/>
    </row>
    <row r="320" spans="1:47" s="124" customFormat="1" ht="21.75" hidden="1" customHeight="1">
      <c r="A320" s="331">
        <v>319</v>
      </c>
      <c r="B320" s="361" t="s">
        <v>1353</v>
      </c>
      <c r="C320" s="361" t="s">
        <v>1477</v>
      </c>
      <c r="D320" s="435" t="s">
        <v>1478</v>
      </c>
      <c r="E320" s="361" t="str">
        <f t="shared" si="4"/>
        <v>LOSS</v>
      </c>
      <c r="F320" s="361"/>
      <c r="G320" s="361"/>
      <c r="H320" s="28" t="s">
        <v>261</v>
      </c>
      <c r="I320" s="361" t="s">
        <v>243</v>
      </c>
      <c r="J320" s="365">
        <v>1000120403</v>
      </c>
      <c r="K320" s="361"/>
      <c r="L320" s="361"/>
      <c r="M320" s="361"/>
      <c r="N320" s="361"/>
      <c r="O320" s="374" t="s">
        <v>115</v>
      </c>
      <c r="P320" s="361">
        <v>1443846000</v>
      </c>
      <c r="Q320" s="361"/>
      <c r="R320" s="376" t="s">
        <v>115</v>
      </c>
      <c r="S320" s="361">
        <v>393120000</v>
      </c>
      <c r="T320" s="361"/>
      <c r="U320" s="367">
        <v>44501</v>
      </c>
      <c r="V320" s="367">
        <v>44865</v>
      </c>
      <c r="W320" s="361" t="s">
        <v>250</v>
      </c>
      <c r="X320" s="361"/>
      <c r="Y320" s="361"/>
      <c r="Z320" s="361"/>
      <c r="AA320" s="361"/>
      <c r="AB320" s="361"/>
      <c r="AC320" s="159"/>
      <c r="AD320" s="361" t="s">
        <v>1479</v>
      </c>
      <c r="AE320" s="364">
        <v>4500017491</v>
      </c>
      <c r="AF320" s="364"/>
      <c r="AG320" s="160" t="s">
        <v>633</v>
      </c>
      <c r="AH320" s="174" t="s">
        <v>634</v>
      </c>
      <c r="AI320" s="361"/>
      <c r="AJ320" s="361"/>
      <c r="AK320" s="361"/>
      <c r="AL320" s="361"/>
      <c r="AM320" s="361"/>
      <c r="AN320" s="361"/>
      <c r="AO320" s="361"/>
      <c r="AP320" s="361"/>
      <c r="AQ320" s="361"/>
      <c r="AR320" s="503"/>
      <c r="AS320" s="489"/>
      <c r="AT320" s="160"/>
      <c r="AU320" s="355"/>
    </row>
    <row r="321" spans="1:47" s="124" customFormat="1" ht="21.75" hidden="1" customHeight="1">
      <c r="A321" s="331">
        <v>320</v>
      </c>
      <c r="B321" s="361" t="s">
        <v>1444</v>
      </c>
      <c r="C321" s="361" t="s">
        <v>1013</v>
      </c>
      <c r="D321" s="436" t="s">
        <v>1381</v>
      </c>
      <c r="E321" s="361" t="str">
        <f t="shared" si="4"/>
        <v>LOSS</v>
      </c>
      <c r="F321" s="361"/>
      <c r="G321" s="361"/>
      <c r="H321" s="28" t="s">
        <v>261</v>
      </c>
      <c r="I321" s="361" t="s">
        <v>243</v>
      </c>
      <c r="J321" s="361" t="s">
        <v>1480</v>
      </c>
      <c r="K321" s="361"/>
      <c r="L321" s="361"/>
      <c r="M321" s="361"/>
      <c r="N321" s="361"/>
      <c r="O321" s="374" t="s">
        <v>115</v>
      </c>
      <c r="P321" s="361">
        <v>101250000</v>
      </c>
      <c r="Q321" s="361"/>
      <c r="R321" s="376" t="s">
        <v>115</v>
      </c>
      <c r="S321" s="361">
        <v>82000000</v>
      </c>
      <c r="T321" s="361"/>
      <c r="U321" s="367">
        <v>44531</v>
      </c>
      <c r="V321" s="367">
        <v>44561</v>
      </c>
      <c r="W321" s="361" t="s">
        <v>250</v>
      </c>
      <c r="X321" s="361"/>
      <c r="Y321" s="361"/>
      <c r="Z321" s="361"/>
      <c r="AA321" s="361"/>
      <c r="AB321" s="361"/>
      <c r="AC321" s="159"/>
      <c r="AD321" s="361" t="s">
        <v>1481</v>
      </c>
      <c r="AE321" s="364">
        <v>4500017463</v>
      </c>
      <c r="AF321" s="364"/>
      <c r="AG321" s="361"/>
      <c r="AH321" s="361"/>
      <c r="AI321" s="361"/>
      <c r="AJ321" s="361"/>
      <c r="AK321" s="361"/>
      <c r="AL321" s="361"/>
      <c r="AM321" s="361"/>
      <c r="AN321" s="361"/>
      <c r="AO321" s="361"/>
      <c r="AP321" s="361"/>
      <c r="AQ321" s="361"/>
      <c r="AR321" s="503"/>
      <c r="AS321" s="489"/>
      <c r="AT321" s="160"/>
      <c r="AU321" s="355"/>
    </row>
    <row r="322" spans="1:47" s="124" customFormat="1" ht="21.75" hidden="1" customHeight="1">
      <c r="A322" s="331">
        <v>321</v>
      </c>
      <c r="B322" s="361" t="s">
        <v>1482</v>
      </c>
      <c r="C322" s="361" t="s">
        <v>1483</v>
      </c>
      <c r="D322" s="435" t="s">
        <v>1484</v>
      </c>
      <c r="E322" s="361" t="str">
        <f t="shared" ref="E322:E385" si="5">IF(Z322&lt;=0, "LOSS",IF(Z322&lt;=15, "CRITICAL",IF(Z322&lt;=30, "WARNING",IF(Z322&lt;60, "ATTENTION", "ON TRACK"))))</f>
        <v>LOSS</v>
      </c>
      <c r="F322" s="361"/>
      <c r="G322" s="361"/>
      <c r="H322" s="28" t="s">
        <v>261</v>
      </c>
      <c r="I322" s="361" t="s">
        <v>243</v>
      </c>
      <c r="J322" s="361" t="s">
        <v>1485</v>
      </c>
      <c r="K322" s="361"/>
      <c r="L322" s="361"/>
      <c r="M322" s="361"/>
      <c r="N322" s="361"/>
      <c r="O322" s="374" t="s">
        <v>115</v>
      </c>
      <c r="P322" s="361">
        <v>186000000</v>
      </c>
      <c r="Q322" s="361"/>
      <c r="R322" s="376" t="s">
        <v>115</v>
      </c>
      <c r="S322" s="361">
        <v>54000000</v>
      </c>
      <c r="T322" s="361"/>
      <c r="U322" s="367">
        <v>44501</v>
      </c>
      <c r="V322" s="367">
        <v>44865</v>
      </c>
      <c r="W322" s="361" t="s">
        <v>250</v>
      </c>
      <c r="X322" s="361"/>
      <c r="Y322" s="361"/>
      <c r="Z322" s="361"/>
      <c r="AA322" s="361"/>
      <c r="AB322" s="361"/>
      <c r="AC322" s="159"/>
      <c r="AD322" s="361" t="s">
        <v>1486</v>
      </c>
      <c r="AE322" s="364">
        <v>4500017316</v>
      </c>
      <c r="AF322" s="364"/>
      <c r="AG322" s="361"/>
      <c r="AH322" s="361"/>
      <c r="AI322" s="361"/>
      <c r="AJ322" s="361"/>
      <c r="AK322" s="361"/>
      <c r="AL322" s="361"/>
      <c r="AM322" s="361"/>
      <c r="AN322" s="361"/>
      <c r="AO322" s="361"/>
      <c r="AP322" s="361"/>
      <c r="AQ322" s="361"/>
      <c r="AR322" s="503"/>
      <c r="AS322" s="489"/>
      <c r="AT322" s="160"/>
      <c r="AU322" s="355"/>
    </row>
    <row r="323" spans="1:47" s="124" customFormat="1" ht="21.75" hidden="1" customHeight="1">
      <c r="A323" s="331">
        <v>322</v>
      </c>
      <c r="B323" s="361" t="s">
        <v>1487</v>
      </c>
      <c r="C323" s="361" t="s">
        <v>522</v>
      </c>
      <c r="D323" s="436" t="s">
        <v>1488</v>
      </c>
      <c r="E323" s="361" t="str">
        <f t="shared" si="5"/>
        <v>LOSS</v>
      </c>
      <c r="F323" s="361"/>
      <c r="G323" s="361"/>
      <c r="H323" s="361" t="s">
        <v>327</v>
      </c>
      <c r="I323" s="160" t="s">
        <v>346</v>
      </c>
      <c r="J323" s="361" t="s">
        <v>775</v>
      </c>
      <c r="K323" s="365"/>
      <c r="L323" s="361"/>
      <c r="M323" s="361"/>
      <c r="N323" s="361"/>
      <c r="O323" s="374" t="s">
        <v>115</v>
      </c>
      <c r="P323" s="361">
        <v>162000000</v>
      </c>
      <c r="Q323" s="361"/>
      <c r="R323" s="376" t="s">
        <v>115</v>
      </c>
      <c r="S323" s="361">
        <v>21900000</v>
      </c>
      <c r="T323" s="361"/>
      <c r="U323" s="367">
        <v>44523</v>
      </c>
      <c r="V323" s="367">
        <v>44887</v>
      </c>
      <c r="W323" s="361" t="s">
        <v>250</v>
      </c>
      <c r="X323" s="361"/>
      <c r="Y323" s="361"/>
      <c r="Z323" s="361"/>
      <c r="AA323" s="361"/>
      <c r="AB323" s="361"/>
      <c r="AC323" s="159"/>
      <c r="AD323" s="361" t="s">
        <v>1489</v>
      </c>
      <c r="AE323" s="364">
        <v>4500017416</v>
      </c>
      <c r="AF323" s="364"/>
      <c r="AG323" s="361"/>
      <c r="AH323" s="365"/>
      <c r="AI323" s="361"/>
      <c r="AJ323" s="361"/>
      <c r="AK323" s="361"/>
      <c r="AL323" s="361"/>
      <c r="AM323" s="361"/>
      <c r="AN323" s="361"/>
      <c r="AO323" s="361"/>
      <c r="AP323" s="361"/>
      <c r="AQ323" s="361"/>
      <c r="AR323" s="503"/>
      <c r="AS323" s="489"/>
      <c r="AT323" s="160"/>
      <c r="AU323" s="355"/>
    </row>
    <row r="324" spans="1:47" s="124" customFormat="1" ht="21.75" hidden="1" customHeight="1">
      <c r="A324" s="331">
        <v>323</v>
      </c>
      <c r="B324" s="361" t="s">
        <v>1490</v>
      </c>
      <c r="C324" s="361" t="s">
        <v>1491</v>
      </c>
      <c r="D324" s="435" t="s">
        <v>1492</v>
      </c>
      <c r="E324" s="361" t="str">
        <f t="shared" si="5"/>
        <v>LOSS</v>
      </c>
      <c r="F324" s="361"/>
      <c r="G324" s="361"/>
      <c r="H324" s="361" t="s">
        <v>327</v>
      </c>
      <c r="I324" s="160" t="s">
        <v>346</v>
      </c>
      <c r="J324" s="361" t="s">
        <v>1493</v>
      </c>
      <c r="K324" s="365"/>
      <c r="L324" s="361"/>
      <c r="M324" s="361"/>
      <c r="N324" s="361"/>
      <c r="O324" s="374" t="s">
        <v>115</v>
      </c>
      <c r="P324" s="361">
        <v>30000000</v>
      </c>
      <c r="Q324" s="361"/>
      <c r="R324" s="376" t="s">
        <v>115</v>
      </c>
      <c r="S324" s="361">
        <v>8000000</v>
      </c>
      <c r="T324" s="361"/>
      <c r="U324" s="367">
        <v>44501</v>
      </c>
      <c r="V324" s="367">
        <v>44926</v>
      </c>
      <c r="W324" s="361" t="s">
        <v>250</v>
      </c>
      <c r="X324" s="361"/>
      <c r="Y324" s="361"/>
      <c r="Z324" s="361"/>
      <c r="AA324" s="361"/>
      <c r="AB324" s="361"/>
      <c r="AC324" s="159"/>
      <c r="AD324" s="368"/>
      <c r="AE324" s="364">
        <v>4500017616</v>
      </c>
      <c r="AF324" s="364"/>
      <c r="AG324" s="361"/>
      <c r="AH324" s="365"/>
      <c r="AI324" s="361"/>
      <c r="AJ324" s="361"/>
      <c r="AK324" s="361"/>
      <c r="AL324" s="361"/>
      <c r="AM324" s="361"/>
      <c r="AN324" s="361"/>
      <c r="AO324" s="361"/>
      <c r="AP324" s="361"/>
      <c r="AQ324" s="361"/>
      <c r="AR324" s="503"/>
      <c r="AS324" s="489"/>
      <c r="AT324" s="160"/>
      <c r="AU324" s="355"/>
    </row>
    <row r="325" spans="1:47" s="124" customFormat="1" ht="21.75" hidden="1" customHeight="1">
      <c r="A325" s="331">
        <v>324</v>
      </c>
      <c r="B325" s="361" t="s">
        <v>1494</v>
      </c>
      <c r="C325" s="361" t="s">
        <v>1206</v>
      </c>
      <c r="D325" s="436" t="s">
        <v>909</v>
      </c>
      <c r="E325" s="361" t="str">
        <f t="shared" si="5"/>
        <v>LOSS</v>
      </c>
      <c r="F325" s="361"/>
      <c r="G325" s="361"/>
      <c r="H325" s="28" t="s">
        <v>261</v>
      </c>
      <c r="I325" s="361" t="s">
        <v>243</v>
      </c>
      <c r="J325" s="361" t="s">
        <v>1495</v>
      </c>
      <c r="K325" s="361"/>
      <c r="L325" s="361"/>
      <c r="M325" s="361"/>
      <c r="N325" s="361"/>
      <c r="O325" s="374" t="s">
        <v>115</v>
      </c>
      <c r="P325" s="361">
        <v>6442419</v>
      </c>
      <c r="Q325" s="361"/>
      <c r="R325" s="376" t="s">
        <v>115</v>
      </c>
      <c r="S325" s="361">
        <v>18270975</v>
      </c>
      <c r="T325" s="361"/>
      <c r="U325" s="367">
        <v>44546</v>
      </c>
      <c r="V325" s="367">
        <v>44661</v>
      </c>
      <c r="W325" s="361" t="s">
        <v>250</v>
      </c>
      <c r="X325" s="361"/>
      <c r="Y325" s="361"/>
      <c r="Z325" s="361"/>
      <c r="AA325" s="361"/>
      <c r="AB325" s="361"/>
      <c r="AC325" s="159"/>
      <c r="AD325" s="361" t="s">
        <v>1496</v>
      </c>
      <c r="AE325" s="364">
        <v>4500017860</v>
      </c>
      <c r="AF325" s="364"/>
      <c r="AG325" s="361"/>
      <c r="AH325" s="361"/>
      <c r="AI325" s="361"/>
      <c r="AJ325" s="361"/>
      <c r="AK325" s="361"/>
      <c r="AL325" s="361"/>
      <c r="AM325" s="361"/>
      <c r="AN325" s="361"/>
      <c r="AO325" s="361"/>
      <c r="AP325" s="361"/>
      <c r="AQ325" s="361"/>
      <c r="AR325" s="503"/>
      <c r="AS325" s="489"/>
      <c r="AT325" s="160"/>
      <c r="AU325" s="355"/>
    </row>
    <row r="326" spans="1:47" s="124" customFormat="1" ht="21.75" hidden="1" customHeight="1">
      <c r="A326" s="331">
        <v>325</v>
      </c>
      <c r="B326" s="361" t="s">
        <v>1423</v>
      </c>
      <c r="C326" s="361" t="s">
        <v>1497</v>
      </c>
      <c r="D326" s="435" t="s">
        <v>1424</v>
      </c>
      <c r="E326" s="361" t="str">
        <f t="shared" si="5"/>
        <v>LOSS</v>
      </c>
      <c r="F326" s="361"/>
      <c r="G326" s="361"/>
      <c r="H326" s="361" t="s">
        <v>327</v>
      </c>
      <c r="I326" s="361" t="s">
        <v>242</v>
      </c>
      <c r="J326" s="361" t="s">
        <v>1498</v>
      </c>
      <c r="K326" s="365"/>
      <c r="L326" s="361"/>
      <c r="M326" s="361"/>
      <c r="N326" s="361"/>
      <c r="O326" s="374" t="s">
        <v>115</v>
      </c>
      <c r="P326" s="361">
        <v>218400000</v>
      </c>
      <c r="Q326" s="361"/>
      <c r="R326" s="361">
        <v>9000000</v>
      </c>
      <c r="S326" s="361">
        <v>18000000</v>
      </c>
      <c r="T326" s="361"/>
      <c r="U326" s="367">
        <v>44455</v>
      </c>
      <c r="V326" s="367">
        <v>44819</v>
      </c>
      <c r="W326" s="361" t="s">
        <v>250</v>
      </c>
      <c r="X326" s="361"/>
      <c r="Y326" s="361"/>
      <c r="Z326" s="361"/>
      <c r="AA326" s="361"/>
      <c r="AB326" s="361"/>
      <c r="AC326" s="159"/>
      <c r="AD326" s="361" t="s">
        <v>1499</v>
      </c>
      <c r="AE326" s="364">
        <v>4500016820</v>
      </c>
      <c r="AF326" s="364"/>
      <c r="AG326" s="361"/>
      <c r="AH326" s="365"/>
      <c r="AI326" s="361"/>
      <c r="AJ326" s="361"/>
      <c r="AK326" s="361"/>
      <c r="AL326" s="361"/>
      <c r="AM326" s="361"/>
      <c r="AN326" s="361"/>
      <c r="AO326" s="361"/>
      <c r="AP326" s="361"/>
      <c r="AQ326" s="361"/>
      <c r="AR326" s="503"/>
      <c r="AS326" s="489"/>
      <c r="AT326" s="160"/>
      <c r="AU326" s="355"/>
    </row>
    <row r="327" spans="1:47" s="124" customFormat="1" ht="21.75" hidden="1" customHeight="1">
      <c r="A327" s="331">
        <v>326</v>
      </c>
      <c r="B327" s="361" t="s">
        <v>1500</v>
      </c>
      <c r="C327" s="361" t="s">
        <v>1501</v>
      </c>
      <c r="D327" s="436" t="s">
        <v>1502</v>
      </c>
      <c r="E327" s="361" t="str">
        <f t="shared" si="5"/>
        <v>LOSS</v>
      </c>
      <c r="F327" s="361"/>
      <c r="G327" s="361"/>
      <c r="H327" s="361" t="s">
        <v>327</v>
      </c>
      <c r="I327" s="361" t="s">
        <v>242</v>
      </c>
      <c r="J327" s="361" t="s">
        <v>1503</v>
      </c>
      <c r="K327" s="365"/>
      <c r="L327" s="361"/>
      <c r="M327" s="361"/>
      <c r="N327" s="361"/>
      <c r="O327" s="382">
        <v>1021200000</v>
      </c>
      <c r="P327" s="361">
        <v>5000000</v>
      </c>
      <c r="Q327" s="361"/>
      <c r="R327" s="376" t="s">
        <v>115</v>
      </c>
      <c r="S327" s="361">
        <v>145000000</v>
      </c>
      <c r="T327" s="361"/>
      <c r="U327" s="367">
        <v>44474</v>
      </c>
      <c r="V327" s="367">
        <v>44838</v>
      </c>
      <c r="W327" s="361" t="s">
        <v>250</v>
      </c>
      <c r="X327" s="361"/>
      <c r="Y327" s="361"/>
      <c r="Z327" s="361"/>
      <c r="AA327" s="361"/>
      <c r="AB327" s="361"/>
      <c r="AC327" s="159"/>
      <c r="AD327" s="361" t="s">
        <v>1504</v>
      </c>
      <c r="AE327" s="364">
        <v>4500016890</v>
      </c>
      <c r="AF327" s="364"/>
      <c r="AG327" s="361"/>
      <c r="AH327" s="365"/>
      <c r="AI327" s="361"/>
      <c r="AJ327" s="361"/>
      <c r="AK327" s="361"/>
      <c r="AL327" s="361"/>
      <c r="AM327" s="361"/>
      <c r="AN327" s="361"/>
      <c r="AO327" s="361"/>
      <c r="AP327" s="361"/>
      <c r="AQ327" s="361"/>
      <c r="AR327" s="503"/>
      <c r="AS327" s="489"/>
      <c r="AT327" s="160"/>
      <c r="AU327" s="355"/>
    </row>
    <row r="328" spans="1:47" s="124" customFormat="1" ht="21.75" hidden="1" customHeight="1">
      <c r="A328" s="331">
        <v>327</v>
      </c>
      <c r="B328" s="361" t="s">
        <v>450</v>
      </c>
      <c r="C328" s="361" t="s">
        <v>1505</v>
      </c>
      <c r="D328" s="435" t="s">
        <v>1410</v>
      </c>
      <c r="E328" s="361" t="str">
        <f t="shared" si="5"/>
        <v>LOSS</v>
      </c>
      <c r="F328" s="361"/>
      <c r="G328" s="361"/>
      <c r="H328" s="28" t="s">
        <v>261</v>
      </c>
      <c r="I328" s="361" t="s">
        <v>243</v>
      </c>
      <c r="J328" s="361" t="s">
        <v>1506</v>
      </c>
      <c r="K328" s="361"/>
      <c r="L328" s="361"/>
      <c r="M328" s="361"/>
      <c r="N328" s="361"/>
      <c r="O328" s="374" t="s">
        <v>115</v>
      </c>
      <c r="P328" s="361">
        <v>48000000</v>
      </c>
      <c r="Q328" s="361"/>
      <c r="R328" s="376" t="s">
        <v>115</v>
      </c>
      <c r="S328" s="361">
        <v>5000010</v>
      </c>
      <c r="T328" s="361"/>
      <c r="U328" s="367">
        <v>44736</v>
      </c>
      <c r="V328" s="367">
        <v>44735</v>
      </c>
      <c r="W328" s="361" t="s">
        <v>250</v>
      </c>
      <c r="X328" s="361"/>
      <c r="Y328" s="361"/>
      <c r="Z328" s="361"/>
      <c r="AA328" s="361"/>
      <c r="AB328" s="361"/>
      <c r="AC328" s="159"/>
      <c r="AD328" s="361" t="s">
        <v>1507</v>
      </c>
      <c r="AE328" s="364">
        <v>4500018380</v>
      </c>
      <c r="AF328" s="364"/>
      <c r="AG328" s="361"/>
      <c r="AH328" s="361"/>
      <c r="AI328" s="361"/>
      <c r="AJ328" s="361"/>
      <c r="AK328" s="361"/>
      <c r="AL328" s="361"/>
      <c r="AM328" s="361"/>
      <c r="AN328" s="361"/>
      <c r="AO328" s="361"/>
      <c r="AP328" s="361"/>
      <c r="AQ328" s="361"/>
      <c r="AR328" s="503"/>
      <c r="AS328" s="489"/>
      <c r="AT328" s="160"/>
      <c r="AU328" s="355"/>
    </row>
    <row r="329" spans="1:47" s="124" customFormat="1" ht="21.75" hidden="1" customHeight="1">
      <c r="A329" s="331">
        <v>328</v>
      </c>
      <c r="B329" s="361" t="s">
        <v>1508</v>
      </c>
      <c r="C329" s="361" t="s">
        <v>1509</v>
      </c>
      <c r="D329" s="436" t="s">
        <v>1510</v>
      </c>
      <c r="E329" s="361" t="str">
        <f t="shared" si="5"/>
        <v>LOSS</v>
      </c>
      <c r="F329" s="361"/>
      <c r="G329" s="361"/>
      <c r="H329" s="361" t="s">
        <v>327</v>
      </c>
      <c r="I329" s="160" t="s">
        <v>346</v>
      </c>
      <c r="J329" s="361" t="s">
        <v>1511</v>
      </c>
      <c r="K329" s="365"/>
      <c r="L329" s="361"/>
      <c r="M329" s="361"/>
      <c r="N329" s="361"/>
      <c r="O329" s="374" t="s">
        <v>115</v>
      </c>
      <c r="P329" s="361">
        <v>63818184</v>
      </c>
      <c r="Q329" s="361"/>
      <c r="R329" s="376" t="s">
        <v>115</v>
      </c>
      <c r="S329" s="361">
        <v>16666668</v>
      </c>
      <c r="T329" s="361"/>
      <c r="U329" s="367">
        <v>44534</v>
      </c>
      <c r="V329" s="367">
        <v>44898</v>
      </c>
      <c r="W329" s="361" t="s">
        <v>250</v>
      </c>
      <c r="X329" s="361"/>
      <c r="Y329" s="361"/>
      <c r="Z329" s="361"/>
      <c r="AA329" s="361"/>
      <c r="AB329" s="361"/>
      <c r="AC329" s="159"/>
      <c r="AD329" s="361" t="s">
        <v>1512</v>
      </c>
      <c r="AE329" s="364">
        <v>4500017849</v>
      </c>
      <c r="AF329" s="364"/>
      <c r="AG329" s="361"/>
      <c r="AH329" s="365"/>
      <c r="AI329" s="361"/>
      <c r="AJ329" s="361"/>
      <c r="AK329" s="361"/>
      <c r="AL329" s="361"/>
      <c r="AM329" s="361"/>
      <c r="AN329" s="361"/>
      <c r="AO329" s="361"/>
      <c r="AP329" s="361"/>
      <c r="AQ329" s="361"/>
      <c r="AR329" s="503"/>
      <c r="AS329" s="489"/>
      <c r="AT329" s="160"/>
      <c r="AU329" s="355"/>
    </row>
    <row r="330" spans="1:47" s="124" customFormat="1" ht="21.75" hidden="1" customHeight="1">
      <c r="A330" s="331">
        <v>329</v>
      </c>
      <c r="B330" s="28" t="s">
        <v>179</v>
      </c>
      <c r="C330" s="361" t="s">
        <v>1513</v>
      </c>
      <c r="D330" s="435" t="s">
        <v>1514</v>
      </c>
      <c r="E330" s="361" t="str">
        <f t="shared" si="5"/>
        <v>LOSS</v>
      </c>
      <c r="F330" s="361"/>
      <c r="G330" s="361"/>
      <c r="H330" s="361" t="s">
        <v>327</v>
      </c>
      <c r="I330" s="361" t="s">
        <v>242</v>
      </c>
      <c r="J330" s="361"/>
      <c r="K330" s="365"/>
      <c r="L330" s="361"/>
      <c r="M330" s="361"/>
      <c r="N330" s="361"/>
      <c r="O330" s="374" t="s">
        <v>115</v>
      </c>
      <c r="P330" s="376" t="s">
        <v>115</v>
      </c>
      <c r="Q330" s="361"/>
      <c r="R330" s="376" t="s">
        <v>115</v>
      </c>
      <c r="S330" s="361">
        <v>2500001</v>
      </c>
      <c r="T330" s="361"/>
      <c r="U330" s="367">
        <v>44422</v>
      </c>
      <c r="V330" s="367">
        <v>44786</v>
      </c>
      <c r="W330" s="361" t="s">
        <v>250</v>
      </c>
      <c r="X330" s="361"/>
      <c r="Y330" s="361"/>
      <c r="Z330" s="361"/>
      <c r="AA330" s="361"/>
      <c r="AB330" s="361"/>
      <c r="AC330" s="159"/>
      <c r="AD330" s="361" t="s">
        <v>1515</v>
      </c>
      <c r="AE330" s="364">
        <v>4500016886</v>
      </c>
      <c r="AF330" s="364"/>
      <c r="AG330" s="361"/>
      <c r="AH330" s="365"/>
      <c r="AI330" s="361"/>
      <c r="AJ330" s="361"/>
      <c r="AK330" s="361"/>
      <c r="AL330" s="361"/>
      <c r="AM330" s="361"/>
      <c r="AN330" s="361"/>
      <c r="AO330" s="361"/>
      <c r="AP330" s="361"/>
      <c r="AQ330" s="361"/>
      <c r="AR330" s="503"/>
      <c r="AS330" s="489"/>
      <c r="AT330" s="160"/>
      <c r="AU330" s="355"/>
    </row>
    <row r="331" spans="1:47" s="124" customFormat="1" ht="21.75" hidden="1" customHeight="1">
      <c r="A331" s="331">
        <v>330</v>
      </c>
      <c r="B331" s="361" t="s">
        <v>450</v>
      </c>
      <c r="C331" s="361" t="s">
        <v>952</v>
      </c>
      <c r="D331" s="436" t="s">
        <v>1516</v>
      </c>
      <c r="E331" s="361" t="str">
        <f t="shared" si="5"/>
        <v>LOSS</v>
      </c>
      <c r="F331" s="361"/>
      <c r="G331" s="361"/>
      <c r="H331" s="361" t="s">
        <v>327</v>
      </c>
      <c r="I331" s="160" t="s">
        <v>346</v>
      </c>
      <c r="J331" s="361" t="s">
        <v>954</v>
      </c>
      <c r="K331" s="365"/>
      <c r="L331" s="361"/>
      <c r="M331" s="361"/>
      <c r="N331" s="361"/>
      <c r="O331" s="384" t="s">
        <v>115</v>
      </c>
      <c r="P331" s="383">
        <v>30000000</v>
      </c>
      <c r="Q331" s="361"/>
      <c r="R331" s="385" t="s">
        <v>115</v>
      </c>
      <c r="S331" s="383">
        <v>2200000</v>
      </c>
      <c r="T331" s="361"/>
      <c r="U331" s="351">
        <v>44247</v>
      </c>
      <c r="V331" s="373">
        <v>44611</v>
      </c>
      <c r="W331" s="361" t="s">
        <v>250</v>
      </c>
      <c r="X331" s="361"/>
      <c r="Y331" s="361"/>
      <c r="Z331" s="361"/>
      <c r="AA331" s="361"/>
      <c r="AB331" s="361"/>
      <c r="AC331" s="159"/>
      <c r="AD331" s="361" t="s">
        <v>1517</v>
      </c>
      <c r="AE331" s="364">
        <v>4500015778</v>
      </c>
      <c r="AF331" s="364"/>
      <c r="AG331" s="361"/>
      <c r="AH331" s="365"/>
      <c r="AI331" s="361"/>
      <c r="AJ331" s="361"/>
      <c r="AK331" s="361"/>
      <c r="AL331" s="361"/>
      <c r="AM331" s="361"/>
      <c r="AN331" s="361"/>
      <c r="AO331" s="361"/>
      <c r="AP331" s="361"/>
      <c r="AQ331" s="361"/>
      <c r="AR331" s="503"/>
      <c r="AS331" s="489"/>
      <c r="AT331" s="160"/>
      <c r="AU331" s="355"/>
    </row>
    <row r="332" spans="1:47" s="124" customFormat="1" ht="21.75" hidden="1" customHeight="1">
      <c r="A332" s="331">
        <v>331</v>
      </c>
      <c r="B332" s="28" t="s">
        <v>151</v>
      </c>
      <c r="C332" s="361" t="s">
        <v>719</v>
      </c>
      <c r="D332" s="435" t="s">
        <v>878</v>
      </c>
      <c r="E332" s="361" t="str">
        <f t="shared" si="5"/>
        <v>LOSS</v>
      </c>
      <c r="F332" s="361"/>
      <c r="G332" s="361"/>
      <c r="H332" s="361" t="s">
        <v>327</v>
      </c>
      <c r="I332" s="160" t="s">
        <v>346</v>
      </c>
      <c r="J332" s="361" t="s">
        <v>1518</v>
      </c>
      <c r="K332" s="365"/>
      <c r="L332" s="361"/>
      <c r="M332" s="361"/>
      <c r="N332" s="361"/>
      <c r="O332" s="384" t="s">
        <v>115</v>
      </c>
      <c r="P332" s="383">
        <v>54000000</v>
      </c>
      <c r="Q332" s="361"/>
      <c r="R332" s="385" t="s">
        <v>115</v>
      </c>
      <c r="S332" s="383">
        <v>7000000</v>
      </c>
      <c r="T332" s="361"/>
      <c r="U332" s="351">
        <v>44217</v>
      </c>
      <c r="V332" s="373">
        <v>44581</v>
      </c>
      <c r="W332" s="361" t="s">
        <v>250</v>
      </c>
      <c r="X332" s="361"/>
      <c r="Y332" s="361"/>
      <c r="Z332" s="361"/>
      <c r="AA332" s="361"/>
      <c r="AB332" s="361"/>
      <c r="AC332" s="159"/>
      <c r="AD332" s="368"/>
      <c r="AE332" s="364">
        <v>4500015724</v>
      </c>
      <c r="AF332" s="364"/>
      <c r="AG332" s="361"/>
      <c r="AH332" s="365"/>
      <c r="AI332" s="361"/>
      <c r="AJ332" s="361"/>
      <c r="AK332" s="361"/>
      <c r="AL332" s="361"/>
      <c r="AM332" s="361"/>
      <c r="AN332" s="361"/>
      <c r="AO332" s="361"/>
      <c r="AP332" s="361"/>
      <c r="AQ332" s="361"/>
      <c r="AR332" s="503"/>
      <c r="AS332" s="489"/>
      <c r="AT332" s="160"/>
      <c r="AU332" s="355"/>
    </row>
    <row r="333" spans="1:47" s="124" customFormat="1" ht="21.75" hidden="1" customHeight="1">
      <c r="A333" s="331">
        <v>332</v>
      </c>
      <c r="B333" s="361" t="s">
        <v>1519</v>
      </c>
      <c r="C333" s="361" t="s">
        <v>849</v>
      </c>
      <c r="D333" s="436" t="s">
        <v>850</v>
      </c>
      <c r="E333" s="361" t="str">
        <f t="shared" si="5"/>
        <v>LOSS</v>
      </c>
      <c r="F333" s="361"/>
      <c r="G333" s="361"/>
      <c r="H333" s="361" t="s">
        <v>327</v>
      </c>
      <c r="I333" s="361" t="s">
        <v>242</v>
      </c>
      <c r="J333" s="361" t="s">
        <v>1520</v>
      </c>
      <c r="K333" s="365"/>
      <c r="L333" s="361"/>
      <c r="M333" s="361"/>
      <c r="N333" s="361"/>
      <c r="O333" s="384" t="s">
        <v>115</v>
      </c>
      <c r="P333" s="383">
        <v>39000000</v>
      </c>
      <c r="Q333" s="361"/>
      <c r="R333" s="385" t="s">
        <v>115</v>
      </c>
      <c r="S333" s="383">
        <v>18000000</v>
      </c>
      <c r="T333" s="361"/>
      <c r="U333" s="351">
        <v>44274</v>
      </c>
      <c r="V333" s="373">
        <v>44638</v>
      </c>
      <c r="W333" s="361" t="s">
        <v>250</v>
      </c>
      <c r="X333" s="361"/>
      <c r="Y333" s="361"/>
      <c r="Z333" s="361"/>
      <c r="AA333" s="361"/>
      <c r="AB333" s="361"/>
      <c r="AC333" s="159"/>
      <c r="AD333" s="361" t="s">
        <v>1521</v>
      </c>
      <c r="AE333" s="364">
        <v>4500015870</v>
      </c>
      <c r="AF333" s="364"/>
      <c r="AG333" s="361"/>
      <c r="AH333" s="365"/>
      <c r="AI333" s="361"/>
      <c r="AJ333" s="361"/>
      <c r="AK333" s="361"/>
      <c r="AL333" s="361"/>
      <c r="AM333" s="361"/>
      <c r="AN333" s="361"/>
      <c r="AO333" s="361"/>
      <c r="AP333" s="361"/>
      <c r="AQ333" s="361"/>
      <c r="AR333" s="503"/>
      <c r="AS333" s="489"/>
      <c r="AT333" s="160"/>
      <c r="AU333" s="355"/>
    </row>
    <row r="334" spans="1:47" s="124" customFormat="1" ht="21.75" hidden="1" customHeight="1">
      <c r="A334" s="331">
        <v>333</v>
      </c>
      <c r="B334" s="361" t="s">
        <v>1396</v>
      </c>
      <c r="C334" s="361" t="s">
        <v>1522</v>
      </c>
      <c r="D334" s="435" t="s">
        <v>1523</v>
      </c>
      <c r="E334" s="361" t="str">
        <f t="shared" si="5"/>
        <v>LOSS</v>
      </c>
      <c r="F334" s="361"/>
      <c r="G334" s="361"/>
      <c r="H334" s="361" t="s">
        <v>327</v>
      </c>
      <c r="I334" s="361" t="s">
        <v>242</v>
      </c>
      <c r="J334" s="361" t="s">
        <v>814</v>
      </c>
      <c r="K334" s="365"/>
      <c r="L334" s="361"/>
      <c r="M334" s="361"/>
      <c r="N334" s="361"/>
      <c r="O334" s="384" t="s">
        <v>115</v>
      </c>
      <c r="P334" s="383">
        <v>138000000</v>
      </c>
      <c r="Q334" s="361"/>
      <c r="R334" s="385" t="s">
        <v>115</v>
      </c>
      <c r="S334" s="383">
        <v>6000000</v>
      </c>
      <c r="T334" s="361"/>
      <c r="U334" s="351">
        <v>44268</v>
      </c>
      <c r="V334" s="373">
        <v>44632</v>
      </c>
      <c r="W334" s="361" t="s">
        <v>250</v>
      </c>
      <c r="X334" s="361"/>
      <c r="Y334" s="361"/>
      <c r="Z334" s="361"/>
      <c r="AA334" s="361"/>
      <c r="AB334" s="361"/>
      <c r="AC334" s="159"/>
      <c r="AD334" s="368"/>
      <c r="AE334" s="364">
        <v>4500015823</v>
      </c>
      <c r="AF334" s="364"/>
      <c r="AG334" s="361"/>
      <c r="AH334" s="365"/>
      <c r="AI334" s="361"/>
      <c r="AJ334" s="361"/>
      <c r="AK334" s="361"/>
      <c r="AL334" s="361"/>
      <c r="AM334" s="361"/>
      <c r="AN334" s="361"/>
      <c r="AO334" s="361"/>
      <c r="AP334" s="361"/>
      <c r="AQ334" s="361"/>
      <c r="AR334" s="503"/>
      <c r="AS334" s="489"/>
      <c r="AT334" s="160"/>
      <c r="AU334" s="355"/>
    </row>
    <row r="335" spans="1:47" s="124" customFormat="1" ht="21.75" hidden="1" customHeight="1">
      <c r="A335" s="331">
        <v>334</v>
      </c>
      <c r="B335" s="361" t="s">
        <v>450</v>
      </c>
      <c r="C335" s="361" t="s">
        <v>1524</v>
      </c>
      <c r="D335" s="436" t="s">
        <v>1516</v>
      </c>
      <c r="E335" s="361" t="str">
        <f t="shared" si="5"/>
        <v>LOSS</v>
      </c>
      <c r="F335" s="361"/>
      <c r="G335" s="361"/>
      <c r="H335" s="28" t="s">
        <v>261</v>
      </c>
      <c r="I335" s="361" t="s">
        <v>243</v>
      </c>
      <c r="J335" s="361" t="s">
        <v>1525</v>
      </c>
      <c r="K335" s="361"/>
      <c r="L335" s="361"/>
      <c r="M335" s="361"/>
      <c r="N335" s="361"/>
      <c r="O335" s="384" t="s">
        <v>115</v>
      </c>
      <c r="P335" s="383">
        <v>78000000</v>
      </c>
      <c r="Q335" s="361"/>
      <c r="R335" s="385" t="s">
        <v>115</v>
      </c>
      <c r="S335" s="383">
        <v>42000000</v>
      </c>
      <c r="T335" s="361"/>
      <c r="U335" s="351">
        <v>44248</v>
      </c>
      <c r="V335" s="373">
        <v>44612</v>
      </c>
      <c r="W335" s="361" t="s">
        <v>250</v>
      </c>
      <c r="X335" s="361"/>
      <c r="Y335" s="361"/>
      <c r="Z335" s="361"/>
      <c r="AA335" s="361"/>
      <c r="AB335" s="361"/>
      <c r="AC335" s="159"/>
      <c r="AD335" s="368"/>
      <c r="AE335" s="364">
        <v>4500015824</v>
      </c>
      <c r="AF335" s="364"/>
      <c r="AG335" s="361"/>
      <c r="AH335" s="361"/>
      <c r="AI335" s="361"/>
      <c r="AJ335" s="361"/>
      <c r="AK335" s="361"/>
      <c r="AL335" s="361"/>
      <c r="AM335" s="361"/>
      <c r="AN335" s="361"/>
      <c r="AO335" s="361"/>
      <c r="AP335" s="361"/>
      <c r="AQ335" s="361"/>
      <c r="AR335" s="503"/>
      <c r="AS335" s="489"/>
      <c r="AT335" s="160"/>
      <c r="AU335" s="355"/>
    </row>
    <row r="336" spans="1:47" s="124" customFormat="1" ht="21.75" hidden="1" customHeight="1">
      <c r="A336" s="331">
        <v>335</v>
      </c>
      <c r="B336" s="28" t="s">
        <v>669</v>
      </c>
      <c r="C336" s="361" t="s">
        <v>1526</v>
      </c>
      <c r="D336" s="435" t="s">
        <v>1527</v>
      </c>
      <c r="E336" s="361" t="str">
        <f t="shared" si="5"/>
        <v>LOSS</v>
      </c>
      <c r="F336" s="361"/>
      <c r="G336" s="361"/>
      <c r="H336" s="361" t="s">
        <v>327</v>
      </c>
      <c r="I336" s="160" t="s">
        <v>346</v>
      </c>
      <c r="J336" s="361" t="s">
        <v>676</v>
      </c>
      <c r="K336" s="365"/>
      <c r="L336" s="361"/>
      <c r="M336" s="361"/>
      <c r="N336" s="361"/>
      <c r="O336" s="384" t="s">
        <v>115</v>
      </c>
      <c r="P336" s="383">
        <v>49200000</v>
      </c>
      <c r="Q336" s="361"/>
      <c r="R336" s="385" t="s">
        <v>115</v>
      </c>
      <c r="S336" s="383">
        <v>8642700</v>
      </c>
      <c r="T336" s="361"/>
      <c r="U336" s="351">
        <v>44197</v>
      </c>
      <c r="V336" s="351">
        <v>44561</v>
      </c>
      <c r="W336" s="361" t="s">
        <v>250</v>
      </c>
      <c r="X336" s="361"/>
      <c r="Y336" s="361"/>
      <c r="Z336" s="361"/>
      <c r="AA336" s="361"/>
      <c r="AB336" s="361"/>
      <c r="AC336" s="159"/>
      <c r="AD336" s="368"/>
      <c r="AE336" s="364">
        <v>4500016051</v>
      </c>
      <c r="AF336" s="364"/>
      <c r="AG336" s="361"/>
      <c r="AH336" s="365"/>
      <c r="AI336" s="361"/>
      <c r="AJ336" s="361"/>
      <c r="AK336" s="361"/>
      <c r="AL336" s="361"/>
      <c r="AM336" s="361"/>
      <c r="AN336" s="361"/>
      <c r="AO336" s="361"/>
      <c r="AP336" s="361"/>
      <c r="AQ336" s="361"/>
      <c r="AR336" s="503"/>
      <c r="AS336" s="489"/>
      <c r="AT336" s="160"/>
      <c r="AU336" s="355"/>
    </row>
    <row r="337" spans="1:47" s="124" customFormat="1" ht="21.75" hidden="1" customHeight="1">
      <c r="A337" s="331">
        <v>336</v>
      </c>
      <c r="B337" s="159" t="s">
        <v>1103</v>
      </c>
      <c r="C337" s="361" t="s">
        <v>1528</v>
      </c>
      <c r="D337" s="437" t="s">
        <v>1105</v>
      </c>
      <c r="E337" s="361" t="str">
        <f t="shared" si="5"/>
        <v>LOSS</v>
      </c>
      <c r="F337" s="361"/>
      <c r="G337" s="361"/>
      <c r="H337" s="361" t="s">
        <v>327</v>
      </c>
      <c r="I337" s="160" t="s">
        <v>346</v>
      </c>
      <c r="J337" s="361" t="s">
        <v>190</v>
      </c>
      <c r="K337" s="365"/>
      <c r="L337" s="361"/>
      <c r="M337" s="361"/>
      <c r="N337" s="361"/>
      <c r="O337" s="384" t="s">
        <v>115</v>
      </c>
      <c r="P337" s="383">
        <v>72000000</v>
      </c>
      <c r="Q337" s="361"/>
      <c r="R337" s="385" t="s">
        <v>115</v>
      </c>
      <c r="S337" s="383">
        <v>31000000</v>
      </c>
      <c r="T337" s="361"/>
      <c r="U337" s="351">
        <v>44230</v>
      </c>
      <c r="V337" s="351">
        <v>44594</v>
      </c>
      <c r="W337" s="361" t="s">
        <v>250</v>
      </c>
      <c r="X337" s="361"/>
      <c r="Y337" s="361"/>
      <c r="Z337" s="361"/>
      <c r="AA337" s="361"/>
      <c r="AB337" s="361"/>
      <c r="AC337" s="159"/>
      <c r="AD337" s="368"/>
      <c r="AE337" s="364">
        <v>4500015839</v>
      </c>
      <c r="AF337" s="364"/>
      <c r="AG337" s="361"/>
      <c r="AH337" s="365"/>
      <c r="AI337" s="361"/>
      <c r="AJ337" s="361"/>
      <c r="AK337" s="361"/>
      <c r="AL337" s="361"/>
      <c r="AM337" s="361"/>
      <c r="AN337" s="361"/>
      <c r="AO337" s="361"/>
      <c r="AP337" s="361"/>
      <c r="AQ337" s="361"/>
      <c r="AR337" s="503"/>
      <c r="AS337" s="489"/>
      <c r="AT337" s="160"/>
      <c r="AU337" s="355"/>
    </row>
    <row r="338" spans="1:47" s="124" customFormat="1" ht="21.75" hidden="1" customHeight="1">
      <c r="A338" s="331">
        <v>337</v>
      </c>
      <c r="B338" s="28" t="s">
        <v>151</v>
      </c>
      <c r="C338" s="361"/>
      <c r="D338" s="435" t="s">
        <v>878</v>
      </c>
      <c r="E338" s="361" t="str">
        <f t="shared" si="5"/>
        <v>LOSS</v>
      </c>
      <c r="F338" s="361"/>
      <c r="G338" s="361"/>
      <c r="H338" s="361" t="s">
        <v>327</v>
      </c>
      <c r="I338" s="160" t="s">
        <v>346</v>
      </c>
      <c r="J338" s="361"/>
      <c r="K338" s="365"/>
      <c r="L338" s="361"/>
      <c r="M338" s="361"/>
      <c r="N338" s="361"/>
      <c r="O338" s="384" t="s">
        <v>115</v>
      </c>
      <c r="P338" s="385" t="s">
        <v>115</v>
      </c>
      <c r="Q338" s="361"/>
      <c r="R338" s="385" t="s">
        <v>115</v>
      </c>
      <c r="S338" s="383">
        <v>17000000</v>
      </c>
      <c r="T338" s="361"/>
      <c r="U338" s="351">
        <v>44344</v>
      </c>
      <c r="V338" s="351">
        <v>44708</v>
      </c>
      <c r="W338" s="361" t="s">
        <v>250</v>
      </c>
      <c r="X338" s="361"/>
      <c r="Y338" s="361"/>
      <c r="Z338" s="361"/>
      <c r="AA338" s="361"/>
      <c r="AB338" s="361"/>
      <c r="AC338" s="159"/>
      <c r="AD338" s="361" t="s">
        <v>1529</v>
      </c>
      <c r="AE338" s="364">
        <v>4500016198</v>
      </c>
      <c r="AF338" s="364"/>
      <c r="AG338" s="361"/>
      <c r="AH338" s="365"/>
      <c r="AI338" s="361"/>
      <c r="AJ338" s="361"/>
      <c r="AK338" s="361"/>
      <c r="AL338" s="361"/>
      <c r="AM338" s="361"/>
      <c r="AN338" s="361"/>
      <c r="AO338" s="361"/>
      <c r="AP338" s="361"/>
      <c r="AQ338" s="361"/>
      <c r="AR338" s="503"/>
      <c r="AS338" s="489"/>
      <c r="AT338" s="160"/>
      <c r="AU338" s="355"/>
    </row>
    <row r="339" spans="1:47" s="124" customFormat="1" ht="21.75" hidden="1" customHeight="1">
      <c r="A339" s="331">
        <v>338</v>
      </c>
      <c r="B339" s="361" t="s">
        <v>93</v>
      </c>
      <c r="C339" s="361" t="s">
        <v>1530</v>
      </c>
      <c r="D339" s="436" t="s">
        <v>850</v>
      </c>
      <c r="E339" s="361" t="str">
        <f t="shared" si="5"/>
        <v>LOSS</v>
      </c>
      <c r="F339" s="361"/>
      <c r="G339" s="361"/>
      <c r="H339" s="361" t="s">
        <v>327</v>
      </c>
      <c r="I339" s="361" t="s">
        <v>242</v>
      </c>
      <c r="J339" s="361" t="s">
        <v>1531</v>
      </c>
      <c r="K339" s="365"/>
      <c r="L339" s="361"/>
      <c r="M339" s="361"/>
      <c r="N339" s="361"/>
      <c r="O339" s="384" t="s">
        <v>115</v>
      </c>
      <c r="P339" s="383">
        <v>84000000</v>
      </c>
      <c r="Q339" s="361"/>
      <c r="R339" s="383">
        <v>1500000</v>
      </c>
      <c r="S339" s="383">
        <v>18000000</v>
      </c>
      <c r="T339" s="361"/>
      <c r="U339" s="351">
        <v>44344</v>
      </c>
      <c r="V339" s="351">
        <v>44708</v>
      </c>
      <c r="W339" s="361" t="s">
        <v>250</v>
      </c>
      <c r="X339" s="361"/>
      <c r="Y339" s="361"/>
      <c r="Z339" s="361"/>
      <c r="AA339" s="361"/>
      <c r="AB339" s="361"/>
      <c r="AC339" s="159"/>
      <c r="AD339" s="361" t="s">
        <v>1532</v>
      </c>
      <c r="AE339" s="364">
        <v>4500016200</v>
      </c>
      <c r="AF339" s="364"/>
      <c r="AG339" s="361"/>
      <c r="AH339" s="365"/>
      <c r="AI339" s="361"/>
      <c r="AJ339" s="361"/>
      <c r="AK339" s="361"/>
      <c r="AL339" s="361"/>
      <c r="AM339" s="361"/>
      <c r="AN339" s="361"/>
      <c r="AO339" s="361"/>
      <c r="AP339" s="361"/>
      <c r="AQ339" s="361"/>
      <c r="AR339" s="503"/>
      <c r="AS339" s="489"/>
      <c r="AT339" s="160"/>
      <c r="AU339" s="355"/>
    </row>
    <row r="340" spans="1:47" s="124" customFormat="1" ht="21.75" hidden="1" customHeight="1">
      <c r="A340" s="331">
        <v>339</v>
      </c>
      <c r="B340" s="361" t="s">
        <v>450</v>
      </c>
      <c r="C340" s="361" t="s">
        <v>1533</v>
      </c>
      <c r="D340" s="435" t="s">
        <v>1516</v>
      </c>
      <c r="E340" s="361" t="str">
        <f t="shared" si="5"/>
        <v>LOSS</v>
      </c>
      <c r="F340" s="361"/>
      <c r="G340" s="361"/>
      <c r="H340" s="361" t="s">
        <v>327</v>
      </c>
      <c r="I340" s="361" t="s">
        <v>242</v>
      </c>
      <c r="J340" s="361" t="s">
        <v>118</v>
      </c>
      <c r="K340" s="365"/>
      <c r="L340" s="361"/>
      <c r="M340" s="361"/>
      <c r="N340" s="361"/>
      <c r="O340" s="384" t="s">
        <v>115</v>
      </c>
      <c r="P340" s="383">
        <v>72000000</v>
      </c>
      <c r="Q340" s="361"/>
      <c r="R340" s="385" t="s">
        <v>115</v>
      </c>
      <c r="S340" s="383">
        <v>2500000</v>
      </c>
      <c r="T340" s="361"/>
      <c r="U340" s="351">
        <v>44289</v>
      </c>
      <c r="V340" s="351">
        <v>44653</v>
      </c>
      <c r="W340" s="361" t="s">
        <v>250</v>
      </c>
      <c r="X340" s="361"/>
      <c r="Y340" s="361"/>
      <c r="Z340" s="361"/>
      <c r="AA340" s="361"/>
      <c r="AB340" s="361"/>
      <c r="AC340" s="159"/>
      <c r="AD340" s="377" t="s">
        <v>1534</v>
      </c>
      <c r="AE340" s="364">
        <v>4500016185</v>
      </c>
      <c r="AF340" s="364"/>
      <c r="AG340" s="361"/>
      <c r="AH340" s="365"/>
      <c r="AI340" s="361"/>
      <c r="AJ340" s="361"/>
      <c r="AK340" s="361"/>
      <c r="AL340" s="361"/>
      <c r="AM340" s="361"/>
      <c r="AN340" s="361"/>
      <c r="AO340" s="361"/>
      <c r="AP340" s="361"/>
      <c r="AQ340" s="361"/>
      <c r="AR340" s="503"/>
      <c r="AS340" s="489"/>
      <c r="AT340" s="160"/>
      <c r="AU340" s="355"/>
    </row>
    <row r="341" spans="1:47" s="124" customFormat="1" ht="21.75" hidden="1" customHeight="1">
      <c r="A341" s="331">
        <v>340</v>
      </c>
      <c r="B341" s="361" t="s">
        <v>450</v>
      </c>
      <c r="C341" s="361" t="s">
        <v>1535</v>
      </c>
      <c r="D341" s="436" t="s">
        <v>1516</v>
      </c>
      <c r="E341" s="361" t="str">
        <f t="shared" si="5"/>
        <v>LOSS</v>
      </c>
      <c r="F341" s="361"/>
      <c r="G341" s="361"/>
      <c r="H341" s="28" t="s">
        <v>261</v>
      </c>
      <c r="I341" s="361" t="s">
        <v>243</v>
      </c>
      <c r="J341" s="361" t="s">
        <v>1536</v>
      </c>
      <c r="K341" s="361"/>
      <c r="L341" s="361"/>
      <c r="M341" s="361"/>
      <c r="N341" s="361"/>
      <c r="O341" s="384" t="s">
        <v>115</v>
      </c>
      <c r="P341" s="383">
        <v>378000000</v>
      </c>
      <c r="Q341" s="361"/>
      <c r="R341" s="385" t="s">
        <v>115</v>
      </c>
      <c r="S341" s="383">
        <v>120000000</v>
      </c>
      <c r="T341" s="361"/>
      <c r="U341" s="351">
        <v>44197</v>
      </c>
      <c r="V341" s="351">
        <v>44561</v>
      </c>
      <c r="W341" s="361" t="s">
        <v>250</v>
      </c>
      <c r="X341" s="361"/>
      <c r="Y341" s="361"/>
      <c r="Z341" s="361"/>
      <c r="AA341" s="361"/>
      <c r="AB341" s="361"/>
      <c r="AC341" s="159"/>
      <c r="AD341" s="368"/>
      <c r="AE341" s="364">
        <v>4500015647</v>
      </c>
      <c r="AF341" s="364"/>
      <c r="AG341" s="361"/>
      <c r="AH341" s="361"/>
      <c r="AI341" s="361"/>
      <c r="AJ341" s="361"/>
      <c r="AK341" s="361"/>
      <c r="AL341" s="361"/>
      <c r="AM341" s="361"/>
      <c r="AN341" s="361"/>
      <c r="AO341" s="361"/>
      <c r="AP341" s="361"/>
      <c r="AQ341" s="361"/>
      <c r="AR341" s="503"/>
      <c r="AS341" s="489"/>
      <c r="AT341" s="160"/>
      <c r="AU341" s="355"/>
    </row>
    <row r="342" spans="1:47" s="124" customFormat="1" ht="21.75" hidden="1" customHeight="1">
      <c r="A342" s="331">
        <v>341</v>
      </c>
      <c r="B342" s="159" t="s">
        <v>1537</v>
      </c>
      <c r="C342" s="361" t="s">
        <v>1538</v>
      </c>
      <c r="D342" s="435" t="s">
        <v>1539</v>
      </c>
      <c r="E342" s="361" t="str">
        <f t="shared" si="5"/>
        <v>LOSS</v>
      </c>
      <c r="F342" s="361"/>
      <c r="G342" s="361"/>
      <c r="H342" s="361" t="s">
        <v>327</v>
      </c>
      <c r="I342" s="160" t="s">
        <v>346</v>
      </c>
      <c r="J342" s="361" t="s">
        <v>1540</v>
      </c>
      <c r="K342" s="365"/>
      <c r="L342" s="361"/>
      <c r="M342" s="361"/>
      <c r="N342" s="361"/>
      <c r="O342" s="384" t="s">
        <v>115</v>
      </c>
      <c r="P342" s="383">
        <v>111600000</v>
      </c>
      <c r="Q342" s="361"/>
      <c r="R342" s="385" t="s">
        <v>115</v>
      </c>
      <c r="S342" s="383">
        <v>90000000</v>
      </c>
      <c r="T342" s="361"/>
      <c r="U342" s="351">
        <v>44285</v>
      </c>
      <c r="V342" s="351">
        <v>44649</v>
      </c>
      <c r="W342" s="361" t="s">
        <v>250</v>
      </c>
      <c r="X342" s="361"/>
      <c r="Y342" s="361"/>
      <c r="Z342" s="361"/>
      <c r="AA342" s="361"/>
      <c r="AB342" s="361"/>
      <c r="AC342" s="159"/>
      <c r="AD342" s="368"/>
      <c r="AE342" s="364">
        <v>4500015726</v>
      </c>
      <c r="AF342" s="364"/>
      <c r="AG342" s="361"/>
      <c r="AH342" s="365"/>
      <c r="AI342" s="361"/>
      <c r="AJ342" s="361"/>
      <c r="AK342" s="361"/>
      <c r="AL342" s="361"/>
      <c r="AM342" s="361"/>
      <c r="AN342" s="361"/>
      <c r="AO342" s="361"/>
      <c r="AP342" s="361"/>
      <c r="AQ342" s="361"/>
      <c r="AR342" s="503"/>
      <c r="AS342" s="489"/>
      <c r="AT342" s="160"/>
      <c r="AU342" s="355"/>
    </row>
    <row r="343" spans="1:47" s="124" customFormat="1" ht="21.75" hidden="1" customHeight="1">
      <c r="A343" s="331">
        <v>342</v>
      </c>
      <c r="B343" s="361" t="s">
        <v>1396</v>
      </c>
      <c r="C343" s="361" t="s">
        <v>1541</v>
      </c>
      <c r="D343" s="436" t="s">
        <v>1523</v>
      </c>
      <c r="E343" s="361" t="str">
        <f t="shared" si="5"/>
        <v>LOSS</v>
      </c>
      <c r="F343" s="361"/>
      <c r="G343" s="361"/>
      <c r="H343" s="361" t="s">
        <v>327</v>
      </c>
      <c r="I343" s="361" t="s">
        <v>242</v>
      </c>
      <c r="J343" s="361" t="s">
        <v>1542</v>
      </c>
      <c r="K343" s="365"/>
      <c r="L343" s="361"/>
      <c r="M343" s="361"/>
      <c r="N343" s="361"/>
      <c r="O343" s="384" t="s">
        <v>115</v>
      </c>
      <c r="P343" s="383">
        <v>223200000</v>
      </c>
      <c r="Q343" s="361"/>
      <c r="R343" s="385" t="s">
        <v>115</v>
      </c>
      <c r="S343" s="383">
        <v>2000000</v>
      </c>
      <c r="T343" s="361"/>
      <c r="U343" s="351">
        <v>44197</v>
      </c>
      <c r="V343" s="351">
        <v>44561</v>
      </c>
      <c r="W343" s="361" t="s">
        <v>250</v>
      </c>
      <c r="X343" s="361"/>
      <c r="Y343" s="361"/>
      <c r="Z343" s="361"/>
      <c r="AA343" s="361"/>
      <c r="AB343" s="361"/>
      <c r="AC343" s="159"/>
      <c r="AD343" s="368"/>
      <c r="AE343" s="364">
        <v>4500015646</v>
      </c>
      <c r="AF343" s="364"/>
      <c r="AG343" s="361"/>
      <c r="AH343" s="365"/>
      <c r="AI343" s="361"/>
      <c r="AJ343" s="361"/>
      <c r="AK343" s="361"/>
      <c r="AL343" s="361"/>
      <c r="AM343" s="361"/>
      <c r="AN343" s="361"/>
      <c r="AO343" s="361"/>
      <c r="AP343" s="361"/>
      <c r="AQ343" s="361"/>
      <c r="AR343" s="503"/>
      <c r="AS343" s="489"/>
      <c r="AT343" s="160"/>
      <c r="AU343" s="355"/>
    </row>
    <row r="344" spans="1:47" s="124" customFormat="1" ht="21.75" hidden="1" customHeight="1">
      <c r="A344" s="331">
        <v>343</v>
      </c>
      <c r="B344" s="28" t="s">
        <v>321</v>
      </c>
      <c r="C344" s="361" t="s">
        <v>1543</v>
      </c>
      <c r="D344" s="435" t="s">
        <v>1544</v>
      </c>
      <c r="E344" s="361" t="str">
        <f t="shared" si="5"/>
        <v>LOSS</v>
      </c>
      <c r="F344" s="361"/>
      <c r="G344" s="361"/>
      <c r="H344" s="28" t="s">
        <v>261</v>
      </c>
      <c r="I344" s="361" t="s">
        <v>243</v>
      </c>
      <c r="J344" s="361" t="s">
        <v>1358</v>
      </c>
      <c r="K344" s="361"/>
      <c r="L344" s="361"/>
      <c r="M344" s="361"/>
      <c r="N344" s="361"/>
      <c r="O344" s="384" t="s">
        <v>115</v>
      </c>
      <c r="P344" s="383">
        <v>108000000</v>
      </c>
      <c r="Q344" s="361"/>
      <c r="R344" s="385" t="s">
        <v>115</v>
      </c>
      <c r="S344" s="383">
        <v>81840000</v>
      </c>
      <c r="T344" s="361"/>
      <c r="U344" s="351">
        <v>44197</v>
      </c>
      <c r="V344" s="351">
        <v>44561</v>
      </c>
      <c r="W344" s="361" t="s">
        <v>250</v>
      </c>
      <c r="X344" s="361"/>
      <c r="Y344" s="361"/>
      <c r="Z344" s="361"/>
      <c r="AA344" s="361"/>
      <c r="AB344" s="361"/>
      <c r="AC344" s="159"/>
      <c r="AD344" s="368"/>
      <c r="AE344" s="364">
        <v>4500015650</v>
      </c>
      <c r="AF344" s="364"/>
      <c r="AG344" s="361"/>
      <c r="AH344" s="361"/>
      <c r="AI344" s="361"/>
      <c r="AJ344" s="361"/>
      <c r="AK344" s="361"/>
      <c r="AL344" s="361"/>
      <c r="AM344" s="361"/>
      <c r="AN344" s="361"/>
      <c r="AO344" s="361"/>
      <c r="AP344" s="361"/>
      <c r="AQ344" s="361"/>
      <c r="AR344" s="503"/>
      <c r="AS344" s="489"/>
      <c r="AT344" s="160"/>
      <c r="AU344" s="355"/>
    </row>
    <row r="345" spans="1:47" s="124" customFormat="1" ht="21.75" hidden="1" customHeight="1">
      <c r="A345" s="331">
        <v>344</v>
      </c>
      <c r="B345" s="361" t="s">
        <v>1545</v>
      </c>
      <c r="C345" s="361" t="s">
        <v>1546</v>
      </c>
      <c r="D345" s="436" t="s">
        <v>1547</v>
      </c>
      <c r="E345" s="361" t="str">
        <f t="shared" si="5"/>
        <v>LOSS</v>
      </c>
      <c r="F345" s="361"/>
      <c r="G345" s="361"/>
      <c r="H345" s="361" t="s">
        <v>327</v>
      </c>
      <c r="I345" s="160" t="s">
        <v>346</v>
      </c>
      <c r="J345" s="361" t="s">
        <v>1548</v>
      </c>
      <c r="K345" s="365"/>
      <c r="L345" s="361"/>
      <c r="M345" s="361"/>
      <c r="N345" s="361"/>
      <c r="O345" s="384" t="s">
        <v>115</v>
      </c>
      <c r="P345" s="383">
        <v>66000000</v>
      </c>
      <c r="Q345" s="361"/>
      <c r="R345" s="385" t="s">
        <v>115</v>
      </c>
      <c r="S345" s="383">
        <v>55200000</v>
      </c>
      <c r="T345" s="361"/>
      <c r="U345" s="351">
        <v>44197</v>
      </c>
      <c r="V345" s="351">
        <v>44561</v>
      </c>
      <c r="W345" s="361" t="s">
        <v>250</v>
      </c>
      <c r="X345" s="361"/>
      <c r="Y345" s="361"/>
      <c r="Z345" s="361"/>
      <c r="AA345" s="361"/>
      <c r="AB345" s="361"/>
      <c r="AC345" s="159"/>
      <c r="AD345" s="368"/>
      <c r="AE345" s="364">
        <v>4500015654</v>
      </c>
      <c r="AF345" s="364"/>
      <c r="AG345" s="361"/>
      <c r="AH345" s="365"/>
      <c r="AI345" s="361"/>
      <c r="AJ345" s="361"/>
      <c r="AK345" s="361"/>
      <c r="AL345" s="361"/>
      <c r="AM345" s="361"/>
      <c r="AN345" s="361"/>
      <c r="AO345" s="361"/>
      <c r="AP345" s="361"/>
      <c r="AQ345" s="361"/>
      <c r="AR345" s="503"/>
      <c r="AS345" s="489"/>
      <c r="AT345" s="160"/>
      <c r="AU345" s="355"/>
    </row>
    <row r="346" spans="1:47" s="124" customFormat="1" ht="21.75" hidden="1" customHeight="1">
      <c r="A346" s="331">
        <v>345</v>
      </c>
      <c r="B346" s="361" t="s">
        <v>93</v>
      </c>
      <c r="C346" s="361" t="s">
        <v>1549</v>
      </c>
      <c r="D346" s="435" t="s">
        <v>850</v>
      </c>
      <c r="E346" s="361" t="str">
        <f t="shared" si="5"/>
        <v>LOSS</v>
      </c>
      <c r="F346" s="361"/>
      <c r="G346" s="361"/>
      <c r="H346" s="361" t="s">
        <v>327</v>
      </c>
      <c r="I346" s="361" t="s">
        <v>242</v>
      </c>
      <c r="J346" s="361" t="s">
        <v>1550</v>
      </c>
      <c r="K346" s="365"/>
      <c r="L346" s="361"/>
      <c r="M346" s="361"/>
      <c r="N346" s="361"/>
      <c r="O346" s="384" t="s">
        <v>115</v>
      </c>
      <c r="P346" s="383">
        <v>60000000</v>
      </c>
      <c r="Q346" s="361"/>
      <c r="R346" s="385" t="s">
        <v>115</v>
      </c>
      <c r="S346" s="383">
        <v>18000000</v>
      </c>
      <c r="T346" s="361"/>
      <c r="U346" s="351">
        <v>44264</v>
      </c>
      <c r="V346" s="351">
        <v>44628</v>
      </c>
      <c r="W346" s="361" t="s">
        <v>250</v>
      </c>
      <c r="X346" s="361"/>
      <c r="Y346" s="361"/>
      <c r="Z346" s="361"/>
      <c r="AA346" s="361"/>
      <c r="AB346" s="361"/>
      <c r="AC346" s="159"/>
      <c r="AD346" s="368"/>
      <c r="AE346" s="364">
        <v>4500015715</v>
      </c>
      <c r="AF346" s="364"/>
      <c r="AG346" s="361"/>
      <c r="AH346" s="365"/>
      <c r="AI346" s="361"/>
      <c r="AJ346" s="361"/>
      <c r="AK346" s="361"/>
      <c r="AL346" s="361"/>
      <c r="AM346" s="361"/>
      <c r="AN346" s="361"/>
      <c r="AO346" s="361"/>
      <c r="AP346" s="361"/>
      <c r="AQ346" s="361"/>
      <c r="AR346" s="503"/>
      <c r="AS346" s="489"/>
      <c r="AT346" s="160"/>
      <c r="AU346" s="355"/>
    </row>
    <row r="347" spans="1:47" s="124" customFormat="1" ht="21.75" hidden="1" customHeight="1">
      <c r="A347" s="331">
        <v>346</v>
      </c>
      <c r="B347" s="159" t="s">
        <v>588</v>
      </c>
      <c r="C347" s="361" t="s">
        <v>1551</v>
      </c>
      <c r="D347" s="436" t="s">
        <v>1552</v>
      </c>
      <c r="E347" s="361" t="str">
        <f t="shared" si="5"/>
        <v>LOSS</v>
      </c>
      <c r="F347" s="361"/>
      <c r="G347" s="361"/>
      <c r="H347" s="361" t="s">
        <v>327</v>
      </c>
      <c r="I347" s="160" t="s">
        <v>346</v>
      </c>
      <c r="J347" s="361" t="s">
        <v>1553</v>
      </c>
      <c r="K347" s="365"/>
      <c r="L347" s="361"/>
      <c r="M347" s="361"/>
      <c r="N347" s="361"/>
      <c r="O347" s="384" t="s">
        <v>115</v>
      </c>
      <c r="P347" s="383">
        <v>60000000</v>
      </c>
      <c r="Q347" s="361"/>
      <c r="R347" s="385" t="s">
        <v>115</v>
      </c>
      <c r="S347" s="383">
        <v>25000000</v>
      </c>
      <c r="T347" s="361"/>
      <c r="U347" s="351">
        <v>44256</v>
      </c>
      <c r="V347" s="351">
        <v>44620</v>
      </c>
      <c r="W347" s="361" t="s">
        <v>250</v>
      </c>
      <c r="X347" s="361"/>
      <c r="Y347" s="361"/>
      <c r="Z347" s="361"/>
      <c r="AA347" s="361"/>
      <c r="AB347" s="361"/>
      <c r="AC347" s="159"/>
      <c r="AD347" s="368"/>
      <c r="AE347" s="364">
        <v>4500015907</v>
      </c>
      <c r="AF347" s="364"/>
      <c r="AG347" s="361"/>
      <c r="AH347" s="365"/>
      <c r="AI347" s="361"/>
      <c r="AJ347" s="361"/>
      <c r="AK347" s="361"/>
      <c r="AL347" s="361"/>
      <c r="AM347" s="361"/>
      <c r="AN347" s="361"/>
      <c r="AO347" s="361"/>
      <c r="AP347" s="361"/>
      <c r="AQ347" s="361"/>
      <c r="AR347" s="503"/>
      <c r="AS347" s="489"/>
      <c r="AT347" s="160"/>
      <c r="AU347" s="355"/>
    </row>
    <row r="348" spans="1:47" s="124" customFormat="1" ht="21.75" hidden="1" customHeight="1">
      <c r="A348" s="331">
        <v>347</v>
      </c>
      <c r="B348" s="28" t="s">
        <v>1554</v>
      </c>
      <c r="C348" s="361" t="s">
        <v>1555</v>
      </c>
      <c r="D348" s="435" t="s">
        <v>1556</v>
      </c>
      <c r="E348" s="361" t="str">
        <f t="shared" si="5"/>
        <v>LOSS</v>
      </c>
      <c r="F348" s="361"/>
      <c r="G348" s="361"/>
      <c r="H348" s="28" t="s">
        <v>261</v>
      </c>
      <c r="I348" s="361" t="s">
        <v>243</v>
      </c>
      <c r="J348" s="361" t="s">
        <v>1557</v>
      </c>
      <c r="K348" s="361"/>
      <c r="L348" s="361"/>
      <c r="M348" s="361"/>
      <c r="N348" s="361"/>
      <c r="O348" s="384" t="s">
        <v>115</v>
      </c>
      <c r="P348" s="383">
        <v>109200000</v>
      </c>
      <c r="Q348" s="361"/>
      <c r="R348" s="385" t="s">
        <v>115</v>
      </c>
      <c r="S348" s="383">
        <v>30000000</v>
      </c>
      <c r="T348" s="361"/>
      <c r="U348" s="351">
        <v>44197</v>
      </c>
      <c r="V348" s="351">
        <v>44561</v>
      </c>
      <c r="W348" s="361" t="s">
        <v>250</v>
      </c>
      <c r="X348" s="361"/>
      <c r="Y348" s="361"/>
      <c r="Z348" s="361"/>
      <c r="AA348" s="361"/>
      <c r="AB348" s="361"/>
      <c r="AC348" s="159"/>
      <c r="AD348" s="368"/>
      <c r="AE348" s="364">
        <v>4500015905</v>
      </c>
      <c r="AF348" s="364"/>
      <c r="AG348" s="361"/>
      <c r="AH348" s="361"/>
      <c r="AI348" s="361"/>
      <c r="AJ348" s="361"/>
      <c r="AK348" s="361"/>
      <c r="AL348" s="361"/>
      <c r="AM348" s="361"/>
      <c r="AN348" s="361"/>
      <c r="AO348" s="361"/>
      <c r="AP348" s="361"/>
      <c r="AQ348" s="361"/>
      <c r="AR348" s="503"/>
      <c r="AS348" s="489"/>
      <c r="AT348" s="160"/>
      <c r="AU348" s="355"/>
    </row>
    <row r="349" spans="1:47" s="124" customFormat="1" ht="21.75" hidden="1" customHeight="1">
      <c r="A349" s="331">
        <v>348</v>
      </c>
      <c r="B349" s="361" t="s">
        <v>165</v>
      </c>
      <c r="C349" s="361" t="s">
        <v>704</v>
      </c>
      <c r="D349" s="436" t="s">
        <v>1432</v>
      </c>
      <c r="E349" s="361" t="str">
        <f t="shared" si="5"/>
        <v>LOSS</v>
      </c>
      <c r="F349" s="361"/>
      <c r="G349" s="361"/>
      <c r="H349" s="28" t="s">
        <v>261</v>
      </c>
      <c r="I349" s="361" t="s">
        <v>243</v>
      </c>
      <c r="J349" s="361" t="s">
        <v>1558</v>
      </c>
      <c r="K349" s="361"/>
      <c r="L349" s="361"/>
      <c r="M349" s="361"/>
      <c r="N349" s="361"/>
      <c r="O349" s="384" t="s">
        <v>115</v>
      </c>
      <c r="P349" s="383">
        <v>48600000</v>
      </c>
      <c r="Q349" s="361"/>
      <c r="R349" s="385" t="s">
        <v>115</v>
      </c>
      <c r="S349" s="383">
        <v>54888000</v>
      </c>
      <c r="T349" s="361"/>
      <c r="U349" s="351">
        <v>44300</v>
      </c>
      <c r="V349" s="351">
        <v>44664</v>
      </c>
      <c r="W349" s="361" t="s">
        <v>250</v>
      </c>
      <c r="X349" s="361"/>
      <c r="Y349" s="361"/>
      <c r="Z349" s="361"/>
      <c r="AA349" s="361"/>
      <c r="AB349" s="361"/>
      <c r="AC349" s="159"/>
      <c r="AD349" s="368"/>
      <c r="AE349" s="364">
        <v>4500015653</v>
      </c>
      <c r="AF349" s="364"/>
      <c r="AG349" s="361"/>
      <c r="AH349" s="361"/>
      <c r="AI349" s="361"/>
      <c r="AJ349" s="361"/>
      <c r="AK349" s="361"/>
      <c r="AL349" s="361"/>
      <c r="AM349" s="361"/>
      <c r="AN349" s="361"/>
      <c r="AO349" s="361"/>
      <c r="AP349" s="361"/>
      <c r="AQ349" s="361"/>
      <c r="AR349" s="503"/>
      <c r="AS349" s="489"/>
      <c r="AT349" s="160"/>
      <c r="AU349" s="355"/>
    </row>
    <row r="350" spans="1:47" s="124" customFormat="1" ht="21.75" hidden="1" customHeight="1">
      <c r="A350" s="331">
        <v>349</v>
      </c>
      <c r="B350" s="28" t="s">
        <v>1301</v>
      </c>
      <c r="C350" s="361" t="s">
        <v>1559</v>
      </c>
      <c r="D350" s="435" t="s">
        <v>1560</v>
      </c>
      <c r="E350" s="361" t="str">
        <f t="shared" si="5"/>
        <v>LOSS</v>
      </c>
      <c r="F350" s="361"/>
      <c r="G350" s="361"/>
      <c r="H350" s="28" t="s">
        <v>261</v>
      </c>
      <c r="I350" s="361" t="s">
        <v>243</v>
      </c>
      <c r="J350" s="376" t="s">
        <v>1561</v>
      </c>
      <c r="K350" s="361"/>
      <c r="L350" s="361"/>
      <c r="M350" s="361"/>
      <c r="N350" s="361"/>
      <c r="O350" s="384" t="s">
        <v>115</v>
      </c>
      <c r="P350" s="383">
        <v>3600000</v>
      </c>
      <c r="Q350" s="361"/>
      <c r="R350" s="383">
        <v>1370982</v>
      </c>
      <c r="S350" s="385" t="s">
        <v>115</v>
      </c>
      <c r="T350" s="361"/>
      <c r="U350" s="351">
        <v>44197</v>
      </c>
      <c r="V350" s="373">
        <v>44213</v>
      </c>
      <c r="W350" s="361" t="s">
        <v>250</v>
      </c>
      <c r="X350" s="361"/>
      <c r="Y350" s="361"/>
      <c r="Z350" s="361"/>
      <c r="AA350" s="361"/>
      <c r="AB350" s="361"/>
      <c r="AC350" s="159"/>
      <c r="AD350" s="368"/>
      <c r="AE350" s="364">
        <v>4500015922</v>
      </c>
      <c r="AF350" s="364"/>
      <c r="AG350" s="361"/>
      <c r="AH350" s="361"/>
      <c r="AI350" s="361"/>
      <c r="AJ350" s="361"/>
      <c r="AK350" s="361"/>
      <c r="AL350" s="361"/>
      <c r="AM350" s="361"/>
      <c r="AN350" s="361"/>
      <c r="AO350" s="361"/>
      <c r="AP350" s="361"/>
      <c r="AQ350" s="361"/>
      <c r="AR350" s="503"/>
      <c r="AS350" s="489"/>
      <c r="AT350" s="160"/>
      <c r="AU350" s="355"/>
    </row>
    <row r="351" spans="1:47" s="124" customFormat="1" ht="21.75" hidden="1" customHeight="1">
      <c r="A351" s="331">
        <v>350</v>
      </c>
      <c r="B351" s="361" t="s">
        <v>348</v>
      </c>
      <c r="C351" s="361" t="s">
        <v>1562</v>
      </c>
      <c r="D351" s="436" t="s">
        <v>1563</v>
      </c>
      <c r="E351" s="361" t="str">
        <f t="shared" si="5"/>
        <v>LOSS</v>
      </c>
      <c r="F351" s="361"/>
      <c r="G351" s="361"/>
      <c r="H351" s="361" t="s">
        <v>327</v>
      </c>
      <c r="I351" s="361" t="s">
        <v>242</v>
      </c>
      <c r="J351" s="376" t="s">
        <v>1564</v>
      </c>
      <c r="K351" s="365"/>
      <c r="L351" s="361"/>
      <c r="M351" s="361"/>
      <c r="N351" s="361"/>
      <c r="O351" s="384" t="s">
        <v>115</v>
      </c>
      <c r="P351" s="383">
        <v>36000000</v>
      </c>
      <c r="Q351" s="361"/>
      <c r="R351" s="383">
        <v>6600000</v>
      </c>
      <c r="S351" s="383">
        <v>11359668</v>
      </c>
      <c r="T351" s="361"/>
      <c r="U351" s="351">
        <v>44239</v>
      </c>
      <c r="V351" s="373">
        <v>44603</v>
      </c>
      <c r="W351" s="361" t="s">
        <v>250</v>
      </c>
      <c r="X351" s="361"/>
      <c r="Y351" s="361"/>
      <c r="Z351" s="361"/>
      <c r="AA351" s="361"/>
      <c r="AB351" s="361"/>
      <c r="AC351" s="159"/>
      <c r="AD351" s="361" t="s">
        <v>1565</v>
      </c>
      <c r="AE351" s="364">
        <v>4500015777</v>
      </c>
      <c r="AF351" s="364"/>
      <c r="AG351" s="361"/>
      <c r="AH351" s="365"/>
      <c r="AI351" s="361"/>
      <c r="AJ351" s="361"/>
      <c r="AK351" s="361"/>
      <c r="AL351" s="361"/>
      <c r="AM351" s="361"/>
      <c r="AN351" s="361"/>
      <c r="AO351" s="361"/>
      <c r="AP351" s="361"/>
      <c r="AQ351" s="361"/>
      <c r="AR351" s="503"/>
      <c r="AS351" s="489"/>
      <c r="AT351" s="160"/>
      <c r="AU351" s="355"/>
    </row>
    <row r="352" spans="1:47" s="124" customFormat="1" ht="21.75" hidden="1" customHeight="1">
      <c r="A352" s="331">
        <v>351</v>
      </c>
      <c r="B352" s="28" t="s">
        <v>1554</v>
      </c>
      <c r="C352" s="361" t="s">
        <v>1566</v>
      </c>
      <c r="D352" s="435" t="s">
        <v>1556</v>
      </c>
      <c r="E352" s="361" t="str">
        <f t="shared" si="5"/>
        <v>LOSS</v>
      </c>
      <c r="F352" s="361"/>
      <c r="G352" s="361"/>
      <c r="H352" s="28" t="s">
        <v>261</v>
      </c>
      <c r="I352" s="361" t="s">
        <v>243</v>
      </c>
      <c r="J352" s="361" t="s">
        <v>1567</v>
      </c>
      <c r="K352" s="361"/>
      <c r="L352" s="361"/>
      <c r="M352" s="361"/>
      <c r="N352" s="361"/>
      <c r="O352" s="384" t="s">
        <v>115</v>
      </c>
      <c r="P352" s="383">
        <v>153600000</v>
      </c>
      <c r="Q352" s="361"/>
      <c r="R352" s="385" t="s">
        <v>115</v>
      </c>
      <c r="S352" s="383">
        <v>72600000</v>
      </c>
      <c r="T352" s="361"/>
      <c r="U352" s="351">
        <v>44256</v>
      </c>
      <c r="V352" s="351">
        <v>44620</v>
      </c>
      <c r="W352" s="361" t="s">
        <v>250</v>
      </c>
      <c r="X352" s="361"/>
      <c r="Y352" s="361"/>
      <c r="Z352" s="361"/>
      <c r="AA352" s="361"/>
      <c r="AB352" s="361"/>
      <c r="AC352" s="159"/>
      <c r="AD352" s="368"/>
      <c r="AE352" s="364">
        <v>4500015906</v>
      </c>
      <c r="AF352" s="364"/>
      <c r="AG352" s="361"/>
      <c r="AH352" s="361"/>
      <c r="AI352" s="361"/>
      <c r="AJ352" s="361"/>
      <c r="AK352" s="361"/>
      <c r="AL352" s="361"/>
      <c r="AM352" s="361"/>
      <c r="AN352" s="361"/>
      <c r="AO352" s="361"/>
      <c r="AP352" s="361"/>
      <c r="AQ352" s="361"/>
      <c r="AR352" s="503"/>
      <c r="AS352" s="489"/>
      <c r="AT352" s="160"/>
      <c r="AU352" s="355"/>
    </row>
    <row r="353" spans="1:47" s="124" customFormat="1" ht="21.75" hidden="1" customHeight="1">
      <c r="A353" s="331">
        <v>352</v>
      </c>
      <c r="B353" s="361" t="s">
        <v>542</v>
      </c>
      <c r="C353" s="361" t="s">
        <v>1568</v>
      </c>
      <c r="D353" s="437" t="s">
        <v>413</v>
      </c>
      <c r="E353" s="361" t="str">
        <f t="shared" si="5"/>
        <v>LOSS</v>
      </c>
      <c r="F353" s="361"/>
      <c r="G353" s="361"/>
      <c r="H353" s="361" t="s">
        <v>327</v>
      </c>
      <c r="I353" s="361" t="s">
        <v>242</v>
      </c>
      <c r="J353" s="361" t="s">
        <v>1569</v>
      </c>
      <c r="K353" s="365"/>
      <c r="L353" s="361"/>
      <c r="M353" s="361"/>
      <c r="N353" s="361"/>
      <c r="O353" s="384" t="s">
        <v>115</v>
      </c>
      <c r="P353" s="383">
        <v>90000000</v>
      </c>
      <c r="Q353" s="361"/>
      <c r="R353" s="385" t="s">
        <v>115</v>
      </c>
      <c r="S353" s="383">
        <v>8000000</v>
      </c>
      <c r="T353" s="361"/>
      <c r="U353" s="351">
        <v>44240</v>
      </c>
      <c r="V353" s="351">
        <v>44604</v>
      </c>
      <c r="W353" s="361" t="s">
        <v>250</v>
      </c>
      <c r="X353" s="361"/>
      <c r="Y353" s="361"/>
      <c r="Z353" s="361"/>
      <c r="AA353" s="361"/>
      <c r="AB353" s="361"/>
      <c r="AC353" s="159"/>
      <c r="AD353" s="368"/>
      <c r="AE353" s="364">
        <v>4500015716</v>
      </c>
      <c r="AF353" s="364"/>
      <c r="AG353" s="361"/>
      <c r="AH353" s="365"/>
      <c r="AI353" s="361"/>
      <c r="AJ353" s="361"/>
      <c r="AK353" s="361"/>
      <c r="AL353" s="361"/>
      <c r="AM353" s="361"/>
      <c r="AN353" s="361"/>
      <c r="AO353" s="361"/>
      <c r="AP353" s="361"/>
      <c r="AQ353" s="361"/>
      <c r="AR353" s="503"/>
      <c r="AS353" s="489"/>
      <c r="AT353" s="160"/>
      <c r="AU353" s="355"/>
    </row>
    <row r="354" spans="1:47" s="124" customFormat="1" ht="21.75" hidden="1" customHeight="1">
      <c r="A354" s="331">
        <v>353</v>
      </c>
      <c r="B354" s="28" t="s">
        <v>179</v>
      </c>
      <c r="C354" s="361" t="s">
        <v>914</v>
      </c>
      <c r="D354" s="435" t="s">
        <v>862</v>
      </c>
      <c r="E354" s="361" t="str">
        <f t="shared" si="5"/>
        <v>LOSS</v>
      </c>
      <c r="F354" s="361"/>
      <c r="G354" s="361"/>
      <c r="H354" s="361" t="s">
        <v>327</v>
      </c>
      <c r="I354" s="361" t="s">
        <v>242</v>
      </c>
      <c r="J354" s="376" t="s">
        <v>1570</v>
      </c>
      <c r="K354" s="365"/>
      <c r="L354" s="361"/>
      <c r="M354" s="361"/>
      <c r="N354" s="361"/>
      <c r="O354" s="384" t="s">
        <v>115</v>
      </c>
      <c r="P354" s="385" t="s">
        <v>115</v>
      </c>
      <c r="Q354" s="361"/>
      <c r="R354" s="383">
        <v>9000000</v>
      </c>
      <c r="S354" s="383">
        <v>63000000</v>
      </c>
      <c r="T354" s="361"/>
      <c r="U354" s="351">
        <v>44400</v>
      </c>
      <c r="V354" s="351">
        <v>44764</v>
      </c>
      <c r="W354" s="361" t="s">
        <v>250</v>
      </c>
      <c r="X354" s="361"/>
      <c r="Y354" s="361"/>
      <c r="Z354" s="361"/>
      <c r="AA354" s="361"/>
      <c r="AB354" s="361"/>
      <c r="AC354" s="159"/>
      <c r="AD354" s="361" t="s">
        <v>1571</v>
      </c>
      <c r="AE354" s="364">
        <v>4500016484</v>
      </c>
      <c r="AF354" s="364"/>
      <c r="AG354" s="361"/>
      <c r="AH354" s="365"/>
      <c r="AI354" s="361"/>
      <c r="AJ354" s="361"/>
      <c r="AK354" s="361"/>
      <c r="AL354" s="361"/>
      <c r="AM354" s="361"/>
      <c r="AN354" s="361"/>
      <c r="AO354" s="361"/>
      <c r="AP354" s="361"/>
      <c r="AQ354" s="361"/>
      <c r="AR354" s="503"/>
      <c r="AS354" s="489"/>
      <c r="AT354" s="160"/>
      <c r="AU354" s="355"/>
    </row>
    <row r="355" spans="1:47" s="124" customFormat="1" ht="21.75" hidden="1" customHeight="1">
      <c r="A355" s="331">
        <v>354</v>
      </c>
      <c r="B355" s="361" t="s">
        <v>708</v>
      </c>
      <c r="C355" s="361" t="s">
        <v>1572</v>
      </c>
      <c r="D355" s="436" t="s">
        <v>1573</v>
      </c>
      <c r="E355" s="361" t="str">
        <f t="shared" si="5"/>
        <v>LOSS</v>
      </c>
      <c r="F355" s="361"/>
      <c r="G355" s="361"/>
      <c r="H355" s="361" t="s">
        <v>327</v>
      </c>
      <c r="I355" s="160" t="s">
        <v>346</v>
      </c>
      <c r="J355" s="361" t="s">
        <v>711</v>
      </c>
      <c r="K355" s="365"/>
      <c r="L355" s="361"/>
      <c r="M355" s="361"/>
      <c r="N355" s="361"/>
      <c r="O355" s="384" t="s">
        <v>115</v>
      </c>
      <c r="P355" s="383">
        <v>60000000</v>
      </c>
      <c r="Q355" s="361"/>
      <c r="R355" s="385" t="s">
        <v>115</v>
      </c>
      <c r="S355" s="383">
        <v>6957500</v>
      </c>
      <c r="T355" s="361"/>
      <c r="U355" s="351">
        <v>44466</v>
      </c>
      <c r="V355" s="351">
        <v>44465</v>
      </c>
      <c r="W355" s="361" t="s">
        <v>250</v>
      </c>
      <c r="X355" s="361"/>
      <c r="Y355" s="361"/>
      <c r="Z355" s="361"/>
      <c r="AA355" s="361"/>
      <c r="AB355" s="361"/>
      <c r="AC355" s="159"/>
      <c r="AD355" s="368"/>
      <c r="AE355" s="364">
        <v>4500016589</v>
      </c>
      <c r="AF355" s="364"/>
      <c r="AG355" s="361"/>
      <c r="AH355" s="365"/>
      <c r="AI355" s="361"/>
      <c r="AJ355" s="361"/>
      <c r="AK355" s="361"/>
      <c r="AL355" s="361"/>
      <c r="AM355" s="361"/>
      <c r="AN355" s="361"/>
      <c r="AO355" s="361"/>
      <c r="AP355" s="361"/>
      <c r="AQ355" s="361"/>
      <c r="AR355" s="503"/>
      <c r="AS355" s="489"/>
      <c r="AT355" s="160"/>
      <c r="AU355" s="355"/>
    </row>
    <row r="356" spans="1:47" s="124" customFormat="1" ht="21.75" hidden="1" customHeight="1">
      <c r="A356" s="331">
        <v>355</v>
      </c>
      <c r="B356" s="28" t="s">
        <v>635</v>
      </c>
      <c r="C356" s="361" t="s">
        <v>1574</v>
      </c>
      <c r="D356" s="435" t="s">
        <v>888</v>
      </c>
      <c r="E356" s="361" t="str">
        <f t="shared" si="5"/>
        <v>LOSS</v>
      </c>
      <c r="F356" s="361"/>
      <c r="G356" s="361"/>
      <c r="H356" s="361" t="s">
        <v>327</v>
      </c>
      <c r="I356" s="361" t="s">
        <v>242</v>
      </c>
      <c r="J356" s="361" t="s">
        <v>1575</v>
      </c>
      <c r="K356" s="365"/>
      <c r="L356" s="361"/>
      <c r="M356" s="361"/>
      <c r="N356" s="361"/>
      <c r="O356" s="382">
        <v>2500000</v>
      </c>
      <c r="P356" s="383">
        <v>60000000</v>
      </c>
      <c r="Q356" s="361"/>
      <c r="R356" s="385" t="s">
        <v>115</v>
      </c>
      <c r="S356" s="383">
        <v>12000000</v>
      </c>
      <c r="T356" s="361"/>
      <c r="U356" s="351">
        <v>44453</v>
      </c>
      <c r="V356" s="351">
        <v>44817</v>
      </c>
      <c r="W356" s="361" t="s">
        <v>250</v>
      </c>
      <c r="X356" s="361"/>
      <c r="Y356" s="361"/>
      <c r="Z356" s="361"/>
      <c r="AA356" s="361"/>
      <c r="AB356" s="361"/>
      <c r="AC356" s="159"/>
      <c r="AD356" s="361" t="s">
        <v>1576</v>
      </c>
      <c r="AE356" s="364">
        <v>4500016733</v>
      </c>
      <c r="AF356" s="364"/>
      <c r="AG356" s="361"/>
      <c r="AH356" s="365"/>
      <c r="AI356" s="361"/>
      <c r="AJ356" s="361"/>
      <c r="AK356" s="361"/>
      <c r="AL356" s="361"/>
      <c r="AM356" s="361"/>
      <c r="AN356" s="361"/>
      <c r="AO356" s="361"/>
      <c r="AP356" s="361"/>
      <c r="AQ356" s="361"/>
      <c r="AR356" s="503"/>
      <c r="AS356" s="489"/>
      <c r="AT356" s="160"/>
      <c r="AU356" s="355"/>
    </row>
    <row r="357" spans="1:47" s="124" customFormat="1" ht="21.75" hidden="1" customHeight="1">
      <c r="A357" s="331">
        <v>356</v>
      </c>
      <c r="B357" s="361" t="s">
        <v>1043</v>
      </c>
      <c r="C357" s="361" t="s">
        <v>1577</v>
      </c>
      <c r="D357" s="436" t="s">
        <v>1578</v>
      </c>
      <c r="E357" s="361" t="str">
        <f t="shared" si="5"/>
        <v>LOSS</v>
      </c>
      <c r="F357" s="361"/>
      <c r="G357" s="361"/>
      <c r="H357" s="28" t="s">
        <v>261</v>
      </c>
      <c r="I357" s="361" t="s">
        <v>243</v>
      </c>
      <c r="J357" s="361" t="s">
        <v>115</v>
      </c>
      <c r="K357" s="361"/>
      <c r="L357" s="361"/>
      <c r="M357" s="361"/>
      <c r="N357" s="361"/>
      <c r="O357" s="384" t="s">
        <v>115</v>
      </c>
      <c r="P357" s="383">
        <v>36000000</v>
      </c>
      <c r="Q357" s="361"/>
      <c r="R357" s="385" t="s">
        <v>115</v>
      </c>
      <c r="S357" s="383">
        <v>15840000</v>
      </c>
      <c r="T357" s="361"/>
      <c r="U357" s="351">
        <v>44378</v>
      </c>
      <c r="V357" s="351">
        <v>44742</v>
      </c>
      <c r="W357" s="361" t="s">
        <v>250</v>
      </c>
      <c r="X357" s="361"/>
      <c r="Y357" s="361"/>
      <c r="Z357" s="361"/>
      <c r="AA357" s="361"/>
      <c r="AB357" s="361"/>
      <c r="AC357" s="159"/>
      <c r="AD357" s="361" t="s">
        <v>1579</v>
      </c>
      <c r="AE357" s="364">
        <v>4500016467</v>
      </c>
      <c r="AF357" s="364"/>
      <c r="AG357" s="361"/>
      <c r="AH357" s="361"/>
      <c r="AI357" s="361"/>
      <c r="AJ357" s="361"/>
      <c r="AK357" s="361"/>
      <c r="AL357" s="361"/>
      <c r="AM357" s="361"/>
      <c r="AN357" s="361"/>
      <c r="AO357" s="361"/>
      <c r="AP357" s="361"/>
      <c r="AQ357" s="361"/>
      <c r="AR357" s="503"/>
      <c r="AS357" s="489"/>
      <c r="AT357" s="160"/>
      <c r="AU357" s="355"/>
    </row>
    <row r="358" spans="1:47" s="124" customFormat="1" ht="21.75" hidden="1" customHeight="1">
      <c r="A358" s="331">
        <v>357</v>
      </c>
      <c r="B358" s="361" t="s">
        <v>1580</v>
      </c>
      <c r="C358" s="361" t="s">
        <v>1581</v>
      </c>
      <c r="D358" s="435" t="s">
        <v>854</v>
      </c>
      <c r="E358" s="361" t="str">
        <f t="shared" si="5"/>
        <v>LOSS</v>
      </c>
      <c r="F358" s="361"/>
      <c r="G358" s="361"/>
      <c r="H358" s="361" t="s">
        <v>327</v>
      </c>
      <c r="I358" s="361" t="s">
        <v>242</v>
      </c>
      <c r="J358" s="361" t="s">
        <v>1582</v>
      </c>
      <c r="K358" s="365"/>
      <c r="L358" s="361"/>
      <c r="M358" s="361"/>
      <c r="N358" s="361"/>
      <c r="O358" s="382">
        <v>15000000</v>
      </c>
      <c r="P358" s="383">
        <v>60500000</v>
      </c>
      <c r="Q358" s="361"/>
      <c r="R358" s="383">
        <v>9000000</v>
      </c>
      <c r="S358" s="383">
        <v>18000000</v>
      </c>
      <c r="T358" s="361"/>
      <c r="U358" s="351">
        <v>44452</v>
      </c>
      <c r="V358" s="351">
        <v>44816</v>
      </c>
      <c r="W358" s="361" t="s">
        <v>250</v>
      </c>
      <c r="X358" s="361"/>
      <c r="Y358" s="361"/>
      <c r="Z358" s="361"/>
      <c r="AA358" s="361"/>
      <c r="AB358" s="361"/>
      <c r="AC358" s="159"/>
      <c r="AD358" s="361" t="s">
        <v>1583</v>
      </c>
      <c r="AE358" s="364">
        <v>4500016638</v>
      </c>
      <c r="AF358" s="364"/>
      <c r="AG358" s="361"/>
      <c r="AH358" s="365"/>
      <c r="AI358" s="361"/>
      <c r="AJ358" s="361"/>
      <c r="AK358" s="361"/>
      <c r="AL358" s="361"/>
      <c r="AM358" s="361"/>
      <c r="AN358" s="361"/>
      <c r="AO358" s="361"/>
      <c r="AP358" s="361"/>
      <c r="AQ358" s="361"/>
      <c r="AR358" s="503"/>
      <c r="AS358" s="489"/>
      <c r="AT358" s="160"/>
      <c r="AU358" s="355"/>
    </row>
    <row r="359" spans="1:47" s="124" customFormat="1" ht="21.75" hidden="1" customHeight="1">
      <c r="A359" s="331">
        <v>358</v>
      </c>
      <c r="B359" s="361" t="s">
        <v>1580</v>
      </c>
      <c r="C359" s="361" t="s">
        <v>1584</v>
      </c>
      <c r="D359" s="436" t="s">
        <v>854</v>
      </c>
      <c r="E359" s="361" t="str">
        <f t="shared" si="5"/>
        <v>LOSS</v>
      </c>
      <c r="F359" s="361"/>
      <c r="G359" s="361"/>
      <c r="H359" s="361" t="s">
        <v>327</v>
      </c>
      <c r="I359" s="361" t="s">
        <v>242</v>
      </c>
      <c r="J359" s="361" t="s">
        <v>1585</v>
      </c>
      <c r="K359" s="365"/>
      <c r="L359" s="361"/>
      <c r="M359" s="361"/>
      <c r="N359" s="361"/>
      <c r="O359" s="382">
        <v>5000000</v>
      </c>
      <c r="P359" s="383">
        <v>60000000</v>
      </c>
      <c r="Q359" s="361"/>
      <c r="R359" s="383">
        <v>4000000</v>
      </c>
      <c r="S359" s="383">
        <v>24000000</v>
      </c>
      <c r="T359" s="361"/>
      <c r="U359" s="351">
        <v>44452</v>
      </c>
      <c r="V359" s="351">
        <v>44816</v>
      </c>
      <c r="W359" s="361" t="s">
        <v>250</v>
      </c>
      <c r="X359" s="361"/>
      <c r="Y359" s="361"/>
      <c r="Z359" s="361"/>
      <c r="AA359" s="361"/>
      <c r="AB359" s="361"/>
      <c r="AC359" s="159"/>
      <c r="AD359" s="361" t="s">
        <v>1586</v>
      </c>
      <c r="AE359" s="364">
        <v>4500016616</v>
      </c>
      <c r="AF359" s="364"/>
      <c r="AG359" s="361"/>
      <c r="AH359" s="365"/>
      <c r="AI359" s="361"/>
      <c r="AJ359" s="361"/>
      <c r="AK359" s="361"/>
      <c r="AL359" s="361"/>
      <c r="AM359" s="361"/>
      <c r="AN359" s="361"/>
      <c r="AO359" s="361"/>
      <c r="AP359" s="361"/>
      <c r="AQ359" s="361"/>
      <c r="AR359" s="503"/>
      <c r="AS359" s="489"/>
      <c r="AT359" s="160"/>
      <c r="AU359" s="355"/>
    </row>
    <row r="360" spans="1:47" s="124" customFormat="1" ht="21.75" hidden="1" customHeight="1">
      <c r="A360" s="331">
        <v>359</v>
      </c>
      <c r="B360" s="361" t="s">
        <v>1587</v>
      </c>
      <c r="C360" s="361" t="s">
        <v>1588</v>
      </c>
      <c r="D360" s="435" t="s">
        <v>1589</v>
      </c>
      <c r="E360" s="361" t="str">
        <f t="shared" si="5"/>
        <v>LOSS</v>
      </c>
      <c r="F360" s="361"/>
      <c r="G360" s="361"/>
      <c r="H360" s="361" t="s">
        <v>327</v>
      </c>
      <c r="I360" s="160" t="s">
        <v>346</v>
      </c>
      <c r="J360" s="361" t="s">
        <v>1590</v>
      </c>
      <c r="K360" s="365"/>
      <c r="L360" s="361"/>
      <c r="M360" s="361"/>
      <c r="N360" s="361"/>
      <c r="O360" s="384" t="s">
        <v>115</v>
      </c>
      <c r="P360" s="383">
        <v>240000000</v>
      </c>
      <c r="Q360" s="361"/>
      <c r="R360" s="385" t="s">
        <v>115</v>
      </c>
      <c r="S360" s="383">
        <v>96000000</v>
      </c>
      <c r="T360" s="361"/>
      <c r="U360" s="351">
        <v>44449</v>
      </c>
      <c r="V360" s="351">
        <v>44813</v>
      </c>
      <c r="W360" s="361" t="s">
        <v>250</v>
      </c>
      <c r="X360" s="361"/>
      <c r="Y360" s="361"/>
      <c r="Z360" s="361"/>
      <c r="AA360" s="361"/>
      <c r="AB360" s="361"/>
      <c r="AC360" s="159"/>
      <c r="AD360" s="361" t="s">
        <v>1591</v>
      </c>
      <c r="AE360" s="364">
        <v>4500016710</v>
      </c>
      <c r="AF360" s="364"/>
      <c r="AG360" s="361"/>
      <c r="AH360" s="365"/>
      <c r="AI360" s="361"/>
      <c r="AJ360" s="361"/>
      <c r="AK360" s="361"/>
      <c r="AL360" s="361"/>
      <c r="AM360" s="361"/>
      <c r="AN360" s="361"/>
      <c r="AO360" s="361"/>
      <c r="AP360" s="361"/>
      <c r="AQ360" s="361"/>
      <c r="AR360" s="503"/>
      <c r="AS360" s="489"/>
      <c r="AT360" s="160"/>
      <c r="AU360" s="355"/>
    </row>
    <row r="361" spans="1:47" s="124" customFormat="1" ht="21.75" hidden="1" customHeight="1">
      <c r="A361" s="331">
        <v>360</v>
      </c>
      <c r="B361" s="28" t="s">
        <v>1592</v>
      </c>
      <c r="C361" s="361" t="s">
        <v>1593</v>
      </c>
      <c r="D361" s="436" t="s">
        <v>1594</v>
      </c>
      <c r="E361" s="361" t="str">
        <f t="shared" si="5"/>
        <v>LOSS</v>
      </c>
      <c r="F361" s="361"/>
      <c r="G361" s="361"/>
      <c r="H361" s="361" t="s">
        <v>327</v>
      </c>
      <c r="I361" s="160" t="s">
        <v>346</v>
      </c>
      <c r="J361" s="361" t="s">
        <v>1595</v>
      </c>
      <c r="K361" s="365"/>
      <c r="L361" s="361"/>
      <c r="M361" s="361"/>
      <c r="N361" s="361"/>
      <c r="O361" s="384" t="s">
        <v>115</v>
      </c>
      <c r="P361" s="383">
        <v>384000000</v>
      </c>
      <c r="Q361" s="361"/>
      <c r="R361" s="385" t="s">
        <v>115</v>
      </c>
      <c r="S361" s="383">
        <v>77000000</v>
      </c>
      <c r="T361" s="361"/>
      <c r="U361" s="351">
        <v>44464</v>
      </c>
      <c r="V361" s="351">
        <v>44828</v>
      </c>
      <c r="W361" s="361" t="s">
        <v>250</v>
      </c>
      <c r="X361" s="361"/>
      <c r="Y361" s="361"/>
      <c r="Z361" s="361"/>
      <c r="AA361" s="361"/>
      <c r="AB361" s="361"/>
      <c r="AC361" s="159"/>
      <c r="AD361" s="361" t="s">
        <v>1596</v>
      </c>
      <c r="AE361" s="364">
        <v>4500016628</v>
      </c>
      <c r="AF361" s="364"/>
      <c r="AG361" s="361"/>
      <c r="AH361" s="365"/>
      <c r="AI361" s="361"/>
      <c r="AJ361" s="361"/>
      <c r="AK361" s="361"/>
      <c r="AL361" s="361"/>
      <c r="AM361" s="361"/>
      <c r="AN361" s="361"/>
      <c r="AO361" s="361"/>
      <c r="AP361" s="361"/>
      <c r="AQ361" s="361"/>
      <c r="AR361" s="503"/>
      <c r="AS361" s="489"/>
      <c r="AT361" s="160"/>
      <c r="AU361" s="355"/>
    </row>
    <row r="362" spans="1:47" s="124" customFormat="1" ht="21.75" hidden="1" customHeight="1">
      <c r="A362" s="331">
        <v>361</v>
      </c>
      <c r="B362" s="361" t="s">
        <v>1580</v>
      </c>
      <c r="C362" s="361" t="s">
        <v>931</v>
      </c>
      <c r="D362" s="435" t="s">
        <v>854</v>
      </c>
      <c r="E362" s="361" t="str">
        <f t="shared" si="5"/>
        <v>LOSS</v>
      </c>
      <c r="F362" s="361"/>
      <c r="G362" s="361"/>
      <c r="H362" s="361" t="s">
        <v>327</v>
      </c>
      <c r="I362" s="361" t="s">
        <v>242</v>
      </c>
      <c r="J362" s="361"/>
      <c r="K362" s="365"/>
      <c r="L362" s="361"/>
      <c r="M362" s="361"/>
      <c r="N362" s="361"/>
      <c r="O362" s="384" t="s">
        <v>115</v>
      </c>
      <c r="P362" s="385" t="s">
        <v>115</v>
      </c>
      <c r="Q362" s="361"/>
      <c r="R362" s="385" t="s">
        <v>115</v>
      </c>
      <c r="S362" s="383">
        <v>36000000</v>
      </c>
      <c r="T362" s="361"/>
      <c r="U362" s="351">
        <v>44445</v>
      </c>
      <c r="V362" s="351">
        <v>44809</v>
      </c>
      <c r="W362" s="361" t="s">
        <v>250</v>
      </c>
      <c r="X362" s="361"/>
      <c r="Y362" s="361"/>
      <c r="Z362" s="361"/>
      <c r="AA362" s="361"/>
      <c r="AB362" s="361"/>
      <c r="AC362" s="159"/>
      <c r="AD362" s="361" t="s">
        <v>1597</v>
      </c>
      <c r="AE362" s="364">
        <v>4500016633</v>
      </c>
      <c r="AF362" s="364"/>
      <c r="AG362" s="361"/>
      <c r="AH362" s="365"/>
      <c r="AI362" s="361"/>
      <c r="AJ362" s="361"/>
      <c r="AK362" s="361"/>
      <c r="AL362" s="361"/>
      <c r="AM362" s="361"/>
      <c r="AN362" s="361"/>
      <c r="AO362" s="361"/>
      <c r="AP362" s="361"/>
      <c r="AQ362" s="361"/>
      <c r="AR362" s="503"/>
      <c r="AS362" s="489"/>
      <c r="AT362" s="160"/>
      <c r="AU362" s="355"/>
    </row>
    <row r="363" spans="1:47" s="124" customFormat="1" ht="21.75" hidden="1" customHeight="1">
      <c r="A363" s="331">
        <v>362</v>
      </c>
      <c r="B363" s="361" t="s">
        <v>1580</v>
      </c>
      <c r="C363" s="361" t="s">
        <v>931</v>
      </c>
      <c r="D363" s="436" t="s">
        <v>854</v>
      </c>
      <c r="E363" s="361" t="str">
        <f t="shared" si="5"/>
        <v>LOSS</v>
      </c>
      <c r="F363" s="361"/>
      <c r="G363" s="361"/>
      <c r="H363" s="361" t="s">
        <v>327</v>
      </c>
      <c r="I363" s="361" t="s">
        <v>242</v>
      </c>
      <c r="J363" s="361"/>
      <c r="K363" s="365"/>
      <c r="L363" s="361"/>
      <c r="M363" s="361"/>
      <c r="N363" s="361"/>
      <c r="O363" s="384" t="s">
        <v>115</v>
      </c>
      <c r="P363" s="385" t="s">
        <v>115</v>
      </c>
      <c r="Q363" s="361"/>
      <c r="R363" s="385" t="s">
        <v>115</v>
      </c>
      <c r="S363" s="383">
        <v>18000000</v>
      </c>
      <c r="T363" s="361"/>
      <c r="U363" s="351">
        <v>44448</v>
      </c>
      <c r="V363" s="351">
        <v>44812</v>
      </c>
      <c r="W363" s="361" t="s">
        <v>250</v>
      </c>
      <c r="X363" s="361"/>
      <c r="Y363" s="361"/>
      <c r="Z363" s="361"/>
      <c r="AA363" s="361"/>
      <c r="AB363" s="361"/>
      <c r="AC363" s="159"/>
      <c r="AD363" s="361" t="s">
        <v>1598</v>
      </c>
      <c r="AE363" s="364">
        <v>4500016631</v>
      </c>
      <c r="AF363" s="364"/>
      <c r="AG363" s="361"/>
      <c r="AH363" s="365"/>
      <c r="AI363" s="361"/>
      <c r="AJ363" s="361"/>
      <c r="AK363" s="361"/>
      <c r="AL363" s="361"/>
      <c r="AM363" s="361"/>
      <c r="AN363" s="361"/>
      <c r="AO363" s="361"/>
      <c r="AP363" s="361"/>
      <c r="AQ363" s="361"/>
      <c r="AR363" s="503"/>
      <c r="AS363" s="489"/>
      <c r="AT363" s="160"/>
      <c r="AU363" s="355"/>
    </row>
    <row r="364" spans="1:47" s="124" customFormat="1" ht="21.75" hidden="1" customHeight="1">
      <c r="A364" s="331">
        <v>363</v>
      </c>
      <c r="B364" s="361" t="s">
        <v>1580</v>
      </c>
      <c r="C364" s="361" t="s">
        <v>931</v>
      </c>
      <c r="D364" s="435" t="s">
        <v>854</v>
      </c>
      <c r="E364" s="361" t="str">
        <f t="shared" si="5"/>
        <v>LOSS</v>
      </c>
      <c r="F364" s="361"/>
      <c r="G364" s="361"/>
      <c r="H364" s="361" t="s">
        <v>327</v>
      </c>
      <c r="I364" s="361" t="s">
        <v>242</v>
      </c>
      <c r="J364" s="361"/>
      <c r="K364" s="365"/>
      <c r="L364" s="361"/>
      <c r="M364" s="361"/>
      <c r="N364" s="361"/>
      <c r="O364" s="384" t="s">
        <v>115</v>
      </c>
      <c r="P364" s="385" t="s">
        <v>115</v>
      </c>
      <c r="Q364" s="361"/>
      <c r="R364" s="385" t="s">
        <v>115</v>
      </c>
      <c r="S364" s="383">
        <v>6000000</v>
      </c>
      <c r="T364" s="361"/>
      <c r="U364" s="351">
        <v>44448</v>
      </c>
      <c r="V364" s="351">
        <v>44812</v>
      </c>
      <c r="W364" s="361" t="s">
        <v>250</v>
      </c>
      <c r="X364" s="361"/>
      <c r="Y364" s="361"/>
      <c r="Z364" s="361"/>
      <c r="AA364" s="361"/>
      <c r="AB364" s="361"/>
      <c r="AC364" s="159"/>
      <c r="AD364" s="361" t="s">
        <v>1599</v>
      </c>
      <c r="AE364" s="364">
        <v>4500016632</v>
      </c>
      <c r="AF364" s="364"/>
      <c r="AG364" s="361"/>
      <c r="AH364" s="365"/>
      <c r="AI364" s="361"/>
      <c r="AJ364" s="361"/>
      <c r="AK364" s="361"/>
      <c r="AL364" s="361"/>
      <c r="AM364" s="361"/>
      <c r="AN364" s="361"/>
      <c r="AO364" s="361"/>
      <c r="AP364" s="361"/>
      <c r="AQ364" s="361"/>
      <c r="AR364" s="503"/>
      <c r="AS364" s="489"/>
      <c r="AT364" s="160"/>
      <c r="AU364" s="355"/>
    </row>
    <row r="365" spans="1:47" s="124" customFormat="1" ht="21.75" hidden="1" customHeight="1">
      <c r="A365" s="331">
        <v>364</v>
      </c>
      <c r="B365" s="361" t="s">
        <v>1081</v>
      </c>
      <c r="C365" s="361" t="s">
        <v>1600</v>
      </c>
      <c r="D365" s="436" t="s">
        <v>1601</v>
      </c>
      <c r="E365" s="361" t="str">
        <f t="shared" si="5"/>
        <v>LOSS</v>
      </c>
      <c r="F365" s="361"/>
      <c r="G365" s="361"/>
      <c r="H365" s="361" t="s">
        <v>327</v>
      </c>
      <c r="I365" s="361" t="s">
        <v>346</v>
      </c>
      <c r="J365" s="361" t="s">
        <v>1602</v>
      </c>
      <c r="K365" s="365"/>
      <c r="L365" s="361"/>
      <c r="M365" s="361"/>
      <c r="N365" s="361"/>
      <c r="O365" s="384" t="s">
        <v>115</v>
      </c>
      <c r="P365" s="383">
        <v>360000000</v>
      </c>
      <c r="Q365" s="361"/>
      <c r="R365" s="385" t="s">
        <v>115</v>
      </c>
      <c r="S365" s="383">
        <v>21525000</v>
      </c>
      <c r="T365" s="361"/>
      <c r="U365" s="351">
        <v>44398</v>
      </c>
      <c r="V365" s="351">
        <v>44762</v>
      </c>
      <c r="W365" s="361" t="s">
        <v>250</v>
      </c>
      <c r="X365" s="361"/>
      <c r="Y365" s="361"/>
      <c r="Z365" s="361"/>
      <c r="AA365" s="361"/>
      <c r="AB365" s="361"/>
      <c r="AC365" s="159"/>
      <c r="AD365" s="361" t="s">
        <v>1603</v>
      </c>
      <c r="AE365" s="364">
        <v>4500016619</v>
      </c>
      <c r="AF365" s="364"/>
      <c r="AG365" s="361"/>
      <c r="AH365" s="365"/>
      <c r="AI365" s="361"/>
      <c r="AJ365" s="361"/>
      <c r="AK365" s="361"/>
      <c r="AL365" s="361"/>
      <c r="AM365" s="361"/>
      <c r="AN365" s="361"/>
      <c r="AO365" s="361"/>
      <c r="AP365" s="361"/>
      <c r="AQ365" s="361"/>
      <c r="AR365" s="503"/>
      <c r="AS365" s="489"/>
      <c r="AT365" s="160"/>
      <c r="AU365" s="355"/>
    </row>
    <row r="366" spans="1:47" s="124" customFormat="1" ht="21.75" hidden="1" customHeight="1">
      <c r="A366" s="331">
        <v>365</v>
      </c>
      <c r="B366" s="28" t="s">
        <v>151</v>
      </c>
      <c r="C366" s="361" t="s">
        <v>538</v>
      </c>
      <c r="D366" s="435" t="s">
        <v>878</v>
      </c>
      <c r="E366" s="361" t="str">
        <f t="shared" si="5"/>
        <v>LOSS</v>
      </c>
      <c r="F366" s="361"/>
      <c r="G366" s="361"/>
      <c r="H366" s="361" t="s">
        <v>327</v>
      </c>
      <c r="I366" s="160" t="s">
        <v>346</v>
      </c>
      <c r="J366" s="361" t="s">
        <v>1604</v>
      </c>
      <c r="K366" s="365"/>
      <c r="L366" s="361"/>
      <c r="M366" s="361"/>
      <c r="N366" s="361"/>
      <c r="O366" s="384" t="s">
        <v>115</v>
      </c>
      <c r="P366" s="383">
        <v>30000000</v>
      </c>
      <c r="Q366" s="361"/>
      <c r="R366" s="385" t="s">
        <v>115</v>
      </c>
      <c r="S366" s="383">
        <v>7500000</v>
      </c>
      <c r="T366" s="361"/>
      <c r="U366" s="351">
        <v>44320</v>
      </c>
      <c r="V366" s="351">
        <v>44684</v>
      </c>
      <c r="W366" s="361" t="s">
        <v>250</v>
      </c>
      <c r="X366" s="361"/>
      <c r="Y366" s="361"/>
      <c r="Z366" s="361"/>
      <c r="AA366" s="361"/>
      <c r="AB366" s="361"/>
      <c r="AC366" s="159"/>
      <c r="AD366" s="361" t="s">
        <v>1605</v>
      </c>
      <c r="AE366" s="364">
        <v>4500016299</v>
      </c>
      <c r="AF366" s="364"/>
      <c r="AG366" s="361"/>
      <c r="AH366" s="365"/>
      <c r="AI366" s="361"/>
      <c r="AJ366" s="361"/>
      <c r="AK366" s="361"/>
      <c r="AL366" s="361"/>
      <c r="AM366" s="361"/>
      <c r="AN366" s="361"/>
      <c r="AO366" s="361"/>
      <c r="AP366" s="361"/>
      <c r="AQ366" s="361"/>
      <c r="AR366" s="503"/>
      <c r="AS366" s="489"/>
      <c r="AT366" s="160"/>
      <c r="AU366" s="355"/>
    </row>
    <row r="367" spans="1:47" s="124" customFormat="1" ht="21.75" hidden="1" customHeight="1">
      <c r="A367" s="331">
        <v>366</v>
      </c>
      <c r="B367" s="361" t="s">
        <v>1580</v>
      </c>
      <c r="C367" s="361" t="s">
        <v>997</v>
      </c>
      <c r="D367" s="436" t="s">
        <v>854</v>
      </c>
      <c r="E367" s="361" t="str">
        <f t="shared" si="5"/>
        <v>LOSS</v>
      </c>
      <c r="F367" s="361"/>
      <c r="G367" s="361"/>
      <c r="H367" s="361" t="s">
        <v>327</v>
      </c>
      <c r="I367" s="361" t="s">
        <v>242</v>
      </c>
      <c r="J367" s="361" t="s">
        <v>1606</v>
      </c>
      <c r="K367" s="365"/>
      <c r="L367" s="361"/>
      <c r="M367" s="361"/>
      <c r="N367" s="361"/>
      <c r="O367" s="384" t="s">
        <v>115</v>
      </c>
      <c r="P367" s="383">
        <v>24000000</v>
      </c>
      <c r="Q367" s="361"/>
      <c r="R367" s="385" t="s">
        <v>115</v>
      </c>
      <c r="S367" s="383">
        <v>6000000</v>
      </c>
      <c r="T367" s="361"/>
      <c r="U367" s="351">
        <v>44271</v>
      </c>
      <c r="V367" s="351">
        <v>44635</v>
      </c>
      <c r="W367" s="361" t="s">
        <v>250</v>
      </c>
      <c r="X367" s="361"/>
      <c r="Y367" s="361"/>
      <c r="Z367" s="361"/>
      <c r="AA367" s="361"/>
      <c r="AB367" s="361"/>
      <c r="AC367" s="159"/>
      <c r="AD367" s="361" t="s">
        <v>1607</v>
      </c>
      <c r="AE367" s="364">
        <v>4500015890</v>
      </c>
      <c r="AF367" s="364"/>
      <c r="AG367" s="361"/>
      <c r="AH367" s="365"/>
      <c r="AI367" s="361"/>
      <c r="AJ367" s="361"/>
      <c r="AK367" s="361"/>
      <c r="AL367" s="361"/>
      <c r="AM367" s="361"/>
      <c r="AN367" s="361"/>
      <c r="AO367" s="361"/>
      <c r="AP367" s="361"/>
      <c r="AQ367" s="361"/>
      <c r="AR367" s="503"/>
      <c r="AS367" s="489"/>
      <c r="AT367" s="160"/>
      <c r="AU367" s="355"/>
    </row>
    <row r="368" spans="1:47" s="124" customFormat="1" ht="21.75" hidden="1" customHeight="1">
      <c r="A368" s="331">
        <v>367</v>
      </c>
      <c r="B368" s="361" t="s">
        <v>1462</v>
      </c>
      <c r="C368" s="361" t="s">
        <v>1608</v>
      </c>
      <c r="D368" s="435" t="s">
        <v>1609</v>
      </c>
      <c r="E368" s="361" t="str">
        <f t="shared" si="5"/>
        <v>LOSS</v>
      </c>
      <c r="F368" s="361"/>
      <c r="G368" s="361"/>
      <c r="H368" s="28" t="s">
        <v>261</v>
      </c>
      <c r="I368" s="361" t="s">
        <v>243</v>
      </c>
      <c r="J368" s="361" t="s">
        <v>1610</v>
      </c>
      <c r="K368" s="361"/>
      <c r="L368" s="361"/>
      <c r="M368" s="361"/>
      <c r="N368" s="361"/>
      <c r="O368" s="384" t="s">
        <v>115</v>
      </c>
      <c r="P368" s="383">
        <v>192000000</v>
      </c>
      <c r="Q368" s="361"/>
      <c r="R368" s="385" t="s">
        <v>115</v>
      </c>
      <c r="S368" s="383">
        <v>96000000</v>
      </c>
      <c r="T368" s="361"/>
      <c r="U368" s="351">
        <v>44365</v>
      </c>
      <c r="V368" s="351">
        <v>44729</v>
      </c>
      <c r="W368" s="361" t="s">
        <v>250</v>
      </c>
      <c r="X368" s="361"/>
      <c r="Y368" s="361"/>
      <c r="Z368" s="361"/>
      <c r="AA368" s="361"/>
      <c r="AB368" s="361"/>
      <c r="AC368" s="159"/>
      <c r="AD368" s="368"/>
      <c r="AE368" s="364">
        <v>4500016512</v>
      </c>
      <c r="AF368" s="364"/>
      <c r="AG368" s="361"/>
      <c r="AH368" s="361"/>
      <c r="AI368" s="361"/>
      <c r="AJ368" s="361"/>
      <c r="AK368" s="361"/>
      <c r="AL368" s="361"/>
      <c r="AM368" s="361"/>
      <c r="AN368" s="361"/>
      <c r="AO368" s="361"/>
      <c r="AP368" s="361"/>
      <c r="AQ368" s="361"/>
      <c r="AR368" s="503"/>
      <c r="AS368" s="489"/>
      <c r="AT368" s="160"/>
      <c r="AU368" s="355"/>
    </row>
    <row r="369" spans="1:47" s="124" customFormat="1" ht="21.75" hidden="1" customHeight="1">
      <c r="A369" s="331">
        <v>368</v>
      </c>
      <c r="B369" s="361" t="s">
        <v>542</v>
      </c>
      <c r="C369" s="361" t="s">
        <v>1611</v>
      </c>
      <c r="D369" s="436" t="s">
        <v>717</v>
      </c>
      <c r="E369" s="361" t="str">
        <f t="shared" si="5"/>
        <v>LOSS</v>
      </c>
      <c r="F369" s="361"/>
      <c r="G369" s="361"/>
      <c r="H369" s="361" t="s">
        <v>327</v>
      </c>
      <c r="I369" s="361" t="s">
        <v>242</v>
      </c>
      <c r="J369" s="361" t="s">
        <v>1612</v>
      </c>
      <c r="K369" s="365"/>
      <c r="L369" s="361"/>
      <c r="M369" s="361"/>
      <c r="N369" s="361"/>
      <c r="O369" s="382">
        <v>3000000</v>
      </c>
      <c r="P369" s="383">
        <v>48000000</v>
      </c>
      <c r="Q369" s="361"/>
      <c r="R369" s="385" t="s">
        <v>115</v>
      </c>
      <c r="S369" s="383">
        <v>12000000</v>
      </c>
      <c r="T369" s="361"/>
      <c r="U369" s="351">
        <v>44470</v>
      </c>
      <c r="V369" s="351">
        <v>44834</v>
      </c>
      <c r="W369" s="361" t="s">
        <v>250</v>
      </c>
      <c r="X369" s="361"/>
      <c r="Y369" s="361"/>
      <c r="Z369" s="361"/>
      <c r="AA369" s="361"/>
      <c r="AB369" s="361"/>
      <c r="AC369" s="159"/>
      <c r="AD369" s="361" t="s">
        <v>1613</v>
      </c>
      <c r="AE369" s="364">
        <v>4500016821</v>
      </c>
      <c r="AF369" s="364"/>
      <c r="AG369" s="361"/>
      <c r="AH369" s="365"/>
      <c r="AI369" s="361"/>
      <c r="AJ369" s="361"/>
      <c r="AK369" s="361"/>
      <c r="AL369" s="361"/>
      <c r="AM369" s="361"/>
      <c r="AN369" s="361"/>
      <c r="AO369" s="361"/>
      <c r="AP369" s="361"/>
      <c r="AQ369" s="361"/>
      <c r="AR369" s="503"/>
      <c r="AS369" s="489"/>
      <c r="AT369" s="160"/>
      <c r="AU369" s="355"/>
    </row>
    <row r="370" spans="1:47" s="124" customFormat="1" ht="21.75" hidden="1" customHeight="1">
      <c r="A370" s="331">
        <v>369</v>
      </c>
      <c r="B370" s="28" t="s">
        <v>179</v>
      </c>
      <c r="C370" s="361" t="s">
        <v>1614</v>
      </c>
      <c r="D370" s="435" t="s">
        <v>862</v>
      </c>
      <c r="E370" s="361" t="str">
        <f t="shared" si="5"/>
        <v>LOSS</v>
      </c>
      <c r="F370" s="361"/>
      <c r="G370" s="361"/>
      <c r="H370" s="361" t="s">
        <v>327</v>
      </c>
      <c r="I370" s="361" t="s">
        <v>242</v>
      </c>
      <c r="J370" s="361" t="s">
        <v>1615</v>
      </c>
      <c r="K370" s="365"/>
      <c r="L370" s="361"/>
      <c r="M370" s="361"/>
      <c r="N370" s="361"/>
      <c r="O370" s="382">
        <v>3000000</v>
      </c>
      <c r="P370" s="383">
        <v>300000000</v>
      </c>
      <c r="Q370" s="361"/>
      <c r="R370" s="385" t="s">
        <v>115</v>
      </c>
      <c r="S370" s="383">
        <v>18000000</v>
      </c>
      <c r="T370" s="361"/>
      <c r="U370" s="351">
        <v>44461</v>
      </c>
      <c r="V370" s="351">
        <v>44825</v>
      </c>
      <c r="W370" s="361" t="s">
        <v>250</v>
      </c>
      <c r="X370" s="361"/>
      <c r="Y370" s="361"/>
      <c r="Z370" s="361"/>
      <c r="AA370" s="361"/>
      <c r="AB370" s="361"/>
      <c r="AC370" s="159"/>
      <c r="AD370" s="368"/>
      <c r="AE370" s="364">
        <v>4500016780</v>
      </c>
      <c r="AF370" s="364"/>
      <c r="AG370" s="361"/>
      <c r="AH370" s="365"/>
      <c r="AI370" s="361"/>
      <c r="AJ370" s="361"/>
      <c r="AK370" s="361"/>
      <c r="AL370" s="361"/>
      <c r="AM370" s="361"/>
      <c r="AN370" s="361"/>
      <c r="AO370" s="361"/>
      <c r="AP370" s="361"/>
      <c r="AQ370" s="361"/>
      <c r="AR370" s="503"/>
      <c r="AS370" s="489"/>
      <c r="AT370" s="160"/>
      <c r="AU370" s="355"/>
    </row>
    <row r="371" spans="1:47" s="124" customFormat="1" ht="21.75" hidden="1" customHeight="1">
      <c r="A371" s="331">
        <v>370</v>
      </c>
      <c r="B371" s="361" t="s">
        <v>450</v>
      </c>
      <c r="C371" s="361" t="s">
        <v>1616</v>
      </c>
      <c r="D371" s="436" t="s">
        <v>1516</v>
      </c>
      <c r="E371" s="361" t="str">
        <f t="shared" si="5"/>
        <v>LOSS</v>
      </c>
      <c r="F371" s="361"/>
      <c r="G371" s="361"/>
      <c r="H371" s="361" t="s">
        <v>327</v>
      </c>
      <c r="I371" s="160" t="s">
        <v>346</v>
      </c>
      <c r="J371" s="361" t="s">
        <v>1617</v>
      </c>
      <c r="K371" s="365"/>
      <c r="L371" s="361"/>
      <c r="M371" s="361"/>
      <c r="N371" s="361"/>
      <c r="O371" s="384" t="s">
        <v>115</v>
      </c>
      <c r="P371" s="383">
        <v>72000000</v>
      </c>
      <c r="Q371" s="361"/>
      <c r="R371" s="385" t="s">
        <v>115</v>
      </c>
      <c r="S371" s="383">
        <v>2500000</v>
      </c>
      <c r="T371" s="361"/>
      <c r="U371" s="351">
        <v>44228</v>
      </c>
      <c r="V371" s="351">
        <v>44592</v>
      </c>
      <c r="W371" s="361" t="s">
        <v>250</v>
      </c>
      <c r="X371" s="361"/>
      <c r="Y371" s="361"/>
      <c r="Z371" s="361"/>
      <c r="AA371" s="361"/>
      <c r="AB371" s="361"/>
      <c r="AC371" s="159"/>
      <c r="AD371" s="262"/>
      <c r="AE371" s="364">
        <v>4500018688</v>
      </c>
      <c r="AF371" s="364"/>
      <c r="AG371" s="361"/>
      <c r="AH371" s="365"/>
      <c r="AI371" s="361"/>
      <c r="AJ371" s="361"/>
      <c r="AK371" s="361"/>
      <c r="AL371" s="361"/>
      <c r="AM371" s="361"/>
      <c r="AN371" s="361"/>
      <c r="AO371" s="361"/>
      <c r="AP371" s="361"/>
      <c r="AQ371" s="361"/>
      <c r="AR371" s="503"/>
      <c r="AS371" s="489"/>
      <c r="AT371" s="160"/>
      <c r="AU371" s="355"/>
    </row>
    <row r="372" spans="1:47" s="124" customFormat="1" ht="21.75" hidden="1" customHeight="1">
      <c r="A372" s="331">
        <v>371</v>
      </c>
      <c r="B372" s="28" t="s">
        <v>1618</v>
      </c>
      <c r="C372" s="28" t="s">
        <v>1619</v>
      </c>
      <c r="D372" s="438" t="s">
        <v>1620</v>
      </c>
      <c r="E372" s="361" t="str">
        <f t="shared" si="5"/>
        <v>LOSS</v>
      </c>
      <c r="F372" s="361"/>
      <c r="G372" s="361"/>
      <c r="H372" s="28" t="s">
        <v>261</v>
      </c>
      <c r="I372" s="361" t="s">
        <v>243</v>
      </c>
      <c r="J372" s="361" t="s">
        <v>1621</v>
      </c>
      <c r="K372" s="361"/>
      <c r="L372" s="361"/>
      <c r="M372" s="361"/>
      <c r="N372" s="361"/>
      <c r="O372" s="362">
        <v>3000000</v>
      </c>
      <c r="P372" s="412">
        <v>72000</v>
      </c>
      <c r="Q372" s="361"/>
      <c r="R372" s="378">
        <v>5000000</v>
      </c>
      <c r="S372" s="378">
        <v>36000000</v>
      </c>
      <c r="T372" s="361"/>
      <c r="U372" s="348">
        <v>44336</v>
      </c>
      <c r="V372" s="348">
        <v>44700</v>
      </c>
      <c r="W372" s="361" t="s">
        <v>250</v>
      </c>
      <c r="X372" s="361"/>
      <c r="Y372" s="361"/>
      <c r="Z372" s="361"/>
      <c r="AA372" s="361"/>
      <c r="AB372" s="361"/>
      <c r="AC372" s="159"/>
      <c r="AD372" s="368"/>
      <c r="AE372" s="364">
        <v>4500016023</v>
      </c>
      <c r="AF372" s="364"/>
      <c r="AG372" s="361"/>
      <c r="AH372" s="361"/>
      <c r="AI372" s="361"/>
      <c r="AJ372" s="361"/>
      <c r="AK372" s="361"/>
      <c r="AL372" s="361"/>
      <c r="AM372" s="361"/>
      <c r="AN372" s="361"/>
      <c r="AO372" s="361"/>
      <c r="AP372" s="361"/>
      <c r="AQ372" s="361"/>
      <c r="AR372" s="503"/>
      <c r="AS372" s="489"/>
      <c r="AT372" s="160"/>
      <c r="AU372" s="355"/>
    </row>
    <row r="373" spans="1:47" s="124" customFormat="1" ht="21.75" hidden="1" customHeight="1">
      <c r="A373" s="331">
        <v>372</v>
      </c>
      <c r="B373" s="361" t="s">
        <v>348</v>
      </c>
      <c r="C373" s="361" t="s">
        <v>1622</v>
      </c>
      <c r="D373" s="436" t="s">
        <v>1623</v>
      </c>
      <c r="E373" s="361" t="str">
        <f t="shared" si="5"/>
        <v>LOSS</v>
      </c>
      <c r="F373" s="361"/>
      <c r="G373" s="361"/>
      <c r="H373" s="361" t="s">
        <v>327</v>
      </c>
      <c r="I373" s="361" t="s">
        <v>242</v>
      </c>
      <c r="J373" s="361" t="s">
        <v>1624</v>
      </c>
      <c r="K373" s="365"/>
      <c r="L373" s="361"/>
      <c r="M373" s="361"/>
      <c r="N373" s="361"/>
      <c r="O373" s="362">
        <v>2500000</v>
      </c>
      <c r="P373" s="378">
        <v>30000000</v>
      </c>
      <c r="Q373" s="361"/>
      <c r="R373" s="376" t="s">
        <v>115</v>
      </c>
      <c r="S373" s="378">
        <v>23848008</v>
      </c>
      <c r="T373" s="361"/>
      <c r="U373" s="348">
        <v>44319</v>
      </c>
      <c r="V373" s="348">
        <v>44683</v>
      </c>
      <c r="W373" s="361" t="s">
        <v>250</v>
      </c>
      <c r="X373" s="361"/>
      <c r="Y373" s="361"/>
      <c r="Z373" s="361"/>
      <c r="AA373" s="361"/>
      <c r="AB373" s="361"/>
      <c r="AC373" s="159"/>
      <c r="AD373" s="361" t="s">
        <v>1625</v>
      </c>
      <c r="AE373" s="364">
        <v>4500016417</v>
      </c>
      <c r="AF373" s="364"/>
      <c r="AG373" s="361"/>
      <c r="AH373" s="365"/>
      <c r="AI373" s="361"/>
      <c r="AJ373" s="361"/>
      <c r="AK373" s="361"/>
      <c r="AL373" s="361"/>
      <c r="AM373" s="361"/>
      <c r="AN373" s="361"/>
      <c r="AO373" s="361"/>
      <c r="AP373" s="361"/>
      <c r="AQ373" s="361"/>
      <c r="AR373" s="503"/>
      <c r="AS373" s="489"/>
      <c r="AT373" s="160"/>
      <c r="AU373" s="355"/>
    </row>
    <row r="374" spans="1:47" s="124" customFormat="1" ht="21.75" hidden="1" customHeight="1">
      <c r="A374" s="331">
        <v>373</v>
      </c>
      <c r="B374" s="361" t="s">
        <v>348</v>
      </c>
      <c r="C374" s="361" t="s">
        <v>1626</v>
      </c>
      <c r="D374" s="435" t="s">
        <v>1623</v>
      </c>
      <c r="E374" s="361" t="str">
        <f t="shared" si="5"/>
        <v>LOSS</v>
      </c>
      <c r="F374" s="361"/>
      <c r="G374" s="361"/>
      <c r="H374" s="361" t="s">
        <v>327</v>
      </c>
      <c r="I374" s="361" t="s">
        <v>242</v>
      </c>
      <c r="J374" s="361" t="s">
        <v>1627</v>
      </c>
      <c r="K374" s="365"/>
      <c r="L374" s="361"/>
      <c r="M374" s="361"/>
      <c r="N374" s="361"/>
      <c r="O374" s="374" t="s">
        <v>115</v>
      </c>
      <c r="P374" s="378">
        <v>231600000</v>
      </c>
      <c r="Q374" s="361"/>
      <c r="R374" s="376" t="s">
        <v>115</v>
      </c>
      <c r="S374" s="378">
        <v>115672752</v>
      </c>
      <c r="T374" s="361"/>
      <c r="U374" s="348">
        <v>44273</v>
      </c>
      <c r="V374" s="348">
        <v>44637</v>
      </c>
      <c r="W374" s="361" t="s">
        <v>250</v>
      </c>
      <c r="X374" s="361"/>
      <c r="Y374" s="361"/>
      <c r="Z374" s="361"/>
      <c r="AA374" s="361"/>
      <c r="AB374" s="361"/>
      <c r="AC374" s="159"/>
      <c r="AD374" s="361" t="s">
        <v>1628</v>
      </c>
      <c r="AE374" s="364">
        <v>4500015961</v>
      </c>
      <c r="AF374" s="364"/>
      <c r="AG374" s="361"/>
      <c r="AH374" s="365"/>
      <c r="AI374" s="361"/>
      <c r="AJ374" s="361"/>
      <c r="AK374" s="361"/>
      <c r="AL374" s="361"/>
      <c r="AM374" s="361"/>
      <c r="AN374" s="361"/>
      <c r="AO374" s="361"/>
      <c r="AP374" s="361"/>
      <c r="AQ374" s="361"/>
      <c r="AR374" s="503"/>
      <c r="AS374" s="489"/>
      <c r="AT374" s="160"/>
      <c r="AU374" s="355"/>
    </row>
    <row r="375" spans="1:47" s="124" customFormat="1" ht="21.75" hidden="1" customHeight="1">
      <c r="A375" s="331">
        <v>374</v>
      </c>
      <c r="B375" s="28" t="s">
        <v>179</v>
      </c>
      <c r="C375" s="361" t="s">
        <v>1629</v>
      </c>
      <c r="D375" s="436" t="s">
        <v>1630</v>
      </c>
      <c r="E375" s="361" t="str">
        <f t="shared" si="5"/>
        <v>LOSS</v>
      </c>
      <c r="F375" s="361"/>
      <c r="G375" s="361"/>
      <c r="H375" s="361" t="s">
        <v>327</v>
      </c>
      <c r="I375" s="361" t="s">
        <v>242</v>
      </c>
      <c r="J375" s="361" t="s">
        <v>1631</v>
      </c>
      <c r="K375" s="365"/>
      <c r="L375" s="361"/>
      <c r="M375" s="361"/>
      <c r="N375" s="361"/>
      <c r="O375" s="362">
        <v>2500000</v>
      </c>
      <c r="P375" s="378">
        <v>300000000</v>
      </c>
      <c r="Q375" s="361"/>
      <c r="R375" s="378">
        <v>4500000</v>
      </c>
      <c r="S375" s="413">
        <v>54000000</v>
      </c>
      <c r="T375" s="361"/>
      <c r="U375" s="367">
        <v>44315</v>
      </c>
      <c r="V375" s="367">
        <v>44679</v>
      </c>
      <c r="W375" s="361" t="s">
        <v>250</v>
      </c>
      <c r="X375" s="361"/>
      <c r="Y375" s="361"/>
      <c r="Z375" s="361"/>
      <c r="AA375" s="361"/>
      <c r="AB375" s="361"/>
      <c r="AC375" s="159"/>
      <c r="AD375" s="361" t="s">
        <v>1632</v>
      </c>
      <c r="AE375" s="364">
        <v>4500016120</v>
      </c>
      <c r="AF375" s="364"/>
      <c r="AG375" s="361"/>
      <c r="AH375" s="365"/>
      <c r="AI375" s="361"/>
      <c r="AJ375" s="361"/>
      <c r="AK375" s="361"/>
      <c r="AL375" s="361"/>
      <c r="AM375" s="361"/>
      <c r="AN375" s="361"/>
      <c r="AO375" s="361"/>
      <c r="AP375" s="361"/>
      <c r="AQ375" s="361"/>
      <c r="AR375" s="503"/>
      <c r="AS375" s="489"/>
      <c r="AT375" s="160"/>
      <c r="AU375" s="355"/>
    </row>
    <row r="376" spans="1:47" s="124" customFormat="1" ht="21.75" hidden="1" customHeight="1">
      <c r="A376" s="331">
        <v>375</v>
      </c>
      <c r="B376" s="361" t="s">
        <v>1633</v>
      </c>
      <c r="C376" s="361" t="s">
        <v>1634</v>
      </c>
      <c r="D376" s="435" t="s">
        <v>1635</v>
      </c>
      <c r="E376" s="361" t="str">
        <f t="shared" si="5"/>
        <v>LOSS</v>
      </c>
      <c r="F376" s="361"/>
      <c r="G376" s="361"/>
      <c r="H376" s="361" t="s">
        <v>327</v>
      </c>
      <c r="I376" s="361" t="s">
        <v>242</v>
      </c>
      <c r="J376" s="361" t="s">
        <v>1636</v>
      </c>
      <c r="K376" s="365"/>
      <c r="L376" s="378"/>
      <c r="M376" s="361"/>
      <c r="N376" s="361"/>
      <c r="O376" s="366">
        <v>0</v>
      </c>
      <c r="P376" s="413">
        <v>5156210352</v>
      </c>
      <c r="Q376" s="361"/>
      <c r="R376" s="378">
        <v>3000000</v>
      </c>
      <c r="S376" s="413">
        <v>6000000</v>
      </c>
      <c r="T376" s="361"/>
      <c r="U376" s="367">
        <v>44312</v>
      </c>
      <c r="V376" s="367">
        <v>44676</v>
      </c>
      <c r="W376" s="361" t="s">
        <v>250</v>
      </c>
      <c r="X376" s="361"/>
      <c r="Y376" s="361"/>
      <c r="Z376" s="361"/>
      <c r="AA376" s="361"/>
      <c r="AB376" s="361"/>
      <c r="AC376" s="159"/>
      <c r="AD376" s="361" t="s">
        <v>1637</v>
      </c>
      <c r="AE376" s="364">
        <v>4500016102</v>
      </c>
      <c r="AF376" s="364"/>
      <c r="AG376" s="361"/>
      <c r="AH376" s="365"/>
      <c r="AI376" s="361"/>
      <c r="AJ376" s="361"/>
      <c r="AK376" s="361"/>
      <c r="AL376" s="361"/>
      <c r="AM376" s="361"/>
      <c r="AN376" s="361"/>
      <c r="AO376" s="361"/>
      <c r="AP376" s="361"/>
      <c r="AQ376" s="361"/>
      <c r="AR376" s="503"/>
      <c r="AS376" s="489"/>
      <c r="AT376" s="160"/>
      <c r="AU376" s="355"/>
    </row>
    <row r="377" spans="1:47" s="124" customFormat="1" ht="21.75" hidden="1" customHeight="1">
      <c r="A377" s="331">
        <v>376</v>
      </c>
      <c r="B377" s="361" t="s">
        <v>1004</v>
      </c>
      <c r="C377" s="361" t="s">
        <v>1638</v>
      </c>
      <c r="D377" s="436" t="s">
        <v>1639</v>
      </c>
      <c r="E377" s="361" t="str">
        <f t="shared" si="5"/>
        <v>LOSS</v>
      </c>
      <c r="F377" s="361"/>
      <c r="G377" s="361"/>
      <c r="H377" s="361" t="s">
        <v>327</v>
      </c>
      <c r="I377" s="160" t="s">
        <v>346</v>
      </c>
      <c r="J377" s="361" t="s">
        <v>1007</v>
      </c>
      <c r="K377" s="365"/>
      <c r="L377" s="361"/>
      <c r="M377" s="361"/>
      <c r="N377" s="361"/>
      <c r="O377" s="366">
        <v>0</v>
      </c>
      <c r="P377" s="413">
        <v>51534546</v>
      </c>
      <c r="Q377" s="361"/>
      <c r="R377" s="378">
        <v>0</v>
      </c>
      <c r="S377" s="413">
        <v>3000000</v>
      </c>
      <c r="T377" s="361"/>
      <c r="U377" s="348">
        <v>44271</v>
      </c>
      <c r="V377" s="348">
        <v>44635</v>
      </c>
      <c r="W377" s="361" t="s">
        <v>250</v>
      </c>
      <c r="X377" s="361"/>
      <c r="Y377" s="361"/>
      <c r="Z377" s="361"/>
      <c r="AA377" s="361"/>
      <c r="AB377" s="361"/>
      <c r="AC377" s="159"/>
      <c r="AD377" s="361" t="s">
        <v>1640</v>
      </c>
      <c r="AE377" s="364">
        <v>4500015913</v>
      </c>
      <c r="AF377" s="364"/>
      <c r="AG377" s="361"/>
      <c r="AH377" s="365"/>
      <c r="AI377" s="361"/>
      <c r="AJ377" s="361"/>
      <c r="AK377" s="361"/>
      <c r="AL377" s="361"/>
      <c r="AM377" s="361"/>
      <c r="AN377" s="361"/>
      <c r="AO377" s="361"/>
      <c r="AP377" s="361"/>
      <c r="AQ377" s="361"/>
      <c r="AR377" s="503"/>
      <c r="AS377" s="489"/>
      <c r="AT377" s="160"/>
      <c r="AU377" s="355"/>
    </row>
    <row r="378" spans="1:47" s="124" customFormat="1" ht="21.75" hidden="1" customHeight="1">
      <c r="A378" s="331">
        <v>377</v>
      </c>
      <c r="B378" s="28" t="s">
        <v>167</v>
      </c>
      <c r="C378" s="361" t="s">
        <v>1641</v>
      </c>
      <c r="D378" s="435" t="s">
        <v>1642</v>
      </c>
      <c r="E378" s="361" t="str">
        <f t="shared" si="5"/>
        <v>LOSS</v>
      </c>
      <c r="F378" s="361"/>
      <c r="G378" s="361"/>
      <c r="H378" s="361" t="s">
        <v>327</v>
      </c>
      <c r="I378" s="160" t="s">
        <v>346</v>
      </c>
      <c r="J378" s="361" t="s">
        <v>1643</v>
      </c>
      <c r="K378" s="365"/>
      <c r="L378" s="361"/>
      <c r="M378" s="361"/>
      <c r="N378" s="361"/>
      <c r="O378" s="366">
        <v>0</v>
      </c>
      <c r="P378" s="413">
        <v>33000000</v>
      </c>
      <c r="Q378" s="361"/>
      <c r="R378" s="378">
        <v>0</v>
      </c>
      <c r="S378" s="413">
        <v>4850000</v>
      </c>
      <c r="T378" s="361"/>
      <c r="U378" s="348">
        <v>44228</v>
      </c>
      <c r="V378" s="348">
        <v>44620</v>
      </c>
      <c r="W378" s="361" t="s">
        <v>250</v>
      </c>
      <c r="X378" s="361"/>
      <c r="Y378" s="361"/>
      <c r="Z378" s="361"/>
      <c r="AA378" s="361"/>
      <c r="AB378" s="361"/>
      <c r="AC378" s="159"/>
      <c r="AD378" s="368"/>
      <c r="AE378" s="364">
        <v>4500015684</v>
      </c>
      <c r="AF378" s="364"/>
      <c r="AG378" s="361"/>
      <c r="AH378" s="365"/>
      <c r="AI378" s="361"/>
      <c r="AJ378" s="361"/>
      <c r="AK378" s="361"/>
      <c r="AL378" s="361"/>
      <c r="AM378" s="361"/>
      <c r="AN378" s="361"/>
      <c r="AO378" s="361"/>
      <c r="AP378" s="361"/>
      <c r="AQ378" s="361"/>
      <c r="AR378" s="503"/>
      <c r="AS378" s="489"/>
      <c r="AT378" s="160"/>
      <c r="AU378" s="355"/>
    </row>
    <row r="379" spans="1:47" s="124" customFormat="1" ht="21.75" hidden="1" customHeight="1">
      <c r="A379" s="331">
        <v>378</v>
      </c>
      <c r="B379" s="361" t="s">
        <v>1644</v>
      </c>
      <c r="C379" s="361" t="s">
        <v>1645</v>
      </c>
      <c r="D379" s="436" t="s">
        <v>1646</v>
      </c>
      <c r="E379" s="361" t="str">
        <f t="shared" si="5"/>
        <v>LOSS</v>
      </c>
      <c r="F379" s="361"/>
      <c r="G379" s="361"/>
      <c r="H379" s="361" t="s">
        <v>327</v>
      </c>
      <c r="I379" s="160" t="s">
        <v>346</v>
      </c>
      <c r="J379" s="361" t="s">
        <v>1647</v>
      </c>
      <c r="K379" s="365"/>
      <c r="L379" s="361"/>
      <c r="M379" s="361"/>
      <c r="N379" s="361"/>
      <c r="O379" s="366">
        <v>0</v>
      </c>
      <c r="P379" s="413">
        <v>180000000</v>
      </c>
      <c r="Q379" s="361"/>
      <c r="R379" s="378">
        <v>0</v>
      </c>
      <c r="S379" s="413">
        <v>66550000</v>
      </c>
      <c r="T379" s="361"/>
      <c r="U379" s="348">
        <v>44317</v>
      </c>
      <c r="V379" s="348">
        <v>44681</v>
      </c>
      <c r="W379" s="361" t="s">
        <v>250</v>
      </c>
      <c r="X379" s="361"/>
      <c r="Y379" s="361"/>
      <c r="Z379" s="361"/>
      <c r="AA379" s="361"/>
      <c r="AB379" s="361"/>
      <c r="AC379" s="159"/>
      <c r="AD379" s="361" t="s">
        <v>1648</v>
      </c>
      <c r="AE379" s="364">
        <v>4500015992</v>
      </c>
      <c r="AF379" s="364"/>
      <c r="AG379" s="361"/>
      <c r="AH379" s="365"/>
      <c r="AI379" s="361"/>
      <c r="AJ379" s="361"/>
      <c r="AK379" s="361"/>
      <c r="AL379" s="361"/>
      <c r="AM379" s="361"/>
      <c r="AN379" s="361"/>
      <c r="AO379" s="361"/>
      <c r="AP379" s="361"/>
      <c r="AQ379" s="361"/>
      <c r="AR379" s="503"/>
      <c r="AS379" s="489"/>
      <c r="AT379" s="160"/>
      <c r="AU379" s="355"/>
    </row>
    <row r="380" spans="1:47" s="124" customFormat="1" ht="21.75" hidden="1" customHeight="1">
      <c r="A380" s="331">
        <v>379</v>
      </c>
      <c r="B380" s="361" t="s">
        <v>542</v>
      </c>
      <c r="C380" s="361" t="s">
        <v>1649</v>
      </c>
      <c r="D380" s="435" t="s">
        <v>1650</v>
      </c>
      <c r="E380" s="361" t="str">
        <f t="shared" si="5"/>
        <v>LOSS</v>
      </c>
      <c r="F380" s="361"/>
      <c r="G380" s="361"/>
      <c r="H380" s="361" t="s">
        <v>327</v>
      </c>
      <c r="I380" s="160" t="s">
        <v>346</v>
      </c>
      <c r="J380" s="361" t="s">
        <v>1651</v>
      </c>
      <c r="K380" s="365"/>
      <c r="L380" s="361"/>
      <c r="M380" s="361"/>
      <c r="N380" s="361"/>
      <c r="O380" s="366">
        <v>0</v>
      </c>
      <c r="P380" s="413">
        <v>42000000</v>
      </c>
      <c r="Q380" s="361"/>
      <c r="R380" s="378">
        <v>0</v>
      </c>
      <c r="S380" s="413">
        <v>2000000</v>
      </c>
      <c r="T380" s="361"/>
      <c r="U380" s="367">
        <v>44314</v>
      </c>
      <c r="V380" s="367">
        <v>44678</v>
      </c>
      <c r="W380" s="361" t="s">
        <v>250</v>
      </c>
      <c r="X380" s="361"/>
      <c r="Y380" s="361"/>
      <c r="Z380" s="361"/>
      <c r="AA380" s="361"/>
      <c r="AB380" s="361"/>
      <c r="AC380" s="159"/>
      <c r="AD380" s="368"/>
      <c r="AE380" s="364">
        <v>4500016837</v>
      </c>
      <c r="AF380" s="364"/>
      <c r="AG380" s="361"/>
      <c r="AH380" s="365"/>
      <c r="AI380" s="361"/>
      <c r="AJ380" s="361"/>
      <c r="AK380" s="361"/>
      <c r="AL380" s="361"/>
      <c r="AM380" s="361"/>
      <c r="AN380" s="361"/>
      <c r="AO380" s="361"/>
      <c r="AP380" s="361"/>
      <c r="AQ380" s="361"/>
      <c r="AR380" s="503"/>
      <c r="AS380" s="489"/>
      <c r="AT380" s="160"/>
      <c r="AU380" s="355"/>
    </row>
    <row r="381" spans="1:47" s="124" customFormat="1" ht="21.75" hidden="1" customHeight="1">
      <c r="A381" s="331">
        <v>380</v>
      </c>
      <c r="B381" s="361" t="s">
        <v>450</v>
      </c>
      <c r="C381" s="361" t="s">
        <v>1652</v>
      </c>
      <c r="D381" s="436" t="s">
        <v>1653</v>
      </c>
      <c r="E381" s="361" t="str">
        <f t="shared" si="5"/>
        <v>LOSS</v>
      </c>
      <c r="F381" s="361"/>
      <c r="G381" s="361"/>
      <c r="H381" s="28" t="s">
        <v>261</v>
      </c>
      <c r="I381" s="361" t="s">
        <v>243</v>
      </c>
      <c r="J381" s="361" t="s">
        <v>1654</v>
      </c>
      <c r="K381" s="361"/>
      <c r="L381" s="361"/>
      <c r="M381" s="361"/>
      <c r="N381" s="361"/>
      <c r="O381" s="366">
        <v>0</v>
      </c>
      <c r="P381" s="413">
        <v>120000000</v>
      </c>
      <c r="Q381" s="361"/>
      <c r="R381" s="378">
        <v>0</v>
      </c>
      <c r="S381" s="413">
        <v>144000000</v>
      </c>
      <c r="T381" s="361"/>
      <c r="U381" s="348">
        <v>44536</v>
      </c>
      <c r="V381" s="348">
        <v>44900</v>
      </c>
      <c r="W381" s="361" t="s">
        <v>250</v>
      </c>
      <c r="X381" s="361"/>
      <c r="Y381" s="361"/>
      <c r="Z381" s="361"/>
      <c r="AA381" s="361"/>
      <c r="AB381" s="361"/>
      <c r="AC381" s="159"/>
      <c r="AD381" s="368"/>
      <c r="AE381" s="364">
        <v>4500016853</v>
      </c>
      <c r="AF381" s="364"/>
      <c r="AG381" s="361"/>
      <c r="AH381" s="361"/>
      <c r="AI381" s="361"/>
      <c r="AJ381" s="361"/>
      <c r="AK381" s="361"/>
      <c r="AL381" s="361"/>
      <c r="AM381" s="361"/>
      <c r="AN381" s="361"/>
      <c r="AO381" s="361"/>
      <c r="AP381" s="361"/>
      <c r="AQ381" s="361"/>
      <c r="AR381" s="503"/>
      <c r="AS381" s="489"/>
      <c r="AT381" s="160"/>
      <c r="AU381" s="355"/>
    </row>
    <row r="382" spans="1:47" s="124" customFormat="1" ht="21.75" hidden="1" customHeight="1">
      <c r="A382" s="331">
        <v>381</v>
      </c>
      <c r="B382" s="361" t="s">
        <v>450</v>
      </c>
      <c r="C382" s="361" t="s">
        <v>1655</v>
      </c>
      <c r="D382" s="435" t="s">
        <v>1653</v>
      </c>
      <c r="E382" s="361" t="str">
        <f t="shared" si="5"/>
        <v>LOSS</v>
      </c>
      <c r="F382" s="361"/>
      <c r="G382" s="361"/>
      <c r="H382" s="28" t="s">
        <v>261</v>
      </c>
      <c r="I382" s="361" t="s">
        <v>243</v>
      </c>
      <c r="J382" s="361" t="s">
        <v>1656</v>
      </c>
      <c r="K382" s="361"/>
      <c r="L382" s="361"/>
      <c r="M382" s="361"/>
      <c r="N382" s="361"/>
      <c r="O382" s="366">
        <v>0</v>
      </c>
      <c r="P382" s="413">
        <v>162000000</v>
      </c>
      <c r="Q382" s="361"/>
      <c r="R382" s="378">
        <v>0</v>
      </c>
      <c r="S382" s="413">
        <v>102000000</v>
      </c>
      <c r="T382" s="361"/>
      <c r="U382" s="348">
        <v>44485</v>
      </c>
      <c r="V382" s="348">
        <v>44849</v>
      </c>
      <c r="W382" s="361" t="s">
        <v>250</v>
      </c>
      <c r="X382" s="361"/>
      <c r="Y382" s="361"/>
      <c r="Z382" s="361"/>
      <c r="AA382" s="361"/>
      <c r="AB382" s="361"/>
      <c r="AC382" s="159"/>
      <c r="AD382" s="368"/>
      <c r="AE382" s="364">
        <v>4500016863</v>
      </c>
      <c r="AF382" s="364"/>
      <c r="AG382" s="361"/>
      <c r="AH382" s="361"/>
      <c r="AI382" s="361"/>
      <c r="AJ382" s="361"/>
      <c r="AK382" s="361"/>
      <c r="AL382" s="361"/>
      <c r="AM382" s="361"/>
      <c r="AN382" s="361"/>
      <c r="AO382" s="361"/>
      <c r="AP382" s="361"/>
      <c r="AQ382" s="361"/>
      <c r="AR382" s="503"/>
      <c r="AS382" s="489"/>
      <c r="AT382" s="160"/>
      <c r="AU382" s="355"/>
    </row>
    <row r="383" spans="1:47" s="124" customFormat="1" ht="21.75" hidden="1" customHeight="1">
      <c r="A383" s="331">
        <v>382</v>
      </c>
      <c r="B383" s="361" t="s">
        <v>664</v>
      </c>
      <c r="C383" s="361" t="s">
        <v>1657</v>
      </c>
      <c r="D383" s="436" t="s">
        <v>1658</v>
      </c>
      <c r="E383" s="361" t="str">
        <f t="shared" si="5"/>
        <v>LOSS</v>
      </c>
      <c r="F383" s="361"/>
      <c r="G383" s="361"/>
      <c r="H383" s="28" t="s">
        <v>261</v>
      </c>
      <c r="I383" s="361" t="s">
        <v>243</v>
      </c>
      <c r="J383" s="361" t="s">
        <v>761</v>
      </c>
      <c r="K383" s="361"/>
      <c r="L383" s="361"/>
      <c r="M383" s="361"/>
      <c r="N383" s="361"/>
      <c r="O383" s="366">
        <v>1636364</v>
      </c>
      <c r="P383" s="413">
        <v>15272724</v>
      </c>
      <c r="Q383" s="361"/>
      <c r="R383" s="378">
        <v>0</v>
      </c>
      <c r="S383" s="413">
        <v>12000000</v>
      </c>
      <c r="T383" s="361"/>
      <c r="U383" s="367">
        <v>44456</v>
      </c>
      <c r="V383" s="367">
        <v>44820</v>
      </c>
      <c r="W383" s="361" t="s">
        <v>250</v>
      </c>
      <c r="X383" s="361"/>
      <c r="Y383" s="361"/>
      <c r="Z383" s="361"/>
      <c r="AA383" s="361"/>
      <c r="AB383" s="361"/>
      <c r="AC383" s="159"/>
      <c r="AD383" s="368"/>
      <c r="AE383" s="364">
        <v>4500016840</v>
      </c>
      <c r="AF383" s="364"/>
      <c r="AG383" s="361"/>
      <c r="AH383" s="361"/>
      <c r="AI383" s="361"/>
      <c r="AJ383" s="361"/>
      <c r="AK383" s="361"/>
      <c r="AL383" s="361"/>
      <c r="AM383" s="361"/>
      <c r="AN383" s="361"/>
      <c r="AO383" s="361"/>
      <c r="AP383" s="361"/>
      <c r="AQ383" s="361"/>
      <c r="AR383" s="503"/>
      <c r="AS383" s="489"/>
      <c r="AT383" s="160"/>
      <c r="AU383" s="355"/>
    </row>
    <row r="384" spans="1:47" s="124" customFormat="1" ht="21.75" hidden="1" customHeight="1">
      <c r="A384" s="331">
        <v>383</v>
      </c>
      <c r="B384" s="361" t="s">
        <v>1659</v>
      </c>
      <c r="C384" s="361" t="s">
        <v>1660</v>
      </c>
      <c r="D384" s="435" t="s">
        <v>1661</v>
      </c>
      <c r="E384" s="361" t="str">
        <f t="shared" si="5"/>
        <v>LOSS</v>
      </c>
      <c r="F384" s="361"/>
      <c r="G384" s="361"/>
      <c r="H384" s="28" t="s">
        <v>261</v>
      </c>
      <c r="I384" s="361" t="s">
        <v>243</v>
      </c>
      <c r="J384" s="361" t="s">
        <v>1662</v>
      </c>
      <c r="K384" s="361"/>
      <c r="L384" s="361"/>
      <c r="M384" s="361"/>
      <c r="N384" s="361"/>
      <c r="O384" s="366">
        <v>0</v>
      </c>
      <c r="P384" s="413">
        <v>264000000</v>
      </c>
      <c r="Q384" s="361"/>
      <c r="R384" s="378">
        <v>0</v>
      </c>
      <c r="S384" s="414">
        <v>198000000</v>
      </c>
      <c r="T384" s="361"/>
      <c r="U384" s="367">
        <v>44442</v>
      </c>
      <c r="V384" s="367">
        <v>44806</v>
      </c>
      <c r="W384" s="361" t="s">
        <v>250</v>
      </c>
      <c r="X384" s="361"/>
      <c r="Y384" s="361"/>
      <c r="Z384" s="361"/>
      <c r="AA384" s="361"/>
      <c r="AB384" s="361"/>
      <c r="AC384" s="159"/>
      <c r="AD384" s="368"/>
      <c r="AE384" s="364">
        <v>4500016825</v>
      </c>
      <c r="AF384" s="364"/>
      <c r="AG384" s="361"/>
      <c r="AH384" s="361"/>
      <c r="AI384" s="361"/>
      <c r="AJ384" s="361"/>
      <c r="AK384" s="361"/>
      <c r="AL384" s="361"/>
      <c r="AM384" s="361"/>
      <c r="AN384" s="361"/>
      <c r="AO384" s="361"/>
      <c r="AP384" s="361"/>
      <c r="AQ384" s="361"/>
      <c r="AR384" s="503"/>
      <c r="AS384" s="489"/>
      <c r="AT384" s="160"/>
      <c r="AU384" s="355"/>
    </row>
    <row r="385" spans="1:47" s="124" customFormat="1" ht="21.75" hidden="1" customHeight="1">
      <c r="A385" s="331">
        <v>384</v>
      </c>
      <c r="B385" s="159" t="s">
        <v>1663</v>
      </c>
      <c r="C385" s="361" t="s">
        <v>1664</v>
      </c>
      <c r="D385" s="436" t="s">
        <v>1665</v>
      </c>
      <c r="E385" s="361" t="str">
        <f t="shared" si="5"/>
        <v>LOSS</v>
      </c>
      <c r="F385" s="361"/>
      <c r="G385" s="361"/>
      <c r="H385" s="361" t="s">
        <v>327</v>
      </c>
      <c r="I385" s="160" t="s">
        <v>346</v>
      </c>
      <c r="J385" s="361"/>
      <c r="K385" s="365"/>
      <c r="L385" s="361"/>
      <c r="M385" s="361"/>
      <c r="N385" s="361"/>
      <c r="O385" s="366">
        <v>0</v>
      </c>
      <c r="P385" s="413">
        <v>0</v>
      </c>
      <c r="Q385" s="361"/>
      <c r="R385" s="378">
        <v>0</v>
      </c>
      <c r="S385" s="413">
        <v>10000000</v>
      </c>
      <c r="T385" s="361"/>
      <c r="U385" s="348">
        <v>44415</v>
      </c>
      <c r="V385" s="348">
        <v>44779</v>
      </c>
      <c r="W385" s="361" t="s">
        <v>250</v>
      </c>
      <c r="X385" s="361"/>
      <c r="Y385" s="361"/>
      <c r="Z385" s="361"/>
      <c r="AA385" s="361"/>
      <c r="AB385" s="361"/>
      <c r="AC385" s="159"/>
      <c r="AD385" s="368"/>
      <c r="AE385" s="364">
        <v>4500016856</v>
      </c>
      <c r="AF385" s="364"/>
      <c r="AG385" s="361"/>
      <c r="AH385" s="365"/>
      <c r="AI385" s="361"/>
      <c r="AJ385" s="361"/>
      <c r="AK385" s="361"/>
      <c r="AL385" s="361"/>
      <c r="AM385" s="361"/>
      <c r="AN385" s="361"/>
      <c r="AO385" s="361"/>
      <c r="AP385" s="361"/>
      <c r="AQ385" s="361"/>
      <c r="AR385" s="503"/>
      <c r="AS385" s="489"/>
      <c r="AT385" s="160"/>
      <c r="AU385" s="355"/>
    </row>
    <row r="386" spans="1:47" s="124" customFormat="1" ht="21.75" hidden="1" customHeight="1">
      <c r="A386" s="331">
        <v>385</v>
      </c>
      <c r="B386" s="361" t="s">
        <v>450</v>
      </c>
      <c r="C386" s="361" t="s">
        <v>1666</v>
      </c>
      <c r="D386" s="435" t="s">
        <v>1653</v>
      </c>
      <c r="E386" s="361" t="str">
        <f t="shared" ref="E386:E449" si="6">IF(Z386&lt;=0, "LOSS",IF(Z386&lt;=15, "CRITICAL",IF(Z386&lt;=30, "WARNING",IF(Z386&lt;60, "ATTENTION", "ON TRACK"))))</f>
        <v>LOSS</v>
      </c>
      <c r="F386" s="361"/>
      <c r="G386" s="361"/>
      <c r="H386" s="28" t="s">
        <v>261</v>
      </c>
      <c r="I386" s="361" t="s">
        <v>243</v>
      </c>
      <c r="J386" s="361"/>
      <c r="K386" s="361"/>
      <c r="L386" s="361"/>
      <c r="M386" s="361"/>
      <c r="N386" s="361"/>
      <c r="O386" s="366">
        <v>0</v>
      </c>
      <c r="P386" s="413">
        <v>378000000</v>
      </c>
      <c r="Q386" s="361"/>
      <c r="R386" s="378">
        <v>0</v>
      </c>
      <c r="S386" s="413">
        <v>120000000</v>
      </c>
      <c r="T386" s="361"/>
      <c r="U386" s="348">
        <v>44462</v>
      </c>
      <c r="V386" s="348">
        <v>44826</v>
      </c>
      <c r="W386" s="361" t="s">
        <v>250</v>
      </c>
      <c r="X386" s="361"/>
      <c r="Y386" s="361"/>
      <c r="Z386" s="361"/>
      <c r="AA386" s="361"/>
      <c r="AB386" s="361"/>
      <c r="AC386" s="159"/>
      <c r="AD386" s="368"/>
      <c r="AE386" s="364">
        <v>4500016862</v>
      </c>
      <c r="AF386" s="364"/>
      <c r="AG386" s="361"/>
      <c r="AH386" s="361"/>
      <c r="AI386" s="361"/>
      <c r="AJ386" s="361"/>
      <c r="AK386" s="361"/>
      <c r="AL386" s="361"/>
      <c r="AM386" s="361"/>
      <c r="AN386" s="361"/>
      <c r="AO386" s="361"/>
      <c r="AP386" s="361"/>
      <c r="AQ386" s="361"/>
      <c r="AR386" s="503"/>
      <c r="AS386" s="489"/>
      <c r="AT386" s="160"/>
      <c r="AU386" s="355"/>
    </row>
    <row r="387" spans="1:47" s="124" customFormat="1" ht="21.75" hidden="1" customHeight="1">
      <c r="A387" s="331">
        <v>386</v>
      </c>
      <c r="B387" s="361" t="s">
        <v>93</v>
      </c>
      <c r="C387" s="361" t="s">
        <v>1667</v>
      </c>
      <c r="D387" s="436" t="s">
        <v>1668</v>
      </c>
      <c r="E387" s="361" t="str">
        <f t="shared" si="6"/>
        <v>LOSS</v>
      </c>
      <c r="F387" s="361"/>
      <c r="G387" s="361"/>
      <c r="H387" s="361" t="s">
        <v>327</v>
      </c>
      <c r="I387" s="361" t="s">
        <v>242</v>
      </c>
      <c r="J387" s="361" t="s">
        <v>1669</v>
      </c>
      <c r="K387" s="365"/>
      <c r="L387" s="361"/>
      <c r="M387" s="361"/>
      <c r="N387" s="361"/>
      <c r="O387" s="366">
        <v>0</v>
      </c>
      <c r="P387" s="413">
        <v>420000000</v>
      </c>
      <c r="Q387" s="361"/>
      <c r="R387" s="378">
        <v>0</v>
      </c>
      <c r="S387" s="413">
        <v>36000000</v>
      </c>
      <c r="T387" s="361"/>
      <c r="U387" s="348">
        <v>44440</v>
      </c>
      <c r="V387" s="348">
        <v>44804</v>
      </c>
      <c r="W387" s="361" t="s">
        <v>250</v>
      </c>
      <c r="X387" s="361"/>
      <c r="Y387" s="361"/>
      <c r="Z387" s="361"/>
      <c r="AA387" s="361"/>
      <c r="AB387" s="361"/>
      <c r="AC387" s="159"/>
      <c r="AD387" s="361" t="s">
        <v>1670</v>
      </c>
      <c r="AE387" s="364">
        <v>4500016754</v>
      </c>
      <c r="AF387" s="364"/>
      <c r="AG387" s="361"/>
      <c r="AH387" s="365"/>
      <c r="AI387" s="361"/>
      <c r="AJ387" s="361"/>
      <c r="AK387" s="361"/>
      <c r="AL387" s="361"/>
      <c r="AM387" s="361"/>
      <c r="AN387" s="361"/>
      <c r="AO387" s="361"/>
      <c r="AP387" s="361"/>
      <c r="AQ387" s="361"/>
      <c r="AR387" s="503"/>
      <c r="AS387" s="489"/>
      <c r="AT387" s="160"/>
      <c r="AU387" s="355"/>
    </row>
    <row r="388" spans="1:47" s="124" customFormat="1" ht="21.75" hidden="1" customHeight="1">
      <c r="A388" s="331">
        <v>387</v>
      </c>
      <c r="B388" s="159" t="s">
        <v>614</v>
      </c>
      <c r="C388" s="361" t="s">
        <v>1671</v>
      </c>
      <c r="D388" s="435" t="s">
        <v>1668</v>
      </c>
      <c r="E388" s="361" t="str">
        <f t="shared" si="6"/>
        <v>LOSS</v>
      </c>
      <c r="F388" s="361"/>
      <c r="G388" s="361"/>
      <c r="H388" s="361" t="s">
        <v>327</v>
      </c>
      <c r="I388" s="160" t="s">
        <v>346</v>
      </c>
      <c r="J388" s="361"/>
      <c r="K388" s="365"/>
      <c r="L388" s="361"/>
      <c r="M388" s="361"/>
      <c r="N388" s="361"/>
      <c r="O388" s="366">
        <v>0</v>
      </c>
      <c r="P388" s="413">
        <v>0</v>
      </c>
      <c r="Q388" s="361"/>
      <c r="R388" s="378">
        <v>0</v>
      </c>
      <c r="S388" s="413">
        <v>14400000</v>
      </c>
      <c r="T388" s="361"/>
      <c r="U388" s="348">
        <v>44480</v>
      </c>
      <c r="V388" s="348">
        <v>44844</v>
      </c>
      <c r="W388" s="361" t="s">
        <v>250</v>
      </c>
      <c r="X388" s="361"/>
      <c r="Y388" s="361"/>
      <c r="Z388" s="361"/>
      <c r="AA388" s="361"/>
      <c r="AB388" s="361"/>
      <c r="AC388" s="159"/>
      <c r="AD388" s="361" t="s">
        <v>1672</v>
      </c>
      <c r="AE388" s="364">
        <v>4500016880</v>
      </c>
      <c r="AF388" s="364"/>
      <c r="AG388" s="361"/>
      <c r="AH388" s="365"/>
      <c r="AI388" s="361"/>
      <c r="AJ388" s="361"/>
      <c r="AK388" s="361"/>
      <c r="AL388" s="361"/>
      <c r="AM388" s="361"/>
      <c r="AN388" s="361"/>
      <c r="AO388" s="361"/>
      <c r="AP388" s="361"/>
      <c r="AQ388" s="361"/>
      <c r="AR388" s="503"/>
      <c r="AS388" s="489"/>
      <c r="AT388" s="160"/>
      <c r="AU388" s="355"/>
    </row>
    <row r="389" spans="1:47" s="124" customFormat="1" ht="21.75" hidden="1" customHeight="1">
      <c r="A389" s="331">
        <v>388</v>
      </c>
      <c r="B389" s="361" t="s">
        <v>1396</v>
      </c>
      <c r="C389" s="361" t="s">
        <v>1673</v>
      </c>
      <c r="D389" s="436" t="s">
        <v>1674</v>
      </c>
      <c r="E389" s="361" t="str">
        <f t="shared" si="6"/>
        <v>LOSS</v>
      </c>
      <c r="F389" s="361"/>
      <c r="G389" s="361"/>
      <c r="H389" s="361" t="s">
        <v>327</v>
      </c>
      <c r="I389" s="160" t="s">
        <v>346</v>
      </c>
      <c r="J389" s="361" t="s">
        <v>1675</v>
      </c>
      <c r="K389" s="365"/>
      <c r="L389" s="361"/>
      <c r="M389" s="361"/>
      <c r="N389" s="361"/>
      <c r="O389" s="366">
        <v>0</v>
      </c>
      <c r="P389" s="413">
        <v>156000000</v>
      </c>
      <c r="Q389" s="361"/>
      <c r="R389" s="378">
        <v>0</v>
      </c>
      <c r="S389" s="413">
        <v>6000000</v>
      </c>
      <c r="T389" s="361"/>
      <c r="U389" s="367">
        <v>44511</v>
      </c>
      <c r="V389" s="367">
        <v>44875</v>
      </c>
      <c r="W389" s="361" t="s">
        <v>250</v>
      </c>
      <c r="X389" s="361"/>
      <c r="Y389" s="361"/>
      <c r="Z389" s="361"/>
      <c r="AA389" s="361"/>
      <c r="AB389" s="361"/>
      <c r="AC389" s="159"/>
      <c r="AD389" s="368"/>
      <c r="AE389" s="364">
        <v>4500016958</v>
      </c>
      <c r="AF389" s="364"/>
      <c r="AG389" s="361"/>
      <c r="AH389" s="365"/>
      <c r="AI389" s="361"/>
      <c r="AJ389" s="361"/>
      <c r="AK389" s="361"/>
      <c r="AL389" s="361"/>
      <c r="AM389" s="361"/>
      <c r="AN389" s="361"/>
      <c r="AO389" s="361"/>
      <c r="AP389" s="361"/>
      <c r="AQ389" s="361"/>
      <c r="AR389" s="503"/>
      <c r="AS389" s="489"/>
      <c r="AT389" s="160"/>
      <c r="AU389" s="355"/>
    </row>
    <row r="390" spans="1:47" s="124" customFormat="1" ht="21.75" hidden="1" customHeight="1">
      <c r="A390" s="331">
        <v>389</v>
      </c>
      <c r="B390" s="361" t="s">
        <v>93</v>
      </c>
      <c r="C390" s="361" t="s">
        <v>1676</v>
      </c>
      <c r="D390" s="435" t="s">
        <v>1668</v>
      </c>
      <c r="E390" s="361" t="str">
        <f t="shared" si="6"/>
        <v>LOSS</v>
      </c>
      <c r="F390" s="361"/>
      <c r="G390" s="361"/>
      <c r="H390" s="361" t="s">
        <v>327</v>
      </c>
      <c r="I390" s="160" t="s">
        <v>346</v>
      </c>
      <c r="J390" s="361"/>
      <c r="K390" s="365"/>
      <c r="L390" s="361"/>
      <c r="M390" s="361"/>
      <c r="N390" s="361"/>
      <c r="O390" s="366">
        <v>0</v>
      </c>
      <c r="P390" s="413">
        <v>0</v>
      </c>
      <c r="Q390" s="361"/>
      <c r="R390" s="378">
        <v>0</v>
      </c>
      <c r="S390" s="415">
        <v>171600000</v>
      </c>
      <c r="T390" s="361"/>
      <c r="U390" s="367">
        <v>44446</v>
      </c>
      <c r="V390" s="367">
        <v>44810</v>
      </c>
      <c r="W390" s="361" t="s">
        <v>250</v>
      </c>
      <c r="X390" s="361"/>
      <c r="Y390" s="361"/>
      <c r="Z390" s="361"/>
      <c r="AA390" s="361"/>
      <c r="AB390" s="361"/>
      <c r="AC390" s="159"/>
      <c r="AD390" s="361" t="s">
        <v>1677</v>
      </c>
      <c r="AE390" s="364">
        <v>4500016755</v>
      </c>
      <c r="AF390" s="364"/>
      <c r="AG390" s="361"/>
      <c r="AH390" s="365"/>
      <c r="AI390" s="361"/>
      <c r="AJ390" s="361"/>
      <c r="AK390" s="361"/>
      <c r="AL390" s="361"/>
      <c r="AM390" s="361"/>
      <c r="AN390" s="361"/>
      <c r="AO390" s="361"/>
      <c r="AP390" s="361"/>
      <c r="AQ390" s="361"/>
      <c r="AR390" s="503"/>
      <c r="AS390" s="489"/>
      <c r="AT390" s="160"/>
      <c r="AU390" s="355"/>
    </row>
    <row r="391" spans="1:47" s="124" customFormat="1" ht="21.75" hidden="1" customHeight="1">
      <c r="A391" s="331">
        <v>390</v>
      </c>
      <c r="B391" s="361" t="s">
        <v>450</v>
      </c>
      <c r="C391" s="361" t="s">
        <v>1652</v>
      </c>
      <c r="D391" s="436" t="s">
        <v>1678</v>
      </c>
      <c r="E391" s="361" t="str">
        <f t="shared" si="6"/>
        <v>LOSS</v>
      </c>
      <c r="F391" s="361"/>
      <c r="G391" s="361"/>
      <c r="H391" s="28" t="s">
        <v>261</v>
      </c>
      <c r="I391" s="361" t="s">
        <v>243</v>
      </c>
      <c r="J391" s="361" t="s">
        <v>1654</v>
      </c>
      <c r="K391" s="361"/>
      <c r="L391" s="361"/>
      <c r="M391" s="361"/>
      <c r="N391" s="361"/>
      <c r="O391" s="366">
        <v>0</v>
      </c>
      <c r="P391" s="413">
        <v>120000000</v>
      </c>
      <c r="Q391" s="361"/>
      <c r="R391" s="378">
        <v>0</v>
      </c>
      <c r="S391" s="415">
        <v>144000000</v>
      </c>
      <c r="T391" s="361"/>
      <c r="U391" s="348">
        <v>44536</v>
      </c>
      <c r="V391" s="348">
        <v>44900</v>
      </c>
      <c r="W391" s="361" t="s">
        <v>250</v>
      </c>
      <c r="X391" s="361"/>
      <c r="Y391" s="361"/>
      <c r="Z391" s="361"/>
      <c r="AA391" s="361"/>
      <c r="AB391" s="361"/>
      <c r="AC391" s="159"/>
      <c r="AD391" s="368"/>
      <c r="AE391" s="364">
        <v>4500015745</v>
      </c>
      <c r="AF391" s="364"/>
      <c r="AG391" s="361"/>
      <c r="AH391" s="361"/>
      <c r="AI391" s="361"/>
      <c r="AJ391" s="361"/>
      <c r="AK391" s="361"/>
      <c r="AL391" s="361"/>
      <c r="AM391" s="361"/>
      <c r="AN391" s="361"/>
      <c r="AO391" s="361"/>
      <c r="AP391" s="361"/>
      <c r="AQ391" s="361"/>
      <c r="AR391" s="503"/>
      <c r="AS391" s="489"/>
      <c r="AT391" s="160"/>
      <c r="AU391" s="355"/>
    </row>
    <row r="392" spans="1:47" s="124" customFormat="1" ht="21.75" hidden="1" customHeight="1">
      <c r="A392" s="331">
        <v>391</v>
      </c>
      <c r="B392" s="28" t="s">
        <v>179</v>
      </c>
      <c r="C392" s="361" t="s">
        <v>1679</v>
      </c>
      <c r="D392" s="435" t="s">
        <v>1630</v>
      </c>
      <c r="E392" s="361" t="str">
        <f t="shared" si="6"/>
        <v>LOSS</v>
      </c>
      <c r="F392" s="361"/>
      <c r="G392" s="361"/>
      <c r="H392" s="361" t="s">
        <v>327</v>
      </c>
      <c r="I392" s="361" t="s">
        <v>242</v>
      </c>
      <c r="J392" s="361" t="s">
        <v>1392</v>
      </c>
      <c r="K392" s="365"/>
      <c r="L392" s="361"/>
      <c r="M392" s="361"/>
      <c r="N392" s="361"/>
      <c r="O392" s="366">
        <v>7000000</v>
      </c>
      <c r="P392" s="413">
        <v>2160000000</v>
      </c>
      <c r="Q392" s="361"/>
      <c r="R392" s="378">
        <v>3000000</v>
      </c>
      <c r="S392" s="415">
        <v>39000000</v>
      </c>
      <c r="T392" s="361"/>
      <c r="U392" s="348">
        <v>44409</v>
      </c>
      <c r="V392" s="348">
        <v>44773</v>
      </c>
      <c r="W392" s="361" t="s">
        <v>250</v>
      </c>
      <c r="X392" s="361"/>
      <c r="Y392" s="361"/>
      <c r="Z392" s="361"/>
      <c r="AA392" s="361"/>
      <c r="AB392" s="361"/>
      <c r="AC392" s="159"/>
      <c r="AD392" s="361" t="s">
        <v>1680</v>
      </c>
      <c r="AE392" s="364">
        <v>4500016504</v>
      </c>
      <c r="AF392" s="364"/>
      <c r="AG392" s="361"/>
      <c r="AH392" s="365"/>
      <c r="AI392" s="361"/>
      <c r="AJ392" s="361"/>
      <c r="AK392" s="361"/>
      <c r="AL392" s="361"/>
      <c r="AM392" s="361"/>
      <c r="AN392" s="361"/>
      <c r="AO392" s="361"/>
      <c r="AP392" s="361"/>
      <c r="AQ392" s="361"/>
      <c r="AR392" s="503"/>
      <c r="AS392" s="489"/>
      <c r="AT392" s="160"/>
      <c r="AU392" s="355"/>
    </row>
    <row r="393" spans="1:47" s="124" customFormat="1" ht="21.75" hidden="1" customHeight="1">
      <c r="A393" s="331">
        <v>392</v>
      </c>
      <c r="B393" s="361" t="s">
        <v>542</v>
      </c>
      <c r="C393" s="361" t="s">
        <v>1681</v>
      </c>
      <c r="D393" s="436" t="s">
        <v>1650</v>
      </c>
      <c r="E393" s="361" t="str">
        <f t="shared" si="6"/>
        <v>LOSS</v>
      </c>
      <c r="F393" s="361"/>
      <c r="G393" s="361"/>
      <c r="H393" s="361" t="s">
        <v>327</v>
      </c>
      <c r="I393" s="361" t="s">
        <v>242</v>
      </c>
      <c r="J393" s="361" t="s">
        <v>64</v>
      </c>
      <c r="K393" s="365"/>
      <c r="L393" s="361"/>
      <c r="M393" s="361"/>
      <c r="N393" s="361"/>
      <c r="O393" s="366">
        <v>0</v>
      </c>
      <c r="P393" s="413">
        <v>108000000</v>
      </c>
      <c r="Q393" s="361"/>
      <c r="R393" s="378">
        <v>0</v>
      </c>
      <c r="S393" s="415">
        <v>8000000</v>
      </c>
      <c r="T393" s="361"/>
      <c r="U393" s="348">
        <v>44440</v>
      </c>
      <c r="V393" s="348">
        <v>44834</v>
      </c>
      <c r="W393" s="361" t="s">
        <v>250</v>
      </c>
      <c r="X393" s="361"/>
      <c r="Y393" s="361"/>
      <c r="Z393" s="361"/>
      <c r="AA393" s="361"/>
      <c r="AB393" s="361"/>
      <c r="AC393" s="159"/>
      <c r="AD393" s="368"/>
      <c r="AE393" s="364">
        <v>4500016490</v>
      </c>
      <c r="AF393" s="364"/>
      <c r="AG393" s="361"/>
      <c r="AH393" s="365"/>
      <c r="AI393" s="361"/>
      <c r="AJ393" s="361"/>
      <c r="AK393" s="361"/>
      <c r="AL393" s="361"/>
      <c r="AM393" s="361"/>
      <c r="AN393" s="361"/>
      <c r="AO393" s="361"/>
      <c r="AP393" s="361"/>
      <c r="AQ393" s="361"/>
      <c r="AR393" s="503"/>
      <c r="AS393" s="489"/>
      <c r="AT393" s="160"/>
      <c r="AU393" s="355"/>
    </row>
    <row r="394" spans="1:47" s="124" customFormat="1" ht="21.75" hidden="1" customHeight="1">
      <c r="A394" s="331">
        <v>393</v>
      </c>
      <c r="B394" s="361" t="s">
        <v>542</v>
      </c>
      <c r="C394" s="361" t="s">
        <v>1682</v>
      </c>
      <c r="D394" s="435" t="s">
        <v>1650</v>
      </c>
      <c r="E394" s="361" t="str">
        <f t="shared" si="6"/>
        <v>LOSS</v>
      </c>
      <c r="F394" s="361"/>
      <c r="G394" s="361"/>
      <c r="H394" s="361" t="s">
        <v>327</v>
      </c>
      <c r="I394" s="160" t="s">
        <v>346</v>
      </c>
      <c r="J394" s="361" t="s">
        <v>809</v>
      </c>
      <c r="K394" s="365"/>
      <c r="L394" s="361"/>
      <c r="M394" s="361"/>
      <c r="N394" s="361"/>
      <c r="O394" s="366">
        <v>0</v>
      </c>
      <c r="P394" s="413">
        <v>4550000000</v>
      </c>
      <c r="Q394" s="361"/>
      <c r="R394" s="378">
        <v>0</v>
      </c>
      <c r="S394" s="415">
        <v>8000000</v>
      </c>
      <c r="T394" s="361"/>
      <c r="U394" s="348">
        <v>44470</v>
      </c>
      <c r="V394" s="348">
        <v>44864</v>
      </c>
      <c r="W394" s="361" t="s">
        <v>250</v>
      </c>
      <c r="X394" s="361"/>
      <c r="Y394" s="361"/>
      <c r="Z394" s="361"/>
      <c r="AA394" s="361"/>
      <c r="AB394" s="361"/>
      <c r="AC394" s="159"/>
      <c r="AD394" s="368"/>
      <c r="AE394" s="364">
        <v>4500016489</v>
      </c>
      <c r="AF394" s="364"/>
      <c r="AG394" s="361"/>
      <c r="AH394" s="365"/>
      <c r="AI394" s="361"/>
      <c r="AJ394" s="361"/>
      <c r="AK394" s="361"/>
      <c r="AL394" s="361"/>
      <c r="AM394" s="361"/>
      <c r="AN394" s="361"/>
      <c r="AO394" s="361"/>
      <c r="AP394" s="361"/>
      <c r="AQ394" s="361"/>
      <c r="AR394" s="503"/>
      <c r="AS394" s="489"/>
      <c r="AT394" s="160"/>
      <c r="AU394" s="355"/>
    </row>
    <row r="395" spans="1:47" s="124" customFormat="1" ht="21.75" hidden="1" customHeight="1">
      <c r="A395" s="331">
        <v>394</v>
      </c>
      <c r="B395" s="361" t="s">
        <v>1633</v>
      </c>
      <c r="C395" s="361" t="s">
        <v>1683</v>
      </c>
      <c r="D395" s="436" t="s">
        <v>1635</v>
      </c>
      <c r="E395" s="361" t="str">
        <f t="shared" si="6"/>
        <v>LOSS</v>
      </c>
      <c r="F395" s="361"/>
      <c r="G395" s="361"/>
      <c r="H395" s="361" t="s">
        <v>327</v>
      </c>
      <c r="I395" s="361" t="s">
        <v>242</v>
      </c>
      <c r="J395" s="361" t="s">
        <v>1684</v>
      </c>
      <c r="K395" s="365"/>
      <c r="L395" s="361"/>
      <c r="M395" s="361"/>
      <c r="N395" s="361"/>
      <c r="O395" s="366">
        <v>0</v>
      </c>
      <c r="P395" s="413">
        <v>185880000</v>
      </c>
      <c r="Q395" s="361"/>
      <c r="R395" s="378">
        <v>0</v>
      </c>
      <c r="S395" s="415">
        <v>6000000</v>
      </c>
      <c r="T395" s="361"/>
      <c r="U395" s="348">
        <v>44234</v>
      </c>
      <c r="V395" s="348">
        <v>44598</v>
      </c>
      <c r="W395" s="361" t="s">
        <v>250</v>
      </c>
      <c r="X395" s="361"/>
      <c r="Y395" s="361"/>
      <c r="Z395" s="361"/>
      <c r="AA395" s="361"/>
      <c r="AB395" s="361"/>
      <c r="AC395" s="159"/>
      <c r="AD395" s="361" t="s">
        <v>1685</v>
      </c>
      <c r="AE395" s="364">
        <v>4500015878</v>
      </c>
      <c r="AF395" s="364"/>
      <c r="AG395" s="361"/>
      <c r="AH395" s="365"/>
      <c r="AI395" s="361"/>
      <c r="AJ395" s="361"/>
      <c r="AK395" s="361"/>
      <c r="AL395" s="361"/>
      <c r="AM395" s="361"/>
      <c r="AN395" s="361"/>
      <c r="AO395" s="361"/>
      <c r="AP395" s="361"/>
      <c r="AQ395" s="361"/>
      <c r="AR395" s="503"/>
      <c r="AS395" s="489"/>
      <c r="AT395" s="160"/>
      <c r="AU395" s="355"/>
    </row>
    <row r="396" spans="1:47" s="124" customFormat="1" ht="21.75" hidden="1" customHeight="1">
      <c r="A396" s="331">
        <v>395</v>
      </c>
      <c r="B396" s="361" t="s">
        <v>1633</v>
      </c>
      <c r="C396" s="361" t="s">
        <v>1686</v>
      </c>
      <c r="D396" s="435" t="s">
        <v>1635</v>
      </c>
      <c r="E396" s="361" t="str">
        <f t="shared" si="6"/>
        <v>LOSS</v>
      </c>
      <c r="F396" s="361"/>
      <c r="G396" s="361"/>
      <c r="H396" s="361" t="s">
        <v>327</v>
      </c>
      <c r="I396" s="361" t="s">
        <v>242</v>
      </c>
      <c r="J396" s="361" t="s">
        <v>855</v>
      </c>
      <c r="K396" s="365"/>
      <c r="L396" s="361"/>
      <c r="M396" s="361"/>
      <c r="N396" s="361"/>
      <c r="O396" s="366">
        <v>0</v>
      </c>
      <c r="P396" s="413">
        <v>528000000</v>
      </c>
      <c r="Q396" s="361"/>
      <c r="R396" s="378">
        <v>0</v>
      </c>
      <c r="S396" s="415">
        <v>6000000</v>
      </c>
      <c r="T396" s="361"/>
      <c r="U396" s="367">
        <v>44302</v>
      </c>
      <c r="V396" s="367">
        <v>44666</v>
      </c>
      <c r="W396" s="361" t="s">
        <v>250</v>
      </c>
      <c r="X396" s="361"/>
      <c r="Y396" s="361"/>
      <c r="Z396" s="361"/>
      <c r="AA396" s="361"/>
      <c r="AB396" s="361"/>
      <c r="AC396" s="159"/>
      <c r="AD396" s="361" t="s">
        <v>1687</v>
      </c>
      <c r="AE396" s="364">
        <v>4500016097</v>
      </c>
      <c r="AF396" s="364"/>
      <c r="AG396" s="361"/>
      <c r="AH396" s="365"/>
      <c r="AI396" s="361"/>
      <c r="AJ396" s="361"/>
      <c r="AK396" s="361"/>
      <c r="AL396" s="361"/>
      <c r="AM396" s="361"/>
      <c r="AN396" s="361"/>
      <c r="AO396" s="361"/>
      <c r="AP396" s="361"/>
      <c r="AQ396" s="361"/>
      <c r="AR396" s="503"/>
      <c r="AS396" s="489"/>
      <c r="AT396" s="160"/>
      <c r="AU396" s="355"/>
    </row>
    <row r="397" spans="1:47" s="124" customFormat="1" ht="21.75" hidden="1" customHeight="1">
      <c r="A397" s="331">
        <v>396</v>
      </c>
      <c r="B397" s="28" t="s">
        <v>103</v>
      </c>
      <c r="C397" s="361" t="s">
        <v>1688</v>
      </c>
      <c r="D397" s="436" t="s">
        <v>1689</v>
      </c>
      <c r="E397" s="361" t="str">
        <f t="shared" si="6"/>
        <v>LOSS</v>
      </c>
      <c r="F397" s="361"/>
      <c r="G397" s="361"/>
      <c r="H397" s="361" t="s">
        <v>327</v>
      </c>
      <c r="I397" s="160" t="s">
        <v>346</v>
      </c>
      <c r="J397" s="361" t="s">
        <v>557</v>
      </c>
      <c r="K397" s="365"/>
      <c r="L397" s="361"/>
      <c r="M397" s="361"/>
      <c r="N397" s="361"/>
      <c r="O397" s="366">
        <v>0</v>
      </c>
      <c r="P397" s="413">
        <v>54000000</v>
      </c>
      <c r="Q397" s="361"/>
      <c r="R397" s="378">
        <v>0</v>
      </c>
      <c r="S397" s="415">
        <v>35000000</v>
      </c>
      <c r="T397" s="361"/>
      <c r="U397" s="348">
        <v>44435</v>
      </c>
      <c r="V397" s="348">
        <v>44799</v>
      </c>
      <c r="W397" s="361" t="s">
        <v>250</v>
      </c>
      <c r="X397" s="361"/>
      <c r="Y397" s="361"/>
      <c r="Z397" s="361"/>
      <c r="AA397" s="361"/>
      <c r="AB397" s="361"/>
      <c r="AC397" s="159"/>
      <c r="AD397" s="368"/>
      <c r="AE397" s="364">
        <v>4500016493</v>
      </c>
      <c r="AF397" s="364"/>
      <c r="AG397" s="361"/>
      <c r="AH397" s="365"/>
      <c r="AI397" s="361"/>
      <c r="AJ397" s="361"/>
      <c r="AK397" s="361"/>
      <c r="AL397" s="361"/>
      <c r="AM397" s="361"/>
      <c r="AN397" s="361"/>
      <c r="AO397" s="361"/>
      <c r="AP397" s="361"/>
      <c r="AQ397" s="361"/>
      <c r="AR397" s="503"/>
      <c r="AS397" s="489"/>
      <c r="AT397" s="160"/>
      <c r="AU397" s="355"/>
    </row>
    <row r="398" spans="1:47" s="124" customFormat="1" ht="21.75" hidden="1" customHeight="1">
      <c r="A398" s="331">
        <v>397</v>
      </c>
      <c r="B398" s="28" t="s">
        <v>103</v>
      </c>
      <c r="C398" s="361" t="s">
        <v>1690</v>
      </c>
      <c r="D398" s="435" t="s">
        <v>1689</v>
      </c>
      <c r="E398" s="361" t="str">
        <f t="shared" si="6"/>
        <v>LOSS</v>
      </c>
      <c r="F398" s="361"/>
      <c r="G398" s="361"/>
      <c r="H398" s="361" t="s">
        <v>327</v>
      </c>
      <c r="I398" s="160" t="s">
        <v>346</v>
      </c>
      <c r="J398" s="361" t="s">
        <v>721</v>
      </c>
      <c r="K398" s="365"/>
      <c r="L398" s="361"/>
      <c r="M398" s="361"/>
      <c r="N398" s="361"/>
      <c r="O398" s="366">
        <v>0</v>
      </c>
      <c r="P398" s="413">
        <v>1150000</v>
      </c>
      <c r="Q398" s="361"/>
      <c r="R398" s="378">
        <v>0</v>
      </c>
      <c r="S398" s="415">
        <v>11250000</v>
      </c>
      <c r="T398" s="361"/>
      <c r="U398" s="348">
        <v>44427</v>
      </c>
      <c r="V398" s="348">
        <v>44791</v>
      </c>
      <c r="W398" s="361" t="s">
        <v>250</v>
      </c>
      <c r="X398" s="361"/>
      <c r="Y398" s="361"/>
      <c r="Z398" s="361"/>
      <c r="AA398" s="361"/>
      <c r="AB398" s="361"/>
      <c r="AC398" s="159"/>
      <c r="AD398" s="368"/>
      <c r="AE398" s="364">
        <v>4500016494</v>
      </c>
      <c r="AF398" s="364"/>
      <c r="AG398" s="361"/>
      <c r="AH398" s="365"/>
      <c r="AI398" s="361"/>
      <c r="AJ398" s="361"/>
      <c r="AK398" s="361"/>
      <c r="AL398" s="361"/>
      <c r="AM398" s="361"/>
      <c r="AN398" s="361"/>
      <c r="AO398" s="361"/>
      <c r="AP398" s="361"/>
      <c r="AQ398" s="361"/>
      <c r="AR398" s="503"/>
      <c r="AS398" s="489"/>
      <c r="AT398" s="160"/>
      <c r="AU398" s="355"/>
    </row>
    <row r="399" spans="1:47" s="124" customFormat="1" ht="21.75" hidden="1" customHeight="1">
      <c r="A399" s="331">
        <v>398</v>
      </c>
      <c r="B399" s="361" t="s">
        <v>1691</v>
      </c>
      <c r="C399" s="361" t="s">
        <v>1692</v>
      </c>
      <c r="D399" s="436" t="s">
        <v>1693</v>
      </c>
      <c r="E399" s="361" t="str">
        <f t="shared" si="6"/>
        <v>LOSS</v>
      </c>
      <c r="F399" s="361"/>
      <c r="G399" s="361"/>
      <c r="H399" s="361" t="s">
        <v>327</v>
      </c>
      <c r="I399" s="160" t="s">
        <v>346</v>
      </c>
      <c r="J399" s="361" t="s">
        <v>1089</v>
      </c>
      <c r="K399" s="365"/>
      <c r="L399" s="361"/>
      <c r="M399" s="361"/>
      <c r="N399" s="361"/>
      <c r="O399" s="366">
        <v>0</v>
      </c>
      <c r="P399" s="413">
        <v>54000000</v>
      </c>
      <c r="Q399" s="361"/>
      <c r="R399" s="378">
        <v>0</v>
      </c>
      <c r="S399" s="415">
        <v>14400000</v>
      </c>
      <c r="T399" s="361"/>
      <c r="U399" s="367">
        <v>44451</v>
      </c>
      <c r="V399" s="367">
        <v>44815</v>
      </c>
      <c r="W399" s="361" t="s">
        <v>250</v>
      </c>
      <c r="X399" s="361"/>
      <c r="Y399" s="361"/>
      <c r="Z399" s="361"/>
      <c r="AA399" s="361"/>
      <c r="AB399" s="361"/>
      <c r="AC399" s="159"/>
      <c r="AD399" s="368"/>
      <c r="AE399" s="364">
        <v>4500016497</v>
      </c>
      <c r="AF399" s="364"/>
      <c r="AG399" s="361"/>
      <c r="AH399" s="365"/>
      <c r="AI399" s="361"/>
      <c r="AJ399" s="361"/>
      <c r="AK399" s="361"/>
      <c r="AL399" s="361"/>
      <c r="AM399" s="361"/>
      <c r="AN399" s="361"/>
      <c r="AO399" s="361"/>
      <c r="AP399" s="361"/>
      <c r="AQ399" s="361"/>
      <c r="AR399" s="503"/>
      <c r="AS399" s="489"/>
      <c r="AT399" s="160"/>
      <c r="AU399" s="355"/>
    </row>
    <row r="400" spans="1:47" s="124" customFormat="1" ht="21.75" hidden="1" customHeight="1">
      <c r="A400" s="331">
        <v>399</v>
      </c>
      <c r="B400" s="28" t="s">
        <v>584</v>
      </c>
      <c r="C400" s="361" t="s">
        <v>1694</v>
      </c>
      <c r="D400" s="435" t="s">
        <v>1695</v>
      </c>
      <c r="E400" s="361" t="str">
        <f t="shared" si="6"/>
        <v>LOSS</v>
      </c>
      <c r="F400" s="361"/>
      <c r="G400" s="361"/>
      <c r="H400" s="361" t="s">
        <v>327</v>
      </c>
      <c r="I400" s="160" t="s">
        <v>346</v>
      </c>
      <c r="J400" s="361" t="s">
        <v>587</v>
      </c>
      <c r="K400" s="365"/>
      <c r="L400" s="361"/>
      <c r="M400" s="361"/>
      <c r="N400" s="361"/>
      <c r="O400" s="366">
        <v>0</v>
      </c>
      <c r="P400" s="413">
        <v>34560000</v>
      </c>
      <c r="Q400" s="361"/>
      <c r="R400" s="378">
        <v>0</v>
      </c>
      <c r="S400" s="415">
        <v>18850000</v>
      </c>
      <c r="T400" s="361"/>
      <c r="U400" s="348">
        <v>44409</v>
      </c>
      <c r="V400" s="348">
        <v>44773</v>
      </c>
      <c r="W400" s="361" t="s">
        <v>250</v>
      </c>
      <c r="X400" s="361"/>
      <c r="Y400" s="361"/>
      <c r="Z400" s="361"/>
      <c r="AA400" s="361"/>
      <c r="AB400" s="361"/>
      <c r="AC400" s="159"/>
      <c r="AD400" s="368"/>
      <c r="AE400" s="364">
        <v>4500016270</v>
      </c>
      <c r="AF400" s="364"/>
      <c r="AG400" s="361"/>
      <c r="AH400" s="365"/>
      <c r="AI400" s="361"/>
      <c r="AJ400" s="361"/>
      <c r="AK400" s="361"/>
      <c r="AL400" s="361"/>
      <c r="AM400" s="361"/>
      <c r="AN400" s="361"/>
      <c r="AO400" s="361"/>
      <c r="AP400" s="361"/>
      <c r="AQ400" s="361"/>
      <c r="AR400" s="503"/>
      <c r="AS400" s="489"/>
      <c r="AT400" s="160"/>
      <c r="AU400" s="355"/>
    </row>
    <row r="401" spans="1:47" s="124" customFormat="1" ht="21.75" hidden="1" customHeight="1">
      <c r="A401" s="331">
        <v>400</v>
      </c>
      <c r="B401" s="361" t="s">
        <v>1696</v>
      </c>
      <c r="C401" s="361" t="s">
        <v>1697</v>
      </c>
      <c r="D401" s="436" t="s">
        <v>1698</v>
      </c>
      <c r="E401" s="361" t="str">
        <f t="shared" si="6"/>
        <v>LOSS</v>
      </c>
      <c r="F401" s="361"/>
      <c r="G401" s="361"/>
      <c r="H401" s="28" t="s">
        <v>261</v>
      </c>
      <c r="I401" s="361" t="s">
        <v>243</v>
      </c>
      <c r="J401" s="361" t="s">
        <v>1699</v>
      </c>
      <c r="K401" s="361"/>
      <c r="L401" s="361"/>
      <c r="M401" s="361"/>
      <c r="N401" s="361"/>
      <c r="O401" s="411">
        <v>0</v>
      </c>
      <c r="P401" s="413">
        <v>41400000</v>
      </c>
      <c r="Q401" s="361"/>
      <c r="R401" s="378">
        <v>0</v>
      </c>
      <c r="S401" s="415">
        <v>33000000</v>
      </c>
      <c r="T401" s="361"/>
      <c r="U401" s="348">
        <v>44378</v>
      </c>
      <c r="V401" s="348">
        <v>44742</v>
      </c>
      <c r="W401" s="361" t="s">
        <v>250</v>
      </c>
      <c r="X401" s="361"/>
      <c r="Y401" s="361"/>
      <c r="Z401" s="361"/>
      <c r="AA401" s="361"/>
      <c r="AB401" s="361"/>
      <c r="AC401" s="159"/>
      <c r="AD401" s="368"/>
      <c r="AE401" s="364">
        <v>4500016434</v>
      </c>
      <c r="AF401" s="364"/>
      <c r="AG401" s="361"/>
      <c r="AH401" s="361"/>
      <c r="AI401" s="361"/>
      <c r="AJ401" s="361"/>
      <c r="AK401" s="361"/>
      <c r="AL401" s="361"/>
      <c r="AM401" s="361"/>
      <c r="AN401" s="361"/>
      <c r="AO401" s="361"/>
      <c r="AP401" s="361"/>
      <c r="AQ401" s="361"/>
      <c r="AR401" s="503"/>
      <c r="AS401" s="489"/>
      <c r="AT401" s="160"/>
      <c r="AU401" s="355"/>
    </row>
    <row r="402" spans="1:47" s="124" customFormat="1" ht="21.75" hidden="1" customHeight="1">
      <c r="A402" s="331">
        <v>401</v>
      </c>
      <c r="B402" s="361" t="s">
        <v>165</v>
      </c>
      <c r="C402" s="361" t="s">
        <v>1700</v>
      </c>
      <c r="D402" s="435" t="s">
        <v>1701</v>
      </c>
      <c r="E402" s="361" t="str">
        <f t="shared" si="6"/>
        <v>LOSS</v>
      </c>
      <c r="F402" s="361"/>
      <c r="G402" s="361"/>
      <c r="H402" s="28" t="s">
        <v>261</v>
      </c>
      <c r="I402" s="361" t="s">
        <v>243</v>
      </c>
      <c r="J402" s="361" t="s">
        <v>1702</v>
      </c>
      <c r="K402" s="361"/>
      <c r="L402" s="361"/>
      <c r="M402" s="361"/>
      <c r="N402" s="361"/>
      <c r="O402" s="366">
        <v>0</v>
      </c>
      <c r="P402" s="413">
        <v>192000000</v>
      </c>
      <c r="Q402" s="361"/>
      <c r="R402" s="378">
        <v>0</v>
      </c>
      <c r="S402" s="415">
        <v>126000000</v>
      </c>
      <c r="T402" s="361"/>
      <c r="U402" s="348">
        <v>44228</v>
      </c>
      <c r="V402" s="348">
        <v>44592</v>
      </c>
      <c r="W402" s="361" t="s">
        <v>250</v>
      </c>
      <c r="X402" s="361"/>
      <c r="Y402" s="361"/>
      <c r="Z402" s="361"/>
      <c r="AA402" s="361"/>
      <c r="AB402" s="361"/>
      <c r="AC402" s="159"/>
      <c r="AD402" s="361" t="s">
        <v>1703</v>
      </c>
      <c r="AE402" s="364">
        <v>4500015902</v>
      </c>
      <c r="AF402" s="364"/>
      <c r="AG402" s="361"/>
      <c r="AH402" s="361"/>
      <c r="AI402" s="361"/>
      <c r="AJ402" s="361"/>
      <c r="AK402" s="361"/>
      <c r="AL402" s="361"/>
      <c r="AM402" s="361"/>
      <c r="AN402" s="361"/>
      <c r="AO402" s="361"/>
      <c r="AP402" s="361"/>
      <c r="AQ402" s="361"/>
      <c r="AR402" s="503"/>
      <c r="AS402" s="489"/>
      <c r="AT402" s="160"/>
      <c r="AU402" s="355"/>
    </row>
    <row r="403" spans="1:47" s="124" customFormat="1" ht="21.75" hidden="1" customHeight="1">
      <c r="A403" s="331">
        <v>402</v>
      </c>
      <c r="B403" s="361" t="s">
        <v>1704</v>
      </c>
      <c r="C403" s="361" t="s">
        <v>1705</v>
      </c>
      <c r="D403" s="436" t="s">
        <v>1706</v>
      </c>
      <c r="E403" s="361" t="str">
        <f t="shared" si="6"/>
        <v>LOSS</v>
      </c>
      <c r="F403" s="361"/>
      <c r="G403" s="361"/>
      <c r="H403" s="361" t="s">
        <v>327</v>
      </c>
      <c r="I403" s="160" t="s">
        <v>346</v>
      </c>
      <c r="J403" s="361" t="s">
        <v>1707</v>
      </c>
      <c r="K403" s="365"/>
      <c r="L403" s="361"/>
      <c r="M403" s="361"/>
      <c r="N403" s="361"/>
      <c r="O403" s="366">
        <v>0</v>
      </c>
      <c r="P403" s="413">
        <v>54000000</v>
      </c>
      <c r="Q403" s="361"/>
      <c r="R403" s="378">
        <v>0</v>
      </c>
      <c r="S403" s="415">
        <v>40625000</v>
      </c>
      <c r="T403" s="361"/>
      <c r="U403" s="367">
        <v>44463</v>
      </c>
      <c r="V403" s="367">
        <v>44827</v>
      </c>
      <c r="W403" s="361" t="s">
        <v>250</v>
      </c>
      <c r="X403" s="361"/>
      <c r="Y403" s="361"/>
      <c r="Z403" s="361"/>
      <c r="AA403" s="361"/>
      <c r="AB403" s="361"/>
      <c r="AC403" s="159"/>
      <c r="AD403" s="368"/>
      <c r="AE403" s="364">
        <v>4500016473</v>
      </c>
      <c r="AF403" s="364"/>
      <c r="AG403" s="361"/>
      <c r="AH403" s="365"/>
      <c r="AI403" s="361"/>
      <c r="AJ403" s="361"/>
      <c r="AK403" s="361"/>
      <c r="AL403" s="361"/>
      <c r="AM403" s="361"/>
      <c r="AN403" s="361"/>
      <c r="AO403" s="361"/>
      <c r="AP403" s="361"/>
      <c r="AQ403" s="361"/>
      <c r="AR403" s="503"/>
      <c r="AS403" s="489"/>
      <c r="AT403" s="160"/>
      <c r="AU403" s="355"/>
    </row>
    <row r="404" spans="1:47" s="124" customFormat="1" ht="21.75" hidden="1" customHeight="1">
      <c r="A404" s="331">
        <v>403</v>
      </c>
      <c r="B404" s="361" t="s">
        <v>1708</v>
      </c>
      <c r="C404" s="361" t="s">
        <v>1709</v>
      </c>
      <c r="D404" s="435" t="s">
        <v>1710</v>
      </c>
      <c r="E404" s="361" t="str">
        <f t="shared" si="6"/>
        <v>LOSS</v>
      </c>
      <c r="F404" s="361"/>
      <c r="G404" s="361"/>
      <c r="H404" s="28" t="s">
        <v>261</v>
      </c>
      <c r="I404" s="361" t="s">
        <v>243</v>
      </c>
      <c r="J404" s="361" t="s">
        <v>1223</v>
      </c>
      <c r="K404" s="361"/>
      <c r="L404" s="361"/>
      <c r="M404" s="361"/>
      <c r="N404" s="361"/>
      <c r="O404" s="366">
        <v>0</v>
      </c>
      <c r="P404" s="413">
        <v>37713600</v>
      </c>
      <c r="Q404" s="361"/>
      <c r="R404" s="378">
        <v>0</v>
      </c>
      <c r="S404" s="415">
        <v>34800000</v>
      </c>
      <c r="T404" s="361"/>
      <c r="U404" s="348">
        <v>44378</v>
      </c>
      <c r="V404" s="348">
        <v>44742</v>
      </c>
      <c r="W404" s="361" t="s">
        <v>250</v>
      </c>
      <c r="X404" s="361"/>
      <c r="Y404" s="361"/>
      <c r="Z404" s="361"/>
      <c r="AA404" s="361"/>
      <c r="AB404" s="361"/>
      <c r="AC404" s="159"/>
      <c r="AD404" s="368"/>
      <c r="AE404" s="364">
        <v>4500016457</v>
      </c>
      <c r="AF404" s="364"/>
      <c r="AG404" s="361"/>
      <c r="AH404" s="361"/>
      <c r="AI404" s="361"/>
      <c r="AJ404" s="361"/>
      <c r="AK404" s="361"/>
      <c r="AL404" s="361"/>
      <c r="AM404" s="361"/>
      <c r="AN404" s="361"/>
      <c r="AO404" s="361"/>
      <c r="AP404" s="361"/>
      <c r="AQ404" s="361"/>
      <c r="AR404" s="503"/>
      <c r="AS404" s="489"/>
      <c r="AT404" s="160"/>
      <c r="AU404" s="355"/>
    </row>
    <row r="405" spans="1:47" s="124" customFormat="1" ht="21.75" hidden="1" customHeight="1">
      <c r="A405" s="331">
        <v>404</v>
      </c>
      <c r="B405" s="361" t="s">
        <v>1711</v>
      </c>
      <c r="C405" s="361" t="s">
        <v>1712</v>
      </c>
      <c r="D405" s="436" t="s">
        <v>1713</v>
      </c>
      <c r="E405" s="361" t="str">
        <f t="shared" si="6"/>
        <v>LOSS</v>
      </c>
      <c r="F405" s="361"/>
      <c r="G405" s="361"/>
      <c r="H405" s="361" t="s">
        <v>327</v>
      </c>
      <c r="I405" s="160" t="s">
        <v>346</v>
      </c>
      <c r="J405" s="361" t="s">
        <v>1714</v>
      </c>
      <c r="K405" s="365"/>
      <c r="L405" s="361"/>
      <c r="M405" s="361"/>
      <c r="N405" s="361"/>
      <c r="O405" s="366">
        <v>2000000</v>
      </c>
      <c r="P405" s="413">
        <v>86400000</v>
      </c>
      <c r="Q405" s="361"/>
      <c r="R405" s="378">
        <v>0</v>
      </c>
      <c r="S405" s="415">
        <v>45300000</v>
      </c>
      <c r="T405" s="361"/>
      <c r="U405" s="348">
        <v>44400</v>
      </c>
      <c r="V405" s="348">
        <v>44764</v>
      </c>
      <c r="W405" s="361" t="s">
        <v>250</v>
      </c>
      <c r="X405" s="361"/>
      <c r="Y405" s="361"/>
      <c r="Z405" s="361"/>
      <c r="AA405" s="361"/>
      <c r="AB405" s="361"/>
      <c r="AC405" s="159"/>
      <c r="AD405" s="361" t="s">
        <v>1715</v>
      </c>
      <c r="AE405" s="364">
        <v>4500016483</v>
      </c>
      <c r="AF405" s="364"/>
      <c r="AG405" s="361"/>
      <c r="AH405" s="365"/>
      <c r="AI405" s="361"/>
      <c r="AJ405" s="361"/>
      <c r="AK405" s="361"/>
      <c r="AL405" s="361"/>
      <c r="AM405" s="361"/>
      <c r="AN405" s="361"/>
      <c r="AO405" s="361"/>
      <c r="AP405" s="361"/>
      <c r="AQ405" s="361"/>
      <c r="AR405" s="503"/>
      <c r="AS405" s="489"/>
      <c r="AT405" s="160"/>
      <c r="AU405" s="355"/>
    </row>
    <row r="406" spans="1:47" s="124" customFormat="1" ht="21.75" hidden="1" customHeight="1">
      <c r="A406" s="331">
        <v>405</v>
      </c>
      <c r="B406" s="159" t="s">
        <v>903</v>
      </c>
      <c r="C406" s="361" t="s">
        <v>1716</v>
      </c>
      <c r="D406" s="435" t="s">
        <v>1717</v>
      </c>
      <c r="E406" s="361" t="str">
        <f t="shared" si="6"/>
        <v>LOSS</v>
      </c>
      <c r="F406" s="361"/>
      <c r="G406" s="361"/>
      <c r="H406" s="361" t="s">
        <v>327</v>
      </c>
      <c r="I406" s="160" t="s">
        <v>346</v>
      </c>
      <c r="J406" s="361"/>
      <c r="K406" s="365"/>
      <c r="L406" s="361"/>
      <c r="M406" s="361"/>
      <c r="N406" s="361"/>
      <c r="O406" s="366">
        <v>0</v>
      </c>
      <c r="P406" s="413">
        <v>0</v>
      </c>
      <c r="Q406" s="361"/>
      <c r="R406" s="378">
        <v>0</v>
      </c>
      <c r="S406" s="415">
        <v>25200000</v>
      </c>
      <c r="T406" s="361"/>
      <c r="U406" s="348">
        <v>44440</v>
      </c>
      <c r="V406" s="348">
        <v>44804</v>
      </c>
      <c r="W406" s="361" t="s">
        <v>250</v>
      </c>
      <c r="X406" s="361"/>
      <c r="Y406" s="361"/>
      <c r="Z406" s="361"/>
      <c r="AA406" s="361"/>
      <c r="AB406" s="361"/>
      <c r="AC406" s="159"/>
      <c r="AD406" s="368"/>
      <c r="AE406" s="364">
        <v>4500016253</v>
      </c>
      <c r="AF406" s="364"/>
      <c r="AG406" s="361"/>
      <c r="AH406" s="365"/>
      <c r="AI406" s="361"/>
      <c r="AJ406" s="361"/>
      <c r="AK406" s="361"/>
      <c r="AL406" s="361"/>
      <c r="AM406" s="361"/>
      <c r="AN406" s="361"/>
      <c r="AO406" s="361"/>
      <c r="AP406" s="361"/>
      <c r="AQ406" s="361"/>
      <c r="AR406" s="503"/>
      <c r="AS406" s="489"/>
      <c r="AT406" s="160"/>
      <c r="AU406" s="355"/>
    </row>
    <row r="407" spans="1:47" s="124" customFormat="1" ht="21.75" hidden="1" customHeight="1">
      <c r="A407" s="331">
        <v>406</v>
      </c>
      <c r="B407" s="28" t="s">
        <v>179</v>
      </c>
      <c r="C407" s="361" t="s">
        <v>1718</v>
      </c>
      <c r="D407" s="436" t="s">
        <v>1630</v>
      </c>
      <c r="E407" s="361" t="str">
        <f t="shared" si="6"/>
        <v>LOSS</v>
      </c>
      <c r="F407" s="361"/>
      <c r="G407" s="361"/>
      <c r="H407" s="361" t="s">
        <v>327</v>
      </c>
      <c r="I407" s="361" t="s">
        <v>242</v>
      </c>
      <c r="J407" s="361" t="s">
        <v>1147</v>
      </c>
      <c r="K407" s="365"/>
      <c r="L407" s="361"/>
      <c r="M407" s="361"/>
      <c r="N407" s="361"/>
      <c r="O407" s="366">
        <v>0</v>
      </c>
      <c r="P407" s="413">
        <v>0</v>
      </c>
      <c r="Q407" s="361"/>
      <c r="R407" s="378">
        <v>0</v>
      </c>
      <c r="S407" s="415">
        <v>2750004</v>
      </c>
      <c r="T407" s="361"/>
      <c r="U407" s="348">
        <v>44350</v>
      </c>
      <c r="V407" s="348">
        <v>44714</v>
      </c>
      <c r="W407" s="361" t="s">
        <v>250</v>
      </c>
      <c r="X407" s="361"/>
      <c r="Y407" s="361"/>
      <c r="Z407" s="361"/>
      <c r="AA407" s="361"/>
      <c r="AB407" s="361"/>
      <c r="AC407" s="159"/>
      <c r="AD407" s="361" t="s">
        <v>1719</v>
      </c>
      <c r="AE407" s="364">
        <v>45000163116</v>
      </c>
      <c r="AF407" s="364"/>
      <c r="AG407" s="361"/>
      <c r="AH407" s="365"/>
      <c r="AI407" s="361"/>
      <c r="AJ407" s="361"/>
      <c r="AK407" s="361"/>
      <c r="AL407" s="361"/>
      <c r="AM407" s="361"/>
      <c r="AN407" s="361"/>
      <c r="AO407" s="361"/>
      <c r="AP407" s="361"/>
      <c r="AQ407" s="361"/>
      <c r="AR407" s="503"/>
      <c r="AS407" s="489"/>
      <c r="AT407" s="160"/>
      <c r="AU407" s="355"/>
    </row>
    <row r="408" spans="1:47" s="124" customFormat="1" ht="21.75" hidden="1" customHeight="1">
      <c r="A408" s="331">
        <v>407</v>
      </c>
      <c r="B408" s="361" t="s">
        <v>1720</v>
      </c>
      <c r="C408" s="361" t="s">
        <v>1721</v>
      </c>
      <c r="D408" s="435" t="s">
        <v>1674</v>
      </c>
      <c r="E408" s="361" t="str">
        <f t="shared" si="6"/>
        <v>LOSS</v>
      </c>
      <c r="F408" s="361"/>
      <c r="G408" s="361"/>
      <c r="H408" s="361" t="s">
        <v>327</v>
      </c>
      <c r="I408" s="361" t="s">
        <v>242</v>
      </c>
      <c r="J408" s="361" t="s">
        <v>1722</v>
      </c>
      <c r="K408" s="365"/>
      <c r="L408" s="361"/>
      <c r="M408" s="361"/>
      <c r="N408" s="361"/>
      <c r="O408" s="366">
        <v>0</v>
      </c>
      <c r="P408" s="413">
        <v>28800000</v>
      </c>
      <c r="Q408" s="361"/>
      <c r="R408" s="378">
        <v>0</v>
      </c>
      <c r="S408" s="415">
        <v>13200000</v>
      </c>
      <c r="T408" s="361"/>
      <c r="U408" s="348">
        <v>44227</v>
      </c>
      <c r="V408" s="348">
        <v>44591</v>
      </c>
      <c r="W408" s="361" t="s">
        <v>250</v>
      </c>
      <c r="X408" s="361"/>
      <c r="Y408" s="361"/>
      <c r="Z408" s="361"/>
      <c r="AA408" s="361"/>
      <c r="AB408" s="361"/>
      <c r="AC408" s="159"/>
      <c r="AD408" s="361" t="s">
        <v>1723</v>
      </c>
      <c r="AE408" s="364">
        <v>4500015797</v>
      </c>
      <c r="AF408" s="364"/>
      <c r="AG408" s="361"/>
      <c r="AH408" s="365"/>
      <c r="AI408" s="361"/>
      <c r="AJ408" s="361"/>
      <c r="AK408" s="361"/>
      <c r="AL408" s="361"/>
      <c r="AM408" s="361"/>
      <c r="AN408" s="361"/>
      <c r="AO408" s="361"/>
      <c r="AP408" s="361"/>
      <c r="AQ408" s="361"/>
      <c r="AR408" s="503"/>
      <c r="AS408" s="489"/>
      <c r="AT408" s="160"/>
      <c r="AU408" s="355"/>
    </row>
    <row r="409" spans="1:47" s="124" customFormat="1" ht="21.75" hidden="1" customHeight="1">
      <c r="A409" s="331">
        <v>408</v>
      </c>
      <c r="B409" s="28" t="s">
        <v>179</v>
      </c>
      <c r="C409" s="361" t="s">
        <v>1724</v>
      </c>
      <c r="D409" s="436" t="s">
        <v>1630</v>
      </c>
      <c r="E409" s="361" t="str">
        <f t="shared" si="6"/>
        <v>LOSS</v>
      </c>
      <c r="F409" s="361"/>
      <c r="G409" s="361"/>
      <c r="H409" s="361" t="s">
        <v>327</v>
      </c>
      <c r="I409" s="160" t="s">
        <v>346</v>
      </c>
      <c r="J409" s="361" t="s">
        <v>1725</v>
      </c>
      <c r="K409" s="365"/>
      <c r="L409" s="361"/>
      <c r="M409" s="361"/>
      <c r="N409" s="361"/>
      <c r="O409" s="366">
        <v>0</v>
      </c>
      <c r="P409" s="413">
        <v>285600000</v>
      </c>
      <c r="Q409" s="361"/>
      <c r="R409" s="378">
        <v>0</v>
      </c>
      <c r="S409" s="415">
        <v>49500000</v>
      </c>
      <c r="T409" s="361"/>
      <c r="U409" s="348">
        <v>44388</v>
      </c>
      <c r="V409" s="348">
        <v>44752</v>
      </c>
      <c r="W409" s="361" t="s">
        <v>250</v>
      </c>
      <c r="X409" s="361"/>
      <c r="Y409" s="361"/>
      <c r="Z409" s="361"/>
      <c r="AA409" s="361"/>
      <c r="AB409" s="361"/>
      <c r="AC409" s="159"/>
      <c r="AD409" s="361" t="s">
        <v>1726</v>
      </c>
      <c r="AE409" s="364">
        <v>4500016301</v>
      </c>
      <c r="AF409" s="364"/>
      <c r="AG409" s="361"/>
      <c r="AH409" s="365"/>
      <c r="AI409" s="361"/>
      <c r="AJ409" s="361"/>
      <c r="AK409" s="361"/>
      <c r="AL409" s="361"/>
      <c r="AM409" s="361"/>
      <c r="AN409" s="361"/>
      <c r="AO409" s="361"/>
      <c r="AP409" s="361"/>
      <c r="AQ409" s="361"/>
      <c r="AR409" s="503"/>
      <c r="AS409" s="489"/>
      <c r="AT409" s="160"/>
      <c r="AU409" s="355"/>
    </row>
    <row r="410" spans="1:47" s="124" customFormat="1" ht="21.75" hidden="1" customHeight="1">
      <c r="A410" s="331">
        <v>409</v>
      </c>
      <c r="B410" s="28" t="s">
        <v>179</v>
      </c>
      <c r="C410" s="361" t="s">
        <v>1727</v>
      </c>
      <c r="D410" s="435" t="s">
        <v>1630</v>
      </c>
      <c r="E410" s="361" t="str">
        <f t="shared" si="6"/>
        <v>LOSS</v>
      </c>
      <c r="F410" s="361"/>
      <c r="G410" s="361"/>
      <c r="H410" s="361" t="s">
        <v>327</v>
      </c>
      <c r="I410" s="361" t="s">
        <v>242</v>
      </c>
      <c r="J410" s="361" t="s">
        <v>1728</v>
      </c>
      <c r="K410" s="365"/>
      <c r="L410" s="361"/>
      <c r="M410" s="361"/>
      <c r="N410" s="361"/>
      <c r="O410" s="366">
        <v>0</v>
      </c>
      <c r="P410" s="413">
        <v>0</v>
      </c>
      <c r="Q410" s="361"/>
      <c r="R410" s="378">
        <v>0</v>
      </c>
      <c r="S410" s="415">
        <v>2750000</v>
      </c>
      <c r="T410" s="361"/>
      <c r="U410" s="348">
        <v>44350</v>
      </c>
      <c r="V410" s="348">
        <v>44714</v>
      </c>
      <c r="W410" s="361" t="s">
        <v>250</v>
      </c>
      <c r="X410" s="361"/>
      <c r="Y410" s="361"/>
      <c r="Z410" s="361"/>
      <c r="AA410" s="361"/>
      <c r="AB410" s="361"/>
      <c r="AC410" s="159"/>
      <c r="AD410" s="361" t="s">
        <v>1729</v>
      </c>
      <c r="AE410" s="364">
        <v>4500016317</v>
      </c>
      <c r="AF410" s="364"/>
      <c r="AG410" s="361"/>
      <c r="AH410" s="365"/>
      <c r="AI410" s="361"/>
      <c r="AJ410" s="361"/>
      <c r="AK410" s="361"/>
      <c r="AL410" s="361"/>
      <c r="AM410" s="361"/>
      <c r="AN410" s="361"/>
      <c r="AO410" s="361"/>
      <c r="AP410" s="361"/>
      <c r="AQ410" s="361"/>
      <c r="AR410" s="503"/>
      <c r="AS410" s="489"/>
      <c r="AT410" s="160"/>
      <c r="AU410" s="355"/>
    </row>
    <row r="411" spans="1:47" s="124" customFormat="1" ht="21.75" hidden="1" customHeight="1">
      <c r="A411" s="331">
        <v>410</v>
      </c>
      <c r="B411" s="28" t="s">
        <v>69</v>
      </c>
      <c r="C411" s="361" t="s">
        <v>1730</v>
      </c>
      <c r="D411" s="436" t="s">
        <v>1731</v>
      </c>
      <c r="E411" s="361" t="str">
        <f t="shared" si="6"/>
        <v>LOSS</v>
      </c>
      <c r="F411" s="361"/>
      <c r="G411" s="361"/>
      <c r="H411" s="28" t="s">
        <v>261</v>
      </c>
      <c r="I411" s="361" t="s">
        <v>243</v>
      </c>
      <c r="J411" s="361" t="s">
        <v>70</v>
      </c>
      <c r="K411" s="361"/>
      <c r="L411" s="361"/>
      <c r="M411" s="361"/>
      <c r="N411" s="361"/>
      <c r="O411" s="366">
        <v>0</v>
      </c>
      <c r="P411" s="413">
        <v>420000000</v>
      </c>
      <c r="Q411" s="361"/>
      <c r="R411" s="378">
        <v>0</v>
      </c>
      <c r="S411" s="415">
        <v>9000000</v>
      </c>
      <c r="T411" s="361"/>
      <c r="U411" s="348">
        <v>44384</v>
      </c>
      <c r="V411" s="348">
        <v>44748</v>
      </c>
      <c r="W411" s="361" t="s">
        <v>250</v>
      </c>
      <c r="X411" s="361"/>
      <c r="Y411" s="361"/>
      <c r="Z411" s="361"/>
      <c r="AA411" s="361"/>
      <c r="AB411" s="361"/>
      <c r="AC411" s="159"/>
      <c r="AD411" s="361" t="s">
        <v>1732</v>
      </c>
      <c r="AE411" s="364">
        <v>4500016636</v>
      </c>
      <c r="AF411" s="364"/>
      <c r="AG411" s="361"/>
      <c r="AH411" s="361"/>
      <c r="AI411" s="361"/>
      <c r="AJ411" s="361"/>
      <c r="AK411" s="361"/>
      <c r="AL411" s="361"/>
      <c r="AM411" s="361"/>
      <c r="AN411" s="361"/>
      <c r="AO411" s="361"/>
      <c r="AP411" s="361"/>
      <c r="AQ411" s="361"/>
      <c r="AR411" s="503"/>
      <c r="AS411" s="489"/>
      <c r="AT411" s="160"/>
      <c r="AU411" s="355"/>
    </row>
    <row r="412" spans="1:47" s="124" customFormat="1" ht="21.75" hidden="1" customHeight="1">
      <c r="A412" s="331">
        <v>411</v>
      </c>
      <c r="B412" s="361" t="s">
        <v>1733</v>
      </c>
      <c r="C412" s="361" t="s">
        <v>1734</v>
      </c>
      <c r="D412" s="435" t="s">
        <v>1735</v>
      </c>
      <c r="E412" s="361" t="str">
        <f t="shared" si="6"/>
        <v>LOSS</v>
      </c>
      <c r="F412" s="361"/>
      <c r="G412" s="361"/>
      <c r="H412" s="361" t="s">
        <v>327</v>
      </c>
      <c r="I412" s="160" t="s">
        <v>346</v>
      </c>
      <c r="J412" s="361" t="s">
        <v>1736</v>
      </c>
      <c r="K412" s="365"/>
      <c r="L412" s="361"/>
      <c r="M412" s="361"/>
      <c r="N412" s="361"/>
      <c r="O412" s="366">
        <v>0</v>
      </c>
      <c r="P412" s="413">
        <v>156400000</v>
      </c>
      <c r="Q412" s="361"/>
      <c r="R412" s="378">
        <v>0</v>
      </c>
      <c r="S412" s="415">
        <v>40000000</v>
      </c>
      <c r="T412" s="361"/>
      <c r="U412" s="348">
        <v>44197</v>
      </c>
      <c r="V412" s="348">
        <v>44592</v>
      </c>
      <c r="W412" s="361" t="s">
        <v>250</v>
      </c>
      <c r="X412" s="361"/>
      <c r="Y412" s="361"/>
      <c r="Z412" s="361"/>
      <c r="AA412" s="361"/>
      <c r="AB412" s="361"/>
      <c r="AC412" s="159"/>
      <c r="AD412" s="368"/>
      <c r="AE412" s="364">
        <v>4500015687</v>
      </c>
      <c r="AF412" s="364"/>
      <c r="AG412" s="361"/>
      <c r="AH412" s="365"/>
      <c r="AI412" s="361"/>
      <c r="AJ412" s="361"/>
      <c r="AK412" s="361"/>
      <c r="AL412" s="361"/>
      <c r="AM412" s="361"/>
      <c r="AN412" s="361"/>
      <c r="AO412" s="361"/>
      <c r="AP412" s="361"/>
      <c r="AQ412" s="361"/>
      <c r="AR412" s="503"/>
      <c r="AS412" s="489"/>
      <c r="AT412" s="160"/>
      <c r="AU412" s="355"/>
    </row>
    <row r="413" spans="1:47" s="124" customFormat="1" ht="21.75" hidden="1" customHeight="1">
      <c r="A413" s="331">
        <v>412</v>
      </c>
      <c r="B413" s="361" t="s">
        <v>1737</v>
      </c>
      <c r="C413" s="361" t="s">
        <v>1738</v>
      </c>
      <c r="D413" s="436" t="s">
        <v>1739</v>
      </c>
      <c r="E413" s="361" t="str">
        <f t="shared" si="6"/>
        <v>LOSS</v>
      </c>
      <c r="F413" s="361"/>
      <c r="G413" s="361"/>
      <c r="H413" s="28" t="s">
        <v>261</v>
      </c>
      <c r="I413" s="361" t="s">
        <v>243</v>
      </c>
      <c r="J413" s="361" t="s">
        <v>1740</v>
      </c>
      <c r="K413" s="361"/>
      <c r="L413" s="361"/>
      <c r="M413" s="361"/>
      <c r="N413" s="361"/>
      <c r="O413" s="366">
        <v>0</v>
      </c>
      <c r="P413" s="413">
        <v>43740000</v>
      </c>
      <c r="Q413" s="361"/>
      <c r="R413" s="378">
        <v>0</v>
      </c>
      <c r="S413" s="415">
        <v>48000000</v>
      </c>
      <c r="T413" s="361"/>
      <c r="U413" s="348">
        <v>44378</v>
      </c>
      <c r="V413" s="348">
        <v>44742</v>
      </c>
      <c r="W413" s="361" t="s">
        <v>250</v>
      </c>
      <c r="X413" s="361"/>
      <c r="Y413" s="361"/>
      <c r="Z413" s="361"/>
      <c r="AA413" s="361"/>
      <c r="AB413" s="361"/>
      <c r="AC413" s="159"/>
      <c r="AD413" s="361" t="s">
        <v>1741</v>
      </c>
      <c r="AE413" s="364">
        <v>4500016762</v>
      </c>
      <c r="AF413" s="364"/>
      <c r="AG413" s="361"/>
      <c r="AH413" s="361"/>
      <c r="AI413" s="361"/>
      <c r="AJ413" s="361"/>
      <c r="AK413" s="361"/>
      <c r="AL413" s="361"/>
      <c r="AM413" s="361"/>
      <c r="AN413" s="361"/>
      <c r="AO413" s="361"/>
      <c r="AP413" s="361"/>
      <c r="AQ413" s="361"/>
      <c r="AR413" s="503"/>
      <c r="AS413" s="489"/>
      <c r="AT413" s="160"/>
      <c r="AU413" s="355"/>
    </row>
    <row r="414" spans="1:47" s="124" customFormat="1" ht="21.75" hidden="1" customHeight="1">
      <c r="A414" s="331">
        <v>413</v>
      </c>
      <c r="B414" s="361" t="s">
        <v>348</v>
      </c>
      <c r="C414" s="361" t="s">
        <v>1622</v>
      </c>
      <c r="D414" s="435" t="s">
        <v>1623</v>
      </c>
      <c r="E414" s="361" t="str">
        <f t="shared" si="6"/>
        <v>LOSS</v>
      </c>
      <c r="F414" s="361"/>
      <c r="G414" s="361"/>
      <c r="H414" s="361" t="s">
        <v>327</v>
      </c>
      <c r="I414" s="361" t="s">
        <v>242</v>
      </c>
      <c r="J414" s="361" t="s">
        <v>1742</v>
      </c>
      <c r="K414" s="365"/>
      <c r="L414" s="361"/>
      <c r="M414" s="361"/>
      <c r="N414" s="361"/>
      <c r="O414" s="366">
        <v>2500000</v>
      </c>
      <c r="P414" s="413">
        <v>55200000</v>
      </c>
      <c r="Q414" s="361"/>
      <c r="R414" s="378">
        <v>0</v>
      </c>
      <c r="S414" s="415">
        <v>39458424</v>
      </c>
      <c r="T414" s="361"/>
      <c r="U414" s="367">
        <v>44448</v>
      </c>
      <c r="V414" s="367">
        <v>44812</v>
      </c>
      <c r="W414" s="361" t="s">
        <v>250</v>
      </c>
      <c r="X414" s="361"/>
      <c r="Y414" s="361"/>
      <c r="Z414" s="361"/>
      <c r="AA414" s="361"/>
      <c r="AB414" s="361"/>
      <c r="AC414" s="159"/>
      <c r="AD414" s="361" t="s">
        <v>1743</v>
      </c>
      <c r="AE414" s="364">
        <v>4500016697</v>
      </c>
      <c r="AF414" s="364"/>
      <c r="AG414" s="361"/>
      <c r="AH414" s="365"/>
      <c r="AI414" s="361"/>
      <c r="AJ414" s="361"/>
      <c r="AK414" s="361"/>
      <c r="AL414" s="361"/>
      <c r="AM414" s="361"/>
      <c r="AN414" s="361"/>
      <c r="AO414" s="361"/>
      <c r="AP414" s="361"/>
      <c r="AQ414" s="361"/>
      <c r="AR414" s="503"/>
      <c r="AS414" s="489"/>
      <c r="AT414" s="160"/>
      <c r="AU414" s="355"/>
    </row>
    <row r="415" spans="1:47" s="124" customFormat="1" ht="21.75" hidden="1" customHeight="1">
      <c r="A415" s="331">
        <v>414</v>
      </c>
      <c r="B415" s="159" t="s">
        <v>1744</v>
      </c>
      <c r="C415" s="361" t="s">
        <v>1745</v>
      </c>
      <c r="D415" s="436" t="s">
        <v>1746</v>
      </c>
      <c r="E415" s="361" t="str">
        <f t="shared" si="6"/>
        <v>LOSS</v>
      </c>
      <c r="F415" s="361"/>
      <c r="G415" s="361"/>
      <c r="H415" s="28" t="s">
        <v>261</v>
      </c>
      <c r="I415" s="361" t="s">
        <v>243</v>
      </c>
      <c r="J415" s="361"/>
      <c r="K415" s="361"/>
      <c r="L415" s="361"/>
      <c r="M415" s="361"/>
      <c r="N415" s="361"/>
      <c r="O415" s="366">
        <v>0</v>
      </c>
      <c r="P415" s="413">
        <v>1226520000</v>
      </c>
      <c r="Q415" s="361"/>
      <c r="R415" s="378">
        <v>0</v>
      </c>
      <c r="S415" s="415">
        <v>51600000</v>
      </c>
      <c r="T415" s="361"/>
      <c r="U415" s="348">
        <v>44357</v>
      </c>
      <c r="V415" s="348">
        <v>44721</v>
      </c>
      <c r="W415" s="361" t="s">
        <v>250</v>
      </c>
      <c r="X415" s="361"/>
      <c r="Y415" s="361"/>
      <c r="Z415" s="361"/>
      <c r="AA415" s="361"/>
      <c r="AB415" s="361"/>
      <c r="AC415" s="159"/>
      <c r="AD415" s="361" t="s">
        <v>1747</v>
      </c>
      <c r="AE415" s="364" t="s">
        <v>1748</v>
      </c>
      <c r="AF415" s="364"/>
      <c r="AG415" s="361"/>
      <c r="AH415" s="361"/>
      <c r="AI415" s="361"/>
      <c r="AJ415" s="361"/>
      <c r="AK415" s="361"/>
      <c r="AL415" s="361"/>
      <c r="AM415" s="361"/>
      <c r="AN415" s="361"/>
      <c r="AO415" s="361"/>
      <c r="AP415" s="361"/>
      <c r="AQ415" s="361"/>
      <c r="AR415" s="503"/>
      <c r="AS415" s="489"/>
      <c r="AT415" s="160"/>
      <c r="AU415" s="355"/>
    </row>
    <row r="416" spans="1:47" s="124" customFormat="1" ht="21.75" hidden="1" customHeight="1">
      <c r="A416" s="331">
        <v>415</v>
      </c>
      <c r="B416" s="361" t="s">
        <v>1749</v>
      </c>
      <c r="C416" s="361" t="s">
        <v>1750</v>
      </c>
      <c r="D416" s="435" t="s">
        <v>1751</v>
      </c>
      <c r="E416" s="361" t="str">
        <f t="shared" si="6"/>
        <v>LOSS</v>
      </c>
      <c r="F416" s="361"/>
      <c r="G416" s="361"/>
      <c r="H416" s="361" t="s">
        <v>327</v>
      </c>
      <c r="I416" s="160" t="s">
        <v>346</v>
      </c>
      <c r="J416" s="361" t="s">
        <v>1752</v>
      </c>
      <c r="K416" s="365"/>
      <c r="L416" s="361"/>
      <c r="M416" s="361"/>
      <c r="N416" s="361"/>
      <c r="O416" s="366">
        <v>0</v>
      </c>
      <c r="P416" s="413">
        <v>34800000</v>
      </c>
      <c r="Q416" s="361"/>
      <c r="R416" s="378">
        <v>0</v>
      </c>
      <c r="S416" s="415">
        <v>21450000</v>
      </c>
      <c r="T416" s="361"/>
      <c r="U416" s="367">
        <v>44525</v>
      </c>
      <c r="V416" s="367">
        <v>44889</v>
      </c>
      <c r="W416" s="361" t="s">
        <v>250</v>
      </c>
      <c r="X416" s="361"/>
      <c r="Y416" s="361"/>
      <c r="Z416" s="361"/>
      <c r="AA416" s="361"/>
      <c r="AB416" s="361"/>
      <c r="AC416" s="159"/>
      <c r="AD416" s="361" t="s">
        <v>1753</v>
      </c>
      <c r="AE416" s="364">
        <v>4500017280</v>
      </c>
      <c r="AF416" s="364"/>
      <c r="AG416" s="361"/>
      <c r="AH416" s="365"/>
      <c r="AI416" s="361"/>
      <c r="AJ416" s="361"/>
      <c r="AK416" s="361"/>
      <c r="AL416" s="361"/>
      <c r="AM416" s="361"/>
      <c r="AN416" s="361"/>
      <c r="AO416" s="361"/>
      <c r="AP416" s="361"/>
      <c r="AQ416" s="361"/>
      <c r="AR416" s="503"/>
      <c r="AS416" s="489"/>
      <c r="AT416" s="160"/>
      <c r="AU416" s="355"/>
    </row>
    <row r="417" spans="1:47" s="124" customFormat="1" ht="21.75" hidden="1" customHeight="1">
      <c r="A417" s="331">
        <v>416</v>
      </c>
      <c r="B417" s="361" t="s">
        <v>450</v>
      </c>
      <c r="C417" s="361" t="s">
        <v>1754</v>
      </c>
      <c r="D417" s="436" t="s">
        <v>689</v>
      </c>
      <c r="E417" s="361" t="str">
        <f t="shared" si="6"/>
        <v>LOSS</v>
      </c>
      <c r="F417" s="361"/>
      <c r="G417" s="361"/>
      <c r="H417" s="361" t="s">
        <v>327</v>
      </c>
      <c r="I417" s="160" t="s">
        <v>346</v>
      </c>
      <c r="J417" s="361" t="s">
        <v>844</v>
      </c>
      <c r="K417" s="365"/>
      <c r="L417" s="361"/>
      <c r="M417" s="361"/>
      <c r="N417" s="361"/>
      <c r="O417" s="374" t="s">
        <v>115</v>
      </c>
      <c r="P417" s="372">
        <v>27000000</v>
      </c>
      <c r="Q417" s="361"/>
      <c r="R417" s="376" t="s">
        <v>115</v>
      </c>
      <c r="S417" s="372">
        <v>2750000</v>
      </c>
      <c r="T417" s="361"/>
      <c r="U417" s="351">
        <v>44242</v>
      </c>
      <c r="V417" s="367">
        <v>44606</v>
      </c>
      <c r="W417" s="361" t="s">
        <v>250</v>
      </c>
      <c r="X417" s="361"/>
      <c r="Y417" s="361"/>
      <c r="Z417" s="361"/>
      <c r="AA417" s="361"/>
      <c r="AB417" s="361"/>
      <c r="AC417" s="159"/>
      <c r="AD417" s="361" t="s">
        <v>1755</v>
      </c>
      <c r="AE417" s="364">
        <v>4500015812</v>
      </c>
      <c r="AF417" s="364"/>
      <c r="AG417" s="361"/>
      <c r="AH417" s="365"/>
      <c r="AI417" s="361"/>
      <c r="AJ417" s="361"/>
      <c r="AK417" s="361"/>
      <c r="AL417" s="361"/>
      <c r="AM417" s="361"/>
      <c r="AN417" s="361"/>
      <c r="AO417" s="361"/>
      <c r="AP417" s="361"/>
      <c r="AQ417" s="361"/>
      <c r="AR417" s="503"/>
      <c r="AS417" s="489"/>
      <c r="AT417" s="160"/>
      <c r="AU417" s="355"/>
    </row>
    <row r="418" spans="1:47" s="124" customFormat="1" ht="21.75" hidden="1" customHeight="1">
      <c r="A418" s="331">
        <v>417</v>
      </c>
      <c r="B418" s="361" t="s">
        <v>726</v>
      </c>
      <c r="C418" s="361" t="s">
        <v>1756</v>
      </c>
      <c r="D418" s="435" t="s">
        <v>1757</v>
      </c>
      <c r="E418" s="361" t="str">
        <f t="shared" si="6"/>
        <v>LOSS</v>
      </c>
      <c r="F418" s="361"/>
      <c r="G418" s="361"/>
      <c r="H418" s="361" t="s">
        <v>327</v>
      </c>
      <c r="I418" s="361" t="s">
        <v>242</v>
      </c>
      <c r="J418" s="361" t="s">
        <v>1758</v>
      </c>
      <c r="K418" s="365"/>
      <c r="L418" s="361"/>
      <c r="M418" s="361"/>
      <c r="N418" s="361"/>
      <c r="O418" s="362">
        <v>20000000</v>
      </c>
      <c r="P418" s="372">
        <v>84000000</v>
      </c>
      <c r="Q418" s="361"/>
      <c r="R418" s="372">
        <v>4000000</v>
      </c>
      <c r="S418" s="372">
        <v>24000000</v>
      </c>
      <c r="T418" s="361"/>
      <c r="U418" s="351">
        <v>44271</v>
      </c>
      <c r="V418" s="367">
        <v>44635</v>
      </c>
      <c r="W418" s="361" t="s">
        <v>250</v>
      </c>
      <c r="X418" s="361"/>
      <c r="Y418" s="361"/>
      <c r="Z418" s="361"/>
      <c r="AA418" s="361"/>
      <c r="AB418" s="361"/>
      <c r="AC418" s="159"/>
      <c r="AD418" s="361" t="s">
        <v>1759</v>
      </c>
      <c r="AE418" s="364">
        <v>4500015925</v>
      </c>
      <c r="AF418" s="364"/>
      <c r="AG418" s="361"/>
      <c r="AH418" s="365"/>
      <c r="AI418" s="361"/>
      <c r="AJ418" s="361"/>
      <c r="AK418" s="361"/>
      <c r="AL418" s="361"/>
      <c r="AM418" s="361"/>
      <c r="AN418" s="361"/>
      <c r="AO418" s="361"/>
      <c r="AP418" s="361"/>
      <c r="AQ418" s="361"/>
      <c r="AR418" s="503"/>
      <c r="AS418" s="489"/>
      <c r="AT418" s="160"/>
      <c r="AU418" s="355"/>
    </row>
    <row r="419" spans="1:47" s="124" customFormat="1" ht="21.75" hidden="1" customHeight="1">
      <c r="A419" s="331">
        <v>418</v>
      </c>
      <c r="B419" s="361" t="s">
        <v>348</v>
      </c>
      <c r="C419" s="361" t="s">
        <v>1760</v>
      </c>
      <c r="D419" s="436" t="s">
        <v>1761</v>
      </c>
      <c r="E419" s="361" t="str">
        <f t="shared" si="6"/>
        <v>LOSS</v>
      </c>
      <c r="F419" s="361"/>
      <c r="G419" s="361"/>
      <c r="H419" s="361" t="s">
        <v>327</v>
      </c>
      <c r="I419" s="361" t="s">
        <v>242</v>
      </c>
      <c r="J419" s="361" t="s">
        <v>1762</v>
      </c>
      <c r="K419" s="365"/>
      <c r="L419" s="361"/>
      <c r="M419" s="361"/>
      <c r="N419" s="361"/>
      <c r="O419" s="362">
        <v>3500000</v>
      </c>
      <c r="P419" s="372">
        <v>54000000</v>
      </c>
      <c r="Q419" s="361"/>
      <c r="R419" s="376" t="s">
        <v>115</v>
      </c>
      <c r="S419" s="372">
        <v>11818764</v>
      </c>
      <c r="T419" s="361"/>
      <c r="U419" s="351">
        <v>44434</v>
      </c>
      <c r="V419" s="367">
        <v>44798</v>
      </c>
      <c r="W419" s="361" t="s">
        <v>250</v>
      </c>
      <c r="X419" s="361"/>
      <c r="Y419" s="361"/>
      <c r="Z419" s="361"/>
      <c r="AA419" s="361"/>
      <c r="AB419" s="361"/>
      <c r="AC419" s="159"/>
      <c r="AD419" s="361" t="s">
        <v>1763</v>
      </c>
      <c r="AE419" s="364">
        <v>4500016103</v>
      </c>
      <c r="AF419" s="364"/>
      <c r="AG419" s="361"/>
      <c r="AH419" s="365"/>
      <c r="AI419" s="361"/>
      <c r="AJ419" s="361"/>
      <c r="AK419" s="361"/>
      <c r="AL419" s="361"/>
      <c r="AM419" s="361"/>
      <c r="AN419" s="361"/>
      <c r="AO419" s="361"/>
      <c r="AP419" s="361"/>
      <c r="AQ419" s="361"/>
      <c r="AR419" s="503"/>
      <c r="AS419" s="489"/>
      <c r="AT419" s="160"/>
      <c r="AU419" s="355"/>
    </row>
    <row r="420" spans="1:47" s="124" customFormat="1" ht="21.75" hidden="1" customHeight="1">
      <c r="A420" s="331">
        <v>419</v>
      </c>
      <c r="B420" s="361" t="s">
        <v>165</v>
      </c>
      <c r="C420" s="361" t="s">
        <v>1764</v>
      </c>
      <c r="D420" s="435" t="s">
        <v>1701</v>
      </c>
      <c r="E420" s="361" t="str">
        <f t="shared" si="6"/>
        <v>LOSS</v>
      </c>
      <c r="F420" s="361"/>
      <c r="G420" s="361"/>
      <c r="H420" s="28" t="s">
        <v>261</v>
      </c>
      <c r="I420" s="361" t="s">
        <v>243</v>
      </c>
      <c r="J420" s="361" t="s">
        <v>1765</v>
      </c>
      <c r="K420" s="361"/>
      <c r="L420" s="361"/>
      <c r="M420" s="361"/>
      <c r="N420" s="361"/>
      <c r="O420" s="374" t="s">
        <v>115</v>
      </c>
      <c r="P420" s="372">
        <v>168000000</v>
      </c>
      <c r="Q420" s="361"/>
      <c r="R420" s="376" t="s">
        <v>115</v>
      </c>
      <c r="S420" s="372">
        <v>54000000</v>
      </c>
      <c r="T420" s="361"/>
      <c r="U420" s="351">
        <v>44268</v>
      </c>
      <c r="V420" s="367">
        <v>44632</v>
      </c>
      <c r="W420" s="361" t="s">
        <v>250</v>
      </c>
      <c r="X420" s="361"/>
      <c r="Y420" s="361"/>
      <c r="Z420" s="361"/>
      <c r="AA420" s="361"/>
      <c r="AB420" s="361"/>
      <c r="AC420" s="159"/>
      <c r="AD420" s="361" t="s">
        <v>1766</v>
      </c>
      <c r="AE420" s="364">
        <v>4500015842</v>
      </c>
      <c r="AF420" s="364"/>
      <c r="AG420" s="361"/>
      <c r="AH420" s="361"/>
      <c r="AI420" s="361"/>
      <c r="AJ420" s="361"/>
      <c r="AK420" s="361"/>
      <c r="AL420" s="361"/>
      <c r="AM420" s="361"/>
      <c r="AN420" s="361"/>
      <c r="AO420" s="361"/>
      <c r="AP420" s="361"/>
      <c r="AQ420" s="361"/>
      <c r="AR420" s="503"/>
      <c r="AS420" s="489"/>
      <c r="AT420" s="160"/>
      <c r="AU420" s="355"/>
    </row>
    <row r="421" spans="1:47" s="124" customFormat="1" ht="21.75" hidden="1" customHeight="1">
      <c r="A421" s="331">
        <v>420</v>
      </c>
      <c r="B421" s="28" t="s">
        <v>1301</v>
      </c>
      <c r="C421" s="361" t="s">
        <v>684</v>
      </c>
      <c r="D421" s="436" t="s">
        <v>1767</v>
      </c>
      <c r="E421" s="361" t="str">
        <f t="shared" si="6"/>
        <v>LOSS</v>
      </c>
      <c r="F421" s="361"/>
      <c r="G421" s="361"/>
      <c r="H421" s="28" t="s">
        <v>261</v>
      </c>
      <c r="I421" s="361" t="s">
        <v>243</v>
      </c>
      <c r="J421" s="361" t="s">
        <v>1768</v>
      </c>
      <c r="K421" s="361"/>
      <c r="L421" s="361"/>
      <c r="M421" s="361"/>
      <c r="N421" s="361"/>
      <c r="O421" s="374" t="s">
        <v>115</v>
      </c>
      <c r="P421" s="372">
        <v>72000000</v>
      </c>
      <c r="Q421" s="361"/>
      <c r="R421" s="376" t="s">
        <v>115</v>
      </c>
      <c r="S421" s="372">
        <v>59400000</v>
      </c>
      <c r="T421" s="361"/>
      <c r="U421" s="351">
        <v>44265</v>
      </c>
      <c r="V421" s="367">
        <v>44629</v>
      </c>
      <c r="W421" s="361" t="s">
        <v>250</v>
      </c>
      <c r="X421" s="361"/>
      <c r="Y421" s="361"/>
      <c r="Z421" s="361"/>
      <c r="AA421" s="361"/>
      <c r="AB421" s="361"/>
      <c r="AC421" s="159"/>
      <c r="AD421" s="361" t="s">
        <v>1769</v>
      </c>
      <c r="AE421" s="364">
        <v>4500015813</v>
      </c>
      <c r="AF421" s="364"/>
      <c r="AG421" s="361"/>
      <c r="AH421" s="361"/>
      <c r="AI421" s="361"/>
      <c r="AJ421" s="361"/>
      <c r="AK421" s="361"/>
      <c r="AL421" s="361"/>
      <c r="AM421" s="361"/>
      <c r="AN421" s="361"/>
      <c r="AO421" s="361"/>
      <c r="AP421" s="361"/>
      <c r="AQ421" s="361"/>
      <c r="AR421" s="503"/>
      <c r="AS421" s="489"/>
      <c r="AT421" s="160"/>
      <c r="AU421" s="355"/>
    </row>
    <row r="422" spans="1:47" s="124" customFormat="1" ht="21.75" hidden="1" customHeight="1">
      <c r="A422" s="331">
        <v>421</v>
      </c>
      <c r="B422" s="361" t="s">
        <v>37</v>
      </c>
      <c r="C422" s="361" t="s">
        <v>1770</v>
      </c>
      <c r="D422" s="435" t="s">
        <v>1771</v>
      </c>
      <c r="E422" s="361" t="str">
        <f t="shared" si="6"/>
        <v>LOSS</v>
      </c>
      <c r="F422" s="361"/>
      <c r="G422" s="361"/>
      <c r="H422" s="361" t="s">
        <v>327</v>
      </c>
      <c r="I422" s="361" t="s">
        <v>242</v>
      </c>
      <c r="J422" s="361" t="s">
        <v>1772</v>
      </c>
      <c r="K422" s="365"/>
      <c r="L422" s="361"/>
      <c r="M422" s="361"/>
      <c r="N422" s="361"/>
      <c r="O422" s="362">
        <v>7500000</v>
      </c>
      <c r="P422" s="372">
        <v>234000000</v>
      </c>
      <c r="Q422" s="361"/>
      <c r="R422" s="372">
        <v>2000000</v>
      </c>
      <c r="S422" s="372">
        <v>30000000</v>
      </c>
      <c r="T422" s="361"/>
      <c r="U422" s="351">
        <v>44308</v>
      </c>
      <c r="V422" s="367">
        <v>44672</v>
      </c>
      <c r="W422" s="361" t="s">
        <v>250</v>
      </c>
      <c r="X422" s="361"/>
      <c r="Y422" s="34"/>
      <c r="Z422" s="361"/>
      <c r="AA422" s="361"/>
      <c r="AB422" s="361"/>
      <c r="AC422" s="159"/>
      <c r="AD422" s="361"/>
      <c r="AE422" s="364" t="s">
        <v>1773</v>
      </c>
      <c r="AF422" s="364"/>
      <c r="AG422" s="361"/>
      <c r="AH422" s="365"/>
      <c r="AI422" s="361"/>
      <c r="AJ422" s="361"/>
      <c r="AK422" s="361"/>
      <c r="AL422" s="361"/>
      <c r="AM422" s="361"/>
      <c r="AN422" s="361"/>
      <c r="AO422" s="361"/>
      <c r="AP422" s="361"/>
      <c r="AQ422" s="361"/>
      <c r="AR422" s="503"/>
      <c r="AS422" s="489"/>
      <c r="AT422" s="160"/>
      <c r="AU422" s="355"/>
    </row>
    <row r="423" spans="1:47" s="124" customFormat="1" ht="21.75" hidden="1" customHeight="1">
      <c r="A423" s="331">
        <v>422</v>
      </c>
      <c r="B423" s="361" t="s">
        <v>348</v>
      </c>
      <c r="C423" s="361" t="s">
        <v>1774</v>
      </c>
      <c r="D423" s="436" t="s">
        <v>1761</v>
      </c>
      <c r="E423" s="361" t="str">
        <f t="shared" si="6"/>
        <v>LOSS</v>
      </c>
      <c r="F423" s="361"/>
      <c r="G423" s="361"/>
      <c r="H423" s="361" t="s">
        <v>327</v>
      </c>
      <c r="I423" s="361" t="s">
        <v>242</v>
      </c>
      <c r="J423" s="361" t="s">
        <v>1775</v>
      </c>
      <c r="K423" s="365"/>
      <c r="L423" s="361"/>
      <c r="M423" s="361"/>
      <c r="N423" s="361"/>
      <c r="O423" s="362">
        <v>3500000</v>
      </c>
      <c r="P423" s="372">
        <v>60000000</v>
      </c>
      <c r="Q423" s="361"/>
      <c r="R423" s="376" t="s">
        <v>115</v>
      </c>
      <c r="S423" s="372">
        <v>39458424</v>
      </c>
      <c r="T423" s="361"/>
      <c r="U423" s="351">
        <v>44291</v>
      </c>
      <c r="V423" s="367">
        <v>44655</v>
      </c>
      <c r="W423" s="361" t="s">
        <v>250</v>
      </c>
      <c r="X423" s="361"/>
      <c r="Y423" s="361"/>
      <c r="Z423" s="361"/>
      <c r="AA423" s="361"/>
      <c r="AB423" s="361"/>
      <c r="AC423" s="159"/>
      <c r="AD423" s="361" t="s">
        <v>1776</v>
      </c>
      <c r="AE423" s="364">
        <v>4500016007</v>
      </c>
      <c r="AF423" s="364"/>
      <c r="AG423" s="361"/>
      <c r="AH423" s="365"/>
      <c r="AI423" s="361"/>
      <c r="AJ423" s="361"/>
      <c r="AK423" s="361"/>
      <c r="AL423" s="361"/>
      <c r="AM423" s="361"/>
      <c r="AN423" s="361"/>
      <c r="AO423" s="361"/>
      <c r="AP423" s="361"/>
      <c r="AQ423" s="361"/>
      <c r="AR423" s="503"/>
      <c r="AS423" s="489"/>
      <c r="AT423" s="160"/>
      <c r="AU423" s="355"/>
    </row>
    <row r="424" spans="1:47" s="124" customFormat="1" ht="21.75" hidden="1" customHeight="1">
      <c r="A424" s="331">
        <v>423</v>
      </c>
      <c r="B424" s="159" t="s">
        <v>614</v>
      </c>
      <c r="C424" s="361" t="s">
        <v>1777</v>
      </c>
      <c r="D424" s="435" t="s">
        <v>1778</v>
      </c>
      <c r="E424" s="361" t="str">
        <f t="shared" si="6"/>
        <v>LOSS</v>
      </c>
      <c r="F424" s="361"/>
      <c r="G424" s="361"/>
      <c r="H424" s="28" t="s">
        <v>261</v>
      </c>
      <c r="I424" s="361" t="s">
        <v>243</v>
      </c>
      <c r="J424" s="361" t="s">
        <v>1779</v>
      </c>
      <c r="K424" s="361"/>
      <c r="L424" s="361"/>
      <c r="M424" s="361"/>
      <c r="N424" s="361"/>
      <c r="O424" s="362">
        <v>10500000</v>
      </c>
      <c r="P424" s="372">
        <v>1008000000</v>
      </c>
      <c r="Q424" s="361"/>
      <c r="R424" s="372">
        <v>5000000</v>
      </c>
      <c r="S424" s="372">
        <v>540000000</v>
      </c>
      <c r="T424" s="361"/>
      <c r="U424" s="373">
        <v>44200</v>
      </c>
      <c r="V424" s="367">
        <v>45382</v>
      </c>
      <c r="W424" s="364" t="s">
        <v>250</v>
      </c>
      <c r="X424" s="361"/>
      <c r="Y424" s="361"/>
      <c r="Z424" s="361"/>
      <c r="AA424" s="361"/>
      <c r="AB424" s="361"/>
      <c r="AC424" s="159"/>
      <c r="AD424" s="361" t="s">
        <v>1780</v>
      </c>
      <c r="AE424" s="364">
        <v>4500015965</v>
      </c>
      <c r="AF424" s="364"/>
      <c r="AG424" s="361"/>
      <c r="AH424" s="361"/>
      <c r="AI424" s="361"/>
      <c r="AJ424" s="361"/>
      <c r="AK424" s="361"/>
      <c r="AL424" s="361"/>
      <c r="AM424" s="361"/>
      <c r="AN424" s="361"/>
      <c r="AO424" s="361"/>
      <c r="AP424" s="361"/>
      <c r="AQ424" s="361"/>
      <c r="AR424" s="503"/>
      <c r="AS424" s="489"/>
      <c r="AT424" s="160"/>
      <c r="AU424" s="355"/>
    </row>
    <row r="425" spans="1:47" s="124" customFormat="1" ht="21.75" hidden="1" customHeight="1">
      <c r="A425" s="331">
        <v>424</v>
      </c>
      <c r="B425" s="28" t="s">
        <v>103</v>
      </c>
      <c r="C425" s="361" t="s">
        <v>1781</v>
      </c>
      <c r="D425" s="436" t="s">
        <v>720</v>
      </c>
      <c r="E425" s="361" t="str">
        <f t="shared" si="6"/>
        <v>LOSS</v>
      </c>
      <c r="F425" s="361"/>
      <c r="G425" s="361"/>
      <c r="H425" s="361" t="s">
        <v>327</v>
      </c>
      <c r="I425" s="160" t="s">
        <v>346</v>
      </c>
      <c r="J425" s="361" t="s">
        <v>1782</v>
      </c>
      <c r="K425" s="365"/>
      <c r="L425" s="361"/>
      <c r="M425" s="361"/>
      <c r="N425" s="361"/>
      <c r="O425" s="374" t="s">
        <v>115</v>
      </c>
      <c r="P425" s="372">
        <v>44400000</v>
      </c>
      <c r="Q425" s="361"/>
      <c r="R425" s="376" t="s">
        <v>115</v>
      </c>
      <c r="S425" s="372">
        <v>13244000</v>
      </c>
      <c r="T425" s="361"/>
      <c r="U425" s="351">
        <v>44223</v>
      </c>
      <c r="V425" s="367">
        <v>44587</v>
      </c>
      <c r="W425" s="361" t="s">
        <v>250</v>
      </c>
      <c r="X425" s="361"/>
      <c r="Y425" s="361"/>
      <c r="Z425" s="361"/>
      <c r="AA425" s="361"/>
      <c r="AB425" s="361"/>
      <c r="AC425" s="159"/>
      <c r="AD425" s="361" t="s">
        <v>1783</v>
      </c>
      <c r="AE425" s="364">
        <v>4500015779</v>
      </c>
      <c r="AF425" s="364"/>
      <c r="AG425" s="361"/>
      <c r="AH425" s="365"/>
      <c r="AI425" s="361"/>
      <c r="AJ425" s="361"/>
      <c r="AK425" s="361"/>
      <c r="AL425" s="361"/>
      <c r="AM425" s="361"/>
      <c r="AN425" s="361"/>
      <c r="AO425" s="361"/>
      <c r="AP425" s="361"/>
      <c r="AQ425" s="361"/>
      <c r="AR425" s="503"/>
      <c r="AS425" s="489"/>
      <c r="AT425" s="160"/>
      <c r="AU425" s="355"/>
    </row>
    <row r="426" spans="1:47" s="124" customFormat="1" ht="21.75" hidden="1" customHeight="1">
      <c r="A426" s="331">
        <v>425</v>
      </c>
      <c r="B426" s="361" t="s">
        <v>450</v>
      </c>
      <c r="C426" s="361" t="s">
        <v>1784</v>
      </c>
      <c r="D426" s="435" t="s">
        <v>689</v>
      </c>
      <c r="E426" s="361" t="str">
        <f t="shared" si="6"/>
        <v>LOSS</v>
      </c>
      <c r="F426" s="361"/>
      <c r="G426" s="361"/>
      <c r="H426" s="28" t="s">
        <v>261</v>
      </c>
      <c r="I426" s="361" t="s">
        <v>243</v>
      </c>
      <c r="J426" s="361" t="s">
        <v>1785</v>
      </c>
      <c r="K426" s="361"/>
      <c r="L426" s="361"/>
      <c r="M426" s="361"/>
      <c r="N426" s="361"/>
      <c r="O426" s="374" t="s">
        <v>115</v>
      </c>
      <c r="P426" s="372">
        <v>379656000</v>
      </c>
      <c r="Q426" s="361"/>
      <c r="R426" s="376" t="s">
        <v>115</v>
      </c>
      <c r="S426" s="372">
        <v>120000000</v>
      </c>
      <c r="T426" s="361"/>
      <c r="U426" s="351">
        <v>44333</v>
      </c>
      <c r="V426" s="367">
        <v>44697</v>
      </c>
      <c r="W426" s="361" t="s">
        <v>250</v>
      </c>
      <c r="X426" s="361"/>
      <c r="Y426" s="361"/>
      <c r="Z426" s="361"/>
      <c r="AA426" s="361"/>
      <c r="AB426" s="361"/>
      <c r="AC426" s="159"/>
      <c r="AD426" s="368"/>
      <c r="AE426" s="364">
        <v>4500016258</v>
      </c>
      <c r="AF426" s="364"/>
      <c r="AG426" s="361"/>
      <c r="AH426" s="361"/>
      <c r="AI426" s="361"/>
      <c r="AJ426" s="361"/>
      <c r="AK426" s="361"/>
      <c r="AL426" s="361"/>
      <c r="AM426" s="361"/>
      <c r="AN426" s="361"/>
      <c r="AO426" s="361"/>
      <c r="AP426" s="361"/>
      <c r="AQ426" s="361"/>
      <c r="AR426" s="503"/>
      <c r="AS426" s="489"/>
      <c r="AT426" s="160"/>
      <c r="AU426" s="355"/>
    </row>
    <row r="427" spans="1:47" s="124" customFormat="1" ht="21.75" hidden="1" customHeight="1">
      <c r="A427" s="331">
        <v>426</v>
      </c>
      <c r="B427" s="361" t="s">
        <v>1786</v>
      </c>
      <c r="C427" s="361" t="s">
        <v>1787</v>
      </c>
      <c r="D427" s="436" t="s">
        <v>1788</v>
      </c>
      <c r="E427" s="361" t="str">
        <f t="shared" si="6"/>
        <v>LOSS</v>
      </c>
      <c r="F427" s="361"/>
      <c r="G427" s="361"/>
      <c r="H427" s="28" t="s">
        <v>261</v>
      </c>
      <c r="I427" s="361" t="s">
        <v>243</v>
      </c>
      <c r="J427" s="361" t="s">
        <v>1789</v>
      </c>
      <c r="K427" s="361"/>
      <c r="L427" s="361"/>
      <c r="M427" s="361"/>
      <c r="N427" s="361"/>
      <c r="O427" s="374" t="s">
        <v>115</v>
      </c>
      <c r="P427" s="372">
        <v>38400000</v>
      </c>
      <c r="Q427" s="361"/>
      <c r="R427" s="376" t="s">
        <v>115</v>
      </c>
      <c r="S427" s="372">
        <v>21120000</v>
      </c>
      <c r="T427" s="361"/>
      <c r="U427" s="351">
        <v>44197</v>
      </c>
      <c r="V427" s="367">
        <v>44561</v>
      </c>
      <c r="W427" s="361" t="s">
        <v>250</v>
      </c>
      <c r="X427" s="361"/>
      <c r="Y427" s="361"/>
      <c r="Z427" s="361"/>
      <c r="AA427" s="361"/>
      <c r="AB427" s="361"/>
      <c r="AC427" s="159"/>
      <c r="AD427" s="368"/>
      <c r="AE427" s="364">
        <v>4500015605</v>
      </c>
      <c r="AF427" s="364"/>
      <c r="AG427" s="361"/>
      <c r="AH427" s="361"/>
      <c r="AI427" s="361"/>
      <c r="AJ427" s="361"/>
      <c r="AK427" s="361"/>
      <c r="AL427" s="361"/>
      <c r="AM427" s="361"/>
      <c r="AN427" s="361"/>
      <c r="AO427" s="361"/>
      <c r="AP427" s="361"/>
      <c r="AQ427" s="361"/>
      <c r="AR427" s="503"/>
      <c r="AS427" s="489"/>
      <c r="AT427" s="160"/>
      <c r="AU427" s="355"/>
    </row>
    <row r="428" spans="1:47" s="124" customFormat="1" ht="21.75" hidden="1" customHeight="1">
      <c r="A428" s="331">
        <v>427</v>
      </c>
      <c r="B428" s="361" t="s">
        <v>93</v>
      </c>
      <c r="C428" s="361" t="s">
        <v>731</v>
      </c>
      <c r="D428" s="435" t="s">
        <v>1778</v>
      </c>
      <c r="E428" s="361" t="str">
        <f t="shared" si="6"/>
        <v>LOSS</v>
      </c>
      <c r="F428" s="361"/>
      <c r="G428" s="361"/>
      <c r="H428" s="361" t="s">
        <v>327</v>
      </c>
      <c r="I428" s="361" t="s">
        <v>242</v>
      </c>
      <c r="J428" s="361" t="s">
        <v>732</v>
      </c>
      <c r="K428" s="365"/>
      <c r="L428" s="361"/>
      <c r="M428" s="361"/>
      <c r="N428" s="361"/>
      <c r="O428" s="374" t="s">
        <v>115</v>
      </c>
      <c r="P428" s="372">
        <v>155730480</v>
      </c>
      <c r="Q428" s="361"/>
      <c r="R428" s="376" t="s">
        <v>115</v>
      </c>
      <c r="S428" s="372">
        <v>18000000</v>
      </c>
      <c r="T428" s="361"/>
      <c r="U428" s="351">
        <v>44206</v>
      </c>
      <c r="V428" s="367">
        <v>44570</v>
      </c>
      <c r="W428" s="361" t="s">
        <v>250</v>
      </c>
      <c r="X428" s="361"/>
      <c r="Y428" s="361"/>
      <c r="Z428" s="361"/>
      <c r="AA428" s="361"/>
      <c r="AB428" s="361"/>
      <c r="AC428" s="159"/>
      <c r="AD428" s="368"/>
      <c r="AE428" s="364">
        <v>4500015702</v>
      </c>
      <c r="AF428" s="364"/>
      <c r="AG428" s="361"/>
      <c r="AH428" s="365"/>
      <c r="AI428" s="361"/>
      <c r="AJ428" s="361"/>
      <c r="AK428" s="361"/>
      <c r="AL428" s="361"/>
      <c r="AM428" s="361"/>
      <c r="AN428" s="361"/>
      <c r="AO428" s="361"/>
      <c r="AP428" s="361"/>
      <c r="AQ428" s="361"/>
      <c r="AR428" s="503"/>
      <c r="AS428" s="489"/>
      <c r="AT428" s="160"/>
      <c r="AU428" s="355"/>
    </row>
    <row r="429" spans="1:47" s="124" customFormat="1" ht="21.75" hidden="1" customHeight="1">
      <c r="A429" s="331">
        <v>428</v>
      </c>
      <c r="B429" s="28" t="s">
        <v>30</v>
      </c>
      <c r="C429" s="361" t="s">
        <v>1790</v>
      </c>
      <c r="D429" s="436" t="s">
        <v>705</v>
      </c>
      <c r="E429" s="361" t="str">
        <f t="shared" si="6"/>
        <v>LOSS</v>
      </c>
      <c r="F429" s="361"/>
      <c r="G429" s="361"/>
      <c r="H429" s="361" t="s">
        <v>327</v>
      </c>
      <c r="I429" s="29" t="s">
        <v>346</v>
      </c>
      <c r="J429" s="361" t="s">
        <v>1791</v>
      </c>
      <c r="K429" s="365"/>
      <c r="L429" s="361"/>
      <c r="M429" s="361"/>
      <c r="N429" s="361"/>
      <c r="O429" s="374" t="s">
        <v>115</v>
      </c>
      <c r="P429" s="372">
        <v>42000000</v>
      </c>
      <c r="Q429" s="361"/>
      <c r="R429" s="376" t="s">
        <v>115</v>
      </c>
      <c r="S429" s="372">
        <v>20000000</v>
      </c>
      <c r="T429" s="361"/>
      <c r="U429" s="351">
        <v>44197</v>
      </c>
      <c r="V429" s="367">
        <v>44561</v>
      </c>
      <c r="W429" s="361" t="s">
        <v>250</v>
      </c>
      <c r="X429" s="361"/>
      <c r="Y429" s="361"/>
      <c r="Z429" s="361"/>
      <c r="AA429" s="361"/>
      <c r="AB429" s="361"/>
      <c r="AC429" s="159"/>
      <c r="AD429" s="368"/>
      <c r="AE429" s="364">
        <v>4500015423</v>
      </c>
      <c r="AF429" s="364"/>
      <c r="AG429" s="361"/>
      <c r="AH429" s="365"/>
      <c r="AI429" s="361"/>
      <c r="AJ429" s="361"/>
      <c r="AK429" s="361"/>
      <c r="AL429" s="361"/>
      <c r="AM429" s="361"/>
      <c r="AN429" s="361"/>
      <c r="AO429" s="361"/>
      <c r="AP429" s="361"/>
      <c r="AQ429" s="361"/>
      <c r="AR429" s="503"/>
      <c r="AS429" s="489"/>
      <c r="AT429" s="160"/>
      <c r="AU429" s="355"/>
    </row>
    <row r="430" spans="1:47" s="124" customFormat="1" ht="21.75" hidden="1" customHeight="1">
      <c r="A430" s="331">
        <v>429</v>
      </c>
      <c r="B430" s="361" t="s">
        <v>1792</v>
      </c>
      <c r="C430" s="361" t="s">
        <v>1793</v>
      </c>
      <c r="D430" s="435" t="s">
        <v>1794</v>
      </c>
      <c r="E430" s="361" t="str">
        <f t="shared" si="6"/>
        <v>LOSS</v>
      </c>
      <c r="F430" s="361"/>
      <c r="G430" s="361"/>
      <c r="H430" s="361" t="s">
        <v>327</v>
      </c>
      <c r="I430" s="160" t="s">
        <v>346</v>
      </c>
      <c r="J430" s="361" t="s">
        <v>1795</v>
      </c>
      <c r="K430" s="365"/>
      <c r="L430" s="361"/>
      <c r="M430" s="361"/>
      <c r="N430" s="361"/>
      <c r="O430" s="374" t="s">
        <v>115</v>
      </c>
      <c r="P430" s="372">
        <v>94800000</v>
      </c>
      <c r="Q430" s="361"/>
      <c r="R430" s="376" t="s">
        <v>115</v>
      </c>
      <c r="S430" s="372">
        <v>5000000</v>
      </c>
      <c r="T430" s="361"/>
      <c r="U430" s="416">
        <v>44399</v>
      </c>
      <c r="V430" s="367">
        <v>44763</v>
      </c>
      <c r="W430" s="361" t="s">
        <v>250</v>
      </c>
      <c r="X430" s="361"/>
      <c r="Y430" s="361"/>
      <c r="Z430" s="361"/>
      <c r="AA430" s="361"/>
      <c r="AB430" s="361"/>
      <c r="AC430" s="159"/>
      <c r="AD430" s="368"/>
      <c r="AE430" s="364">
        <v>4500016266</v>
      </c>
      <c r="AF430" s="364"/>
      <c r="AG430" s="361"/>
      <c r="AH430" s="365"/>
      <c r="AI430" s="361"/>
      <c r="AJ430" s="361"/>
      <c r="AK430" s="361"/>
      <c r="AL430" s="361"/>
      <c r="AM430" s="361"/>
      <c r="AN430" s="361"/>
      <c r="AO430" s="361"/>
      <c r="AP430" s="361"/>
      <c r="AQ430" s="361"/>
      <c r="AR430" s="503"/>
      <c r="AS430" s="489"/>
      <c r="AT430" s="160"/>
      <c r="AU430" s="355"/>
    </row>
    <row r="431" spans="1:47" s="124" customFormat="1" ht="21.75" hidden="1" customHeight="1">
      <c r="A431" s="331">
        <v>430</v>
      </c>
      <c r="B431" s="361" t="s">
        <v>1796</v>
      </c>
      <c r="C431" s="361"/>
      <c r="D431" s="436" t="s">
        <v>1797</v>
      </c>
      <c r="E431" s="361" t="str">
        <f t="shared" si="6"/>
        <v>LOSS</v>
      </c>
      <c r="F431" s="361"/>
      <c r="G431" s="361"/>
      <c r="H431" s="28" t="s">
        <v>261</v>
      </c>
      <c r="I431" s="361" t="s">
        <v>243</v>
      </c>
      <c r="J431" s="361"/>
      <c r="K431" s="361"/>
      <c r="L431" s="361"/>
      <c r="M431" s="361"/>
      <c r="N431" s="361"/>
      <c r="O431" s="374" t="s">
        <v>115</v>
      </c>
      <c r="P431" s="376" t="s">
        <v>115</v>
      </c>
      <c r="Q431" s="361"/>
      <c r="R431" s="376" t="s">
        <v>115</v>
      </c>
      <c r="S431" s="372">
        <v>120000000</v>
      </c>
      <c r="T431" s="361"/>
      <c r="U431" s="351">
        <v>44197</v>
      </c>
      <c r="V431" s="367">
        <v>44561</v>
      </c>
      <c r="W431" s="361" t="s">
        <v>250</v>
      </c>
      <c r="X431" s="361"/>
      <c r="Y431" s="361"/>
      <c r="Z431" s="361"/>
      <c r="AA431" s="361"/>
      <c r="AB431" s="361"/>
      <c r="AC431" s="159"/>
      <c r="AD431" s="361" t="s">
        <v>1798</v>
      </c>
      <c r="AE431" s="364">
        <v>4500015486</v>
      </c>
      <c r="AF431" s="364"/>
      <c r="AG431" s="361"/>
      <c r="AH431" s="361"/>
      <c r="AI431" s="361"/>
      <c r="AJ431" s="361"/>
      <c r="AK431" s="361"/>
      <c r="AL431" s="361"/>
      <c r="AM431" s="361"/>
      <c r="AN431" s="361"/>
      <c r="AO431" s="361"/>
      <c r="AP431" s="361"/>
      <c r="AQ431" s="361"/>
      <c r="AR431" s="503"/>
      <c r="AS431" s="489"/>
      <c r="AT431" s="160"/>
      <c r="AU431" s="355"/>
    </row>
    <row r="432" spans="1:47" s="124" customFormat="1" ht="21.75" hidden="1" customHeight="1">
      <c r="A432" s="331">
        <v>431</v>
      </c>
      <c r="B432" s="361" t="s">
        <v>1799</v>
      </c>
      <c r="C432" s="361" t="s">
        <v>1800</v>
      </c>
      <c r="D432" s="435" t="s">
        <v>1801</v>
      </c>
      <c r="E432" s="361" t="str">
        <f t="shared" si="6"/>
        <v>LOSS</v>
      </c>
      <c r="F432" s="361"/>
      <c r="G432" s="361"/>
      <c r="H432" s="361" t="s">
        <v>327</v>
      </c>
      <c r="I432" s="160" t="s">
        <v>346</v>
      </c>
      <c r="J432" s="361" t="s">
        <v>1802</v>
      </c>
      <c r="K432" s="365"/>
      <c r="L432" s="361"/>
      <c r="M432" s="361"/>
      <c r="N432" s="361"/>
      <c r="O432" s="374" t="s">
        <v>115</v>
      </c>
      <c r="P432" s="372">
        <v>60000000</v>
      </c>
      <c r="Q432" s="361"/>
      <c r="R432" s="376" t="s">
        <v>115</v>
      </c>
      <c r="S432" s="372">
        <v>26060265</v>
      </c>
      <c r="T432" s="361"/>
      <c r="U432" s="351">
        <v>44280</v>
      </c>
      <c r="V432" s="367">
        <v>44644</v>
      </c>
      <c r="W432" s="361" t="s">
        <v>250</v>
      </c>
      <c r="X432" s="361"/>
      <c r="Y432" s="361"/>
      <c r="Z432" s="361"/>
      <c r="AA432" s="361"/>
      <c r="AB432" s="361"/>
      <c r="AC432" s="159"/>
      <c r="AD432" s="368"/>
      <c r="AE432" s="364">
        <v>4500015760</v>
      </c>
      <c r="AF432" s="364"/>
      <c r="AG432" s="361"/>
      <c r="AH432" s="365"/>
      <c r="AI432" s="361"/>
      <c r="AJ432" s="361"/>
      <c r="AK432" s="361"/>
      <c r="AL432" s="361"/>
      <c r="AM432" s="361"/>
      <c r="AN432" s="361"/>
      <c r="AO432" s="361"/>
      <c r="AP432" s="361"/>
      <c r="AQ432" s="361"/>
      <c r="AR432" s="503"/>
      <c r="AS432" s="489"/>
      <c r="AT432" s="160"/>
      <c r="AU432" s="355"/>
    </row>
    <row r="433" spans="1:47" s="124" customFormat="1" ht="21.75" hidden="1" customHeight="1">
      <c r="A433" s="331">
        <v>432</v>
      </c>
      <c r="B433" s="361" t="s">
        <v>1803</v>
      </c>
      <c r="C433" s="361" t="s">
        <v>1804</v>
      </c>
      <c r="D433" s="436" t="s">
        <v>1805</v>
      </c>
      <c r="E433" s="361" t="str">
        <f t="shared" si="6"/>
        <v>LOSS</v>
      </c>
      <c r="F433" s="361"/>
      <c r="G433" s="361"/>
      <c r="H433" s="361" t="s">
        <v>327</v>
      </c>
      <c r="I433" s="160" t="s">
        <v>346</v>
      </c>
      <c r="J433" s="361" t="s">
        <v>1806</v>
      </c>
      <c r="K433" s="365"/>
      <c r="L433" s="361"/>
      <c r="M433" s="361"/>
      <c r="N433" s="361"/>
      <c r="O433" s="374" t="s">
        <v>115</v>
      </c>
      <c r="P433" s="372">
        <v>82200000</v>
      </c>
      <c r="Q433" s="361"/>
      <c r="R433" s="376" t="s">
        <v>115</v>
      </c>
      <c r="S433" s="372">
        <v>20000000</v>
      </c>
      <c r="T433" s="361"/>
      <c r="U433" s="351">
        <v>44197</v>
      </c>
      <c r="V433" s="367">
        <v>44561</v>
      </c>
      <c r="W433" s="361" t="s">
        <v>250</v>
      </c>
      <c r="X433" s="361"/>
      <c r="Y433" s="361"/>
      <c r="Z433" s="361"/>
      <c r="AA433" s="361"/>
      <c r="AB433" s="361"/>
      <c r="AC433" s="159"/>
      <c r="AD433" s="368"/>
      <c r="AE433" s="364">
        <v>4500015614</v>
      </c>
      <c r="AF433" s="364"/>
      <c r="AG433" s="361"/>
      <c r="AH433" s="365"/>
      <c r="AI433" s="361"/>
      <c r="AJ433" s="361"/>
      <c r="AK433" s="361"/>
      <c r="AL433" s="361"/>
      <c r="AM433" s="361"/>
      <c r="AN433" s="361"/>
      <c r="AO433" s="361"/>
      <c r="AP433" s="361"/>
      <c r="AQ433" s="361"/>
      <c r="AR433" s="503"/>
      <c r="AS433" s="489"/>
      <c r="AT433" s="160"/>
      <c r="AU433" s="355"/>
    </row>
    <row r="434" spans="1:47" s="124" customFormat="1" ht="21.75" hidden="1" customHeight="1">
      <c r="A434" s="331">
        <v>433</v>
      </c>
      <c r="B434" s="361" t="s">
        <v>1792</v>
      </c>
      <c r="C434" s="361" t="s">
        <v>763</v>
      </c>
      <c r="D434" s="435" t="s">
        <v>1794</v>
      </c>
      <c r="E434" s="361" t="str">
        <f t="shared" si="6"/>
        <v>LOSS</v>
      </c>
      <c r="F434" s="361"/>
      <c r="G434" s="361"/>
      <c r="H434" s="361" t="s">
        <v>327</v>
      </c>
      <c r="I434" s="160" t="s">
        <v>346</v>
      </c>
      <c r="J434" s="361"/>
      <c r="K434" s="365"/>
      <c r="L434" s="361"/>
      <c r="M434" s="361"/>
      <c r="N434" s="361"/>
      <c r="O434" s="374" t="s">
        <v>115</v>
      </c>
      <c r="P434" s="376" t="s">
        <v>115</v>
      </c>
      <c r="Q434" s="361"/>
      <c r="R434" s="376" t="s">
        <v>115</v>
      </c>
      <c r="S434" s="372">
        <v>7500002</v>
      </c>
      <c r="T434" s="361"/>
      <c r="U434" s="351">
        <v>44393</v>
      </c>
      <c r="V434" s="367">
        <v>44757</v>
      </c>
      <c r="W434" s="361" t="s">
        <v>250</v>
      </c>
      <c r="X434" s="361"/>
      <c r="Y434" s="361"/>
      <c r="Z434" s="361"/>
      <c r="AA434" s="361"/>
      <c r="AB434" s="361"/>
      <c r="AC434" s="159"/>
      <c r="AD434" s="368"/>
      <c r="AE434" s="364">
        <v>4500016268</v>
      </c>
      <c r="AF434" s="364"/>
      <c r="AG434" s="361"/>
      <c r="AH434" s="365"/>
      <c r="AI434" s="361"/>
      <c r="AJ434" s="361"/>
      <c r="AK434" s="361"/>
      <c r="AL434" s="361"/>
      <c r="AM434" s="361"/>
      <c r="AN434" s="361"/>
      <c r="AO434" s="361"/>
      <c r="AP434" s="361"/>
      <c r="AQ434" s="361"/>
      <c r="AR434" s="503"/>
      <c r="AS434" s="489"/>
      <c r="AT434" s="160"/>
      <c r="AU434" s="355"/>
    </row>
    <row r="435" spans="1:47" s="124" customFormat="1" ht="21.75" hidden="1" customHeight="1">
      <c r="A435" s="331">
        <v>434</v>
      </c>
      <c r="B435" s="361" t="s">
        <v>1043</v>
      </c>
      <c r="C435" s="361" t="s">
        <v>1807</v>
      </c>
      <c r="D435" s="436" t="s">
        <v>1808</v>
      </c>
      <c r="E435" s="361" t="str">
        <f t="shared" si="6"/>
        <v>LOSS</v>
      </c>
      <c r="F435" s="361"/>
      <c r="G435" s="361"/>
      <c r="H435" s="28" t="s">
        <v>261</v>
      </c>
      <c r="I435" s="361" t="s">
        <v>243</v>
      </c>
      <c r="J435" s="361" t="s">
        <v>1809</v>
      </c>
      <c r="K435" s="361"/>
      <c r="L435" s="361"/>
      <c r="M435" s="361"/>
      <c r="N435" s="361"/>
      <c r="O435" s="374" t="s">
        <v>115</v>
      </c>
      <c r="P435" s="372">
        <v>84000000</v>
      </c>
      <c r="Q435" s="361"/>
      <c r="R435" s="376" t="s">
        <v>115</v>
      </c>
      <c r="S435" s="372">
        <v>21600000</v>
      </c>
      <c r="T435" s="361"/>
      <c r="U435" s="351">
        <v>44197</v>
      </c>
      <c r="V435" s="367">
        <v>44561</v>
      </c>
      <c r="W435" s="361" t="s">
        <v>250</v>
      </c>
      <c r="X435" s="361"/>
      <c r="Y435" s="361"/>
      <c r="Z435" s="361"/>
      <c r="AA435" s="361"/>
      <c r="AB435" s="361"/>
      <c r="AC435" s="159"/>
      <c r="AD435" s="368"/>
      <c r="AE435" s="364">
        <v>4500015617</v>
      </c>
      <c r="AF435" s="364"/>
      <c r="AG435" s="361"/>
      <c r="AH435" s="361"/>
      <c r="AI435" s="361"/>
      <c r="AJ435" s="361"/>
      <c r="AK435" s="361"/>
      <c r="AL435" s="361"/>
      <c r="AM435" s="361"/>
      <c r="AN435" s="361"/>
      <c r="AO435" s="361"/>
      <c r="AP435" s="361"/>
      <c r="AQ435" s="361"/>
      <c r="AR435" s="503"/>
      <c r="AS435" s="489"/>
      <c r="AT435" s="160"/>
      <c r="AU435" s="355"/>
    </row>
    <row r="436" spans="1:47" s="124" customFormat="1" ht="21.75" hidden="1" customHeight="1">
      <c r="A436" s="331">
        <v>435</v>
      </c>
      <c r="B436" s="361" t="s">
        <v>726</v>
      </c>
      <c r="C436" s="361" t="s">
        <v>1810</v>
      </c>
      <c r="D436" s="435" t="s">
        <v>1757</v>
      </c>
      <c r="E436" s="361" t="str">
        <f t="shared" si="6"/>
        <v>LOSS</v>
      </c>
      <c r="F436" s="361"/>
      <c r="G436" s="361"/>
      <c r="H436" s="361" t="s">
        <v>327</v>
      </c>
      <c r="I436" s="361" t="s">
        <v>242</v>
      </c>
      <c r="J436" s="361" t="s">
        <v>1811</v>
      </c>
      <c r="K436" s="365"/>
      <c r="L436" s="361"/>
      <c r="M436" s="361"/>
      <c r="N436" s="361"/>
      <c r="O436" s="374" t="s">
        <v>115</v>
      </c>
      <c r="P436" s="372">
        <v>216000000</v>
      </c>
      <c r="Q436" s="361"/>
      <c r="R436" s="376" t="s">
        <v>115</v>
      </c>
      <c r="S436" s="372">
        <v>6600000</v>
      </c>
      <c r="T436" s="361"/>
      <c r="U436" s="351">
        <v>44264</v>
      </c>
      <c r="V436" s="367">
        <v>44628</v>
      </c>
      <c r="W436" s="361" t="s">
        <v>250</v>
      </c>
      <c r="X436" s="361"/>
      <c r="Y436" s="361"/>
      <c r="Z436" s="361"/>
      <c r="AA436" s="361"/>
      <c r="AB436" s="361"/>
      <c r="AC436" s="159"/>
      <c r="AD436" s="361" t="s">
        <v>1812</v>
      </c>
      <c r="AE436" s="364">
        <v>4500016256</v>
      </c>
      <c r="AF436" s="364"/>
      <c r="AG436" s="361"/>
      <c r="AH436" s="365"/>
      <c r="AI436" s="361"/>
      <c r="AJ436" s="361"/>
      <c r="AK436" s="361"/>
      <c r="AL436" s="361"/>
      <c r="AM436" s="361"/>
      <c r="AN436" s="361"/>
      <c r="AO436" s="361"/>
      <c r="AP436" s="361"/>
      <c r="AQ436" s="361"/>
      <c r="AR436" s="503"/>
      <c r="AS436" s="489"/>
      <c r="AT436" s="160"/>
      <c r="AU436" s="355"/>
    </row>
    <row r="437" spans="1:47" s="124" customFormat="1" ht="21.75" hidden="1" customHeight="1">
      <c r="A437" s="331">
        <v>436</v>
      </c>
      <c r="B437" s="28" t="s">
        <v>200</v>
      </c>
      <c r="C437" s="361" t="s">
        <v>1541</v>
      </c>
      <c r="D437" s="436" t="s">
        <v>1813</v>
      </c>
      <c r="E437" s="361" t="str">
        <f t="shared" si="6"/>
        <v>LOSS</v>
      </c>
      <c r="F437" s="361"/>
      <c r="G437" s="361"/>
      <c r="H437" s="361" t="s">
        <v>327</v>
      </c>
      <c r="I437" s="160" t="s">
        <v>346</v>
      </c>
      <c r="J437" s="361" t="s">
        <v>1814</v>
      </c>
      <c r="K437" s="365"/>
      <c r="L437" s="361"/>
      <c r="M437" s="361"/>
      <c r="N437" s="361"/>
      <c r="O437" s="374" t="s">
        <v>115</v>
      </c>
      <c r="P437" s="372">
        <v>44400000</v>
      </c>
      <c r="Q437" s="361"/>
      <c r="R437" s="376" t="s">
        <v>115</v>
      </c>
      <c r="S437" s="372">
        <v>28000000</v>
      </c>
      <c r="T437" s="361"/>
      <c r="U437" s="351">
        <v>44240</v>
      </c>
      <c r="V437" s="367">
        <v>44604</v>
      </c>
      <c r="W437" s="361" t="s">
        <v>250</v>
      </c>
      <c r="X437" s="361"/>
      <c r="Y437" s="361"/>
      <c r="Z437" s="361"/>
      <c r="AA437" s="361"/>
      <c r="AB437" s="361"/>
      <c r="AC437" s="159"/>
      <c r="AD437" s="368"/>
      <c r="AE437" s="364">
        <v>4500015748</v>
      </c>
      <c r="AF437" s="364"/>
      <c r="AG437" s="361"/>
      <c r="AH437" s="365"/>
      <c r="AI437" s="361"/>
      <c r="AJ437" s="361"/>
      <c r="AK437" s="361"/>
      <c r="AL437" s="361"/>
      <c r="AM437" s="361"/>
      <c r="AN437" s="361"/>
      <c r="AO437" s="361"/>
      <c r="AP437" s="361"/>
      <c r="AQ437" s="361"/>
      <c r="AR437" s="503"/>
      <c r="AS437" s="489"/>
      <c r="AT437" s="160"/>
      <c r="AU437" s="355"/>
    </row>
    <row r="438" spans="1:47" s="124" customFormat="1" ht="21.75" hidden="1" customHeight="1">
      <c r="A438" s="331">
        <v>437</v>
      </c>
      <c r="B438" s="361" t="s">
        <v>1792</v>
      </c>
      <c r="C438" s="361" t="s">
        <v>763</v>
      </c>
      <c r="D438" s="435" t="s">
        <v>1794</v>
      </c>
      <c r="E438" s="361" t="str">
        <f t="shared" si="6"/>
        <v>LOSS</v>
      </c>
      <c r="F438" s="361"/>
      <c r="G438" s="361"/>
      <c r="H438" s="361" t="s">
        <v>327</v>
      </c>
      <c r="I438" s="160" t="s">
        <v>346</v>
      </c>
      <c r="J438" s="361"/>
      <c r="K438" s="365"/>
      <c r="L438" s="361"/>
      <c r="M438" s="361"/>
      <c r="N438" s="361"/>
      <c r="O438" s="374" t="s">
        <v>115</v>
      </c>
      <c r="P438" s="375" t="s">
        <v>115</v>
      </c>
      <c r="Q438" s="361"/>
      <c r="R438" s="376" t="s">
        <v>115</v>
      </c>
      <c r="S438" s="372">
        <v>10000000</v>
      </c>
      <c r="T438" s="361"/>
      <c r="U438" s="351">
        <v>44399</v>
      </c>
      <c r="V438" s="367">
        <v>44763</v>
      </c>
      <c r="W438" s="361" t="s">
        <v>250</v>
      </c>
      <c r="X438" s="361"/>
      <c r="Y438" s="361"/>
      <c r="Z438" s="361"/>
      <c r="AA438" s="361"/>
      <c r="AB438" s="361"/>
      <c r="AC438" s="159"/>
      <c r="AD438" s="368"/>
      <c r="AE438" s="364">
        <v>4500016267</v>
      </c>
      <c r="AF438" s="364"/>
      <c r="AG438" s="361"/>
      <c r="AH438" s="365"/>
      <c r="AI438" s="361"/>
      <c r="AJ438" s="361"/>
      <c r="AK438" s="361"/>
      <c r="AL438" s="361"/>
      <c r="AM438" s="361"/>
      <c r="AN438" s="361"/>
      <c r="AO438" s="361"/>
      <c r="AP438" s="361"/>
      <c r="AQ438" s="361"/>
      <c r="AR438" s="503"/>
      <c r="AS438" s="489"/>
      <c r="AT438" s="160"/>
      <c r="AU438" s="355"/>
    </row>
    <row r="439" spans="1:47" s="124" customFormat="1" ht="21.75" hidden="1" customHeight="1">
      <c r="A439" s="331">
        <v>438</v>
      </c>
      <c r="B439" s="361" t="s">
        <v>1815</v>
      </c>
      <c r="C439" s="361" t="s">
        <v>1816</v>
      </c>
      <c r="D439" s="436" t="s">
        <v>1817</v>
      </c>
      <c r="E439" s="361" t="str">
        <f t="shared" si="6"/>
        <v>LOSS</v>
      </c>
      <c r="F439" s="361"/>
      <c r="G439" s="361"/>
      <c r="H439" s="28" t="s">
        <v>261</v>
      </c>
      <c r="I439" s="361" t="s">
        <v>243</v>
      </c>
      <c r="J439" s="361"/>
      <c r="K439" s="361" t="s">
        <v>1054</v>
      </c>
      <c r="L439" s="361"/>
      <c r="M439" s="361"/>
      <c r="N439" s="361"/>
      <c r="O439" s="374" t="s">
        <v>115</v>
      </c>
      <c r="P439" s="372">
        <v>538800000</v>
      </c>
      <c r="Q439" s="361"/>
      <c r="R439" s="376" t="s">
        <v>115</v>
      </c>
      <c r="S439" s="372">
        <v>252000000</v>
      </c>
      <c r="T439" s="361"/>
      <c r="U439" s="351">
        <v>44378</v>
      </c>
      <c r="V439" s="367">
        <v>44742</v>
      </c>
      <c r="W439" s="361" t="s">
        <v>250</v>
      </c>
      <c r="X439" s="361"/>
      <c r="Y439" s="361"/>
      <c r="Z439" s="361"/>
      <c r="AA439" s="361"/>
      <c r="AB439" s="361"/>
      <c r="AC439" s="159"/>
      <c r="AD439" s="368"/>
      <c r="AE439" s="364">
        <v>4500016496</v>
      </c>
      <c r="AF439" s="364"/>
      <c r="AG439" s="361"/>
      <c r="AH439" s="361"/>
      <c r="AI439" s="361"/>
      <c r="AJ439" s="361"/>
      <c r="AK439" s="361"/>
      <c r="AL439" s="361"/>
      <c r="AM439" s="361"/>
      <c r="AN439" s="361"/>
      <c r="AO439" s="361"/>
      <c r="AP439" s="361"/>
      <c r="AQ439" s="361"/>
      <c r="AR439" s="503"/>
      <c r="AS439" s="489"/>
      <c r="AT439" s="160"/>
      <c r="AU439" s="355"/>
    </row>
    <row r="440" spans="1:47" s="124" customFormat="1" ht="21.75" hidden="1" customHeight="1">
      <c r="A440" s="331">
        <v>439</v>
      </c>
      <c r="B440" s="28" t="s">
        <v>151</v>
      </c>
      <c r="C440" s="361" t="s">
        <v>1818</v>
      </c>
      <c r="D440" s="435" t="s">
        <v>735</v>
      </c>
      <c r="E440" s="361" t="str">
        <f t="shared" si="6"/>
        <v>LOSS</v>
      </c>
      <c r="F440" s="361"/>
      <c r="G440" s="361"/>
      <c r="H440" s="361" t="s">
        <v>327</v>
      </c>
      <c r="I440" s="160" t="s">
        <v>346</v>
      </c>
      <c r="J440" s="361" t="s">
        <v>1819</v>
      </c>
      <c r="K440" s="365"/>
      <c r="L440" s="361"/>
      <c r="M440" s="361"/>
      <c r="N440" s="361"/>
      <c r="O440" s="374" t="s">
        <v>115</v>
      </c>
      <c r="P440" s="372">
        <v>72000000</v>
      </c>
      <c r="Q440" s="361"/>
      <c r="R440" s="376" t="s">
        <v>115</v>
      </c>
      <c r="S440" s="372">
        <v>7500000</v>
      </c>
      <c r="T440" s="361"/>
      <c r="U440" s="351">
        <v>44406</v>
      </c>
      <c r="V440" s="367">
        <v>44770</v>
      </c>
      <c r="W440" s="361" t="s">
        <v>250</v>
      </c>
      <c r="X440" s="361"/>
      <c r="Y440" s="361"/>
      <c r="Z440" s="361"/>
      <c r="AA440" s="361"/>
      <c r="AB440" s="361"/>
      <c r="AC440" s="159"/>
      <c r="AD440" s="368"/>
      <c r="AE440" s="364">
        <v>4500016271</v>
      </c>
      <c r="AF440" s="364"/>
      <c r="AG440" s="361"/>
      <c r="AH440" s="365"/>
      <c r="AI440" s="361"/>
      <c r="AJ440" s="361"/>
      <c r="AK440" s="361"/>
      <c r="AL440" s="361"/>
      <c r="AM440" s="361"/>
      <c r="AN440" s="361"/>
      <c r="AO440" s="361"/>
      <c r="AP440" s="361"/>
      <c r="AQ440" s="361"/>
      <c r="AR440" s="503"/>
      <c r="AS440" s="489"/>
      <c r="AT440" s="160"/>
      <c r="AU440" s="355"/>
    </row>
    <row r="441" spans="1:47" s="124" customFormat="1" ht="21.75" hidden="1" customHeight="1">
      <c r="A441" s="331">
        <v>440</v>
      </c>
      <c r="B441" s="361" t="s">
        <v>1820</v>
      </c>
      <c r="C441" s="361" t="s">
        <v>1821</v>
      </c>
      <c r="D441" s="436" t="s">
        <v>1822</v>
      </c>
      <c r="E441" s="361" t="str">
        <f t="shared" si="6"/>
        <v>LOSS</v>
      </c>
      <c r="F441" s="361"/>
      <c r="G441" s="361"/>
      <c r="H441" s="28" t="s">
        <v>261</v>
      </c>
      <c r="I441" s="361" t="s">
        <v>243</v>
      </c>
      <c r="J441" s="361" t="s">
        <v>60</v>
      </c>
      <c r="K441" s="361"/>
      <c r="L441" s="361"/>
      <c r="M441" s="361"/>
      <c r="N441" s="361"/>
      <c r="O441" s="374" t="s">
        <v>115</v>
      </c>
      <c r="P441" s="372">
        <v>36000000</v>
      </c>
      <c r="Q441" s="361"/>
      <c r="R441" s="376" t="s">
        <v>115</v>
      </c>
      <c r="S441" s="372">
        <v>19250000</v>
      </c>
      <c r="T441" s="361"/>
      <c r="U441" s="351">
        <v>44287</v>
      </c>
      <c r="V441" s="367">
        <v>44651</v>
      </c>
      <c r="W441" s="361" t="s">
        <v>250</v>
      </c>
      <c r="X441" s="361"/>
      <c r="Y441" s="361"/>
      <c r="Z441" s="361"/>
      <c r="AA441" s="361"/>
      <c r="AB441" s="361"/>
      <c r="AC441" s="159"/>
      <c r="AD441" s="368"/>
      <c r="AE441" s="364">
        <v>4500015749</v>
      </c>
      <c r="AF441" s="364"/>
      <c r="AG441" s="361"/>
      <c r="AH441" s="361"/>
      <c r="AI441" s="361"/>
      <c r="AJ441" s="361"/>
      <c r="AK441" s="361"/>
      <c r="AL441" s="361"/>
      <c r="AM441" s="361"/>
      <c r="AN441" s="361"/>
      <c r="AO441" s="361"/>
      <c r="AP441" s="361"/>
      <c r="AQ441" s="361"/>
      <c r="AR441" s="503"/>
      <c r="AS441" s="489"/>
      <c r="AT441" s="160"/>
      <c r="AU441" s="355"/>
    </row>
    <row r="442" spans="1:47" s="124" customFormat="1" ht="21.75" hidden="1" customHeight="1">
      <c r="A442" s="331">
        <v>441</v>
      </c>
      <c r="B442" s="28" t="s">
        <v>179</v>
      </c>
      <c r="C442" s="361" t="s">
        <v>1823</v>
      </c>
      <c r="D442" s="435" t="s">
        <v>735</v>
      </c>
      <c r="E442" s="361" t="str">
        <f t="shared" si="6"/>
        <v>LOSS</v>
      </c>
      <c r="F442" s="361"/>
      <c r="G442" s="361"/>
      <c r="H442" s="361" t="s">
        <v>327</v>
      </c>
      <c r="I442" s="361" t="s">
        <v>242</v>
      </c>
      <c r="J442" s="361"/>
      <c r="K442" s="365"/>
      <c r="L442" s="361"/>
      <c r="M442" s="361"/>
      <c r="N442" s="361"/>
      <c r="O442" s="374" t="s">
        <v>115</v>
      </c>
      <c r="P442" s="372">
        <v>318000000</v>
      </c>
      <c r="Q442" s="361"/>
      <c r="R442" s="376" t="s">
        <v>115</v>
      </c>
      <c r="S442" s="372">
        <v>2500008</v>
      </c>
      <c r="T442" s="361"/>
      <c r="U442" s="351">
        <v>44393</v>
      </c>
      <c r="V442" s="367">
        <v>44757</v>
      </c>
      <c r="W442" s="361" t="s">
        <v>250</v>
      </c>
      <c r="X442" s="361"/>
      <c r="Y442" s="361"/>
      <c r="Z442" s="361"/>
      <c r="AA442" s="361"/>
      <c r="AB442" s="361"/>
      <c r="AC442" s="159"/>
      <c r="AD442" s="361" t="s">
        <v>1824</v>
      </c>
      <c r="AE442" s="364">
        <v>4500016507</v>
      </c>
      <c r="AF442" s="364"/>
      <c r="AG442" s="361"/>
      <c r="AH442" s="365"/>
      <c r="AI442" s="361"/>
      <c r="AJ442" s="361"/>
      <c r="AK442" s="361"/>
      <c r="AL442" s="361"/>
      <c r="AM442" s="361"/>
      <c r="AN442" s="361"/>
      <c r="AO442" s="361"/>
      <c r="AP442" s="361"/>
      <c r="AQ442" s="361"/>
      <c r="AR442" s="503"/>
      <c r="AS442" s="489"/>
      <c r="AT442" s="160"/>
      <c r="AU442" s="355"/>
    </row>
    <row r="443" spans="1:47" s="124" customFormat="1" ht="21.75" hidden="1" customHeight="1">
      <c r="A443" s="331">
        <v>442</v>
      </c>
      <c r="B443" s="361" t="s">
        <v>535</v>
      </c>
      <c r="C443" s="361" t="s">
        <v>1825</v>
      </c>
      <c r="D443" s="436" t="s">
        <v>1826</v>
      </c>
      <c r="E443" s="361" t="str">
        <f t="shared" si="6"/>
        <v>LOSS</v>
      </c>
      <c r="F443" s="361"/>
      <c r="G443" s="361"/>
      <c r="H443" s="361" t="s">
        <v>327</v>
      </c>
      <c r="I443" s="160" t="s">
        <v>346</v>
      </c>
      <c r="J443" s="361" t="s">
        <v>1827</v>
      </c>
      <c r="K443" s="365"/>
      <c r="L443" s="361"/>
      <c r="M443" s="361"/>
      <c r="N443" s="361"/>
      <c r="O443" s="374" t="s">
        <v>115</v>
      </c>
      <c r="P443" s="372">
        <v>54000000</v>
      </c>
      <c r="Q443" s="361"/>
      <c r="R443" s="376" t="s">
        <v>115</v>
      </c>
      <c r="S443" s="372">
        <v>54283803</v>
      </c>
      <c r="T443" s="361"/>
      <c r="U443" s="351">
        <v>44198</v>
      </c>
      <c r="V443" s="367">
        <v>44562</v>
      </c>
      <c r="W443" s="361" t="s">
        <v>250</v>
      </c>
      <c r="X443" s="361"/>
      <c r="Y443" s="361"/>
      <c r="Z443" s="361"/>
      <c r="AA443" s="361"/>
      <c r="AB443" s="361"/>
      <c r="AC443" s="159"/>
      <c r="AD443" s="368"/>
      <c r="AE443" s="364">
        <v>4500015632</v>
      </c>
      <c r="AF443" s="364"/>
      <c r="AG443" s="361"/>
      <c r="AH443" s="365"/>
      <c r="AI443" s="361"/>
      <c r="AJ443" s="361"/>
      <c r="AK443" s="361"/>
      <c r="AL443" s="361"/>
      <c r="AM443" s="361"/>
      <c r="AN443" s="361"/>
      <c r="AO443" s="361"/>
      <c r="AP443" s="361"/>
      <c r="AQ443" s="361"/>
      <c r="AR443" s="503"/>
      <c r="AS443" s="489"/>
      <c r="AT443" s="160"/>
      <c r="AU443" s="355"/>
    </row>
    <row r="444" spans="1:47" s="124" customFormat="1" ht="21.75" hidden="1" customHeight="1">
      <c r="A444" s="331">
        <v>443</v>
      </c>
      <c r="B444" s="361" t="s">
        <v>93</v>
      </c>
      <c r="C444" s="361" t="s">
        <v>1828</v>
      </c>
      <c r="D444" s="435" t="s">
        <v>1829</v>
      </c>
      <c r="E444" s="361" t="str">
        <f t="shared" si="6"/>
        <v>LOSS</v>
      </c>
      <c r="F444" s="361"/>
      <c r="G444" s="361"/>
      <c r="H444" s="361" t="s">
        <v>327</v>
      </c>
      <c r="I444" s="361" t="s">
        <v>242</v>
      </c>
      <c r="J444" s="361" t="s">
        <v>1101</v>
      </c>
      <c r="K444" s="365"/>
      <c r="L444" s="361"/>
      <c r="M444" s="361"/>
      <c r="N444" s="361"/>
      <c r="O444" s="374" t="s">
        <v>115</v>
      </c>
      <c r="P444" s="372">
        <v>66000000</v>
      </c>
      <c r="Q444" s="361"/>
      <c r="R444" s="376" t="s">
        <v>115</v>
      </c>
      <c r="S444" s="372">
        <v>36000000</v>
      </c>
      <c r="T444" s="361"/>
      <c r="U444" s="351">
        <v>44424</v>
      </c>
      <c r="V444" s="367">
        <v>44788</v>
      </c>
      <c r="W444" s="361" t="s">
        <v>250</v>
      </c>
      <c r="X444" s="361"/>
      <c r="Y444" s="361"/>
      <c r="Z444" s="361"/>
      <c r="AA444" s="361"/>
      <c r="AB444" s="361"/>
      <c r="AC444" s="159"/>
      <c r="AD444" s="368"/>
      <c r="AE444" s="364">
        <v>4500016561</v>
      </c>
      <c r="AF444" s="364"/>
      <c r="AG444" s="361"/>
      <c r="AH444" s="365"/>
      <c r="AI444" s="361"/>
      <c r="AJ444" s="361"/>
      <c r="AK444" s="361"/>
      <c r="AL444" s="361"/>
      <c r="AM444" s="361"/>
      <c r="AN444" s="361"/>
      <c r="AO444" s="361"/>
      <c r="AP444" s="361"/>
      <c r="AQ444" s="361"/>
      <c r="AR444" s="503"/>
      <c r="AS444" s="489"/>
      <c r="AT444" s="160"/>
      <c r="AU444" s="355"/>
    </row>
    <row r="445" spans="1:47" s="124" customFormat="1" ht="21.75" hidden="1" customHeight="1">
      <c r="A445" s="331">
        <v>444</v>
      </c>
      <c r="B445" s="361" t="s">
        <v>165</v>
      </c>
      <c r="C445" s="361" t="s">
        <v>1830</v>
      </c>
      <c r="D445" s="436" t="s">
        <v>1701</v>
      </c>
      <c r="E445" s="361" t="str">
        <f t="shared" si="6"/>
        <v>LOSS</v>
      </c>
      <c r="F445" s="361"/>
      <c r="G445" s="361"/>
      <c r="H445" s="28" t="s">
        <v>261</v>
      </c>
      <c r="I445" s="361" t="s">
        <v>243</v>
      </c>
      <c r="J445" s="361" t="s">
        <v>1831</v>
      </c>
      <c r="K445" s="361"/>
      <c r="L445" s="361"/>
      <c r="M445" s="361"/>
      <c r="N445" s="361"/>
      <c r="O445" s="374" t="s">
        <v>115</v>
      </c>
      <c r="P445" s="372">
        <v>73368000</v>
      </c>
      <c r="Q445" s="361"/>
      <c r="R445" s="376" t="s">
        <v>115</v>
      </c>
      <c r="S445" s="372">
        <v>32400000</v>
      </c>
      <c r="T445" s="361"/>
      <c r="U445" s="351">
        <v>44378</v>
      </c>
      <c r="V445" s="367">
        <v>44732</v>
      </c>
      <c r="W445" s="361" t="s">
        <v>250</v>
      </c>
      <c r="X445" s="361"/>
      <c r="Y445" s="361"/>
      <c r="Z445" s="361"/>
      <c r="AA445" s="361"/>
      <c r="AB445" s="361"/>
      <c r="AC445" s="159"/>
      <c r="AD445" s="368"/>
      <c r="AE445" s="364">
        <v>4500016541</v>
      </c>
      <c r="AF445" s="364"/>
      <c r="AG445" s="361"/>
      <c r="AH445" s="361"/>
      <c r="AI445" s="361"/>
      <c r="AJ445" s="361"/>
      <c r="AK445" s="361"/>
      <c r="AL445" s="361"/>
      <c r="AM445" s="361"/>
      <c r="AN445" s="361"/>
      <c r="AO445" s="361"/>
      <c r="AP445" s="361"/>
      <c r="AQ445" s="361"/>
      <c r="AR445" s="503"/>
      <c r="AS445" s="489"/>
      <c r="AT445" s="160"/>
      <c r="AU445" s="355"/>
    </row>
    <row r="446" spans="1:47" s="124" customFormat="1" ht="21.75" hidden="1" customHeight="1">
      <c r="A446" s="331">
        <v>445</v>
      </c>
      <c r="B446" s="361" t="s">
        <v>1396</v>
      </c>
      <c r="C446" s="361" t="s">
        <v>1832</v>
      </c>
      <c r="D446" s="435" t="s">
        <v>1833</v>
      </c>
      <c r="E446" s="361" t="str">
        <f t="shared" si="6"/>
        <v>LOSS</v>
      </c>
      <c r="F446" s="361"/>
      <c r="G446" s="361"/>
      <c r="H446" s="361" t="s">
        <v>327</v>
      </c>
      <c r="I446" s="361" t="s">
        <v>242</v>
      </c>
      <c r="J446" s="361" t="s">
        <v>1834</v>
      </c>
      <c r="K446" s="365"/>
      <c r="L446" s="361"/>
      <c r="M446" s="361"/>
      <c r="N446" s="361"/>
      <c r="O446" s="374" t="s">
        <v>115</v>
      </c>
      <c r="P446" s="372">
        <v>222000000</v>
      </c>
      <c r="Q446" s="361"/>
      <c r="R446" s="376" t="s">
        <v>115</v>
      </c>
      <c r="S446" s="372">
        <v>2000000</v>
      </c>
      <c r="T446" s="361"/>
      <c r="U446" s="351">
        <v>44197</v>
      </c>
      <c r="V446" s="367">
        <v>44561</v>
      </c>
      <c r="W446" s="361" t="s">
        <v>250</v>
      </c>
      <c r="X446" s="361"/>
      <c r="Y446" s="361"/>
      <c r="Z446" s="361"/>
      <c r="AA446" s="361"/>
      <c r="AB446" s="361"/>
      <c r="AC446" s="159"/>
      <c r="AD446" s="368"/>
      <c r="AE446" s="364">
        <v>4500015357</v>
      </c>
      <c r="AF446" s="364"/>
      <c r="AG446" s="361"/>
      <c r="AH446" s="365"/>
      <c r="AI446" s="361"/>
      <c r="AJ446" s="361"/>
      <c r="AK446" s="361"/>
      <c r="AL446" s="361"/>
      <c r="AM446" s="361"/>
      <c r="AN446" s="361"/>
      <c r="AO446" s="361"/>
      <c r="AP446" s="361"/>
      <c r="AQ446" s="361"/>
      <c r="AR446" s="503"/>
      <c r="AS446" s="489"/>
      <c r="AT446" s="160"/>
      <c r="AU446" s="355"/>
    </row>
    <row r="447" spans="1:47" s="124" customFormat="1" ht="21.75" hidden="1" customHeight="1">
      <c r="A447" s="331">
        <v>446</v>
      </c>
      <c r="B447" s="361" t="s">
        <v>1835</v>
      </c>
      <c r="C447" s="361" t="s">
        <v>742</v>
      </c>
      <c r="D447" s="436" t="s">
        <v>1836</v>
      </c>
      <c r="E447" s="361" t="str">
        <f t="shared" si="6"/>
        <v>LOSS</v>
      </c>
      <c r="F447" s="361"/>
      <c r="G447" s="361"/>
      <c r="H447" s="28" t="s">
        <v>261</v>
      </c>
      <c r="I447" s="361" t="s">
        <v>243</v>
      </c>
      <c r="J447" s="361" t="s">
        <v>1837</v>
      </c>
      <c r="K447" s="361"/>
      <c r="L447" s="361"/>
      <c r="M447" s="361"/>
      <c r="N447" s="361"/>
      <c r="O447" s="374" t="s">
        <v>115</v>
      </c>
      <c r="P447" s="372">
        <v>492000000</v>
      </c>
      <c r="Q447" s="361"/>
      <c r="R447" s="376" t="s">
        <v>115</v>
      </c>
      <c r="S447" s="372">
        <v>120000000</v>
      </c>
      <c r="T447" s="361"/>
      <c r="U447" s="351">
        <v>44386</v>
      </c>
      <c r="V447" s="367">
        <v>44750</v>
      </c>
      <c r="W447" s="361" t="s">
        <v>250</v>
      </c>
      <c r="X447" s="361"/>
      <c r="Y447" s="361"/>
      <c r="Z447" s="361"/>
      <c r="AA447" s="361"/>
      <c r="AB447" s="361"/>
      <c r="AC447" s="159"/>
      <c r="AD447" s="361" t="s">
        <v>1838</v>
      </c>
      <c r="AE447" s="364">
        <v>4500016531</v>
      </c>
      <c r="AF447" s="364"/>
      <c r="AG447" s="361"/>
      <c r="AH447" s="361"/>
      <c r="AI447" s="361"/>
      <c r="AJ447" s="361"/>
      <c r="AK447" s="361"/>
      <c r="AL447" s="361"/>
      <c r="AM447" s="361"/>
      <c r="AN447" s="361"/>
      <c r="AO447" s="361"/>
      <c r="AP447" s="361"/>
      <c r="AQ447" s="361"/>
      <c r="AR447" s="503"/>
      <c r="AS447" s="489"/>
      <c r="AT447" s="160"/>
      <c r="AU447" s="355"/>
    </row>
    <row r="448" spans="1:47" s="124" customFormat="1" ht="21.75" hidden="1" customHeight="1">
      <c r="A448" s="331">
        <v>447</v>
      </c>
      <c r="B448" s="28" t="s">
        <v>179</v>
      </c>
      <c r="C448" s="361" t="s">
        <v>1839</v>
      </c>
      <c r="D448" s="435" t="s">
        <v>735</v>
      </c>
      <c r="E448" s="361" t="str">
        <f t="shared" si="6"/>
        <v>LOSS</v>
      </c>
      <c r="F448" s="361"/>
      <c r="G448" s="361"/>
      <c r="H448" s="361" t="s">
        <v>327</v>
      </c>
      <c r="I448" s="361" t="s">
        <v>242</v>
      </c>
      <c r="J448" s="361" t="s">
        <v>1840</v>
      </c>
      <c r="K448" s="365"/>
      <c r="L448" s="361"/>
      <c r="M448" s="361"/>
      <c r="N448" s="361"/>
      <c r="O448" s="374" t="s">
        <v>115</v>
      </c>
      <c r="P448" s="372">
        <v>300000000</v>
      </c>
      <c r="Q448" s="361"/>
      <c r="R448" s="376" t="s">
        <v>115</v>
      </c>
      <c r="S448" s="372">
        <v>2500008</v>
      </c>
      <c r="T448" s="361"/>
      <c r="U448" s="351">
        <v>44383</v>
      </c>
      <c r="V448" s="367">
        <v>44747</v>
      </c>
      <c r="W448" s="361" t="s">
        <v>250</v>
      </c>
      <c r="X448" s="361"/>
      <c r="Y448" s="361"/>
      <c r="Z448" s="361"/>
      <c r="AA448" s="361"/>
      <c r="AB448" s="361"/>
      <c r="AC448" s="159"/>
      <c r="AD448" s="361" t="s">
        <v>1841</v>
      </c>
      <c r="AE448" s="364">
        <v>4500016506</v>
      </c>
      <c r="AF448" s="364"/>
      <c r="AG448" s="361"/>
      <c r="AH448" s="365"/>
      <c r="AI448" s="361"/>
      <c r="AJ448" s="361"/>
      <c r="AK448" s="361"/>
      <c r="AL448" s="361"/>
      <c r="AM448" s="361"/>
      <c r="AN448" s="361"/>
      <c r="AO448" s="361"/>
      <c r="AP448" s="361"/>
      <c r="AQ448" s="361"/>
      <c r="AR448" s="503"/>
      <c r="AS448" s="489"/>
      <c r="AT448" s="160"/>
      <c r="AU448" s="355"/>
    </row>
    <row r="449" spans="1:47" s="124" customFormat="1" ht="21.75" hidden="1" customHeight="1">
      <c r="A449" s="331">
        <v>448</v>
      </c>
      <c r="B449" s="361" t="s">
        <v>348</v>
      </c>
      <c r="C449" s="361" t="s">
        <v>1842</v>
      </c>
      <c r="D449" s="436" t="s">
        <v>1843</v>
      </c>
      <c r="E449" s="361" t="str">
        <f t="shared" si="6"/>
        <v>LOSS</v>
      </c>
      <c r="F449" s="361"/>
      <c r="G449" s="361"/>
      <c r="H449" s="361" t="s">
        <v>327</v>
      </c>
      <c r="I449" s="361" t="s">
        <v>242</v>
      </c>
      <c r="J449" s="361" t="s">
        <v>1844</v>
      </c>
      <c r="K449" s="365"/>
      <c r="L449" s="361"/>
      <c r="M449" s="361"/>
      <c r="N449" s="361"/>
      <c r="O449" s="362">
        <v>1500000</v>
      </c>
      <c r="P449" s="372">
        <v>36000000</v>
      </c>
      <c r="Q449" s="361"/>
      <c r="R449" s="376" t="s">
        <v>115</v>
      </c>
      <c r="S449" s="372">
        <v>8352180</v>
      </c>
      <c r="T449" s="361"/>
      <c r="U449" s="351">
        <v>44477</v>
      </c>
      <c r="V449" s="367">
        <v>44834</v>
      </c>
      <c r="W449" s="361" t="s">
        <v>250</v>
      </c>
      <c r="X449" s="361"/>
      <c r="Y449" s="361"/>
      <c r="Z449" s="361"/>
      <c r="AA449" s="361"/>
      <c r="AB449" s="361"/>
      <c r="AC449" s="159"/>
      <c r="AD449" s="361" t="s">
        <v>1845</v>
      </c>
      <c r="AE449" s="364">
        <v>4500016592</v>
      </c>
      <c r="AF449" s="364"/>
      <c r="AG449" s="361"/>
      <c r="AH449" s="365"/>
      <c r="AI449" s="361"/>
      <c r="AJ449" s="361"/>
      <c r="AK449" s="361"/>
      <c r="AL449" s="361"/>
      <c r="AM449" s="361"/>
      <c r="AN449" s="361"/>
      <c r="AO449" s="361"/>
      <c r="AP449" s="361"/>
      <c r="AQ449" s="361"/>
      <c r="AR449" s="503"/>
      <c r="AS449" s="489"/>
      <c r="AT449" s="160"/>
      <c r="AU449" s="355"/>
    </row>
    <row r="450" spans="1:47" s="124" customFormat="1" ht="21.75" hidden="1" customHeight="1">
      <c r="A450" s="331">
        <v>449</v>
      </c>
      <c r="B450" s="28" t="s">
        <v>151</v>
      </c>
      <c r="C450" s="361" t="s">
        <v>1846</v>
      </c>
      <c r="D450" s="435" t="s">
        <v>735</v>
      </c>
      <c r="E450" s="361" t="str">
        <f t="shared" ref="E450:E513" si="7">IF(Z450&lt;=0, "LOSS",IF(Z450&lt;=15, "CRITICAL",IF(Z450&lt;=30, "WARNING",IF(Z450&lt;60, "ATTENTION", "ON TRACK"))))</f>
        <v>LOSS</v>
      </c>
      <c r="F450" s="361"/>
      <c r="G450" s="361"/>
      <c r="H450" s="361" t="s">
        <v>327</v>
      </c>
      <c r="I450" s="160" t="s">
        <v>346</v>
      </c>
      <c r="J450" s="361" t="s">
        <v>1847</v>
      </c>
      <c r="K450" s="365"/>
      <c r="L450" s="361"/>
      <c r="M450" s="361"/>
      <c r="N450" s="361"/>
      <c r="O450" s="374" t="s">
        <v>115</v>
      </c>
      <c r="P450" s="372">
        <v>32400000</v>
      </c>
      <c r="Q450" s="361"/>
      <c r="R450" s="376" t="s">
        <v>115</v>
      </c>
      <c r="S450" s="372">
        <v>3500000</v>
      </c>
      <c r="T450" s="361"/>
      <c r="U450" s="351">
        <v>44257</v>
      </c>
      <c r="V450" s="367">
        <v>44621</v>
      </c>
      <c r="W450" s="361" t="s">
        <v>250</v>
      </c>
      <c r="X450" s="361"/>
      <c r="Y450" s="361"/>
      <c r="Z450" s="361"/>
      <c r="AA450" s="361"/>
      <c r="AB450" s="361"/>
      <c r="AC450" s="159"/>
      <c r="AD450" s="368"/>
      <c r="AE450" s="364">
        <v>4500016449</v>
      </c>
      <c r="AF450" s="364"/>
      <c r="AG450" s="361"/>
      <c r="AH450" s="365"/>
      <c r="AI450" s="361"/>
      <c r="AJ450" s="361"/>
      <c r="AK450" s="361"/>
      <c r="AL450" s="361"/>
      <c r="AM450" s="361"/>
      <c r="AN450" s="361"/>
      <c r="AO450" s="361"/>
      <c r="AP450" s="361"/>
      <c r="AQ450" s="361"/>
      <c r="AR450" s="503"/>
      <c r="AS450" s="489"/>
      <c r="AT450" s="160"/>
      <c r="AU450" s="355"/>
    </row>
    <row r="451" spans="1:47" s="124" customFormat="1" ht="21.75" hidden="1" customHeight="1">
      <c r="A451" s="331">
        <v>450</v>
      </c>
      <c r="B451" s="28" t="s">
        <v>179</v>
      </c>
      <c r="C451" s="361" t="s">
        <v>763</v>
      </c>
      <c r="D451" s="436" t="s">
        <v>735</v>
      </c>
      <c r="E451" s="361" t="str">
        <f t="shared" si="7"/>
        <v>LOSS</v>
      </c>
      <c r="F451" s="361"/>
      <c r="G451" s="361"/>
      <c r="H451" s="361" t="s">
        <v>327</v>
      </c>
      <c r="I451" s="361" t="s">
        <v>242</v>
      </c>
      <c r="J451" s="361"/>
      <c r="K451" s="365"/>
      <c r="L451" s="361"/>
      <c r="M451" s="361"/>
      <c r="N451" s="361"/>
      <c r="O451" s="374" t="s">
        <v>115</v>
      </c>
      <c r="P451" s="376" t="s">
        <v>115</v>
      </c>
      <c r="Q451" s="361"/>
      <c r="R451" s="376" t="s">
        <v>115</v>
      </c>
      <c r="S451" s="372">
        <v>36000000</v>
      </c>
      <c r="T451" s="361"/>
      <c r="U451" s="351">
        <v>44475</v>
      </c>
      <c r="V451" s="367">
        <v>44839</v>
      </c>
      <c r="W451" s="361" t="s">
        <v>250</v>
      </c>
      <c r="X451" s="361"/>
      <c r="Y451" s="361"/>
      <c r="Z451" s="361"/>
      <c r="AA451" s="361"/>
      <c r="AB451" s="361"/>
      <c r="AC451" s="159"/>
      <c r="AD451" s="361" t="s">
        <v>1848</v>
      </c>
      <c r="AE451" s="364">
        <v>4500016817</v>
      </c>
      <c r="AF451" s="364"/>
      <c r="AG451" s="361"/>
      <c r="AH451" s="365"/>
      <c r="AI451" s="361"/>
      <c r="AJ451" s="361"/>
      <c r="AK451" s="361"/>
      <c r="AL451" s="361"/>
      <c r="AM451" s="361"/>
      <c r="AN451" s="361"/>
      <c r="AO451" s="361"/>
      <c r="AP451" s="361"/>
      <c r="AQ451" s="361"/>
      <c r="AR451" s="503"/>
      <c r="AS451" s="489"/>
      <c r="AT451" s="160"/>
      <c r="AU451" s="355"/>
    </row>
    <row r="452" spans="1:47" s="124" customFormat="1" ht="21.75" hidden="1" customHeight="1">
      <c r="A452" s="331">
        <v>451</v>
      </c>
      <c r="B452" s="361" t="s">
        <v>726</v>
      </c>
      <c r="C452" s="361" t="s">
        <v>1849</v>
      </c>
      <c r="D452" s="435" t="s">
        <v>1757</v>
      </c>
      <c r="E452" s="361" t="str">
        <f t="shared" si="7"/>
        <v>LOSS</v>
      </c>
      <c r="F452" s="361"/>
      <c r="G452" s="361"/>
      <c r="H452" s="361" t="s">
        <v>327</v>
      </c>
      <c r="I452" s="361" t="s">
        <v>242</v>
      </c>
      <c r="J452" s="361" t="s">
        <v>1850</v>
      </c>
      <c r="K452" s="365"/>
      <c r="L452" s="361"/>
      <c r="M452" s="361"/>
      <c r="N452" s="361"/>
      <c r="O452" s="374" t="s">
        <v>115</v>
      </c>
      <c r="P452" s="372">
        <v>186000000</v>
      </c>
      <c r="Q452" s="361"/>
      <c r="R452" s="376" t="s">
        <v>115</v>
      </c>
      <c r="S452" s="372">
        <v>48000000</v>
      </c>
      <c r="T452" s="361"/>
      <c r="U452" s="351">
        <v>44301</v>
      </c>
      <c r="V452" s="367">
        <v>44665</v>
      </c>
      <c r="W452" s="361" t="s">
        <v>250</v>
      </c>
      <c r="X452" s="361"/>
      <c r="Y452" s="361"/>
      <c r="Z452" s="361"/>
      <c r="AA452" s="361"/>
      <c r="AB452" s="361"/>
      <c r="AC452" s="159"/>
      <c r="AD452" s="361" t="s">
        <v>1851</v>
      </c>
      <c r="AE452" s="364">
        <v>4500016175</v>
      </c>
      <c r="AF452" s="364"/>
      <c r="AG452" s="361"/>
      <c r="AH452" s="365"/>
      <c r="AI452" s="361"/>
      <c r="AJ452" s="361"/>
      <c r="AK452" s="361"/>
      <c r="AL452" s="361"/>
      <c r="AM452" s="361"/>
      <c r="AN452" s="361"/>
      <c r="AO452" s="361"/>
      <c r="AP452" s="361"/>
      <c r="AQ452" s="361"/>
      <c r="AR452" s="503"/>
      <c r="AS452" s="489"/>
      <c r="AT452" s="160"/>
      <c r="AU452" s="355"/>
    </row>
    <row r="453" spans="1:47" s="124" customFormat="1" ht="21.75" hidden="1" customHeight="1">
      <c r="A453" s="331">
        <v>452</v>
      </c>
      <c r="B453" s="361" t="s">
        <v>165</v>
      </c>
      <c r="C453" s="361" t="s">
        <v>763</v>
      </c>
      <c r="D453" s="436" t="s">
        <v>1701</v>
      </c>
      <c r="E453" s="361" t="str">
        <f t="shared" si="7"/>
        <v>LOSS</v>
      </c>
      <c r="F453" s="361"/>
      <c r="G453" s="361"/>
      <c r="H453" s="28" t="s">
        <v>261</v>
      </c>
      <c r="I453" s="361" t="s">
        <v>243</v>
      </c>
      <c r="J453" s="361"/>
      <c r="K453" s="361"/>
      <c r="L453" s="361"/>
      <c r="M453" s="361"/>
      <c r="N453" s="361"/>
      <c r="O453" s="374" t="s">
        <v>115</v>
      </c>
      <c r="P453" s="376" t="s">
        <v>115</v>
      </c>
      <c r="Q453" s="361"/>
      <c r="R453" s="376" t="s">
        <v>115</v>
      </c>
      <c r="S453" s="372">
        <v>225000000</v>
      </c>
      <c r="T453" s="361"/>
      <c r="U453" s="351">
        <v>44378</v>
      </c>
      <c r="V453" s="367">
        <v>44651</v>
      </c>
      <c r="W453" s="361" t="s">
        <v>250</v>
      </c>
      <c r="X453" s="361"/>
      <c r="Y453" s="361"/>
      <c r="Z453" s="361"/>
      <c r="AA453" s="361"/>
      <c r="AB453" s="361"/>
      <c r="AC453" s="159"/>
      <c r="AD453" s="361" t="s">
        <v>1852</v>
      </c>
      <c r="AE453" s="364">
        <v>4500016471</v>
      </c>
      <c r="AF453" s="364"/>
      <c r="AG453" s="361"/>
      <c r="AH453" s="361"/>
      <c r="AI453" s="361"/>
      <c r="AJ453" s="361"/>
      <c r="AK453" s="361"/>
      <c r="AL453" s="361"/>
      <c r="AM453" s="361"/>
      <c r="AN453" s="361"/>
      <c r="AO453" s="361"/>
      <c r="AP453" s="361"/>
      <c r="AQ453" s="361"/>
      <c r="AR453" s="503"/>
      <c r="AS453" s="489"/>
      <c r="AT453" s="160"/>
      <c r="AU453" s="355"/>
    </row>
    <row r="454" spans="1:47" s="124" customFormat="1" ht="21.75" hidden="1" customHeight="1">
      <c r="A454" s="331">
        <v>453</v>
      </c>
      <c r="B454" s="28" t="s">
        <v>151</v>
      </c>
      <c r="C454" s="361" t="s">
        <v>1846</v>
      </c>
      <c r="D454" s="435" t="s">
        <v>735</v>
      </c>
      <c r="E454" s="361" t="str">
        <f t="shared" si="7"/>
        <v>LOSS</v>
      </c>
      <c r="F454" s="361"/>
      <c r="G454" s="361"/>
      <c r="H454" s="361" t="s">
        <v>327</v>
      </c>
      <c r="I454" s="160" t="s">
        <v>346</v>
      </c>
      <c r="J454" s="361" t="s">
        <v>1853</v>
      </c>
      <c r="K454" s="365"/>
      <c r="L454" s="361"/>
      <c r="M454" s="361"/>
      <c r="N454" s="361"/>
      <c r="O454" s="374" t="s">
        <v>115</v>
      </c>
      <c r="P454" s="372">
        <v>44400000</v>
      </c>
      <c r="Q454" s="361"/>
      <c r="R454" s="376" t="s">
        <v>115</v>
      </c>
      <c r="S454" s="372">
        <v>3500000</v>
      </c>
      <c r="T454" s="361"/>
      <c r="U454" s="351">
        <v>44257</v>
      </c>
      <c r="V454" s="367">
        <v>44621</v>
      </c>
      <c r="W454" s="361" t="s">
        <v>250</v>
      </c>
      <c r="X454" s="361"/>
      <c r="Y454" s="361"/>
      <c r="Z454" s="361"/>
      <c r="AA454" s="361"/>
      <c r="AB454" s="361"/>
      <c r="AC454" s="159"/>
      <c r="AD454" s="368"/>
      <c r="AE454" s="364">
        <v>4500016456</v>
      </c>
      <c r="AF454" s="364"/>
      <c r="AG454" s="361"/>
      <c r="AH454" s="365"/>
      <c r="AI454" s="361"/>
      <c r="AJ454" s="361"/>
      <c r="AK454" s="361"/>
      <c r="AL454" s="361"/>
      <c r="AM454" s="361"/>
      <c r="AN454" s="361"/>
      <c r="AO454" s="361"/>
      <c r="AP454" s="361"/>
      <c r="AQ454" s="361"/>
      <c r="AR454" s="503"/>
      <c r="AS454" s="489"/>
      <c r="AT454" s="160"/>
      <c r="AU454" s="355"/>
    </row>
    <row r="455" spans="1:47" s="124" customFormat="1" ht="21.75" hidden="1" customHeight="1">
      <c r="A455" s="331">
        <v>454</v>
      </c>
      <c r="B455" s="28" t="s">
        <v>179</v>
      </c>
      <c r="C455" s="361" t="s">
        <v>1854</v>
      </c>
      <c r="D455" s="436" t="s">
        <v>735</v>
      </c>
      <c r="E455" s="361" t="str">
        <f t="shared" si="7"/>
        <v>LOSS</v>
      </c>
      <c r="F455" s="361"/>
      <c r="G455" s="361"/>
      <c r="H455" s="361" t="s">
        <v>327</v>
      </c>
      <c r="I455" s="361" t="s">
        <v>242</v>
      </c>
      <c r="J455" s="361" t="s">
        <v>1855</v>
      </c>
      <c r="K455" s="365"/>
      <c r="L455" s="361"/>
      <c r="M455" s="361"/>
      <c r="N455" s="361"/>
      <c r="O455" s="374" t="s">
        <v>115</v>
      </c>
      <c r="P455" s="372">
        <v>37800000</v>
      </c>
      <c r="Q455" s="361"/>
      <c r="R455" s="376" t="s">
        <v>115</v>
      </c>
      <c r="S455" s="372">
        <v>2500008</v>
      </c>
      <c r="T455" s="361"/>
      <c r="U455" s="351">
        <v>44399</v>
      </c>
      <c r="V455" s="367">
        <v>44763</v>
      </c>
      <c r="W455" s="361" t="s">
        <v>250</v>
      </c>
      <c r="X455" s="361"/>
      <c r="Y455" s="361"/>
      <c r="Z455" s="361"/>
      <c r="AA455" s="361"/>
      <c r="AB455" s="361"/>
      <c r="AC455" s="159"/>
      <c r="AD455" s="361" t="s">
        <v>1856</v>
      </c>
      <c r="AE455" s="364">
        <v>4500016505</v>
      </c>
      <c r="AF455" s="364"/>
      <c r="AG455" s="361"/>
      <c r="AH455" s="365"/>
      <c r="AI455" s="361"/>
      <c r="AJ455" s="361"/>
      <c r="AK455" s="361"/>
      <c r="AL455" s="361"/>
      <c r="AM455" s="361"/>
      <c r="AN455" s="361"/>
      <c r="AO455" s="361"/>
      <c r="AP455" s="361"/>
      <c r="AQ455" s="361"/>
      <c r="AR455" s="503"/>
      <c r="AS455" s="489"/>
      <c r="AT455" s="160"/>
      <c r="AU455" s="355"/>
    </row>
    <row r="456" spans="1:47" s="124" customFormat="1" ht="21.75" hidden="1" customHeight="1">
      <c r="A456" s="331">
        <v>455</v>
      </c>
      <c r="B456" s="361" t="s">
        <v>1857</v>
      </c>
      <c r="C456" s="361" t="s">
        <v>1858</v>
      </c>
      <c r="D456" s="435" t="s">
        <v>1859</v>
      </c>
      <c r="E456" s="361" t="str">
        <f t="shared" si="7"/>
        <v>LOSS</v>
      </c>
      <c r="F456" s="361"/>
      <c r="G456" s="361"/>
      <c r="H456" s="361" t="s">
        <v>327</v>
      </c>
      <c r="I456" s="160" t="s">
        <v>346</v>
      </c>
      <c r="J456" s="361" t="s">
        <v>1469</v>
      </c>
      <c r="K456" s="365"/>
      <c r="L456" s="361"/>
      <c r="M456" s="361"/>
      <c r="N456" s="361"/>
      <c r="O456" s="374" t="s">
        <v>115</v>
      </c>
      <c r="P456" s="372">
        <v>113479200</v>
      </c>
      <c r="Q456" s="361"/>
      <c r="R456" s="376" t="s">
        <v>115</v>
      </c>
      <c r="S456" s="372">
        <v>23244051</v>
      </c>
      <c r="T456" s="361"/>
      <c r="U456" s="351">
        <v>44409</v>
      </c>
      <c r="V456" s="367">
        <v>44772</v>
      </c>
      <c r="W456" s="361" t="s">
        <v>250</v>
      </c>
      <c r="X456" s="361"/>
      <c r="Y456" s="361"/>
      <c r="Z456" s="361"/>
      <c r="AA456" s="361"/>
      <c r="AB456" s="361"/>
      <c r="AC456" s="159"/>
      <c r="AD456" s="368"/>
      <c r="AE456" s="364">
        <v>4500016272</v>
      </c>
      <c r="AF456" s="364"/>
      <c r="AG456" s="361"/>
      <c r="AH456" s="365"/>
      <c r="AI456" s="361"/>
      <c r="AJ456" s="361"/>
      <c r="AK456" s="361"/>
      <c r="AL456" s="361"/>
      <c r="AM456" s="361"/>
      <c r="AN456" s="361"/>
      <c r="AO456" s="361"/>
      <c r="AP456" s="361"/>
      <c r="AQ456" s="361"/>
      <c r="AR456" s="503"/>
      <c r="AS456" s="489"/>
      <c r="AT456" s="160"/>
      <c r="AU456" s="355"/>
    </row>
    <row r="457" spans="1:47" s="124" customFormat="1" ht="21.75" hidden="1" customHeight="1">
      <c r="A457" s="331">
        <v>456</v>
      </c>
      <c r="B457" s="361" t="s">
        <v>1860</v>
      </c>
      <c r="C457" s="361" t="s">
        <v>751</v>
      </c>
      <c r="D457" s="436" t="s">
        <v>1861</v>
      </c>
      <c r="E457" s="361" t="str">
        <f t="shared" si="7"/>
        <v>LOSS</v>
      </c>
      <c r="F457" s="361"/>
      <c r="G457" s="361"/>
      <c r="H457" s="28" t="s">
        <v>261</v>
      </c>
      <c r="I457" s="361" t="s">
        <v>243</v>
      </c>
      <c r="J457" s="376" t="s">
        <v>1862</v>
      </c>
      <c r="K457" s="361"/>
      <c r="L457" s="361"/>
      <c r="M457" s="361"/>
      <c r="N457" s="361"/>
      <c r="O457" s="374" t="s">
        <v>115</v>
      </c>
      <c r="P457" s="372">
        <v>72000000</v>
      </c>
      <c r="Q457" s="361"/>
      <c r="R457" s="376" t="s">
        <v>115</v>
      </c>
      <c r="S457" s="372">
        <v>54000000</v>
      </c>
      <c r="T457" s="361"/>
      <c r="U457" s="351">
        <v>44378</v>
      </c>
      <c r="V457" s="367">
        <v>44742</v>
      </c>
      <c r="W457" s="361" t="s">
        <v>250</v>
      </c>
      <c r="X457" s="361"/>
      <c r="Y457" s="361"/>
      <c r="Z457" s="361"/>
      <c r="AA457" s="361"/>
      <c r="AB457" s="361"/>
      <c r="AC457" s="159"/>
      <c r="AD457" s="368"/>
      <c r="AE457" s="364">
        <v>4500016574</v>
      </c>
      <c r="AF457" s="364"/>
      <c r="AG457" s="361"/>
      <c r="AH457" s="361"/>
      <c r="AI457" s="361"/>
      <c r="AJ457" s="361"/>
      <c r="AK457" s="361"/>
      <c r="AL457" s="361"/>
      <c r="AM457" s="361"/>
      <c r="AN457" s="361"/>
      <c r="AO457" s="361"/>
      <c r="AP457" s="361"/>
      <c r="AQ457" s="361"/>
      <c r="AR457" s="503"/>
      <c r="AS457" s="489"/>
      <c r="AT457" s="160"/>
      <c r="AU457" s="355"/>
    </row>
    <row r="458" spans="1:47" s="124" customFormat="1" ht="21.75" hidden="1" customHeight="1">
      <c r="A458" s="331">
        <v>457</v>
      </c>
      <c r="B458" s="361" t="s">
        <v>450</v>
      </c>
      <c r="C458" s="361" t="s">
        <v>1863</v>
      </c>
      <c r="D458" s="435" t="s">
        <v>689</v>
      </c>
      <c r="E458" s="361" t="str">
        <f t="shared" si="7"/>
        <v>LOSS</v>
      </c>
      <c r="F458" s="361"/>
      <c r="G458" s="361"/>
      <c r="H458" s="361" t="s">
        <v>327</v>
      </c>
      <c r="I458" s="160" t="s">
        <v>346</v>
      </c>
      <c r="J458" s="361" t="s">
        <v>1864</v>
      </c>
      <c r="K458" s="365"/>
      <c r="L458" s="361"/>
      <c r="M458" s="361"/>
      <c r="N458" s="361"/>
      <c r="O458" s="374" t="s">
        <v>115</v>
      </c>
      <c r="P458" s="372">
        <v>36000000</v>
      </c>
      <c r="Q458" s="361"/>
      <c r="R458" s="376" t="s">
        <v>115</v>
      </c>
      <c r="S458" s="372">
        <v>2750000</v>
      </c>
      <c r="T458" s="361"/>
      <c r="U458" s="351">
        <v>44355</v>
      </c>
      <c r="V458" s="367">
        <v>44719</v>
      </c>
      <c r="W458" s="361" t="s">
        <v>250</v>
      </c>
      <c r="X458" s="361"/>
      <c r="Y458" s="361"/>
      <c r="Z458" s="361"/>
      <c r="AA458" s="361"/>
      <c r="AB458" s="361"/>
      <c r="AC458" s="159"/>
      <c r="AD458" s="361" t="s">
        <v>1865</v>
      </c>
      <c r="AE458" s="364">
        <v>4500016455</v>
      </c>
      <c r="AF458" s="364"/>
      <c r="AG458" s="361"/>
      <c r="AH458" s="365"/>
      <c r="AI458" s="361"/>
      <c r="AJ458" s="361"/>
      <c r="AK458" s="361"/>
      <c r="AL458" s="361"/>
      <c r="AM458" s="361"/>
      <c r="AN458" s="361"/>
      <c r="AO458" s="361"/>
      <c r="AP458" s="361"/>
      <c r="AQ458" s="361"/>
      <c r="AR458" s="503"/>
      <c r="AS458" s="489"/>
      <c r="AT458" s="160"/>
      <c r="AU458" s="355"/>
    </row>
    <row r="459" spans="1:47" s="124" customFormat="1" ht="21.75" hidden="1" customHeight="1">
      <c r="A459" s="331">
        <v>458</v>
      </c>
      <c r="B459" s="28" t="s">
        <v>151</v>
      </c>
      <c r="C459" s="361" t="s">
        <v>1866</v>
      </c>
      <c r="D459" s="436" t="s">
        <v>735</v>
      </c>
      <c r="E459" s="361" t="str">
        <f t="shared" si="7"/>
        <v>LOSS</v>
      </c>
      <c r="F459" s="361"/>
      <c r="G459" s="361"/>
      <c r="H459" s="361" t="s">
        <v>327</v>
      </c>
      <c r="I459" s="160" t="s">
        <v>346</v>
      </c>
      <c r="J459" s="361" t="s">
        <v>1867</v>
      </c>
      <c r="K459" s="365"/>
      <c r="L459" s="361"/>
      <c r="M459" s="361"/>
      <c r="N459" s="361"/>
      <c r="O459" s="374" t="s">
        <v>115</v>
      </c>
      <c r="P459" s="372">
        <v>480000000</v>
      </c>
      <c r="Q459" s="361"/>
      <c r="R459" s="376" t="s">
        <v>115</v>
      </c>
      <c r="S459" s="372">
        <v>7500000</v>
      </c>
      <c r="T459" s="361"/>
      <c r="U459" s="351">
        <v>44315</v>
      </c>
      <c r="V459" s="367">
        <v>44679</v>
      </c>
      <c r="W459" s="361" t="s">
        <v>250</v>
      </c>
      <c r="X459" s="361"/>
      <c r="Y459" s="361"/>
      <c r="Z459" s="361"/>
      <c r="AA459" s="361"/>
      <c r="AB459" s="361"/>
      <c r="AC459" s="159"/>
      <c r="AD459" s="361" t="s">
        <v>1868</v>
      </c>
      <c r="AE459" s="364">
        <v>4500016453</v>
      </c>
      <c r="AF459" s="364"/>
      <c r="AG459" s="361"/>
      <c r="AH459" s="365"/>
      <c r="AI459" s="361"/>
      <c r="AJ459" s="361"/>
      <c r="AK459" s="361"/>
      <c r="AL459" s="361"/>
      <c r="AM459" s="361"/>
      <c r="AN459" s="361"/>
      <c r="AO459" s="361"/>
      <c r="AP459" s="361"/>
      <c r="AQ459" s="361"/>
      <c r="AR459" s="503"/>
      <c r="AS459" s="489"/>
      <c r="AT459" s="160"/>
      <c r="AU459" s="355"/>
    </row>
    <row r="460" spans="1:47" s="124" customFormat="1" ht="21.75" hidden="1" customHeight="1">
      <c r="A460" s="331">
        <v>459</v>
      </c>
      <c r="B460" s="28" t="s">
        <v>230</v>
      </c>
      <c r="C460" s="361" t="s">
        <v>1869</v>
      </c>
      <c r="D460" s="435" t="s">
        <v>1870</v>
      </c>
      <c r="E460" s="361" t="str">
        <f t="shared" si="7"/>
        <v>LOSS</v>
      </c>
      <c r="F460" s="361"/>
      <c r="G460" s="361"/>
      <c r="H460" s="361" t="s">
        <v>327</v>
      </c>
      <c r="I460" s="160" t="s">
        <v>346</v>
      </c>
      <c r="J460" s="361" t="s">
        <v>231</v>
      </c>
      <c r="K460" s="365"/>
      <c r="L460" s="361"/>
      <c r="M460" s="361"/>
      <c r="N460" s="361"/>
      <c r="O460" s="374" t="s">
        <v>115</v>
      </c>
      <c r="P460" s="372">
        <v>34800000</v>
      </c>
      <c r="Q460" s="361"/>
      <c r="R460" s="376" t="s">
        <v>115</v>
      </c>
      <c r="S460" s="372">
        <v>12000000</v>
      </c>
      <c r="T460" s="361"/>
      <c r="U460" s="351">
        <v>44365</v>
      </c>
      <c r="V460" s="367">
        <v>44729</v>
      </c>
      <c r="W460" s="361" t="s">
        <v>250</v>
      </c>
      <c r="X460" s="361"/>
      <c r="Y460" s="361"/>
      <c r="Z460" s="361"/>
      <c r="AA460" s="361"/>
      <c r="AB460" s="361"/>
      <c r="AC460" s="159"/>
      <c r="AD460" s="361" t="s">
        <v>1871</v>
      </c>
      <c r="AE460" s="364">
        <v>4500016468</v>
      </c>
      <c r="AF460" s="364"/>
      <c r="AG460" s="361"/>
      <c r="AH460" s="365"/>
      <c r="AI460" s="361"/>
      <c r="AJ460" s="361"/>
      <c r="AK460" s="361"/>
      <c r="AL460" s="361"/>
      <c r="AM460" s="361"/>
      <c r="AN460" s="361"/>
      <c r="AO460" s="361"/>
      <c r="AP460" s="361"/>
      <c r="AQ460" s="361"/>
      <c r="AR460" s="503"/>
      <c r="AS460" s="489"/>
      <c r="AT460" s="160"/>
      <c r="AU460" s="355"/>
    </row>
    <row r="461" spans="1:47" s="124" customFormat="1" ht="21.75" hidden="1" customHeight="1">
      <c r="A461" s="331">
        <v>460</v>
      </c>
      <c r="B461" s="361" t="s">
        <v>1872</v>
      </c>
      <c r="C461" s="361" t="s">
        <v>1873</v>
      </c>
      <c r="D461" s="436" t="s">
        <v>1874</v>
      </c>
      <c r="E461" s="361" t="str">
        <f t="shared" si="7"/>
        <v>LOSS</v>
      </c>
      <c r="F461" s="361"/>
      <c r="G461" s="361"/>
      <c r="H461" s="361" t="s">
        <v>327</v>
      </c>
      <c r="I461" s="160" t="s">
        <v>346</v>
      </c>
      <c r="J461" s="361" t="s">
        <v>1875</v>
      </c>
      <c r="K461" s="365"/>
      <c r="L461" s="361"/>
      <c r="M461" s="361"/>
      <c r="N461" s="361"/>
      <c r="O461" s="374" t="s">
        <v>115</v>
      </c>
      <c r="P461" s="372">
        <v>99818184</v>
      </c>
      <c r="Q461" s="361"/>
      <c r="R461" s="376" t="s">
        <v>115</v>
      </c>
      <c r="S461" s="372">
        <v>36000000</v>
      </c>
      <c r="T461" s="361"/>
      <c r="U461" s="351">
        <v>44397</v>
      </c>
      <c r="V461" s="367">
        <v>44761</v>
      </c>
      <c r="W461" s="361" t="s">
        <v>250</v>
      </c>
      <c r="X461" s="361"/>
      <c r="Y461" s="361"/>
      <c r="Z461" s="361"/>
      <c r="AA461" s="361"/>
      <c r="AB461" s="361"/>
      <c r="AC461" s="159"/>
      <c r="AD461" s="368"/>
      <c r="AE461" s="364">
        <v>4500016265</v>
      </c>
      <c r="AF461" s="364"/>
      <c r="AG461" s="361"/>
      <c r="AH461" s="365"/>
      <c r="AI461" s="361"/>
      <c r="AJ461" s="361"/>
      <c r="AK461" s="361"/>
      <c r="AL461" s="361"/>
      <c r="AM461" s="361"/>
      <c r="AN461" s="361"/>
      <c r="AO461" s="361"/>
      <c r="AP461" s="361"/>
      <c r="AQ461" s="361"/>
      <c r="AR461" s="503"/>
      <c r="AS461" s="489"/>
      <c r="AT461" s="160"/>
      <c r="AU461" s="355"/>
    </row>
    <row r="462" spans="1:47" s="124" customFormat="1" ht="21.75" hidden="1" customHeight="1">
      <c r="A462" s="331">
        <v>461</v>
      </c>
      <c r="B462" s="361" t="s">
        <v>726</v>
      </c>
      <c r="C462" s="361" t="s">
        <v>1876</v>
      </c>
      <c r="D462" s="435" t="s">
        <v>1757</v>
      </c>
      <c r="E462" s="361" t="str">
        <f t="shared" si="7"/>
        <v>LOSS</v>
      </c>
      <c r="F462" s="361"/>
      <c r="G462" s="361"/>
      <c r="H462" s="361" t="s">
        <v>327</v>
      </c>
      <c r="I462" s="361" t="s">
        <v>242</v>
      </c>
      <c r="J462" s="361" t="s">
        <v>1877</v>
      </c>
      <c r="K462" s="365"/>
      <c r="L462" s="361"/>
      <c r="M462" s="361"/>
      <c r="N462" s="361"/>
      <c r="O462" s="374" t="s">
        <v>115</v>
      </c>
      <c r="P462" s="372">
        <v>54000000</v>
      </c>
      <c r="Q462" s="361"/>
      <c r="R462" s="376" t="s">
        <v>115</v>
      </c>
      <c r="S462" s="372">
        <v>26400000</v>
      </c>
      <c r="T462" s="361"/>
      <c r="U462" s="351">
        <v>44373</v>
      </c>
      <c r="V462" s="367">
        <v>44737</v>
      </c>
      <c r="W462" s="361" t="s">
        <v>250</v>
      </c>
      <c r="X462" s="361"/>
      <c r="Y462" s="361"/>
      <c r="Z462" s="361"/>
      <c r="AA462" s="361"/>
      <c r="AB462" s="361"/>
      <c r="AC462" s="159"/>
      <c r="AD462" s="361" t="s">
        <v>1878</v>
      </c>
      <c r="AE462" s="364">
        <v>4500016337</v>
      </c>
      <c r="AF462" s="364"/>
      <c r="AG462" s="361"/>
      <c r="AH462" s="365"/>
      <c r="AI462" s="361"/>
      <c r="AJ462" s="361"/>
      <c r="AK462" s="361"/>
      <c r="AL462" s="361"/>
      <c r="AM462" s="361"/>
      <c r="AN462" s="361"/>
      <c r="AO462" s="361"/>
      <c r="AP462" s="361"/>
      <c r="AQ462" s="361"/>
      <c r="AR462" s="503"/>
      <c r="AS462" s="489"/>
      <c r="AT462" s="160"/>
      <c r="AU462" s="355"/>
    </row>
    <row r="463" spans="1:47" s="124" customFormat="1" ht="21.75" hidden="1" customHeight="1">
      <c r="A463" s="331">
        <v>462</v>
      </c>
      <c r="B463" s="361" t="s">
        <v>726</v>
      </c>
      <c r="C463" s="361" t="s">
        <v>1879</v>
      </c>
      <c r="D463" s="436" t="s">
        <v>1757</v>
      </c>
      <c r="E463" s="361" t="str">
        <f t="shared" si="7"/>
        <v>LOSS</v>
      </c>
      <c r="F463" s="361"/>
      <c r="G463" s="361"/>
      <c r="H463" s="361" t="s">
        <v>327</v>
      </c>
      <c r="I463" s="361" t="s">
        <v>242</v>
      </c>
      <c r="J463" s="361" t="s">
        <v>1117</v>
      </c>
      <c r="K463" s="365"/>
      <c r="L463" s="361"/>
      <c r="M463" s="361"/>
      <c r="N463" s="361"/>
      <c r="O463" s="370" t="s">
        <v>1880</v>
      </c>
      <c r="P463" s="372">
        <v>412800000</v>
      </c>
      <c r="Q463" s="361"/>
      <c r="R463" s="376" t="s">
        <v>115</v>
      </c>
      <c r="S463" s="372">
        <v>26400000</v>
      </c>
      <c r="T463" s="361"/>
      <c r="U463" s="351">
        <v>44352</v>
      </c>
      <c r="V463" s="367">
        <v>44716</v>
      </c>
      <c r="W463" s="361" t="s">
        <v>250</v>
      </c>
      <c r="X463" s="361"/>
      <c r="Y463" s="361"/>
      <c r="Z463" s="361"/>
      <c r="AA463" s="361"/>
      <c r="AB463" s="361"/>
      <c r="AC463" s="159"/>
      <c r="AD463" s="361" t="s">
        <v>1881</v>
      </c>
      <c r="AE463" s="364">
        <v>4500016336</v>
      </c>
      <c r="AF463" s="364"/>
      <c r="AG463" s="361"/>
      <c r="AH463" s="365"/>
      <c r="AI463" s="361"/>
      <c r="AJ463" s="361"/>
      <c r="AK463" s="361"/>
      <c r="AL463" s="361"/>
      <c r="AM463" s="361"/>
      <c r="AN463" s="361"/>
      <c r="AO463" s="361"/>
      <c r="AP463" s="361"/>
      <c r="AQ463" s="361"/>
      <c r="AR463" s="503"/>
      <c r="AS463" s="489"/>
      <c r="AT463" s="160"/>
      <c r="AU463" s="355"/>
    </row>
    <row r="464" spans="1:47" s="124" customFormat="1" ht="21.75" hidden="1" customHeight="1">
      <c r="A464" s="331">
        <v>463</v>
      </c>
      <c r="B464" s="361" t="s">
        <v>93</v>
      </c>
      <c r="C464" s="361" t="s">
        <v>538</v>
      </c>
      <c r="D464" s="435" t="s">
        <v>1778</v>
      </c>
      <c r="E464" s="361" t="str">
        <f t="shared" si="7"/>
        <v>LOSS</v>
      </c>
      <c r="F464" s="361"/>
      <c r="G464" s="361"/>
      <c r="H464" s="361" t="s">
        <v>327</v>
      </c>
      <c r="I464" s="361" t="s">
        <v>242</v>
      </c>
      <c r="J464" s="361" t="s">
        <v>714</v>
      </c>
      <c r="K464" s="365"/>
      <c r="L464" s="361"/>
      <c r="M464" s="361"/>
      <c r="N464" s="361"/>
      <c r="O464" s="374" t="s">
        <v>115</v>
      </c>
      <c r="P464" s="372">
        <v>66000000</v>
      </c>
      <c r="Q464" s="361"/>
      <c r="R464" s="376" t="s">
        <v>115</v>
      </c>
      <c r="S464" s="372">
        <v>18000000</v>
      </c>
      <c r="T464" s="361"/>
      <c r="U464" s="351">
        <v>44468</v>
      </c>
      <c r="V464" s="367">
        <v>44832</v>
      </c>
      <c r="W464" s="361" t="s">
        <v>250</v>
      </c>
      <c r="X464" s="361"/>
      <c r="Y464" s="361"/>
      <c r="Z464" s="361"/>
      <c r="AA464" s="361"/>
      <c r="AB464" s="361"/>
      <c r="AC464" s="159"/>
      <c r="AD464" s="368"/>
      <c r="AE464" s="364">
        <v>4500016491</v>
      </c>
      <c r="AF464" s="364"/>
      <c r="AG464" s="361"/>
      <c r="AH464" s="365"/>
      <c r="AI464" s="361"/>
      <c r="AJ464" s="361"/>
      <c r="AK464" s="361"/>
      <c r="AL464" s="361"/>
      <c r="AM464" s="361"/>
      <c r="AN464" s="361"/>
      <c r="AO464" s="361"/>
      <c r="AP464" s="361"/>
      <c r="AQ464" s="361"/>
      <c r="AR464" s="503"/>
      <c r="AS464" s="489"/>
      <c r="AT464" s="160"/>
      <c r="AU464" s="355"/>
    </row>
    <row r="465" spans="1:47" s="124" customFormat="1" ht="21.75" hidden="1" customHeight="1">
      <c r="A465" s="331">
        <v>464</v>
      </c>
      <c r="B465" s="361" t="s">
        <v>93</v>
      </c>
      <c r="C465" s="361" t="s">
        <v>1549</v>
      </c>
      <c r="D465" s="436" t="s">
        <v>1778</v>
      </c>
      <c r="E465" s="361" t="str">
        <f t="shared" si="7"/>
        <v>LOSS</v>
      </c>
      <c r="F465" s="361"/>
      <c r="G465" s="361"/>
      <c r="H465" s="361" t="s">
        <v>327</v>
      </c>
      <c r="I465" s="361" t="s">
        <v>242</v>
      </c>
      <c r="J465" s="361" t="s">
        <v>1882</v>
      </c>
      <c r="K465" s="365"/>
      <c r="L465" s="361"/>
      <c r="M465" s="361"/>
      <c r="N465" s="361"/>
      <c r="O465" s="362">
        <v>19500000</v>
      </c>
      <c r="P465" s="372">
        <v>180000000</v>
      </c>
      <c r="Q465" s="361"/>
      <c r="R465" s="376" t="s">
        <v>115</v>
      </c>
      <c r="S465" s="372">
        <v>54000000</v>
      </c>
      <c r="T465" s="361"/>
      <c r="U465" s="351">
        <v>44413</v>
      </c>
      <c r="V465" s="367">
        <v>44777</v>
      </c>
      <c r="W465" s="361" t="s">
        <v>250</v>
      </c>
      <c r="X465" s="361"/>
      <c r="Y465" s="361"/>
      <c r="Z465" s="361"/>
      <c r="AA465" s="361"/>
      <c r="AB465" s="361"/>
      <c r="AC465" s="159"/>
      <c r="AD465" s="368"/>
      <c r="AE465" s="364">
        <v>4500016492</v>
      </c>
      <c r="AF465" s="364"/>
      <c r="AG465" s="361"/>
      <c r="AH465" s="365"/>
      <c r="AI465" s="361"/>
      <c r="AJ465" s="361"/>
      <c r="AK465" s="361"/>
      <c r="AL465" s="361"/>
      <c r="AM465" s="361"/>
      <c r="AN465" s="361"/>
      <c r="AO465" s="361"/>
      <c r="AP465" s="361"/>
      <c r="AQ465" s="361"/>
      <c r="AR465" s="503"/>
      <c r="AS465" s="489"/>
      <c r="AT465" s="160"/>
      <c r="AU465" s="355"/>
    </row>
    <row r="466" spans="1:47" s="124" customFormat="1" ht="21.75" hidden="1" customHeight="1">
      <c r="A466" s="331">
        <v>465</v>
      </c>
      <c r="B466" s="159" t="s">
        <v>1170</v>
      </c>
      <c r="C466" s="361" t="s">
        <v>1883</v>
      </c>
      <c r="D466" s="435" t="s">
        <v>1884</v>
      </c>
      <c r="E466" s="361" t="str">
        <f t="shared" si="7"/>
        <v>LOSS</v>
      </c>
      <c r="F466" s="361"/>
      <c r="G466" s="361"/>
      <c r="H466" s="28" t="s">
        <v>261</v>
      </c>
      <c r="I466" s="361" t="s">
        <v>243</v>
      </c>
      <c r="J466" s="361" t="s">
        <v>1172</v>
      </c>
      <c r="K466" s="361"/>
      <c r="L466" s="361"/>
      <c r="M466" s="361"/>
      <c r="N466" s="361"/>
      <c r="O466" s="374" t="s">
        <v>115</v>
      </c>
      <c r="P466" s="372">
        <v>105168000</v>
      </c>
      <c r="Q466" s="361"/>
      <c r="R466" s="376" t="s">
        <v>115</v>
      </c>
      <c r="S466" s="372">
        <v>48400008</v>
      </c>
      <c r="T466" s="361"/>
      <c r="U466" s="351">
        <v>44394</v>
      </c>
      <c r="V466" s="367">
        <v>44758</v>
      </c>
      <c r="W466" s="361" t="s">
        <v>250</v>
      </c>
      <c r="X466" s="361"/>
      <c r="Y466" s="361"/>
      <c r="Z466" s="361"/>
      <c r="AA466" s="361"/>
      <c r="AB466" s="361"/>
      <c r="AC466" s="159"/>
      <c r="AD466" s="361" t="s">
        <v>1885</v>
      </c>
      <c r="AE466" s="364">
        <v>4500016465</v>
      </c>
      <c r="AF466" s="364"/>
      <c r="AG466" s="361"/>
      <c r="AH466" s="361"/>
      <c r="AI466" s="361"/>
      <c r="AJ466" s="361"/>
      <c r="AK466" s="361"/>
      <c r="AL466" s="361"/>
      <c r="AM466" s="361"/>
      <c r="AN466" s="361"/>
      <c r="AO466" s="361"/>
      <c r="AP466" s="361"/>
      <c r="AQ466" s="361"/>
      <c r="AR466" s="503"/>
      <c r="AS466" s="489"/>
      <c r="AT466" s="160"/>
      <c r="AU466" s="355"/>
    </row>
    <row r="467" spans="1:47" s="124" customFormat="1" ht="21.75" hidden="1" customHeight="1">
      <c r="A467" s="331">
        <v>466</v>
      </c>
      <c r="B467" s="361" t="s">
        <v>1886</v>
      </c>
      <c r="C467" s="361" t="s">
        <v>1858</v>
      </c>
      <c r="D467" s="436" t="s">
        <v>1887</v>
      </c>
      <c r="E467" s="361" t="str">
        <f t="shared" si="7"/>
        <v>LOSS</v>
      </c>
      <c r="F467" s="361"/>
      <c r="G467" s="361"/>
      <c r="H467" s="28" t="s">
        <v>261</v>
      </c>
      <c r="I467" s="361" t="s">
        <v>243</v>
      </c>
      <c r="J467" s="361" t="s">
        <v>1888</v>
      </c>
      <c r="K467" s="361"/>
      <c r="L467" s="361"/>
      <c r="M467" s="361"/>
      <c r="N467" s="361"/>
      <c r="O467" s="362">
        <v>5000000</v>
      </c>
      <c r="P467" s="372">
        <v>108333504</v>
      </c>
      <c r="Q467" s="361"/>
      <c r="R467" s="372">
        <v>2500000</v>
      </c>
      <c r="S467" s="372">
        <v>65280000</v>
      </c>
      <c r="T467" s="361"/>
      <c r="U467" s="351">
        <v>44469</v>
      </c>
      <c r="V467" s="367">
        <v>44833</v>
      </c>
      <c r="W467" s="361" t="s">
        <v>250</v>
      </c>
      <c r="X467" s="361"/>
      <c r="Y467" s="361"/>
      <c r="Z467" s="361"/>
      <c r="AA467" s="361"/>
      <c r="AB467" s="361"/>
      <c r="AC467" s="159"/>
      <c r="AD467" s="368"/>
      <c r="AE467" s="364">
        <v>4500016721</v>
      </c>
      <c r="AF467" s="364"/>
      <c r="AG467" s="361"/>
      <c r="AH467" s="361"/>
      <c r="AI467" s="361"/>
      <c r="AJ467" s="361"/>
      <c r="AK467" s="361"/>
      <c r="AL467" s="361"/>
      <c r="AM467" s="361"/>
      <c r="AN467" s="361"/>
      <c r="AO467" s="361"/>
      <c r="AP467" s="361"/>
      <c r="AQ467" s="361"/>
      <c r="AR467" s="503"/>
      <c r="AS467" s="489"/>
      <c r="AT467" s="160"/>
      <c r="AU467" s="355"/>
    </row>
    <row r="468" spans="1:47" s="124" customFormat="1" ht="21.75" hidden="1" customHeight="1">
      <c r="A468" s="331">
        <v>467</v>
      </c>
      <c r="B468" s="264" t="s">
        <v>450</v>
      </c>
      <c r="C468" s="361" t="s">
        <v>1889</v>
      </c>
      <c r="D468" s="435" t="s">
        <v>689</v>
      </c>
      <c r="E468" s="361" t="str">
        <f t="shared" si="7"/>
        <v>LOSS</v>
      </c>
      <c r="F468" s="361"/>
      <c r="G468" s="361"/>
      <c r="H468" s="361" t="s">
        <v>327</v>
      </c>
      <c r="I468" s="160" t="s">
        <v>346</v>
      </c>
      <c r="J468" s="361" t="s">
        <v>700</v>
      </c>
      <c r="K468" s="365"/>
      <c r="L468" s="361"/>
      <c r="M468" s="361"/>
      <c r="N468" s="361"/>
      <c r="O468" s="374" t="s">
        <v>115</v>
      </c>
      <c r="P468" s="372">
        <v>27000000</v>
      </c>
      <c r="Q468" s="361"/>
      <c r="R468" s="376" t="s">
        <v>115</v>
      </c>
      <c r="S468" s="372">
        <v>2500000</v>
      </c>
      <c r="T468" s="361"/>
      <c r="U468" s="351">
        <v>44258</v>
      </c>
      <c r="V468" s="367">
        <v>44622</v>
      </c>
      <c r="W468" s="361" t="s">
        <v>250</v>
      </c>
      <c r="X468" s="361"/>
      <c r="Y468" s="361"/>
      <c r="Z468" s="361"/>
      <c r="AA468" s="361"/>
      <c r="AB468" s="361"/>
      <c r="AC468" s="159"/>
      <c r="AD468" s="372" t="s">
        <v>1890</v>
      </c>
      <c r="AE468" s="364">
        <v>4500018687</v>
      </c>
      <c r="AF468" s="364"/>
      <c r="AG468" s="361"/>
      <c r="AH468" s="365"/>
      <c r="AI468" s="361"/>
      <c r="AJ468" s="361"/>
      <c r="AK468" s="361"/>
      <c r="AL468" s="361"/>
      <c r="AM468" s="361"/>
      <c r="AN468" s="361"/>
      <c r="AO468" s="361"/>
      <c r="AP468" s="361"/>
      <c r="AQ468" s="361"/>
      <c r="AR468" s="503"/>
      <c r="AS468" s="489"/>
      <c r="AT468" s="160"/>
      <c r="AU468" s="355"/>
    </row>
    <row r="469" spans="1:47" s="124" customFormat="1" ht="21.75" hidden="1" customHeight="1">
      <c r="A469" s="331">
        <v>468</v>
      </c>
      <c r="B469" s="361" t="s">
        <v>1891</v>
      </c>
      <c r="C469" s="361" t="s">
        <v>887</v>
      </c>
      <c r="D469" s="436" t="s">
        <v>1892</v>
      </c>
      <c r="E469" s="361" t="str">
        <f t="shared" si="7"/>
        <v>LOSS</v>
      </c>
      <c r="F469" s="361"/>
      <c r="G469" s="361"/>
      <c r="H469" s="361" t="s">
        <v>327</v>
      </c>
      <c r="I469" s="361" t="s">
        <v>242</v>
      </c>
      <c r="J469" s="361" t="s">
        <v>1893</v>
      </c>
      <c r="K469" s="365"/>
      <c r="L469" s="361"/>
      <c r="M469" s="361"/>
      <c r="N469" s="361"/>
      <c r="O469" s="374" t="s">
        <v>115</v>
      </c>
      <c r="P469" s="372">
        <v>33000000</v>
      </c>
      <c r="Q469" s="361"/>
      <c r="R469" s="376" t="s">
        <v>115</v>
      </c>
      <c r="S469" s="372">
        <v>9000000</v>
      </c>
      <c r="T469" s="361"/>
      <c r="U469" s="351">
        <v>44491</v>
      </c>
      <c r="V469" s="367">
        <v>44855</v>
      </c>
      <c r="W469" s="361" t="s">
        <v>250</v>
      </c>
      <c r="X469" s="361"/>
      <c r="Y469" s="361"/>
      <c r="Z469" s="361"/>
      <c r="AA469" s="361"/>
      <c r="AB469" s="361"/>
      <c r="AC469" s="159"/>
      <c r="AD469" s="372" t="s">
        <v>1894</v>
      </c>
      <c r="AE469" s="364">
        <v>4500018133</v>
      </c>
      <c r="AF469" s="364"/>
      <c r="AG469" s="361"/>
      <c r="AH469" s="365"/>
      <c r="AI469" s="361"/>
      <c r="AJ469" s="361"/>
      <c r="AK469" s="361"/>
      <c r="AL469" s="361"/>
      <c r="AM469" s="361"/>
      <c r="AN469" s="361"/>
      <c r="AO469" s="361"/>
      <c r="AP469" s="361"/>
      <c r="AQ469" s="361"/>
      <c r="AR469" s="503"/>
      <c r="AS469" s="489"/>
      <c r="AT469" s="160"/>
      <c r="AU469" s="355"/>
    </row>
    <row r="470" spans="1:47" s="124" customFormat="1" ht="21.75" hidden="1" customHeight="1">
      <c r="A470" s="331">
        <v>469</v>
      </c>
      <c r="B470" s="361" t="s">
        <v>450</v>
      </c>
      <c r="C470" s="361" t="s">
        <v>1895</v>
      </c>
      <c r="D470" s="435" t="s">
        <v>689</v>
      </c>
      <c r="E470" s="361" t="str">
        <f t="shared" si="7"/>
        <v>LOSS</v>
      </c>
      <c r="F470" s="361"/>
      <c r="G470" s="361"/>
      <c r="H470" s="28" t="s">
        <v>261</v>
      </c>
      <c r="I470" s="361" t="s">
        <v>243</v>
      </c>
      <c r="J470" s="361" t="s">
        <v>1896</v>
      </c>
      <c r="K470" s="361"/>
      <c r="L470" s="361"/>
      <c r="M470" s="361"/>
      <c r="N470" s="361"/>
      <c r="O470" s="374" t="s">
        <v>115</v>
      </c>
      <c r="P470" s="372">
        <v>66000000</v>
      </c>
      <c r="Q470" s="361"/>
      <c r="R470" s="376" t="s">
        <v>115</v>
      </c>
      <c r="S470" s="372">
        <v>30000000</v>
      </c>
      <c r="T470" s="361"/>
      <c r="U470" s="351">
        <v>44197</v>
      </c>
      <c r="V470" s="367">
        <v>44316</v>
      </c>
      <c r="W470" s="361" t="s">
        <v>250</v>
      </c>
      <c r="X470" s="361"/>
      <c r="Y470" s="361"/>
      <c r="Z470" s="361"/>
      <c r="AA470" s="361"/>
      <c r="AB470" s="361"/>
      <c r="AC470" s="159"/>
      <c r="AD470" s="372" t="s">
        <v>1897</v>
      </c>
      <c r="AE470" s="364">
        <v>4500018686</v>
      </c>
      <c r="AF470" s="364"/>
      <c r="AG470" s="361"/>
      <c r="AH470" s="361"/>
      <c r="AI470" s="361"/>
      <c r="AJ470" s="361"/>
      <c r="AK470" s="361"/>
      <c r="AL470" s="361"/>
      <c r="AM470" s="361"/>
      <c r="AN470" s="361"/>
      <c r="AO470" s="361"/>
      <c r="AP470" s="361"/>
      <c r="AQ470" s="361"/>
      <c r="AR470" s="503"/>
      <c r="AS470" s="489"/>
      <c r="AT470" s="160"/>
      <c r="AU470" s="355"/>
    </row>
    <row r="471" spans="1:47" s="124" customFormat="1" ht="21.75" hidden="1" customHeight="1">
      <c r="A471" s="331">
        <v>470</v>
      </c>
      <c r="B471" s="361" t="s">
        <v>1396</v>
      </c>
      <c r="C471" s="361" t="s">
        <v>1898</v>
      </c>
      <c r="D471" s="436" t="s">
        <v>1833</v>
      </c>
      <c r="E471" s="361" t="str">
        <f t="shared" si="7"/>
        <v>LOSS</v>
      </c>
      <c r="F471" s="361"/>
      <c r="G471" s="361"/>
      <c r="H471" s="361" t="s">
        <v>327</v>
      </c>
      <c r="I471" s="160" t="s">
        <v>346</v>
      </c>
      <c r="J471" s="361" t="s">
        <v>1899</v>
      </c>
      <c r="K471" s="365"/>
      <c r="L471" s="361"/>
      <c r="M471" s="361"/>
      <c r="N471" s="361"/>
      <c r="O471" s="369" t="s">
        <v>115</v>
      </c>
      <c r="P471" s="372">
        <v>156000000</v>
      </c>
      <c r="Q471" s="361"/>
      <c r="R471" s="375" t="s">
        <v>115</v>
      </c>
      <c r="S471" s="372">
        <v>6000000</v>
      </c>
      <c r="T471" s="361"/>
      <c r="U471" s="351">
        <v>44855</v>
      </c>
      <c r="V471" s="367">
        <v>45219</v>
      </c>
      <c r="W471" s="361" t="s">
        <v>250</v>
      </c>
      <c r="X471" s="361"/>
      <c r="Y471" s="361"/>
      <c r="Z471" s="361"/>
      <c r="AA471" s="361"/>
      <c r="AB471" s="361"/>
      <c r="AC471" s="159"/>
      <c r="AD471" s="377" t="s">
        <v>1900</v>
      </c>
      <c r="AE471" s="364">
        <v>4500018642</v>
      </c>
      <c r="AF471" s="364"/>
      <c r="AG471" s="361"/>
      <c r="AH471" s="365"/>
      <c r="AI471" s="361"/>
      <c r="AJ471" s="361"/>
      <c r="AK471" s="361"/>
      <c r="AL471" s="361"/>
      <c r="AM471" s="361"/>
      <c r="AN471" s="361"/>
      <c r="AO471" s="361"/>
      <c r="AP471" s="361"/>
      <c r="AQ471" s="361"/>
      <c r="AR471" s="503"/>
      <c r="AS471" s="489"/>
      <c r="AT471" s="160"/>
      <c r="AU471" s="355"/>
    </row>
    <row r="472" spans="1:47" s="124" customFormat="1" ht="21.75" hidden="1" customHeight="1">
      <c r="A472" s="331">
        <v>471</v>
      </c>
      <c r="B472" s="361" t="s">
        <v>1659</v>
      </c>
      <c r="C472" s="361" t="s">
        <v>1901</v>
      </c>
      <c r="D472" s="435" t="s">
        <v>1902</v>
      </c>
      <c r="E472" s="361" t="str">
        <f t="shared" si="7"/>
        <v>LOSS</v>
      </c>
      <c r="F472" s="361"/>
      <c r="G472" s="361"/>
      <c r="H472" s="28" t="s">
        <v>261</v>
      </c>
      <c r="I472" s="361" t="s">
        <v>243</v>
      </c>
      <c r="J472" s="361" t="s">
        <v>1903</v>
      </c>
      <c r="K472" s="361"/>
      <c r="L472" s="361"/>
      <c r="M472" s="361"/>
      <c r="N472" s="361"/>
      <c r="O472" s="374" t="s">
        <v>115</v>
      </c>
      <c r="P472" s="372">
        <v>172200000</v>
      </c>
      <c r="Q472" s="361"/>
      <c r="R472" s="376" t="s">
        <v>115</v>
      </c>
      <c r="S472" s="372">
        <v>132600000</v>
      </c>
      <c r="T472" s="361"/>
      <c r="U472" s="351">
        <v>44864</v>
      </c>
      <c r="V472" s="367">
        <v>45228</v>
      </c>
      <c r="W472" s="361" t="s">
        <v>250</v>
      </c>
      <c r="X472" s="361"/>
      <c r="Y472" s="361"/>
      <c r="Z472" s="361"/>
      <c r="AA472" s="361"/>
      <c r="AB472" s="361"/>
      <c r="AC472" s="159"/>
      <c r="AD472" s="377" t="s">
        <v>1904</v>
      </c>
      <c r="AE472" s="364">
        <v>4500018695</v>
      </c>
      <c r="AF472" s="364"/>
      <c r="AG472" s="361"/>
      <c r="AH472" s="361"/>
      <c r="AI472" s="361"/>
      <c r="AJ472" s="361"/>
      <c r="AK472" s="361"/>
      <c r="AL472" s="361"/>
      <c r="AM472" s="361"/>
      <c r="AN472" s="361"/>
      <c r="AO472" s="361"/>
      <c r="AP472" s="361"/>
      <c r="AQ472" s="361"/>
      <c r="AR472" s="503"/>
      <c r="AS472" s="489"/>
      <c r="AT472" s="160"/>
      <c r="AU472" s="355"/>
    </row>
    <row r="473" spans="1:47" s="124" customFormat="1" ht="21.75" hidden="1" customHeight="1">
      <c r="A473" s="331">
        <v>472</v>
      </c>
      <c r="B473" s="361" t="s">
        <v>1905</v>
      </c>
      <c r="C473" s="361" t="s">
        <v>1906</v>
      </c>
      <c r="D473" s="436" t="s">
        <v>1757</v>
      </c>
      <c r="E473" s="361" t="str">
        <f t="shared" si="7"/>
        <v>LOSS</v>
      </c>
      <c r="F473" s="361"/>
      <c r="G473" s="361"/>
      <c r="H473" s="361" t="s">
        <v>327</v>
      </c>
      <c r="I473" s="361" t="s">
        <v>242</v>
      </c>
      <c r="J473" s="361" t="s">
        <v>1907</v>
      </c>
      <c r="K473" s="365"/>
      <c r="L473" s="361"/>
      <c r="M473" s="361"/>
      <c r="N473" s="361"/>
      <c r="O473" s="374" t="s">
        <v>115</v>
      </c>
      <c r="P473" s="376" t="s">
        <v>115</v>
      </c>
      <c r="Q473" s="361"/>
      <c r="R473" s="372">
        <v>3000000</v>
      </c>
      <c r="S473" s="372">
        <v>6000000</v>
      </c>
      <c r="T473" s="361"/>
      <c r="U473" s="351">
        <v>44824</v>
      </c>
      <c r="V473" s="367">
        <v>45188</v>
      </c>
      <c r="W473" s="361" t="s">
        <v>250</v>
      </c>
      <c r="X473" s="361"/>
      <c r="Y473" s="361"/>
      <c r="Z473" s="361"/>
      <c r="AA473" s="361"/>
      <c r="AB473" s="361"/>
      <c r="AC473" s="159"/>
      <c r="AD473" s="377" t="s">
        <v>1908</v>
      </c>
      <c r="AE473" s="364">
        <v>4500018745</v>
      </c>
      <c r="AF473" s="364"/>
      <c r="AG473" s="361"/>
      <c r="AH473" s="365"/>
      <c r="AI473" s="361"/>
      <c r="AJ473" s="361"/>
      <c r="AK473" s="361"/>
      <c r="AL473" s="361"/>
      <c r="AM473" s="361"/>
      <c r="AN473" s="361"/>
      <c r="AO473" s="361"/>
      <c r="AP473" s="361"/>
      <c r="AQ473" s="361"/>
      <c r="AR473" s="503"/>
      <c r="AS473" s="489"/>
      <c r="AT473" s="160"/>
      <c r="AU473" s="355"/>
    </row>
    <row r="474" spans="1:47" s="124" customFormat="1" ht="21.75" hidden="1" customHeight="1">
      <c r="A474" s="331">
        <v>473</v>
      </c>
      <c r="B474" s="28" t="s">
        <v>1909</v>
      </c>
      <c r="C474" s="361" t="s">
        <v>1910</v>
      </c>
      <c r="D474" s="435" t="s">
        <v>1911</v>
      </c>
      <c r="E474" s="361" t="str">
        <f t="shared" si="7"/>
        <v>LOSS</v>
      </c>
      <c r="F474" s="361"/>
      <c r="G474" s="361"/>
      <c r="H474" s="28" t="s">
        <v>261</v>
      </c>
      <c r="I474" s="361" t="s">
        <v>243</v>
      </c>
      <c r="J474" s="361" t="s">
        <v>1912</v>
      </c>
      <c r="K474" s="361"/>
      <c r="L474" s="361"/>
      <c r="M474" s="361"/>
      <c r="N474" s="361"/>
      <c r="O474" s="362">
        <v>7318182</v>
      </c>
      <c r="P474" s="372">
        <v>135818184</v>
      </c>
      <c r="Q474" s="361"/>
      <c r="R474" s="372">
        <v>5000000</v>
      </c>
      <c r="S474" s="372">
        <v>90000000</v>
      </c>
      <c r="T474" s="361"/>
      <c r="U474" s="351">
        <v>44791</v>
      </c>
      <c r="V474" s="367">
        <v>45155</v>
      </c>
      <c r="W474" s="361" t="s">
        <v>250</v>
      </c>
      <c r="X474" s="361"/>
      <c r="Y474" s="361"/>
      <c r="Z474" s="361"/>
      <c r="AA474" s="361"/>
      <c r="AB474" s="361"/>
      <c r="AC474" s="159"/>
      <c r="AD474" s="377" t="s">
        <v>1913</v>
      </c>
      <c r="AE474" s="364">
        <v>4500018499</v>
      </c>
      <c r="AF474" s="364"/>
      <c r="AG474" s="361"/>
      <c r="AH474" s="361"/>
      <c r="AI474" s="361"/>
      <c r="AJ474" s="361"/>
      <c r="AK474" s="361"/>
      <c r="AL474" s="361"/>
      <c r="AM474" s="361"/>
      <c r="AN474" s="361"/>
      <c r="AO474" s="361"/>
      <c r="AP474" s="361"/>
      <c r="AQ474" s="361"/>
      <c r="AR474" s="503"/>
      <c r="AS474" s="489"/>
      <c r="AT474" s="160"/>
      <c r="AU474" s="355"/>
    </row>
    <row r="475" spans="1:47" s="124" customFormat="1" ht="21.75" hidden="1" customHeight="1">
      <c r="A475" s="331">
        <v>474</v>
      </c>
      <c r="B475" s="361" t="s">
        <v>1914</v>
      </c>
      <c r="C475" s="361" t="s">
        <v>1915</v>
      </c>
      <c r="D475" s="436" t="s">
        <v>1916</v>
      </c>
      <c r="E475" s="361" t="str">
        <f t="shared" si="7"/>
        <v>LOSS</v>
      </c>
      <c r="F475" s="361"/>
      <c r="G475" s="361"/>
      <c r="H475" s="361" t="s">
        <v>327</v>
      </c>
      <c r="I475" s="160" t="s">
        <v>346</v>
      </c>
      <c r="J475" s="361" t="s">
        <v>1917</v>
      </c>
      <c r="K475" s="365"/>
      <c r="L475" s="361"/>
      <c r="M475" s="361"/>
      <c r="N475" s="361"/>
      <c r="O475" s="374" t="s">
        <v>115</v>
      </c>
      <c r="P475" s="372">
        <v>50400000</v>
      </c>
      <c r="Q475" s="361"/>
      <c r="R475" s="376" t="s">
        <v>115</v>
      </c>
      <c r="S475" s="372">
        <v>23691150</v>
      </c>
      <c r="T475" s="361"/>
      <c r="U475" s="351">
        <v>44645</v>
      </c>
      <c r="V475" s="367">
        <v>45009</v>
      </c>
      <c r="W475" s="361" t="s">
        <v>250</v>
      </c>
      <c r="X475" s="361"/>
      <c r="Y475" s="361"/>
      <c r="Z475" s="361"/>
      <c r="AA475" s="361"/>
      <c r="AB475" s="361"/>
      <c r="AC475" s="159"/>
      <c r="AD475" s="377" t="s">
        <v>1918</v>
      </c>
      <c r="AE475" s="364">
        <v>4500017899</v>
      </c>
      <c r="AF475" s="364"/>
      <c r="AG475" s="361"/>
      <c r="AH475" s="365"/>
      <c r="AI475" s="361"/>
      <c r="AJ475" s="361"/>
      <c r="AK475" s="361"/>
      <c r="AL475" s="361"/>
      <c r="AM475" s="361"/>
      <c r="AN475" s="361"/>
      <c r="AO475" s="361"/>
      <c r="AP475" s="361"/>
      <c r="AQ475" s="361"/>
      <c r="AR475" s="503"/>
      <c r="AS475" s="489"/>
      <c r="AT475" s="160"/>
      <c r="AU475" s="355"/>
    </row>
    <row r="476" spans="1:47" s="124" customFormat="1" ht="21.75" hidden="1" customHeight="1">
      <c r="A476" s="331">
        <v>475</v>
      </c>
      <c r="B476" s="361" t="s">
        <v>1905</v>
      </c>
      <c r="C476" s="361" t="s">
        <v>1810</v>
      </c>
      <c r="D476" s="435" t="s">
        <v>1757</v>
      </c>
      <c r="E476" s="361" t="str">
        <f t="shared" si="7"/>
        <v>LOSS</v>
      </c>
      <c r="F476" s="361"/>
      <c r="G476" s="361"/>
      <c r="H476" s="361" t="s">
        <v>327</v>
      </c>
      <c r="I476" s="361" t="s">
        <v>242</v>
      </c>
      <c r="J476" s="361" t="s">
        <v>1919</v>
      </c>
      <c r="K476" s="365"/>
      <c r="L476" s="361"/>
      <c r="M476" s="361"/>
      <c r="N476" s="361"/>
      <c r="O476" s="374" t="s">
        <v>115</v>
      </c>
      <c r="P476" s="372">
        <v>194400000</v>
      </c>
      <c r="Q476" s="361"/>
      <c r="R476" s="376" t="s">
        <v>115</v>
      </c>
      <c r="S476" s="372">
        <v>6600000</v>
      </c>
      <c r="T476" s="361"/>
      <c r="U476" s="351">
        <v>44629</v>
      </c>
      <c r="V476" s="367">
        <v>44993</v>
      </c>
      <c r="W476" s="361" t="s">
        <v>250</v>
      </c>
      <c r="X476" s="361"/>
      <c r="Y476" s="361"/>
      <c r="Z476" s="361"/>
      <c r="AA476" s="361"/>
      <c r="AB476" s="361"/>
      <c r="AC476" s="159"/>
      <c r="AD476" s="377" t="s">
        <v>1920</v>
      </c>
      <c r="AE476" s="364">
        <v>4500018102</v>
      </c>
      <c r="AF476" s="364"/>
      <c r="AG476" s="361"/>
      <c r="AH476" s="365"/>
      <c r="AI476" s="361"/>
      <c r="AJ476" s="361"/>
      <c r="AK476" s="361"/>
      <c r="AL476" s="361"/>
      <c r="AM476" s="361"/>
      <c r="AN476" s="361"/>
      <c r="AO476" s="361"/>
      <c r="AP476" s="361"/>
      <c r="AQ476" s="361"/>
      <c r="AR476" s="503"/>
      <c r="AS476" s="489"/>
      <c r="AT476" s="160"/>
      <c r="AU476" s="355"/>
    </row>
    <row r="477" spans="1:47" s="124" customFormat="1" ht="21.75" hidden="1" customHeight="1">
      <c r="A477" s="331">
        <v>476</v>
      </c>
      <c r="B477" s="361" t="s">
        <v>37</v>
      </c>
      <c r="C477" s="361" t="s">
        <v>1770</v>
      </c>
      <c r="D477" s="436" t="s">
        <v>1771</v>
      </c>
      <c r="E477" s="361" t="str">
        <f t="shared" si="7"/>
        <v>LOSS</v>
      </c>
      <c r="F477" s="29"/>
      <c r="G477" s="28"/>
      <c r="H477" s="361" t="s">
        <v>327</v>
      </c>
      <c r="I477" s="361" t="s">
        <v>242</v>
      </c>
      <c r="J477" s="361" t="s">
        <v>1921</v>
      </c>
      <c r="K477" s="28"/>
      <c r="L477" s="27"/>
      <c r="M477" s="27"/>
      <c r="N477" s="29"/>
      <c r="O477" s="196"/>
      <c r="P477" s="165">
        <f>14000000*12</f>
        <v>168000000</v>
      </c>
      <c r="Q477" s="31"/>
      <c r="R477" s="48"/>
      <c r="S477" s="166">
        <f>63000000/3</f>
        <v>21000000</v>
      </c>
      <c r="T477" s="27"/>
      <c r="U477" s="373">
        <v>44673</v>
      </c>
      <c r="V477" s="367">
        <v>45768</v>
      </c>
      <c r="W477" s="364" t="s">
        <v>250</v>
      </c>
      <c r="X477" s="27"/>
      <c r="Y477" s="34">
        <f ca="1">TODAY()</f>
        <v>46290</v>
      </c>
      <c r="Z477" s="361"/>
      <c r="AA477" s="27">
        <f>MONTH(V477)</f>
        <v>4</v>
      </c>
      <c r="AB477" s="27">
        <f>YEAR(V477)</f>
        <v>2025</v>
      </c>
      <c r="AC477" s="159"/>
      <c r="AD477" s="361" t="s">
        <v>1773</v>
      </c>
      <c r="AE477" s="27" t="s">
        <v>1922</v>
      </c>
      <c r="AF477" s="27" t="s">
        <v>333</v>
      </c>
      <c r="AG477" s="29" t="s">
        <v>1923</v>
      </c>
      <c r="AH477" s="28"/>
      <c r="AI477" s="27"/>
      <c r="AJ477" s="27"/>
      <c r="AK477" s="27"/>
      <c r="AL477" s="27"/>
      <c r="AM477" s="27"/>
      <c r="AN477" s="27"/>
      <c r="AO477" s="27"/>
      <c r="AP477" s="27" t="s">
        <v>1924</v>
      </c>
      <c r="AQ477" s="27"/>
      <c r="AR477" s="504"/>
      <c r="AS477" s="332"/>
      <c r="AT477" s="160"/>
      <c r="AU477" s="355"/>
    </row>
    <row r="478" spans="1:47" s="124" customFormat="1" ht="21.75" hidden="1" customHeight="1">
      <c r="A478" s="331">
        <v>477</v>
      </c>
      <c r="B478" s="361" t="s">
        <v>37</v>
      </c>
      <c r="C478" s="361" t="s">
        <v>1925</v>
      </c>
      <c r="D478" s="435" t="s">
        <v>1771</v>
      </c>
      <c r="E478" s="361" t="str">
        <f t="shared" si="7"/>
        <v>LOSS</v>
      </c>
      <c r="F478" s="361"/>
      <c r="G478" s="361"/>
      <c r="H478" s="28" t="s">
        <v>261</v>
      </c>
      <c r="I478" s="361" t="s">
        <v>243</v>
      </c>
      <c r="J478" s="361" t="s">
        <v>1926</v>
      </c>
      <c r="K478" s="361"/>
      <c r="L478" s="361"/>
      <c r="M478" s="361"/>
      <c r="N478" s="361"/>
      <c r="O478" s="374" t="s">
        <v>115</v>
      </c>
      <c r="P478" s="372">
        <v>238800000</v>
      </c>
      <c r="Q478" s="361"/>
      <c r="R478" s="376" t="s">
        <v>115</v>
      </c>
      <c r="S478" s="372">
        <v>78000000</v>
      </c>
      <c r="T478" s="361"/>
      <c r="U478" s="351">
        <v>44743</v>
      </c>
      <c r="V478" s="367">
        <v>45107</v>
      </c>
      <c r="W478" s="361" t="s">
        <v>250</v>
      </c>
      <c r="X478" s="361"/>
      <c r="Y478" s="361"/>
      <c r="Z478" s="361"/>
      <c r="AA478" s="361"/>
      <c r="AB478" s="361"/>
      <c r="AC478" s="159"/>
      <c r="AD478" s="377" t="s">
        <v>1927</v>
      </c>
      <c r="AE478" s="364">
        <v>4500018180</v>
      </c>
      <c r="AF478" s="364"/>
      <c r="AG478" s="361"/>
      <c r="AH478" s="361"/>
      <c r="AI478" s="361"/>
      <c r="AJ478" s="361"/>
      <c r="AK478" s="361"/>
      <c r="AL478" s="361"/>
      <c r="AM478" s="361"/>
      <c r="AN478" s="361"/>
      <c r="AO478" s="361"/>
      <c r="AP478" s="361"/>
      <c r="AQ478" s="361"/>
      <c r="AR478" s="503"/>
      <c r="AS478" s="489"/>
      <c r="AT478" s="160"/>
      <c r="AU478" s="355"/>
    </row>
    <row r="479" spans="1:47" s="124" customFormat="1" ht="21.75" hidden="1" customHeight="1">
      <c r="A479" s="331">
        <v>478</v>
      </c>
      <c r="B479" s="361" t="s">
        <v>1043</v>
      </c>
      <c r="C479" s="361" t="s">
        <v>1928</v>
      </c>
      <c r="D479" s="436" t="s">
        <v>1808</v>
      </c>
      <c r="E479" s="361" t="str">
        <f t="shared" si="7"/>
        <v>LOSS</v>
      </c>
      <c r="F479" s="361"/>
      <c r="G479" s="361"/>
      <c r="H479" s="28" t="s">
        <v>261</v>
      </c>
      <c r="I479" s="361" t="s">
        <v>243</v>
      </c>
      <c r="J479" s="361" t="s">
        <v>1929</v>
      </c>
      <c r="K479" s="361"/>
      <c r="L479" s="361"/>
      <c r="M479" s="361"/>
      <c r="N479" s="361"/>
      <c r="O479" s="374" t="s">
        <v>115</v>
      </c>
      <c r="P479" s="372">
        <v>112745460</v>
      </c>
      <c r="Q479" s="361"/>
      <c r="R479" s="376" t="s">
        <v>115</v>
      </c>
      <c r="S479" s="372">
        <v>104400000</v>
      </c>
      <c r="T479" s="361"/>
      <c r="U479" s="351">
        <v>44743</v>
      </c>
      <c r="V479" s="367">
        <v>45107</v>
      </c>
      <c r="W479" s="361" t="s">
        <v>250</v>
      </c>
      <c r="X479" s="361"/>
      <c r="Y479" s="361"/>
      <c r="Z479" s="361"/>
      <c r="AA479" s="361"/>
      <c r="AB479" s="361"/>
      <c r="AC479" s="159"/>
      <c r="AD479" s="377" t="s">
        <v>1930</v>
      </c>
      <c r="AE479" s="364">
        <v>4500018114</v>
      </c>
      <c r="AF479" s="364"/>
      <c r="AG479" s="361"/>
      <c r="AH479" s="361"/>
      <c r="AI479" s="361"/>
      <c r="AJ479" s="361"/>
      <c r="AK479" s="361"/>
      <c r="AL479" s="361"/>
      <c r="AM479" s="361"/>
      <c r="AN479" s="361"/>
      <c r="AO479" s="361"/>
      <c r="AP479" s="361"/>
      <c r="AQ479" s="361"/>
      <c r="AR479" s="503"/>
      <c r="AS479" s="489"/>
      <c r="AT479" s="160"/>
      <c r="AU479" s="355"/>
    </row>
    <row r="480" spans="1:47" s="124" customFormat="1" ht="21.75" hidden="1" customHeight="1">
      <c r="A480" s="331">
        <v>479</v>
      </c>
      <c r="B480" s="28" t="s">
        <v>69</v>
      </c>
      <c r="C480" s="361" t="s">
        <v>1931</v>
      </c>
      <c r="D480" s="435" t="s">
        <v>1932</v>
      </c>
      <c r="E480" s="361" t="str">
        <f t="shared" si="7"/>
        <v>LOSS</v>
      </c>
      <c r="F480" s="361"/>
      <c r="G480" s="361"/>
      <c r="H480" s="28" t="s">
        <v>261</v>
      </c>
      <c r="I480" s="361" t="s">
        <v>243</v>
      </c>
      <c r="J480" s="361" t="s">
        <v>1933</v>
      </c>
      <c r="K480" s="361"/>
      <c r="L480" s="361"/>
      <c r="M480" s="361"/>
      <c r="N480" s="361"/>
      <c r="O480" s="374" t="s">
        <v>115</v>
      </c>
      <c r="P480" s="372">
        <v>420000000</v>
      </c>
      <c r="Q480" s="361"/>
      <c r="R480" s="376" t="s">
        <v>115</v>
      </c>
      <c r="S480" s="372">
        <v>150000000</v>
      </c>
      <c r="T480" s="361"/>
      <c r="U480" s="351">
        <v>44728</v>
      </c>
      <c r="V480" s="367">
        <v>45092</v>
      </c>
      <c r="W480" s="361" t="s">
        <v>250</v>
      </c>
      <c r="X480" s="361"/>
      <c r="Y480" s="361"/>
      <c r="Z480" s="361"/>
      <c r="AA480" s="361"/>
      <c r="AB480" s="361"/>
      <c r="AC480" s="159"/>
      <c r="AD480" s="377" t="s">
        <v>1934</v>
      </c>
      <c r="AE480" s="364">
        <v>4500018129</v>
      </c>
      <c r="AF480" s="364"/>
      <c r="AG480" s="361"/>
      <c r="AH480" s="361"/>
      <c r="AI480" s="361"/>
      <c r="AJ480" s="361"/>
      <c r="AK480" s="361"/>
      <c r="AL480" s="361"/>
      <c r="AM480" s="361"/>
      <c r="AN480" s="361"/>
      <c r="AO480" s="361"/>
      <c r="AP480" s="361"/>
      <c r="AQ480" s="361"/>
      <c r="AR480" s="503"/>
      <c r="AS480" s="489"/>
      <c r="AT480" s="160"/>
      <c r="AU480" s="355"/>
    </row>
    <row r="481" spans="1:47" s="124" customFormat="1" ht="21.75" hidden="1" customHeight="1">
      <c r="A481" s="331">
        <v>480</v>
      </c>
      <c r="B481" s="361" t="s">
        <v>348</v>
      </c>
      <c r="C481" s="361" t="s">
        <v>1935</v>
      </c>
      <c r="D481" s="436" t="s">
        <v>1843</v>
      </c>
      <c r="E481" s="361" t="str">
        <f t="shared" si="7"/>
        <v>LOSS</v>
      </c>
      <c r="F481" s="361"/>
      <c r="G481" s="361"/>
      <c r="H481" s="361" t="s">
        <v>327</v>
      </c>
      <c r="I481" s="361" t="s">
        <v>242</v>
      </c>
      <c r="J481" s="361" t="s">
        <v>1936</v>
      </c>
      <c r="K481" s="365"/>
      <c r="L481" s="361"/>
      <c r="M481" s="361"/>
      <c r="N481" s="361"/>
      <c r="O481" s="362">
        <v>2500000</v>
      </c>
      <c r="P481" s="372">
        <v>33000000</v>
      </c>
      <c r="Q481" s="361"/>
      <c r="R481" s="372">
        <v>1500000</v>
      </c>
      <c r="S481" s="372">
        <v>184799232</v>
      </c>
      <c r="T481" s="361"/>
      <c r="U481" s="351">
        <v>44792</v>
      </c>
      <c r="V481" s="367">
        <v>45156</v>
      </c>
      <c r="W481" s="361" t="s">
        <v>250</v>
      </c>
      <c r="X481" s="361"/>
      <c r="Y481" s="361"/>
      <c r="Z481" s="361"/>
      <c r="AA481" s="361"/>
      <c r="AB481" s="361"/>
      <c r="AC481" s="159"/>
      <c r="AD481" s="377" t="s">
        <v>1937</v>
      </c>
      <c r="AE481" s="364">
        <v>4500018167</v>
      </c>
      <c r="AF481" s="364"/>
      <c r="AG481" s="361"/>
      <c r="AH481" s="365"/>
      <c r="AI481" s="361"/>
      <c r="AJ481" s="361"/>
      <c r="AK481" s="361"/>
      <c r="AL481" s="361"/>
      <c r="AM481" s="361"/>
      <c r="AN481" s="361"/>
      <c r="AO481" s="361"/>
      <c r="AP481" s="361"/>
      <c r="AQ481" s="361"/>
      <c r="AR481" s="503"/>
      <c r="AS481" s="489"/>
      <c r="AT481" s="160"/>
      <c r="AU481" s="355"/>
    </row>
    <row r="482" spans="1:47" s="124" customFormat="1" ht="21.75" hidden="1" customHeight="1">
      <c r="A482" s="331">
        <v>481</v>
      </c>
      <c r="B482" s="361" t="s">
        <v>1462</v>
      </c>
      <c r="C482" s="361" t="s">
        <v>1938</v>
      </c>
      <c r="D482" s="435" t="s">
        <v>1939</v>
      </c>
      <c r="E482" s="361" t="str">
        <f t="shared" si="7"/>
        <v>LOSS</v>
      </c>
      <c r="F482" s="361"/>
      <c r="G482" s="361"/>
      <c r="H482" s="28" t="s">
        <v>261</v>
      </c>
      <c r="I482" s="361" t="s">
        <v>243</v>
      </c>
      <c r="J482" s="361" t="s">
        <v>1940</v>
      </c>
      <c r="K482" s="361"/>
      <c r="L482" s="361"/>
      <c r="M482" s="361"/>
      <c r="N482" s="361"/>
      <c r="O482" s="374" t="s">
        <v>115</v>
      </c>
      <c r="P482" s="372">
        <v>180000000</v>
      </c>
      <c r="Q482" s="361"/>
      <c r="R482" s="376" t="s">
        <v>115</v>
      </c>
      <c r="S482" s="372">
        <v>96000000</v>
      </c>
      <c r="T482" s="361"/>
      <c r="U482" s="351">
        <v>44734</v>
      </c>
      <c r="V482" s="367">
        <v>45098</v>
      </c>
      <c r="W482" s="361" t="s">
        <v>250</v>
      </c>
      <c r="X482" s="361"/>
      <c r="Y482" s="361"/>
      <c r="Z482" s="361"/>
      <c r="AA482" s="361"/>
      <c r="AB482" s="361"/>
      <c r="AC482" s="159"/>
      <c r="AD482" s="377" t="s">
        <v>1941</v>
      </c>
      <c r="AE482" s="364">
        <v>4500018131</v>
      </c>
      <c r="AF482" s="364"/>
      <c r="AG482" s="361"/>
      <c r="AH482" s="361"/>
      <c r="AI482" s="361"/>
      <c r="AJ482" s="361"/>
      <c r="AK482" s="361"/>
      <c r="AL482" s="361"/>
      <c r="AM482" s="361"/>
      <c r="AN482" s="361"/>
      <c r="AO482" s="361"/>
      <c r="AP482" s="361"/>
      <c r="AQ482" s="361"/>
      <c r="AR482" s="503"/>
      <c r="AS482" s="489"/>
      <c r="AT482" s="160"/>
      <c r="AU482" s="355"/>
    </row>
    <row r="483" spans="1:47" s="124" customFormat="1" ht="21.75" hidden="1" customHeight="1">
      <c r="A483" s="331">
        <v>482</v>
      </c>
      <c r="B483" s="361" t="s">
        <v>1942</v>
      </c>
      <c r="C483" s="361" t="s">
        <v>1943</v>
      </c>
      <c r="D483" s="436" t="s">
        <v>1944</v>
      </c>
      <c r="E483" s="361" t="str">
        <f t="shared" si="7"/>
        <v>LOSS</v>
      </c>
      <c r="F483" s="361"/>
      <c r="G483" s="361"/>
      <c r="H483" s="361" t="s">
        <v>327</v>
      </c>
      <c r="I483" s="160" t="s">
        <v>346</v>
      </c>
      <c r="J483" s="361" t="s">
        <v>1945</v>
      </c>
      <c r="K483" s="365"/>
      <c r="L483" s="361"/>
      <c r="M483" s="361"/>
      <c r="N483" s="361"/>
      <c r="O483" s="362">
        <v>3500000</v>
      </c>
      <c r="P483" s="372">
        <v>85500000</v>
      </c>
      <c r="Q483" s="361"/>
      <c r="R483" s="376" t="s">
        <v>115</v>
      </c>
      <c r="S483" s="372">
        <v>7000000</v>
      </c>
      <c r="T483" s="361"/>
      <c r="U483" s="351">
        <v>44713</v>
      </c>
      <c r="V483" s="367">
        <v>45077</v>
      </c>
      <c r="W483" s="361" t="s">
        <v>250</v>
      </c>
      <c r="X483" s="361"/>
      <c r="Y483" s="361"/>
      <c r="Z483" s="361"/>
      <c r="AA483" s="361"/>
      <c r="AB483" s="361"/>
      <c r="AC483" s="159"/>
      <c r="AD483" s="377" t="s">
        <v>1946</v>
      </c>
      <c r="AE483" s="364">
        <v>4500018193</v>
      </c>
      <c r="AF483" s="364"/>
      <c r="AG483" s="361"/>
      <c r="AH483" s="365"/>
      <c r="AI483" s="361"/>
      <c r="AJ483" s="361"/>
      <c r="AK483" s="361"/>
      <c r="AL483" s="361"/>
      <c r="AM483" s="361"/>
      <c r="AN483" s="361"/>
      <c r="AO483" s="361"/>
      <c r="AP483" s="361"/>
      <c r="AQ483" s="361"/>
      <c r="AR483" s="503"/>
      <c r="AS483" s="489"/>
      <c r="AT483" s="160"/>
      <c r="AU483" s="355"/>
    </row>
    <row r="484" spans="1:47" s="124" customFormat="1" ht="21.75" hidden="1" customHeight="1">
      <c r="A484" s="331">
        <v>483</v>
      </c>
      <c r="B484" s="361" t="s">
        <v>1891</v>
      </c>
      <c r="C484" s="361" t="s">
        <v>1947</v>
      </c>
      <c r="D484" s="435" t="s">
        <v>1948</v>
      </c>
      <c r="E484" s="361" t="str">
        <f t="shared" si="7"/>
        <v>LOSS</v>
      </c>
      <c r="F484" s="361"/>
      <c r="G484" s="361"/>
      <c r="H484" s="28" t="s">
        <v>261</v>
      </c>
      <c r="I484" s="361" t="s">
        <v>243</v>
      </c>
      <c r="J484" s="361" t="s">
        <v>1323</v>
      </c>
      <c r="K484" s="361"/>
      <c r="L484" s="361"/>
      <c r="M484" s="361"/>
      <c r="N484" s="361"/>
      <c r="O484" s="374" t="s">
        <v>115</v>
      </c>
      <c r="P484" s="372">
        <v>72000000</v>
      </c>
      <c r="Q484" s="361"/>
      <c r="R484" s="376" t="s">
        <v>115</v>
      </c>
      <c r="S484" s="372">
        <v>36000000</v>
      </c>
      <c r="T484" s="361"/>
      <c r="U484" s="351">
        <v>44743</v>
      </c>
      <c r="V484" s="367">
        <v>45107</v>
      </c>
      <c r="W484" s="361" t="s">
        <v>250</v>
      </c>
      <c r="X484" s="361"/>
      <c r="Y484" s="361"/>
      <c r="Z484" s="361"/>
      <c r="AA484" s="361"/>
      <c r="AB484" s="361"/>
      <c r="AC484" s="159"/>
      <c r="AD484" s="377" t="s">
        <v>1949</v>
      </c>
      <c r="AE484" s="364">
        <v>4500018213</v>
      </c>
      <c r="AF484" s="364"/>
      <c r="AG484" s="361"/>
      <c r="AH484" s="361"/>
      <c r="AI484" s="361"/>
      <c r="AJ484" s="361"/>
      <c r="AK484" s="361"/>
      <c r="AL484" s="361"/>
      <c r="AM484" s="361"/>
      <c r="AN484" s="361"/>
      <c r="AO484" s="361"/>
      <c r="AP484" s="361"/>
      <c r="AQ484" s="361"/>
      <c r="AR484" s="503"/>
      <c r="AS484" s="489"/>
      <c r="AT484" s="160"/>
      <c r="AU484" s="355"/>
    </row>
    <row r="485" spans="1:47" s="124" customFormat="1" ht="21.75" hidden="1" customHeight="1">
      <c r="A485" s="331">
        <v>484</v>
      </c>
      <c r="B485" s="361" t="s">
        <v>1886</v>
      </c>
      <c r="C485" s="361" t="s">
        <v>1950</v>
      </c>
      <c r="D485" s="436" t="s">
        <v>1951</v>
      </c>
      <c r="E485" s="361" t="str">
        <f t="shared" si="7"/>
        <v>LOSS</v>
      </c>
      <c r="F485" s="361"/>
      <c r="G485" s="361"/>
      <c r="H485" s="28" t="s">
        <v>261</v>
      </c>
      <c r="I485" s="361" t="s">
        <v>243</v>
      </c>
      <c r="J485" s="361" t="s">
        <v>1952</v>
      </c>
      <c r="K485" s="361"/>
      <c r="L485" s="361"/>
      <c r="M485" s="361"/>
      <c r="N485" s="361"/>
      <c r="O485" s="362">
        <v>2000000</v>
      </c>
      <c r="P485" s="372">
        <v>25200000</v>
      </c>
      <c r="Q485" s="361"/>
      <c r="R485" s="372">
        <v>4000000</v>
      </c>
      <c r="S485" s="372">
        <v>43920000</v>
      </c>
      <c r="T485" s="361"/>
      <c r="U485" s="351">
        <v>44720</v>
      </c>
      <c r="V485" s="367">
        <v>45084</v>
      </c>
      <c r="W485" s="361" t="s">
        <v>250</v>
      </c>
      <c r="X485" s="361"/>
      <c r="Y485" s="361"/>
      <c r="Z485" s="361"/>
      <c r="AA485" s="361"/>
      <c r="AB485" s="361"/>
      <c r="AC485" s="159"/>
      <c r="AD485" s="377" t="s">
        <v>1953</v>
      </c>
      <c r="AE485" s="364">
        <v>4500018165</v>
      </c>
      <c r="AF485" s="364"/>
      <c r="AG485" s="361"/>
      <c r="AH485" s="361"/>
      <c r="AI485" s="361"/>
      <c r="AJ485" s="361"/>
      <c r="AK485" s="361"/>
      <c r="AL485" s="361"/>
      <c r="AM485" s="361"/>
      <c r="AN485" s="361"/>
      <c r="AO485" s="361"/>
      <c r="AP485" s="361"/>
      <c r="AQ485" s="361"/>
      <c r="AR485" s="503"/>
      <c r="AS485" s="489"/>
      <c r="AT485" s="160"/>
      <c r="AU485" s="355"/>
    </row>
    <row r="486" spans="1:47" s="124" customFormat="1" ht="21.75" hidden="1" customHeight="1">
      <c r="A486" s="331">
        <v>485</v>
      </c>
      <c r="B486" s="28" t="s">
        <v>129</v>
      </c>
      <c r="C486" s="361" t="s">
        <v>1954</v>
      </c>
      <c r="D486" s="435" t="s">
        <v>1955</v>
      </c>
      <c r="E486" s="361" t="str">
        <f t="shared" si="7"/>
        <v>LOSS</v>
      </c>
      <c r="F486" s="361"/>
      <c r="G486" s="361"/>
      <c r="H486" s="361" t="s">
        <v>327</v>
      </c>
      <c r="I486" s="160" t="s">
        <v>346</v>
      </c>
      <c r="J486" s="361" t="s">
        <v>1956</v>
      </c>
      <c r="K486" s="365"/>
      <c r="L486" s="361"/>
      <c r="M486" s="361"/>
      <c r="N486" s="361"/>
      <c r="O486" s="374" t="s">
        <v>115</v>
      </c>
      <c r="P486" s="372">
        <v>152727276</v>
      </c>
      <c r="Q486" s="361"/>
      <c r="R486" s="376" t="s">
        <v>115</v>
      </c>
      <c r="S486" s="372">
        <v>15769620</v>
      </c>
      <c r="T486" s="361"/>
      <c r="U486" s="351">
        <v>44809</v>
      </c>
      <c r="V486" s="367">
        <v>45173</v>
      </c>
      <c r="W486" s="361" t="s">
        <v>250</v>
      </c>
      <c r="X486" s="361"/>
      <c r="Y486" s="361"/>
      <c r="Z486" s="361"/>
      <c r="AA486" s="361"/>
      <c r="AB486" s="361"/>
      <c r="AC486" s="159"/>
      <c r="AD486" s="377" t="s">
        <v>1957</v>
      </c>
      <c r="AE486" s="364">
        <v>4500019264</v>
      </c>
      <c r="AF486" s="364"/>
      <c r="AG486" s="361"/>
      <c r="AH486" s="365"/>
      <c r="AI486" s="361"/>
      <c r="AJ486" s="361"/>
      <c r="AK486" s="361"/>
      <c r="AL486" s="361"/>
      <c r="AM486" s="361"/>
      <c r="AN486" s="361"/>
      <c r="AO486" s="361"/>
      <c r="AP486" s="361"/>
      <c r="AQ486" s="361"/>
      <c r="AR486" s="503"/>
      <c r="AS486" s="489"/>
      <c r="AT486" s="160"/>
      <c r="AU486" s="355"/>
    </row>
    <row r="487" spans="1:47" s="124" customFormat="1" ht="21.75" hidden="1" customHeight="1">
      <c r="A487" s="331">
        <v>486</v>
      </c>
      <c r="B487" s="28" t="s">
        <v>129</v>
      </c>
      <c r="C487" s="361" t="s">
        <v>1958</v>
      </c>
      <c r="D487" s="436" t="s">
        <v>1955</v>
      </c>
      <c r="E487" s="361" t="str">
        <f t="shared" si="7"/>
        <v>LOSS</v>
      </c>
      <c r="F487" s="361"/>
      <c r="G487" s="361"/>
      <c r="H487" s="361" t="s">
        <v>327</v>
      </c>
      <c r="I487" s="160" t="s">
        <v>346</v>
      </c>
      <c r="J487" s="361" t="s">
        <v>139</v>
      </c>
      <c r="K487" s="365"/>
      <c r="L487" s="361"/>
      <c r="M487" s="361"/>
      <c r="N487" s="361"/>
      <c r="O487" s="374" t="s">
        <v>115</v>
      </c>
      <c r="P487" s="372">
        <v>66000000</v>
      </c>
      <c r="Q487" s="361"/>
      <c r="R487" s="376" t="s">
        <v>115</v>
      </c>
      <c r="S487" s="372">
        <v>543780</v>
      </c>
      <c r="T487" s="361"/>
      <c r="U487" s="351">
        <v>44611</v>
      </c>
      <c r="V487" s="367">
        <v>44975</v>
      </c>
      <c r="W487" s="361" t="s">
        <v>250</v>
      </c>
      <c r="X487" s="361"/>
      <c r="Y487" s="361"/>
      <c r="Z487" s="361"/>
      <c r="AA487" s="361"/>
      <c r="AB487" s="361"/>
      <c r="AC487" s="159"/>
      <c r="AD487" s="377" t="s">
        <v>1959</v>
      </c>
      <c r="AE487" s="364">
        <v>4500019262</v>
      </c>
      <c r="AF487" s="364"/>
      <c r="AG487" s="361"/>
      <c r="AH487" s="365"/>
      <c r="AI487" s="361"/>
      <c r="AJ487" s="361"/>
      <c r="AK487" s="361"/>
      <c r="AL487" s="361"/>
      <c r="AM487" s="361"/>
      <c r="AN487" s="361"/>
      <c r="AO487" s="361"/>
      <c r="AP487" s="361"/>
      <c r="AQ487" s="361"/>
      <c r="AR487" s="503"/>
      <c r="AS487" s="489"/>
      <c r="AT487" s="160"/>
      <c r="AU487" s="355"/>
    </row>
    <row r="488" spans="1:47" s="124" customFormat="1" ht="21.75" hidden="1" customHeight="1">
      <c r="A488" s="331">
        <v>487</v>
      </c>
      <c r="B488" s="28" t="s">
        <v>129</v>
      </c>
      <c r="C488" s="361" t="s">
        <v>1960</v>
      </c>
      <c r="D488" s="435" t="s">
        <v>1955</v>
      </c>
      <c r="E488" s="361" t="str">
        <f t="shared" si="7"/>
        <v>LOSS</v>
      </c>
      <c r="F488" s="361"/>
      <c r="G488" s="361"/>
      <c r="H488" s="361" t="s">
        <v>327</v>
      </c>
      <c r="I488" s="160" t="s">
        <v>346</v>
      </c>
      <c r="J488" s="361" t="s">
        <v>1961</v>
      </c>
      <c r="K488" s="365"/>
      <c r="L488" s="361"/>
      <c r="M488" s="361"/>
      <c r="N488" s="361"/>
      <c r="O488" s="362">
        <v>5000000</v>
      </c>
      <c r="P488" s="372">
        <v>42750000</v>
      </c>
      <c r="Q488" s="361"/>
      <c r="R488" s="376" t="s">
        <v>115</v>
      </c>
      <c r="S488" s="372">
        <v>23926320</v>
      </c>
      <c r="T488" s="361"/>
      <c r="U488" s="351">
        <v>44830</v>
      </c>
      <c r="V488" s="367">
        <v>45194</v>
      </c>
      <c r="W488" s="361" t="s">
        <v>250</v>
      </c>
      <c r="X488" s="361"/>
      <c r="Y488" s="361"/>
      <c r="Z488" s="361"/>
      <c r="AA488" s="361"/>
      <c r="AB488" s="361"/>
      <c r="AC488" s="159"/>
      <c r="AD488" s="377" t="s">
        <v>1962</v>
      </c>
      <c r="AE488" s="364">
        <v>4500019260</v>
      </c>
      <c r="AF488" s="364"/>
      <c r="AG488" s="361"/>
      <c r="AH488" s="365"/>
      <c r="AI488" s="361"/>
      <c r="AJ488" s="361"/>
      <c r="AK488" s="361"/>
      <c r="AL488" s="361"/>
      <c r="AM488" s="361"/>
      <c r="AN488" s="361"/>
      <c r="AO488" s="361"/>
      <c r="AP488" s="361"/>
      <c r="AQ488" s="361"/>
      <c r="AR488" s="503"/>
      <c r="AS488" s="489"/>
      <c r="AT488" s="160"/>
      <c r="AU488" s="355"/>
    </row>
    <row r="489" spans="1:47" s="124" customFormat="1" ht="21.75" hidden="1" customHeight="1">
      <c r="A489" s="331">
        <v>488</v>
      </c>
      <c r="B489" s="361" t="s">
        <v>1519</v>
      </c>
      <c r="C489" s="361" t="s">
        <v>1616</v>
      </c>
      <c r="D489" s="436" t="s">
        <v>1778</v>
      </c>
      <c r="E489" s="361" t="str">
        <f t="shared" si="7"/>
        <v>LOSS</v>
      </c>
      <c r="F489" s="361"/>
      <c r="G489" s="361"/>
      <c r="H489" s="361" t="s">
        <v>327</v>
      </c>
      <c r="I489" s="160" t="s">
        <v>346</v>
      </c>
      <c r="J489" s="361" t="s">
        <v>1963</v>
      </c>
      <c r="K489" s="365"/>
      <c r="L489" s="361"/>
      <c r="M489" s="361"/>
      <c r="N489" s="361"/>
      <c r="O489" s="374" t="s">
        <v>115</v>
      </c>
      <c r="P489" s="372">
        <v>98400000</v>
      </c>
      <c r="Q489" s="361"/>
      <c r="R489" s="376" t="s">
        <v>115</v>
      </c>
      <c r="S489" s="372">
        <v>18000000</v>
      </c>
      <c r="T489" s="361"/>
      <c r="U489" s="351">
        <v>44877</v>
      </c>
      <c r="V489" s="367">
        <v>45241</v>
      </c>
      <c r="W489" s="361" t="s">
        <v>250</v>
      </c>
      <c r="X489" s="361"/>
      <c r="Y489" s="361"/>
      <c r="Z489" s="361"/>
      <c r="AA489" s="361"/>
      <c r="AB489" s="361"/>
      <c r="AC489" s="159"/>
      <c r="AD489" s="377" t="s">
        <v>1964</v>
      </c>
      <c r="AE489" s="364">
        <v>4500019163</v>
      </c>
      <c r="AF489" s="364"/>
      <c r="AG489" s="361"/>
      <c r="AH489" s="365"/>
      <c r="AI489" s="361"/>
      <c r="AJ489" s="361"/>
      <c r="AK489" s="361"/>
      <c r="AL489" s="361"/>
      <c r="AM489" s="361"/>
      <c r="AN489" s="361"/>
      <c r="AO489" s="361"/>
      <c r="AP489" s="361"/>
      <c r="AQ489" s="361"/>
      <c r="AR489" s="503"/>
      <c r="AS489" s="489"/>
      <c r="AT489" s="160"/>
      <c r="AU489" s="355"/>
    </row>
    <row r="490" spans="1:47" s="124" customFormat="1" ht="21.75" hidden="1" customHeight="1">
      <c r="A490" s="331">
        <v>489</v>
      </c>
      <c r="B490" s="361" t="s">
        <v>1519</v>
      </c>
      <c r="C490" s="361" t="s">
        <v>1549</v>
      </c>
      <c r="D490" s="435" t="s">
        <v>1778</v>
      </c>
      <c r="E490" s="361" t="str">
        <f t="shared" si="7"/>
        <v>LOSS</v>
      </c>
      <c r="F490" s="361"/>
      <c r="G490" s="361"/>
      <c r="H490" s="361" t="s">
        <v>327</v>
      </c>
      <c r="I490" s="361" t="s">
        <v>242</v>
      </c>
      <c r="J490" s="361" t="s">
        <v>1965</v>
      </c>
      <c r="K490" s="365"/>
      <c r="L490" s="361"/>
      <c r="M490" s="361"/>
      <c r="N490" s="361"/>
      <c r="O490" s="362">
        <v>5000000</v>
      </c>
      <c r="P490" s="372">
        <v>66000000</v>
      </c>
      <c r="Q490" s="361"/>
      <c r="R490" s="376" t="s">
        <v>115</v>
      </c>
      <c r="S490" s="372">
        <v>19500000</v>
      </c>
      <c r="T490" s="361"/>
      <c r="U490" s="351">
        <v>44895</v>
      </c>
      <c r="V490" s="367">
        <v>45259</v>
      </c>
      <c r="W490" s="361" t="s">
        <v>250</v>
      </c>
      <c r="X490" s="361"/>
      <c r="Y490" s="361"/>
      <c r="Z490" s="361"/>
      <c r="AA490" s="361"/>
      <c r="AB490" s="361"/>
      <c r="AC490" s="159"/>
      <c r="AD490" s="377" t="s">
        <v>1966</v>
      </c>
      <c r="AE490" s="364">
        <v>4500019501</v>
      </c>
      <c r="AF490" s="364"/>
      <c r="AG490" s="361"/>
      <c r="AH490" s="365"/>
      <c r="AI490" s="361"/>
      <c r="AJ490" s="361"/>
      <c r="AK490" s="361"/>
      <c r="AL490" s="361"/>
      <c r="AM490" s="361"/>
      <c r="AN490" s="361"/>
      <c r="AO490" s="361"/>
      <c r="AP490" s="361"/>
      <c r="AQ490" s="361"/>
      <c r="AR490" s="503"/>
      <c r="AS490" s="489"/>
      <c r="AT490" s="160"/>
      <c r="AU490" s="355"/>
    </row>
    <row r="491" spans="1:47" s="124" customFormat="1" ht="21.75" hidden="1" customHeight="1">
      <c r="A491" s="331">
        <v>490</v>
      </c>
      <c r="B491" s="361" t="s">
        <v>1519</v>
      </c>
      <c r="C491" s="361" t="s">
        <v>1967</v>
      </c>
      <c r="D491" s="436" t="s">
        <v>1778</v>
      </c>
      <c r="E491" s="361" t="str">
        <f t="shared" si="7"/>
        <v>LOSS</v>
      </c>
      <c r="F491" s="361"/>
      <c r="G491" s="361"/>
      <c r="H491" s="361" t="s">
        <v>327</v>
      </c>
      <c r="I491" s="361" t="s">
        <v>242</v>
      </c>
      <c r="J491" s="361" t="s">
        <v>1968</v>
      </c>
      <c r="K491" s="365"/>
      <c r="L491" s="361"/>
      <c r="M491" s="361"/>
      <c r="N491" s="361"/>
      <c r="O491" s="362">
        <v>7000000</v>
      </c>
      <c r="P491" s="372">
        <v>22200000</v>
      </c>
      <c r="Q491" s="361"/>
      <c r="R491" s="372">
        <v>8000000</v>
      </c>
      <c r="S491" s="372">
        <v>72000000</v>
      </c>
      <c r="T491" s="361"/>
      <c r="U491" s="351">
        <v>44896</v>
      </c>
      <c r="V491" s="367">
        <v>45260</v>
      </c>
      <c r="W491" s="361" t="s">
        <v>250</v>
      </c>
      <c r="X491" s="361"/>
      <c r="Y491" s="361"/>
      <c r="Z491" s="361"/>
      <c r="AA491" s="361"/>
      <c r="AB491" s="361"/>
      <c r="AC491" s="159"/>
      <c r="AD491" s="377" t="s">
        <v>1969</v>
      </c>
      <c r="AE491" s="364">
        <v>4500019532</v>
      </c>
      <c r="AF491" s="364"/>
      <c r="AG491" s="361"/>
      <c r="AH491" s="365"/>
      <c r="AI491" s="361"/>
      <c r="AJ491" s="361"/>
      <c r="AK491" s="361"/>
      <c r="AL491" s="361"/>
      <c r="AM491" s="361"/>
      <c r="AN491" s="361"/>
      <c r="AO491" s="361"/>
      <c r="AP491" s="361"/>
      <c r="AQ491" s="361"/>
      <c r="AR491" s="503"/>
      <c r="AS491" s="489"/>
      <c r="AT491" s="160"/>
      <c r="AU491" s="355"/>
    </row>
    <row r="492" spans="1:47" s="124" customFormat="1" ht="21.75" hidden="1" customHeight="1">
      <c r="A492" s="331">
        <v>491</v>
      </c>
      <c r="B492" s="361" t="s">
        <v>450</v>
      </c>
      <c r="C492" s="361" t="s">
        <v>1970</v>
      </c>
      <c r="D492" s="435" t="s">
        <v>689</v>
      </c>
      <c r="E492" s="361" t="str">
        <f t="shared" si="7"/>
        <v>LOSS</v>
      </c>
      <c r="F492" s="361"/>
      <c r="G492" s="361"/>
      <c r="H492" s="28" t="s">
        <v>261</v>
      </c>
      <c r="I492" s="361" t="s">
        <v>243</v>
      </c>
      <c r="J492" s="361" t="s">
        <v>1654</v>
      </c>
      <c r="K492" s="361"/>
      <c r="L492" s="361"/>
      <c r="M492" s="361"/>
      <c r="N492" s="361"/>
      <c r="O492" s="374" t="s">
        <v>115</v>
      </c>
      <c r="P492" s="372">
        <v>120000000</v>
      </c>
      <c r="Q492" s="361"/>
      <c r="R492" s="376" t="s">
        <v>115</v>
      </c>
      <c r="S492" s="372">
        <v>144000000</v>
      </c>
      <c r="T492" s="361"/>
      <c r="U492" s="351">
        <v>44901</v>
      </c>
      <c r="V492" s="367">
        <v>45265</v>
      </c>
      <c r="W492" s="361" t="s">
        <v>250</v>
      </c>
      <c r="X492" s="361"/>
      <c r="Y492" s="361"/>
      <c r="Z492" s="361"/>
      <c r="AA492" s="361"/>
      <c r="AB492" s="361"/>
      <c r="AC492" s="159"/>
      <c r="AD492" s="377" t="s">
        <v>1971</v>
      </c>
      <c r="AE492" s="364">
        <v>4500019388</v>
      </c>
      <c r="AF492" s="364"/>
      <c r="AG492" s="361"/>
      <c r="AH492" s="361"/>
      <c r="AI492" s="361"/>
      <c r="AJ492" s="361"/>
      <c r="AK492" s="361"/>
      <c r="AL492" s="361"/>
      <c r="AM492" s="361"/>
      <c r="AN492" s="361"/>
      <c r="AO492" s="361"/>
      <c r="AP492" s="361"/>
      <c r="AQ492" s="361"/>
      <c r="AR492" s="503"/>
      <c r="AS492" s="489"/>
      <c r="AT492" s="160"/>
      <c r="AU492" s="355"/>
    </row>
    <row r="493" spans="1:47" s="124" customFormat="1" ht="21.75" hidden="1" customHeight="1">
      <c r="A493" s="331">
        <v>492</v>
      </c>
      <c r="B493" s="159" t="s">
        <v>1744</v>
      </c>
      <c r="C493" s="361" t="s">
        <v>1967</v>
      </c>
      <c r="D493" s="436" t="s">
        <v>1972</v>
      </c>
      <c r="E493" s="361" t="str">
        <f t="shared" si="7"/>
        <v>LOSS</v>
      </c>
      <c r="F493" s="361"/>
      <c r="G493" s="361"/>
      <c r="H493" s="28" t="s">
        <v>261</v>
      </c>
      <c r="I493" s="361" t="s">
        <v>243</v>
      </c>
      <c r="J493" s="361" t="s">
        <v>1973</v>
      </c>
      <c r="K493" s="361"/>
      <c r="L493" s="361"/>
      <c r="M493" s="361"/>
      <c r="N493" s="361"/>
      <c r="O493" s="374" t="s">
        <v>115</v>
      </c>
      <c r="P493" s="372">
        <v>84000000</v>
      </c>
      <c r="Q493" s="361"/>
      <c r="R493" s="376" t="s">
        <v>115</v>
      </c>
      <c r="S493" s="372">
        <v>54000000</v>
      </c>
      <c r="T493" s="361"/>
      <c r="U493" s="351">
        <v>44896</v>
      </c>
      <c r="V493" s="367">
        <v>45260</v>
      </c>
      <c r="W493" s="361" t="s">
        <v>250</v>
      </c>
      <c r="X493" s="361"/>
      <c r="Y493" s="361"/>
      <c r="Z493" s="361"/>
      <c r="AA493" s="361"/>
      <c r="AB493" s="361"/>
      <c r="AC493" s="159"/>
      <c r="AD493" s="377" t="s">
        <v>1974</v>
      </c>
      <c r="AE493" s="364">
        <v>4500019209</v>
      </c>
      <c r="AF493" s="364"/>
      <c r="AG493" s="361"/>
      <c r="AH493" s="361"/>
      <c r="AI493" s="361"/>
      <c r="AJ493" s="361"/>
      <c r="AK493" s="361"/>
      <c r="AL493" s="361"/>
      <c r="AM493" s="361"/>
      <c r="AN493" s="361"/>
      <c r="AO493" s="361"/>
      <c r="AP493" s="361"/>
      <c r="AQ493" s="361"/>
      <c r="AR493" s="503"/>
      <c r="AS493" s="489"/>
      <c r="AT493" s="160"/>
      <c r="AU493" s="355"/>
    </row>
    <row r="494" spans="1:47" s="124" customFormat="1" ht="21.75" hidden="1" customHeight="1">
      <c r="A494" s="331">
        <v>493</v>
      </c>
      <c r="B494" s="28" t="s">
        <v>151</v>
      </c>
      <c r="C494" s="361" t="s">
        <v>1818</v>
      </c>
      <c r="D494" s="435" t="s">
        <v>735</v>
      </c>
      <c r="E494" s="361" t="str">
        <f t="shared" si="7"/>
        <v>LOSS</v>
      </c>
      <c r="F494" s="361"/>
      <c r="G494" s="361"/>
      <c r="H494" s="361" t="s">
        <v>327</v>
      </c>
      <c r="I494" s="160" t="s">
        <v>346</v>
      </c>
      <c r="J494" s="361" t="s">
        <v>1819</v>
      </c>
      <c r="K494" s="365"/>
      <c r="L494" s="361"/>
      <c r="M494" s="361"/>
      <c r="N494" s="361"/>
      <c r="O494" s="370" t="s">
        <v>115</v>
      </c>
      <c r="P494" s="417">
        <v>72000000</v>
      </c>
      <c r="Q494" s="361"/>
      <c r="R494" s="361" t="s">
        <v>115</v>
      </c>
      <c r="S494" s="417">
        <v>7500000</v>
      </c>
      <c r="T494" s="361"/>
      <c r="U494" s="351">
        <v>44771</v>
      </c>
      <c r="V494" s="367">
        <v>45135</v>
      </c>
      <c r="W494" s="361" t="s">
        <v>250</v>
      </c>
      <c r="X494" s="361"/>
      <c r="Y494" s="361"/>
      <c r="Z494" s="361"/>
      <c r="AA494" s="361"/>
      <c r="AB494" s="361"/>
      <c r="AC494" s="159"/>
      <c r="AD494" s="361" t="s">
        <v>1975</v>
      </c>
      <c r="AE494" s="364">
        <v>4500018856</v>
      </c>
      <c r="AF494" s="364"/>
      <c r="AG494" s="361"/>
      <c r="AH494" s="365"/>
      <c r="AI494" s="361"/>
      <c r="AJ494" s="361"/>
      <c r="AK494" s="361"/>
      <c r="AL494" s="361"/>
      <c r="AM494" s="361"/>
      <c r="AN494" s="361"/>
      <c r="AO494" s="361"/>
      <c r="AP494" s="361"/>
      <c r="AQ494" s="361"/>
      <c r="AR494" s="503"/>
      <c r="AS494" s="489"/>
      <c r="AT494" s="160"/>
      <c r="AU494" s="355"/>
    </row>
    <row r="495" spans="1:47" s="124" customFormat="1" ht="21.75" hidden="1" customHeight="1">
      <c r="A495" s="331">
        <v>494</v>
      </c>
      <c r="B495" s="28" t="s">
        <v>200</v>
      </c>
      <c r="C495" s="361" t="s">
        <v>1976</v>
      </c>
      <c r="D495" s="436" t="s">
        <v>1977</v>
      </c>
      <c r="E495" s="361" t="str">
        <f t="shared" si="7"/>
        <v>LOSS</v>
      </c>
      <c r="F495" s="361"/>
      <c r="G495" s="361"/>
      <c r="H495" s="361" t="s">
        <v>327</v>
      </c>
      <c r="I495" s="160" t="s">
        <v>346</v>
      </c>
      <c r="J495" s="361" t="s">
        <v>1978</v>
      </c>
      <c r="K495" s="365"/>
      <c r="L495" s="361"/>
      <c r="M495" s="361"/>
      <c r="N495" s="361"/>
      <c r="O495" s="374" t="s">
        <v>115</v>
      </c>
      <c r="P495" s="372">
        <v>37713600</v>
      </c>
      <c r="Q495" s="361"/>
      <c r="R495" s="376" t="s">
        <v>115</v>
      </c>
      <c r="S495" s="372">
        <v>43800000</v>
      </c>
      <c r="T495" s="361"/>
      <c r="U495" s="351">
        <v>44855</v>
      </c>
      <c r="V495" s="367">
        <v>45219</v>
      </c>
      <c r="W495" s="361" t="s">
        <v>250</v>
      </c>
      <c r="X495" s="361"/>
      <c r="Y495" s="361"/>
      <c r="Z495" s="361"/>
      <c r="AA495" s="361"/>
      <c r="AB495" s="361"/>
      <c r="AC495" s="159"/>
      <c r="AD495" s="361" t="s">
        <v>1979</v>
      </c>
      <c r="AE495" s="364">
        <v>4500019069</v>
      </c>
      <c r="AF495" s="364"/>
      <c r="AG495" s="361"/>
      <c r="AH495" s="365"/>
      <c r="AI495" s="361"/>
      <c r="AJ495" s="361"/>
      <c r="AK495" s="361"/>
      <c r="AL495" s="361"/>
      <c r="AM495" s="361"/>
      <c r="AN495" s="361"/>
      <c r="AO495" s="361"/>
      <c r="AP495" s="361"/>
      <c r="AQ495" s="361"/>
      <c r="AR495" s="503"/>
      <c r="AS495" s="489"/>
      <c r="AT495" s="160"/>
      <c r="AU495" s="355"/>
    </row>
    <row r="496" spans="1:47" s="124" customFormat="1" ht="21.75" hidden="1" customHeight="1">
      <c r="A496" s="331">
        <v>495</v>
      </c>
      <c r="B496" s="361" t="s">
        <v>664</v>
      </c>
      <c r="C496" s="361" t="s">
        <v>1980</v>
      </c>
      <c r="D496" s="435" t="s">
        <v>1981</v>
      </c>
      <c r="E496" s="361" t="str">
        <f t="shared" si="7"/>
        <v>LOSS</v>
      </c>
      <c r="F496" s="361"/>
      <c r="G496" s="361"/>
      <c r="H496" s="28" t="s">
        <v>261</v>
      </c>
      <c r="I496" s="361" t="s">
        <v>243</v>
      </c>
      <c r="J496" s="361" t="s">
        <v>1982</v>
      </c>
      <c r="K496" s="361"/>
      <c r="L496" s="361"/>
      <c r="M496" s="361"/>
      <c r="N496" s="361"/>
      <c r="O496" s="374" t="s">
        <v>115</v>
      </c>
      <c r="P496" s="372">
        <v>34560000</v>
      </c>
      <c r="Q496" s="361"/>
      <c r="R496" s="376" t="s">
        <v>115</v>
      </c>
      <c r="S496" s="372">
        <v>12000000</v>
      </c>
      <c r="T496" s="361"/>
      <c r="U496" s="351">
        <v>44904</v>
      </c>
      <c r="V496" s="367">
        <v>45268</v>
      </c>
      <c r="W496" s="361" t="s">
        <v>250</v>
      </c>
      <c r="X496" s="361"/>
      <c r="Y496" s="361"/>
      <c r="Z496" s="361"/>
      <c r="AA496" s="361"/>
      <c r="AB496" s="361"/>
      <c r="AC496" s="159"/>
      <c r="AD496" s="361" t="s">
        <v>1983</v>
      </c>
      <c r="AE496" s="364">
        <v>4500019147</v>
      </c>
      <c r="AF496" s="364"/>
      <c r="AG496" s="361"/>
      <c r="AH496" s="361"/>
      <c r="AI496" s="361"/>
      <c r="AJ496" s="361"/>
      <c r="AK496" s="361"/>
      <c r="AL496" s="361"/>
      <c r="AM496" s="361"/>
      <c r="AN496" s="361"/>
      <c r="AO496" s="361"/>
      <c r="AP496" s="361"/>
      <c r="AQ496" s="361"/>
      <c r="AR496" s="503"/>
      <c r="AS496" s="489"/>
      <c r="AT496" s="160"/>
      <c r="AU496" s="355"/>
    </row>
    <row r="497" spans="1:47" s="124" customFormat="1" ht="21.75" hidden="1" customHeight="1">
      <c r="A497" s="331">
        <v>496</v>
      </c>
      <c r="B497" s="361" t="s">
        <v>1984</v>
      </c>
      <c r="C497" s="361" t="s">
        <v>1985</v>
      </c>
      <c r="D497" s="436" t="s">
        <v>756</v>
      </c>
      <c r="E497" s="361" t="str">
        <f t="shared" si="7"/>
        <v>LOSS</v>
      </c>
      <c r="F497" s="361"/>
      <c r="G497" s="361"/>
      <c r="H497" s="361" t="s">
        <v>327</v>
      </c>
      <c r="I497" s="160" t="s">
        <v>346</v>
      </c>
      <c r="J497" s="361" t="s">
        <v>1986</v>
      </c>
      <c r="K497" s="365"/>
      <c r="L497" s="361"/>
      <c r="M497" s="361"/>
      <c r="N497" s="361"/>
      <c r="O497" s="362">
        <v>5000000</v>
      </c>
      <c r="P497" s="372">
        <v>240000000</v>
      </c>
      <c r="Q497" s="361"/>
      <c r="R497" s="372">
        <v>1000000</v>
      </c>
      <c r="S497" s="372">
        <v>30000000</v>
      </c>
      <c r="T497" s="361"/>
      <c r="U497" s="351">
        <v>44858</v>
      </c>
      <c r="V497" s="367">
        <v>45222</v>
      </c>
      <c r="W497" s="361" t="s">
        <v>250</v>
      </c>
      <c r="X497" s="361"/>
      <c r="Y497" s="361"/>
      <c r="Z497" s="361"/>
      <c r="AA497" s="361"/>
      <c r="AB497" s="361"/>
      <c r="AC497" s="159"/>
      <c r="AD497" s="361" t="s">
        <v>1987</v>
      </c>
      <c r="AE497" s="364">
        <v>4500019192</v>
      </c>
      <c r="AF497" s="364"/>
      <c r="AG497" s="361"/>
      <c r="AH497" s="365"/>
      <c r="AI497" s="361"/>
      <c r="AJ497" s="361"/>
      <c r="AK497" s="361"/>
      <c r="AL497" s="361"/>
      <c r="AM497" s="361"/>
      <c r="AN497" s="361"/>
      <c r="AO497" s="361"/>
      <c r="AP497" s="361"/>
      <c r="AQ497" s="361"/>
      <c r="AR497" s="503"/>
      <c r="AS497" s="489"/>
      <c r="AT497" s="160"/>
      <c r="AU497" s="355"/>
    </row>
    <row r="498" spans="1:47" s="124" customFormat="1" ht="21.75" hidden="1" customHeight="1">
      <c r="A498" s="331">
        <v>497</v>
      </c>
      <c r="B498" s="361" t="s">
        <v>450</v>
      </c>
      <c r="C498" s="361" t="s">
        <v>1988</v>
      </c>
      <c r="D498" s="435" t="s">
        <v>689</v>
      </c>
      <c r="E498" s="361" t="str">
        <f t="shared" si="7"/>
        <v>LOSS</v>
      </c>
      <c r="F498" s="361"/>
      <c r="G498" s="361"/>
      <c r="H498" s="361" t="s">
        <v>327</v>
      </c>
      <c r="I498" s="361" t="s">
        <v>242</v>
      </c>
      <c r="J498" s="361" t="s">
        <v>1989</v>
      </c>
      <c r="K498" s="365"/>
      <c r="L498" s="361"/>
      <c r="M498" s="361"/>
      <c r="N498" s="361"/>
      <c r="O498" s="374" t="s">
        <v>115</v>
      </c>
      <c r="P498" s="372">
        <v>48000000</v>
      </c>
      <c r="Q498" s="361"/>
      <c r="R498" s="376" t="s">
        <v>115</v>
      </c>
      <c r="S498" s="372">
        <v>2500000</v>
      </c>
      <c r="T498" s="361"/>
      <c r="U498" s="351">
        <v>44674</v>
      </c>
      <c r="V498" s="367">
        <v>45038</v>
      </c>
      <c r="W498" s="361" t="s">
        <v>250</v>
      </c>
      <c r="X498" s="361"/>
      <c r="Y498" s="361"/>
      <c r="Z498" s="361"/>
      <c r="AA498" s="361"/>
      <c r="AB498" s="361"/>
      <c r="AC498" s="159"/>
      <c r="AD498" s="361" t="s">
        <v>1990</v>
      </c>
      <c r="AE498" s="364">
        <v>4500018929</v>
      </c>
      <c r="AF498" s="364"/>
      <c r="AG498" s="361"/>
      <c r="AH498" s="365"/>
      <c r="AI498" s="361"/>
      <c r="AJ498" s="361"/>
      <c r="AK498" s="361"/>
      <c r="AL498" s="361"/>
      <c r="AM498" s="361"/>
      <c r="AN498" s="361"/>
      <c r="AO498" s="361"/>
      <c r="AP498" s="361"/>
      <c r="AQ498" s="361"/>
      <c r="AR498" s="503"/>
      <c r="AS498" s="489"/>
      <c r="AT498" s="160"/>
      <c r="AU498" s="355"/>
    </row>
    <row r="499" spans="1:47" s="124" customFormat="1" ht="21.75" hidden="1" customHeight="1">
      <c r="A499" s="331">
        <v>498</v>
      </c>
      <c r="B499" s="361" t="s">
        <v>1891</v>
      </c>
      <c r="C499" s="361" t="s">
        <v>1991</v>
      </c>
      <c r="D499" s="436" t="s">
        <v>1992</v>
      </c>
      <c r="E499" s="361" t="str">
        <f t="shared" si="7"/>
        <v>LOSS</v>
      </c>
      <c r="F499" s="361"/>
      <c r="G499" s="361"/>
      <c r="H499" s="361" t="s">
        <v>327</v>
      </c>
      <c r="I499" s="160" t="s">
        <v>346</v>
      </c>
      <c r="J499" s="361" t="s">
        <v>1993</v>
      </c>
      <c r="K499" s="365"/>
      <c r="L499" s="361"/>
      <c r="M499" s="361"/>
      <c r="N499" s="361"/>
      <c r="O499" s="374" t="s">
        <v>115</v>
      </c>
      <c r="P499" s="372">
        <v>96000000</v>
      </c>
      <c r="Q499" s="361"/>
      <c r="R499" s="375" t="s">
        <v>115</v>
      </c>
      <c r="S499" s="372">
        <v>36000000</v>
      </c>
      <c r="T499" s="361"/>
      <c r="U499" s="351">
        <v>44835</v>
      </c>
      <c r="V499" s="367">
        <v>45199</v>
      </c>
      <c r="W499" s="361" t="s">
        <v>250</v>
      </c>
      <c r="X499" s="361"/>
      <c r="Y499" s="361"/>
      <c r="Z499" s="361"/>
      <c r="AA499" s="361"/>
      <c r="AB499" s="361"/>
      <c r="AC499" s="159"/>
      <c r="AD499" s="361" t="s">
        <v>1994</v>
      </c>
      <c r="AE499" s="364">
        <v>4500019772</v>
      </c>
      <c r="AF499" s="364"/>
      <c r="AG499" s="361"/>
      <c r="AH499" s="365"/>
      <c r="AI499" s="361"/>
      <c r="AJ499" s="361"/>
      <c r="AK499" s="361"/>
      <c r="AL499" s="361"/>
      <c r="AM499" s="361"/>
      <c r="AN499" s="361"/>
      <c r="AO499" s="361"/>
      <c r="AP499" s="361"/>
      <c r="AQ499" s="361"/>
      <c r="AR499" s="503"/>
      <c r="AS499" s="489"/>
      <c r="AT499" s="160"/>
      <c r="AU499" s="355"/>
    </row>
    <row r="500" spans="1:47" s="124" customFormat="1" ht="21.75" hidden="1" customHeight="1">
      <c r="A500" s="331">
        <v>499</v>
      </c>
      <c r="B500" s="361" t="s">
        <v>1995</v>
      </c>
      <c r="C500" s="361" t="s">
        <v>1996</v>
      </c>
      <c r="D500" s="435" t="s">
        <v>689</v>
      </c>
      <c r="E500" s="361" t="str">
        <f t="shared" si="7"/>
        <v>LOSS</v>
      </c>
      <c r="F500" s="361"/>
      <c r="G500" s="361"/>
      <c r="H500" s="361" t="s">
        <v>327</v>
      </c>
      <c r="I500" s="160" t="s">
        <v>346</v>
      </c>
      <c r="J500" s="361" t="s">
        <v>1864</v>
      </c>
      <c r="K500" s="365"/>
      <c r="L500" s="361"/>
      <c r="M500" s="361"/>
      <c r="N500" s="361"/>
      <c r="O500" s="374" t="s">
        <v>115</v>
      </c>
      <c r="P500" s="372">
        <v>36000000</v>
      </c>
      <c r="Q500" s="361"/>
      <c r="R500" s="376" t="s">
        <v>115</v>
      </c>
      <c r="S500" s="372">
        <v>2750000</v>
      </c>
      <c r="T500" s="361"/>
      <c r="U500" s="351">
        <v>44750</v>
      </c>
      <c r="V500" s="367">
        <v>45084</v>
      </c>
      <c r="W500" s="361" t="s">
        <v>250</v>
      </c>
      <c r="X500" s="361"/>
      <c r="Y500" s="361"/>
      <c r="Z500" s="361"/>
      <c r="AA500" s="361"/>
      <c r="AB500" s="361"/>
      <c r="AC500" s="159"/>
      <c r="AD500" s="361" t="s">
        <v>1997</v>
      </c>
      <c r="AE500" s="364">
        <v>4500018645</v>
      </c>
      <c r="AF500" s="364"/>
      <c r="AG500" s="361"/>
      <c r="AH500" s="365"/>
      <c r="AI500" s="361"/>
      <c r="AJ500" s="361"/>
      <c r="AK500" s="361"/>
      <c r="AL500" s="361"/>
      <c r="AM500" s="361"/>
      <c r="AN500" s="361"/>
      <c r="AO500" s="361"/>
      <c r="AP500" s="361"/>
      <c r="AQ500" s="361"/>
      <c r="AR500" s="503"/>
      <c r="AS500" s="489"/>
      <c r="AT500" s="160"/>
      <c r="AU500" s="355"/>
    </row>
    <row r="501" spans="1:47" s="124" customFormat="1" ht="21.75" hidden="1" customHeight="1">
      <c r="A501" s="331">
        <v>500</v>
      </c>
      <c r="B501" s="361" t="s">
        <v>1998</v>
      </c>
      <c r="C501" s="361" t="s">
        <v>1999</v>
      </c>
      <c r="D501" s="436" t="s">
        <v>2000</v>
      </c>
      <c r="E501" s="361" t="str">
        <f t="shared" si="7"/>
        <v>LOSS</v>
      </c>
      <c r="F501" s="361"/>
      <c r="G501" s="361"/>
      <c r="H501" s="361" t="s">
        <v>327</v>
      </c>
      <c r="I501" s="160" t="s">
        <v>346</v>
      </c>
      <c r="J501" s="361" t="s">
        <v>1286</v>
      </c>
      <c r="K501" s="365"/>
      <c r="L501" s="361"/>
      <c r="M501" s="361"/>
      <c r="N501" s="361"/>
      <c r="O501" s="374" t="s">
        <v>115</v>
      </c>
      <c r="P501" s="372">
        <v>180000000</v>
      </c>
      <c r="Q501" s="361"/>
      <c r="R501" s="376" t="s">
        <v>115</v>
      </c>
      <c r="S501" s="372">
        <v>6600000</v>
      </c>
      <c r="T501" s="361"/>
      <c r="U501" s="351">
        <v>44630</v>
      </c>
      <c r="V501" s="367">
        <v>44994</v>
      </c>
      <c r="W501" s="361" t="s">
        <v>250</v>
      </c>
      <c r="X501" s="361"/>
      <c r="Y501" s="361"/>
      <c r="Z501" s="361"/>
      <c r="AA501" s="361"/>
      <c r="AB501" s="361"/>
      <c r="AC501" s="159"/>
      <c r="AD501" s="361" t="s">
        <v>2001</v>
      </c>
      <c r="AE501" s="364">
        <v>4500019627</v>
      </c>
      <c r="AF501" s="364"/>
      <c r="AG501" s="361"/>
      <c r="AH501" s="365"/>
      <c r="AI501" s="361"/>
      <c r="AJ501" s="361"/>
      <c r="AK501" s="361"/>
      <c r="AL501" s="361"/>
      <c r="AM501" s="361"/>
      <c r="AN501" s="361"/>
      <c r="AO501" s="361"/>
      <c r="AP501" s="361"/>
      <c r="AQ501" s="361"/>
      <c r="AR501" s="503"/>
      <c r="AS501" s="489"/>
      <c r="AT501" s="160"/>
      <c r="AU501" s="355"/>
    </row>
    <row r="502" spans="1:47" s="124" customFormat="1" ht="21.75" hidden="1" customHeight="1">
      <c r="A502" s="331">
        <v>501</v>
      </c>
      <c r="B502" s="28" t="s">
        <v>179</v>
      </c>
      <c r="C502" s="361" t="s">
        <v>763</v>
      </c>
      <c r="D502" s="435" t="s">
        <v>735</v>
      </c>
      <c r="E502" s="361" t="str">
        <f t="shared" si="7"/>
        <v>LOSS</v>
      </c>
      <c r="F502" s="361"/>
      <c r="G502" s="361"/>
      <c r="H502" s="361" t="s">
        <v>327</v>
      </c>
      <c r="I502" s="361" t="s">
        <v>242</v>
      </c>
      <c r="J502" s="361" t="s">
        <v>2002</v>
      </c>
      <c r="K502" s="365"/>
      <c r="L502" s="361"/>
      <c r="M502" s="361"/>
      <c r="N502" s="361"/>
      <c r="O502" s="374" t="s">
        <v>115</v>
      </c>
      <c r="P502" s="376" t="s">
        <v>115</v>
      </c>
      <c r="Q502" s="361"/>
      <c r="R502" s="376" t="s">
        <v>115</v>
      </c>
      <c r="S502" s="372">
        <v>36000000</v>
      </c>
      <c r="T502" s="361"/>
      <c r="U502" s="351">
        <v>44694</v>
      </c>
      <c r="V502" s="367">
        <v>45058</v>
      </c>
      <c r="W502" s="361" t="s">
        <v>250</v>
      </c>
      <c r="X502" s="361"/>
      <c r="Y502" s="361"/>
      <c r="Z502" s="361"/>
      <c r="AA502" s="361"/>
      <c r="AB502" s="361"/>
      <c r="AC502" s="159"/>
      <c r="AD502" s="361" t="s">
        <v>2003</v>
      </c>
      <c r="AE502" s="364">
        <v>4500018011</v>
      </c>
      <c r="AF502" s="364"/>
      <c r="AG502" s="361"/>
      <c r="AH502" s="365"/>
      <c r="AI502" s="361"/>
      <c r="AJ502" s="361"/>
      <c r="AK502" s="361"/>
      <c r="AL502" s="361"/>
      <c r="AM502" s="361"/>
      <c r="AN502" s="361"/>
      <c r="AO502" s="361"/>
      <c r="AP502" s="361"/>
      <c r="AQ502" s="361"/>
      <c r="AR502" s="503"/>
      <c r="AS502" s="489"/>
      <c r="AT502" s="160"/>
      <c r="AU502" s="355"/>
    </row>
    <row r="503" spans="1:47" s="124" customFormat="1" ht="21.75" hidden="1" customHeight="1">
      <c r="A503" s="331">
        <v>502</v>
      </c>
      <c r="B503" s="28" t="s">
        <v>140</v>
      </c>
      <c r="C503" s="361" t="s">
        <v>1054</v>
      </c>
      <c r="D503" s="436" t="s">
        <v>2004</v>
      </c>
      <c r="E503" s="361" t="str">
        <f t="shared" si="7"/>
        <v>LOSS</v>
      </c>
      <c r="F503" s="361"/>
      <c r="G503" s="361"/>
      <c r="H503" s="361" t="s">
        <v>327</v>
      </c>
      <c r="I503" s="160" t="s">
        <v>346</v>
      </c>
      <c r="J503" s="361"/>
      <c r="K503" s="365"/>
      <c r="L503" s="361"/>
      <c r="M503" s="361"/>
      <c r="N503" s="361"/>
      <c r="O503" s="374" t="s">
        <v>115</v>
      </c>
      <c r="P503" s="376" t="s">
        <v>115</v>
      </c>
      <c r="Q503" s="361"/>
      <c r="R503" s="376" t="s">
        <v>115</v>
      </c>
      <c r="S503" s="372">
        <v>160923081</v>
      </c>
      <c r="T503" s="361"/>
      <c r="U503" s="351">
        <v>44663</v>
      </c>
      <c r="V503" s="367">
        <v>45027</v>
      </c>
      <c r="W503" s="361" t="s">
        <v>250</v>
      </c>
      <c r="X503" s="361"/>
      <c r="Y503" s="361"/>
      <c r="Z503" s="361"/>
      <c r="AA503" s="361"/>
      <c r="AB503" s="361"/>
      <c r="AC503" s="159"/>
      <c r="AD503" s="361" t="s">
        <v>2005</v>
      </c>
      <c r="AE503" s="364">
        <v>4500019039</v>
      </c>
      <c r="AF503" s="364"/>
      <c r="AG503" s="361"/>
      <c r="AH503" s="365"/>
      <c r="AI503" s="361"/>
      <c r="AJ503" s="361"/>
      <c r="AK503" s="361"/>
      <c r="AL503" s="361"/>
      <c r="AM503" s="361"/>
      <c r="AN503" s="361"/>
      <c r="AO503" s="361"/>
      <c r="AP503" s="361"/>
      <c r="AQ503" s="361"/>
      <c r="AR503" s="503"/>
      <c r="AS503" s="489"/>
      <c r="AT503" s="160"/>
      <c r="AU503" s="355"/>
    </row>
    <row r="504" spans="1:47" s="124" customFormat="1" ht="21.75" hidden="1" customHeight="1">
      <c r="A504" s="331">
        <v>503</v>
      </c>
      <c r="B504" s="361" t="s">
        <v>2006</v>
      </c>
      <c r="C504" s="361" t="s">
        <v>2007</v>
      </c>
      <c r="D504" s="435" t="s">
        <v>2008</v>
      </c>
      <c r="E504" s="361" t="str">
        <f t="shared" si="7"/>
        <v>LOSS</v>
      </c>
      <c r="F504" s="361"/>
      <c r="G504" s="361"/>
      <c r="H504" s="361" t="s">
        <v>327</v>
      </c>
      <c r="I504" s="160" t="s">
        <v>346</v>
      </c>
      <c r="J504" s="361" t="s">
        <v>2009</v>
      </c>
      <c r="K504" s="365"/>
      <c r="L504" s="361"/>
      <c r="M504" s="361"/>
      <c r="N504" s="361"/>
      <c r="O504" s="374" t="s">
        <v>115</v>
      </c>
      <c r="P504" s="378">
        <v>94800000</v>
      </c>
      <c r="Q504" s="361"/>
      <c r="R504" s="361" t="s">
        <v>115</v>
      </c>
      <c r="S504" s="378">
        <v>5000000</v>
      </c>
      <c r="T504" s="361"/>
      <c r="U504" s="348">
        <v>44734</v>
      </c>
      <c r="V504" s="348">
        <v>45098</v>
      </c>
      <c r="W504" s="361" t="s">
        <v>250</v>
      </c>
      <c r="X504" s="361"/>
      <c r="Y504" s="361"/>
      <c r="Z504" s="361"/>
      <c r="AA504" s="361"/>
      <c r="AB504" s="361"/>
      <c r="AC504" s="159"/>
      <c r="AD504" s="361" t="s">
        <v>2010</v>
      </c>
      <c r="AE504" s="364">
        <v>4500018465</v>
      </c>
      <c r="AF504" s="364"/>
      <c r="AG504" s="361"/>
      <c r="AH504" s="365"/>
      <c r="AI504" s="361"/>
      <c r="AJ504" s="361"/>
      <c r="AK504" s="361"/>
      <c r="AL504" s="361"/>
      <c r="AM504" s="361"/>
      <c r="AN504" s="361"/>
      <c r="AO504" s="361"/>
      <c r="AP504" s="361"/>
      <c r="AQ504" s="361"/>
      <c r="AR504" s="503"/>
      <c r="AS504" s="489"/>
      <c r="AT504" s="160"/>
      <c r="AU504" s="355"/>
    </row>
    <row r="505" spans="1:47" s="124" customFormat="1" ht="21.75" hidden="1" customHeight="1">
      <c r="A505" s="331">
        <v>504</v>
      </c>
      <c r="B505" s="361" t="s">
        <v>2011</v>
      </c>
      <c r="C505" s="361" t="s">
        <v>2012</v>
      </c>
      <c r="D505" s="436" t="s">
        <v>2013</v>
      </c>
      <c r="E505" s="361" t="str">
        <f t="shared" si="7"/>
        <v>LOSS</v>
      </c>
      <c r="F505" s="361"/>
      <c r="G505" s="361"/>
      <c r="H505" s="361" t="s">
        <v>327</v>
      </c>
      <c r="I505" s="160" t="s">
        <v>346</v>
      </c>
      <c r="J505" s="361"/>
      <c r="K505" s="365"/>
      <c r="L505" s="361"/>
      <c r="M505" s="361"/>
      <c r="N505" s="361"/>
      <c r="O505" s="370" t="s">
        <v>115</v>
      </c>
      <c r="P505" s="361" t="s">
        <v>115</v>
      </c>
      <c r="Q505" s="361"/>
      <c r="R505" s="361" t="s">
        <v>115</v>
      </c>
      <c r="S505" s="378">
        <v>7500002</v>
      </c>
      <c r="T505" s="361"/>
      <c r="U505" s="348">
        <v>44758</v>
      </c>
      <c r="V505" s="348">
        <v>45122</v>
      </c>
      <c r="W505" s="361" t="s">
        <v>250</v>
      </c>
      <c r="X505" s="361"/>
      <c r="Y505" s="361"/>
      <c r="Z505" s="361"/>
      <c r="AA505" s="361"/>
      <c r="AB505" s="361"/>
      <c r="AC505" s="159"/>
      <c r="AD505" s="361" t="s">
        <v>2014</v>
      </c>
      <c r="AE505" s="364">
        <v>4500018605</v>
      </c>
      <c r="AF505" s="364"/>
      <c r="AG505" s="361"/>
      <c r="AH505" s="365"/>
      <c r="AI505" s="361"/>
      <c r="AJ505" s="361"/>
      <c r="AK505" s="361"/>
      <c r="AL505" s="361"/>
      <c r="AM505" s="361"/>
      <c r="AN505" s="361"/>
      <c r="AO505" s="361"/>
      <c r="AP505" s="361"/>
      <c r="AQ505" s="361"/>
      <c r="AR505" s="503"/>
      <c r="AS505" s="489"/>
      <c r="AT505" s="160"/>
      <c r="AU505" s="355"/>
    </row>
    <row r="506" spans="1:47" s="124" customFormat="1" ht="21.75" hidden="1" customHeight="1">
      <c r="A506" s="331">
        <v>505</v>
      </c>
      <c r="B506" s="159" t="s">
        <v>614</v>
      </c>
      <c r="C506" s="361" t="s">
        <v>2015</v>
      </c>
      <c r="D506" s="435" t="s">
        <v>1668</v>
      </c>
      <c r="E506" s="361" t="str">
        <f t="shared" si="7"/>
        <v>LOSS</v>
      </c>
      <c r="F506" s="361"/>
      <c r="G506" s="361"/>
      <c r="H506" s="28" t="s">
        <v>261</v>
      </c>
      <c r="I506" s="361" t="s">
        <v>243</v>
      </c>
      <c r="J506" s="361" t="s">
        <v>2016</v>
      </c>
      <c r="K506" s="361"/>
      <c r="L506" s="361"/>
      <c r="M506" s="361"/>
      <c r="N506" s="361"/>
      <c r="O506" s="370" t="s">
        <v>115</v>
      </c>
      <c r="P506" s="378">
        <v>237000000</v>
      </c>
      <c r="Q506" s="361"/>
      <c r="R506" s="361" t="s">
        <v>115</v>
      </c>
      <c r="S506" s="378">
        <v>180000000</v>
      </c>
      <c r="T506" s="361"/>
      <c r="U506" s="348">
        <v>44562</v>
      </c>
      <c r="V506" s="348">
        <v>45291</v>
      </c>
      <c r="W506" s="361" t="s">
        <v>250</v>
      </c>
      <c r="X506" s="361"/>
      <c r="Y506" s="361"/>
      <c r="Z506" s="361"/>
      <c r="AA506" s="361"/>
      <c r="AB506" s="361"/>
      <c r="AC506" s="159"/>
      <c r="AD506" s="361" t="s">
        <v>2017</v>
      </c>
      <c r="AE506" s="364">
        <v>4500019148</v>
      </c>
      <c r="AF506" s="364"/>
      <c r="AG506" s="361"/>
      <c r="AH506" s="361"/>
      <c r="AI506" s="361"/>
      <c r="AJ506" s="361"/>
      <c r="AK506" s="361"/>
      <c r="AL506" s="361"/>
      <c r="AM506" s="361"/>
      <c r="AN506" s="361"/>
      <c r="AO506" s="361"/>
      <c r="AP506" s="361"/>
      <c r="AQ506" s="361"/>
      <c r="AR506" s="503"/>
      <c r="AS506" s="489"/>
      <c r="AT506" s="160"/>
      <c r="AU506" s="355"/>
    </row>
    <row r="507" spans="1:47" s="124" customFormat="1" ht="21.75" hidden="1" customHeight="1">
      <c r="A507" s="331">
        <v>506</v>
      </c>
      <c r="B507" s="28" t="s">
        <v>669</v>
      </c>
      <c r="C507" s="361" t="s">
        <v>2018</v>
      </c>
      <c r="D507" s="436" t="s">
        <v>2019</v>
      </c>
      <c r="E507" s="361" t="str">
        <f t="shared" si="7"/>
        <v>LOSS</v>
      </c>
      <c r="F507" s="361"/>
      <c r="G507" s="361"/>
      <c r="H507" s="361" t="s">
        <v>327</v>
      </c>
      <c r="I507" s="160" t="s">
        <v>346</v>
      </c>
      <c r="J507" s="361" t="s">
        <v>2020</v>
      </c>
      <c r="K507" s="365"/>
      <c r="L507" s="361"/>
      <c r="M507" s="361"/>
      <c r="N507" s="361"/>
      <c r="O507" s="362">
        <v>0</v>
      </c>
      <c r="P507" s="378">
        <v>144000000</v>
      </c>
      <c r="Q507" s="361"/>
      <c r="R507" s="372">
        <v>0</v>
      </c>
      <c r="S507" s="413">
        <v>115448256</v>
      </c>
      <c r="T507" s="361"/>
      <c r="U507" s="348">
        <v>44805</v>
      </c>
      <c r="V507" s="348">
        <v>45169</v>
      </c>
      <c r="W507" s="361" t="s">
        <v>250</v>
      </c>
      <c r="X507" s="361"/>
      <c r="Y507" s="361"/>
      <c r="Z507" s="361"/>
      <c r="AA507" s="361"/>
      <c r="AB507" s="361"/>
      <c r="AC507" s="159"/>
      <c r="AD507" s="361" t="s">
        <v>2021</v>
      </c>
      <c r="AE507" s="364">
        <v>4500018446</v>
      </c>
      <c r="AF507" s="364"/>
      <c r="AG507" s="361"/>
      <c r="AH507" s="365"/>
      <c r="AI507" s="361"/>
      <c r="AJ507" s="361"/>
      <c r="AK507" s="361"/>
      <c r="AL507" s="361"/>
      <c r="AM507" s="361"/>
      <c r="AN507" s="361"/>
      <c r="AO507" s="361"/>
      <c r="AP507" s="361"/>
      <c r="AQ507" s="361"/>
      <c r="AR507" s="503"/>
      <c r="AS507" s="489"/>
      <c r="AT507" s="160"/>
      <c r="AU507" s="355"/>
    </row>
    <row r="508" spans="1:47" s="124" customFormat="1" ht="21.75" hidden="1" customHeight="1">
      <c r="A508" s="331">
        <v>507</v>
      </c>
      <c r="B508" s="361" t="s">
        <v>2011</v>
      </c>
      <c r="C508" s="361" t="s">
        <v>2012</v>
      </c>
      <c r="D508" s="435" t="s">
        <v>2013</v>
      </c>
      <c r="E508" s="361" t="str">
        <f t="shared" si="7"/>
        <v>LOSS</v>
      </c>
      <c r="F508" s="361"/>
      <c r="G508" s="361"/>
      <c r="H508" s="361" t="s">
        <v>327</v>
      </c>
      <c r="I508" s="160" t="s">
        <v>346</v>
      </c>
      <c r="J508" s="361"/>
      <c r="K508" s="365"/>
      <c r="L508" s="361"/>
      <c r="M508" s="361"/>
      <c r="N508" s="361"/>
      <c r="O508" s="362">
        <v>0</v>
      </c>
      <c r="P508" s="413">
        <v>0</v>
      </c>
      <c r="Q508" s="361"/>
      <c r="R508" s="372">
        <v>0</v>
      </c>
      <c r="S508" s="413">
        <v>10000003</v>
      </c>
      <c r="T508" s="361"/>
      <c r="U508" s="348">
        <v>44743</v>
      </c>
      <c r="V508" s="348">
        <v>45128</v>
      </c>
      <c r="W508" s="361" t="s">
        <v>250</v>
      </c>
      <c r="X508" s="361"/>
      <c r="Y508" s="361"/>
      <c r="Z508" s="361"/>
      <c r="AA508" s="361"/>
      <c r="AB508" s="361"/>
      <c r="AC508" s="159"/>
      <c r="AD508" s="361" t="s">
        <v>2022</v>
      </c>
      <c r="AE508" s="364">
        <v>4500018604</v>
      </c>
      <c r="AF508" s="364"/>
      <c r="AG508" s="361"/>
      <c r="AH508" s="365"/>
      <c r="AI508" s="361"/>
      <c r="AJ508" s="361"/>
      <c r="AK508" s="361"/>
      <c r="AL508" s="361"/>
      <c r="AM508" s="361"/>
      <c r="AN508" s="361"/>
      <c r="AO508" s="361"/>
      <c r="AP508" s="361"/>
      <c r="AQ508" s="361"/>
      <c r="AR508" s="503"/>
      <c r="AS508" s="489"/>
      <c r="AT508" s="160"/>
      <c r="AU508" s="355"/>
    </row>
    <row r="509" spans="1:47" s="124" customFormat="1" ht="21.75" hidden="1" customHeight="1">
      <c r="A509" s="331">
        <v>508</v>
      </c>
      <c r="B509" s="361" t="s">
        <v>93</v>
      </c>
      <c r="C509" s="361" t="s">
        <v>2023</v>
      </c>
      <c r="D509" s="436" t="s">
        <v>1668</v>
      </c>
      <c r="E509" s="361" t="str">
        <f t="shared" si="7"/>
        <v>LOSS</v>
      </c>
      <c r="F509" s="361"/>
      <c r="G509" s="361"/>
      <c r="H509" s="361" t="s">
        <v>327</v>
      </c>
      <c r="I509" s="361" t="s">
        <v>242</v>
      </c>
      <c r="J509" s="361" t="s">
        <v>1101</v>
      </c>
      <c r="K509" s="365"/>
      <c r="L509" s="361"/>
      <c r="M509" s="361"/>
      <c r="N509" s="361"/>
      <c r="O509" s="362" t="s">
        <v>115</v>
      </c>
      <c r="P509" s="413">
        <v>66000000</v>
      </c>
      <c r="Q509" s="361"/>
      <c r="R509" s="372">
        <v>0</v>
      </c>
      <c r="S509" s="413">
        <v>36000000</v>
      </c>
      <c r="T509" s="361"/>
      <c r="U509" s="348">
        <v>44789</v>
      </c>
      <c r="V509" s="348">
        <v>45153</v>
      </c>
      <c r="W509" s="361" t="s">
        <v>250</v>
      </c>
      <c r="X509" s="361"/>
      <c r="Y509" s="361"/>
      <c r="Z509" s="361"/>
      <c r="AA509" s="361"/>
      <c r="AB509" s="361"/>
      <c r="AC509" s="159"/>
      <c r="AD509" s="361" t="s">
        <v>2024</v>
      </c>
      <c r="AE509" s="364">
        <v>4500018447</v>
      </c>
      <c r="AF509" s="364"/>
      <c r="AG509" s="361"/>
      <c r="AH509" s="365"/>
      <c r="AI509" s="361"/>
      <c r="AJ509" s="361"/>
      <c r="AK509" s="361"/>
      <c r="AL509" s="361"/>
      <c r="AM509" s="361"/>
      <c r="AN509" s="361"/>
      <c r="AO509" s="361"/>
      <c r="AP509" s="361"/>
      <c r="AQ509" s="361"/>
      <c r="AR509" s="503"/>
      <c r="AS509" s="489"/>
      <c r="AT509" s="160"/>
      <c r="AU509" s="355"/>
    </row>
    <row r="510" spans="1:47" s="124" customFormat="1" ht="21.75" hidden="1" customHeight="1">
      <c r="A510" s="331">
        <v>509</v>
      </c>
      <c r="B510" s="28" t="s">
        <v>103</v>
      </c>
      <c r="C510" s="361" t="s">
        <v>2025</v>
      </c>
      <c r="D510" s="435" t="s">
        <v>1689</v>
      </c>
      <c r="E510" s="361" t="str">
        <f t="shared" si="7"/>
        <v>LOSS</v>
      </c>
      <c r="F510" s="361"/>
      <c r="G510" s="361"/>
      <c r="H510" s="361" t="s">
        <v>327</v>
      </c>
      <c r="I510" s="160" t="s">
        <v>346</v>
      </c>
      <c r="J510" s="361" t="s">
        <v>721</v>
      </c>
      <c r="K510" s="365"/>
      <c r="L510" s="361"/>
      <c r="M510" s="361"/>
      <c r="N510" s="361"/>
      <c r="O510" s="362">
        <v>0</v>
      </c>
      <c r="P510" s="413">
        <v>1150000</v>
      </c>
      <c r="Q510" s="361"/>
      <c r="R510" s="372">
        <v>0</v>
      </c>
      <c r="S510" s="413">
        <v>12000000</v>
      </c>
      <c r="T510" s="361"/>
      <c r="U510" s="348">
        <v>44792</v>
      </c>
      <c r="V510" s="348">
        <v>45156</v>
      </c>
      <c r="W510" s="361" t="s">
        <v>250</v>
      </c>
      <c r="X510" s="361"/>
      <c r="Y510" s="361"/>
      <c r="Z510" s="361"/>
      <c r="AA510" s="361"/>
      <c r="AB510" s="361"/>
      <c r="AC510" s="159"/>
      <c r="AD510" s="361" t="s">
        <v>2026</v>
      </c>
      <c r="AE510" s="364">
        <v>4500018462</v>
      </c>
      <c r="AF510" s="364"/>
      <c r="AG510" s="361"/>
      <c r="AH510" s="365"/>
      <c r="AI510" s="361"/>
      <c r="AJ510" s="361"/>
      <c r="AK510" s="361"/>
      <c r="AL510" s="361"/>
      <c r="AM510" s="361"/>
      <c r="AN510" s="361"/>
      <c r="AO510" s="361"/>
      <c r="AP510" s="361"/>
      <c r="AQ510" s="361"/>
      <c r="AR510" s="503"/>
      <c r="AS510" s="489"/>
      <c r="AT510" s="160"/>
      <c r="AU510" s="355"/>
    </row>
    <row r="511" spans="1:47" s="124" customFormat="1" ht="21.75" hidden="1" customHeight="1">
      <c r="A511" s="331">
        <v>510</v>
      </c>
      <c r="B511" s="28" t="s">
        <v>179</v>
      </c>
      <c r="C511" s="361" t="s">
        <v>2027</v>
      </c>
      <c r="D511" s="436" t="s">
        <v>1630</v>
      </c>
      <c r="E511" s="361" t="str">
        <f t="shared" si="7"/>
        <v>LOSS</v>
      </c>
      <c r="F511" s="361"/>
      <c r="G511" s="361"/>
      <c r="H511" s="361" t="s">
        <v>327</v>
      </c>
      <c r="I511" s="361" t="s">
        <v>242</v>
      </c>
      <c r="J511" s="361" t="s">
        <v>2028</v>
      </c>
      <c r="K511" s="365"/>
      <c r="L511" s="361"/>
      <c r="M511" s="361"/>
      <c r="N511" s="361"/>
      <c r="O511" s="362">
        <v>3000000</v>
      </c>
      <c r="P511" s="413">
        <v>1032000</v>
      </c>
      <c r="Q511" s="361"/>
      <c r="R511" s="378">
        <v>1500000</v>
      </c>
      <c r="S511" s="413">
        <v>18000000</v>
      </c>
      <c r="T511" s="361"/>
      <c r="U511" s="348">
        <v>44775</v>
      </c>
      <c r="V511" s="348">
        <v>45139</v>
      </c>
      <c r="W511" s="361" t="s">
        <v>250</v>
      </c>
      <c r="X511" s="361"/>
      <c r="Y511" s="361"/>
      <c r="Z511" s="361"/>
      <c r="AA511" s="361"/>
      <c r="AB511" s="361"/>
      <c r="AC511" s="159"/>
      <c r="AD511" s="361" t="s">
        <v>2029</v>
      </c>
      <c r="AE511" s="364">
        <v>4500018501</v>
      </c>
      <c r="AF511" s="364"/>
      <c r="AG511" s="361"/>
      <c r="AH511" s="365"/>
      <c r="AI511" s="361"/>
      <c r="AJ511" s="361"/>
      <c r="AK511" s="361"/>
      <c r="AL511" s="361"/>
      <c r="AM511" s="361"/>
      <c r="AN511" s="361"/>
      <c r="AO511" s="361"/>
      <c r="AP511" s="361"/>
      <c r="AQ511" s="361"/>
      <c r="AR511" s="503"/>
      <c r="AS511" s="489"/>
      <c r="AT511" s="160"/>
      <c r="AU511" s="355"/>
    </row>
    <row r="512" spans="1:47" s="124" customFormat="1" ht="21.75" hidden="1" customHeight="1">
      <c r="A512" s="331">
        <v>511</v>
      </c>
      <c r="B512" s="361" t="s">
        <v>679</v>
      </c>
      <c r="C512" s="361" t="s">
        <v>2030</v>
      </c>
      <c r="D512" s="435" t="s">
        <v>2031</v>
      </c>
      <c r="E512" s="361" t="str">
        <f t="shared" si="7"/>
        <v>LOSS</v>
      </c>
      <c r="F512" s="361"/>
      <c r="G512" s="361"/>
      <c r="H512" s="361" t="s">
        <v>327</v>
      </c>
      <c r="I512" s="160" t="s">
        <v>346</v>
      </c>
      <c r="J512" s="361" t="s">
        <v>2032</v>
      </c>
      <c r="K512" s="365"/>
      <c r="L512" s="361"/>
      <c r="M512" s="361"/>
      <c r="N512" s="361"/>
      <c r="O512" s="362">
        <v>0</v>
      </c>
      <c r="P512" s="413">
        <v>159000000</v>
      </c>
      <c r="Q512" s="361"/>
      <c r="R512" s="372">
        <v>0</v>
      </c>
      <c r="S512" s="413">
        <v>9000000</v>
      </c>
      <c r="T512" s="361"/>
      <c r="U512" s="367">
        <v>44669</v>
      </c>
      <c r="V512" s="367">
        <v>45033</v>
      </c>
      <c r="W512" s="361" t="s">
        <v>250</v>
      </c>
      <c r="X512" s="361"/>
      <c r="Y512" s="361"/>
      <c r="Z512" s="361"/>
      <c r="AA512" s="361"/>
      <c r="AB512" s="361"/>
      <c r="AC512" s="159"/>
      <c r="AD512" s="361" t="s">
        <v>2033</v>
      </c>
      <c r="AE512" s="364">
        <v>4500018395</v>
      </c>
      <c r="AF512" s="364"/>
      <c r="AG512" s="361"/>
      <c r="AH512" s="365"/>
      <c r="AI512" s="361"/>
      <c r="AJ512" s="361"/>
      <c r="AK512" s="361"/>
      <c r="AL512" s="361"/>
      <c r="AM512" s="361"/>
      <c r="AN512" s="361"/>
      <c r="AO512" s="361"/>
      <c r="AP512" s="361"/>
      <c r="AQ512" s="361"/>
      <c r="AR512" s="503"/>
      <c r="AS512" s="489"/>
      <c r="AT512" s="160"/>
      <c r="AU512" s="355"/>
    </row>
    <row r="513" spans="1:47" s="124" customFormat="1" ht="21.75" hidden="1" customHeight="1">
      <c r="A513" s="331">
        <v>512</v>
      </c>
      <c r="B513" s="361" t="s">
        <v>2034</v>
      </c>
      <c r="C513" s="361" t="s">
        <v>2035</v>
      </c>
      <c r="D513" s="436" t="s">
        <v>2036</v>
      </c>
      <c r="E513" s="361" t="str">
        <f t="shared" si="7"/>
        <v>LOSS</v>
      </c>
      <c r="F513" s="361"/>
      <c r="G513" s="361"/>
      <c r="H513" s="361" t="s">
        <v>327</v>
      </c>
      <c r="I513" s="361" t="s">
        <v>242</v>
      </c>
      <c r="J513" s="361" t="s">
        <v>2037</v>
      </c>
      <c r="K513" s="365"/>
      <c r="L513" s="361"/>
      <c r="M513" s="361"/>
      <c r="N513" s="361"/>
      <c r="O513" s="362">
        <v>3000000</v>
      </c>
      <c r="P513" s="413">
        <v>24000000</v>
      </c>
      <c r="Q513" s="361"/>
      <c r="R513" s="372">
        <v>2000000</v>
      </c>
      <c r="S513" s="413">
        <v>15360000</v>
      </c>
      <c r="T513" s="361"/>
      <c r="U513" s="348">
        <v>44788</v>
      </c>
      <c r="V513" s="348">
        <v>45152</v>
      </c>
      <c r="W513" s="361" t="s">
        <v>250</v>
      </c>
      <c r="X513" s="361"/>
      <c r="Y513" s="361"/>
      <c r="Z513" s="361"/>
      <c r="AA513" s="361"/>
      <c r="AB513" s="361"/>
      <c r="AC513" s="159"/>
      <c r="AD513" s="361" t="s">
        <v>2038</v>
      </c>
      <c r="AE513" s="364">
        <v>4500018513</v>
      </c>
      <c r="AF513" s="364"/>
      <c r="AG513" s="361"/>
      <c r="AH513" s="365"/>
      <c r="AI513" s="361"/>
      <c r="AJ513" s="361"/>
      <c r="AK513" s="361"/>
      <c r="AL513" s="361"/>
      <c r="AM513" s="361"/>
      <c r="AN513" s="361"/>
      <c r="AO513" s="361"/>
      <c r="AP513" s="361"/>
      <c r="AQ513" s="361"/>
      <c r="AR513" s="503"/>
      <c r="AS513" s="489"/>
      <c r="AT513" s="160"/>
      <c r="AU513" s="355"/>
    </row>
    <row r="514" spans="1:47" s="124" customFormat="1" ht="21.75" hidden="1" customHeight="1">
      <c r="A514" s="331">
        <v>513</v>
      </c>
      <c r="B514" s="361" t="s">
        <v>348</v>
      </c>
      <c r="C514" s="361" t="s">
        <v>2039</v>
      </c>
      <c r="D514" s="435" t="s">
        <v>1623</v>
      </c>
      <c r="E514" s="361" t="str">
        <f t="shared" ref="E514:E577" si="8">IF(Z514&lt;=0, "LOSS",IF(Z514&lt;=15, "CRITICAL",IF(Z514&lt;=30, "WARNING",IF(Z514&lt;60, "ATTENTION", "ON TRACK"))))</f>
        <v>LOSS</v>
      </c>
      <c r="F514" s="361"/>
      <c r="G514" s="361"/>
      <c r="H514" s="361" t="s">
        <v>327</v>
      </c>
      <c r="I514" s="361" t="s">
        <v>242</v>
      </c>
      <c r="J514" s="361" t="s">
        <v>2040</v>
      </c>
      <c r="K514" s="365"/>
      <c r="L514" s="361"/>
      <c r="M514" s="361"/>
      <c r="N514" s="361"/>
      <c r="O514" s="362">
        <v>3500000</v>
      </c>
      <c r="P514" s="413">
        <v>228000000</v>
      </c>
      <c r="Q514" s="361"/>
      <c r="R514" s="372">
        <v>0</v>
      </c>
      <c r="S514" s="413">
        <v>79861032</v>
      </c>
      <c r="T514" s="361"/>
      <c r="U514" s="348">
        <v>44782</v>
      </c>
      <c r="V514" s="348">
        <v>45146</v>
      </c>
      <c r="W514" s="361" t="s">
        <v>250</v>
      </c>
      <c r="X514" s="361"/>
      <c r="Y514" s="361"/>
      <c r="Z514" s="361"/>
      <c r="AA514" s="361"/>
      <c r="AB514" s="361"/>
      <c r="AC514" s="159"/>
      <c r="AD514" s="361" t="s">
        <v>2041</v>
      </c>
      <c r="AE514" s="364">
        <v>4500018571</v>
      </c>
      <c r="AF514" s="364"/>
      <c r="AG514" s="361"/>
      <c r="AH514" s="365"/>
      <c r="AI514" s="361"/>
      <c r="AJ514" s="361"/>
      <c r="AK514" s="361"/>
      <c r="AL514" s="361"/>
      <c r="AM514" s="361"/>
      <c r="AN514" s="361"/>
      <c r="AO514" s="361"/>
      <c r="AP514" s="361"/>
      <c r="AQ514" s="361"/>
      <c r="AR514" s="503"/>
      <c r="AS514" s="489"/>
      <c r="AT514" s="160"/>
      <c r="AU514" s="355"/>
    </row>
    <row r="515" spans="1:47" s="124" customFormat="1" ht="21.75" hidden="1" customHeight="1">
      <c r="A515" s="331">
        <v>514</v>
      </c>
      <c r="B515" s="361" t="s">
        <v>2042</v>
      </c>
      <c r="C515" s="361" t="s">
        <v>2043</v>
      </c>
      <c r="D515" s="436" t="s">
        <v>2044</v>
      </c>
      <c r="E515" s="361" t="str">
        <f t="shared" si="8"/>
        <v>LOSS</v>
      </c>
      <c r="F515" s="361"/>
      <c r="G515" s="361"/>
      <c r="H515" s="361" t="s">
        <v>327</v>
      </c>
      <c r="I515" s="160" t="s">
        <v>346</v>
      </c>
      <c r="J515" s="361" t="s">
        <v>2045</v>
      </c>
      <c r="K515" s="365"/>
      <c r="L515" s="361"/>
      <c r="M515" s="361"/>
      <c r="N515" s="361"/>
      <c r="O515" s="362">
        <v>5000000</v>
      </c>
      <c r="P515" s="413">
        <v>165000000</v>
      </c>
      <c r="Q515" s="361"/>
      <c r="R515" s="372">
        <v>0</v>
      </c>
      <c r="S515" s="413">
        <v>41343750</v>
      </c>
      <c r="T515" s="361"/>
      <c r="U515" s="348">
        <v>44778</v>
      </c>
      <c r="V515" s="348">
        <v>45142</v>
      </c>
      <c r="W515" s="361" t="s">
        <v>250</v>
      </c>
      <c r="X515" s="361"/>
      <c r="Y515" s="361"/>
      <c r="Z515" s="361"/>
      <c r="AA515" s="361"/>
      <c r="AB515" s="361"/>
      <c r="AC515" s="159"/>
      <c r="AD515" s="361" t="s">
        <v>2046</v>
      </c>
      <c r="AE515" s="364">
        <v>4500018591</v>
      </c>
      <c r="AF515" s="364"/>
      <c r="AG515" s="361"/>
      <c r="AH515" s="365"/>
      <c r="AI515" s="361"/>
      <c r="AJ515" s="361"/>
      <c r="AK515" s="361"/>
      <c r="AL515" s="361"/>
      <c r="AM515" s="361"/>
      <c r="AN515" s="361"/>
      <c r="AO515" s="361"/>
      <c r="AP515" s="361"/>
      <c r="AQ515" s="361"/>
      <c r="AR515" s="503"/>
      <c r="AS515" s="489"/>
      <c r="AT515" s="160"/>
      <c r="AU515" s="355"/>
    </row>
    <row r="516" spans="1:47" s="124" customFormat="1" ht="21.75" hidden="1" customHeight="1">
      <c r="A516" s="331">
        <v>515</v>
      </c>
      <c r="B516" s="28" t="s">
        <v>179</v>
      </c>
      <c r="C516" s="361" t="s">
        <v>2047</v>
      </c>
      <c r="D516" s="435" t="s">
        <v>1630</v>
      </c>
      <c r="E516" s="361" t="str">
        <f t="shared" si="8"/>
        <v>LOSS</v>
      </c>
      <c r="F516" s="361"/>
      <c r="G516" s="361"/>
      <c r="H516" s="361" t="s">
        <v>327</v>
      </c>
      <c r="I516" s="361" t="s">
        <v>242</v>
      </c>
      <c r="J516" s="361" t="s">
        <v>2048</v>
      </c>
      <c r="K516" s="365"/>
      <c r="L516" s="361"/>
      <c r="M516" s="361"/>
      <c r="N516" s="361"/>
      <c r="O516" s="362">
        <v>0</v>
      </c>
      <c r="P516" s="413">
        <v>0</v>
      </c>
      <c r="Q516" s="361"/>
      <c r="R516" s="372">
        <v>1500000</v>
      </c>
      <c r="S516" s="413">
        <v>1500000</v>
      </c>
      <c r="T516" s="361"/>
      <c r="U516" s="348">
        <v>44815</v>
      </c>
      <c r="V516" s="348">
        <v>45209</v>
      </c>
      <c r="W516" s="361" t="s">
        <v>250</v>
      </c>
      <c r="X516" s="361"/>
      <c r="Y516" s="361"/>
      <c r="Z516" s="361"/>
      <c r="AA516" s="361"/>
      <c r="AB516" s="361"/>
      <c r="AC516" s="159"/>
      <c r="AD516" s="361" t="s">
        <v>2049</v>
      </c>
      <c r="AE516" s="364">
        <v>4500019071</v>
      </c>
      <c r="AF516" s="364"/>
      <c r="AG516" s="361"/>
      <c r="AH516" s="365"/>
      <c r="AI516" s="361"/>
      <c r="AJ516" s="361"/>
      <c r="AK516" s="361"/>
      <c r="AL516" s="361"/>
      <c r="AM516" s="361"/>
      <c r="AN516" s="361"/>
      <c r="AO516" s="361"/>
      <c r="AP516" s="361"/>
      <c r="AQ516" s="361"/>
      <c r="AR516" s="503"/>
      <c r="AS516" s="489"/>
      <c r="AT516" s="160"/>
      <c r="AU516" s="355"/>
    </row>
    <row r="517" spans="1:47" s="124" customFormat="1" ht="21.75" hidden="1" customHeight="1">
      <c r="A517" s="331">
        <v>516</v>
      </c>
      <c r="B517" s="361" t="s">
        <v>2050</v>
      </c>
      <c r="C517" s="361" t="s">
        <v>2051</v>
      </c>
      <c r="D517" s="436" t="s">
        <v>2052</v>
      </c>
      <c r="E517" s="361" t="str">
        <f t="shared" si="8"/>
        <v>LOSS</v>
      </c>
      <c r="F517" s="361"/>
      <c r="G517" s="361"/>
      <c r="H517" s="361" t="s">
        <v>327</v>
      </c>
      <c r="I517" s="361" t="s">
        <v>242</v>
      </c>
      <c r="J517" s="361" t="s">
        <v>2053</v>
      </c>
      <c r="K517" s="365"/>
      <c r="L517" s="361"/>
      <c r="M517" s="361"/>
      <c r="N517" s="361"/>
      <c r="O517" s="362">
        <v>0</v>
      </c>
      <c r="P517" s="361" t="s">
        <v>115</v>
      </c>
      <c r="Q517" s="361"/>
      <c r="R517" s="372">
        <v>0</v>
      </c>
      <c r="S517" s="413">
        <v>6300000</v>
      </c>
      <c r="T517" s="361"/>
      <c r="U517" s="348">
        <v>44384</v>
      </c>
      <c r="V517" s="348">
        <v>45113</v>
      </c>
      <c r="W517" s="361" t="s">
        <v>250</v>
      </c>
      <c r="X517" s="361"/>
      <c r="Y517" s="361"/>
      <c r="Z517" s="361"/>
      <c r="AA517" s="361"/>
      <c r="AB517" s="361"/>
      <c r="AC517" s="159"/>
      <c r="AD517" s="361" t="s">
        <v>2054</v>
      </c>
      <c r="AE517" s="364">
        <v>4500018509</v>
      </c>
      <c r="AF517" s="364"/>
      <c r="AG517" s="361"/>
      <c r="AH517" s="365"/>
      <c r="AI517" s="361"/>
      <c r="AJ517" s="361"/>
      <c r="AK517" s="361"/>
      <c r="AL517" s="361"/>
      <c r="AM517" s="361"/>
      <c r="AN517" s="361"/>
      <c r="AO517" s="361"/>
      <c r="AP517" s="361"/>
      <c r="AQ517" s="361"/>
      <c r="AR517" s="503"/>
      <c r="AS517" s="489"/>
      <c r="AT517" s="160"/>
      <c r="AU517" s="355"/>
    </row>
    <row r="518" spans="1:47" s="124" customFormat="1" ht="21.75" hidden="1" customHeight="1">
      <c r="A518" s="331">
        <v>517</v>
      </c>
      <c r="B518" s="361" t="s">
        <v>2050</v>
      </c>
      <c r="C518" s="361" t="s">
        <v>2055</v>
      </c>
      <c r="D518" s="435" t="s">
        <v>2052</v>
      </c>
      <c r="E518" s="361" t="str">
        <f t="shared" si="8"/>
        <v>LOSS</v>
      </c>
      <c r="F518" s="361"/>
      <c r="G518" s="361"/>
      <c r="H518" s="361" t="s">
        <v>327</v>
      </c>
      <c r="I518" s="361" t="s">
        <v>242</v>
      </c>
      <c r="J518" s="361" t="s">
        <v>2053</v>
      </c>
      <c r="K518" s="365"/>
      <c r="L518" s="361"/>
      <c r="M518" s="361"/>
      <c r="N518" s="361"/>
      <c r="O518" s="362">
        <v>0</v>
      </c>
      <c r="P518" s="361" t="s">
        <v>115</v>
      </c>
      <c r="Q518" s="361"/>
      <c r="R518" s="361" t="s">
        <v>115</v>
      </c>
      <c r="S518" s="413">
        <v>6300000</v>
      </c>
      <c r="T518" s="361"/>
      <c r="U518" s="348">
        <v>44384</v>
      </c>
      <c r="V518" s="348">
        <v>45113</v>
      </c>
      <c r="W518" s="361" t="s">
        <v>250</v>
      </c>
      <c r="X518" s="361"/>
      <c r="Y518" s="361"/>
      <c r="Z518" s="361"/>
      <c r="AA518" s="361"/>
      <c r="AB518" s="361"/>
      <c r="AC518" s="159"/>
      <c r="AD518" s="361" t="s">
        <v>2056</v>
      </c>
      <c r="AE518" s="364">
        <v>4500018510</v>
      </c>
      <c r="AF518" s="364"/>
      <c r="AG518" s="361"/>
      <c r="AH518" s="365"/>
      <c r="AI518" s="361"/>
      <c r="AJ518" s="361"/>
      <c r="AK518" s="361"/>
      <c r="AL518" s="361"/>
      <c r="AM518" s="361"/>
      <c r="AN518" s="361"/>
      <c r="AO518" s="361"/>
      <c r="AP518" s="361"/>
      <c r="AQ518" s="361"/>
      <c r="AR518" s="503"/>
      <c r="AS518" s="489"/>
      <c r="AT518" s="160"/>
      <c r="AU518" s="355"/>
    </row>
    <row r="519" spans="1:47" s="124" customFormat="1" ht="21.75" hidden="1" customHeight="1">
      <c r="A519" s="331">
        <v>518</v>
      </c>
      <c r="B519" s="361" t="s">
        <v>2057</v>
      </c>
      <c r="C519" s="361" t="s">
        <v>2058</v>
      </c>
      <c r="D519" s="436" t="s">
        <v>2059</v>
      </c>
      <c r="E519" s="361" t="str">
        <f t="shared" si="8"/>
        <v>LOSS</v>
      </c>
      <c r="F519" s="361"/>
      <c r="G519" s="361"/>
      <c r="H519" s="361" t="s">
        <v>327</v>
      </c>
      <c r="I519" s="160" t="s">
        <v>346</v>
      </c>
      <c r="J519" s="361" t="s">
        <v>2060</v>
      </c>
      <c r="K519" s="365"/>
      <c r="L519" s="361"/>
      <c r="M519" s="361"/>
      <c r="N519" s="361"/>
      <c r="O519" s="362">
        <v>0</v>
      </c>
      <c r="P519" s="413">
        <v>0</v>
      </c>
      <c r="Q519" s="361"/>
      <c r="R519" s="372">
        <v>0</v>
      </c>
      <c r="S519" s="413">
        <v>93555000</v>
      </c>
      <c r="T519" s="361"/>
      <c r="U519" s="348">
        <v>44621</v>
      </c>
      <c r="V519" s="348">
        <v>46446</v>
      </c>
      <c r="W519" s="361" t="s">
        <v>250</v>
      </c>
      <c r="X519" s="361"/>
      <c r="Y519" s="361"/>
      <c r="Z519" s="361"/>
      <c r="AA519" s="361"/>
      <c r="AB519" s="361"/>
      <c r="AC519" s="159"/>
      <c r="AD519" s="361" t="s">
        <v>2061</v>
      </c>
      <c r="AE519" s="364">
        <v>4500018121</v>
      </c>
      <c r="AF519" s="364"/>
      <c r="AG519" s="361"/>
      <c r="AH519" s="365"/>
      <c r="AI519" s="361"/>
      <c r="AJ519" s="361"/>
      <c r="AK519" s="361"/>
      <c r="AL519" s="361"/>
      <c r="AM519" s="361"/>
      <c r="AN519" s="361"/>
      <c r="AO519" s="361"/>
      <c r="AP519" s="361"/>
      <c r="AQ519" s="361"/>
      <c r="AR519" s="503"/>
      <c r="AS519" s="489"/>
      <c r="AT519" s="160"/>
      <c r="AU519" s="355"/>
    </row>
    <row r="520" spans="1:47" s="124" customFormat="1" ht="21.75" hidden="1" customHeight="1">
      <c r="A520" s="331">
        <v>519</v>
      </c>
      <c r="B520" s="28" t="s">
        <v>129</v>
      </c>
      <c r="C520" s="361" t="s">
        <v>2062</v>
      </c>
      <c r="D520" s="435" t="s">
        <v>2063</v>
      </c>
      <c r="E520" s="361" t="str">
        <f t="shared" si="8"/>
        <v>LOSS</v>
      </c>
      <c r="F520" s="361"/>
      <c r="G520" s="361"/>
      <c r="H520" s="361" t="s">
        <v>327</v>
      </c>
      <c r="I520" s="160" t="s">
        <v>346</v>
      </c>
      <c r="J520" s="361" t="s">
        <v>136</v>
      </c>
      <c r="K520" s="365"/>
      <c r="L520" s="361"/>
      <c r="M520" s="361"/>
      <c r="N520" s="361"/>
      <c r="O520" s="362">
        <v>0</v>
      </c>
      <c r="P520" s="413">
        <v>109200000</v>
      </c>
      <c r="Q520" s="361"/>
      <c r="R520" s="372">
        <v>0</v>
      </c>
      <c r="S520" s="413">
        <v>24107580</v>
      </c>
      <c r="T520" s="361"/>
      <c r="U520" s="348">
        <v>44850</v>
      </c>
      <c r="V520" s="348">
        <v>45214</v>
      </c>
      <c r="W520" s="361" t="s">
        <v>250</v>
      </c>
      <c r="X520" s="361"/>
      <c r="Y520" s="361"/>
      <c r="Z520" s="361"/>
      <c r="AA520" s="361"/>
      <c r="AB520" s="361"/>
      <c r="AC520" s="159"/>
      <c r="AD520" s="361" t="s">
        <v>2064</v>
      </c>
      <c r="AE520" s="364">
        <v>4500019265</v>
      </c>
      <c r="AF520" s="364"/>
      <c r="AG520" s="361"/>
      <c r="AH520" s="365"/>
      <c r="AI520" s="361"/>
      <c r="AJ520" s="361"/>
      <c r="AK520" s="361"/>
      <c r="AL520" s="361"/>
      <c r="AM520" s="361"/>
      <c r="AN520" s="361"/>
      <c r="AO520" s="361"/>
      <c r="AP520" s="361"/>
      <c r="AQ520" s="361"/>
      <c r="AR520" s="503"/>
      <c r="AS520" s="489"/>
      <c r="AT520" s="160"/>
      <c r="AU520" s="355"/>
    </row>
    <row r="521" spans="1:47" s="124" customFormat="1" ht="21.75" hidden="1" customHeight="1">
      <c r="A521" s="331">
        <v>520</v>
      </c>
      <c r="B521" s="28" t="s">
        <v>129</v>
      </c>
      <c r="C521" s="361" t="s">
        <v>2065</v>
      </c>
      <c r="D521" s="436" t="s">
        <v>2063</v>
      </c>
      <c r="E521" s="361" t="str">
        <f t="shared" si="8"/>
        <v>LOSS</v>
      </c>
      <c r="F521" s="361"/>
      <c r="G521" s="361"/>
      <c r="H521" s="361" t="s">
        <v>327</v>
      </c>
      <c r="I521" s="160" t="s">
        <v>346</v>
      </c>
      <c r="J521" s="361" t="s">
        <v>2066</v>
      </c>
      <c r="K521" s="365"/>
      <c r="L521" s="361"/>
      <c r="M521" s="361"/>
      <c r="N521" s="361"/>
      <c r="O521" s="362">
        <v>0</v>
      </c>
      <c r="P521" s="413">
        <v>72000000</v>
      </c>
      <c r="Q521" s="361"/>
      <c r="R521" s="372">
        <v>0</v>
      </c>
      <c r="S521" s="413">
        <v>67791240</v>
      </c>
      <c r="T521" s="361"/>
      <c r="U521" s="348">
        <v>44622</v>
      </c>
      <c r="V521" s="348">
        <v>44986</v>
      </c>
      <c r="W521" s="361" t="s">
        <v>250</v>
      </c>
      <c r="X521" s="361"/>
      <c r="Y521" s="361"/>
      <c r="Z521" s="361"/>
      <c r="AA521" s="361"/>
      <c r="AB521" s="361"/>
      <c r="AC521" s="159"/>
      <c r="AD521" s="361" t="s">
        <v>2067</v>
      </c>
      <c r="AE521" s="364">
        <v>4500019261</v>
      </c>
      <c r="AF521" s="364"/>
      <c r="AG521" s="361"/>
      <c r="AH521" s="365"/>
      <c r="AI521" s="361"/>
      <c r="AJ521" s="361"/>
      <c r="AK521" s="361"/>
      <c r="AL521" s="361"/>
      <c r="AM521" s="361"/>
      <c r="AN521" s="361"/>
      <c r="AO521" s="361"/>
      <c r="AP521" s="361"/>
      <c r="AQ521" s="361"/>
      <c r="AR521" s="503"/>
      <c r="AS521" s="489"/>
      <c r="AT521" s="160"/>
      <c r="AU521" s="355"/>
    </row>
    <row r="522" spans="1:47" s="124" customFormat="1" ht="21.75" hidden="1" customHeight="1">
      <c r="A522" s="331">
        <v>521</v>
      </c>
      <c r="B522" s="361" t="s">
        <v>1396</v>
      </c>
      <c r="C522" s="361" t="s">
        <v>2068</v>
      </c>
      <c r="D522" s="435" t="s">
        <v>1674</v>
      </c>
      <c r="E522" s="361" t="str">
        <f t="shared" si="8"/>
        <v>LOSS</v>
      </c>
      <c r="F522" s="361"/>
      <c r="G522" s="361"/>
      <c r="H522" s="361" t="s">
        <v>327</v>
      </c>
      <c r="I522" s="361" t="s">
        <v>242</v>
      </c>
      <c r="J522" s="361" t="s">
        <v>2069</v>
      </c>
      <c r="K522" s="365"/>
      <c r="L522" s="361"/>
      <c r="M522" s="361"/>
      <c r="N522" s="361"/>
      <c r="O522" s="362">
        <v>5000000</v>
      </c>
      <c r="P522" s="413">
        <v>66000000</v>
      </c>
      <c r="Q522" s="361"/>
      <c r="R522" s="372">
        <v>0</v>
      </c>
      <c r="S522" s="413">
        <v>29000000</v>
      </c>
      <c r="T522" s="361"/>
      <c r="U522" s="348">
        <v>44866</v>
      </c>
      <c r="V522" s="348">
        <v>45230</v>
      </c>
      <c r="W522" s="361" t="s">
        <v>250</v>
      </c>
      <c r="X522" s="361"/>
      <c r="Y522" s="361"/>
      <c r="Z522" s="361"/>
      <c r="AA522" s="361"/>
      <c r="AB522" s="361"/>
      <c r="AC522" s="159"/>
      <c r="AD522" s="361" t="s">
        <v>2070</v>
      </c>
      <c r="AE522" s="364">
        <v>4500019287</v>
      </c>
      <c r="AF522" s="364"/>
      <c r="AG522" s="361"/>
      <c r="AH522" s="365"/>
      <c r="AI522" s="361"/>
      <c r="AJ522" s="361"/>
      <c r="AK522" s="361"/>
      <c r="AL522" s="361"/>
      <c r="AM522" s="361"/>
      <c r="AN522" s="361"/>
      <c r="AO522" s="361"/>
      <c r="AP522" s="361"/>
      <c r="AQ522" s="361"/>
      <c r="AR522" s="503"/>
      <c r="AS522" s="489"/>
      <c r="AT522" s="160"/>
      <c r="AU522" s="355"/>
    </row>
    <row r="523" spans="1:47" s="124" customFormat="1" ht="21.75" hidden="1" customHeight="1">
      <c r="A523" s="331">
        <v>522</v>
      </c>
      <c r="B523" s="361" t="s">
        <v>2071</v>
      </c>
      <c r="C523" s="361" t="s">
        <v>2072</v>
      </c>
      <c r="D523" s="436" t="s">
        <v>2073</v>
      </c>
      <c r="E523" s="361" t="str">
        <f t="shared" si="8"/>
        <v>LOSS</v>
      </c>
      <c r="F523" s="361"/>
      <c r="G523" s="361"/>
      <c r="H523" s="361" t="s">
        <v>327</v>
      </c>
      <c r="I523" s="361" t="s">
        <v>242</v>
      </c>
      <c r="J523" s="361" t="s">
        <v>2074</v>
      </c>
      <c r="K523" s="365"/>
      <c r="L523" s="361"/>
      <c r="M523" s="361"/>
      <c r="N523" s="361"/>
      <c r="O523" s="362">
        <v>2318182</v>
      </c>
      <c r="P523" s="413">
        <v>30545460</v>
      </c>
      <c r="Q523" s="361"/>
      <c r="R523" s="378">
        <v>500000</v>
      </c>
      <c r="S523" s="413">
        <v>5040000</v>
      </c>
      <c r="T523" s="361"/>
      <c r="U523" s="348">
        <v>44865</v>
      </c>
      <c r="V523" s="348">
        <v>45229</v>
      </c>
      <c r="W523" s="361" t="s">
        <v>250</v>
      </c>
      <c r="X523" s="361"/>
      <c r="Y523" s="361"/>
      <c r="Z523" s="361"/>
      <c r="AA523" s="361"/>
      <c r="AB523" s="361"/>
      <c r="AC523" s="159"/>
      <c r="AD523" s="361" t="s">
        <v>2075</v>
      </c>
      <c r="AE523" s="364">
        <v>4500019217</v>
      </c>
      <c r="AF523" s="364"/>
      <c r="AG523" s="361"/>
      <c r="AH523" s="365"/>
      <c r="AI523" s="361"/>
      <c r="AJ523" s="361"/>
      <c r="AK523" s="361"/>
      <c r="AL523" s="361"/>
      <c r="AM523" s="361"/>
      <c r="AN523" s="361"/>
      <c r="AO523" s="361"/>
      <c r="AP523" s="361"/>
      <c r="AQ523" s="361"/>
      <c r="AR523" s="503"/>
      <c r="AS523" s="489"/>
      <c r="AT523" s="160"/>
      <c r="AU523" s="355"/>
    </row>
    <row r="524" spans="1:47" s="124" customFormat="1" ht="21.75" hidden="1" customHeight="1">
      <c r="A524" s="331">
        <v>523</v>
      </c>
      <c r="B524" s="361" t="s">
        <v>37</v>
      </c>
      <c r="C524" s="361" t="s">
        <v>2076</v>
      </c>
      <c r="D524" s="435" t="s">
        <v>2077</v>
      </c>
      <c r="E524" s="361" t="str">
        <f t="shared" si="8"/>
        <v>LOSS</v>
      </c>
      <c r="F524" s="361"/>
      <c r="G524" s="361"/>
      <c r="H524" s="361" t="s">
        <v>327</v>
      </c>
      <c r="I524" s="361" t="s">
        <v>242</v>
      </c>
      <c r="J524" s="361" t="s">
        <v>2078</v>
      </c>
      <c r="K524" s="365"/>
      <c r="L524" s="361"/>
      <c r="M524" s="361"/>
      <c r="N524" s="361"/>
      <c r="O524" s="362">
        <v>0</v>
      </c>
      <c r="P524" s="413">
        <v>50412000</v>
      </c>
      <c r="Q524" s="361"/>
      <c r="R524" s="372">
        <v>0</v>
      </c>
      <c r="S524" s="413">
        <v>66000000</v>
      </c>
      <c r="T524" s="361"/>
      <c r="U524" s="348">
        <v>44908</v>
      </c>
      <c r="V524" s="348">
        <v>45272</v>
      </c>
      <c r="W524" s="361" t="s">
        <v>250</v>
      </c>
      <c r="X524" s="361"/>
      <c r="Y524" s="361"/>
      <c r="Z524" s="361"/>
      <c r="AA524" s="361"/>
      <c r="AB524" s="361"/>
      <c r="AC524" s="159"/>
      <c r="AD524" s="361" t="s">
        <v>2079</v>
      </c>
      <c r="AE524" s="364">
        <v>4500019240</v>
      </c>
      <c r="AF524" s="364"/>
      <c r="AG524" s="361"/>
      <c r="AH524" s="365"/>
      <c r="AI524" s="361"/>
      <c r="AJ524" s="361"/>
      <c r="AK524" s="361"/>
      <c r="AL524" s="361"/>
      <c r="AM524" s="361"/>
      <c r="AN524" s="361"/>
      <c r="AO524" s="361"/>
      <c r="AP524" s="361"/>
      <c r="AQ524" s="361"/>
      <c r="AR524" s="503"/>
      <c r="AS524" s="489"/>
      <c r="AT524" s="160"/>
      <c r="AU524" s="355"/>
    </row>
    <row r="525" spans="1:47" s="124" customFormat="1" ht="21.75" hidden="1" customHeight="1">
      <c r="A525" s="331">
        <v>524</v>
      </c>
      <c r="B525" s="28" t="s">
        <v>179</v>
      </c>
      <c r="C525" s="361" t="s">
        <v>2080</v>
      </c>
      <c r="D525" s="436" t="s">
        <v>1630</v>
      </c>
      <c r="E525" s="361" t="str">
        <f t="shared" si="8"/>
        <v>LOSS</v>
      </c>
      <c r="F525" s="361"/>
      <c r="G525" s="361"/>
      <c r="H525" s="361" t="s">
        <v>327</v>
      </c>
      <c r="I525" s="361" t="s">
        <v>242</v>
      </c>
      <c r="J525" s="361"/>
      <c r="K525" s="365"/>
      <c r="L525" s="361"/>
      <c r="M525" s="361"/>
      <c r="N525" s="361"/>
      <c r="O525" s="362">
        <v>0</v>
      </c>
      <c r="P525" s="413">
        <v>0</v>
      </c>
      <c r="Q525" s="361"/>
      <c r="R525" s="372">
        <v>0</v>
      </c>
      <c r="S525" s="413">
        <v>2500000</v>
      </c>
      <c r="T525" s="361"/>
      <c r="U525" s="348">
        <v>44787</v>
      </c>
      <c r="V525" s="348">
        <v>45151</v>
      </c>
      <c r="W525" s="361" t="s">
        <v>250</v>
      </c>
      <c r="X525" s="361"/>
      <c r="Y525" s="361"/>
      <c r="Z525" s="361"/>
      <c r="AA525" s="361"/>
      <c r="AB525" s="361"/>
      <c r="AC525" s="159"/>
      <c r="AD525" s="361" t="s">
        <v>2081</v>
      </c>
      <c r="AE525" s="364">
        <v>4500019055</v>
      </c>
      <c r="AF525" s="364"/>
      <c r="AG525" s="361"/>
      <c r="AH525" s="365"/>
      <c r="AI525" s="361"/>
      <c r="AJ525" s="361"/>
      <c r="AK525" s="361"/>
      <c r="AL525" s="361"/>
      <c r="AM525" s="361"/>
      <c r="AN525" s="361"/>
      <c r="AO525" s="361"/>
      <c r="AP525" s="361"/>
      <c r="AQ525" s="361"/>
      <c r="AR525" s="503"/>
      <c r="AS525" s="489"/>
      <c r="AT525" s="160"/>
      <c r="AU525" s="355"/>
    </row>
    <row r="526" spans="1:47" s="124" customFormat="1" ht="21.75" hidden="1" customHeight="1">
      <c r="A526" s="331">
        <v>525</v>
      </c>
      <c r="B526" s="361" t="s">
        <v>2082</v>
      </c>
      <c r="C526" s="361" t="s">
        <v>2083</v>
      </c>
      <c r="D526" s="435" t="s">
        <v>2084</v>
      </c>
      <c r="E526" s="361" t="str">
        <f t="shared" si="8"/>
        <v>LOSS</v>
      </c>
      <c r="F526" s="361"/>
      <c r="G526" s="361"/>
      <c r="H526" s="28" t="s">
        <v>261</v>
      </c>
      <c r="I526" s="361" t="s">
        <v>243</v>
      </c>
      <c r="J526" s="361" t="s">
        <v>2085</v>
      </c>
      <c r="K526" s="361"/>
      <c r="L526" s="361"/>
      <c r="M526" s="361"/>
      <c r="N526" s="361"/>
      <c r="O526" s="362">
        <v>4818182</v>
      </c>
      <c r="P526" s="413">
        <v>86618184</v>
      </c>
      <c r="Q526" s="361"/>
      <c r="R526" s="372">
        <v>0</v>
      </c>
      <c r="S526" s="413">
        <v>43300000</v>
      </c>
      <c r="T526" s="361"/>
      <c r="U526" s="367">
        <v>44813</v>
      </c>
      <c r="V526" s="367">
        <v>45177</v>
      </c>
      <c r="W526" s="361" t="s">
        <v>250</v>
      </c>
      <c r="X526" s="361"/>
      <c r="Y526" s="361"/>
      <c r="Z526" s="361"/>
      <c r="AA526" s="361"/>
      <c r="AB526" s="361"/>
      <c r="AC526" s="159"/>
      <c r="AD526" s="361" t="s">
        <v>2086</v>
      </c>
      <c r="AE526" s="364">
        <v>4500018454</v>
      </c>
      <c r="AF526" s="364"/>
      <c r="AG526" s="361"/>
      <c r="AH526" s="361"/>
      <c r="AI526" s="361"/>
      <c r="AJ526" s="361"/>
      <c r="AK526" s="361"/>
      <c r="AL526" s="361"/>
      <c r="AM526" s="361"/>
      <c r="AN526" s="361"/>
      <c r="AO526" s="361"/>
      <c r="AP526" s="361"/>
      <c r="AQ526" s="361"/>
      <c r="AR526" s="503"/>
      <c r="AS526" s="489"/>
      <c r="AT526" s="160"/>
      <c r="AU526" s="355"/>
    </row>
    <row r="527" spans="1:47" s="124" customFormat="1" ht="21.75" hidden="1" customHeight="1">
      <c r="A527" s="331">
        <v>526</v>
      </c>
      <c r="B527" s="361" t="s">
        <v>348</v>
      </c>
      <c r="C527" s="361" t="s">
        <v>2087</v>
      </c>
      <c r="D527" s="436" t="s">
        <v>2088</v>
      </c>
      <c r="E527" s="361" t="str">
        <f t="shared" si="8"/>
        <v>LOSS</v>
      </c>
      <c r="F527" s="361"/>
      <c r="G527" s="361"/>
      <c r="H527" s="361" t="s">
        <v>327</v>
      </c>
      <c r="I527" s="361" t="s">
        <v>242</v>
      </c>
      <c r="J527" s="361" t="s">
        <v>2089</v>
      </c>
      <c r="K527" s="365"/>
      <c r="L527" s="361"/>
      <c r="M527" s="361"/>
      <c r="N527" s="361"/>
      <c r="O527" s="362">
        <v>3000000</v>
      </c>
      <c r="P527" s="413">
        <v>46800000</v>
      </c>
      <c r="Q527" s="361"/>
      <c r="R527" s="372">
        <v>0</v>
      </c>
      <c r="S527" s="413">
        <v>26143452</v>
      </c>
      <c r="T527" s="361"/>
      <c r="U527" s="367">
        <v>44869</v>
      </c>
      <c r="V527" s="367">
        <v>45233</v>
      </c>
      <c r="W527" s="361" t="s">
        <v>250</v>
      </c>
      <c r="X527" s="361"/>
      <c r="Y527" s="361"/>
      <c r="Z527" s="361"/>
      <c r="AA527" s="361"/>
      <c r="AB527" s="361"/>
      <c r="AC527" s="159"/>
      <c r="AD527" s="361" t="s">
        <v>2090</v>
      </c>
      <c r="AE527" s="364">
        <v>4500019286</v>
      </c>
      <c r="AF527" s="364"/>
      <c r="AG527" s="361"/>
      <c r="AH527" s="365"/>
      <c r="AI527" s="361"/>
      <c r="AJ527" s="361"/>
      <c r="AK527" s="361"/>
      <c r="AL527" s="361"/>
      <c r="AM527" s="361"/>
      <c r="AN527" s="361"/>
      <c r="AO527" s="361"/>
      <c r="AP527" s="361"/>
      <c r="AQ527" s="361"/>
      <c r="AR527" s="503"/>
      <c r="AS527" s="489"/>
      <c r="AT527" s="160"/>
      <c r="AU527" s="355"/>
    </row>
    <row r="528" spans="1:47" s="124" customFormat="1" ht="21.75" hidden="1" customHeight="1">
      <c r="A528" s="331">
        <v>527</v>
      </c>
      <c r="B528" s="361" t="s">
        <v>2071</v>
      </c>
      <c r="C528" s="361" t="s">
        <v>2091</v>
      </c>
      <c r="D528" s="435" t="s">
        <v>2073</v>
      </c>
      <c r="E528" s="361" t="str">
        <f t="shared" si="8"/>
        <v>LOSS</v>
      </c>
      <c r="F528" s="361"/>
      <c r="G528" s="361"/>
      <c r="H528" s="361" t="s">
        <v>327</v>
      </c>
      <c r="I528" s="361" t="s">
        <v>242</v>
      </c>
      <c r="J528" s="361" t="s">
        <v>2092</v>
      </c>
      <c r="K528" s="365"/>
      <c r="L528" s="361"/>
      <c r="M528" s="361"/>
      <c r="N528" s="361"/>
      <c r="O528" s="362">
        <v>2000000</v>
      </c>
      <c r="P528" s="413">
        <v>48000000</v>
      </c>
      <c r="Q528" s="361"/>
      <c r="R528" s="372">
        <v>0</v>
      </c>
      <c r="S528" s="413">
        <v>5540000</v>
      </c>
      <c r="T528" s="361"/>
      <c r="U528" s="348">
        <v>44854</v>
      </c>
      <c r="V528" s="348">
        <v>45218</v>
      </c>
      <c r="W528" s="361" t="s">
        <v>250</v>
      </c>
      <c r="X528" s="361"/>
      <c r="Y528" s="361"/>
      <c r="Z528" s="361"/>
      <c r="AA528" s="361"/>
      <c r="AB528" s="361"/>
      <c r="AC528" s="159"/>
      <c r="AD528" s="361" t="s">
        <v>2093</v>
      </c>
      <c r="AE528" s="364">
        <v>4500019216</v>
      </c>
      <c r="AF528" s="364"/>
      <c r="AG528" s="361"/>
      <c r="AH528" s="365"/>
      <c r="AI528" s="361"/>
      <c r="AJ528" s="361"/>
      <c r="AK528" s="361"/>
      <c r="AL528" s="361"/>
      <c r="AM528" s="361"/>
      <c r="AN528" s="361"/>
      <c r="AO528" s="361"/>
      <c r="AP528" s="361"/>
      <c r="AQ528" s="361"/>
      <c r="AR528" s="503"/>
      <c r="AS528" s="489"/>
      <c r="AT528" s="160"/>
      <c r="AU528" s="355"/>
    </row>
    <row r="529" spans="1:47" s="124" customFormat="1" ht="21.75" hidden="1" customHeight="1">
      <c r="A529" s="331">
        <v>528</v>
      </c>
      <c r="B529" s="28" t="s">
        <v>114</v>
      </c>
      <c r="C529" s="361"/>
      <c r="D529" s="436" t="s">
        <v>1630</v>
      </c>
      <c r="E529" s="361" t="str">
        <f t="shared" si="8"/>
        <v>LOSS</v>
      </c>
      <c r="F529" s="361"/>
      <c r="G529" s="361"/>
      <c r="H529" s="361" t="s">
        <v>327</v>
      </c>
      <c r="I529" s="160" t="s">
        <v>346</v>
      </c>
      <c r="J529" s="361"/>
      <c r="K529" s="365"/>
      <c r="L529" s="361"/>
      <c r="M529" s="361"/>
      <c r="N529" s="361"/>
      <c r="O529" s="362">
        <v>0</v>
      </c>
      <c r="P529" s="413">
        <v>2493859524</v>
      </c>
      <c r="Q529" s="361"/>
      <c r="R529" s="372">
        <v>0</v>
      </c>
      <c r="S529" s="413">
        <v>119700000</v>
      </c>
      <c r="T529" s="361"/>
      <c r="U529" s="348">
        <v>44866</v>
      </c>
      <c r="V529" s="348">
        <v>45230</v>
      </c>
      <c r="W529" s="361" t="s">
        <v>250</v>
      </c>
      <c r="X529" s="361"/>
      <c r="Y529" s="361"/>
      <c r="Z529" s="361"/>
      <c r="AA529" s="361"/>
      <c r="AB529" s="361"/>
      <c r="AC529" s="159"/>
      <c r="AD529" s="361" t="s">
        <v>2094</v>
      </c>
      <c r="AE529" s="364">
        <v>4500018920</v>
      </c>
      <c r="AF529" s="364"/>
      <c r="AG529" s="361"/>
      <c r="AH529" s="365"/>
      <c r="AI529" s="361"/>
      <c r="AJ529" s="361"/>
      <c r="AK529" s="361"/>
      <c r="AL529" s="361"/>
      <c r="AM529" s="361"/>
      <c r="AN529" s="361"/>
      <c r="AO529" s="361"/>
      <c r="AP529" s="361"/>
      <c r="AQ529" s="361"/>
      <c r="AR529" s="503"/>
      <c r="AS529" s="489"/>
      <c r="AT529" s="160"/>
      <c r="AU529" s="355"/>
    </row>
    <row r="530" spans="1:47" s="124" customFormat="1" ht="21.75" hidden="1" customHeight="1">
      <c r="A530" s="331">
        <v>529</v>
      </c>
      <c r="B530" s="361" t="s">
        <v>2095</v>
      </c>
      <c r="C530" s="361" t="s">
        <v>2096</v>
      </c>
      <c r="D530" s="435" t="s">
        <v>2097</v>
      </c>
      <c r="E530" s="361" t="str">
        <f t="shared" si="8"/>
        <v>LOSS</v>
      </c>
      <c r="F530" s="361"/>
      <c r="G530" s="361"/>
      <c r="H530" s="361" t="s">
        <v>327</v>
      </c>
      <c r="I530" s="361" t="s">
        <v>242</v>
      </c>
      <c r="J530" s="361" t="s">
        <v>2098</v>
      </c>
      <c r="K530" s="365"/>
      <c r="L530" s="361"/>
      <c r="M530" s="361"/>
      <c r="N530" s="361"/>
      <c r="O530" s="362">
        <v>0</v>
      </c>
      <c r="P530" s="413">
        <v>102000000</v>
      </c>
      <c r="Q530" s="361"/>
      <c r="R530" s="372">
        <v>0</v>
      </c>
      <c r="S530" s="413">
        <v>100000000</v>
      </c>
      <c r="T530" s="361"/>
      <c r="U530" s="348">
        <v>44839</v>
      </c>
      <c r="V530" s="348">
        <v>45203</v>
      </c>
      <c r="W530" s="361" t="s">
        <v>250</v>
      </c>
      <c r="X530" s="361"/>
      <c r="Y530" s="361"/>
      <c r="Z530" s="361"/>
      <c r="AA530" s="361"/>
      <c r="AB530" s="361"/>
      <c r="AC530" s="159"/>
      <c r="AD530" s="361" t="s">
        <v>2099</v>
      </c>
      <c r="AE530" s="364">
        <v>4500019201</v>
      </c>
      <c r="AF530" s="364"/>
      <c r="AG530" s="361"/>
      <c r="AH530" s="365"/>
      <c r="AI530" s="361"/>
      <c r="AJ530" s="361"/>
      <c r="AK530" s="361"/>
      <c r="AL530" s="361"/>
      <c r="AM530" s="361"/>
      <c r="AN530" s="361"/>
      <c r="AO530" s="361"/>
      <c r="AP530" s="361"/>
      <c r="AQ530" s="361"/>
      <c r="AR530" s="503"/>
      <c r="AS530" s="489"/>
      <c r="AT530" s="160"/>
      <c r="AU530" s="355"/>
    </row>
    <row r="531" spans="1:47" s="124" customFormat="1" ht="21.75" hidden="1" customHeight="1">
      <c r="A531" s="331">
        <v>530</v>
      </c>
      <c r="B531" s="173" t="s">
        <v>1035</v>
      </c>
      <c r="C531" s="361" t="s">
        <v>2100</v>
      </c>
      <c r="D531" s="436" t="s">
        <v>2101</v>
      </c>
      <c r="E531" s="361" t="str">
        <f t="shared" si="8"/>
        <v>LOSS</v>
      </c>
      <c r="F531" s="361"/>
      <c r="G531" s="361"/>
      <c r="H531" s="361" t="s">
        <v>327</v>
      </c>
      <c r="I531" s="160" t="s">
        <v>346</v>
      </c>
      <c r="J531" s="361" t="s">
        <v>2102</v>
      </c>
      <c r="K531" s="365"/>
      <c r="L531" s="361"/>
      <c r="M531" s="361"/>
      <c r="N531" s="361"/>
      <c r="O531" s="362">
        <v>0</v>
      </c>
      <c r="P531" s="413">
        <v>131788800</v>
      </c>
      <c r="Q531" s="361"/>
      <c r="R531" s="372">
        <v>0</v>
      </c>
      <c r="S531" s="413">
        <v>45612000</v>
      </c>
      <c r="T531" s="361"/>
      <c r="U531" s="348">
        <v>44922</v>
      </c>
      <c r="V531" s="348">
        <v>45286</v>
      </c>
      <c r="W531" s="361" t="s">
        <v>250</v>
      </c>
      <c r="X531" s="361"/>
      <c r="Y531" s="361"/>
      <c r="Z531" s="361"/>
      <c r="AA531" s="361"/>
      <c r="AB531" s="361"/>
      <c r="AC531" s="159"/>
      <c r="AD531" s="361" t="s">
        <v>2103</v>
      </c>
      <c r="AE531" s="364">
        <v>4500019635</v>
      </c>
      <c r="AF531" s="364"/>
      <c r="AG531" s="361"/>
      <c r="AH531" s="365"/>
      <c r="AI531" s="361"/>
      <c r="AJ531" s="361"/>
      <c r="AK531" s="361"/>
      <c r="AL531" s="361"/>
      <c r="AM531" s="361"/>
      <c r="AN531" s="361"/>
      <c r="AO531" s="361"/>
      <c r="AP531" s="361"/>
      <c r="AQ531" s="361"/>
      <c r="AR531" s="503"/>
      <c r="AS531" s="489"/>
      <c r="AT531" s="160"/>
      <c r="AU531" s="355"/>
    </row>
    <row r="532" spans="1:47" s="124" customFormat="1" ht="21.75" hidden="1" customHeight="1">
      <c r="A532" s="331">
        <v>531</v>
      </c>
      <c r="B532" s="28" t="s">
        <v>179</v>
      </c>
      <c r="C532" s="361" t="s">
        <v>2104</v>
      </c>
      <c r="D532" s="435" t="s">
        <v>1630</v>
      </c>
      <c r="E532" s="361" t="str">
        <f t="shared" si="8"/>
        <v>LOSS</v>
      </c>
      <c r="F532" s="361"/>
      <c r="G532" s="361"/>
      <c r="H532" s="361" t="s">
        <v>327</v>
      </c>
      <c r="I532" s="160" t="s">
        <v>346</v>
      </c>
      <c r="J532" s="361"/>
      <c r="K532" s="365"/>
      <c r="L532" s="361"/>
      <c r="M532" s="361"/>
      <c r="N532" s="361"/>
      <c r="O532" s="362">
        <v>0</v>
      </c>
      <c r="P532" s="413">
        <v>397379613</v>
      </c>
      <c r="Q532" s="361"/>
      <c r="R532" s="372">
        <v>0</v>
      </c>
      <c r="S532" s="413">
        <v>397379613</v>
      </c>
      <c r="T532" s="361"/>
      <c r="U532" s="348">
        <v>44914</v>
      </c>
      <c r="V532" s="348">
        <v>44957</v>
      </c>
      <c r="W532" s="361" t="s">
        <v>250</v>
      </c>
      <c r="X532" s="361"/>
      <c r="Y532" s="361"/>
      <c r="Z532" s="361"/>
      <c r="AA532" s="361"/>
      <c r="AB532" s="361"/>
      <c r="AC532" s="159"/>
      <c r="AD532" s="361" t="s">
        <v>2105</v>
      </c>
      <c r="AE532" s="364">
        <v>4500019949</v>
      </c>
      <c r="AF532" s="364"/>
      <c r="AG532" s="361"/>
      <c r="AH532" s="365"/>
      <c r="AI532" s="361"/>
      <c r="AJ532" s="361"/>
      <c r="AK532" s="361"/>
      <c r="AL532" s="361"/>
      <c r="AM532" s="361"/>
      <c r="AN532" s="361"/>
      <c r="AO532" s="361"/>
      <c r="AP532" s="361"/>
      <c r="AQ532" s="361"/>
      <c r="AR532" s="503"/>
      <c r="AS532" s="489"/>
      <c r="AT532" s="160"/>
      <c r="AU532" s="355"/>
    </row>
    <row r="533" spans="1:47" s="124" customFormat="1" ht="21.75" hidden="1" customHeight="1">
      <c r="A533" s="331">
        <v>532</v>
      </c>
      <c r="B533" s="361" t="s">
        <v>450</v>
      </c>
      <c r="C533" s="361" t="s">
        <v>2106</v>
      </c>
      <c r="D533" s="436" t="s">
        <v>2107</v>
      </c>
      <c r="E533" s="361" t="str">
        <f t="shared" si="8"/>
        <v>LOSS</v>
      </c>
      <c r="F533" s="361"/>
      <c r="G533" s="361"/>
      <c r="H533" s="361" t="s">
        <v>327</v>
      </c>
      <c r="I533" s="160" t="s">
        <v>346</v>
      </c>
      <c r="J533" s="361" t="s">
        <v>954</v>
      </c>
      <c r="K533" s="365"/>
      <c r="L533" s="361"/>
      <c r="M533" s="361"/>
      <c r="N533" s="361"/>
      <c r="O533" s="362">
        <v>0</v>
      </c>
      <c r="P533" s="413">
        <v>30000000</v>
      </c>
      <c r="Q533" s="361"/>
      <c r="R533" s="372">
        <v>0</v>
      </c>
      <c r="S533" s="413">
        <v>2000000</v>
      </c>
      <c r="T533" s="361"/>
      <c r="U533" s="348">
        <v>44612</v>
      </c>
      <c r="V533" s="348">
        <v>44976</v>
      </c>
      <c r="W533" s="361" t="s">
        <v>250</v>
      </c>
      <c r="X533" s="361"/>
      <c r="Y533" s="361"/>
      <c r="Z533" s="361"/>
      <c r="AA533" s="361"/>
      <c r="AB533" s="361"/>
      <c r="AC533" s="159"/>
      <c r="AD533" s="361" t="s">
        <v>2108</v>
      </c>
      <c r="AE533" s="364">
        <v>4500018934</v>
      </c>
      <c r="AF533" s="364"/>
      <c r="AG533" s="361"/>
      <c r="AH533" s="365"/>
      <c r="AI533" s="361"/>
      <c r="AJ533" s="361"/>
      <c r="AK533" s="361"/>
      <c r="AL533" s="361"/>
      <c r="AM533" s="361"/>
      <c r="AN533" s="361"/>
      <c r="AO533" s="361"/>
      <c r="AP533" s="361"/>
      <c r="AQ533" s="361"/>
      <c r="AR533" s="503"/>
      <c r="AS533" s="489"/>
      <c r="AT533" s="160"/>
      <c r="AU533" s="355"/>
    </row>
    <row r="534" spans="1:47" s="124" customFormat="1" ht="21.75" hidden="1" customHeight="1">
      <c r="A534" s="331">
        <v>533</v>
      </c>
      <c r="B534" s="159" t="s">
        <v>1427</v>
      </c>
      <c r="C534" s="361" t="s">
        <v>2109</v>
      </c>
      <c r="D534" s="435" t="s">
        <v>2110</v>
      </c>
      <c r="E534" s="361" t="str">
        <f t="shared" si="8"/>
        <v>LOSS</v>
      </c>
      <c r="F534" s="361"/>
      <c r="G534" s="361"/>
      <c r="H534" s="361" t="s">
        <v>327</v>
      </c>
      <c r="I534" s="160" t="s">
        <v>346</v>
      </c>
      <c r="J534" s="361" t="s">
        <v>2111</v>
      </c>
      <c r="K534" s="365"/>
      <c r="L534" s="361"/>
      <c r="M534" s="361"/>
      <c r="N534" s="361"/>
      <c r="O534" s="362">
        <v>0</v>
      </c>
      <c r="P534" s="413">
        <v>81600000</v>
      </c>
      <c r="Q534" s="361"/>
      <c r="R534" s="372">
        <v>0</v>
      </c>
      <c r="S534" s="413">
        <v>52000000</v>
      </c>
      <c r="T534" s="361"/>
      <c r="U534" s="348">
        <v>44562</v>
      </c>
      <c r="V534" s="348">
        <v>45291</v>
      </c>
      <c r="W534" s="361" t="s">
        <v>250</v>
      </c>
      <c r="X534" s="361"/>
      <c r="Y534" s="361"/>
      <c r="Z534" s="361"/>
      <c r="AA534" s="361"/>
      <c r="AB534" s="361"/>
      <c r="AC534" s="159"/>
      <c r="AD534" s="361" t="s">
        <v>2112</v>
      </c>
      <c r="AE534" s="364">
        <v>4500019626</v>
      </c>
      <c r="AF534" s="364"/>
      <c r="AG534" s="361"/>
      <c r="AH534" s="365"/>
      <c r="AI534" s="361"/>
      <c r="AJ534" s="361"/>
      <c r="AK534" s="361"/>
      <c r="AL534" s="361"/>
      <c r="AM534" s="361"/>
      <c r="AN534" s="361"/>
      <c r="AO534" s="361"/>
      <c r="AP534" s="361"/>
      <c r="AQ534" s="361"/>
      <c r="AR534" s="503"/>
      <c r="AS534" s="489"/>
      <c r="AT534" s="160"/>
      <c r="AU534" s="355"/>
    </row>
    <row r="535" spans="1:47" s="124" customFormat="1" ht="21.75" hidden="1" customHeight="1">
      <c r="A535" s="331">
        <v>534</v>
      </c>
      <c r="B535" s="361" t="s">
        <v>2042</v>
      </c>
      <c r="C535" s="361" t="s">
        <v>2113</v>
      </c>
      <c r="D535" s="436" t="s">
        <v>2044</v>
      </c>
      <c r="E535" s="361" t="str">
        <f t="shared" si="8"/>
        <v>LOSS</v>
      </c>
      <c r="F535" s="361"/>
      <c r="G535" s="361"/>
      <c r="H535" s="361" t="s">
        <v>327</v>
      </c>
      <c r="I535" s="160" t="s">
        <v>346</v>
      </c>
      <c r="J535" s="361"/>
      <c r="K535" s="365"/>
      <c r="L535" s="361"/>
      <c r="M535" s="361"/>
      <c r="N535" s="361"/>
      <c r="O535" s="362">
        <v>0</v>
      </c>
      <c r="P535" s="361" t="s">
        <v>115</v>
      </c>
      <c r="Q535" s="361"/>
      <c r="R535" s="361" t="s">
        <v>115</v>
      </c>
      <c r="S535" s="413">
        <v>357782304</v>
      </c>
      <c r="T535" s="361"/>
      <c r="U535" s="367">
        <v>43161</v>
      </c>
      <c r="V535" s="367">
        <v>45352</v>
      </c>
      <c r="W535" s="364" t="s">
        <v>250</v>
      </c>
      <c r="X535" s="361"/>
      <c r="Y535" s="361"/>
      <c r="Z535" s="361"/>
      <c r="AA535" s="361"/>
      <c r="AB535" s="361"/>
      <c r="AC535" s="159"/>
      <c r="AD535" s="361" t="s">
        <v>2114</v>
      </c>
      <c r="AE535" s="364">
        <v>4500018679</v>
      </c>
      <c r="AF535" s="364"/>
      <c r="AG535" s="361"/>
      <c r="AH535" s="365"/>
      <c r="AI535" s="361"/>
      <c r="AJ535" s="361"/>
      <c r="AK535" s="361"/>
      <c r="AL535" s="361"/>
      <c r="AM535" s="361"/>
      <c r="AN535" s="361"/>
      <c r="AO535" s="361"/>
      <c r="AP535" s="361"/>
      <c r="AQ535" s="361"/>
      <c r="AR535" s="503"/>
      <c r="AS535" s="489"/>
      <c r="AT535" s="160"/>
      <c r="AU535" s="355"/>
    </row>
    <row r="536" spans="1:47" s="124" customFormat="1" ht="21.75" hidden="1" customHeight="1">
      <c r="A536" s="331">
        <v>535</v>
      </c>
      <c r="B536" s="28" t="s">
        <v>521</v>
      </c>
      <c r="C536" s="361" t="s">
        <v>2115</v>
      </c>
      <c r="D536" s="435" t="s">
        <v>2116</v>
      </c>
      <c r="E536" s="361" t="str">
        <f t="shared" si="8"/>
        <v>LOSS</v>
      </c>
      <c r="F536" s="361"/>
      <c r="G536" s="361"/>
      <c r="H536" s="28" t="s">
        <v>261</v>
      </c>
      <c r="I536" s="361" t="s">
        <v>243</v>
      </c>
      <c r="J536" s="361" t="s">
        <v>1362</v>
      </c>
      <c r="K536" s="361"/>
      <c r="L536" s="361"/>
      <c r="M536" s="361"/>
      <c r="N536" s="361"/>
      <c r="O536" s="384" t="s">
        <v>115</v>
      </c>
      <c r="P536" s="383">
        <v>25200000</v>
      </c>
      <c r="Q536" s="361"/>
      <c r="R536" s="385" t="s">
        <v>115</v>
      </c>
      <c r="S536" s="383">
        <v>4620000</v>
      </c>
      <c r="T536" s="361"/>
      <c r="U536" s="351">
        <v>44844</v>
      </c>
      <c r="V536" s="351">
        <v>45208</v>
      </c>
      <c r="W536" s="361" t="s">
        <v>250</v>
      </c>
      <c r="X536" s="361"/>
      <c r="Y536" s="361"/>
      <c r="Z536" s="361"/>
      <c r="AA536" s="361"/>
      <c r="AB536" s="361"/>
      <c r="AC536" s="159"/>
      <c r="AD536" s="361" t="s">
        <v>2117</v>
      </c>
      <c r="AE536" s="364">
        <v>4500018778</v>
      </c>
      <c r="AF536" s="364"/>
      <c r="AG536" s="361"/>
      <c r="AH536" s="361"/>
      <c r="AI536" s="361"/>
      <c r="AJ536" s="361"/>
      <c r="AK536" s="361"/>
      <c r="AL536" s="361"/>
      <c r="AM536" s="361"/>
      <c r="AN536" s="361"/>
      <c r="AO536" s="361"/>
      <c r="AP536" s="361"/>
      <c r="AQ536" s="361"/>
      <c r="AR536" s="503"/>
      <c r="AS536" s="489"/>
      <c r="AT536" s="160"/>
      <c r="AU536" s="355"/>
    </row>
    <row r="537" spans="1:47" s="124" customFormat="1" ht="21.75" hidden="1" customHeight="1">
      <c r="A537" s="331">
        <v>536</v>
      </c>
      <c r="B537" s="361" t="s">
        <v>450</v>
      </c>
      <c r="C537" s="361" t="s">
        <v>2118</v>
      </c>
      <c r="D537" s="436" t="s">
        <v>1516</v>
      </c>
      <c r="E537" s="361" t="str">
        <f t="shared" si="8"/>
        <v>LOSS</v>
      </c>
      <c r="F537" s="361"/>
      <c r="G537" s="361"/>
      <c r="H537" s="361" t="s">
        <v>327</v>
      </c>
      <c r="I537" s="160" t="s">
        <v>346</v>
      </c>
      <c r="J537" s="361" t="s">
        <v>2119</v>
      </c>
      <c r="K537" s="365"/>
      <c r="L537" s="361"/>
      <c r="M537" s="361"/>
      <c r="N537" s="361"/>
      <c r="O537" s="384" t="s">
        <v>115</v>
      </c>
      <c r="P537" s="383">
        <v>28000000</v>
      </c>
      <c r="Q537" s="361"/>
      <c r="R537" s="385" t="s">
        <v>115</v>
      </c>
      <c r="S537" s="383">
        <v>5000000</v>
      </c>
      <c r="T537" s="361"/>
      <c r="U537" s="351">
        <v>43949</v>
      </c>
      <c r="V537" s="351">
        <v>44678</v>
      </c>
      <c r="W537" s="361" t="s">
        <v>250</v>
      </c>
      <c r="X537" s="361"/>
      <c r="Y537" s="361"/>
      <c r="Z537" s="361"/>
      <c r="AA537" s="361"/>
      <c r="AB537" s="361"/>
      <c r="AC537" s="159"/>
      <c r="AD537" s="361" t="s">
        <v>2120</v>
      </c>
      <c r="AE537" s="364">
        <v>4500018685</v>
      </c>
      <c r="AF537" s="364"/>
      <c r="AG537" s="361"/>
      <c r="AH537" s="365"/>
      <c r="AI537" s="361"/>
      <c r="AJ537" s="361"/>
      <c r="AK537" s="361"/>
      <c r="AL537" s="361"/>
      <c r="AM537" s="361"/>
      <c r="AN537" s="361"/>
      <c r="AO537" s="361"/>
      <c r="AP537" s="361"/>
      <c r="AQ537" s="361"/>
      <c r="AR537" s="503"/>
      <c r="AS537" s="489"/>
      <c r="AT537" s="160"/>
      <c r="AU537" s="355"/>
    </row>
    <row r="538" spans="1:47" s="124" customFormat="1" ht="21.75" hidden="1" customHeight="1">
      <c r="A538" s="331">
        <v>537</v>
      </c>
      <c r="B538" s="159" t="s">
        <v>2121</v>
      </c>
      <c r="C538" s="361" t="s">
        <v>2122</v>
      </c>
      <c r="D538" s="435" t="s">
        <v>2123</v>
      </c>
      <c r="E538" s="361" t="str">
        <f t="shared" si="8"/>
        <v>LOSS</v>
      </c>
      <c r="F538" s="361"/>
      <c r="G538" s="361"/>
      <c r="H538" s="361" t="s">
        <v>327</v>
      </c>
      <c r="I538" s="361" t="s">
        <v>346</v>
      </c>
      <c r="J538" s="361" t="s">
        <v>2124</v>
      </c>
      <c r="K538" s="365"/>
      <c r="L538" s="361"/>
      <c r="M538" s="361"/>
      <c r="N538" s="361"/>
      <c r="O538" s="384" t="s">
        <v>115</v>
      </c>
      <c r="P538" s="383">
        <v>29400000</v>
      </c>
      <c r="Q538" s="361"/>
      <c r="R538" s="385" t="s">
        <v>115</v>
      </c>
      <c r="S538" s="383">
        <v>88330000</v>
      </c>
      <c r="T538" s="361"/>
      <c r="U538" s="351">
        <v>44774</v>
      </c>
      <c r="V538" s="351">
        <v>45138</v>
      </c>
      <c r="W538" s="361" t="s">
        <v>250</v>
      </c>
      <c r="X538" s="361"/>
      <c r="Y538" s="361"/>
      <c r="Z538" s="361"/>
      <c r="AA538" s="361"/>
      <c r="AB538" s="361"/>
      <c r="AC538" s="159"/>
      <c r="AD538" s="361" t="s">
        <v>2125</v>
      </c>
      <c r="AE538" s="364">
        <v>4500018124</v>
      </c>
      <c r="AF538" s="364"/>
      <c r="AG538" s="361"/>
      <c r="AH538" s="365"/>
      <c r="AI538" s="361"/>
      <c r="AJ538" s="361"/>
      <c r="AK538" s="361"/>
      <c r="AL538" s="361"/>
      <c r="AM538" s="361"/>
      <c r="AN538" s="361"/>
      <c r="AO538" s="361"/>
      <c r="AP538" s="361"/>
      <c r="AQ538" s="361"/>
      <c r="AR538" s="503"/>
      <c r="AS538" s="489"/>
      <c r="AT538" s="160"/>
      <c r="AU538" s="355"/>
    </row>
    <row r="539" spans="1:47" s="124" customFormat="1" ht="21.75" hidden="1" customHeight="1">
      <c r="A539" s="331">
        <v>538</v>
      </c>
      <c r="B539" s="361" t="s">
        <v>1659</v>
      </c>
      <c r="C539" s="361" t="s">
        <v>2126</v>
      </c>
      <c r="D539" s="436" t="s">
        <v>1661</v>
      </c>
      <c r="E539" s="361" t="str">
        <f t="shared" si="8"/>
        <v>LOSS</v>
      </c>
      <c r="F539" s="361"/>
      <c r="G539" s="361"/>
      <c r="H539" s="28" t="s">
        <v>261</v>
      </c>
      <c r="I539" s="361" t="s">
        <v>243</v>
      </c>
      <c r="J539" s="361" t="s">
        <v>2127</v>
      </c>
      <c r="K539" s="361"/>
      <c r="L539" s="361"/>
      <c r="M539" s="361"/>
      <c r="N539" s="361"/>
      <c r="O539" s="384" t="s">
        <v>115</v>
      </c>
      <c r="P539" s="383">
        <v>264000000</v>
      </c>
      <c r="Q539" s="361"/>
      <c r="R539" s="385" t="s">
        <v>115</v>
      </c>
      <c r="S539" s="383">
        <v>198000000</v>
      </c>
      <c r="T539" s="361"/>
      <c r="U539" s="351">
        <v>44807</v>
      </c>
      <c r="V539" s="351">
        <v>45171</v>
      </c>
      <c r="W539" s="361" t="s">
        <v>250</v>
      </c>
      <c r="X539" s="361"/>
      <c r="Y539" s="361"/>
      <c r="Z539" s="361"/>
      <c r="AA539" s="361"/>
      <c r="AB539" s="361"/>
      <c r="AC539" s="159"/>
      <c r="AD539" s="361" t="s">
        <v>2128</v>
      </c>
      <c r="AE539" s="364">
        <v>4500018498</v>
      </c>
      <c r="AF539" s="364"/>
      <c r="AG539" s="361"/>
      <c r="AH539" s="361"/>
      <c r="AI539" s="361"/>
      <c r="AJ539" s="361"/>
      <c r="AK539" s="361"/>
      <c r="AL539" s="361"/>
      <c r="AM539" s="361"/>
      <c r="AN539" s="361"/>
      <c r="AO539" s="361"/>
      <c r="AP539" s="361"/>
      <c r="AQ539" s="361"/>
      <c r="AR539" s="503"/>
      <c r="AS539" s="489"/>
      <c r="AT539" s="160"/>
      <c r="AU539" s="355"/>
    </row>
    <row r="540" spans="1:47" s="124" customFormat="1" ht="21.75" hidden="1" customHeight="1">
      <c r="A540" s="331">
        <v>539</v>
      </c>
      <c r="B540" s="28" t="s">
        <v>1249</v>
      </c>
      <c r="C540" s="361" t="s">
        <v>2129</v>
      </c>
      <c r="D540" s="435" t="s">
        <v>2130</v>
      </c>
      <c r="E540" s="361" t="str">
        <f t="shared" si="8"/>
        <v>LOSS</v>
      </c>
      <c r="F540" s="361"/>
      <c r="G540" s="361"/>
      <c r="H540" s="28" t="s">
        <v>261</v>
      </c>
      <c r="I540" s="361" t="s">
        <v>243</v>
      </c>
      <c r="J540" s="361" t="s">
        <v>2131</v>
      </c>
      <c r="K540" s="361"/>
      <c r="L540" s="361"/>
      <c r="M540" s="361"/>
      <c r="N540" s="361"/>
      <c r="O540" s="382" t="s">
        <v>115</v>
      </c>
      <c r="P540" s="383">
        <v>96000000</v>
      </c>
      <c r="Q540" s="361"/>
      <c r="R540" s="385" t="s">
        <v>115</v>
      </c>
      <c r="S540" s="383">
        <v>111000000</v>
      </c>
      <c r="T540" s="361"/>
      <c r="U540" s="351">
        <v>44743</v>
      </c>
      <c r="V540" s="351">
        <v>45107</v>
      </c>
      <c r="W540" s="361" t="s">
        <v>250</v>
      </c>
      <c r="X540" s="361"/>
      <c r="Y540" s="361"/>
      <c r="Z540" s="361"/>
      <c r="AA540" s="361"/>
      <c r="AB540" s="361"/>
      <c r="AC540" s="159"/>
      <c r="AD540" s="361" t="s">
        <v>2132</v>
      </c>
      <c r="AE540" s="364">
        <v>4500018211</v>
      </c>
      <c r="AF540" s="364"/>
      <c r="AG540" s="361"/>
      <c r="AH540" s="361"/>
      <c r="AI540" s="361"/>
      <c r="AJ540" s="361"/>
      <c r="AK540" s="361"/>
      <c r="AL540" s="361"/>
      <c r="AM540" s="361"/>
      <c r="AN540" s="361"/>
      <c r="AO540" s="361"/>
      <c r="AP540" s="361"/>
      <c r="AQ540" s="361"/>
      <c r="AR540" s="503"/>
      <c r="AS540" s="489"/>
      <c r="AT540" s="160"/>
      <c r="AU540" s="355"/>
    </row>
    <row r="541" spans="1:47" s="124" customFormat="1" ht="21.75" hidden="1" customHeight="1">
      <c r="A541" s="331">
        <v>540</v>
      </c>
      <c r="B541" s="28" t="s">
        <v>1301</v>
      </c>
      <c r="C541" s="361" t="s">
        <v>2133</v>
      </c>
      <c r="D541" s="436" t="s">
        <v>1560</v>
      </c>
      <c r="E541" s="361" t="str">
        <f t="shared" si="8"/>
        <v>LOSS</v>
      </c>
      <c r="F541" s="361"/>
      <c r="G541" s="361"/>
      <c r="H541" s="28" t="s">
        <v>261</v>
      </c>
      <c r="I541" s="361" t="s">
        <v>243</v>
      </c>
      <c r="J541" s="361" t="s">
        <v>2134</v>
      </c>
      <c r="K541" s="361"/>
      <c r="L541" s="361"/>
      <c r="M541" s="361"/>
      <c r="N541" s="361"/>
      <c r="O541" s="384" t="s">
        <v>115</v>
      </c>
      <c r="P541" s="383">
        <v>48000000</v>
      </c>
      <c r="Q541" s="361"/>
      <c r="R541" s="385" t="s">
        <v>115</v>
      </c>
      <c r="S541" s="383">
        <v>26400000</v>
      </c>
      <c r="T541" s="361"/>
      <c r="U541" s="351">
        <v>44743</v>
      </c>
      <c r="V541" s="351">
        <v>45107</v>
      </c>
      <c r="W541" s="361" t="s">
        <v>250</v>
      </c>
      <c r="X541" s="376"/>
      <c r="Y541" s="361"/>
      <c r="Z541" s="361"/>
      <c r="AA541" s="361"/>
      <c r="AB541" s="361"/>
      <c r="AC541" s="159"/>
      <c r="AD541" s="361" t="s">
        <v>2135</v>
      </c>
      <c r="AE541" s="364">
        <v>4500018212</v>
      </c>
      <c r="AF541" s="364"/>
      <c r="AG541" s="361"/>
      <c r="AH541" s="361"/>
      <c r="AI541" s="361"/>
      <c r="AJ541" s="361"/>
      <c r="AK541" s="361"/>
      <c r="AL541" s="361"/>
      <c r="AM541" s="361"/>
      <c r="AN541" s="361"/>
      <c r="AO541" s="361"/>
      <c r="AP541" s="361"/>
      <c r="AQ541" s="361"/>
      <c r="AR541" s="503"/>
      <c r="AS541" s="489"/>
      <c r="AT541" s="160"/>
      <c r="AU541" s="355"/>
    </row>
    <row r="542" spans="1:47" s="124" customFormat="1" ht="21.75" hidden="1" customHeight="1">
      <c r="A542" s="331">
        <v>541</v>
      </c>
      <c r="B542" s="361" t="s">
        <v>2136</v>
      </c>
      <c r="C542" s="361" t="s">
        <v>2137</v>
      </c>
      <c r="D542" s="435" t="s">
        <v>2138</v>
      </c>
      <c r="E542" s="361" t="str">
        <f t="shared" si="8"/>
        <v>LOSS</v>
      </c>
      <c r="F542" s="361"/>
      <c r="G542" s="361"/>
      <c r="H542" s="28" t="s">
        <v>261</v>
      </c>
      <c r="I542" s="361" t="s">
        <v>243</v>
      </c>
      <c r="J542" s="361" t="s">
        <v>2139</v>
      </c>
      <c r="K542" s="361"/>
      <c r="L542" s="361"/>
      <c r="M542" s="361"/>
      <c r="N542" s="361"/>
      <c r="O542" s="382">
        <v>2500000</v>
      </c>
      <c r="P542" s="383">
        <v>144000000</v>
      </c>
      <c r="Q542" s="361"/>
      <c r="R542" s="383">
        <v>5000000</v>
      </c>
      <c r="S542" s="383">
        <v>113400000</v>
      </c>
      <c r="T542" s="361"/>
      <c r="U542" s="351">
        <v>44722</v>
      </c>
      <c r="V542" s="351">
        <v>45086</v>
      </c>
      <c r="W542" s="361" t="s">
        <v>250</v>
      </c>
      <c r="X542" s="361"/>
      <c r="Y542" s="361"/>
      <c r="Z542" s="361"/>
      <c r="AA542" s="361"/>
      <c r="AB542" s="361"/>
      <c r="AC542" s="159"/>
      <c r="AD542" s="361" t="s">
        <v>2140</v>
      </c>
      <c r="AE542" s="364">
        <v>4500017931</v>
      </c>
      <c r="AF542" s="364"/>
      <c r="AG542" s="361"/>
      <c r="AH542" s="361"/>
      <c r="AI542" s="361"/>
      <c r="AJ542" s="361"/>
      <c r="AK542" s="361"/>
      <c r="AL542" s="361"/>
      <c r="AM542" s="361"/>
      <c r="AN542" s="361"/>
      <c r="AO542" s="361"/>
      <c r="AP542" s="361"/>
      <c r="AQ542" s="361"/>
      <c r="AR542" s="503"/>
      <c r="AS542" s="489"/>
      <c r="AT542" s="160"/>
      <c r="AU542" s="355"/>
    </row>
    <row r="543" spans="1:47" s="124" customFormat="1" ht="21.75" hidden="1" customHeight="1">
      <c r="A543" s="331">
        <v>542</v>
      </c>
      <c r="B543" s="361" t="s">
        <v>1043</v>
      </c>
      <c r="C543" s="361" t="s">
        <v>2141</v>
      </c>
      <c r="D543" s="436" t="s">
        <v>1578</v>
      </c>
      <c r="E543" s="361" t="str">
        <f t="shared" si="8"/>
        <v>LOSS</v>
      </c>
      <c r="F543" s="361"/>
      <c r="G543" s="361"/>
      <c r="H543" s="28" t="s">
        <v>261</v>
      </c>
      <c r="I543" s="361" t="s">
        <v>243</v>
      </c>
      <c r="J543" s="361" t="s">
        <v>2142</v>
      </c>
      <c r="K543" s="361"/>
      <c r="L543" s="361"/>
      <c r="M543" s="361"/>
      <c r="N543" s="361"/>
      <c r="O543" s="384" t="s">
        <v>115</v>
      </c>
      <c r="P543" s="383">
        <v>36000000</v>
      </c>
      <c r="Q543" s="361"/>
      <c r="R543" s="385" t="s">
        <v>115</v>
      </c>
      <c r="S543" s="383">
        <v>14400000</v>
      </c>
      <c r="T543" s="361"/>
      <c r="U543" s="351">
        <v>44743</v>
      </c>
      <c r="V543" s="351">
        <v>45107</v>
      </c>
      <c r="W543" s="361" t="s">
        <v>250</v>
      </c>
      <c r="X543" s="361"/>
      <c r="Y543" s="361"/>
      <c r="Z543" s="361"/>
      <c r="AA543" s="361"/>
      <c r="AB543" s="361"/>
      <c r="AC543" s="159"/>
      <c r="AD543" s="361" t="s">
        <v>2143</v>
      </c>
      <c r="AE543" s="364">
        <v>4500018132</v>
      </c>
      <c r="AF543" s="364"/>
      <c r="AG543" s="361"/>
      <c r="AH543" s="361"/>
      <c r="AI543" s="361"/>
      <c r="AJ543" s="361"/>
      <c r="AK543" s="361"/>
      <c r="AL543" s="361"/>
      <c r="AM543" s="361"/>
      <c r="AN543" s="361"/>
      <c r="AO543" s="361"/>
      <c r="AP543" s="361"/>
      <c r="AQ543" s="361"/>
      <c r="AR543" s="503"/>
      <c r="AS543" s="489"/>
      <c r="AT543" s="160"/>
      <c r="AU543" s="355"/>
    </row>
    <row r="544" spans="1:47" s="124" customFormat="1" ht="21.75" hidden="1" customHeight="1">
      <c r="A544" s="331">
        <v>543</v>
      </c>
      <c r="B544" s="28" t="s">
        <v>179</v>
      </c>
      <c r="C544" s="361" t="s">
        <v>2144</v>
      </c>
      <c r="D544" s="435" t="s">
        <v>2145</v>
      </c>
      <c r="E544" s="361" t="str">
        <f t="shared" si="8"/>
        <v>LOSS</v>
      </c>
      <c r="F544" s="361"/>
      <c r="G544" s="361"/>
      <c r="H544" s="361" t="s">
        <v>327</v>
      </c>
      <c r="I544" s="361" t="s">
        <v>242</v>
      </c>
      <c r="J544" s="361" t="s">
        <v>2146</v>
      </c>
      <c r="K544" s="365"/>
      <c r="L544" s="361"/>
      <c r="M544" s="361"/>
      <c r="N544" s="361"/>
      <c r="O544" s="382">
        <v>3000000</v>
      </c>
      <c r="P544" s="383">
        <v>1080000000</v>
      </c>
      <c r="Q544" s="361"/>
      <c r="R544" s="383">
        <v>1500000</v>
      </c>
      <c r="S544" s="383">
        <v>18000000</v>
      </c>
      <c r="T544" s="361"/>
      <c r="U544" s="351">
        <v>44725</v>
      </c>
      <c r="V544" s="351">
        <v>45089</v>
      </c>
      <c r="W544" s="361" t="s">
        <v>250</v>
      </c>
      <c r="X544" s="361"/>
      <c r="Y544" s="361"/>
      <c r="Z544" s="361"/>
      <c r="AA544" s="361"/>
      <c r="AB544" s="361"/>
      <c r="AC544" s="159"/>
      <c r="AD544" s="361" t="s">
        <v>2147</v>
      </c>
      <c r="AE544" s="364">
        <v>4500018164</v>
      </c>
      <c r="AF544" s="364"/>
      <c r="AG544" s="361"/>
      <c r="AH544" s="365"/>
      <c r="AI544" s="361"/>
      <c r="AJ544" s="361"/>
      <c r="AK544" s="361"/>
      <c r="AL544" s="361"/>
      <c r="AM544" s="361"/>
      <c r="AN544" s="361"/>
      <c r="AO544" s="361"/>
      <c r="AP544" s="361"/>
      <c r="AQ544" s="361"/>
      <c r="AR544" s="503"/>
      <c r="AS544" s="489"/>
      <c r="AT544" s="160"/>
      <c r="AU544" s="355"/>
    </row>
    <row r="545" spans="1:47" s="124" customFormat="1" ht="21.75" hidden="1" customHeight="1">
      <c r="A545" s="331">
        <v>544</v>
      </c>
      <c r="B545" s="361" t="s">
        <v>2148</v>
      </c>
      <c r="C545" s="361" t="s">
        <v>2149</v>
      </c>
      <c r="D545" s="436" t="s">
        <v>2150</v>
      </c>
      <c r="E545" s="361" t="str">
        <f t="shared" si="8"/>
        <v>LOSS</v>
      </c>
      <c r="F545" s="361"/>
      <c r="G545" s="361"/>
      <c r="H545" s="28" t="s">
        <v>261</v>
      </c>
      <c r="I545" s="361" t="s">
        <v>243</v>
      </c>
      <c r="J545" s="361" t="s">
        <v>2151</v>
      </c>
      <c r="K545" s="361"/>
      <c r="L545" s="361"/>
      <c r="M545" s="361"/>
      <c r="N545" s="361"/>
      <c r="O545" s="384" t="s">
        <v>115</v>
      </c>
      <c r="P545" s="383">
        <v>37713600</v>
      </c>
      <c r="Q545" s="361"/>
      <c r="R545" s="385" t="s">
        <v>115</v>
      </c>
      <c r="S545" s="383">
        <v>34800000</v>
      </c>
      <c r="T545" s="361"/>
      <c r="U545" s="351">
        <v>44743</v>
      </c>
      <c r="V545" s="351">
        <v>45107</v>
      </c>
      <c r="W545" s="361" t="s">
        <v>250</v>
      </c>
      <c r="X545" s="361"/>
      <c r="Y545" s="361"/>
      <c r="Z545" s="361"/>
      <c r="AA545" s="361"/>
      <c r="AB545" s="361"/>
      <c r="AC545" s="159"/>
      <c r="AD545" s="361" t="s">
        <v>2152</v>
      </c>
      <c r="AE545" s="364">
        <v>4500018174</v>
      </c>
      <c r="AF545" s="364"/>
      <c r="AG545" s="361"/>
      <c r="AH545" s="361"/>
      <c r="AI545" s="361"/>
      <c r="AJ545" s="361"/>
      <c r="AK545" s="361"/>
      <c r="AL545" s="361"/>
      <c r="AM545" s="361"/>
      <c r="AN545" s="361"/>
      <c r="AO545" s="361"/>
      <c r="AP545" s="361"/>
      <c r="AQ545" s="361"/>
      <c r="AR545" s="503"/>
      <c r="AS545" s="489"/>
      <c r="AT545" s="160"/>
      <c r="AU545" s="355"/>
    </row>
    <row r="546" spans="1:47" s="124" customFormat="1" ht="21.75" hidden="1" customHeight="1">
      <c r="A546" s="331">
        <v>545</v>
      </c>
      <c r="B546" s="361" t="s">
        <v>2153</v>
      </c>
      <c r="C546" s="361" t="s">
        <v>2154</v>
      </c>
      <c r="D546" s="435" t="s">
        <v>2155</v>
      </c>
      <c r="E546" s="361" t="str">
        <f t="shared" si="8"/>
        <v>LOSS</v>
      </c>
      <c r="F546" s="361"/>
      <c r="G546" s="361"/>
      <c r="H546" s="361" t="s">
        <v>327</v>
      </c>
      <c r="I546" s="160" t="s">
        <v>346</v>
      </c>
      <c r="J546" s="361" t="s">
        <v>183</v>
      </c>
      <c r="K546" s="365"/>
      <c r="L546" s="361"/>
      <c r="M546" s="361"/>
      <c r="N546" s="361"/>
      <c r="O546" s="382">
        <v>5000000</v>
      </c>
      <c r="P546" s="383">
        <v>25200000</v>
      </c>
      <c r="Q546" s="361"/>
      <c r="R546" s="385" t="s">
        <v>115</v>
      </c>
      <c r="S546" s="383">
        <v>10500000</v>
      </c>
      <c r="T546" s="361"/>
      <c r="U546" s="351">
        <v>44662</v>
      </c>
      <c r="V546" s="351">
        <v>45026</v>
      </c>
      <c r="W546" s="361" t="s">
        <v>250</v>
      </c>
      <c r="X546" s="361"/>
      <c r="Y546" s="361"/>
      <c r="Z546" s="361"/>
      <c r="AA546" s="361"/>
      <c r="AB546" s="361"/>
      <c r="AC546" s="159"/>
      <c r="AD546" s="361" t="s">
        <v>2156</v>
      </c>
      <c r="AE546" s="364">
        <v>4500018172</v>
      </c>
      <c r="AF546" s="364"/>
      <c r="AG546" s="361"/>
      <c r="AH546" s="365"/>
      <c r="AI546" s="361"/>
      <c r="AJ546" s="361"/>
      <c r="AK546" s="361"/>
      <c r="AL546" s="361"/>
      <c r="AM546" s="361"/>
      <c r="AN546" s="361"/>
      <c r="AO546" s="361"/>
      <c r="AP546" s="361"/>
      <c r="AQ546" s="361"/>
      <c r="AR546" s="503"/>
      <c r="AS546" s="489"/>
      <c r="AT546" s="160"/>
      <c r="AU546" s="355"/>
    </row>
    <row r="547" spans="1:47" s="124" customFormat="1" ht="21.75" hidden="1" customHeight="1">
      <c r="A547" s="331">
        <v>546</v>
      </c>
      <c r="B547" s="361" t="s">
        <v>726</v>
      </c>
      <c r="C547" s="361" t="s">
        <v>2157</v>
      </c>
      <c r="D547" s="436" t="s">
        <v>854</v>
      </c>
      <c r="E547" s="361" t="str">
        <f t="shared" si="8"/>
        <v>LOSS</v>
      </c>
      <c r="F547" s="361"/>
      <c r="G547" s="361"/>
      <c r="H547" s="361" t="s">
        <v>327</v>
      </c>
      <c r="I547" s="160" t="s">
        <v>346</v>
      </c>
      <c r="J547" s="361" t="s">
        <v>2158</v>
      </c>
      <c r="K547" s="365"/>
      <c r="L547" s="361"/>
      <c r="M547" s="361"/>
      <c r="N547" s="361"/>
      <c r="O547" s="382">
        <v>34300000</v>
      </c>
      <c r="P547" s="383">
        <v>349200000</v>
      </c>
      <c r="Q547" s="361"/>
      <c r="R547" s="383">
        <v>25000000</v>
      </c>
      <c r="S547" s="383">
        <v>166800000</v>
      </c>
      <c r="T547" s="361"/>
      <c r="U547" s="351">
        <v>44729</v>
      </c>
      <c r="V547" s="351">
        <v>45093</v>
      </c>
      <c r="W547" s="361" t="s">
        <v>250</v>
      </c>
      <c r="X547" s="361"/>
      <c r="Y547" s="361"/>
      <c r="Z547" s="361"/>
      <c r="AA547" s="361"/>
      <c r="AB547" s="361"/>
      <c r="AC547" s="159"/>
      <c r="AD547" s="361" t="s">
        <v>2159</v>
      </c>
      <c r="AE547" s="399">
        <v>4500018188</v>
      </c>
      <c r="AF547" s="364"/>
      <c r="AG547" s="361"/>
      <c r="AH547" s="365"/>
      <c r="AI547" s="361"/>
      <c r="AJ547" s="361"/>
      <c r="AK547" s="361"/>
      <c r="AL547" s="361"/>
      <c r="AM547" s="361"/>
      <c r="AN547" s="361"/>
      <c r="AO547" s="361"/>
      <c r="AP547" s="361"/>
      <c r="AQ547" s="361"/>
      <c r="AR547" s="503"/>
      <c r="AS547" s="489"/>
      <c r="AT547" s="160"/>
      <c r="AU547" s="355"/>
    </row>
    <row r="548" spans="1:47" s="124" customFormat="1" ht="21.75" hidden="1" customHeight="1">
      <c r="A548" s="331">
        <v>547</v>
      </c>
      <c r="B548" s="361" t="s">
        <v>450</v>
      </c>
      <c r="C548" s="361" t="s">
        <v>2160</v>
      </c>
      <c r="D548" s="435" t="s">
        <v>1516</v>
      </c>
      <c r="E548" s="361" t="str">
        <f t="shared" si="8"/>
        <v>LOSS</v>
      </c>
      <c r="F548" s="361"/>
      <c r="G548" s="361"/>
      <c r="H548" s="361" t="s">
        <v>327</v>
      </c>
      <c r="I548" s="160" t="s">
        <v>346</v>
      </c>
      <c r="J548" s="361" t="s">
        <v>117</v>
      </c>
      <c r="K548" s="365"/>
      <c r="L548" s="361"/>
      <c r="M548" s="361"/>
      <c r="N548" s="361"/>
      <c r="O548" s="384" t="s">
        <v>115</v>
      </c>
      <c r="P548" s="383">
        <v>64800000</v>
      </c>
      <c r="Q548" s="361"/>
      <c r="R548" s="385" t="s">
        <v>115</v>
      </c>
      <c r="S548" s="383">
        <v>12000000</v>
      </c>
      <c r="T548" s="361"/>
      <c r="U548" s="351">
        <v>44689</v>
      </c>
      <c r="V548" s="351">
        <v>45053</v>
      </c>
      <c r="W548" s="361" t="s">
        <v>250</v>
      </c>
      <c r="X548" s="361"/>
      <c r="Y548" s="361"/>
      <c r="Z548" s="361"/>
      <c r="AA548" s="361"/>
      <c r="AB548" s="361"/>
      <c r="AC548" s="159"/>
      <c r="AD548" s="361" t="s">
        <v>2161</v>
      </c>
      <c r="AE548" s="364">
        <v>4500018610</v>
      </c>
      <c r="AF548" s="364"/>
      <c r="AG548" s="361"/>
      <c r="AH548" s="365"/>
      <c r="AI548" s="361"/>
      <c r="AJ548" s="361"/>
      <c r="AK548" s="361"/>
      <c r="AL548" s="361"/>
      <c r="AM548" s="361"/>
      <c r="AN548" s="361"/>
      <c r="AO548" s="361"/>
      <c r="AP548" s="361"/>
      <c r="AQ548" s="361"/>
      <c r="AR548" s="503"/>
      <c r="AS548" s="489"/>
      <c r="AT548" s="160"/>
      <c r="AU548" s="355"/>
    </row>
    <row r="549" spans="1:47" s="124" customFormat="1" ht="21.75" hidden="1" customHeight="1">
      <c r="A549" s="331">
        <v>548</v>
      </c>
      <c r="B549" s="361" t="s">
        <v>450</v>
      </c>
      <c r="C549" s="361" t="s">
        <v>2162</v>
      </c>
      <c r="D549" s="436" t="s">
        <v>1516</v>
      </c>
      <c r="E549" s="361" t="str">
        <f t="shared" si="8"/>
        <v>LOSS</v>
      </c>
      <c r="F549" s="361"/>
      <c r="G549" s="361"/>
      <c r="H549" s="361" t="s">
        <v>327</v>
      </c>
      <c r="I549" s="160" t="s">
        <v>346</v>
      </c>
      <c r="J549" s="361" t="s">
        <v>118</v>
      </c>
      <c r="K549" s="365"/>
      <c r="L549" s="361"/>
      <c r="M549" s="361"/>
      <c r="N549" s="361"/>
      <c r="O549" s="384" t="s">
        <v>115</v>
      </c>
      <c r="P549" s="383">
        <v>72000000</v>
      </c>
      <c r="Q549" s="361"/>
      <c r="R549" s="385" t="s">
        <v>115</v>
      </c>
      <c r="S549" s="383">
        <v>2500000</v>
      </c>
      <c r="T549" s="361"/>
      <c r="U549" s="351">
        <v>44665</v>
      </c>
      <c r="V549" s="351">
        <v>45029</v>
      </c>
      <c r="W549" s="361" t="s">
        <v>250</v>
      </c>
      <c r="X549" s="361"/>
      <c r="Y549" s="361"/>
      <c r="Z549" s="361"/>
      <c r="AA549" s="361"/>
      <c r="AB549" s="361"/>
      <c r="AC549" s="159"/>
      <c r="AD549" s="361" t="s">
        <v>2163</v>
      </c>
      <c r="AE549" s="364">
        <v>4500018609</v>
      </c>
      <c r="AF549" s="364"/>
      <c r="AG549" s="361"/>
      <c r="AH549" s="365"/>
      <c r="AI549" s="361"/>
      <c r="AJ549" s="361"/>
      <c r="AK549" s="361"/>
      <c r="AL549" s="361"/>
      <c r="AM549" s="361"/>
      <c r="AN549" s="361"/>
      <c r="AO549" s="361"/>
      <c r="AP549" s="361"/>
      <c r="AQ549" s="361"/>
      <c r="AR549" s="503"/>
      <c r="AS549" s="489"/>
      <c r="AT549" s="160"/>
      <c r="AU549" s="355"/>
    </row>
    <row r="550" spans="1:47" s="124" customFormat="1" ht="21.75" hidden="1" customHeight="1">
      <c r="A550" s="331">
        <v>549</v>
      </c>
      <c r="B550" s="361" t="s">
        <v>1914</v>
      </c>
      <c r="C550" s="361" t="s">
        <v>1869</v>
      </c>
      <c r="D550" s="435" t="s">
        <v>2164</v>
      </c>
      <c r="E550" s="361" t="str">
        <f t="shared" si="8"/>
        <v>LOSS</v>
      </c>
      <c r="F550" s="361"/>
      <c r="G550" s="361"/>
      <c r="H550" s="361" t="s">
        <v>327</v>
      </c>
      <c r="I550" s="160" t="s">
        <v>346</v>
      </c>
      <c r="J550" s="361" t="s">
        <v>1752</v>
      </c>
      <c r="K550" s="365"/>
      <c r="L550" s="361"/>
      <c r="M550" s="361"/>
      <c r="N550" s="361"/>
      <c r="O550" s="384" t="s">
        <v>115</v>
      </c>
      <c r="P550" s="383">
        <v>34800000</v>
      </c>
      <c r="Q550" s="361"/>
      <c r="R550" s="385" t="s">
        <v>115</v>
      </c>
      <c r="S550" s="383">
        <v>22951000</v>
      </c>
      <c r="T550" s="361"/>
      <c r="U550" s="351">
        <v>44890</v>
      </c>
      <c r="V550" s="351">
        <v>45254</v>
      </c>
      <c r="W550" s="361" t="s">
        <v>250</v>
      </c>
      <c r="X550" s="361"/>
      <c r="Y550" s="361"/>
      <c r="Z550" s="361"/>
      <c r="AA550" s="361"/>
      <c r="AB550" s="361"/>
      <c r="AC550" s="159"/>
      <c r="AD550" s="368"/>
      <c r="AE550" s="364">
        <v>4500018970</v>
      </c>
      <c r="AF550" s="364"/>
      <c r="AG550" s="361"/>
      <c r="AH550" s="365"/>
      <c r="AI550" s="361"/>
      <c r="AJ550" s="361"/>
      <c r="AK550" s="361"/>
      <c r="AL550" s="361"/>
      <c r="AM550" s="361"/>
      <c r="AN550" s="361"/>
      <c r="AO550" s="361"/>
      <c r="AP550" s="361"/>
      <c r="AQ550" s="361"/>
      <c r="AR550" s="503"/>
      <c r="AS550" s="489"/>
      <c r="AT550" s="160"/>
      <c r="AU550" s="355"/>
    </row>
    <row r="551" spans="1:47" s="124" customFormat="1" ht="21.75" hidden="1" customHeight="1">
      <c r="A551" s="331">
        <v>550</v>
      </c>
      <c r="B551" s="361" t="s">
        <v>726</v>
      </c>
      <c r="C551" s="361" t="s">
        <v>2165</v>
      </c>
      <c r="D551" s="436" t="s">
        <v>854</v>
      </c>
      <c r="E551" s="361" t="str">
        <f t="shared" si="8"/>
        <v>LOSS</v>
      </c>
      <c r="F551" s="361"/>
      <c r="G551" s="361"/>
      <c r="H551" s="361" t="s">
        <v>327</v>
      </c>
      <c r="I551" s="361" t="s">
        <v>242</v>
      </c>
      <c r="J551" s="361" t="s">
        <v>2166</v>
      </c>
      <c r="K551" s="365"/>
      <c r="L551" s="361"/>
      <c r="M551" s="361"/>
      <c r="N551" s="361"/>
      <c r="O551" s="384" t="s">
        <v>115</v>
      </c>
      <c r="P551" s="383">
        <v>127603391</v>
      </c>
      <c r="Q551" s="361"/>
      <c r="R551" s="385" t="s">
        <v>115</v>
      </c>
      <c r="S551" s="383">
        <v>6000000</v>
      </c>
      <c r="T551" s="361"/>
      <c r="U551" s="351">
        <v>44571</v>
      </c>
      <c r="V551" s="351">
        <v>44935</v>
      </c>
      <c r="W551" s="361" t="s">
        <v>250</v>
      </c>
      <c r="X551" s="361"/>
      <c r="Y551" s="361"/>
      <c r="Z551" s="361"/>
      <c r="AA551" s="361"/>
      <c r="AB551" s="361"/>
      <c r="AC551" s="159"/>
      <c r="AD551" s="368"/>
      <c r="AE551" s="364">
        <v>4500018966</v>
      </c>
      <c r="AF551" s="364"/>
      <c r="AG551" s="361"/>
      <c r="AH551" s="365"/>
      <c r="AI551" s="361"/>
      <c r="AJ551" s="361"/>
      <c r="AK551" s="361"/>
      <c r="AL551" s="361"/>
      <c r="AM551" s="361"/>
      <c r="AN551" s="361"/>
      <c r="AO551" s="361"/>
      <c r="AP551" s="361"/>
      <c r="AQ551" s="361"/>
      <c r="AR551" s="503"/>
      <c r="AS551" s="489"/>
      <c r="AT551" s="160"/>
      <c r="AU551" s="355"/>
    </row>
    <row r="552" spans="1:47" s="124" customFormat="1" ht="21.75" hidden="1" customHeight="1">
      <c r="A552" s="331">
        <v>551</v>
      </c>
      <c r="B552" s="159" t="s">
        <v>593</v>
      </c>
      <c r="C552" s="361" t="s">
        <v>2167</v>
      </c>
      <c r="D552" s="435" t="s">
        <v>2168</v>
      </c>
      <c r="E552" s="361" t="str">
        <f t="shared" si="8"/>
        <v>LOSS</v>
      </c>
      <c r="F552" s="361"/>
      <c r="G552" s="361"/>
      <c r="H552" s="361" t="s">
        <v>327</v>
      </c>
      <c r="I552" s="160" t="s">
        <v>346</v>
      </c>
      <c r="J552" s="376" t="s">
        <v>2169</v>
      </c>
      <c r="K552" s="365"/>
      <c r="L552" s="361"/>
      <c r="M552" s="361"/>
      <c r="N552" s="361"/>
      <c r="O552" s="384" t="s">
        <v>115</v>
      </c>
      <c r="P552" s="383">
        <v>84000000</v>
      </c>
      <c r="Q552" s="361"/>
      <c r="R552" s="385" t="s">
        <v>115</v>
      </c>
      <c r="S552" s="383">
        <v>20900000</v>
      </c>
      <c r="T552" s="361"/>
      <c r="U552" s="351">
        <v>44835</v>
      </c>
      <c r="V552" s="351">
        <v>45199</v>
      </c>
      <c r="W552" s="361" t="s">
        <v>250</v>
      </c>
      <c r="X552" s="361"/>
      <c r="Y552" s="361"/>
      <c r="Z552" s="361"/>
      <c r="AA552" s="361"/>
      <c r="AB552" s="361"/>
      <c r="AC552" s="159"/>
      <c r="AD552" s="368"/>
      <c r="AE552" s="364">
        <v>4500018953</v>
      </c>
      <c r="AF552" s="364"/>
      <c r="AG552" s="361"/>
      <c r="AH552" s="365"/>
      <c r="AI552" s="361"/>
      <c r="AJ552" s="361"/>
      <c r="AK552" s="361"/>
      <c r="AL552" s="361"/>
      <c r="AM552" s="361"/>
      <c r="AN552" s="361"/>
      <c r="AO552" s="361"/>
      <c r="AP552" s="361"/>
      <c r="AQ552" s="361"/>
      <c r="AR552" s="503"/>
      <c r="AS552" s="489"/>
      <c r="AT552" s="160"/>
      <c r="AU552" s="355"/>
    </row>
    <row r="553" spans="1:47" s="124" customFormat="1" ht="21.75" hidden="1" customHeight="1">
      <c r="A553" s="331">
        <v>552</v>
      </c>
      <c r="B553" s="361" t="s">
        <v>450</v>
      </c>
      <c r="C553" s="361" t="s">
        <v>2170</v>
      </c>
      <c r="D553" s="436" t="s">
        <v>1516</v>
      </c>
      <c r="E553" s="361" t="str">
        <f t="shared" si="8"/>
        <v>LOSS</v>
      </c>
      <c r="F553" s="361"/>
      <c r="G553" s="361"/>
      <c r="H553" s="361" t="s">
        <v>327</v>
      </c>
      <c r="I553" s="160" t="s">
        <v>346</v>
      </c>
      <c r="J553" s="361" t="s">
        <v>1166</v>
      </c>
      <c r="K553" s="365"/>
      <c r="L553" s="361"/>
      <c r="M553" s="361"/>
      <c r="N553" s="361"/>
      <c r="O553" s="384" t="s">
        <v>115</v>
      </c>
      <c r="P553" s="383">
        <v>42000000</v>
      </c>
      <c r="Q553" s="361"/>
      <c r="R553" s="385" t="s">
        <v>115</v>
      </c>
      <c r="S553" s="383">
        <v>3500000</v>
      </c>
      <c r="T553" s="361"/>
      <c r="U553" s="351">
        <v>44827</v>
      </c>
      <c r="V553" s="351">
        <v>45191</v>
      </c>
      <c r="W553" s="361" t="s">
        <v>250</v>
      </c>
      <c r="X553" s="361"/>
      <c r="Y553" s="361"/>
      <c r="Z553" s="361"/>
      <c r="AA553" s="361"/>
      <c r="AB553" s="361"/>
      <c r="AC553" s="159"/>
      <c r="AD553" s="368"/>
      <c r="AE553" s="364">
        <v>4500018971</v>
      </c>
      <c r="AF553" s="364"/>
      <c r="AG553" s="361"/>
      <c r="AH553" s="365"/>
      <c r="AI553" s="361"/>
      <c r="AJ553" s="361"/>
      <c r="AK553" s="361"/>
      <c r="AL553" s="361"/>
      <c r="AM553" s="361"/>
      <c r="AN553" s="361"/>
      <c r="AO553" s="361"/>
      <c r="AP553" s="361"/>
      <c r="AQ553" s="361"/>
      <c r="AR553" s="503"/>
      <c r="AS553" s="489"/>
      <c r="AT553" s="160"/>
      <c r="AU553" s="355"/>
    </row>
    <row r="554" spans="1:47" s="124" customFormat="1" ht="21.75" hidden="1" customHeight="1">
      <c r="A554" s="331">
        <v>553</v>
      </c>
      <c r="B554" s="361" t="s">
        <v>37</v>
      </c>
      <c r="C554" s="361" t="s">
        <v>2171</v>
      </c>
      <c r="D554" s="435" t="s">
        <v>2172</v>
      </c>
      <c r="E554" s="361" t="str">
        <f t="shared" si="8"/>
        <v>LOSS</v>
      </c>
      <c r="F554" s="361"/>
      <c r="G554" s="361"/>
      <c r="H554" s="28" t="s">
        <v>261</v>
      </c>
      <c r="I554" s="361" t="s">
        <v>243</v>
      </c>
      <c r="J554" s="361" t="s">
        <v>1460</v>
      </c>
      <c r="K554" s="361"/>
      <c r="L554" s="361"/>
      <c r="M554" s="361"/>
      <c r="N554" s="361"/>
      <c r="O554" s="384" t="s">
        <v>115</v>
      </c>
      <c r="P554" s="383">
        <v>372000000</v>
      </c>
      <c r="Q554" s="361"/>
      <c r="R554" s="385" t="s">
        <v>115</v>
      </c>
      <c r="S554" s="383">
        <v>196560000</v>
      </c>
      <c r="T554" s="361"/>
      <c r="U554" s="351">
        <v>44885</v>
      </c>
      <c r="V554" s="351">
        <v>45249</v>
      </c>
      <c r="W554" s="361" t="s">
        <v>250</v>
      </c>
      <c r="X554" s="361"/>
      <c r="Y554" s="361"/>
      <c r="Z554" s="361"/>
      <c r="AA554" s="361"/>
      <c r="AB554" s="361"/>
      <c r="AC554" s="159"/>
      <c r="AD554" s="361" t="s">
        <v>2173</v>
      </c>
      <c r="AE554" s="364">
        <v>4500019208</v>
      </c>
      <c r="AF554" s="364"/>
      <c r="AG554" s="361"/>
      <c r="AH554" s="361"/>
      <c r="AI554" s="361"/>
      <c r="AJ554" s="361"/>
      <c r="AK554" s="361"/>
      <c r="AL554" s="361"/>
      <c r="AM554" s="361"/>
      <c r="AN554" s="361"/>
      <c r="AO554" s="361"/>
      <c r="AP554" s="361"/>
      <c r="AQ554" s="361"/>
      <c r="AR554" s="503"/>
      <c r="AS554" s="489"/>
      <c r="AT554" s="160"/>
      <c r="AU554" s="355"/>
    </row>
    <row r="555" spans="1:47" s="124" customFormat="1" ht="21.75" hidden="1" customHeight="1">
      <c r="A555" s="331">
        <v>554</v>
      </c>
      <c r="B555" s="28" t="s">
        <v>179</v>
      </c>
      <c r="C555" s="361" t="s">
        <v>2174</v>
      </c>
      <c r="D555" s="436" t="s">
        <v>2145</v>
      </c>
      <c r="E555" s="361" t="str">
        <f t="shared" si="8"/>
        <v>LOSS</v>
      </c>
      <c r="F555" s="361"/>
      <c r="G555" s="361"/>
      <c r="H555" s="361" t="s">
        <v>327</v>
      </c>
      <c r="I555" s="361" t="s">
        <v>242</v>
      </c>
      <c r="J555" s="361" t="s">
        <v>2175</v>
      </c>
      <c r="K555" s="365"/>
      <c r="L555" s="361"/>
      <c r="M555" s="361"/>
      <c r="N555" s="361"/>
      <c r="O555" s="384" t="s">
        <v>115</v>
      </c>
      <c r="P555" s="383">
        <v>2010000000</v>
      </c>
      <c r="Q555" s="361"/>
      <c r="R555" s="385" t="s">
        <v>115</v>
      </c>
      <c r="S555" s="383">
        <v>2750000</v>
      </c>
      <c r="T555" s="361"/>
      <c r="U555" s="351">
        <v>44715</v>
      </c>
      <c r="V555" s="351">
        <v>45079</v>
      </c>
      <c r="W555" s="361" t="s">
        <v>250</v>
      </c>
      <c r="X555" s="361"/>
      <c r="Y555" s="361"/>
      <c r="Z555" s="361"/>
      <c r="AA555" s="361"/>
      <c r="AB555" s="361"/>
      <c r="AC555" s="159"/>
      <c r="AD555" s="361" t="s">
        <v>2176</v>
      </c>
      <c r="AE555" s="364">
        <v>4500019058</v>
      </c>
      <c r="AF555" s="364"/>
      <c r="AG555" s="361"/>
      <c r="AH555" s="365"/>
      <c r="AI555" s="361"/>
      <c r="AJ555" s="361"/>
      <c r="AK555" s="361"/>
      <c r="AL555" s="361"/>
      <c r="AM555" s="361"/>
      <c r="AN555" s="361"/>
      <c r="AO555" s="361"/>
      <c r="AP555" s="361"/>
      <c r="AQ555" s="361"/>
      <c r="AR555" s="503"/>
      <c r="AS555" s="489"/>
      <c r="AT555" s="160"/>
      <c r="AU555" s="355"/>
    </row>
    <row r="556" spans="1:47" s="124" customFormat="1" ht="21.75" hidden="1" customHeight="1">
      <c r="A556" s="331">
        <v>555</v>
      </c>
      <c r="B556" s="159" t="s">
        <v>903</v>
      </c>
      <c r="C556" s="361" t="s">
        <v>2177</v>
      </c>
      <c r="D556" s="435" t="s">
        <v>905</v>
      </c>
      <c r="E556" s="361" t="str">
        <f t="shared" si="8"/>
        <v>LOSS</v>
      </c>
      <c r="F556" s="361"/>
      <c r="G556" s="361"/>
      <c r="H556" s="361" t="s">
        <v>327</v>
      </c>
      <c r="I556" s="361" t="s">
        <v>242</v>
      </c>
      <c r="J556" s="361" t="s">
        <v>2178</v>
      </c>
      <c r="K556" s="365"/>
      <c r="L556" s="361"/>
      <c r="M556" s="361"/>
      <c r="N556" s="361"/>
      <c r="O556" s="382">
        <v>5000000</v>
      </c>
      <c r="P556" s="383">
        <v>348000000</v>
      </c>
      <c r="Q556" s="361"/>
      <c r="R556" s="385" t="s">
        <v>115</v>
      </c>
      <c r="S556" s="383">
        <v>18000000</v>
      </c>
      <c r="T556" s="361"/>
      <c r="U556" s="351">
        <v>44866</v>
      </c>
      <c r="V556" s="351">
        <v>45230</v>
      </c>
      <c r="W556" s="361" t="s">
        <v>250</v>
      </c>
      <c r="X556" s="361"/>
      <c r="Y556" s="361"/>
      <c r="Z556" s="361"/>
      <c r="AA556" s="361"/>
      <c r="AB556" s="361"/>
      <c r="AC556" s="159"/>
      <c r="AD556" s="361" t="s">
        <v>2179</v>
      </c>
      <c r="AE556" s="364">
        <v>4500019279</v>
      </c>
      <c r="AF556" s="364"/>
      <c r="AG556" s="361"/>
      <c r="AH556" s="365"/>
      <c r="AI556" s="361"/>
      <c r="AJ556" s="361"/>
      <c r="AK556" s="361"/>
      <c r="AL556" s="361"/>
      <c r="AM556" s="361"/>
      <c r="AN556" s="361"/>
      <c r="AO556" s="361"/>
      <c r="AP556" s="361"/>
      <c r="AQ556" s="361"/>
      <c r="AR556" s="503"/>
      <c r="AS556" s="489"/>
      <c r="AT556" s="160"/>
      <c r="AU556" s="355"/>
    </row>
    <row r="557" spans="1:47" s="124" customFormat="1" ht="21.75" hidden="1" customHeight="1">
      <c r="A557" s="331">
        <v>556</v>
      </c>
      <c r="B557" s="361" t="s">
        <v>71</v>
      </c>
      <c r="C557" s="361" t="s">
        <v>1581</v>
      </c>
      <c r="D557" s="436" t="s">
        <v>850</v>
      </c>
      <c r="E557" s="361" t="str">
        <f t="shared" si="8"/>
        <v>LOSS</v>
      </c>
      <c r="F557" s="361"/>
      <c r="G557" s="361"/>
      <c r="H557" s="361" t="s">
        <v>327</v>
      </c>
      <c r="I557" s="361" t="s">
        <v>242</v>
      </c>
      <c r="J557" s="361" t="s">
        <v>1364</v>
      </c>
      <c r="K557" s="365"/>
      <c r="L557" s="361"/>
      <c r="M557" s="361"/>
      <c r="N557" s="361"/>
      <c r="O557" s="384" t="s">
        <v>115</v>
      </c>
      <c r="P557" s="383">
        <v>246000000</v>
      </c>
      <c r="Q557" s="361"/>
      <c r="R557" s="385" t="s">
        <v>115</v>
      </c>
      <c r="S557" s="383">
        <v>18000000</v>
      </c>
      <c r="T557" s="361"/>
      <c r="U557" s="351">
        <v>44721</v>
      </c>
      <c r="V557" s="351">
        <v>45085</v>
      </c>
      <c r="W557" s="361" t="s">
        <v>250</v>
      </c>
      <c r="X557" s="361"/>
      <c r="Y557" s="361"/>
      <c r="Z557" s="361"/>
      <c r="AA557" s="361"/>
      <c r="AB557" s="361"/>
      <c r="AC557" s="159"/>
      <c r="AD557" s="361" t="s">
        <v>2180</v>
      </c>
      <c r="AE557" s="364">
        <v>4500018325</v>
      </c>
      <c r="AF557" s="364"/>
      <c r="AG557" s="361"/>
      <c r="AH557" s="365"/>
      <c r="AI557" s="361"/>
      <c r="AJ557" s="361"/>
      <c r="AK557" s="361"/>
      <c r="AL557" s="361"/>
      <c r="AM557" s="361"/>
      <c r="AN557" s="361"/>
      <c r="AO557" s="361"/>
      <c r="AP557" s="361"/>
      <c r="AQ557" s="361"/>
      <c r="AR557" s="503"/>
      <c r="AS557" s="489"/>
      <c r="AT557" s="160"/>
      <c r="AU557" s="355"/>
    </row>
    <row r="558" spans="1:47" s="124" customFormat="1" ht="21.75" hidden="1" customHeight="1">
      <c r="A558" s="331">
        <v>557</v>
      </c>
      <c r="B558" s="159" t="s">
        <v>645</v>
      </c>
      <c r="C558" s="361" t="s">
        <v>2149</v>
      </c>
      <c r="D558" s="435" t="s">
        <v>2181</v>
      </c>
      <c r="E558" s="361" t="str">
        <f t="shared" si="8"/>
        <v>LOSS</v>
      </c>
      <c r="F558" s="361"/>
      <c r="G558" s="361"/>
      <c r="H558" s="361" t="s">
        <v>327</v>
      </c>
      <c r="I558" s="160" t="s">
        <v>346</v>
      </c>
      <c r="J558" s="361" t="s">
        <v>1089</v>
      </c>
      <c r="K558" s="365"/>
      <c r="L558" s="361"/>
      <c r="M558" s="361"/>
      <c r="N558" s="361"/>
      <c r="O558" s="384" t="s">
        <v>115</v>
      </c>
      <c r="P558" s="383">
        <v>54000000</v>
      </c>
      <c r="Q558" s="361"/>
      <c r="R558" s="385" t="s">
        <v>115</v>
      </c>
      <c r="S558" s="383">
        <v>15300000</v>
      </c>
      <c r="T558" s="361"/>
      <c r="U558" s="351">
        <v>44816</v>
      </c>
      <c r="V558" s="351">
        <v>45180</v>
      </c>
      <c r="W558" s="361" t="s">
        <v>250</v>
      </c>
      <c r="X558" s="361"/>
      <c r="Y558" s="361"/>
      <c r="Z558" s="361"/>
      <c r="AA558" s="361"/>
      <c r="AB558" s="361"/>
      <c r="AC558" s="159"/>
      <c r="AD558" s="368"/>
      <c r="AE558" s="364">
        <v>4500019049</v>
      </c>
      <c r="AF558" s="364"/>
      <c r="AG558" s="361"/>
      <c r="AH558" s="365"/>
      <c r="AI558" s="361"/>
      <c r="AJ558" s="361"/>
      <c r="AK558" s="361"/>
      <c r="AL558" s="361"/>
      <c r="AM558" s="361"/>
      <c r="AN558" s="361"/>
      <c r="AO558" s="361"/>
      <c r="AP558" s="361"/>
      <c r="AQ558" s="361"/>
      <c r="AR558" s="503"/>
      <c r="AS558" s="489"/>
      <c r="AT558" s="160"/>
      <c r="AU558" s="355"/>
    </row>
    <row r="559" spans="1:47" s="124" customFormat="1" ht="21.75" hidden="1" customHeight="1">
      <c r="A559" s="331">
        <v>558</v>
      </c>
      <c r="B559" s="159" t="s">
        <v>1387</v>
      </c>
      <c r="C559" s="361" t="s">
        <v>2182</v>
      </c>
      <c r="D559" s="436" t="s">
        <v>2183</v>
      </c>
      <c r="E559" s="361" t="str">
        <f t="shared" si="8"/>
        <v>LOSS</v>
      </c>
      <c r="F559" s="361"/>
      <c r="G559" s="361"/>
      <c r="H559" s="361" t="s">
        <v>327</v>
      </c>
      <c r="I559" s="361" t="s">
        <v>346</v>
      </c>
      <c r="J559" s="361" t="s">
        <v>2184</v>
      </c>
      <c r="K559" s="365"/>
      <c r="L559" s="361"/>
      <c r="M559" s="361"/>
      <c r="N559" s="361"/>
      <c r="O559" s="384" t="s">
        <v>115</v>
      </c>
      <c r="P559" s="383">
        <v>490909092</v>
      </c>
      <c r="Q559" s="361"/>
      <c r="R559" s="385" t="s">
        <v>115</v>
      </c>
      <c r="S559" s="383">
        <v>56000000</v>
      </c>
      <c r="T559" s="361"/>
      <c r="U559" s="351">
        <v>44765</v>
      </c>
      <c r="V559" s="351">
        <v>45129</v>
      </c>
      <c r="W559" s="361" t="s">
        <v>250</v>
      </c>
      <c r="X559" s="361"/>
      <c r="Y559" s="361"/>
      <c r="Z559" s="361"/>
      <c r="AA559" s="361"/>
      <c r="AB559" s="361"/>
      <c r="AC559" s="159"/>
      <c r="AD559" s="368"/>
      <c r="AE559" s="364">
        <v>4500018527</v>
      </c>
      <c r="AF559" s="364"/>
      <c r="AG559" s="361"/>
      <c r="AH559" s="365"/>
      <c r="AI559" s="361"/>
      <c r="AJ559" s="361"/>
      <c r="AK559" s="361"/>
      <c r="AL559" s="361"/>
      <c r="AM559" s="361"/>
      <c r="AN559" s="361"/>
      <c r="AO559" s="361"/>
      <c r="AP559" s="361"/>
      <c r="AQ559" s="361"/>
      <c r="AR559" s="503"/>
      <c r="AS559" s="489"/>
      <c r="AT559" s="160"/>
      <c r="AU559" s="355"/>
    </row>
    <row r="560" spans="1:47" s="124" customFormat="1" ht="21.75" hidden="1" customHeight="1">
      <c r="A560" s="331">
        <v>559</v>
      </c>
      <c r="B560" s="28" t="s">
        <v>1592</v>
      </c>
      <c r="C560" s="361" t="s">
        <v>2185</v>
      </c>
      <c r="D560" s="435" t="s">
        <v>2186</v>
      </c>
      <c r="E560" s="361" t="str">
        <f t="shared" si="8"/>
        <v>LOSS</v>
      </c>
      <c r="F560" s="361"/>
      <c r="G560" s="361"/>
      <c r="H560" s="361" t="s">
        <v>327</v>
      </c>
      <c r="I560" s="160" t="s">
        <v>346</v>
      </c>
      <c r="J560" s="361" t="s">
        <v>2187</v>
      </c>
      <c r="K560" s="365"/>
      <c r="L560" s="361"/>
      <c r="M560" s="361"/>
      <c r="N560" s="361"/>
      <c r="O560" s="384" t="s">
        <v>115</v>
      </c>
      <c r="P560" s="383">
        <v>108000000</v>
      </c>
      <c r="Q560" s="361"/>
      <c r="R560" s="385" t="s">
        <v>115</v>
      </c>
      <c r="S560" s="383">
        <v>77000000</v>
      </c>
      <c r="T560" s="361"/>
      <c r="U560" s="351">
        <v>44829</v>
      </c>
      <c r="V560" s="351">
        <v>45193</v>
      </c>
      <c r="W560" s="361" t="s">
        <v>250</v>
      </c>
      <c r="X560" s="361"/>
      <c r="Y560" s="361"/>
      <c r="Z560" s="361"/>
      <c r="AA560" s="361"/>
      <c r="AB560" s="361"/>
      <c r="AC560" s="159"/>
      <c r="AD560" s="361" t="s">
        <v>2188</v>
      </c>
      <c r="AE560" s="364">
        <v>4500018869</v>
      </c>
      <c r="AF560" s="364"/>
      <c r="AG560" s="361"/>
      <c r="AH560" s="365"/>
      <c r="AI560" s="361"/>
      <c r="AJ560" s="361"/>
      <c r="AK560" s="361"/>
      <c r="AL560" s="361"/>
      <c r="AM560" s="361"/>
      <c r="AN560" s="361"/>
      <c r="AO560" s="361"/>
      <c r="AP560" s="361"/>
      <c r="AQ560" s="361"/>
      <c r="AR560" s="503"/>
      <c r="AS560" s="489"/>
      <c r="AT560" s="160"/>
      <c r="AU560" s="355"/>
    </row>
    <row r="561" spans="1:47" s="124" customFormat="1" ht="21.75" hidden="1" customHeight="1">
      <c r="A561" s="331">
        <v>560</v>
      </c>
      <c r="B561" s="173" t="s">
        <v>1035</v>
      </c>
      <c r="C561" s="361" t="s">
        <v>2189</v>
      </c>
      <c r="D561" s="436" t="s">
        <v>1037</v>
      </c>
      <c r="E561" s="361" t="str">
        <f t="shared" si="8"/>
        <v>LOSS</v>
      </c>
      <c r="F561" s="361"/>
      <c r="G561" s="361"/>
      <c r="H561" s="361" t="s">
        <v>327</v>
      </c>
      <c r="I561" s="160" t="s">
        <v>346</v>
      </c>
      <c r="J561" s="361" t="s">
        <v>2190</v>
      </c>
      <c r="K561" s="365"/>
      <c r="L561" s="361"/>
      <c r="M561" s="361"/>
      <c r="N561" s="361"/>
      <c r="O561" s="384" t="s">
        <v>115</v>
      </c>
      <c r="P561" s="383">
        <v>174000000</v>
      </c>
      <c r="Q561" s="361"/>
      <c r="R561" s="385" t="s">
        <v>115</v>
      </c>
      <c r="S561" s="383">
        <v>14280000</v>
      </c>
      <c r="T561" s="361"/>
      <c r="U561" s="351">
        <v>44912</v>
      </c>
      <c r="V561" s="351">
        <v>45276</v>
      </c>
      <c r="W561" s="361" t="s">
        <v>250</v>
      </c>
      <c r="X561" s="361"/>
      <c r="Y561" s="361"/>
      <c r="Z561" s="361"/>
      <c r="AA561" s="361"/>
      <c r="AB561" s="361"/>
      <c r="AC561" s="159"/>
      <c r="AD561" s="361" t="s">
        <v>2191</v>
      </c>
      <c r="AE561" s="364">
        <v>4500019619</v>
      </c>
      <c r="AF561" s="364"/>
      <c r="AG561" s="361"/>
      <c r="AH561" s="365"/>
      <c r="AI561" s="361"/>
      <c r="AJ561" s="361"/>
      <c r="AK561" s="361"/>
      <c r="AL561" s="361"/>
      <c r="AM561" s="361"/>
      <c r="AN561" s="361"/>
      <c r="AO561" s="361"/>
      <c r="AP561" s="361"/>
      <c r="AQ561" s="361"/>
      <c r="AR561" s="503"/>
      <c r="AS561" s="489"/>
      <c r="AT561" s="160"/>
      <c r="AU561" s="355"/>
    </row>
    <row r="562" spans="1:47" s="124" customFormat="1" ht="21.75" hidden="1" customHeight="1">
      <c r="A562" s="331">
        <v>561</v>
      </c>
      <c r="B562" s="28" t="s">
        <v>143</v>
      </c>
      <c r="C562" s="361" t="s">
        <v>1869</v>
      </c>
      <c r="D562" s="437" t="s">
        <v>1119</v>
      </c>
      <c r="E562" s="361" t="str">
        <f t="shared" si="8"/>
        <v>LOSS</v>
      </c>
      <c r="F562" s="361"/>
      <c r="G562" s="361"/>
      <c r="H562" s="361" t="s">
        <v>327</v>
      </c>
      <c r="I562" s="160" t="s">
        <v>346</v>
      </c>
      <c r="J562" s="361" t="s">
        <v>1011</v>
      </c>
      <c r="K562" s="365"/>
      <c r="L562" s="361"/>
      <c r="M562" s="361"/>
      <c r="N562" s="361"/>
      <c r="O562" s="384" t="s">
        <v>115</v>
      </c>
      <c r="P562" s="383">
        <v>26400000</v>
      </c>
      <c r="Q562" s="361"/>
      <c r="R562" s="385" t="s">
        <v>115</v>
      </c>
      <c r="S562" s="383">
        <v>14300000</v>
      </c>
      <c r="T562" s="361"/>
      <c r="U562" s="367">
        <v>44958</v>
      </c>
      <c r="V562" s="367">
        <v>45322</v>
      </c>
      <c r="W562" s="364" t="s">
        <v>250</v>
      </c>
      <c r="X562" s="361"/>
      <c r="Y562" s="361"/>
      <c r="Z562" s="361"/>
      <c r="AA562" s="361"/>
      <c r="AB562" s="361"/>
      <c r="AC562" s="159"/>
      <c r="AD562" s="361" t="s">
        <v>2192</v>
      </c>
      <c r="AE562" s="364">
        <v>4500019683</v>
      </c>
      <c r="AF562" s="364"/>
      <c r="AG562" s="361"/>
      <c r="AH562" s="365"/>
      <c r="AI562" s="361"/>
      <c r="AJ562" s="361"/>
      <c r="AK562" s="361"/>
      <c r="AL562" s="361"/>
      <c r="AM562" s="361"/>
      <c r="AN562" s="361"/>
      <c r="AO562" s="361"/>
      <c r="AP562" s="361"/>
      <c r="AQ562" s="361"/>
      <c r="AR562" s="503"/>
      <c r="AS562" s="489"/>
      <c r="AT562" s="160"/>
      <c r="AU562" s="355"/>
    </row>
    <row r="563" spans="1:47" s="124" customFormat="1" ht="21.75" hidden="1" customHeight="1">
      <c r="A563" s="331">
        <v>562</v>
      </c>
      <c r="B563" s="361" t="s">
        <v>2193</v>
      </c>
      <c r="C563" s="361" t="s">
        <v>2194</v>
      </c>
      <c r="D563" s="436" t="s">
        <v>2195</v>
      </c>
      <c r="E563" s="361" t="str">
        <f t="shared" si="8"/>
        <v>LOSS</v>
      </c>
      <c r="F563" s="361"/>
      <c r="G563" s="361"/>
      <c r="H563" s="361" t="s">
        <v>327</v>
      </c>
      <c r="I563" s="160" t="s">
        <v>346</v>
      </c>
      <c r="J563" s="361" t="s">
        <v>2196</v>
      </c>
      <c r="K563" s="365"/>
      <c r="L563" s="361"/>
      <c r="M563" s="361"/>
      <c r="N563" s="361"/>
      <c r="O563" s="384" t="s">
        <v>115</v>
      </c>
      <c r="P563" s="383">
        <v>158400000</v>
      </c>
      <c r="Q563" s="361"/>
      <c r="R563" s="385" t="s">
        <v>115</v>
      </c>
      <c r="S563" s="383">
        <v>8000000</v>
      </c>
      <c r="T563" s="361"/>
      <c r="U563" s="351">
        <v>44866</v>
      </c>
      <c r="V563" s="351">
        <v>45230</v>
      </c>
      <c r="W563" s="361" t="s">
        <v>250</v>
      </c>
      <c r="X563" s="361"/>
      <c r="Y563" s="361"/>
      <c r="Z563" s="361"/>
      <c r="AA563" s="361"/>
      <c r="AB563" s="361"/>
      <c r="AC563" s="159"/>
      <c r="AD563" s="361" t="s">
        <v>2197</v>
      </c>
      <c r="AE563" s="364">
        <v>4500019570</v>
      </c>
      <c r="AF563" s="364"/>
      <c r="AG563" s="361"/>
      <c r="AH563" s="365"/>
      <c r="AI563" s="361"/>
      <c r="AJ563" s="361"/>
      <c r="AK563" s="361"/>
      <c r="AL563" s="361"/>
      <c r="AM563" s="361"/>
      <c r="AN563" s="361"/>
      <c r="AO563" s="361"/>
      <c r="AP563" s="361"/>
      <c r="AQ563" s="361"/>
      <c r="AR563" s="503"/>
      <c r="AS563" s="489"/>
      <c r="AT563" s="160"/>
      <c r="AU563" s="355"/>
    </row>
    <row r="564" spans="1:47" s="124" customFormat="1" ht="21.75" hidden="1" customHeight="1">
      <c r="A564" s="331">
        <v>563</v>
      </c>
      <c r="B564" s="361" t="s">
        <v>1449</v>
      </c>
      <c r="C564" s="361" t="s">
        <v>1450</v>
      </c>
      <c r="D564" s="435" t="s">
        <v>1451</v>
      </c>
      <c r="E564" s="361" t="str">
        <f t="shared" si="8"/>
        <v>LOSS</v>
      </c>
      <c r="F564" s="361"/>
      <c r="G564" s="361"/>
      <c r="H564" s="361" t="s">
        <v>327</v>
      </c>
      <c r="I564" s="160" t="s">
        <v>346</v>
      </c>
      <c r="J564" s="361" t="s">
        <v>2198</v>
      </c>
      <c r="K564" s="365"/>
      <c r="L564" s="361"/>
      <c r="M564" s="361"/>
      <c r="N564" s="361"/>
      <c r="O564" s="374" t="s">
        <v>115</v>
      </c>
      <c r="P564" s="409">
        <v>80400000</v>
      </c>
      <c r="Q564" s="361"/>
      <c r="R564" s="410" t="s">
        <v>115</v>
      </c>
      <c r="S564" s="409">
        <v>8500000</v>
      </c>
      <c r="T564" s="361"/>
      <c r="U564" s="367">
        <v>44593</v>
      </c>
      <c r="V564" s="367">
        <v>44957</v>
      </c>
      <c r="W564" s="361" t="s">
        <v>250</v>
      </c>
      <c r="X564" s="361"/>
      <c r="Y564" s="361"/>
      <c r="Z564" s="361"/>
      <c r="AA564" s="361"/>
      <c r="AB564" s="361"/>
      <c r="AC564" s="159"/>
      <c r="AD564" s="368"/>
      <c r="AE564" s="364">
        <v>4500017689</v>
      </c>
      <c r="AF564" s="364"/>
      <c r="AG564" s="361"/>
      <c r="AH564" s="365"/>
      <c r="AI564" s="361"/>
      <c r="AJ564" s="361"/>
      <c r="AK564" s="361"/>
      <c r="AL564" s="361"/>
      <c r="AM564" s="361"/>
      <c r="AN564" s="361"/>
      <c r="AO564" s="361"/>
      <c r="AP564" s="361"/>
      <c r="AQ564" s="361"/>
      <c r="AR564" s="503"/>
      <c r="AS564" s="489"/>
      <c r="AT564" s="160"/>
      <c r="AU564" s="355"/>
    </row>
    <row r="565" spans="1:47" s="124" customFormat="1" ht="21.75" hidden="1" customHeight="1">
      <c r="A565" s="331">
        <v>564</v>
      </c>
      <c r="B565" s="28" t="s">
        <v>1301</v>
      </c>
      <c r="C565" s="361" t="s">
        <v>684</v>
      </c>
      <c r="D565" s="436" t="s">
        <v>2199</v>
      </c>
      <c r="E565" s="361" t="str">
        <f t="shared" si="8"/>
        <v>LOSS</v>
      </c>
      <c r="F565" s="361"/>
      <c r="G565" s="361"/>
      <c r="H565" s="28" t="s">
        <v>261</v>
      </c>
      <c r="I565" s="361" t="s">
        <v>243</v>
      </c>
      <c r="J565" s="361" t="s">
        <v>1768</v>
      </c>
      <c r="K565" s="361"/>
      <c r="L565" s="361"/>
      <c r="M565" s="361"/>
      <c r="N565" s="361"/>
      <c r="O565" s="374" t="s">
        <v>115</v>
      </c>
      <c r="P565" s="409">
        <v>72000000</v>
      </c>
      <c r="Q565" s="361"/>
      <c r="R565" s="410" t="s">
        <v>115</v>
      </c>
      <c r="S565" s="409">
        <v>54000000</v>
      </c>
      <c r="T565" s="361"/>
      <c r="U565" s="367">
        <v>44630</v>
      </c>
      <c r="V565" s="367">
        <v>44994</v>
      </c>
      <c r="W565" s="361" t="s">
        <v>250</v>
      </c>
      <c r="X565" s="361"/>
      <c r="Y565" s="361"/>
      <c r="Z565" s="361"/>
      <c r="AA565" s="361"/>
      <c r="AB565" s="361"/>
      <c r="AC565" s="159"/>
      <c r="AD565" s="368"/>
      <c r="AE565" s="364">
        <v>4500017677</v>
      </c>
      <c r="AF565" s="364"/>
      <c r="AG565" s="361"/>
      <c r="AH565" s="361"/>
      <c r="AI565" s="361"/>
      <c r="AJ565" s="361"/>
      <c r="AK565" s="361"/>
      <c r="AL565" s="361"/>
      <c r="AM565" s="361"/>
      <c r="AN565" s="361"/>
      <c r="AO565" s="361"/>
      <c r="AP565" s="361"/>
      <c r="AQ565" s="361"/>
      <c r="AR565" s="503"/>
      <c r="AS565" s="489"/>
      <c r="AT565" s="160"/>
      <c r="AU565" s="355"/>
    </row>
    <row r="566" spans="1:47" s="124" customFormat="1" ht="21.75" hidden="1" customHeight="1">
      <c r="A566" s="331">
        <v>565</v>
      </c>
      <c r="B566" s="361" t="s">
        <v>2200</v>
      </c>
      <c r="C566" s="361" t="s">
        <v>2201</v>
      </c>
      <c r="D566" s="435" t="s">
        <v>2202</v>
      </c>
      <c r="E566" s="361" t="str">
        <f t="shared" si="8"/>
        <v>LOSS</v>
      </c>
      <c r="F566" s="361"/>
      <c r="G566" s="361"/>
      <c r="H566" s="28" t="s">
        <v>261</v>
      </c>
      <c r="I566" s="361" t="s">
        <v>243</v>
      </c>
      <c r="J566" s="361" t="s">
        <v>1567</v>
      </c>
      <c r="K566" s="361"/>
      <c r="L566" s="361"/>
      <c r="M566" s="361"/>
      <c r="N566" s="361"/>
      <c r="O566" s="374" t="s">
        <v>115</v>
      </c>
      <c r="P566" s="409">
        <v>153600000</v>
      </c>
      <c r="Q566" s="361"/>
      <c r="R566" s="410" t="s">
        <v>115</v>
      </c>
      <c r="S566" s="409">
        <v>66000000</v>
      </c>
      <c r="T566" s="361"/>
      <c r="U566" s="367">
        <v>44621</v>
      </c>
      <c r="V566" s="367">
        <v>44985</v>
      </c>
      <c r="W566" s="361" t="s">
        <v>250</v>
      </c>
      <c r="X566" s="361"/>
      <c r="Y566" s="361"/>
      <c r="Z566" s="361"/>
      <c r="AA566" s="361"/>
      <c r="AB566" s="361"/>
      <c r="AC566" s="159"/>
      <c r="AD566" s="368"/>
      <c r="AE566" s="364">
        <v>4500017681</v>
      </c>
      <c r="AF566" s="364"/>
      <c r="AG566" s="361"/>
      <c r="AH566" s="361"/>
      <c r="AI566" s="361"/>
      <c r="AJ566" s="361"/>
      <c r="AK566" s="361"/>
      <c r="AL566" s="361"/>
      <c r="AM566" s="361"/>
      <c r="AN566" s="361"/>
      <c r="AO566" s="361"/>
      <c r="AP566" s="361"/>
      <c r="AQ566" s="361"/>
      <c r="AR566" s="503"/>
      <c r="AS566" s="489"/>
      <c r="AT566" s="160"/>
      <c r="AU566" s="355"/>
    </row>
    <row r="567" spans="1:47" s="124" customFormat="1" ht="21.75" hidden="1" customHeight="1">
      <c r="A567" s="331">
        <v>566</v>
      </c>
      <c r="B567" s="28" t="s">
        <v>521</v>
      </c>
      <c r="C567" s="361" t="s">
        <v>1416</v>
      </c>
      <c r="D567" s="436" t="s">
        <v>1361</v>
      </c>
      <c r="E567" s="361" t="str">
        <f t="shared" si="8"/>
        <v>LOSS</v>
      </c>
      <c r="F567" s="361"/>
      <c r="G567" s="361"/>
      <c r="H567" s="28" t="s">
        <v>261</v>
      </c>
      <c r="I567" s="361" t="s">
        <v>243</v>
      </c>
      <c r="J567" s="361" t="s">
        <v>1411</v>
      </c>
      <c r="K567" s="361"/>
      <c r="L567" s="361"/>
      <c r="M567" s="361"/>
      <c r="N567" s="361"/>
      <c r="O567" s="374" t="s">
        <v>115</v>
      </c>
      <c r="P567" s="409">
        <v>123600000</v>
      </c>
      <c r="Q567" s="361"/>
      <c r="R567" s="410" t="s">
        <v>115</v>
      </c>
      <c r="S567" s="409">
        <v>18000000</v>
      </c>
      <c r="T567" s="361"/>
      <c r="U567" s="367">
        <v>44629</v>
      </c>
      <c r="V567" s="367">
        <v>44993</v>
      </c>
      <c r="W567" s="361" t="s">
        <v>250</v>
      </c>
      <c r="X567" s="361"/>
      <c r="Y567" s="361"/>
      <c r="Z567" s="361"/>
      <c r="AA567" s="361"/>
      <c r="AB567" s="361"/>
      <c r="AC567" s="159"/>
      <c r="AD567" s="368"/>
      <c r="AE567" s="364">
        <v>4500017680</v>
      </c>
      <c r="AF567" s="364"/>
      <c r="AG567" s="361"/>
      <c r="AH567" s="361"/>
      <c r="AI567" s="361"/>
      <c r="AJ567" s="361"/>
      <c r="AK567" s="361"/>
      <c r="AL567" s="361"/>
      <c r="AM567" s="361"/>
      <c r="AN567" s="361"/>
      <c r="AO567" s="361"/>
      <c r="AP567" s="361"/>
      <c r="AQ567" s="361"/>
      <c r="AR567" s="503"/>
      <c r="AS567" s="489"/>
      <c r="AT567" s="160"/>
      <c r="AU567" s="355"/>
    </row>
    <row r="568" spans="1:47" s="124" customFormat="1" ht="21.75" hidden="1" customHeight="1">
      <c r="A568" s="331">
        <v>567</v>
      </c>
      <c r="B568" s="361" t="s">
        <v>450</v>
      </c>
      <c r="C568" s="361" t="s">
        <v>2203</v>
      </c>
      <c r="D568" s="435" t="s">
        <v>1410</v>
      </c>
      <c r="E568" s="361" t="str">
        <f t="shared" si="8"/>
        <v>LOSS</v>
      </c>
      <c r="F568" s="361"/>
      <c r="G568" s="361"/>
      <c r="H568" s="28" t="s">
        <v>261</v>
      </c>
      <c r="I568" s="361" t="s">
        <v>243</v>
      </c>
      <c r="J568" s="361" t="s">
        <v>1525</v>
      </c>
      <c r="K568" s="361"/>
      <c r="L568" s="361"/>
      <c r="M568" s="361"/>
      <c r="N568" s="361"/>
      <c r="O568" s="374" t="s">
        <v>115</v>
      </c>
      <c r="P568" s="409">
        <v>78000000</v>
      </c>
      <c r="Q568" s="361"/>
      <c r="R568" s="410" t="s">
        <v>115</v>
      </c>
      <c r="S568" s="409">
        <v>42000000</v>
      </c>
      <c r="T568" s="361"/>
      <c r="U568" s="367">
        <v>44613</v>
      </c>
      <c r="V568" s="367">
        <v>44977</v>
      </c>
      <c r="W568" s="361" t="s">
        <v>250</v>
      </c>
      <c r="X568" s="361"/>
      <c r="Y568" s="361"/>
      <c r="Z568" s="361"/>
      <c r="AA568" s="361"/>
      <c r="AB568" s="361"/>
      <c r="AC568" s="159"/>
      <c r="AD568" s="368"/>
      <c r="AE568" s="364">
        <v>4500017679</v>
      </c>
      <c r="AF568" s="364"/>
      <c r="AG568" s="361"/>
      <c r="AH568" s="361"/>
      <c r="AI568" s="361"/>
      <c r="AJ568" s="361"/>
      <c r="AK568" s="361"/>
      <c r="AL568" s="361"/>
      <c r="AM568" s="361"/>
      <c r="AN568" s="361"/>
      <c r="AO568" s="361"/>
      <c r="AP568" s="361"/>
      <c r="AQ568" s="361"/>
      <c r="AR568" s="503"/>
      <c r="AS568" s="489"/>
      <c r="AT568" s="160"/>
      <c r="AU568" s="355"/>
    </row>
    <row r="569" spans="1:47" s="124" customFormat="1" ht="21.75" hidden="1" customHeight="1">
      <c r="A569" s="331">
        <v>568</v>
      </c>
      <c r="B569" s="28" t="s">
        <v>44</v>
      </c>
      <c r="C569" s="361" t="s">
        <v>1366</v>
      </c>
      <c r="D569" s="436" t="s">
        <v>1032</v>
      </c>
      <c r="E569" s="361" t="str">
        <f t="shared" si="8"/>
        <v>LOSS</v>
      </c>
      <c r="F569" s="361"/>
      <c r="G569" s="361"/>
      <c r="H569" s="361" t="s">
        <v>327</v>
      </c>
      <c r="I569" s="160" t="s">
        <v>346</v>
      </c>
      <c r="J569" s="361"/>
      <c r="K569" s="365"/>
      <c r="L569" s="361"/>
      <c r="M569" s="361"/>
      <c r="N569" s="361"/>
      <c r="O569" s="374" t="s">
        <v>115</v>
      </c>
      <c r="P569" s="410" t="s">
        <v>115</v>
      </c>
      <c r="Q569" s="361"/>
      <c r="R569" s="410" t="s">
        <v>115</v>
      </c>
      <c r="S569" s="409">
        <v>12000000</v>
      </c>
      <c r="T569" s="361"/>
      <c r="U569" s="367">
        <v>44696</v>
      </c>
      <c r="V569" s="367">
        <v>45060</v>
      </c>
      <c r="W569" s="361" t="s">
        <v>250</v>
      </c>
      <c r="X569" s="361"/>
      <c r="Y569" s="361"/>
      <c r="Z569" s="361"/>
      <c r="AA569" s="361"/>
      <c r="AB569" s="361"/>
      <c r="AC569" s="159"/>
      <c r="AD569" s="368"/>
      <c r="AE569" s="364">
        <v>4500017676</v>
      </c>
      <c r="AF569" s="364"/>
      <c r="AG569" s="361"/>
      <c r="AH569" s="365"/>
      <c r="AI569" s="361"/>
      <c r="AJ569" s="361"/>
      <c r="AK569" s="361"/>
      <c r="AL569" s="361"/>
      <c r="AM569" s="361"/>
      <c r="AN569" s="361"/>
      <c r="AO569" s="361"/>
      <c r="AP569" s="361"/>
      <c r="AQ569" s="361"/>
      <c r="AR569" s="503"/>
      <c r="AS569" s="489"/>
      <c r="AT569" s="160"/>
      <c r="AU569" s="355"/>
    </row>
    <row r="570" spans="1:47" s="124" customFormat="1" ht="21.75" hidden="1" customHeight="1">
      <c r="A570" s="331">
        <v>569</v>
      </c>
      <c r="B570" s="361" t="s">
        <v>450</v>
      </c>
      <c r="C570" s="361" t="s">
        <v>1409</v>
      </c>
      <c r="D570" s="435" t="s">
        <v>1410</v>
      </c>
      <c r="E570" s="361" t="str">
        <f t="shared" si="8"/>
        <v>LOSS</v>
      </c>
      <c r="F570" s="361"/>
      <c r="G570" s="361"/>
      <c r="H570" s="28" t="s">
        <v>261</v>
      </c>
      <c r="I570" s="361" t="s">
        <v>243</v>
      </c>
      <c r="J570" s="361" t="s">
        <v>1417</v>
      </c>
      <c r="K570" s="361"/>
      <c r="L570" s="361"/>
      <c r="M570" s="361"/>
      <c r="N570" s="361"/>
      <c r="O570" s="374" t="s">
        <v>115</v>
      </c>
      <c r="P570" s="409">
        <v>60000000</v>
      </c>
      <c r="Q570" s="361"/>
      <c r="R570" s="410" t="s">
        <v>115</v>
      </c>
      <c r="S570" s="409">
        <v>30000000</v>
      </c>
      <c r="T570" s="361"/>
      <c r="U570" s="367">
        <v>44614</v>
      </c>
      <c r="V570" s="367">
        <v>44978</v>
      </c>
      <c r="W570" s="361" t="s">
        <v>250</v>
      </c>
      <c r="X570" s="361"/>
      <c r="Y570" s="361"/>
      <c r="Z570" s="361"/>
      <c r="AA570" s="361"/>
      <c r="AB570" s="361"/>
      <c r="AC570" s="159"/>
      <c r="AD570" s="368"/>
      <c r="AE570" s="364">
        <v>4500017678</v>
      </c>
      <c r="AF570" s="364"/>
      <c r="AG570" s="361"/>
      <c r="AH570" s="361"/>
      <c r="AI570" s="361"/>
      <c r="AJ570" s="361"/>
      <c r="AK570" s="361"/>
      <c r="AL570" s="361"/>
      <c r="AM570" s="361"/>
      <c r="AN570" s="361"/>
      <c r="AO570" s="361"/>
      <c r="AP570" s="361"/>
      <c r="AQ570" s="361"/>
      <c r="AR570" s="503"/>
      <c r="AS570" s="489"/>
      <c r="AT570" s="160"/>
      <c r="AU570" s="355"/>
    </row>
    <row r="571" spans="1:47" s="124" customFormat="1" ht="21.75" hidden="1" customHeight="1">
      <c r="A571" s="331">
        <v>570</v>
      </c>
      <c r="B571" s="28" t="s">
        <v>30</v>
      </c>
      <c r="C571" s="361" t="s">
        <v>2204</v>
      </c>
      <c r="D571" s="437" t="s">
        <v>2205</v>
      </c>
      <c r="E571" s="361" t="str">
        <f t="shared" si="8"/>
        <v>LOSS</v>
      </c>
      <c r="F571" s="361"/>
      <c r="G571" s="361"/>
      <c r="H571" s="361" t="s">
        <v>327</v>
      </c>
      <c r="I571" s="29" t="s">
        <v>346</v>
      </c>
      <c r="J571" s="361" t="s">
        <v>1221</v>
      </c>
      <c r="K571" s="365"/>
      <c r="L571" s="361"/>
      <c r="M571" s="361"/>
      <c r="N571" s="361"/>
      <c r="O571" s="374" t="s">
        <v>115</v>
      </c>
      <c r="P571" s="409">
        <v>42000000</v>
      </c>
      <c r="Q571" s="361"/>
      <c r="R571" s="410" t="s">
        <v>115</v>
      </c>
      <c r="S571" s="409">
        <v>20000000</v>
      </c>
      <c r="T571" s="361"/>
      <c r="U571" s="367">
        <v>44711</v>
      </c>
      <c r="V571" s="367">
        <v>45075</v>
      </c>
      <c r="W571" s="361" t="s">
        <v>250</v>
      </c>
      <c r="X571" s="361"/>
      <c r="Y571" s="361"/>
      <c r="Z571" s="361"/>
      <c r="AA571" s="361"/>
      <c r="AB571" s="361"/>
      <c r="AC571" s="159"/>
      <c r="AD571" s="368"/>
      <c r="AE571" s="364">
        <v>4500017647</v>
      </c>
      <c r="AF571" s="364"/>
      <c r="AG571" s="361"/>
      <c r="AH571" s="365"/>
      <c r="AI571" s="361"/>
      <c r="AJ571" s="361"/>
      <c r="AK571" s="361"/>
      <c r="AL571" s="361"/>
      <c r="AM571" s="361"/>
      <c r="AN571" s="361"/>
      <c r="AO571" s="361"/>
      <c r="AP571" s="361"/>
      <c r="AQ571" s="361"/>
      <c r="AR571" s="503"/>
      <c r="AS571" s="489"/>
      <c r="AT571" s="160"/>
      <c r="AU571" s="355"/>
    </row>
    <row r="572" spans="1:47" s="124" customFormat="1" ht="21.75" hidden="1" customHeight="1">
      <c r="A572" s="331">
        <v>571</v>
      </c>
      <c r="B572" s="28" t="s">
        <v>114</v>
      </c>
      <c r="C572" s="361" t="s">
        <v>2206</v>
      </c>
      <c r="D572" s="435" t="s">
        <v>764</v>
      </c>
      <c r="E572" s="361" t="str">
        <f t="shared" si="8"/>
        <v>LOSS</v>
      </c>
      <c r="F572" s="361"/>
      <c r="G572" s="361"/>
      <c r="H572" s="361" t="s">
        <v>327</v>
      </c>
      <c r="I572" s="160" t="s">
        <v>346</v>
      </c>
      <c r="J572" s="361" t="s">
        <v>2207</v>
      </c>
      <c r="K572" s="365"/>
      <c r="L572" s="361"/>
      <c r="M572" s="361"/>
      <c r="N572" s="361"/>
      <c r="O572" s="374" t="s">
        <v>115</v>
      </c>
      <c r="P572" s="409">
        <v>494400000</v>
      </c>
      <c r="Q572" s="361"/>
      <c r="R572" s="410" t="s">
        <v>115</v>
      </c>
      <c r="S572" s="409">
        <v>168000000</v>
      </c>
      <c r="T572" s="361"/>
      <c r="U572" s="367">
        <v>44565</v>
      </c>
      <c r="V572" s="367">
        <v>44929</v>
      </c>
      <c r="W572" s="361" t="s">
        <v>250</v>
      </c>
      <c r="X572" s="361"/>
      <c r="Y572" s="361"/>
      <c r="Z572" s="361"/>
      <c r="AA572" s="361"/>
      <c r="AB572" s="361"/>
      <c r="AC572" s="159"/>
      <c r="AD572" s="368"/>
      <c r="AE572" s="364">
        <v>4500017631</v>
      </c>
      <c r="AF572" s="364"/>
      <c r="AG572" s="361"/>
      <c r="AH572" s="365"/>
      <c r="AI572" s="361"/>
      <c r="AJ572" s="361"/>
      <c r="AK572" s="361"/>
      <c r="AL572" s="361"/>
      <c r="AM572" s="361"/>
      <c r="AN572" s="361"/>
      <c r="AO572" s="361"/>
      <c r="AP572" s="361"/>
      <c r="AQ572" s="361"/>
      <c r="AR572" s="503"/>
      <c r="AS572" s="489"/>
      <c r="AT572" s="160"/>
      <c r="AU572" s="355"/>
    </row>
    <row r="573" spans="1:47" s="124" customFormat="1" ht="21.75" hidden="1" customHeight="1">
      <c r="A573" s="331">
        <v>572</v>
      </c>
      <c r="B573" s="361" t="s">
        <v>37</v>
      </c>
      <c r="C573" s="361" t="s">
        <v>972</v>
      </c>
      <c r="D573" s="436" t="s">
        <v>2208</v>
      </c>
      <c r="E573" s="361" t="str">
        <f t="shared" si="8"/>
        <v>LOSS</v>
      </c>
      <c r="F573" s="361"/>
      <c r="G573" s="361"/>
      <c r="H573" s="361" t="s">
        <v>327</v>
      </c>
      <c r="I573" s="361" t="s">
        <v>242</v>
      </c>
      <c r="J573" s="361" t="s">
        <v>974</v>
      </c>
      <c r="K573" s="365"/>
      <c r="L573" s="361"/>
      <c r="M573" s="361"/>
      <c r="N573" s="361"/>
      <c r="O573" s="374" t="s">
        <v>115</v>
      </c>
      <c r="P573" s="409">
        <v>36000000</v>
      </c>
      <c r="Q573" s="361"/>
      <c r="R573" s="410" t="s">
        <v>115</v>
      </c>
      <c r="S573" s="409">
        <v>15000000</v>
      </c>
      <c r="T573" s="361"/>
      <c r="U573" s="367">
        <v>44691</v>
      </c>
      <c r="V573" s="367">
        <v>45055</v>
      </c>
      <c r="W573" s="361" t="s">
        <v>250</v>
      </c>
      <c r="X573" s="361"/>
      <c r="Y573" s="361"/>
      <c r="Z573" s="361"/>
      <c r="AA573" s="361"/>
      <c r="AB573" s="361"/>
      <c r="AC573" s="159"/>
      <c r="AD573" s="368"/>
      <c r="AE573" s="364">
        <v>4500017675</v>
      </c>
      <c r="AF573" s="364"/>
      <c r="AG573" s="361"/>
      <c r="AH573" s="365"/>
      <c r="AI573" s="361"/>
      <c r="AJ573" s="361"/>
      <c r="AK573" s="361"/>
      <c r="AL573" s="361"/>
      <c r="AM573" s="361"/>
      <c r="AN573" s="361"/>
      <c r="AO573" s="361"/>
      <c r="AP573" s="361"/>
      <c r="AQ573" s="361"/>
      <c r="AR573" s="503"/>
      <c r="AS573" s="489"/>
      <c r="AT573" s="160"/>
      <c r="AU573" s="355"/>
    </row>
    <row r="574" spans="1:47" s="124" customFormat="1" ht="21.75" hidden="1" customHeight="1">
      <c r="A574" s="331">
        <v>573</v>
      </c>
      <c r="B574" s="361" t="s">
        <v>1160</v>
      </c>
      <c r="C574" s="361" t="s">
        <v>2209</v>
      </c>
      <c r="D574" s="435" t="s">
        <v>2210</v>
      </c>
      <c r="E574" s="361" t="str">
        <f t="shared" si="8"/>
        <v>LOSS</v>
      </c>
      <c r="F574" s="361"/>
      <c r="G574" s="361"/>
      <c r="H574" s="28" t="s">
        <v>261</v>
      </c>
      <c r="I574" s="361" t="s">
        <v>243</v>
      </c>
      <c r="J574" s="361" t="s">
        <v>2211</v>
      </c>
      <c r="K574" s="361"/>
      <c r="L574" s="361"/>
      <c r="M574" s="361"/>
      <c r="N574" s="361"/>
      <c r="O574" s="374" t="s">
        <v>115</v>
      </c>
      <c r="P574" s="409">
        <v>36000000</v>
      </c>
      <c r="Q574" s="361"/>
      <c r="R574" s="410" t="s">
        <v>115</v>
      </c>
      <c r="S574" s="409">
        <v>6600000</v>
      </c>
      <c r="T574" s="361"/>
      <c r="U574" s="367">
        <v>44604</v>
      </c>
      <c r="V574" s="367">
        <v>44968</v>
      </c>
      <c r="W574" s="361" t="s">
        <v>250</v>
      </c>
      <c r="X574" s="361"/>
      <c r="Y574" s="361"/>
      <c r="Z574" s="361"/>
      <c r="AA574" s="361"/>
      <c r="AB574" s="361"/>
      <c r="AC574" s="159"/>
      <c r="AD574" s="361" t="s">
        <v>2212</v>
      </c>
      <c r="AE574" s="364">
        <v>4500017728</v>
      </c>
      <c r="AF574" s="364"/>
      <c r="AG574" s="361"/>
      <c r="AH574" s="361"/>
      <c r="AI574" s="361"/>
      <c r="AJ574" s="361"/>
      <c r="AK574" s="361"/>
      <c r="AL574" s="361"/>
      <c r="AM574" s="361"/>
      <c r="AN574" s="361"/>
      <c r="AO574" s="361"/>
      <c r="AP574" s="361"/>
      <c r="AQ574" s="361"/>
      <c r="AR574" s="503"/>
      <c r="AS574" s="489"/>
      <c r="AT574" s="160"/>
      <c r="AU574" s="355"/>
    </row>
    <row r="575" spans="1:47" s="124" customFormat="1" ht="21.75" hidden="1" customHeight="1">
      <c r="A575" s="331">
        <v>574</v>
      </c>
      <c r="B575" s="159" t="s">
        <v>1170</v>
      </c>
      <c r="C575" s="361" t="s">
        <v>1134</v>
      </c>
      <c r="D575" s="436" t="s">
        <v>2213</v>
      </c>
      <c r="E575" s="361" t="str">
        <f t="shared" si="8"/>
        <v>LOSS</v>
      </c>
      <c r="F575" s="361"/>
      <c r="G575" s="361"/>
      <c r="H575" s="28" t="s">
        <v>261</v>
      </c>
      <c r="I575" s="361" t="s">
        <v>243</v>
      </c>
      <c r="J575" s="361" t="s">
        <v>1172</v>
      </c>
      <c r="K575" s="361"/>
      <c r="L575" s="361"/>
      <c r="M575" s="361"/>
      <c r="N575" s="361"/>
      <c r="O575" s="374" t="s">
        <v>115</v>
      </c>
      <c r="P575" s="410">
        <v>105168000</v>
      </c>
      <c r="Q575" s="361"/>
      <c r="R575" s="410" t="s">
        <v>115</v>
      </c>
      <c r="S575" s="409">
        <v>70200000</v>
      </c>
      <c r="T575" s="361"/>
      <c r="U575" s="367">
        <v>44589</v>
      </c>
      <c r="V575" s="367">
        <v>44953</v>
      </c>
      <c r="W575" s="361" t="s">
        <v>250</v>
      </c>
      <c r="X575" s="361"/>
      <c r="Y575" s="361"/>
      <c r="Z575" s="361"/>
      <c r="AA575" s="361"/>
      <c r="AB575" s="361"/>
      <c r="AC575" s="159"/>
      <c r="AD575" s="368"/>
      <c r="AE575" s="364">
        <v>4500017657</v>
      </c>
      <c r="AF575" s="364"/>
      <c r="AG575" s="361"/>
      <c r="AH575" s="361"/>
      <c r="AI575" s="361"/>
      <c r="AJ575" s="361"/>
      <c r="AK575" s="361"/>
      <c r="AL575" s="361"/>
      <c r="AM575" s="361"/>
      <c r="AN575" s="361"/>
      <c r="AO575" s="361"/>
      <c r="AP575" s="361"/>
      <c r="AQ575" s="361"/>
      <c r="AR575" s="503"/>
      <c r="AS575" s="489"/>
      <c r="AT575" s="160"/>
      <c r="AU575" s="355"/>
    </row>
    <row r="576" spans="1:47" s="124" customFormat="1" ht="21.75" hidden="1" customHeight="1">
      <c r="A576" s="331">
        <v>575</v>
      </c>
      <c r="B576" s="361" t="s">
        <v>59</v>
      </c>
      <c r="C576" s="361" t="s">
        <v>1113</v>
      </c>
      <c r="D576" s="435" t="s">
        <v>2214</v>
      </c>
      <c r="E576" s="361" t="str">
        <f t="shared" si="8"/>
        <v>LOSS</v>
      </c>
      <c r="F576" s="361"/>
      <c r="G576" s="361"/>
      <c r="H576" s="28" t="s">
        <v>261</v>
      </c>
      <c r="I576" s="361" t="s">
        <v>243</v>
      </c>
      <c r="J576" s="361" t="s">
        <v>60</v>
      </c>
      <c r="K576" s="361"/>
      <c r="L576" s="361"/>
      <c r="M576" s="361"/>
      <c r="N576" s="361"/>
      <c r="O576" s="374" t="s">
        <v>115</v>
      </c>
      <c r="P576" s="409">
        <v>36000000</v>
      </c>
      <c r="Q576" s="361"/>
      <c r="R576" s="410" t="s">
        <v>115</v>
      </c>
      <c r="S576" s="409">
        <v>19250000</v>
      </c>
      <c r="T576" s="361"/>
      <c r="U576" s="367">
        <v>44652</v>
      </c>
      <c r="V576" s="367">
        <v>45016</v>
      </c>
      <c r="W576" s="361" t="s">
        <v>250</v>
      </c>
      <c r="X576" s="361"/>
      <c r="Y576" s="361"/>
      <c r="Z576" s="361"/>
      <c r="AA576" s="361"/>
      <c r="AB576" s="361"/>
      <c r="AC576" s="159"/>
      <c r="AD576" s="361" t="s">
        <v>2215</v>
      </c>
      <c r="AE576" s="364">
        <v>4500017780</v>
      </c>
      <c r="AF576" s="364"/>
      <c r="AG576" s="361"/>
      <c r="AH576" s="361"/>
      <c r="AI576" s="361"/>
      <c r="AJ576" s="361"/>
      <c r="AK576" s="361"/>
      <c r="AL576" s="361"/>
      <c r="AM576" s="361"/>
      <c r="AN576" s="361"/>
      <c r="AO576" s="361"/>
      <c r="AP576" s="361"/>
      <c r="AQ576" s="361"/>
      <c r="AR576" s="503"/>
      <c r="AS576" s="489"/>
      <c r="AT576" s="160"/>
      <c r="AU576" s="355"/>
    </row>
    <row r="577" spans="1:47" s="124" customFormat="1" ht="21.75" hidden="1" customHeight="1">
      <c r="A577" s="331">
        <v>576</v>
      </c>
      <c r="B577" s="361" t="s">
        <v>348</v>
      </c>
      <c r="C577" s="361" t="s">
        <v>2216</v>
      </c>
      <c r="D577" s="436" t="s">
        <v>2217</v>
      </c>
      <c r="E577" s="361" t="str">
        <f t="shared" si="8"/>
        <v>LOSS</v>
      </c>
      <c r="F577" s="361"/>
      <c r="G577" s="361"/>
      <c r="H577" s="361" t="s">
        <v>327</v>
      </c>
      <c r="I577" s="361" t="s">
        <v>242</v>
      </c>
      <c r="J577" s="361" t="s">
        <v>2218</v>
      </c>
      <c r="K577" s="365"/>
      <c r="L577" s="361"/>
      <c r="M577" s="361"/>
      <c r="N577" s="361"/>
      <c r="O577" s="374">
        <v>3000000</v>
      </c>
      <c r="P577" s="409">
        <v>29880000</v>
      </c>
      <c r="Q577" s="361"/>
      <c r="R577" s="410" t="s">
        <v>115</v>
      </c>
      <c r="S577" s="409">
        <v>15399936</v>
      </c>
      <c r="T577" s="361"/>
      <c r="U577" s="367">
        <v>44650</v>
      </c>
      <c r="V577" s="367">
        <v>45014</v>
      </c>
      <c r="W577" s="361" t="s">
        <v>250</v>
      </c>
      <c r="X577" s="361"/>
      <c r="Y577" s="361"/>
      <c r="Z577" s="361"/>
      <c r="AA577" s="361"/>
      <c r="AB577" s="361"/>
      <c r="AC577" s="159"/>
      <c r="AD577" s="361" t="s">
        <v>2219</v>
      </c>
      <c r="AE577" s="364">
        <v>4500017836</v>
      </c>
      <c r="AF577" s="364"/>
      <c r="AG577" s="361"/>
      <c r="AH577" s="365"/>
      <c r="AI577" s="361"/>
      <c r="AJ577" s="361"/>
      <c r="AK577" s="361"/>
      <c r="AL577" s="361"/>
      <c r="AM577" s="361"/>
      <c r="AN577" s="361"/>
      <c r="AO577" s="361"/>
      <c r="AP577" s="361"/>
      <c r="AQ577" s="361"/>
      <c r="AR577" s="503"/>
      <c r="AS577" s="489"/>
      <c r="AT577" s="160"/>
      <c r="AU577" s="355"/>
    </row>
    <row r="578" spans="1:47" s="124" customFormat="1" ht="21.75" hidden="1" customHeight="1">
      <c r="A578" s="331">
        <v>577</v>
      </c>
      <c r="B578" s="361" t="s">
        <v>348</v>
      </c>
      <c r="C578" s="361" t="s">
        <v>2220</v>
      </c>
      <c r="D578" s="435" t="s">
        <v>2217</v>
      </c>
      <c r="E578" s="361" t="str">
        <f t="shared" ref="E578:E641" si="9">IF(Z578&lt;=0, "LOSS",IF(Z578&lt;=15, "CRITICAL",IF(Z578&lt;=30, "WARNING",IF(Z578&lt;60, "ATTENTION", "ON TRACK"))))</f>
        <v>LOSS</v>
      </c>
      <c r="F578" s="361"/>
      <c r="G578" s="361"/>
      <c r="H578" s="361" t="s">
        <v>327</v>
      </c>
      <c r="I578" s="361" t="s">
        <v>242</v>
      </c>
      <c r="J578" s="361" t="s">
        <v>2221</v>
      </c>
      <c r="K578" s="365"/>
      <c r="L578" s="361"/>
      <c r="M578" s="361"/>
      <c r="N578" s="361"/>
      <c r="O578" s="370">
        <v>3000000</v>
      </c>
      <c r="P578" s="409">
        <v>29880000</v>
      </c>
      <c r="Q578" s="361"/>
      <c r="R578" s="410" t="s">
        <v>115</v>
      </c>
      <c r="S578" s="409">
        <v>15399936</v>
      </c>
      <c r="T578" s="361"/>
      <c r="U578" s="367">
        <v>44650</v>
      </c>
      <c r="V578" s="367">
        <v>45014</v>
      </c>
      <c r="W578" s="361" t="s">
        <v>250</v>
      </c>
      <c r="X578" s="361"/>
      <c r="Y578" s="361"/>
      <c r="Z578" s="361"/>
      <c r="AA578" s="361"/>
      <c r="AB578" s="361"/>
      <c r="AC578" s="159"/>
      <c r="AD578" s="361" t="s">
        <v>2222</v>
      </c>
      <c r="AE578" s="364">
        <v>4500017834</v>
      </c>
      <c r="AF578" s="364"/>
      <c r="AG578" s="361"/>
      <c r="AH578" s="365"/>
      <c r="AI578" s="361"/>
      <c r="AJ578" s="361"/>
      <c r="AK578" s="361"/>
      <c r="AL578" s="361"/>
      <c r="AM578" s="361"/>
      <c r="AN578" s="361"/>
      <c r="AO578" s="361"/>
      <c r="AP578" s="361"/>
      <c r="AQ578" s="361"/>
      <c r="AR578" s="503"/>
      <c r="AS578" s="489"/>
      <c r="AT578" s="160"/>
      <c r="AU578" s="355"/>
    </row>
    <row r="579" spans="1:47" s="124" customFormat="1" ht="21.75" hidden="1" customHeight="1">
      <c r="A579" s="331">
        <v>578</v>
      </c>
      <c r="B579" s="361" t="s">
        <v>97</v>
      </c>
      <c r="C579" s="361" t="s">
        <v>2223</v>
      </c>
      <c r="D579" s="436" t="s">
        <v>1383</v>
      </c>
      <c r="E579" s="361" t="str">
        <f t="shared" si="9"/>
        <v>LOSS</v>
      </c>
      <c r="F579" s="361"/>
      <c r="G579" s="361"/>
      <c r="H579" s="361" t="s">
        <v>327</v>
      </c>
      <c r="I579" s="361" t="s">
        <v>242</v>
      </c>
      <c r="J579" s="361" t="s">
        <v>2224</v>
      </c>
      <c r="K579" s="365"/>
      <c r="L579" s="361"/>
      <c r="M579" s="361"/>
      <c r="N579" s="361"/>
      <c r="O579" s="370">
        <v>5000000</v>
      </c>
      <c r="P579" s="409">
        <v>276000000</v>
      </c>
      <c r="Q579" s="361"/>
      <c r="R579" s="410">
        <v>6000000</v>
      </c>
      <c r="S579" s="409">
        <v>24000000</v>
      </c>
      <c r="T579" s="361"/>
      <c r="U579" s="367">
        <v>44643</v>
      </c>
      <c r="V579" s="367">
        <v>45007</v>
      </c>
      <c r="W579" s="361" t="s">
        <v>250</v>
      </c>
      <c r="X579" s="361"/>
      <c r="Y579" s="361"/>
      <c r="Z579" s="361"/>
      <c r="AA579" s="361"/>
      <c r="AB579" s="361"/>
      <c r="AC579" s="159"/>
      <c r="AD579" s="361" t="s">
        <v>2225</v>
      </c>
      <c r="AE579" s="364">
        <v>4500017808</v>
      </c>
      <c r="AF579" s="364"/>
      <c r="AG579" s="361"/>
      <c r="AH579" s="365"/>
      <c r="AI579" s="361"/>
      <c r="AJ579" s="361"/>
      <c r="AK579" s="361"/>
      <c r="AL579" s="361"/>
      <c r="AM579" s="361"/>
      <c r="AN579" s="361"/>
      <c r="AO579" s="361"/>
      <c r="AP579" s="361"/>
      <c r="AQ579" s="361"/>
      <c r="AR579" s="503"/>
      <c r="AS579" s="489"/>
      <c r="AT579" s="160"/>
      <c r="AU579" s="355"/>
    </row>
    <row r="580" spans="1:47" s="124" customFormat="1" ht="21.75" hidden="1" customHeight="1">
      <c r="A580" s="331">
        <v>579</v>
      </c>
      <c r="B580" s="28" t="s">
        <v>521</v>
      </c>
      <c r="C580" s="361" t="s">
        <v>2226</v>
      </c>
      <c r="D580" s="435" t="s">
        <v>1361</v>
      </c>
      <c r="E580" s="361" t="str">
        <f t="shared" si="9"/>
        <v>LOSS</v>
      </c>
      <c r="F580" s="361"/>
      <c r="G580" s="361"/>
      <c r="H580" s="28" t="s">
        <v>261</v>
      </c>
      <c r="I580" s="361" t="s">
        <v>243</v>
      </c>
      <c r="J580" s="361" t="s">
        <v>2227</v>
      </c>
      <c r="K580" s="361"/>
      <c r="L580" s="361"/>
      <c r="M580" s="361"/>
      <c r="N580" s="361"/>
      <c r="O580" s="370">
        <v>6000000</v>
      </c>
      <c r="P580" s="409">
        <v>61500000</v>
      </c>
      <c r="Q580" s="361"/>
      <c r="R580" s="409">
        <v>3000000</v>
      </c>
      <c r="S580" s="409">
        <v>47000000</v>
      </c>
      <c r="T580" s="361"/>
      <c r="U580" s="367">
        <v>44628</v>
      </c>
      <c r="V580" s="367">
        <v>44992</v>
      </c>
      <c r="W580" s="361" t="s">
        <v>250</v>
      </c>
      <c r="X580" s="361"/>
      <c r="Y580" s="361"/>
      <c r="Z580" s="361"/>
      <c r="AA580" s="361"/>
      <c r="AB580" s="361"/>
      <c r="AC580" s="159"/>
      <c r="AD580" s="361" t="s">
        <v>2228</v>
      </c>
      <c r="AE580" s="364">
        <v>4500017663</v>
      </c>
      <c r="AF580" s="364"/>
      <c r="AG580" s="361"/>
      <c r="AH580" s="361"/>
      <c r="AI580" s="361"/>
      <c r="AJ580" s="361"/>
      <c r="AK580" s="361"/>
      <c r="AL580" s="361"/>
      <c r="AM580" s="361"/>
      <c r="AN580" s="361"/>
      <c r="AO580" s="361"/>
      <c r="AP580" s="361"/>
      <c r="AQ580" s="361"/>
      <c r="AR580" s="503"/>
      <c r="AS580" s="489"/>
      <c r="AT580" s="160"/>
      <c r="AU580" s="355"/>
    </row>
    <row r="581" spans="1:47" s="124" customFormat="1" ht="21.75" hidden="1" customHeight="1">
      <c r="A581" s="331">
        <v>580</v>
      </c>
      <c r="B581" s="361" t="s">
        <v>542</v>
      </c>
      <c r="C581" s="361" t="s">
        <v>2229</v>
      </c>
      <c r="D581" s="436" t="s">
        <v>2230</v>
      </c>
      <c r="E581" s="361" t="str">
        <f t="shared" si="9"/>
        <v>LOSS</v>
      </c>
      <c r="F581" s="361"/>
      <c r="G581" s="361"/>
      <c r="H581" s="361" t="s">
        <v>327</v>
      </c>
      <c r="I581" s="361" t="s">
        <v>242</v>
      </c>
      <c r="J581" s="361" t="s">
        <v>2231</v>
      </c>
      <c r="K581" s="365"/>
      <c r="L581" s="361"/>
      <c r="M581" s="361"/>
      <c r="N581" s="361"/>
      <c r="O581" s="370">
        <v>5000000</v>
      </c>
      <c r="P581" s="409">
        <v>42000000</v>
      </c>
      <c r="Q581" s="361"/>
      <c r="R581" s="410" t="s">
        <v>115</v>
      </c>
      <c r="S581" s="409">
        <v>12000000</v>
      </c>
      <c r="T581" s="361"/>
      <c r="U581" s="367">
        <v>44608</v>
      </c>
      <c r="V581" s="367">
        <v>44972</v>
      </c>
      <c r="W581" s="361" t="s">
        <v>250</v>
      </c>
      <c r="X581" s="361"/>
      <c r="Y581" s="361"/>
      <c r="Z581" s="361"/>
      <c r="AA581" s="361"/>
      <c r="AB581" s="361"/>
      <c r="AC581" s="159"/>
      <c r="AD581" s="361" t="s">
        <v>2232</v>
      </c>
      <c r="AE581" s="364">
        <v>4500017588</v>
      </c>
      <c r="AF581" s="364"/>
      <c r="AG581" s="361"/>
      <c r="AH581" s="365"/>
      <c r="AI581" s="361"/>
      <c r="AJ581" s="361"/>
      <c r="AK581" s="361"/>
      <c r="AL581" s="361"/>
      <c r="AM581" s="361"/>
      <c r="AN581" s="361"/>
      <c r="AO581" s="361"/>
      <c r="AP581" s="361"/>
      <c r="AQ581" s="361"/>
      <c r="AR581" s="503"/>
      <c r="AS581" s="489"/>
      <c r="AT581" s="160"/>
      <c r="AU581" s="355"/>
    </row>
    <row r="582" spans="1:47" s="124" customFormat="1" ht="21.75" hidden="1" customHeight="1">
      <c r="A582" s="331">
        <v>581</v>
      </c>
      <c r="B582" s="361" t="s">
        <v>348</v>
      </c>
      <c r="C582" s="361" t="s">
        <v>2233</v>
      </c>
      <c r="D582" s="435" t="s">
        <v>2217</v>
      </c>
      <c r="E582" s="361" t="str">
        <f t="shared" si="9"/>
        <v>LOSS</v>
      </c>
      <c r="F582" s="361"/>
      <c r="G582" s="361"/>
      <c r="H582" s="361" t="s">
        <v>327</v>
      </c>
      <c r="I582" s="361" t="s">
        <v>242</v>
      </c>
      <c r="J582" s="361" t="s">
        <v>2234</v>
      </c>
      <c r="K582" s="365"/>
      <c r="L582" s="361"/>
      <c r="M582" s="361"/>
      <c r="N582" s="361"/>
      <c r="O582" s="374" t="s">
        <v>115</v>
      </c>
      <c r="P582" s="409">
        <v>38400000</v>
      </c>
      <c r="Q582" s="361"/>
      <c r="R582" s="410" t="s">
        <v>115</v>
      </c>
      <c r="S582" s="409">
        <v>11359668</v>
      </c>
      <c r="T582" s="361"/>
      <c r="U582" s="367">
        <v>44652</v>
      </c>
      <c r="V582" s="367">
        <v>45016</v>
      </c>
      <c r="W582" s="361" t="s">
        <v>250</v>
      </c>
      <c r="X582" s="361"/>
      <c r="Y582" s="361"/>
      <c r="Z582" s="361"/>
      <c r="AA582" s="361"/>
      <c r="AB582" s="361"/>
      <c r="AC582" s="159"/>
      <c r="AD582" s="361" t="s">
        <v>2235</v>
      </c>
      <c r="AE582" s="364">
        <v>4500017820</v>
      </c>
      <c r="AF582" s="364"/>
      <c r="AG582" s="361"/>
      <c r="AH582" s="365"/>
      <c r="AI582" s="361"/>
      <c r="AJ582" s="361"/>
      <c r="AK582" s="361"/>
      <c r="AL582" s="361"/>
      <c r="AM582" s="361"/>
      <c r="AN582" s="361"/>
      <c r="AO582" s="361"/>
      <c r="AP582" s="361"/>
      <c r="AQ582" s="361"/>
      <c r="AR582" s="503"/>
      <c r="AS582" s="489"/>
      <c r="AT582" s="160"/>
      <c r="AU582" s="355"/>
    </row>
    <row r="583" spans="1:47" s="124" customFormat="1" ht="21.75" hidden="1" customHeight="1">
      <c r="A583" s="331">
        <v>582</v>
      </c>
      <c r="B583" s="28" t="s">
        <v>179</v>
      </c>
      <c r="C583" s="361" t="s">
        <v>2236</v>
      </c>
      <c r="D583" s="436" t="s">
        <v>1032</v>
      </c>
      <c r="E583" s="361" t="str">
        <f t="shared" si="9"/>
        <v>LOSS</v>
      </c>
      <c r="F583" s="361"/>
      <c r="G583" s="361"/>
      <c r="H583" s="361" t="s">
        <v>327</v>
      </c>
      <c r="I583" s="361" t="s">
        <v>242</v>
      </c>
      <c r="J583" s="361" t="s">
        <v>2237</v>
      </c>
      <c r="K583" s="365"/>
      <c r="L583" s="361"/>
      <c r="M583" s="361"/>
      <c r="N583" s="361"/>
      <c r="O583" s="374">
        <v>2300000</v>
      </c>
      <c r="P583" s="409">
        <v>294000000</v>
      </c>
      <c r="Q583" s="361"/>
      <c r="R583" s="410">
        <v>1500000</v>
      </c>
      <c r="S583" s="409">
        <v>18000000</v>
      </c>
      <c r="T583" s="361"/>
      <c r="U583" s="367">
        <v>44894</v>
      </c>
      <c r="V583" s="367">
        <v>45258</v>
      </c>
      <c r="W583" s="361" t="s">
        <v>250</v>
      </c>
      <c r="X583" s="361"/>
      <c r="Y583" s="361"/>
      <c r="Z583" s="361"/>
      <c r="AA583" s="361"/>
      <c r="AB583" s="361"/>
      <c r="AC583" s="159"/>
      <c r="AD583" s="361" t="s">
        <v>2238</v>
      </c>
      <c r="AE583" s="364">
        <v>4500019491</v>
      </c>
      <c r="AF583" s="364"/>
      <c r="AG583" s="361"/>
      <c r="AH583" s="365"/>
      <c r="AI583" s="361"/>
      <c r="AJ583" s="361"/>
      <c r="AK583" s="361"/>
      <c r="AL583" s="361"/>
      <c r="AM583" s="361"/>
      <c r="AN583" s="361"/>
      <c r="AO583" s="361"/>
      <c r="AP583" s="361"/>
      <c r="AQ583" s="361"/>
      <c r="AR583" s="503"/>
      <c r="AS583" s="489"/>
      <c r="AT583" s="160"/>
      <c r="AU583" s="355"/>
    </row>
    <row r="584" spans="1:47" s="124" customFormat="1" ht="21.75" hidden="1" customHeight="1">
      <c r="A584" s="331">
        <v>583</v>
      </c>
      <c r="B584" s="361" t="s">
        <v>1423</v>
      </c>
      <c r="C584" s="361" t="s">
        <v>2239</v>
      </c>
      <c r="D584" s="435" t="s">
        <v>1424</v>
      </c>
      <c r="E584" s="361" t="str">
        <f t="shared" si="9"/>
        <v>LOSS</v>
      </c>
      <c r="F584" s="361"/>
      <c r="G584" s="361"/>
      <c r="H584" s="361" t="s">
        <v>327</v>
      </c>
      <c r="I584" s="361" t="s">
        <v>242</v>
      </c>
      <c r="J584" s="361" t="s">
        <v>128</v>
      </c>
      <c r="K584" s="365"/>
      <c r="L584" s="361"/>
      <c r="M584" s="361"/>
      <c r="N584" s="361"/>
      <c r="O584" s="370">
        <v>5000000</v>
      </c>
      <c r="P584" s="409">
        <v>14832000</v>
      </c>
      <c r="Q584" s="361"/>
      <c r="R584" s="410" t="s">
        <v>115</v>
      </c>
      <c r="S584" s="409">
        <v>15000000</v>
      </c>
      <c r="T584" s="361"/>
      <c r="U584" s="367">
        <v>44571</v>
      </c>
      <c r="V584" s="367">
        <v>44935</v>
      </c>
      <c r="W584" s="361" t="s">
        <v>250</v>
      </c>
      <c r="X584" s="361"/>
      <c r="Y584" s="361"/>
      <c r="Z584" s="361"/>
      <c r="AA584" s="361"/>
      <c r="AB584" s="361"/>
      <c r="AC584" s="159"/>
      <c r="AD584" s="361" t="s">
        <v>2240</v>
      </c>
      <c r="AE584" s="364">
        <v>4500018966</v>
      </c>
      <c r="AF584" s="364"/>
      <c r="AG584" s="361"/>
      <c r="AH584" s="365"/>
      <c r="AI584" s="361"/>
      <c r="AJ584" s="361"/>
      <c r="AK584" s="361"/>
      <c r="AL584" s="361"/>
      <c r="AM584" s="361"/>
      <c r="AN584" s="361"/>
      <c r="AO584" s="361"/>
      <c r="AP584" s="361"/>
      <c r="AQ584" s="361"/>
      <c r="AR584" s="503"/>
      <c r="AS584" s="489"/>
      <c r="AT584" s="160"/>
      <c r="AU584" s="355"/>
    </row>
    <row r="585" spans="1:47" s="124" customFormat="1" ht="21.75" hidden="1" customHeight="1">
      <c r="A585" s="331">
        <v>584</v>
      </c>
      <c r="B585" s="361" t="s">
        <v>1423</v>
      </c>
      <c r="C585" s="361" t="s">
        <v>2241</v>
      </c>
      <c r="D585" s="436" t="s">
        <v>1424</v>
      </c>
      <c r="E585" s="361" t="str">
        <f t="shared" si="9"/>
        <v>LOSS</v>
      </c>
      <c r="F585" s="361"/>
      <c r="G585" s="361"/>
      <c r="H585" s="361" t="s">
        <v>327</v>
      </c>
      <c r="I585" s="361" t="s">
        <v>242</v>
      </c>
      <c r="J585" s="361" t="s">
        <v>2242</v>
      </c>
      <c r="K585" s="365"/>
      <c r="L585" s="361"/>
      <c r="M585" s="361"/>
      <c r="N585" s="361"/>
      <c r="O585" s="370">
        <v>3000000</v>
      </c>
      <c r="P585" s="409">
        <v>72000000</v>
      </c>
      <c r="Q585" s="361"/>
      <c r="R585" s="409">
        <v>3000000</v>
      </c>
      <c r="S585" s="409">
        <v>6000000</v>
      </c>
      <c r="T585" s="361"/>
      <c r="U585" s="367">
        <v>44656</v>
      </c>
      <c r="V585" s="367">
        <v>45020</v>
      </c>
      <c r="W585" s="361" t="s">
        <v>250</v>
      </c>
      <c r="X585" s="361"/>
      <c r="Y585" s="361"/>
      <c r="Z585" s="361"/>
      <c r="AA585" s="361"/>
      <c r="AB585" s="361"/>
      <c r="AC585" s="159"/>
      <c r="AD585" s="361" t="s">
        <v>2243</v>
      </c>
      <c r="AE585" s="364">
        <v>4500017772</v>
      </c>
      <c r="AF585" s="364"/>
      <c r="AG585" s="361"/>
      <c r="AH585" s="365"/>
      <c r="AI585" s="361"/>
      <c r="AJ585" s="361"/>
      <c r="AK585" s="361"/>
      <c r="AL585" s="361"/>
      <c r="AM585" s="361"/>
      <c r="AN585" s="361"/>
      <c r="AO585" s="361"/>
      <c r="AP585" s="361"/>
      <c r="AQ585" s="361"/>
      <c r="AR585" s="503"/>
      <c r="AS585" s="489"/>
      <c r="AT585" s="160"/>
      <c r="AU585" s="355"/>
    </row>
    <row r="586" spans="1:47" s="124" customFormat="1" ht="21.75" hidden="1" customHeight="1">
      <c r="A586" s="331">
        <v>585</v>
      </c>
      <c r="B586" s="361" t="s">
        <v>588</v>
      </c>
      <c r="C586" s="361" t="s">
        <v>2244</v>
      </c>
      <c r="D586" s="435" t="s">
        <v>2245</v>
      </c>
      <c r="E586" s="361" t="str">
        <f t="shared" si="9"/>
        <v>LOSS</v>
      </c>
      <c r="F586" s="361"/>
      <c r="G586" s="361"/>
      <c r="H586" s="361" t="s">
        <v>327</v>
      </c>
      <c r="I586" s="160" t="s">
        <v>346</v>
      </c>
      <c r="J586" s="361" t="s">
        <v>2246</v>
      </c>
      <c r="K586" s="365"/>
      <c r="L586" s="361"/>
      <c r="M586" s="361"/>
      <c r="N586" s="361"/>
      <c r="O586" s="374" t="s">
        <v>115</v>
      </c>
      <c r="P586" s="409">
        <v>60000000</v>
      </c>
      <c r="Q586" s="361"/>
      <c r="R586" s="410" t="s">
        <v>115</v>
      </c>
      <c r="S586" s="409">
        <v>25000000</v>
      </c>
      <c r="T586" s="361"/>
      <c r="U586" s="367">
        <v>44621</v>
      </c>
      <c r="V586" s="367">
        <v>44985</v>
      </c>
      <c r="W586" s="361" t="s">
        <v>250</v>
      </c>
      <c r="X586" s="361"/>
      <c r="Y586" s="361"/>
      <c r="Z586" s="361"/>
      <c r="AA586" s="361"/>
      <c r="AB586" s="361"/>
      <c r="AC586" s="159"/>
      <c r="AD586" s="368"/>
      <c r="AE586" s="364">
        <v>4500017617</v>
      </c>
      <c r="AF586" s="364"/>
      <c r="AG586" s="361"/>
      <c r="AH586" s="365"/>
      <c r="AI586" s="361"/>
      <c r="AJ586" s="361"/>
      <c r="AK586" s="361"/>
      <c r="AL586" s="361"/>
      <c r="AM586" s="361"/>
      <c r="AN586" s="361"/>
      <c r="AO586" s="361"/>
      <c r="AP586" s="361"/>
      <c r="AQ586" s="361"/>
      <c r="AR586" s="503"/>
      <c r="AS586" s="489"/>
      <c r="AT586" s="160"/>
      <c r="AU586" s="355"/>
    </row>
    <row r="587" spans="1:47" s="124" customFormat="1" ht="21.75" hidden="1" customHeight="1">
      <c r="A587" s="331">
        <v>586</v>
      </c>
      <c r="B587" s="361" t="s">
        <v>71</v>
      </c>
      <c r="C587" s="361" t="s">
        <v>2247</v>
      </c>
      <c r="D587" s="436" t="s">
        <v>2248</v>
      </c>
      <c r="E587" s="361" t="str">
        <f t="shared" si="9"/>
        <v>LOSS</v>
      </c>
      <c r="F587" s="361"/>
      <c r="G587" s="361"/>
      <c r="H587" s="361" t="s">
        <v>327</v>
      </c>
      <c r="I587" s="361" t="s">
        <v>242</v>
      </c>
      <c r="J587" s="361" t="s">
        <v>2249</v>
      </c>
      <c r="K587" s="365"/>
      <c r="L587" s="361"/>
      <c r="M587" s="361"/>
      <c r="N587" s="361"/>
      <c r="O587" s="374" t="s">
        <v>115</v>
      </c>
      <c r="P587" s="409">
        <v>54000000</v>
      </c>
      <c r="Q587" s="361"/>
      <c r="R587" s="410" t="s">
        <v>115</v>
      </c>
      <c r="S587" s="409">
        <v>18000000</v>
      </c>
      <c r="T587" s="361"/>
      <c r="U587" s="367">
        <v>44866</v>
      </c>
      <c r="V587" s="367">
        <v>45291</v>
      </c>
      <c r="W587" s="361" t="s">
        <v>250</v>
      </c>
      <c r="X587" s="361"/>
      <c r="Y587" s="361"/>
      <c r="Z587" s="361"/>
      <c r="AA587" s="361"/>
      <c r="AB587" s="361"/>
      <c r="AC587" s="159"/>
      <c r="AD587" s="361" t="s">
        <v>2250</v>
      </c>
      <c r="AE587" s="364">
        <v>4500017314</v>
      </c>
      <c r="AF587" s="364"/>
      <c r="AG587" s="361"/>
      <c r="AH587" s="365"/>
      <c r="AI587" s="361"/>
      <c r="AJ587" s="361"/>
      <c r="AK587" s="361"/>
      <c r="AL587" s="361"/>
      <c r="AM587" s="361"/>
      <c r="AN587" s="361"/>
      <c r="AO587" s="361"/>
      <c r="AP587" s="361"/>
      <c r="AQ587" s="361"/>
      <c r="AR587" s="503"/>
      <c r="AS587" s="489"/>
      <c r="AT587" s="160"/>
      <c r="AU587" s="355"/>
    </row>
    <row r="588" spans="1:47" s="124" customFormat="1" ht="21.75" hidden="1" customHeight="1">
      <c r="A588" s="331">
        <v>587</v>
      </c>
      <c r="B588" s="361" t="s">
        <v>1444</v>
      </c>
      <c r="C588" s="361" t="s">
        <v>1445</v>
      </c>
      <c r="D588" s="435" t="s">
        <v>2251</v>
      </c>
      <c r="E588" s="361" t="str">
        <f t="shared" si="9"/>
        <v>LOSS</v>
      </c>
      <c r="F588" s="361"/>
      <c r="G588" s="361"/>
      <c r="H588" s="28" t="s">
        <v>261</v>
      </c>
      <c r="I588" s="361" t="s">
        <v>243</v>
      </c>
      <c r="J588" s="361" t="s">
        <v>2252</v>
      </c>
      <c r="K588" s="361"/>
      <c r="L588" s="361"/>
      <c r="M588" s="361"/>
      <c r="N588" s="361"/>
      <c r="O588" s="374" t="s">
        <v>115</v>
      </c>
      <c r="P588" s="409">
        <v>120000000</v>
      </c>
      <c r="Q588" s="361"/>
      <c r="R588" s="410" t="s">
        <v>115</v>
      </c>
      <c r="S588" s="409">
        <v>66000000</v>
      </c>
      <c r="T588" s="361"/>
      <c r="U588" s="367">
        <v>44664</v>
      </c>
      <c r="V588" s="367">
        <v>45028</v>
      </c>
      <c r="W588" s="361" t="s">
        <v>250</v>
      </c>
      <c r="X588" s="361"/>
      <c r="Y588" s="361"/>
      <c r="Z588" s="361"/>
      <c r="AA588" s="361"/>
      <c r="AB588" s="361"/>
      <c r="AC588" s="159"/>
      <c r="AD588" s="361" t="s">
        <v>2253</v>
      </c>
      <c r="AE588" s="364">
        <v>4500017846</v>
      </c>
      <c r="AF588" s="364"/>
      <c r="AG588" s="361"/>
      <c r="AH588" s="361"/>
      <c r="AI588" s="361"/>
      <c r="AJ588" s="361"/>
      <c r="AK588" s="361"/>
      <c r="AL588" s="361"/>
      <c r="AM588" s="361"/>
      <c r="AN588" s="361"/>
      <c r="AO588" s="361"/>
      <c r="AP588" s="361"/>
      <c r="AQ588" s="361"/>
      <c r="AR588" s="503"/>
      <c r="AS588" s="489"/>
      <c r="AT588" s="160"/>
      <c r="AU588" s="355"/>
    </row>
    <row r="589" spans="1:47" s="124" customFormat="1" ht="21.75" hidden="1" customHeight="1">
      <c r="A589" s="331">
        <v>588</v>
      </c>
      <c r="B589" s="361" t="s">
        <v>348</v>
      </c>
      <c r="C589" s="361" t="s">
        <v>2254</v>
      </c>
      <c r="D589" s="436" t="s">
        <v>2217</v>
      </c>
      <c r="E589" s="361" t="str">
        <f t="shared" si="9"/>
        <v>LOSS</v>
      </c>
      <c r="F589" s="361"/>
      <c r="G589" s="361"/>
      <c r="H589" s="361" t="s">
        <v>327</v>
      </c>
      <c r="I589" s="361" t="s">
        <v>242</v>
      </c>
      <c r="J589" s="361" t="s">
        <v>2255</v>
      </c>
      <c r="K589" s="365"/>
      <c r="L589" s="361"/>
      <c r="M589" s="361"/>
      <c r="N589" s="361"/>
      <c r="O589" s="370">
        <v>4000000</v>
      </c>
      <c r="P589" s="409">
        <v>33000000</v>
      </c>
      <c r="Q589" s="361"/>
      <c r="R589" s="410" t="s">
        <v>115</v>
      </c>
      <c r="S589" s="409">
        <v>10028172</v>
      </c>
      <c r="T589" s="361"/>
      <c r="U589" s="367">
        <v>44728</v>
      </c>
      <c r="V589" s="367">
        <v>45092</v>
      </c>
      <c r="W589" s="361" t="s">
        <v>250</v>
      </c>
      <c r="X589" s="361"/>
      <c r="Y589" s="361"/>
      <c r="Z589" s="361"/>
      <c r="AA589" s="361"/>
      <c r="AB589" s="361"/>
      <c r="AC589" s="159"/>
      <c r="AD589" s="361" t="s">
        <v>2256</v>
      </c>
      <c r="AE589" s="364">
        <v>4500017900</v>
      </c>
      <c r="AF589" s="364"/>
      <c r="AG589" s="361"/>
      <c r="AH589" s="365"/>
      <c r="AI589" s="361"/>
      <c r="AJ589" s="361"/>
      <c r="AK589" s="361"/>
      <c r="AL589" s="361"/>
      <c r="AM589" s="361"/>
      <c r="AN589" s="361"/>
      <c r="AO589" s="361"/>
      <c r="AP589" s="361"/>
      <c r="AQ589" s="361"/>
      <c r="AR589" s="503"/>
      <c r="AS589" s="489"/>
      <c r="AT589" s="160"/>
      <c r="AU589" s="355"/>
    </row>
    <row r="590" spans="1:47" s="124" customFormat="1" ht="21.75" hidden="1" customHeight="1">
      <c r="A590" s="331">
        <v>589</v>
      </c>
      <c r="B590" s="28" t="s">
        <v>521</v>
      </c>
      <c r="C590" s="361" t="s">
        <v>2257</v>
      </c>
      <c r="D590" s="435" t="s">
        <v>1361</v>
      </c>
      <c r="E590" s="361" t="str">
        <f t="shared" si="9"/>
        <v>LOSS</v>
      </c>
      <c r="F590" s="361"/>
      <c r="G590" s="361"/>
      <c r="H590" s="28" t="s">
        <v>261</v>
      </c>
      <c r="I590" s="361" t="s">
        <v>243</v>
      </c>
      <c r="J590" s="361" t="s">
        <v>1362</v>
      </c>
      <c r="K590" s="361"/>
      <c r="L590" s="361"/>
      <c r="M590" s="361"/>
      <c r="N590" s="361"/>
      <c r="O590" s="374" t="s">
        <v>115</v>
      </c>
      <c r="P590" s="409">
        <v>25200000</v>
      </c>
      <c r="Q590" s="361"/>
      <c r="R590" s="410" t="s">
        <v>115</v>
      </c>
      <c r="S590" s="409">
        <v>3780000</v>
      </c>
      <c r="T590" s="361"/>
      <c r="U590" s="367">
        <v>44661</v>
      </c>
      <c r="V590" s="367">
        <v>45025</v>
      </c>
      <c r="W590" s="361" t="s">
        <v>250</v>
      </c>
      <c r="X590" s="361"/>
      <c r="Y590" s="361"/>
      <c r="Z590" s="361"/>
      <c r="AA590" s="361"/>
      <c r="AB590" s="361"/>
      <c r="AC590" s="159"/>
      <c r="AD590" s="361" t="s">
        <v>2258</v>
      </c>
      <c r="AE590" s="364">
        <v>4500017821</v>
      </c>
      <c r="AF590" s="364"/>
      <c r="AG590" s="361"/>
      <c r="AH590" s="361"/>
      <c r="AI590" s="361"/>
      <c r="AJ590" s="361"/>
      <c r="AK590" s="361"/>
      <c r="AL590" s="361"/>
      <c r="AM590" s="361"/>
      <c r="AN590" s="361"/>
      <c r="AO590" s="361"/>
      <c r="AP590" s="361"/>
      <c r="AQ590" s="361"/>
      <c r="AR590" s="503"/>
      <c r="AS590" s="489"/>
      <c r="AT590" s="160"/>
      <c r="AU590" s="355"/>
    </row>
    <row r="591" spans="1:47" s="124" customFormat="1" ht="21.75" hidden="1" customHeight="1">
      <c r="A591" s="331">
        <v>590</v>
      </c>
      <c r="B591" s="361" t="s">
        <v>71</v>
      </c>
      <c r="C591" s="361" t="s">
        <v>2241</v>
      </c>
      <c r="D591" s="436" t="s">
        <v>850</v>
      </c>
      <c r="E591" s="361" t="str">
        <f t="shared" si="9"/>
        <v>LOSS</v>
      </c>
      <c r="F591" s="361"/>
      <c r="G591" s="361"/>
      <c r="H591" s="361" t="s">
        <v>327</v>
      </c>
      <c r="I591" s="361" t="s">
        <v>242</v>
      </c>
      <c r="J591" s="361" t="s">
        <v>2242</v>
      </c>
      <c r="K591" s="365"/>
      <c r="L591" s="361"/>
      <c r="M591" s="361"/>
      <c r="N591" s="361"/>
      <c r="O591" s="370">
        <v>6000000</v>
      </c>
      <c r="P591" s="409">
        <v>72000000</v>
      </c>
      <c r="Q591" s="361"/>
      <c r="R591" s="409">
        <v>1500000</v>
      </c>
      <c r="S591" s="409">
        <v>18000000</v>
      </c>
      <c r="T591" s="361"/>
      <c r="U591" s="367">
        <v>44658</v>
      </c>
      <c r="V591" s="367">
        <v>45022</v>
      </c>
      <c r="W591" s="361" t="s">
        <v>250</v>
      </c>
      <c r="X591" s="361"/>
      <c r="Y591" s="361"/>
      <c r="Z591" s="361"/>
      <c r="AA591" s="361"/>
      <c r="AB591" s="361"/>
      <c r="AC591" s="159"/>
      <c r="AD591" s="361" t="s">
        <v>2259</v>
      </c>
      <c r="AE591" s="364">
        <v>4500017862</v>
      </c>
      <c r="AF591" s="364"/>
      <c r="AG591" s="361"/>
      <c r="AH591" s="365"/>
      <c r="AI591" s="361"/>
      <c r="AJ591" s="361"/>
      <c r="AK591" s="361"/>
      <c r="AL591" s="361"/>
      <c r="AM591" s="361"/>
      <c r="AN591" s="361"/>
      <c r="AO591" s="361"/>
      <c r="AP591" s="361"/>
      <c r="AQ591" s="361"/>
      <c r="AR591" s="503"/>
      <c r="AS591" s="489"/>
      <c r="AT591" s="160"/>
      <c r="AU591" s="355"/>
    </row>
    <row r="592" spans="1:47" s="124" customFormat="1" ht="21.75" hidden="1" customHeight="1">
      <c r="A592" s="331">
        <v>591</v>
      </c>
      <c r="B592" s="361" t="s">
        <v>348</v>
      </c>
      <c r="C592" s="361" t="s">
        <v>2216</v>
      </c>
      <c r="D592" s="435" t="s">
        <v>2217</v>
      </c>
      <c r="E592" s="361" t="str">
        <f t="shared" si="9"/>
        <v>LOSS</v>
      </c>
      <c r="F592" s="361"/>
      <c r="G592" s="361"/>
      <c r="H592" s="361" t="s">
        <v>327</v>
      </c>
      <c r="I592" s="361" t="s">
        <v>242</v>
      </c>
      <c r="J592" s="361" t="s">
        <v>2260</v>
      </c>
      <c r="K592" s="365"/>
      <c r="L592" s="361"/>
      <c r="M592" s="361"/>
      <c r="N592" s="361"/>
      <c r="O592" s="370">
        <v>3000000</v>
      </c>
      <c r="P592" s="409">
        <v>24600000</v>
      </c>
      <c r="Q592" s="361"/>
      <c r="R592" s="410" t="s">
        <v>115</v>
      </c>
      <c r="S592" s="409">
        <v>11818764</v>
      </c>
      <c r="T592" s="361"/>
      <c r="U592" s="367">
        <v>44672</v>
      </c>
      <c r="V592" s="367">
        <v>45036</v>
      </c>
      <c r="W592" s="361" t="s">
        <v>250</v>
      </c>
      <c r="X592" s="361"/>
      <c r="Y592" s="361"/>
      <c r="Z592" s="361"/>
      <c r="AA592" s="361"/>
      <c r="AB592" s="361"/>
      <c r="AC592" s="159"/>
      <c r="AD592" s="361" t="s">
        <v>2261</v>
      </c>
      <c r="AE592" s="364">
        <v>4500018022</v>
      </c>
      <c r="AF592" s="364"/>
      <c r="AG592" s="361"/>
      <c r="AH592" s="365"/>
      <c r="AI592" s="361"/>
      <c r="AJ592" s="361"/>
      <c r="AK592" s="361"/>
      <c r="AL592" s="361"/>
      <c r="AM592" s="361"/>
      <c r="AN592" s="361"/>
      <c r="AO592" s="361"/>
      <c r="AP592" s="361"/>
      <c r="AQ592" s="361"/>
      <c r="AR592" s="503"/>
      <c r="AS592" s="489"/>
      <c r="AT592" s="160"/>
      <c r="AU592" s="355"/>
    </row>
    <row r="593" spans="1:47" s="124" customFormat="1" ht="21.75" hidden="1" customHeight="1">
      <c r="A593" s="331">
        <v>592</v>
      </c>
      <c r="B593" s="361" t="s">
        <v>165</v>
      </c>
      <c r="C593" s="361" t="s">
        <v>1764</v>
      </c>
      <c r="D593" s="436" t="s">
        <v>1701</v>
      </c>
      <c r="E593" s="361" t="str">
        <f t="shared" si="9"/>
        <v>LOSS</v>
      </c>
      <c r="F593" s="361"/>
      <c r="G593" s="361"/>
      <c r="H593" s="28" t="s">
        <v>261</v>
      </c>
      <c r="I593" s="361" t="s">
        <v>243</v>
      </c>
      <c r="J593" s="361" t="s">
        <v>2262</v>
      </c>
      <c r="K593" s="361"/>
      <c r="L593" s="361"/>
      <c r="M593" s="361"/>
      <c r="N593" s="361"/>
      <c r="O593" s="374" t="s">
        <v>115</v>
      </c>
      <c r="P593" s="409">
        <v>204000000</v>
      </c>
      <c r="Q593" s="361"/>
      <c r="R593" s="410" t="s">
        <v>115</v>
      </c>
      <c r="S593" s="409">
        <v>72000001</v>
      </c>
      <c r="T593" s="361"/>
      <c r="U593" s="367">
        <v>44567</v>
      </c>
      <c r="V593" s="367">
        <v>44931</v>
      </c>
      <c r="W593" s="361" t="s">
        <v>250</v>
      </c>
      <c r="X593" s="361"/>
      <c r="Y593" s="361"/>
      <c r="Z593" s="361"/>
      <c r="AA593" s="361"/>
      <c r="AB593" s="361"/>
      <c r="AC593" s="159"/>
      <c r="AD593" s="361" t="s">
        <v>2263</v>
      </c>
      <c r="AE593" s="364">
        <v>4500017683</v>
      </c>
      <c r="AF593" s="364"/>
      <c r="AG593" s="361"/>
      <c r="AH593" s="361"/>
      <c r="AI593" s="361"/>
      <c r="AJ593" s="361"/>
      <c r="AK593" s="361"/>
      <c r="AL593" s="361"/>
      <c r="AM593" s="361"/>
      <c r="AN593" s="361"/>
      <c r="AO593" s="361"/>
      <c r="AP593" s="361"/>
      <c r="AQ593" s="361"/>
      <c r="AR593" s="503"/>
      <c r="AS593" s="489"/>
      <c r="AT593" s="160"/>
      <c r="AU593" s="355"/>
    </row>
    <row r="594" spans="1:47" s="124" customFormat="1" ht="21.75" hidden="1" customHeight="1">
      <c r="A594" s="331">
        <v>593</v>
      </c>
      <c r="B594" s="361" t="s">
        <v>664</v>
      </c>
      <c r="C594" s="361" t="s">
        <v>2264</v>
      </c>
      <c r="D594" s="435" t="s">
        <v>1471</v>
      </c>
      <c r="E594" s="361" t="str">
        <f t="shared" si="9"/>
        <v>LOSS</v>
      </c>
      <c r="F594" s="361"/>
      <c r="G594" s="361"/>
      <c r="H594" s="28" t="s">
        <v>261</v>
      </c>
      <c r="I594" s="361" t="s">
        <v>243</v>
      </c>
      <c r="J594" s="361" t="s">
        <v>2265</v>
      </c>
      <c r="K594" s="361"/>
      <c r="L594" s="361"/>
      <c r="M594" s="361"/>
      <c r="N594" s="361"/>
      <c r="O594" s="370">
        <v>2500000</v>
      </c>
      <c r="P594" s="409">
        <v>84000000</v>
      </c>
      <c r="Q594" s="361"/>
      <c r="R594" s="409">
        <v>4000000</v>
      </c>
      <c r="S594" s="409">
        <v>14400000</v>
      </c>
      <c r="T594" s="361"/>
      <c r="U594" s="367">
        <v>44649</v>
      </c>
      <c r="V594" s="367">
        <v>45013</v>
      </c>
      <c r="W594" s="361" t="s">
        <v>250</v>
      </c>
      <c r="X594" s="361"/>
      <c r="Y594" s="361"/>
      <c r="Z594" s="361"/>
      <c r="AA594" s="361"/>
      <c r="AB594" s="361"/>
      <c r="AC594" s="159"/>
      <c r="AD594" s="361" t="s">
        <v>2266</v>
      </c>
      <c r="AE594" s="364">
        <v>4500017906</v>
      </c>
      <c r="AF594" s="364"/>
      <c r="AG594" s="361"/>
      <c r="AH594" s="361"/>
      <c r="AI594" s="361"/>
      <c r="AJ594" s="361"/>
      <c r="AK594" s="361"/>
      <c r="AL594" s="361"/>
      <c r="AM594" s="361"/>
      <c r="AN594" s="361"/>
      <c r="AO594" s="361"/>
      <c r="AP594" s="361"/>
      <c r="AQ594" s="361"/>
      <c r="AR594" s="503"/>
      <c r="AS594" s="489"/>
      <c r="AT594" s="160"/>
      <c r="AU594" s="355"/>
    </row>
    <row r="595" spans="1:47" s="124" customFormat="1" ht="21.75" hidden="1" customHeight="1">
      <c r="A595" s="331">
        <v>594</v>
      </c>
      <c r="B595" s="361" t="s">
        <v>2267</v>
      </c>
      <c r="C595" s="361" t="s">
        <v>2268</v>
      </c>
      <c r="D595" s="436" t="s">
        <v>2269</v>
      </c>
      <c r="E595" s="361" t="str">
        <f t="shared" si="9"/>
        <v>LOSS</v>
      </c>
      <c r="F595" s="361"/>
      <c r="G595" s="361"/>
      <c r="H595" s="28" t="s">
        <v>261</v>
      </c>
      <c r="I595" s="361" t="s">
        <v>243</v>
      </c>
      <c r="J595" s="361" t="s">
        <v>2270</v>
      </c>
      <c r="K595" s="361"/>
      <c r="L595" s="361"/>
      <c r="M595" s="361"/>
      <c r="N595" s="361"/>
      <c r="O595" s="374" t="s">
        <v>115</v>
      </c>
      <c r="P595" s="409">
        <v>114000000</v>
      </c>
      <c r="Q595" s="361"/>
      <c r="R595" s="409">
        <v>3000000</v>
      </c>
      <c r="S595" s="409">
        <v>66000000</v>
      </c>
      <c r="T595" s="361"/>
      <c r="U595" s="367">
        <v>44658</v>
      </c>
      <c r="V595" s="367">
        <v>45022</v>
      </c>
      <c r="W595" s="361" t="s">
        <v>250</v>
      </c>
      <c r="X595" s="361"/>
      <c r="Y595" s="361"/>
      <c r="Z595" s="361"/>
      <c r="AA595" s="361"/>
      <c r="AB595" s="361"/>
      <c r="AC595" s="159"/>
      <c r="AD595" s="361" t="s">
        <v>2271</v>
      </c>
      <c r="AE595" s="364">
        <v>4500017818</v>
      </c>
      <c r="AF595" s="364"/>
      <c r="AG595" s="361"/>
      <c r="AH595" s="361"/>
      <c r="AI595" s="361"/>
      <c r="AJ595" s="361"/>
      <c r="AK595" s="361"/>
      <c r="AL595" s="361"/>
      <c r="AM595" s="361"/>
      <c r="AN595" s="361"/>
      <c r="AO595" s="361"/>
      <c r="AP595" s="361"/>
      <c r="AQ595" s="361"/>
      <c r="AR595" s="503"/>
      <c r="AS595" s="489"/>
      <c r="AT595" s="160"/>
      <c r="AU595" s="355"/>
    </row>
    <row r="596" spans="1:47" s="124" customFormat="1" ht="21.75" hidden="1" customHeight="1">
      <c r="A596" s="331">
        <v>595</v>
      </c>
      <c r="B596" s="159" t="s">
        <v>1280</v>
      </c>
      <c r="C596" s="361" t="s">
        <v>2272</v>
      </c>
      <c r="D596" s="434" t="s">
        <v>1282</v>
      </c>
      <c r="E596" s="361" t="str">
        <f t="shared" si="9"/>
        <v>LOSS</v>
      </c>
      <c r="F596" s="361"/>
      <c r="G596" s="361"/>
      <c r="H596" s="361" t="s">
        <v>327</v>
      </c>
      <c r="I596" s="361" t="s">
        <v>242</v>
      </c>
      <c r="J596" s="361" t="s">
        <v>54</v>
      </c>
      <c r="K596" s="365"/>
      <c r="L596" s="361"/>
      <c r="M596" s="361"/>
      <c r="N596" s="361"/>
      <c r="O596" s="374" t="s">
        <v>115</v>
      </c>
      <c r="P596" s="409">
        <v>120000000</v>
      </c>
      <c r="Q596" s="361"/>
      <c r="R596" s="410" t="s">
        <v>115</v>
      </c>
      <c r="S596" s="409">
        <v>78000000</v>
      </c>
      <c r="T596" s="361"/>
      <c r="U596" s="367">
        <v>44625</v>
      </c>
      <c r="V596" s="367">
        <v>44989</v>
      </c>
      <c r="W596" s="361" t="s">
        <v>250</v>
      </c>
      <c r="X596" s="361"/>
      <c r="Y596" s="361"/>
      <c r="Z596" s="361"/>
      <c r="AA596" s="361"/>
      <c r="AB596" s="361"/>
      <c r="AC596" s="159"/>
      <c r="AD596" s="361" t="s">
        <v>2273</v>
      </c>
      <c r="AE596" s="364">
        <v>4500017802</v>
      </c>
      <c r="AF596" s="364"/>
      <c r="AG596" s="361"/>
      <c r="AH596" s="365"/>
      <c r="AI596" s="361"/>
      <c r="AJ596" s="361"/>
      <c r="AK596" s="361"/>
      <c r="AL596" s="361"/>
      <c r="AM596" s="361"/>
      <c r="AN596" s="361"/>
      <c r="AO596" s="361"/>
      <c r="AP596" s="361"/>
      <c r="AQ596" s="361"/>
      <c r="AR596" s="503"/>
      <c r="AS596" s="489"/>
      <c r="AT596" s="160"/>
      <c r="AU596" s="355"/>
    </row>
    <row r="597" spans="1:47" s="124" customFormat="1" ht="21.75" hidden="1" customHeight="1">
      <c r="A597" s="331">
        <v>596</v>
      </c>
      <c r="B597" s="361" t="s">
        <v>1423</v>
      </c>
      <c r="C597" s="361" t="s">
        <v>2274</v>
      </c>
      <c r="D597" s="436" t="s">
        <v>1424</v>
      </c>
      <c r="E597" s="361" t="str">
        <f t="shared" si="9"/>
        <v>LOSS</v>
      </c>
      <c r="F597" s="361"/>
      <c r="G597" s="361"/>
      <c r="H597" s="361" t="s">
        <v>327</v>
      </c>
      <c r="I597" s="361" t="s">
        <v>242</v>
      </c>
      <c r="J597" s="361" t="s">
        <v>2275</v>
      </c>
      <c r="K597" s="365"/>
      <c r="L597" s="361"/>
      <c r="M597" s="361"/>
      <c r="N597" s="361"/>
      <c r="O597" s="374" t="s">
        <v>115</v>
      </c>
      <c r="P597" s="409">
        <v>439800000</v>
      </c>
      <c r="Q597" s="361"/>
      <c r="R597" s="410" t="s">
        <v>115</v>
      </c>
      <c r="S597" s="409">
        <v>174000000</v>
      </c>
      <c r="T597" s="361"/>
      <c r="U597" s="367">
        <v>44666</v>
      </c>
      <c r="V597" s="367">
        <v>45030</v>
      </c>
      <c r="W597" s="361" t="s">
        <v>250</v>
      </c>
      <c r="X597" s="361"/>
      <c r="Y597" s="361"/>
      <c r="Z597" s="361"/>
      <c r="AA597" s="361"/>
      <c r="AB597" s="361"/>
      <c r="AC597" s="159"/>
      <c r="AD597" s="361" t="s">
        <v>2276</v>
      </c>
      <c r="AE597" s="364">
        <v>4500017853</v>
      </c>
      <c r="AF597" s="364"/>
      <c r="AG597" s="361"/>
      <c r="AH597" s="365"/>
      <c r="AI597" s="361"/>
      <c r="AJ597" s="361"/>
      <c r="AK597" s="361"/>
      <c r="AL597" s="361"/>
      <c r="AM597" s="361"/>
      <c r="AN597" s="361"/>
      <c r="AO597" s="361"/>
      <c r="AP597" s="361"/>
      <c r="AQ597" s="361"/>
      <c r="AR597" s="503"/>
      <c r="AS597" s="489"/>
      <c r="AT597" s="160"/>
      <c r="AU597" s="355"/>
    </row>
    <row r="598" spans="1:47" s="124" customFormat="1" ht="21.75" hidden="1" customHeight="1">
      <c r="A598" s="331">
        <v>597</v>
      </c>
      <c r="B598" s="361" t="s">
        <v>2277</v>
      </c>
      <c r="C598" s="361" t="s">
        <v>2278</v>
      </c>
      <c r="D598" s="442"/>
      <c r="E598" s="361" t="str">
        <f t="shared" si="9"/>
        <v>LOSS</v>
      </c>
      <c r="F598" s="361"/>
      <c r="G598" s="361"/>
      <c r="H598" s="28" t="s">
        <v>261</v>
      </c>
      <c r="I598" s="361" t="s">
        <v>243</v>
      </c>
      <c r="J598" s="361" t="s">
        <v>2279</v>
      </c>
      <c r="K598" s="361"/>
      <c r="L598" s="361"/>
      <c r="M598" s="361"/>
      <c r="N598" s="361"/>
      <c r="O598" s="374" t="s">
        <v>115</v>
      </c>
      <c r="P598" s="409">
        <v>95727272</v>
      </c>
      <c r="Q598" s="361"/>
      <c r="R598" s="410" t="s">
        <v>115</v>
      </c>
      <c r="S598" s="409">
        <v>130340000</v>
      </c>
      <c r="T598" s="361"/>
      <c r="U598" s="367">
        <v>44562</v>
      </c>
      <c r="V598" s="367">
        <v>44592</v>
      </c>
      <c r="W598" s="361" t="s">
        <v>250</v>
      </c>
      <c r="X598" s="361"/>
      <c r="Y598" s="361"/>
      <c r="Z598" s="361"/>
      <c r="AA598" s="361"/>
      <c r="AB598" s="361"/>
      <c r="AC598" s="159"/>
      <c r="AD598" s="361" t="s">
        <v>2280</v>
      </c>
      <c r="AE598" s="364">
        <v>4500017423</v>
      </c>
      <c r="AF598" s="364"/>
      <c r="AG598" s="361"/>
      <c r="AH598" s="361"/>
      <c r="AI598" s="361"/>
      <c r="AJ598" s="361"/>
      <c r="AK598" s="361"/>
      <c r="AL598" s="361"/>
      <c r="AM598" s="361"/>
      <c r="AN598" s="361"/>
      <c r="AO598" s="361"/>
      <c r="AP598" s="361"/>
      <c r="AQ598" s="361"/>
      <c r="AR598" s="503"/>
      <c r="AS598" s="489"/>
      <c r="AT598" s="160"/>
      <c r="AU598" s="355"/>
    </row>
    <row r="599" spans="1:47" s="124" customFormat="1" ht="21.75" hidden="1" customHeight="1">
      <c r="A599" s="331">
        <v>598</v>
      </c>
      <c r="B599" s="361" t="s">
        <v>2281</v>
      </c>
      <c r="C599" s="361" t="s">
        <v>71</v>
      </c>
      <c r="D599" s="436" t="s">
        <v>2282</v>
      </c>
      <c r="E599" s="361" t="str">
        <f t="shared" si="9"/>
        <v>LOSS</v>
      </c>
      <c r="F599" s="361"/>
      <c r="G599" s="361"/>
      <c r="H599" s="361" t="s">
        <v>327</v>
      </c>
      <c r="I599" s="160" t="s">
        <v>346</v>
      </c>
      <c r="J599" s="361" t="s">
        <v>2283</v>
      </c>
      <c r="K599" s="365"/>
      <c r="L599" s="361"/>
      <c r="M599" s="361"/>
      <c r="N599" s="361"/>
      <c r="O599" s="374" t="s">
        <v>115</v>
      </c>
      <c r="P599" s="409">
        <v>2476356000</v>
      </c>
      <c r="Q599" s="361"/>
      <c r="R599" s="410" t="s">
        <v>115</v>
      </c>
      <c r="S599" s="409">
        <v>156000000</v>
      </c>
      <c r="T599" s="361"/>
      <c r="U599" s="367">
        <v>44811</v>
      </c>
      <c r="V599" s="367">
        <v>45175</v>
      </c>
      <c r="W599" s="361" t="s">
        <v>250</v>
      </c>
      <c r="X599" s="361"/>
      <c r="Y599" s="361"/>
      <c r="Z599" s="361"/>
      <c r="AA599" s="361"/>
      <c r="AB599" s="361"/>
      <c r="AC599" s="159"/>
      <c r="AD599" s="361" t="s">
        <v>2284</v>
      </c>
      <c r="AE599" s="364">
        <v>4500018824</v>
      </c>
      <c r="AF599" s="364"/>
      <c r="AG599" s="361"/>
      <c r="AH599" s="365"/>
      <c r="AI599" s="361"/>
      <c r="AJ599" s="361"/>
      <c r="AK599" s="361"/>
      <c r="AL599" s="361"/>
      <c r="AM599" s="361"/>
      <c r="AN599" s="361"/>
      <c r="AO599" s="361"/>
      <c r="AP599" s="361"/>
      <c r="AQ599" s="361"/>
      <c r="AR599" s="503"/>
      <c r="AS599" s="489"/>
      <c r="AT599" s="160"/>
      <c r="AU599" s="355"/>
    </row>
    <row r="600" spans="1:47" s="124" customFormat="1" ht="21.75" hidden="1" customHeight="1">
      <c r="A600" s="331">
        <v>599</v>
      </c>
      <c r="B600" s="361" t="s">
        <v>71</v>
      </c>
      <c r="C600" s="361" t="s">
        <v>2285</v>
      </c>
      <c r="D600" s="435" t="s">
        <v>850</v>
      </c>
      <c r="E600" s="361" t="str">
        <f t="shared" si="9"/>
        <v>LOSS</v>
      </c>
      <c r="F600" s="361"/>
      <c r="G600" s="361"/>
      <c r="H600" s="361" t="s">
        <v>327</v>
      </c>
      <c r="I600" s="160" t="s">
        <v>346</v>
      </c>
      <c r="J600" s="361" t="s">
        <v>2286</v>
      </c>
      <c r="K600" s="365"/>
      <c r="L600" s="361"/>
      <c r="M600" s="361"/>
      <c r="N600" s="361"/>
      <c r="O600" s="374" t="s">
        <v>115</v>
      </c>
      <c r="P600" s="409">
        <v>120000000</v>
      </c>
      <c r="Q600" s="361"/>
      <c r="R600" s="410" t="s">
        <v>115</v>
      </c>
      <c r="S600" s="409">
        <v>18000000</v>
      </c>
      <c r="T600" s="361"/>
      <c r="U600" s="367">
        <v>44854</v>
      </c>
      <c r="V600" s="367">
        <v>45218</v>
      </c>
      <c r="W600" s="361" t="s">
        <v>250</v>
      </c>
      <c r="X600" s="361"/>
      <c r="Y600" s="361"/>
      <c r="Z600" s="361"/>
      <c r="AA600" s="361"/>
      <c r="AB600" s="361"/>
      <c r="AC600" s="159"/>
      <c r="AD600" s="361" t="s">
        <v>2287</v>
      </c>
      <c r="AE600" s="364">
        <v>4500018866</v>
      </c>
      <c r="AF600" s="364"/>
      <c r="AG600" s="361"/>
      <c r="AH600" s="365"/>
      <c r="AI600" s="361"/>
      <c r="AJ600" s="361"/>
      <c r="AK600" s="361"/>
      <c r="AL600" s="361"/>
      <c r="AM600" s="361"/>
      <c r="AN600" s="361"/>
      <c r="AO600" s="361"/>
      <c r="AP600" s="361"/>
      <c r="AQ600" s="361"/>
      <c r="AR600" s="503"/>
      <c r="AS600" s="489"/>
      <c r="AT600" s="160"/>
      <c r="AU600" s="355"/>
    </row>
    <row r="601" spans="1:47" s="124" customFormat="1" ht="21.75" hidden="1" customHeight="1">
      <c r="A601" s="331">
        <v>600</v>
      </c>
      <c r="B601" s="361" t="s">
        <v>71</v>
      </c>
      <c r="C601" s="361" t="s">
        <v>2241</v>
      </c>
      <c r="D601" s="436" t="s">
        <v>850</v>
      </c>
      <c r="E601" s="361" t="str">
        <f t="shared" si="9"/>
        <v>LOSS</v>
      </c>
      <c r="F601" s="361"/>
      <c r="G601" s="361"/>
      <c r="H601" s="361" t="s">
        <v>327</v>
      </c>
      <c r="I601" s="361" t="s">
        <v>242</v>
      </c>
      <c r="J601" s="361" t="s">
        <v>2288</v>
      </c>
      <c r="K601" s="365"/>
      <c r="L601" s="361"/>
      <c r="M601" s="361"/>
      <c r="N601" s="361"/>
      <c r="O601" s="374" t="s">
        <v>115</v>
      </c>
      <c r="P601" s="409">
        <v>60000000</v>
      </c>
      <c r="Q601" s="361"/>
      <c r="R601" s="410" t="s">
        <v>115</v>
      </c>
      <c r="S601" s="409">
        <v>18000000</v>
      </c>
      <c r="T601" s="361"/>
      <c r="U601" s="367">
        <v>44858</v>
      </c>
      <c r="V601" s="367">
        <v>45222</v>
      </c>
      <c r="W601" s="361" t="s">
        <v>250</v>
      </c>
      <c r="X601" s="361"/>
      <c r="Y601" s="361"/>
      <c r="Z601" s="361"/>
      <c r="AA601" s="361"/>
      <c r="AB601" s="361"/>
      <c r="AC601" s="159"/>
      <c r="AD601" s="368"/>
      <c r="AE601" s="364">
        <v>4500018867</v>
      </c>
      <c r="AF601" s="364"/>
      <c r="AG601" s="361"/>
      <c r="AH601" s="365"/>
      <c r="AI601" s="361"/>
      <c r="AJ601" s="361"/>
      <c r="AK601" s="361"/>
      <c r="AL601" s="361"/>
      <c r="AM601" s="361"/>
      <c r="AN601" s="361"/>
      <c r="AO601" s="361"/>
      <c r="AP601" s="361"/>
      <c r="AQ601" s="361"/>
      <c r="AR601" s="503"/>
      <c r="AS601" s="489"/>
      <c r="AT601" s="160"/>
      <c r="AU601" s="355"/>
    </row>
    <row r="602" spans="1:47" s="124" customFormat="1" ht="21.75" hidden="1" customHeight="1">
      <c r="A602" s="331">
        <v>601</v>
      </c>
      <c r="B602" s="361" t="s">
        <v>2289</v>
      </c>
      <c r="C602" s="361" t="s">
        <v>2290</v>
      </c>
      <c r="D602" s="435" t="s">
        <v>2291</v>
      </c>
      <c r="E602" s="361" t="str">
        <f t="shared" si="9"/>
        <v>LOSS</v>
      </c>
      <c r="F602" s="361"/>
      <c r="G602" s="361"/>
      <c r="H602" s="28" t="s">
        <v>261</v>
      </c>
      <c r="I602" s="361" t="s">
        <v>243</v>
      </c>
      <c r="J602" s="361" t="s">
        <v>1485</v>
      </c>
      <c r="K602" s="361"/>
      <c r="L602" s="361"/>
      <c r="M602" s="361"/>
      <c r="N602" s="361"/>
      <c r="O602" s="374" t="s">
        <v>115</v>
      </c>
      <c r="P602" s="409">
        <v>186000000</v>
      </c>
      <c r="Q602" s="361"/>
      <c r="R602" s="410" t="s">
        <v>115</v>
      </c>
      <c r="S602" s="409">
        <v>66000000</v>
      </c>
      <c r="T602" s="361"/>
      <c r="U602" s="367">
        <v>44866</v>
      </c>
      <c r="V602" s="367">
        <v>45230</v>
      </c>
      <c r="W602" s="361" t="s">
        <v>250</v>
      </c>
      <c r="X602" s="361"/>
      <c r="Y602" s="361"/>
      <c r="Z602" s="361"/>
      <c r="AA602" s="361"/>
      <c r="AB602" s="361"/>
      <c r="AC602" s="159"/>
      <c r="AD602" s="361" t="s">
        <v>2292</v>
      </c>
      <c r="AE602" s="364">
        <v>4500018896</v>
      </c>
      <c r="AF602" s="364"/>
      <c r="AG602" s="361"/>
      <c r="AH602" s="361"/>
      <c r="AI602" s="361"/>
      <c r="AJ602" s="361"/>
      <c r="AK602" s="361"/>
      <c r="AL602" s="361"/>
      <c r="AM602" s="361"/>
      <c r="AN602" s="361"/>
      <c r="AO602" s="361"/>
      <c r="AP602" s="361"/>
      <c r="AQ602" s="361"/>
      <c r="AR602" s="503"/>
      <c r="AS602" s="489"/>
      <c r="AT602" s="160"/>
      <c r="AU602" s="355"/>
    </row>
    <row r="603" spans="1:47" s="124" customFormat="1" ht="21.75" hidden="1" customHeight="1">
      <c r="A603" s="331">
        <v>602</v>
      </c>
      <c r="B603" s="361" t="s">
        <v>165</v>
      </c>
      <c r="C603" s="361" t="s">
        <v>2293</v>
      </c>
      <c r="D603" s="436" t="s">
        <v>1701</v>
      </c>
      <c r="E603" s="361" t="str">
        <f t="shared" si="9"/>
        <v>LOSS</v>
      </c>
      <c r="F603" s="361"/>
      <c r="G603" s="361"/>
      <c r="H603" s="28" t="s">
        <v>261</v>
      </c>
      <c r="I603" s="361" t="s">
        <v>243</v>
      </c>
      <c r="J603" s="361" t="s">
        <v>2294</v>
      </c>
      <c r="K603" s="361"/>
      <c r="L603" s="361"/>
      <c r="M603" s="361"/>
      <c r="N603" s="361"/>
      <c r="O603" s="374" t="s">
        <v>115</v>
      </c>
      <c r="P603" s="409">
        <v>84000000</v>
      </c>
      <c r="Q603" s="361"/>
      <c r="R603" s="410" t="s">
        <v>115</v>
      </c>
      <c r="S603" s="409">
        <v>36000000</v>
      </c>
      <c r="T603" s="361"/>
      <c r="U603" s="367">
        <v>44896</v>
      </c>
      <c r="V603" s="367">
        <v>45260</v>
      </c>
      <c r="W603" s="361" t="s">
        <v>250</v>
      </c>
      <c r="X603" s="361"/>
      <c r="Y603" s="361"/>
      <c r="Z603" s="361"/>
      <c r="AA603" s="361"/>
      <c r="AB603" s="361"/>
      <c r="AC603" s="159"/>
      <c r="AD603" s="361" t="s">
        <v>2295</v>
      </c>
      <c r="AE603" s="364">
        <v>4500018893</v>
      </c>
      <c r="AF603" s="364"/>
      <c r="AG603" s="361"/>
      <c r="AH603" s="361"/>
      <c r="AI603" s="361"/>
      <c r="AJ603" s="361"/>
      <c r="AK603" s="361"/>
      <c r="AL603" s="361"/>
      <c r="AM603" s="361"/>
      <c r="AN603" s="361"/>
      <c r="AO603" s="361"/>
      <c r="AP603" s="361"/>
      <c r="AQ603" s="361"/>
      <c r="AR603" s="503"/>
      <c r="AS603" s="489"/>
      <c r="AT603" s="160"/>
      <c r="AU603" s="355"/>
    </row>
    <row r="604" spans="1:47" s="124" customFormat="1" ht="21.75" hidden="1" customHeight="1">
      <c r="A604" s="331">
        <v>603</v>
      </c>
      <c r="B604" s="361" t="s">
        <v>450</v>
      </c>
      <c r="C604" s="361" t="s">
        <v>2296</v>
      </c>
      <c r="D604" s="435" t="s">
        <v>1410</v>
      </c>
      <c r="E604" s="361" t="str">
        <f t="shared" si="9"/>
        <v>LOSS</v>
      </c>
      <c r="F604" s="361"/>
      <c r="G604" s="361"/>
      <c r="H604" s="28" t="s">
        <v>261</v>
      </c>
      <c r="I604" s="361" t="s">
        <v>243</v>
      </c>
      <c r="J604" s="361" t="s">
        <v>1656</v>
      </c>
      <c r="K604" s="361"/>
      <c r="L604" s="361"/>
      <c r="M604" s="361"/>
      <c r="N604" s="361"/>
      <c r="O604" s="374" t="s">
        <v>115</v>
      </c>
      <c r="P604" s="409">
        <v>162000000</v>
      </c>
      <c r="Q604" s="361"/>
      <c r="R604" s="410" t="s">
        <v>115</v>
      </c>
      <c r="S604" s="409">
        <v>102000000</v>
      </c>
      <c r="T604" s="361"/>
      <c r="U604" s="367">
        <v>44850</v>
      </c>
      <c r="V604" s="367">
        <v>45214</v>
      </c>
      <c r="W604" s="361" t="s">
        <v>250</v>
      </c>
      <c r="X604" s="361"/>
      <c r="Y604" s="361"/>
      <c r="Z604" s="361"/>
      <c r="AA604" s="361"/>
      <c r="AB604" s="361"/>
      <c r="AC604" s="159"/>
      <c r="AD604" s="361" t="s">
        <v>2297</v>
      </c>
      <c r="AE604" s="364">
        <v>4500018886</v>
      </c>
      <c r="AF604" s="364"/>
      <c r="AG604" s="361"/>
      <c r="AH604" s="361"/>
      <c r="AI604" s="361"/>
      <c r="AJ604" s="361"/>
      <c r="AK604" s="361"/>
      <c r="AL604" s="361"/>
      <c r="AM604" s="361"/>
      <c r="AN604" s="361"/>
      <c r="AO604" s="361"/>
      <c r="AP604" s="361"/>
      <c r="AQ604" s="361"/>
      <c r="AR604" s="503"/>
      <c r="AS604" s="489"/>
      <c r="AT604" s="160"/>
      <c r="AU604" s="355"/>
    </row>
    <row r="605" spans="1:47" s="124" customFormat="1" ht="21.75" hidden="1" customHeight="1">
      <c r="A605" s="331">
        <v>604</v>
      </c>
      <c r="B605" s="361" t="s">
        <v>71</v>
      </c>
      <c r="C605" s="361" t="s">
        <v>615</v>
      </c>
      <c r="D605" s="436" t="s">
        <v>850</v>
      </c>
      <c r="E605" s="361" t="str">
        <f t="shared" si="9"/>
        <v>LOSS</v>
      </c>
      <c r="F605" s="361"/>
      <c r="G605" s="361"/>
      <c r="H605" s="361" t="s">
        <v>327</v>
      </c>
      <c r="I605" s="361" t="s">
        <v>242</v>
      </c>
      <c r="J605" s="361" t="s">
        <v>2298</v>
      </c>
      <c r="K605" s="365"/>
      <c r="L605" s="361"/>
      <c r="M605" s="361"/>
      <c r="N605" s="361"/>
      <c r="O605" s="370">
        <v>5000000</v>
      </c>
      <c r="P605" s="409">
        <v>659700000</v>
      </c>
      <c r="Q605" s="361"/>
      <c r="R605" s="409">
        <v>1500000</v>
      </c>
      <c r="S605" s="409">
        <v>18000000</v>
      </c>
      <c r="T605" s="361"/>
      <c r="U605" s="367">
        <v>44824</v>
      </c>
      <c r="V605" s="367">
        <v>45188</v>
      </c>
      <c r="W605" s="361" t="s">
        <v>250</v>
      </c>
      <c r="X605" s="361"/>
      <c r="Y605" s="361"/>
      <c r="Z605" s="361"/>
      <c r="AA605" s="361"/>
      <c r="AB605" s="361"/>
      <c r="AC605" s="159"/>
      <c r="AD605" s="361" t="s">
        <v>2299</v>
      </c>
      <c r="AE605" s="364">
        <v>4500018909</v>
      </c>
      <c r="AF605" s="364"/>
      <c r="AG605" s="361"/>
      <c r="AH605" s="365"/>
      <c r="AI605" s="361"/>
      <c r="AJ605" s="361"/>
      <c r="AK605" s="361"/>
      <c r="AL605" s="361"/>
      <c r="AM605" s="361"/>
      <c r="AN605" s="361"/>
      <c r="AO605" s="361"/>
      <c r="AP605" s="361"/>
      <c r="AQ605" s="361"/>
      <c r="AR605" s="503"/>
      <c r="AS605" s="489"/>
      <c r="AT605" s="160"/>
      <c r="AU605" s="355"/>
    </row>
    <row r="606" spans="1:47" s="124" customFormat="1" ht="21.75" hidden="1" customHeight="1">
      <c r="A606" s="331">
        <v>605</v>
      </c>
      <c r="B606" s="361" t="s">
        <v>2300</v>
      </c>
      <c r="C606" s="361" t="s">
        <v>1915</v>
      </c>
      <c r="D606" s="435" t="s">
        <v>2301</v>
      </c>
      <c r="E606" s="361" t="str">
        <f t="shared" si="9"/>
        <v>LOSS</v>
      </c>
      <c r="F606" s="361"/>
      <c r="G606" s="361"/>
      <c r="H606" s="361" t="s">
        <v>327</v>
      </c>
      <c r="I606" s="361" t="s">
        <v>346</v>
      </c>
      <c r="J606" s="361" t="s">
        <v>2302</v>
      </c>
      <c r="K606" s="365"/>
      <c r="L606" s="361"/>
      <c r="M606" s="361"/>
      <c r="N606" s="361"/>
      <c r="O606" s="374" t="s">
        <v>115</v>
      </c>
      <c r="P606" s="409">
        <v>60000000</v>
      </c>
      <c r="Q606" s="361"/>
      <c r="R606" s="410" t="s">
        <v>115</v>
      </c>
      <c r="S606" s="409">
        <v>8250000</v>
      </c>
      <c r="T606" s="361"/>
      <c r="U606" s="367">
        <v>44896</v>
      </c>
      <c r="V606" s="367">
        <v>45260</v>
      </c>
      <c r="W606" s="361" t="s">
        <v>250</v>
      </c>
      <c r="X606" s="361"/>
      <c r="Y606" s="361"/>
      <c r="Z606" s="361"/>
      <c r="AA606" s="361"/>
      <c r="AB606" s="361"/>
      <c r="AC606" s="159"/>
      <c r="AD606" s="361" t="s">
        <v>2303</v>
      </c>
      <c r="AE606" s="364">
        <v>4500019427</v>
      </c>
      <c r="AF606" s="364"/>
      <c r="AG606" s="361"/>
      <c r="AH606" s="365"/>
      <c r="AI606" s="361"/>
      <c r="AJ606" s="361"/>
      <c r="AK606" s="361"/>
      <c r="AL606" s="361"/>
      <c r="AM606" s="361"/>
      <c r="AN606" s="361"/>
      <c r="AO606" s="361"/>
      <c r="AP606" s="361"/>
      <c r="AQ606" s="361"/>
      <c r="AR606" s="503"/>
      <c r="AS606" s="489"/>
      <c r="AT606" s="160"/>
      <c r="AU606" s="355"/>
    </row>
    <row r="607" spans="1:47" s="124" customFormat="1" ht="21.75" hidden="1" customHeight="1">
      <c r="A607" s="331">
        <v>606</v>
      </c>
      <c r="B607" s="28" t="s">
        <v>179</v>
      </c>
      <c r="C607" s="361" t="s">
        <v>1192</v>
      </c>
      <c r="D607" s="436" t="s">
        <v>2145</v>
      </c>
      <c r="E607" s="361" t="str">
        <f t="shared" si="9"/>
        <v>LOSS</v>
      </c>
      <c r="F607" s="361"/>
      <c r="G607" s="361"/>
      <c r="H607" s="361" t="s">
        <v>327</v>
      </c>
      <c r="I607" s="160" t="s">
        <v>346</v>
      </c>
      <c r="J607" s="361" t="s">
        <v>1392</v>
      </c>
      <c r="K607" s="365"/>
      <c r="L607" s="361"/>
      <c r="M607" s="361"/>
      <c r="N607" s="361"/>
      <c r="O607" s="374" t="s">
        <v>115</v>
      </c>
      <c r="P607" s="409">
        <v>2160000000</v>
      </c>
      <c r="Q607" s="361"/>
      <c r="R607" s="410" t="s">
        <v>115</v>
      </c>
      <c r="S607" s="409">
        <v>72000000</v>
      </c>
      <c r="T607" s="361"/>
      <c r="U607" s="367">
        <v>44776</v>
      </c>
      <c r="V607" s="367">
        <v>45140</v>
      </c>
      <c r="W607" s="361" t="s">
        <v>250</v>
      </c>
      <c r="X607" s="361"/>
      <c r="Y607" s="361"/>
      <c r="Z607" s="361"/>
      <c r="AA607" s="361"/>
      <c r="AB607" s="361"/>
      <c r="AC607" s="159"/>
      <c r="AD607" s="361" t="s">
        <v>2304</v>
      </c>
      <c r="AE607" s="364">
        <v>4500018766</v>
      </c>
      <c r="AF607" s="364"/>
      <c r="AG607" s="361"/>
      <c r="AH607" s="365"/>
      <c r="AI607" s="361"/>
      <c r="AJ607" s="361"/>
      <c r="AK607" s="361"/>
      <c r="AL607" s="361"/>
      <c r="AM607" s="361"/>
      <c r="AN607" s="361"/>
      <c r="AO607" s="361"/>
      <c r="AP607" s="361"/>
      <c r="AQ607" s="361"/>
      <c r="AR607" s="503"/>
      <c r="AS607" s="489"/>
      <c r="AT607" s="160"/>
      <c r="AU607" s="355"/>
    </row>
    <row r="608" spans="1:47" s="124" customFormat="1" ht="21.75" hidden="1" customHeight="1">
      <c r="A608" s="331">
        <v>607</v>
      </c>
      <c r="B608" s="28" t="s">
        <v>179</v>
      </c>
      <c r="C608" s="361" t="s">
        <v>1192</v>
      </c>
      <c r="D608" s="435" t="s">
        <v>2145</v>
      </c>
      <c r="E608" s="361" t="str">
        <f t="shared" si="9"/>
        <v>LOSS</v>
      </c>
      <c r="F608" s="361"/>
      <c r="G608" s="361"/>
      <c r="H608" s="361" t="s">
        <v>327</v>
      </c>
      <c r="I608" s="361" t="s">
        <v>242</v>
      </c>
      <c r="J608" s="361" t="s">
        <v>2305</v>
      </c>
      <c r="K608" s="365"/>
      <c r="L608" s="361"/>
      <c r="M608" s="361"/>
      <c r="N608" s="361"/>
      <c r="O608" s="374" t="s">
        <v>115</v>
      </c>
      <c r="P608" s="409">
        <v>180000000</v>
      </c>
      <c r="Q608" s="361"/>
      <c r="R608" s="410" t="s">
        <v>115</v>
      </c>
      <c r="S608" s="409">
        <v>36000000</v>
      </c>
      <c r="T608" s="361"/>
      <c r="U608" s="367">
        <v>44774</v>
      </c>
      <c r="V608" s="367">
        <v>45138</v>
      </c>
      <c r="W608" s="361" t="s">
        <v>250</v>
      </c>
      <c r="X608" s="361"/>
      <c r="Y608" s="361"/>
      <c r="Z608" s="361"/>
      <c r="AA608" s="361"/>
      <c r="AB608" s="361"/>
      <c r="AC608" s="159"/>
      <c r="AD608" s="361" t="s">
        <v>2306</v>
      </c>
      <c r="AE608" s="364">
        <v>4500018743</v>
      </c>
      <c r="AF608" s="364"/>
      <c r="AG608" s="361"/>
      <c r="AH608" s="365"/>
      <c r="AI608" s="361"/>
      <c r="AJ608" s="361"/>
      <c r="AK608" s="361"/>
      <c r="AL608" s="361"/>
      <c r="AM608" s="361"/>
      <c r="AN608" s="361"/>
      <c r="AO608" s="361"/>
      <c r="AP608" s="361"/>
      <c r="AQ608" s="361"/>
      <c r="AR608" s="503"/>
      <c r="AS608" s="489"/>
      <c r="AT608" s="160"/>
      <c r="AU608" s="355"/>
    </row>
    <row r="609" spans="1:47" s="124" customFormat="1" ht="21.75" hidden="1" customHeight="1">
      <c r="A609" s="331">
        <v>608</v>
      </c>
      <c r="B609" s="361" t="s">
        <v>69</v>
      </c>
      <c r="C609" s="361" t="s">
        <v>2307</v>
      </c>
      <c r="D609" s="436" t="s">
        <v>2308</v>
      </c>
      <c r="E609" s="361" t="str">
        <f t="shared" si="9"/>
        <v>LOSS</v>
      </c>
      <c r="F609" s="361"/>
      <c r="G609" s="361"/>
      <c r="H609" s="28" t="s">
        <v>261</v>
      </c>
      <c r="I609" s="361" t="s">
        <v>243</v>
      </c>
      <c r="J609" s="361" t="s">
        <v>70</v>
      </c>
      <c r="K609" s="361"/>
      <c r="L609" s="361"/>
      <c r="M609" s="361"/>
      <c r="N609" s="361"/>
      <c r="O609" s="374" t="s">
        <v>115</v>
      </c>
      <c r="P609" s="409">
        <v>420000000</v>
      </c>
      <c r="Q609" s="361"/>
      <c r="R609" s="410" t="s">
        <v>115</v>
      </c>
      <c r="S609" s="409">
        <v>9000000</v>
      </c>
      <c r="T609" s="361"/>
      <c r="U609" s="367">
        <v>44749</v>
      </c>
      <c r="V609" s="367">
        <v>45113</v>
      </c>
      <c r="W609" s="361" t="s">
        <v>250</v>
      </c>
      <c r="X609" s="361"/>
      <c r="Y609" s="361"/>
      <c r="Z609" s="361"/>
      <c r="AA609" s="361"/>
      <c r="AB609" s="361"/>
      <c r="AC609" s="159"/>
      <c r="AD609" s="361" t="s">
        <v>2309</v>
      </c>
      <c r="AE609" s="364">
        <v>4500018640</v>
      </c>
      <c r="AF609" s="364"/>
      <c r="AG609" s="361"/>
      <c r="AH609" s="361"/>
      <c r="AI609" s="361"/>
      <c r="AJ609" s="361"/>
      <c r="AK609" s="361"/>
      <c r="AL609" s="361"/>
      <c r="AM609" s="361"/>
      <c r="AN609" s="361"/>
      <c r="AO609" s="361"/>
      <c r="AP609" s="361"/>
      <c r="AQ609" s="361"/>
      <c r="AR609" s="503"/>
      <c r="AS609" s="489"/>
      <c r="AT609" s="160"/>
      <c r="AU609" s="355"/>
    </row>
    <row r="610" spans="1:47" s="124" customFormat="1" ht="21.75" hidden="1" customHeight="1">
      <c r="A610" s="331">
        <v>609</v>
      </c>
      <c r="B610" s="361" t="s">
        <v>2310</v>
      </c>
      <c r="C610" s="361" t="s">
        <v>2311</v>
      </c>
      <c r="D610" s="435" t="s">
        <v>2312</v>
      </c>
      <c r="E610" s="361" t="str">
        <f t="shared" si="9"/>
        <v>LOSS</v>
      </c>
      <c r="F610" s="361"/>
      <c r="G610" s="361"/>
      <c r="H610" s="361" t="s">
        <v>327</v>
      </c>
      <c r="I610" s="160" t="s">
        <v>346</v>
      </c>
      <c r="J610" s="361" t="s">
        <v>2313</v>
      </c>
      <c r="K610" s="365"/>
      <c r="L610" s="361"/>
      <c r="M610" s="361"/>
      <c r="N610" s="361"/>
      <c r="O610" s="374" t="s">
        <v>115</v>
      </c>
      <c r="P610" s="409">
        <v>190096200</v>
      </c>
      <c r="Q610" s="361"/>
      <c r="R610" s="410" t="s">
        <v>115</v>
      </c>
      <c r="S610" s="409">
        <v>55000000</v>
      </c>
      <c r="T610" s="361"/>
      <c r="U610" s="367">
        <v>44800</v>
      </c>
      <c r="V610" s="367">
        <v>45164</v>
      </c>
      <c r="W610" s="361" t="s">
        <v>250</v>
      </c>
      <c r="X610" s="361"/>
      <c r="Y610" s="361"/>
      <c r="Z610" s="361"/>
      <c r="AA610" s="361"/>
      <c r="AB610" s="361"/>
      <c r="AC610" s="159"/>
      <c r="AD610" s="361" t="s">
        <v>2314</v>
      </c>
      <c r="AE610" s="364">
        <v>4500018794</v>
      </c>
      <c r="AF610" s="364"/>
      <c r="AG610" s="361"/>
      <c r="AH610" s="365"/>
      <c r="AI610" s="361"/>
      <c r="AJ610" s="361"/>
      <c r="AK610" s="361"/>
      <c r="AL610" s="361"/>
      <c r="AM610" s="361"/>
      <c r="AN610" s="361"/>
      <c r="AO610" s="361"/>
      <c r="AP610" s="361"/>
      <c r="AQ610" s="361"/>
      <c r="AR610" s="503"/>
      <c r="AS610" s="489"/>
      <c r="AT610" s="160"/>
      <c r="AU610" s="355"/>
    </row>
    <row r="611" spans="1:47" s="124" customFormat="1" ht="21.75" hidden="1" customHeight="1">
      <c r="A611" s="331">
        <v>610</v>
      </c>
      <c r="B611" s="361" t="s">
        <v>2315</v>
      </c>
      <c r="C611" s="361" t="s">
        <v>2316</v>
      </c>
      <c r="D611" s="436" t="s">
        <v>2317</v>
      </c>
      <c r="E611" s="361" t="str">
        <f t="shared" si="9"/>
        <v>LOSS</v>
      </c>
      <c r="F611" s="361"/>
      <c r="G611" s="361"/>
      <c r="H611" s="361" t="s">
        <v>327</v>
      </c>
      <c r="I611" s="160" t="s">
        <v>346</v>
      </c>
      <c r="J611" s="361" t="s">
        <v>207</v>
      </c>
      <c r="K611" s="365"/>
      <c r="L611" s="361"/>
      <c r="M611" s="361"/>
      <c r="N611" s="376"/>
      <c r="O611" s="374" t="s">
        <v>115</v>
      </c>
      <c r="P611" s="409">
        <v>180000000</v>
      </c>
      <c r="Q611" s="361"/>
      <c r="R611" s="410" t="s">
        <v>115</v>
      </c>
      <c r="S611" s="409">
        <v>96000000</v>
      </c>
      <c r="T611" s="361"/>
      <c r="U611" s="367">
        <v>44772</v>
      </c>
      <c r="V611" s="367">
        <v>45502</v>
      </c>
      <c r="W611" s="364" t="s">
        <v>250</v>
      </c>
      <c r="X611" s="361"/>
      <c r="Y611" s="361"/>
      <c r="Z611" s="361"/>
      <c r="AA611" s="361"/>
      <c r="AB611" s="361"/>
      <c r="AC611" s="159"/>
      <c r="AD611" s="361" t="s">
        <v>2318</v>
      </c>
      <c r="AE611" s="364">
        <v>4500018528</v>
      </c>
      <c r="AF611" s="364"/>
      <c r="AG611" s="361"/>
      <c r="AH611" s="365"/>
      <c r="AI611" s="361"/>
      <c r="AJ611" s="361"/>
      <c r="AK611" s="361"/>
      <c r="AL611" s="361"/>
      <c r="AM611" s="361"/>
      <c r="AN611" s="361"/>
      <c r="AO611" s="361"/>
      <c r="AP611" s="361"/>
      <c r="AQ611" s="361"/>
      <c r="AR611" s="503"/>
      <c r="AS611" s="489"/>
      <c r="AT611" s="160"/>
      <c r="AU611" s="355"/>
    </row>
    <row r="612" spans="1:47" s="124" customFormat="1" ht="21.75" hidden="1" customHeight="1">
      <c r="A612" s="331">
        <v>611</v>
      </c>
      <c r="B612" s="361" t="s">
        <v>71</v>
      </c>
      <c r="C612" s="361" t="s">
        <v>2319</v>
      </c>
      <c r="D612" s="435" t="s">
        <v>850</v>
      </c>
      <c r="E612" s="361" t="str">
        <f t="shared" si="9"/>
        <v>LOSS</v>
      </c>
      <c r="F612" s="361"/>
      <c r="G612" s="361"/>
      <c r="H612" s="361" t="s">
        <v>327</v>
      </c>
      <c r="I612" s="361" t="s">
        <v>242</v>
      </c>
      <c r="J612" s="361" t="s">
        <v>86</v>
      </c>
      <c r="K612" s="365"/>
      <c r="L612" s="361"/>
      <c r="M612" s="361"/>
      <c r="N612" s="361"/>
      <c r="O612" s="374" t="s">
        <v>115</v>
      </c>
      <c r="P612" s="409">
        <v>39000000</v>
      </c>
      <c r="Q612" s="361"/>
      <c r="R612" s="410" t="s">
        <v>115</v>
      </c>
      <c r="S612" s="409">
        <v>18000000</v>
      </c>
      <c r="T612" s="361"/>
      <c r="U612" s="367">
        <v>44716</v>
      </c>
      <c r="V612" s="367">
        <v>45080</v>
      </c>
      <c r="W612" s="361" t="s">
        <v>250</v>
      </c>
      <c r="X612" s="361"/>
      <c r="Y612" s="361"/>
      <c r="Z612" s="361"/>
      <c r="AA612" s="361"/>
      <c r="AB612" s="361"/>
      <c r="AC612" s="159"/>
      <c r="AD612" s="361" t="s">
        <v>2320</v>
      </c>
      <c r="AE612" s="364">
        <v>4500018326</v>
      </c>
      <c r="AF612" s="364"/>
      <c r="AG612" s="361"/>
      <c r="AH612" s="365"/>
      <c r="AI612" s="361"/>
      <c r="AJ612" s="361"/>
      <c r="AK612" s="361"/>
      <c r="AL612" s="361"/>
      <c r="AM612" s="361"/>
      <c r="AN612" s="361"/>
      <c r="AO612" s="361"/>
      <c r="AP612" s="361"/>
      <c r="AQ612" s="361"/>
      <c r="AR612" s="503"/>
      <c r="AS612" s="489"/>
      <c r="AT612" s="160"/>
      <c r="AU612" s="355"/>
    </row>
    <row r="613" spans="1:47" s="124" customFormat="1" ht="21.75" hidden="1" customHeight="1">
      <c r="A613" s="331">
        <v>612</v>
      </c>
      <c r="B613" s="361" t="s">
        <v>400</v>
      </c>
      <c r="C613" s="361" t="s">
        <v>1308</v>
      </c>
      <c r="D613" s="436" t="s">
        <v>1032</v>
      </c>
      <c r="E613" s="361" t="str">
        <f t="shared" si="9"/>
        <v>LOSS</v>
      </c>
      <c r="F613" s="361"/>
      <c r="G613" s="361"/>
      <c r="H613" s="361" t="s">
        <v>327</v>
      </c>
      <c r="I613" s="160" t="s">
        <v>346</v>
      </c>
      <c r="J613" s="361" t="s">
        <v>1604</v>
      </c>
      <c r="K613" s="365"/>
      <c r="L613" s="361"/>
      <c r="M613" s="361"/>
      <c r="N613" s="361"/>
      <c r="O613" s="374" t="s">
        <v>115</v>
      </c>
      <c r="P613" s="409">
        <v>30000000</v>
      </c>
      <c r="Q613" s="361"/>
      <c r="R613" s="410" t="s">
        <v>115</v>
      </c>
      <c r="S613" s="409">
        <v>7500000</v>
      </c>
      <c r="T613" s="361"/>
      <c r="U613" s="367">
        <v>44685</v>
      </c>
      <c r="V613" s="367">
        <v>45049</v>
      </c>
      <c r="W613" s="361" t="s">
        <v>250</v>
      </c>
      <c r="X613" s="361"/>
      <c r="Y613" s="361"/>
      <c r="Z613" s="361"/>
      <c r="AA613" s="361"/>
      <c r="AB613" s="361"/>
      <c r="AC613" s="159"/>
      <c r="AD613" s="361" t="s">
        <v>2321</v>
      </c>
      <c r="AE613" s="364">
        <v>4500018381</v>
      </c>
      <c r="AF613" s="364"/>
      <c r="AG613" s="361"/>
      <c r="AH613" s="365"/>
      <c r="AI613" s="361"/>
      <c r="AJ613" s="361"/>
      <c r="AK613" s="361"/>
      <c r="AL613" s="361"/>
      <c r="AM613" s="361"/>
      <c r="AN613" s="361"/>
      <c r="AO613" s="361"/>
      <c r="AP613" s="361"/>
      <c r="AQ613" s="361"/>
      <c r="AR613" s="503"/>
      <c r="AS613" s="489"/>
      <c r="AT613" s="160"/>
      <c r="AU613" s="355"/>
    </row>
    <row r="614" spans="1:47" s="124" customFormat="1" ht="21.75" hidden="1" customHeight="1">
      <c r="A614" s="331">
        <v>613</v>
      </c>
      <c r="B614" s="361" t="s">
        <v>400</v>
      </c>
      <c r="C614" s="361" t="s">
        <v>2322</v>
      </c>
      <c r="D614" s="435" t="s">
        <v>1032</v>
      </c>
      <c r="E614" s="361" t="str">
        <f t="shared" si="9"/>
        <v>LOSS</v>
      </c>
      <c r="F614" s="361"/>
      <c r="G614" s="361"/>
      <c r="H614" s="361" t="s">
        <v>327</v>
      </c>
      <c r="I614" s="160" t="s">
        <v>346</v>
      </c>
      <c r="J614" s="361" t="s">
        <v>1867</v>
      </c>
      <c r="K614" s="365"/>
      <c r="L614" s="361"/>
      <c r="M614" s="361"/>
      <c r="N614" s="361"/>
      <c r="O614" s="374" t="s">
        <v>115</v>
      </c>
      <c r="P614" s="410" t="s">
        <v>115</v>
      </c>
      <c r="Q614" s="361"/>
      <c r="R614" s="410" t="s">
        <v>115</v>
      </c>
      <c r="S614" s="409">
        <v>7500000</v>
      </c>
      <c r="T614" s="361"/>
      <c r="U614" s="367">
        <v>44714</v>
      </c>
      <c r="V614" s="367">
        <v>45078</v>
      </c>
      <c r="W614" s="361" t="s">
        <v>250</v>
      </c>
      <c r="X614" s="361"/>
      <c r="Y614" s="361"/>
      <c r="Z614" s="361"/>
      <c r="AA614" s="361"/>
      <c r="AB614" s="361"/>
      <c r="AC614" s="159"/>
      <c r="AD614" s="361" t="s">
        <v>2323</v>
      </c>
      <c r="AE614" s="364">
        <v>4500018368</v>
      </c>
      <c r="AF614" s="364"/>
      <c r="AG614" s="361"/>
      <c r="AH614" s="365"/>
      <c r="AI614" s="361"/>
      <c r="AJ614" s="361"/>
      <c r="AK614" s="361"/>
      <c r="AL614" s="361"/>
      <c r="AM614" s="361"/>
      <c r="AN614" s="361"/>
      <c r="AO614" s="361"/>
      <c r="AP614" s="361"/>
      <c r="AQ614" s="361"/>
      <c r="AR614" s="503"/>
      <c r="AS614" s="489"/>
      <c r="AT614" s="160"/>
      <c r="AU614" s="355"/>
    </row>
    <row r="615" spans="1:47" s="124" customFormat="1" ht="21.75" hidden="1" customHeight="1">
      <c r="A615" s="331">
        <v>614</v>
      </c>
      <c r="B615" s="361" t="s">
        <v>2324</v>
      </c>
      <c r="C615" s="361" t="s">
        <v>2325</v>
      </c>
      <c r="D615" s="436" t="s">
        <v>2326</v>
      </c>
      <c r="E615" s="361" t="str">
        <f t="shared" si="9"/>
        <v>LOSS</v>
      </c>
      <c r="F615" s="361"/>
      <c r="G615" s="361"/>
      <c r="H615" s="361" t="s">
        <v>327</v>
      </c>
      <c r="I615" s="160" t="s">
        <v>346</v>
      </c>
      <c r="J615" s="361" t="s">
        <v>2327</v>
      </c>
      <c r="K615" s="365"/>
      <c r="L615" s="361"/>
      <c r="M615" s="361"/>
      <c r="N615" s="361"/>
      <c r="O615" s="374" t="s">
        <v>115</v>
      </c>
      <c r="P615" s="409">
        <v>480000000</v>
      </c>
      <c r="Q615" s="361"/>
      <c r="R615" s="410" t="s">
        <v>115</v>
      </c>
      <c r="S615" s="409">
        <v>105600000</v>
      </c>
      <c r="T615" s="361"/>
      <c r="U615" s="367">
        <v>44814</v>
      </c>
      <c r="V615" s="367">
        <v>45178</v>
      </c>
      <c r="W615" s="361" t="s">
        <v>250</v>
      </c>
      <c r="X615" s="361"/>
      <c r="Y615" s="361"/>
      <c r="Z615" s="361"/>
      <c r="AA615" s="361"/>
      <c r="AB615" s="361"/>
      <c r="AC615" s="159"/>
      <c r="AD615" s="361" t="s">
        <v>2328</v>
      </c>
      <c r="AE615" s="364">
        <v>4500018692</v>
      </c>
      <c r="AF615" s="364"/>
      <c r="AG615" s="361"/>
      <c r="AH615" s="365"/>
      <c r="AI615" s="361"/>
      <c r="AJ615" s="361"/>
      <c r="AK615" s="361"/>
      <c r="AL615" s="361"/>
      <c r="AM615" s="361"/>
      <c r="AN615" s="361"/>
      <c r="AO615" s="361"/>
      <c r="AP615" s="361"/>
      <c r="AQ615" s="361"/>
      <c r="AR615" s="503"/>
      <c r="AS615" s="489"/>
      <c r="AT615" s="160"/>
      <c r="AU615" s="355"/>
    </row>
    <row r="616" spans="1:47" s="124" customFormat="1" ht="21.75" hidden="1" customHeight="1">
      <c r="A616" s="331">
        <v>615</v>
      </c>
      <c r="B616" s="361" t="s">
        <v>1462</v>
      </c>
      <c r="C616" s="361" t="s">
        <v>684</v>
      </c>
      <c r="D616" s="435" t="s">
        <v>1464</v>
      </c>
      <c r="E616" s="361" t="str">
        <f t="shared" si="9"/>
        <v>LOSS</v>
      </c>
      <c r="F616" s="361"/>
      <c r="G616" s="361"/>
      <c r="H616" s="28" t="s">
        <v>261</v>
      </c>
      <c r="I616" s="361" t="s">
        <v>243</v>
      </c>
      <c r="J616" s="361" t="s">
        <v>2329</v>
      </c>
      <c r="K616" s="361"/>
      <c r="L616" s="361"/>
      <c r="M616" s="361"/>
      <c r="N616" s="361"/>
      <c r="O616" s="374" t="s">
        <v>115</v>
      </c>
      <c r="P616" s="409">
        <v>30000000</v>
      </c>
      <c r="Q616" s="361"/>
      <c r="R616" s="410" t="s">
        <v>115</v>
      </c>
      <c r="S616" s="409">
        <v>78000000</v>
      </c>
      <c r="T616" s="361"/>
      <c r="U616" s="367">
        <v>44866</v>
      </c>
      <c r="V616" s="367">
        <v>45230</v>
      </c>
      <c r="W616" s="361" t="s">
        <v>250</v>
      </c>
      <c r="X616" s="361"/>
      <c r="Y616" s="361"/>
      <c r="Z616" s="361"/>
      <c r="AA616" s="361"/>
      <c r="AB616" s="361"/>
      <c r="AC616" s="159"/>
      <c r="AD616" s="361" t="s">
        <v>2330</v>
      </c>
      <c r="AE616" s="364">
        <v>4500018817</v>
      </c>
      <c r="AF616" s="364"/>
      <c r="AG616" s="361"/>
      <c r="AH616" s="361"/>
      <c r="AI616" s="361"/>
      <c r="AJ616" s="361"/>
      <c r="AK616" s="361"/>
      <c r="AL616" s="361"/>
      <c r="AM616" s="361"/>
      <c r="AN616" s="361"/>
      <c r="AO616" s="361"/>
      <c r="AP616" s="361"/>
      <c r="AQ616" s="361"/>
      <c r="AR616" s="503"/>
      <c r="AS616" s="489"/>
      <c r="AT616" s="160"/>
      <c r="AU616" s="355"/>
    </row>
    <row r="617" spans="1:47" s="124" customFormat="1" ht="21.75" hidden="1" customHeight="1">
      <c r="A617" s="331">
        <v>616</v>
      </c>
      <c r="B617" s="361" t="s">
        <v>1043</v>
      </c>
      <c r="C617" s="361" t="s">
        <v>2331</v>
      </c>
      <c r="D617" s="436" t="s">
        <v>1578</v>
      </c>
      <c r="E617" s="361" t="str">
        <f t="shared" si="9"/>
        <v>LOSS</v>
      </c>
      <c r="F617" s="361"/>
      <c r="G617" s="361"/>
      <c r="H617" s="28" t="s">
        <v>261</v>
      </c>
      <c r="I617" s="361" t="s">
        <v>243</v>
      </c>
      <c r="J617" s="361" t="s">
        <v>2332</v>
      </c>
      <c r="K617" s="361"/>
      <c r="L617" s="361"/>
      <c r="M617" s="361"/>
      <c r="N617" s="361"/>
      <c r="O617" s="374" t="s">
        <v>115</v>
      </c>
      <c r="P617" s="409">
        <v>474000000</v>
      </c>
      <c r="Q617" s="361"/>
      <c r="R617" s="410" t="s">
        <v>115</v>
      </c>
      <c r="S617" s="409">
        <v>19150000</v>
      </c>
      <c r="T617" s="361"/>
      <c r="U617" s="367">
        <v>44812</v>
      </c>
      <c r="V617" s="367">
        <v>45176</v>
      </c>
      <c r="W617" s="361" t="s">
        <v>250</v>
      </c>
      <c r="X617" s="361"/>
      <c r="Y617" s="361"/>
      <c r="Z617" s="361"/>
      <c r="AA617" s="361"/>
      <c r="AB617" s="361"/>
      <c r="AC617" s="159"/>
      <c r="AD617" s="361" t="s">
        <v>2333</v>
      </c>
      <c r="AE617" s="364">
        <v>4500018772</v>
      </c>
      <c r="AF617" s="364"/>
      <c r="AG617" s="361"/>
      <c r="AH617" s="361"/>
      <c r="AI617" s="361"/>
      <c r="AJ617" s="361"/>
      <c r="AK617" s="361"/>
      <c r="AL617" s="361"/>
      <c r="AM617" s="361"/>
      <c r="AN617" s="361"/>
      <c r="AO617" s="361"/>
      <c r="AP617" s="361"/>
      <c r="AQ617" s="361"/>
      <c r="AR617" s="503"/>
      <c r="AS617" s="489"/>
      <c r="AT617" s="160"/>
      <c r="AU617" s="355"/>
    </row>
    <row r="618" spans="1:47" s="124" customFormat="1" ht="21.75" hidden="1" customHeight="1">
      <c r="A618" s="331">
        <v>617</v>
      </c>
      <c r="B618" s="361" t="s">
        <v>1659</v>
      </c>
      <c r="C618" s="361" t="s">
        <v>624</v>
      </c>
      <c r="D618" s="435" t="s">
        <v>2334</v>
      </c>
      <c r="E618" s="361" t="str">
        <f t="shared" si="9"/>
        <v>LOSS</v>
      </c>
      <c r="F618" s="361"/>
      <c r="G618" s="361"/>
      <c r="H618" s="28" t="s">
        <v>261</v>
      </c>
      <c r="I618" s="361" t="s">
        <v>243</v>
      </c>
      <c r="J618" s="361" t="s">
        <v>2335</v>
      </c>
      <c r="K618" s="361"/>
      <c r="L618" s="361"/>
      <c r="M618" s="361"/>
      <c r="N618" s="361"/>
      <c r="O618" s="374" t="s">
        <v>115</v>
      </c>
      <c r="P618" s="409">
        <v>60000000</v>
      </c>
      <c r="Q618" s="361"/>
      <c r="R618" s="410" t="s">
        <v>115</v>
      </c>
      <c r="S618" s="409">
        <v>48000000</v>
      </c>
      <c r="T618" s="361"/>
      <c r="U618" s="367">
        <v>44905</v>
      </c>
      <c r="V618" s="367">
        <v>45208</v>
      </c>
      <c r="W618" s="361" t="s">
        <v>250</v>
      </c>
      <c r="X618" s="361"/>
      <c r="Y618" s="361"/>
      <c r="Z618" s="361"/>
      <c r="AA618" s="361"/>
      <c r="AB618" s="361"/>
      <c r="AC618" s="159"/>
      <c r="AD618" s="361" t="s">
        <v>2336</v>
      </c>
      <c r="AE618" s="364">
        <v>4500018777</v>
      </c>
      <c r="AF618" s="364"/>
      <c r="AG618" s="361"/>
      <c r="AH618" s="361"/>
      <c r="AI618" s="361"/>
      <c r="AJ618" s="361"/>
      <c r="AK618" s="361"/>
      <c r="AL618" s="361"/>
      <c r="AM618" s="361"/>
      <c r="AN618" s="361"/>
      <c r="AO618" s="361"/>
      <c r="AP618" s="361"/>
      <c r="AQ618" s="361"/>
      <c r="AR618" s="503"/>
      <c r="AS618" s="489"/>
      <c r="AT618" s="160"/>
      <c r="AU618" s="355"/>
    </row>
    <row r="619" spans="1:47" s="124" customFormat="1" ht="21.75" hidden="1" customHeight="1">
      <c r="A619" s="331">
        <v>618</v>
      </c>
      <c r="B619" s="361" t="s">
        <v>165</v>
      </c>
      <c r="C619" s="361" t="s">
        <v>1206</v>
      </c>
      <c r="D619" s="436" t="s">
        <v>1432</v>
      </c>
      <c r="E619" s="361" t="str">
        <f t="shared" si="9"/>
        <v>LOSS</v>
      </c>
      <c r="F619" s="361"/>
      <c r="G619" s="361"/>
      <c r="H619" s="28" t="s">
        <v>261</v>
      </c>
      <c r="I619" s="361" t="s">
        <v>243</v>
      </c>
      <c r="J619" s="361" t="s">
        <v>2337</v>
      </c>
      <c r="K619" s="361"/>
      <c r="L619" s="361"/>
      <c r="M619" s="361"/>
      <c r="N619" s="361"/>
      <c r="O619" s="374" t="s">
        <v>115</v>
      </c>
      <c r="P619" s="409">
        <v>8100000</v>
      </c>
      <c r="Q619" s="361"/>
      <c r="R619" s="410" t="s">
        <v>115</v>
      </c>
      <c r="S619" s="409">
        <v>4574000</v>
      </c>
      <c r="T619" s="361"/>
      <c r="U619" s="367">
        <v>44665</v>
      </c>
      <c r="V619" s="367">
        <v>45029</v>
      </c>
      <c r="W619" s="361" t="s">
        <v>250</v>
      </c>
      <c r="X619" s="361"/>
      <c r="Y619" s="361"/>
      <c r="Z619" s="361"/>
      <c r="AA619" s="361"/>
      <c r="AB619" s="361"/>
      <c r="AC619" s="159"/>
      <c r="AD619" s="361" t="s">
        <v>2338</v>
      </c>
      <c r="AE619" s="364">
        <v>4500018776</v>
      </c>
      <c r="AF619" s="364"/>
      <c r="AG619" s="361"/>
      <c r="AH619" s="361"/>
      <c r="AI619" s="361"/>
      <c r="AJ619" s="361"/>
      <c r="AK619" s="361"/>
      <c r="AL619" s="361"/>
      <c r="AM619" s="361"/>
      <c r="AN619" s="361"/>
      <c r="AO619" s="361"/>
      <c r="AP619" s="361"/>
      <c r="AQ619" s="361"/>
      <c r="AR619" s="503"/>
      <c r="AS619" s="489"/>
      <c r="AT619" s="160"/>
      <c r="AU619" s="355"/>
    </row>
    <row r="620" spans="1:47" s="124" customFormat="1" ht="21.75" hidden="1" customHeight="1">
      <c r="A620" s="331">
        <v>619</v>
      </c>
      <c r="B620" s="361" t="s">
        <v>1043</v>
      </c>
      <c r="C620" s="361" t="s">
        <v>2339</v>
      </c>
      <c r="D620" s="435" t="s">
        <v>1578</v>
      </c>
      <c r="E620" s="361" t="str">
        <f t="shared" si="9"/>
        <v>LOSS</v>
      </c>
      <c r="F620" s="361"/>
      <c r="G620" s="361"/>
      <c r="H620" s="28" t="s">
        <v>261</v>
      </c>
      <c r="I620" s="361" t="s">
        <v>243</v>
      </c>
      <c r="J620" s="361" t="s">
        <v>1298</v>
      </c>
      <c r="K620" s="361"/>
      <c r="L620" s="361"/>
      <c r="M620" s="361"/>
      <c r="N620" s="361"/>
      <c r="O620" s="374" t="s">
        <v>115</v>
      </c>
      <c r="P620" s="409">
        <v>115200000</v>
      </c>
      <c r="Q620" s="361"/>
      <c r="R620" s="410" t="s">
        <v>115</v>
      </c>
      <c r="S620" s="409">
        <v>67992000</v>
      </c>
      <c r="T620" s="361"/>
      <c r="U620" s="367">
        <v>44751</v>
      </c>
      <c r="V620" s="367">
        <v>45115</v>
      </c>
      <c r="W620" s="361" t="s">
        <v>250</v>
      </c>
      <c r="X620" s="361"/>
      <c r="Y620" s="361"/>
      <c r="Z620" s="361"/>
      <c r="AA620" s="361"/>
      <c r="AB620" s="361"/>
      <c r="AC620" s="159"/>
      <c r="AD620" s="361" t="s">
        <v>2340</v>
      </c>
      <c r="AE620" s="364">
        <v>4500018399</v>
      </c>
      <c r="AF620" s="364"/>
      <c r="AG620" s="361"/>
      <c r="AH620" s="361"/>
      <c r="AI620" s="361"/>
      <c r="AJ620" s="361"/>
      <c r="AK620" s="361"/>
      <c r="AL620" s="361"/>
      <c r="AM620" s="361"/>
      <c r="AN620" s="361"/>
      <c r="AO620" s="361"/>
      <c r="AP620" s="361"/>
      <c r="AQ620" s="361"/>
      <c r="AR620" s="503"/>
      <c r="AS620" s="489"/>
      <c r="AT620" s="160"/>
      <c r="AU620" s="355"/>
    </row>
    <row r="621" spans="1:47" s="124" customFormat="1" ht="21.75" hidden="1" customHeight="1">
      <c r="A621" s="331">
        <v>620</v>
      </c>
      <c r="B621" s="361" t="s">
        <v>165</v>
      </c>
      <c r="C621" s="361" t="s">
        <v>2341</v>
      </c>
      <c r="D621" s="436" t="s">
        <v>1432</v>
      </c>
      <c r="E621" s="361" t="str">
        <f t="shared" si="9"/>
        <v>LOSS</v>
      </c>
      <c r="F621" s="361"/>
      <c r="G621" s="361"/>
      <c r="H621" s="28" t="s">
        <v>261</v>
      </c>
      <c r="I621" s="361" t="s">
        <v>243</v>
      </c>
      <c r="J621" s="361" t="s">
        <v>2342</v>
      </c>
      <c r="K621" s="361"/>
      <c r="L621" s="361"/>
      <c r="M621" s="361"/>
      <c r="N621" s="361"/>
      <c r="O621" s="374" t="s">
        <v>115</v>
      </c>
      <c r="P621" s="409">
        <v>37207000</v>
      </c>
      <c r="Q621" s="361"/>
      <c r="R621" s="410" t="s">
        <v>115</v>
      </c>
      <c r="S621" s="409">
        <v>25200000</v>
      </c>
      <c r="T621" s="361"/>
      <c r="U621" s="367">
        <v>44743</v>
      </c>
      <c r="V621" s="367">
        <v>45107</v>
      </c>
      <c r="W621" s="361" t="s">
        <v>250</v>
      </c>
      <c r="X621" s="361"/>
      <c r="Y621" s="361"/>
      <c r="Z621" s="361"/>
      <c r="AA621" s="361"/>
      <c r="AB621" s="361"/>
      <c r="AC621" s="159"/>
      <c r="AD621" s="361" t="s">
        <v>2343</v>
      </c>
      <c r="AE621" s="364">
        <v>4500018397</v>
      </c>
      <c r="AF621" s="364"/>
      <c r="AG621" s="361"/>
      <c r="AH621" s="361"/>
      <c r="AI621" s="361"/>
      <c r="AJ621" s="361"/>
      <c r="AK621" s="361"/>
      <c r="AL621" s="361"/>
      <c r="AM621" s="361"/>
      <c r="AN621" s="361"/>
      <c r="AO621" s="361"/>
      <c r="AP621" s="361"/>
      <c r="AQ621" s="361"/>
      <c r="AR621" s="503"/>
      <c r="AS621" s="489"/>
      <c r="AT621" s="160"/>
      <c r="AU621" s="355"/>
    </row>
    <row r="622" spans="1:47" s="124" customFormat="1" ht="21.75" hidden="1" customHeight="1">
      <c r="A622" s="331">
        <v>621</v>
      </c>
      <c r="B622" s="361" t="s">
        <v>2344</v>
      </c>
      <c r="C622" s="361" t="s">
        <v>2345</v>
      </c>
      <c r="D622" s="435" t="s">
        <v>1492</v>
      </c>
      <c r="E622" s="361" t="str">
        <f t="shared" si="9"/>
        <v>LOSS</v>
      </c>
      <c r="F622" s="361"/>
      <c r="G622" s="361"/>
      <c r="H622" s="361" t="s">
        <v>327</v>
      </c>
      <c r="I622" s="361" t="s">
        <v>242</v>
      </c>
      <c r="J622" s="361" t="s">
        <v>2346</v>
      </c>
      <c r="K622" s="365"/>
      <c r="L622" s="361"/>
      <c r="M622" s="361"/>
      <c r="N622" s="361"/>
      <c r="O622" s="374">
        <v>2500000</v>
      </c>
      <c r="P622" s="409">
        <v>48000000</v>
      </c>
      <c r="Q622" s="361"/>
      <c r="R622" s="409">
        <v>500000</v>
      </c>
      <c r="S622" s="409">
        <v>5040000</v>
      </c>
      <c r="T622" s="361"/>
      <c r="U622" s="367">
        <v>44769</v>
      </c>
      <c r="V622" s="367">
        <v>45133</v>
      </c>
      <c r="W622" s="361" t="s">
        <v>250</v>
      </c>
      <c r="X622" s="361"/>
      <c r="Y622" s="361"/>
      <c r="Z622" s="361"/>
      <c r="AA622" s="361"/>
      <c r="AB622" s="361"/>
      <c r="AC622" s="159"/>
      <c r="AD622" s="361" t="s">
        <v>2347</v>
      </c>
      <c r="AE622" s="364">
        <v>4500018439</v>
      </c>
      <c r="AF622" s="364"/>
      <c r="AG622" s="361"/>
      <c r="AH622" s="365"/>
      <c r="AI622" s="361"/>
      <c r="AJ622" s="361"/>
      <c r="AK622" s="361"/>
      <c r="AL622" s="361"/>
      <c r="AM622" s="361"/>
      <c r="AN622" s="361"/>
      <c r="AO622" s="361"/>
      <c r="AP622" s="361"/>
      <c r="AQ622" s="361"/>
      <c r="AR622" s="503"/>
      <c r="AS622" s="489"/>
      <c r="AT622" s="160"/>
      <c r="AU622" s="355"/>
    </row>
    <row r="623" spans="1:47" s="124" customFormat="1" ht="21.75" hidden="1" customHeight="1">
      <c r="A623" s="331">
        <v>622</v>
      </c>
      <c r="B623" s="361" t="s">
        <v>1914</v>
      </c>
      <c r="C623" s="361" t="s">
        <v>1915</v>
      </c>
      <c r="D623" s="441"/>
      <c r="E623" s="361" t="str">
        <f t="shared" si="9"/>
        <v>LOSS</v>
      </c>
      <c r="F623" s="361"/>
      <c r="G623" s="361"/>
      <c r="H623" s="361" t="s">
        <v>327</v>
      </c>
      <c r="I623" s="160" t="s">
        <v>346</v>
      </c>
      <c r="J623" s="361" t="s">
        <v>2348</v>
      </c>
      <c r="K623" s="365"/>
      <c r="L623" s="361"/>
      <c r="M623" s="361"/>
      <c r="N623" s="361"/>
      <c r="O623" s="374" t="s">
        <v>115</v>
      </c>
      <c r="P623" s="409">
        <v>50400000</v>
      </c>
      <c r="Q623" s="361"/>
      <c r="R623" s="410" t="s">
        <v>115</v>
      </c>
      <c r="S623" s="409">
        <v>28429000</v>
      </c>
      <c r="T623" s="361"/>
      <c r="U623" s="367">
        <v>44645</v>
      </c>
      <c r="V623" s="367">
        <v>45009</v>
      </c>
      <c r="W623" s="361" t="s">
        <v>250</v>
      </c>
      <c r="X623" s="361"/>
      <c r="Y623" s="361"/>
      <c r="Z623" s="361"/>
      <c r="AA623" s="361"/>
      <c r="AB623" s="361"/>
      <c r="AC623" s="159"/>
      <c r="AD623" s="361" t="s">
        <v>1918</v>
      </c>
      <c r="AE623" s="364">
        <v>4500017899</v>
      </c>
      <c r="AF623" s="364"/>
      <c r="AG623" s="361"/>
      <c r="AH623" s="365"/>
      <c r="AI623" s="361"/>
      <c r="AJ623" s="361"/>
      <c r="AK623" s="361"/>
      <c r="AL623" s="361"/>
      <c r="AM623" s="361"/>
      <c r="AN623" s="361"/>
      <c r="AO623" s="361"/>
      <c r="AP623" s="361"/>
      <c r="AQ623" s="361"/>
      <c r="AR623" s="503"/>
      <c r="AS623" s="489"/>
      <c r="AT623" s="160"/>
      <c r="AU623" s="355"/>
    </row>
    <row r="624" spans="1:47" s="124" customFormat="1" ht="21.75" hidden="1" customHeight="1">
      <c r="A624" s="331">
        <v>623</v>
      </c>
      <c r="B624" s="361" t="s">
        <v>71</v>
      </c>
      <c r="C624" s="361" t="s">
        <v>2349</v>
      </c>
      <c r="D624" s="435" t="s">
        <v>850</v>
      </c>
      <c r="E624" s="361" t="str">
        <f t="shared" si="9"/>
        <v>LOSS</v>
      </c>
      <c r="F624" s="361"/>
      <c r="G624" s="361"/>
      <c r="H624" s="361" t="s">
        <v>327</v>
      </c>
      <c r="I624" s="160" t="s">
        <v>346</v>
      </c>
      <c r="J624" s="361" t="s">
        <v>79</v>
      </c>
      <c r="K624" s="365"/>
      <c r="L624" s="361"/>
      <c r="M624" s="361"/>
      <c r="N624" s="361"/>
      <c r="O624" s="374" t="s">
        <v>115</v>
      </c>
      <c r="P624" s="409">
        <v>60000000</v>
      </c>
      <c r="Q624" s="361"/>
      <c r="R624" s="410" t="s">
        <v>115</v>
      </c>
      <c r="S624" s="409">
        <v>18000000</v>
      </c>
      <c r="T624" s="361"/>
      <c r="U624" s="367">
        <v>44736</v>
      </c>
      <c r="V624" s="367">
        <v>45100</v>
      </c>
      <c r="W624" s="361" t="s">
        <v>250</v>
      </c>
      <c r="X624" s="361"/>
      <c r="Y624" s="361"/>
      <c r="Z624" s="361"/>
      <c r="AA624" s="361"/>
      <c r="AB624" s="361"/>
      <c r="AC624" s="159"/>
      <c r="AD624" s="368"/>
      <c r="AE624" s="364">
        <v>4500018254</v>
      </c>
      <c r="AF624" s="364"/>
      <c r="AG624" s="361"/>
      <c r="AH624" s="365"/>
      <c r="AI624" s="361"/>
      <c r="AJ624" s="361"/>
      <c r="AK624" s="361"/>
      <c r="AL624" s="361"/>
      <c r="AM624" s="361"/>
      <c r="AN624" s="361"/>
      <c r="AO624" s="361"/>
      <c r="AP624" s="361"/>
      <c r="AQ624" s="361"/>
      <c r="AR624" s="503"/>
      <c r="AS624" s="489"/>
      <c r="AT624" s="160"/>
      <c r="AU624" s="355"/>
    </row>
    <row r="625" spans="1:47" s="124" customFormat="1" ht="21.75" hidden="1" customHeight="1">
      <c r="A625" s="331">
        <v>624</v>
      </c>
      <c r="B625" s="361" t="s">
        <v>71</v>
      </c>
      <c r="C625" s="361" t="s">
        <v>2349</v>
      </c>
      <c r="D625" s="436" t="s">
        <v>850</v>
      </c>
      <c r="E625" s="361" t="str">
        <f t="shared" si="9"/>
        <v>LOSS</v>
      </c>
      <c r="F625" s="361"/>
      <c r="G625" s="361"/>
      <c r="H625" s="361" t="s">
        <v>327</v>
      </c>
      <c r="I625" s="160" t="s">
        <v>346</v>
      </c>
      <c r="J625" s="361" t="s">
        <v>81</v>
      </c>
      <c r="K625" s="365"/>
      <c r="L625" s="361"/>
      <c r="M625" s="361"/>
      <c r="N625" s="361"/>
      <c r="O625" s="374" t="s">
        <v>115</v>
      </c>
      <c r="P625" s="409">
        <v>168000000</v>
      </c>
      <c r="Q625" s="361"/>
      <c r="R625" s="410" t="s">
        <v>115</v>
      </c>
      <c r="S625" s="409">
        <v>18000000</v>
      </c>
      <c r="T625" s="361"/>
      <c r="U625" s="367">
        <v>44736</v>
      </c>
      <c r="V625" s="367">
        <v>45100</v>
      </c>
      <c r="W625" s="361" t="s">
        <v>250</v>
      </c>
      <c r="X625" s="361"/>
      <c r="Y625" s="361"/>
      <c r="Z625" s="361"/>
      <c r="AA625" s="361"/>
      <c r="AB625" s="361"/>
      <c r="AC625" s="159"/>
      <c r="AD625" s="361" t="s">
        <v>2350</v>
      </c>
      <c r="AE625" s="364">
        <v>4500018225</v>
      </c>
      <c r="AF625" s="364"/>
      <c r="AG625" s="361"/>
      <c r="AH625" s="365"/>
      <c r="AI625" s="361"/>
      <c r="AJ625" s="361"/>
      <c r="AK625" s="361"/>
      <c r="AL625" s="361"/>
      <c r="AM625" s="361"/>
      <c r="AN625" s="361"/>
      <c r="AO625" s="361"/>
      <c r="AP625" s="361"/>
      <c r="AQ625" s="361"/>
      <c r="AR625" s="503"/>
      <c r="AS625" s="489"/>
      <c r="AT625" s="160"/>
      <c r="AU625" s="355"/>
    </row>
    <row r="626" spans="1:47" s="124" customFormat="1" ht="21.75" hidden="1" customHeight="1">
      <c r="A626" s="331">
        <v>625</v>
      </c>
      <c r="B626" s="361" t="s">
        <v>71</v>
      </c>
      <c r="C626" s="361" t="s">
        <v>2241</v>
      </c>
      <c r="D626" s="438" t="s">
        <v>850</v>
      </c>
      <c r="E626" s="361" t="str">
        <f t="shared" si="9"/>
        <v>LOSS</v>
      </c>
      <c r="F626" s="361"/>
      <c r="G626" s="361"/>
      <c r="H626" s="361" t="s">
        <v>327</v>
      </c>
      <c r="I626" s="361" t="s">
        <v>242</v>
      </c>
      <c r="J626" s="361" t="s">
        <v>1882</v>
      </c>
      <c r="K626" s="365"/>
      <c r="L626" s="361"/>
      <c r="M626" s="361"/>
      <c r="N626" s="361"/>
      <c r="O626" s="370">
        <v>19500000</v>
      </c>
      <c r="P626" s="409">
        <v>180000000</v>
      </c>
      <c r="Q626" s="361"/>
      <c r="R626" s="410" t="s">
        <v>115</v>
      </c>
      <c r="S626" s="409">
        <v>54000000</v>
      </c>
      <c r="T626" s="361"/>
      <c r="U626" s="367">
        <v>44778</v>
      </c>
      <c r="V626" s="367">
        <v>45050</v>
      </c>
      <c r="W626" s="361" t="s">
        <v>250</v>
      </c>
      <c r="X626" s="361"/>
      <c r="Y626" s="361"/>
      <c r="Z626" s="361"/>
      <c r="AA626" s="361"/>
      <c r="AB626" s="361"/>
      <c r="AC626" s="159"/>
      <c r="AD626" s="361" t="s">
        <v>2351</v>
      </c>
      <c r="AE626" s="364">
        <v>4500018256</v>
      </c>
      <c r="AF626" s="364"/>
      <c r="AG626" s="361"/>
      <c r="AH626" s="365"/>
      <c r="AI626" s="361"/>
      <c r="AJ626" s="361"/>
      <c r="AK626" s="361"/>
      <c r="AL626" s="361"/>
      <c r="AM626" s="361"/>
      <c r="AN626" s="361"/>
      <c r="AO626" s="361"/>
      <c r="AP626" s="361"/>
      <c r="AQ626" s="361"/>
      <c r="AR626" s="503"/>
      <c r="AS626" s="489"/>
      <c r="AT626" s="160"/>
      <c r="AU626" s="355"/>
    </row>
    <row r="627" spans="1:47" s="124" customFormat="1" ht="21.75" hidden="1" customHeight="1">
      <c r="A627" s="331">
        <v>626</v>
      </c>
      <c r="B627" s="28" t="s">
        <v>114</v>
      </c>
      <c r="C627" s="361" t="s">
        <v>2352</v>
      </c>
      <c r="D627" s="436" t="s">
        <v>764</v>
      </c>
      <c r="E627" s="361" t="str">
        <f t="shared" si="9"/>
        <v>LOSS</v>
      </c>
      <c r="F627" s="361"/>
      <c r="G627" s="361"/>
      <c r="H627" s="361" t="s">
        <v>327</v>
      </c>
      <c r="I627" s="361" t="s">
        <v>242</v>
      </c>
      <c r="J627" s="361"/>
      <c r="K627" s="365"/>
      <c r="L627" s="361"/>
      <c r="M627" s="361"/>
      <c r="N627" s="361"/>
      <c r="O627" s="374">
        <v>208400000</v>
      </c>
      <c r="P627" s="409">
        <v>2500800000</v>
      </c>
      <c r="Q627" s="361"/>
      <c r="R627" s="410" t="s">
        <v>115</v>
      </c>
      <c r="S627" s="409">
        <v>1164000000</v>
      </c>
      <c r="T627" s="361"/>
      <c r="U627" s="367">
        <v>44652</v>
      </c>
      <c r="V627" s="367">
        <v>45016</v>
      </c>
      <c r="W627" s="361" t="s">
        <v>250</v>
      </c>
      <c r="X627" s="361"/>
      <c r="Y627" s="361"/>
      <c r="Z627" s="361"/>
      <c r="AA627" s="361"/>
      <c r="AB627" s="361"/>
      <c r="AC627" s="159"/>
      <c r="AD627" s="361" t="s">
        <v>2353</v>
      </c>
      <c r="AE627" s="364">
        <v>4500018004</v>
      </c>
      <c r="AF627" s="364"/>
      <c r="AG627" s="361"/>
      <c r="AH627" s="365"/>
      <c r="AI627" s="361"/>
      <c r="AJ627" s="361"/>
      <c r="AK627" s="361"/>
      <c r="AL627" s="361"/>
      <c r="AM627" s="361"/>
      <c r="AN627" s="361"/>
      <c r="AO627" s="361"/>
      <c r="AP627" s="361"/>
      <c r="AQ627" s="361"/>
      <c r="AR627" s="503"/>
      <c r="AS627" s="489"/>
      <c r="AT627" s="160"/>
      <c r="AU627" s="355"/>
    </row>
    <row r="628" spans="1:47" s="124" customFormat="1" ht="21.75" hidden="1" customHeight="1">
      <c r="A628" s="331">
        <v>627</v>
      </c>
      <c r="B628" s="361" t="s">
        <v>400</v>
      </c>
      <c r="C628" s="361" t="s">
        <v>2354</v>
      </c>
      <c r="D628" s="435" t="s">
        <v>1032</v>
      </c>
      <c r="E628" s="361" t="str">
        <f t="shared" si="9"/>
        <v>LOSS</v>
      </c>
      <c r="F628" s="361"/>
      <c r="G628" s="361"/>
      <c r="H628" s="361" t="s">
        <v>327</v>
      </c>
      <c r="I628" s="160" t="s">
        <v>346</v>
      </c>
      <c r="J628" s="361" t="s">
        <v>1200</v>
      </c>
      <c r="K628" s="365"/>
      <c r="L628" s="361"/>
      <c r="M628" s="361"/>
      <c r="N628" s="361"/>
      <c r="O628" s="374" t="s">
        <v>115</v>
      </c>
      <c r="P628" s="409">
        <v>780000000</v>
      </c>
      <c r="Q628" s="361"/>
      <c r="R628" s="410" t="s">
        <v>115</v>
      </c>
      <c r="S628" s="409">
        <v>42500000</v>
      </c>
      <c r="T628" s="361"/>
      <c r="U628" s="367">
        <v>44691</v>
      </c>
      <c r="V628" s="367">
        <v>45055</v>
      </c>
      <c r="W628" s="361" t="s">
        <v>250</v>
      </c>
      <c r="X628" s="361"/>
      <c r="Y628" s="361"/>
      <c r="Z628" s="361"/>
      <c r="AA628" s="361"/>
      <c r="AB628" s="361"/>
      <c r="AC628" s="159"/>
      <c r="AD628" s="361" t="s">
        <v>2355</v>
      </c>
      <c r="AE628" s="364">
        <v>4500018222</v>
      </c>
      <c r="AF628" s="364"/>
      <c r="AG628" s="361"/>
      <c r="AH628" s="365"/>
      <c r="AI628" s="361"/>
      <c r="AJ628" s="361"/>
      <c r="AK628" s="361"/>
      <c r="AL628" s="361"/>
      <c r="AM628" s="361"/>
      <c r="AN628" s="361"/>
      <c r="AO628" s="361"/>
      <c r="AP628" s="361"/>
      <c r="AQ628" s="361"/>
      <c r="AR628" s="503"/>
      <c r="AS628" s="489"/>
      <c r="AT628" s="160"/>
      <c r="AU628" s="355"/>
    </row>
    <row r="629" spans="1:47" s="124" customFormat="1" ht="21.75" hidden="1" customHeight="1">
      <c r="A629" s="331">
        <v>628</v>
      </c>
      <c r="B629" s="28" t="s">
        <v>103</v>
      </c>
      <c r="C629" s="361" t="s">
        <v>349</v>
      </c>
      <c r="D629" s="436" t="s">
        <v>2356</v>
      </c>
      <c r="E629" s="361" t="str">
        <f t="shared" si="9"/>
        <v>LOSS</v>
      </c>
      <c r="F629" s="361"/>
      <c r="G629" s="361"/>
      <c r="H629" s="361" t="s">
        <v>327</v>
      </c>
      <c r="I629" s="160" t="s">
        <v>346</v>
      </c>
      <c r="J629" s="361" t="s">
        <v>2357</v>
      </c>
      <c r="K629" s="365"/>
      <c r="L629" s="361"/>
      <c r="M629" s="361"/>
      <c r="N629" s="361"/>
      <c r="O629" s="374" t="s">
        <v>115</v>
      </c>
      <c r="P629" s="409">
        <v>34800000</v>
      </c>
      <c r="Q629" s="361"/>
      <c r="R629" s="410" t="s">
        <v>115</v>
      </c>
      <c r="S629" s="409">
        <v>10625000</v>
      </c>
      <c r="T629" s="361"/>
      <c r="U629" s="367">
        <v>44663</v>
      </c>
      <c r="V629" s="367">
        <v>45027</v>
      </c>
      <c r="W629" s="361" t="s">
        <v>250</v>
      </c>
      <c r="X629" s="361"/>
      <c r="Y629" s="361"/>
      <c r="Z629" s="361"/>
      <c r="AA629" s="361"/>
      <c r="AB629" s="361"/>
      <c r="AC629" s="159"/>
      <c r="AD629" s="361" t="s">
        <v>2358</v>
      </c>
      <c r="AE629" s="364">
        <v>4500017925</v>
      </c>
      <c r="AF629" s="364"/>
      <c r="AG629" s="361"/>
      <c r="AH629" s="365"/>
      <c r="AI629" s="361"/>
      <c r="AJ629" s="361"/>
      <c r="AK629" s="361"/>
      <c r="AL629" s="361"/>
      <c r="AM629" s="361"/>
      <c r="AN629" s="361"/>
      <c r="AO629" s="361"/>
      <c r="AP629" s="361"/>
      <c r="AQ629" s="361"/>
      <c r="AR629" s="503"/>
      <c r="AS629" s="489"/>
      <c r="AT629" s="160"/>
      <c r="AU629" s="355"/>
    </row>
    <row r="630" spans="1:47" s="124" customFormat="1" ht="21.75" hidden="1" customHeight="1">
      <c r="A630" s="331">
        <v>629</v>
      </c>
      <c r="B630" s="28" t="s">
        <v>30</v>
      </c>
      <c r="C630" s="361" t="s">
        <v>2359</v>
      </c>
      <c r="D630" s="438" t="s">
        <v>2205</v>
      </c>
      <c r="E630" s="361" t="str">
        <f t="shared" si="9"/>
        <v>LOSS</v>
      </c>
      <c r="F630" s="361"/>
      <c r="G630" s="361"/>
      <c r="H630" s="361" t="s">
        <v>327</v>
      </c>
      <c r="I630" s="29" t="s">
        <v>346</v>
      </c>
      <c r="J630" s="361" t="s">
        <v>2360</v>
      </c>
      <c r="K630" s="365"/>
      <c r="L630" s="361"/>
      <c r="M630" s="361"/>
      <c r="N630" s="361"/>
      <c r="O630" s="374" t="s">
        <v>115</v>
      </c>
      <c r="P630" s="409">
        <v>74832000</v>
      </c>
      <c r="Q630" s="361"/>
      <c r="R630" s="410" t="s">
        <v>115</v>
      </c>
      <c r="S630" s="409">
        <v>20000000</v>
      </c>
      <c r="T630" s="361"/>
      <c r="U630" s="367">
        <v>44723</v>
      </c>
      <c r="V630" s="367">
        <v>45087</v>
      </c>
      <c r="W630" s="361" t="s">
        <v>250</v>
      </c>
      <c r="X630" s="361"/>
      <c r="Y630" s="361"/>
      <c r="Z630" s="361"/>
      <c r="AA630" s="361"/>
      <c r="AB630" s="361"/>
      <c r="AC630" s="159"/>
      <c r="AD630" s="361" t="s">
        <v>2361</v>
      </c>
      <c r="AE630" s="364">
        <v>4500018283</v>
      </c>
      <c r="AF630" s="364"/>
      <c r="AG630" s="361"/>
      <c r="AH630" s="365"/>
      <c r="AI630" s="361"/>
      <c r="AJ630" s="361"/>
      <c r="AK630" s="361"/>
      <c r="AL630" s="361"/>
      <c r="AM630" s="361"/>
      <c r="AN630" s="361"/>
      <c r="AO630" s="361"/>
      <c r="AP630" s="361"/>
      <c r="AQ630" s="361"/>
      <c r="AR630" s="503"/>
      <c r="AS630" s="489"/>
      <c r="AT630" s="160"/>
      <c r="AU630" s="355"/>
    </row>
    <row r="631" spans="1:47" s="124" customFormat="1" ht="21.75" hidden="1" customHeight="1">
      <c r="A631" s="331">
        <v>630</v>
      </c>
      <c r="B631" s="361" t="s">
        <v>97</v>
      </c>
      <c r="C631" s="361" t="s">
        <v>2362</v>
      </c>
      <c r="D631" s="437" t="s">
        <v>2363</v>
      </c>
      <c r="E631" s="361" t="str">
        <f t="shared" si="9"/>
        <v>LOSS</v>
      </c>
      <c r="F631" s="361" t="s">
        <v>2364</v>
      </c>
      <c r="G631" s="361" t="s">
        <v>2365</v>
      </c>
      <c r="H631" s="361" t="s">
        <v>327</v>
      </c>
      <c r="I631" s="361" t="s">
        <v>242</v>
      </c>
      <c r="J631" s="361" t="s">
        <v>1123</v>
      </c>
      <c r="K631" s="365"/>
      <c r="L631" s="361"/>
      <c r="M631" s="361"/>
      <c r="N631" s="361"/>
      <c r="O631" s="374" t="s">
        <v>115</v>
      </c>
      <c r="P631" s="409">
        <v>143400000</v>
      </c>
      <c r="Q631" s="361"/>
      <c r="R631" s="410" t="s">
        <v>115</v>
      </c>
      <c r="S631" s="409">
        <v>12000000</v>
      </c>
      <c r="T631" s="361"/>
      <c r="U631" s="367">
        <v>44696</v>
      </c>
      <c r="V631" s="367">
        <v>45060</v>
      </c>
      <c r="W631" s="361" t="s">
        <v>250</v>
      </c>
      <c r="X631" s="361"/>
      <c r="Y631" s="34">
        <f ca="1">TODAY()</f>
        <v>46290</v>
      </c>
      <c r="Z631" s="361"/>
      <c r="AA631" s="361"/>
      <c r="AB631" s="361"/>
      <c r="AC631" s="159"/>
      <c r="AD631" s="361"/>
      <c r="AE631" s="364" t="s">
        <v>2366</v>
      </c>
      <c r="AF631" s="364" t="s">
        <v>333</v>
      </c>
      <c r="AG631" s="361" t="s">
        <v>2367</v>
      </c>
      <c r="AH631" s="365" t="s">
        <v>2368</v>
      </c>
      <c r="AI631" s="361"/>
      <c r="AJ631" s="361"/>
      <c r="AK631" s="361"/>
      <c r="AL631" s="361"/>
      <c r="AM631" s="361"/>
      <c r="AN631" s="361"/>
      <c r="AO631" s="361"/>
      <c r="AP631" s="361"/>
      <c r="AQ631" s="361"/>
      <c r="AR631" s="503"/>
      <c r="AS631" s="489"/>
      <c r="AT631" s="160"/>
      <c r="AU631" s="355"/>
    </row>
    <row r="632" spans="1:47" s="124" customFormat="1" ht="21.75" hidden="1" customHeight="1">
      <c r="A632" s="331">
        <v>631</v>
      </c>
      <c r="B632" s="361" t="s">
        <v>71</v>
      </c>
      <c r="C632" s="361" t="s">
        <v>37</v>
      </c>
      <c r="D632" s="435" t="s">
        <v>850</v>
      </c>
      <c r="E632" s="361" t="str">
        <f t="shared" si="9"/>
        <v>LOSS</v>
      </c>
      <c r="F632" s="361"/>
      <c r="G632" s="361"/>
      <c r="H632" s="361" t="s">
        <v>327</v>
      </c>
      <c r="I632" s="160" t="s">
        <v>346</v>
      </c>
      <c r="J632" s="361" t="s">
        <v>79</v>
      </c>
      <c r="K632" s="365"/>
      <c r="L632" s="361"/>
      <c r="M632" s="361"/>
      <c r="N632" s="361"/>
      <c r="O632" s="374" t="s">
        <v>115</v>
      </c>
      <c r="P632" s="409">
        <v>60000000</v>
      </c>
      <c r="Q632" s="361"/>
      <c r="R632" s="410" t="s">
        <v>115</v>
      </c>
      <c r="S632" s="409">
        <v>18000000</v>
      </c>
      <c r="T632" s="361"/>
      <c r="U632" s="367">
        <v>44728</v>
      </c>
      <c r="V632" s="367">
        <v>45092</v>
      </c>
      <c r="W632" s="361" t="s">
        <v>250</v>
      </c>
      <c r="X632" s="361"/>
      <c r="Y632" s="361"/>
      <c r="Z632" s="361"/>
      <c r="AA632" s="361"/>
      <c r="AB632" s="361"/>
      <c r="AC632" s="159"/>
      <c r="AD632" s="361" t="s">
        <v>2369</v>
      </c>
      <c r="AE632" s="364">
        <v>4500018219</v>
      </c>
      <c r="AF632" s="364"/>
      <c r="AG632" s="361"/>
      <c r="AH632" s="365"/>
      <c r="AI632" s="361"/>
      <c r="AJ632" s="361"/>
      <c r="AK632" s="361"/>
      <c r="AL632" s="361"/>
      <c r="AM632" s="361"/>
      <c r="AN632" s="361"/>
      <c r="AO632" s="361"/>
      <c r="AP632" s="361"/>
      <c r="AQ632" s="361"/>
      <c r="AR632" s="503"/>
      <c r="AS632" s="489"/>
      <c r="AT632" s="160"/>
      <c r="AU632" s="355"/>
    </row>
    <row r="633" spans="1:47" s="124" customFormat="1" ht="21.75" hidden="1" customHeight="1">
      <c r="A633" s="331">
        <v>632</v>
      </c>
      <c r="B633" s="173" t="s">
        <v>1035</v>
      </c>
      <c r="C633" s="361" t="s">
        <v>2370</v>
      </c>
      <c r="D633" s="436" t="s">
        <v>1037</v>
      </c>
      <c r="E633" s="361" t="str">
        <f t="shared" si="9"/>
        <v>LOSS</v>
      </c>
      <c r="F633" s="361"/>
      <c r="G633" s="361"/>
      <c r="H633" s="361" t="s">
        <v>327</v>
      </c>
      <c r="I633" s="160" t="s">
        <v>346</v>
      </c>
      <c r="J633" s="361" t="s">
        <v>2371</v>
      </c>
      <c r="K633" s="365"/>
      <c r="L633" s="361"/>
      <c r="M633" s="361"/>
      <c r="N633" s="361"/>
      <c r="O633" s="374" t="s">
        <v>115</v>
      </c>
      <c r="P633" s="409">
        <v>456000000</v>
      </c>
      <c r="Q633" s="361"/>
      <c r="R633" s="410" t="s">
        <v>115</v>
      </c>
      <c r="S633" s="409">
        <v>20604000</v>
      </c>
      <c r="T633" s="361"/>
      <c r="U633" s="367">
        <v>44697</v>
      </c>
      <c r="V633" s="367">
        <v>45061</v>
      </c>
      <c r="W633" s="361" t="s">
        <v>250</v>
      </c>
      <c r="X633" s="361"/>
      <c r="Y633" s="361"/>
      <c r="Z633" s="361"/>
      <c r="AA633" s="361"/>
      <c r="AB633" s="361"/>
      <c r="AC633" s="159"/>
      <c r="AD633" s="361" t="s">
        <v>2372</v>
      </c>
      <c r="AE633" s="364">
        <v>4500018014</v>
      </c>
      <c r="AF633" s="364"/>
      <c r="AG633" s="361"/>
      <c r="AH633" s="365"/>
      <c r="AI633" s="361"/>
      <c r="AJ633" s="361"/>
      <c r="AK633" s="361"/>
      <c r="AL633" s="361"/>
      <c r="AM633" s="361"/>
      <c r="AN633" s="361"/>
      <c r="AO633" s="361"/>
      <c r="AP633" s="361"/>
      <c r="AQ633" s="361"/>
      <c r="AR633" s="503"/>
      <c r="AS633" s="489"/>
      <c r="AT633" s="160"/>
      <c r="AU633" s="355"/>
    </row>
    <row r="634" spans="1:47" s="124" customFormat="1" ht="21.75" hidden="1" customHeight="1">
      <c r="A634" s="331">
        <v>633</v>
      </c>
      <c r="B634" s="361" t="s">
        <v>1081</v>
      </c>
      <c r="C634" s="361" t="s">
        <v>2373</v>
      </c>
      <c r="D634" s="435" t="s">
        <v>2374</v>
      </c>
      <c r="E634" s="361" t="str">
        <f t="shared" si="9"/>
        <v>LOSS</v>
      </c>
      <c r="F634" s="361"/>
      <c r="G634" s="361"/>
      <c r="H634" s="361" t="s">
        <v>327</v>
      </c>
      <c r="I634" s="361" t="s">
        <v>346</v>
      </c>
      <c r="J634" s="361" t="s">
        <v>1602</v>
      </c>
      <c r="K634" s="365"/>
      <c r="L634" s="361"/>
      <c r="M634" s="361"/>
      <c r="N634" s="361"/>
      <c r="O634" s="374" t="s">
        <v>115</v>
      </c>
      <c r="P634" s="409">
        <v>360000000</v>
      </c>
      <c r="Q634" s="361"/>
      <c r="R634" s="410" t="s">
        <v>115</v>
      </c>
      <c r="S634" s="409">
        <v>23247000</v>
      </c>
      <c r="T634" s="361"/>
      <c r="U634" s="367">
        <v>44763</v>
      </c>
      <c r="V634" s="367">
        <v>45127</v>
      </c>
      <c r="W634" s="361" t="s">
        <v>250</v>
      </c>
      <c r="X634" s="361"/>
      <c r="Y634" s="361"/>
      <c r="Z634" s="361"/>
      <c r="AA634" s="361"/>
      <c r="AB634" s="361"/>
      <c r="AC634" s="159"/>
      <c r="AD634" s="361" t="s">
        <v>2375</v>
      </c>
      <c r="AE634" s="364">
        <v>4500018224</v>
      </c>
      <c r="AF634" s="364"/>
      <c r="AG634" s="361"/>
      <c r="AH634" s="365"/>
      <c r="AI634" s="361"/>
      <c r="AJ634" s="361"/>
      <c r="AK634" s="361"/>
      <c r="AL634" s="361"/>
      <c r="AM634" s="361"/>
      <c r="AN634" s="361"/>
      <c r="AO634" s="361"/>
      <c r="AP634" s="361"/>
      <c r="AQ634" s="361"/>
      <c r="AR634" s="503"/>
      <c r="AS634" s="489"/>
      <c r="AT634" s="160"/>
      <c r="AU634" s="355"/>
    </row>
    <row r="635" spans="1:47" s="124" customFormat="1" ht="21.75" hidden="1" customHeight="1">
      <c r="A635" s="331">
        <v>634</v>
      </c>
      <c r="B635" s="361" t="s">
        <v>2376</v>
      </c>
      <c r="C635" s="361" t="s">
        <v>2377</v>
      </c>
      <c r="D635" s="436" t="s">
        <v>2378</v>
      </c>
      <c r="E635" s="361" t="str">
        <f t="shared" si="9"/>
        <v>LOSS</v>
      </c>
      <c r="F635" s="361"/>
      <c r="G635" s="361"/>
      <c r="H635" s="361" t="s">
        <v>327</v>
      </c>
      <c r="I635" s="160" t="s">
        <v>346</v>
      </c>
      <c r="J635" s="361" t="s">
        <v>2379</v>
      </c>
      <c r="K635" s="365"/>
      <c r="L635" s="361"/>
      <c r="M635" s="361"/>
      <c r="N635" s="361"/>
      <c r="O635" s="374" t="s">
        <v>115</v>
      </c>
      <c r="P635" s="409">
        <v>154080000</v>
      </c>
      <c r="Q635" s="361"/>
      <c r="R635" s="410" t="s">
        <v>115</v>
      </c>
      <c r="S635" s="409">
        <v>96000000</v>
      </c>
      <c r="T635" s="361"/>
      <c r="U635" s="367">
        <v>44689</v>
      </c>
      <c r="V635" s="367">
        <v>45053</v>
      </c>
      <c r="W635" s="361" t="s">
        <v>250</v>
      </c>
      <c r="X635" s="361"/>
      <c r="Y635" s="361"/>
      <c r="Z635" s="361"/>
      <c r="AA635" s="361"/>
      <c r="AB635" s="361"/>
      <c r="AC635" s="159"/>
      <c r="AD635" s="361" t="s">
        <v>2380</v>
      </c>
      <c r="AE635" s="364">
        <v>4500018073</v>
      </c>
      <c r="AF635" s="364"/>
      <c r="AG635" s="361"/>
      <c r="AH635" s="365"/>
      <c r="AI635" s="361"/>
      <c r="AJ635" s="361"/>
      <c r="AK635" s="361"/>
      <c r="AL635" s="361"/>
      <c r="AM635" s="361"/>
      <c r="AN635" s="361"/>
      <c r="AO635" s="361"/>
      <c r="AP635" s="361"/>
      <c r="AQ635" s="361"/>
      <c r="AR635" s="503"/>
      <c r="AS635" s="489"/>
      <c r="AT635" s="160"/>
      <c r="AU635" s="355"/>
    </row>
    <row r="636" spans="1:47" s="124" customFormat="1" ht="21.75" hidden="1" customHeight="1">
      <c r="A636" s="331">
        <v>635</v>
      </c>
      <c r="B636" s="361" t="s">
        <v>2381</v>
      </c>
      <c r="C636" s="361" t="s">
        <v>2382</v>
      </c>
      <c r="D636" s="435" t="s">
        <v>2383</v>
      </c>
      <c r="E636" s="361" t="str">
        <f t="shared" si="9"/>
        <v>LOSS</v>
      </c>
      <c r="F636" s="361"/>
      <c r="G636" s="361"/>
      <c r="H636" s="28" t="s">
        <v>261</v>
      </c>
      <c r="I636" s="361" t="s">
        <v>243</v>
      </c>
      <c r="J636" s="361" t="s">
        <v>2384</v>
      </c>
      <c r="K636" s="361"/>
      <c r="L636" s="361"/>
      <c r="M636" s="361"/>
      <c r="N636" s="361"/>
      <c r="O636" s="374" t="s">
        <v>115</v>
      </c>
      <c r="P636" s="409">
        <v>45818184</v>
      </c>
      <c r="Q636" s="361"/>
      <c r="R636" s="410" t="s">
        <v>115</v>
      </c>
      <c r="S636" s="409">
        <v>60000000</v>
      </c>
      <c r="T636" s="361"/>
      <c r="U636" s="367">
        <v>44825</v>
      </c>
      <c r="V636" s="367">
        <v>45189</v>
      </c>
      <c r="W636" s="361" t="s">
        <v>250</v>
      </c>
      <c r="X636" s="361"/>
      <c r="Y636" s="361"/>
      <c r="Z636" s="361"/>
      <c r="AA636" s="361"/>
      <c r="AB636" s="361"/>
      <c r="AC636" s="159"/>
      <c r="AD636" s="361" t="s">
        <v>2385</v>
      </c>
      <c r="AE636" s="364">
        <v>4500018820</v>
      </c>
      <c r="AF636" s="364"/>
      <c r="AG636" s="361"/>
      <c r="AH636" s="361"/>
      <c r="AI636" s="361"/>
      <c r="AJ636" s="361"/>
      <c r="AK636" s="361"/>
      <c r="AL636" s="361"/>
      <c r="AM636" s="361"/>
      <c r="AN636" s="361"/>
      <c r="AO636" s="361"/>
      <c r="AP636" s="361"/>
      <c r="AQ636" s="361"/>
      <c r="AR636" s="503"/>
      <c r="AS636" s="489"/>
      <c r="AT636" s="160"/>
      <c r="AU636" s="355"/>
    </row>
    <row r="637" spans="1:47" s="124" customFormat="1" ht="21.75" hidden="1" customHeight="1">
      <c r="A637" s="331">
        <v>636</v>
      </c>
      <c r="B637" s="361" t="s">
        <v>71</v>
      </c>
      <c r="C637" s="361" t="s">
        <v>2247</v>
      </c>
      <c r="D637" s="436" t="s">
        <v>850</v>
      </c>
      <c r="E637" s="361" t="str">
        <f t="shared" si="9"/>
        <v>LOSS</v>
      </c>
      <c r="F637" s="361"/>
      <c r="G637" s="361"/>
      <c r="H637" s="361" t="s">
        <v>327</v>
      </c>
      <c r="I637" s="361" t="s">
        <v>242</v>
      </c>
      <c r="J637" s="361" t="s">
        <v>2249</v>
      </c>
      <c r="K637" s="365"/>
      <c r="L637" s="361"/>
      <c r="M637" s="361"/>
      <c r="N637" s="361"/>
      <c r="O637" s="374" t="s">
        <v>115</v>
      </c>
      <c r="P637" s="409">
        <v>54000000</v>
      </c>
      <c r="Q637" s="361"/>
      <c r="R637" s="410" t="s">
        <v>115</v>
      </c>
      <c r="S637" s="409">
        <v>18000000</v>
      </c>
      <c r="T637" s="361"/>
      <c r="U637" s="367">
        <v>44866</v>
      </c>
      <c r="V637" s="367">
        <v>45230</v>
      </c>
      <c r="W637" s="361" t="s">
        <v>250</v>
      </c>
      <c r="X637" s="361"/>
      <c r="Y637" s="361"/>
      <c r="Z637" s="361"/>
      <c r="AA637" s="361"/>
      <c r="AB637" s="361"/>
      <c r="AC637" s="159"/>
      <c r="AD637" s="361" t="s">
        <v>2386</v>
      </c>
      <c r="AE637" s="364">
        <v>4500019324</v>
      </c>
      <c r="AF637" s="364"/>
      <c r="AG637" s="361"/>
      <c r="AH637" s="365"/>
      <c r="AI637" s="361"/>
      <c r="AJ637" s="361"/>
      <c r="AK637" s="361"/>
      <c r="AL637" s="361"/>
      <c r="AM637" s="361"/>
      <c r="AN637" s="361"/>
      <c r="AO637" s="361"/>
      <c r="AP637" s="361"/>
      <c r="AQ637" s="361"/>
      <c r="AR637" s="503"/>
      <c r="AS637" s="489"/>
      <c r="AT637" s="160"/>
      <c r="AU637" s="355"/>
    </row>
    <row r="638" spans="1:47" s="124" customFormat="1" ht="21.75" hidden="1" customHeight="1">
      <c r="A638" s="331">
        <v>637</v>
      </c>
      <c r="B638" s="361" t="s">
        <v>71</v>
      </c>
      <c r="C638" s="361" t="s">
        <v>2387</v>
      </c>
      <c r="D638" s="435" t="s">
        <v>850</v>
      </c>
      <c r="E638" s="361" t="str">
        <f t="shared" si="9"/>
        <v>LOSS</v>
      </c>
      <c r="F638" s="361"/>
      <c r="G638" s="361"/>
      <c r="H638" s="361" t="s">
        <v>327</v>
      </c>
      <c r="I638" s="361" t="s">
        <v>242</v>
      </c>
      <c r="J638" s="361" t="s">
        <v>2388</v>
      </c>
      <c r="K638" s="365"/>
      <c r="L638" s="361"/>
      <c r="M638" s="361"/>
      <c r="N638" s="361"/>
      <c r="O638" s="374" t="s">
        <v>115</v>
      </c>
      <c r="P638" s="409">
        <v>324000000</v>
      </c>
      <c r="Q638" s="361"/>
      <c r="R638" s="410" t="s">
        <v>115</v>
      </c>
      <c r="S638" s="409">
        <v>36000000</v>
      </c>
      <c r="T638" s="361"/>
      <c r="U638" s="367">
        <v>44860</v>
      </c>
      <c r="V638" s="367">
        <v>45224</v>
      </c>
      <c r="W638" s="361" t="s">
        <v>250</v>
      </c>
      <c r="X638" s="361"/>
      <c r="Y638" s="361"/>
      <c r="Z638" s="361"/>
      <c r="AA638" s="361"/>
      <c r="AB638" s="361"/>
      <c r="AC638" s="159"/>
      <c r="AD638" s="361" t="s">
        <v>2389</v>
      </c>
      <c r="AE638" s="364">
        <v>4500019325</v>
      </c>
      <c r="AF638" s="364"/>
      <c r="AG638" s="361"/>
      <c r="AH638" s="365"/>
      <c r="AI638" s="361"/>
      <c r="AJ638" s="361"/>
      <c r="AK638" s="361"/>
      <c r="AL638" s="361"/>
      <c r="AM638" s="361"/>
      <c r="AN638" s="361"/>
      <c r="AO638" s="361"/>
      <c r="AP638" s="361"/>
      <c r="AQ638" s="361"/>
      <c r="AR638" s="503"/>
      <c r="AS638" s="489"/>
      <c r="AT638" s="160"/>
      <c r="AU638" s="355"/>
    </row>
    <row r="639" spans="1:47" s="124" customFormat="1" ht="21.75" hidden="1" customHeight="1">
      <c r="A639" s="331">
        <v>638</v>
      </c>
      <c r="B639" s="28" t="s">
        <v>44</v>
      </c>
      <c r="C639" s="361" t="s">
        <v>1366</v>
      </c>
      <c r="D639" s="436" t="s">
        <v>1032</v>
      </c>
      <c r="E639" s="361" t="str">
        <f t="shared" si="9"/>
        <v>LOSS</v>
      </c>
      <c r="F639" s="361"/>
      <c r="G639" s="361"/>
      <c r="H639" s="361" t="s">
        <v>327</v>
      </c>
      <c r="I639" s="160" t="s">
        <v>346</v>
      </c>
      <c r="J639" s="361"/>
      <c r="K639" s="365"/>
      <c r="L639" s="361"/>
      <c r="M639" s="361"/>
      <c r="N639" s="361"/>
      <c r="O639" s="374" t="s">
        <v>115</v>
      </c>
      <c r="P639" s="410" t="s">
        <v>115</v>
      </c>
      <c r="Q639" s="361"/>
      <c r="R639" s="410" t="s">
        <v>115</v>
      </c>
      <c r="S639" s="409">
        <v>12000000</v>
      </c>
      <c r="T639" s="361"/>
      <c r="U639" s="367">
        <v>44863</v>
      </c>
      <c r="V639" s="367">
        <v>45227</v>
      </c>
      <c r="W639" s="361" t="s">
        <v>250</v>
      </c>
      <c r="X639" s="361"/>
      <c r="Y639" s="361"/>
      <c r="Z639" s="361"/>
      <c r="AA639" s="361"/>
      <c r="AB639" s="361"/>
      <c r="AC639" s="159"/>
      <c r="AD639" s="368"/>
      <c r="AE639" s="364">
        <v>4500019399</v>
      </c>
      <c r="AF639" s="364"/>
      <c r="AG639" s="361"/>
      <c r="AH639" s="365"/>
      <c r="AI639" s="361"/>
      <c r="AJ639" s="361"/>
      <c r="AK639" s="361"/>
      <c r="AL639" s="361"/>
      <c r="AM639" s="361"/>
      <c r="AN639" s="361"/>
      <c r="AO639" s="361"/>
      <c r="AP639" s="361"/>
      <c r="AQ639" s="361"/>
      <c r="AR639" s="503"/>
      <c r="AS639" s="489"/>
      <c r="AT639" s="160"/>
      <c r="AU639" s="355"/>
    </row>
    <row r="640" spans="1:47" s="124" customFormat="1" ht="21.75" hidden="1" customHeight="1">
      <c r="A640" s="331">
        <v>639</v>
      </c>
      <c r="B640" s="361" t="s">
        <v>450</v>
      </c>
      <c r="C640" s="361" t="s">
        <v>748</v>
      </c>
      <c r="D640" s="435" t="s">
        <v>1410</v>
      </c>
      <c r="E640" s="361" t="str">
        <f t="shared" si="9"/>
        <v>LOSS</v>
      </c>
      <c r="F640" s="361"/>
      <c r="G640" s="361"/>
      <c r="H640" s="361" t="s">
        <v>327</v>
      </c>
      <c r="I640" s="160" t="s">
        <v>346</v>
      </c>
      <c r="J640" s="361" t="s">
        <v>2390</v>
      </c>
      <c r="K640" s="365"/>
      <c r="L640" s="361"/>
      <c r="M640" s="361"/>
      <c r="N640" s="361"/>
      <c r="O640" s="374" t="s">
        <v>115</v>
      </c>
      <c r="P640" s="409">
        <v>154800000</v>
      </c>
      <c r="Q640" s="361"/>
      <c r="R640" s="410" t="s">
        <v>115</v>
      </c>
      <c r="S640" s="409">
        <v>2500008</v>
      </c>
      <c r="T640" s="361"/>
      <c r="U640" s="367">
        <v>44884</v>
      </c>
      <c r="V640" s="367">
        <v>45248</v>
      </c>
      <c r="W640" s="361" t="s">
        <v>250</v>
      </c>
      <c r="X640" s="361"/>
      <c r="Y640" s="361"/>
      <c r="Z640" s="361"/>
      <c r="AA640" s="361"/>
      <c r="AB640" s="361"/>
      <c r="AC640" s="159"/>
      <c r="AD640" s="368"/>
      <c r="AE640" s="364">
        <v>4500019400</v>
      </c>
      <c r="AF640" s="364"/>
      <c r="AG640" s="361"/>
      <c r="AH640" s="365"/>
      <c r="AI640" s="361"/>
      <c r="AJ640" s="361"/>
      <c r="AK640" s="361"/>
      <c r="AL640" s="361"/>
      <c r="AM640" s="361"/>
      <c r="AN640" s="361"/>
      <c r="AO640" s="361"/>
      <c r="AP640" s="361"/>
      <c r="AQ640" s="361"/>
      <c r="AR640" s="503"/>
      <c r="AS640" s="489"/>
      <c r="AT640" s="160"/>
      <c r="AU640" s="355"/>
    </row>
    <row r="641" spans="1:47" s="124" customFormat="1" ht="21.75" hidden="1" customHeight="1">
      <c r="A641" s="331">
        <v>640</v>
      </c>
      <c r="B641" s="361" t="s">
        <v>2391</v>
      </c>
      <c r="C641" s="361" t="s">
        <v>2392</v>
      </c>
      <c r="D641" s="437" t="s">
        <v>2393</v>
      </c>
      <c r="E641" s="361" t="str">
        <f t="shared" si="9"/>
        <v>LOSS</v>
      </c>
      <c r="F641" s="361"/>
      <c r="G641" s="361"/>
      <c r="H641" s="361" t="s">
        <v>327</v>
      </c>
      <c r="I641" s="160" t="s">
        <v>346</v>
      </c>
      <c r="J641" s="361" t="s">
        <v>2394</v>
      </c>
      <c r="K641" s="365"/>
      <c r="L641" s="361"/>
      <c r="M641" s="361"/>
      <c r="N641" s="361"/>
      <c r="O641" s="374" t="s">
        <v>115</v>
      </c>
      <c r="P641" s="409">
        <v>30545460</v>
      </c>
      <c r="Q641" s="361"/>
      <c r="R641" s="410" t="s">
        <v>115</v>
      </c>
      <c r="S641" s="409">
        <v>7500000</v>
      </c>
      <c r="T641" s="361"/>
      <c r="U641" s="367">
        <v>44896</v>
      </c>
      <c r="V641" s="367">
        <v>45260</v>
      </c>
      <c r="W641" s="361" t="s">
        <v>250</v>
      </c>
      <c r="X641" s="361"/>
      <c r="Y641" s="361"/>
      <c r="Z641" s="361"/>
      <c r="AA641" s="361"/>
      <c r="AB641" s="361"/>
      <c r="AC641" s="159"/>
      <c r="AD641" s="361" t="s">
        <v>2395</v>
      </c>
      <c r="AE641" s="364">
        <v>4500019237</v>
      </c>
      <c r="AF641" s="364"/>
      <c r="AG641" s="361"/>
      <c r="AH641" s="365"/>
      <c r="AI641" s="361"/>
      <c r="AJ641" s="361"/>
      <c r="AK641" s="361"/>
      <c r="AL641" s="361"/>
      <c r="AM641" s="361"/>
      <c r="AN641" s="361"/>
      <c r="AO641" s="361"/>
      <c r="AP641" s="361"/>
      <c r="AQ641" s="361"/>
      <c r="AR641" s="503"/>
      <c r="AS641" s="489"/>
      <c r="AT641" s="160"/>
      <c r="AU641" s="355"/>
    </row>
    <row r="642" spans="1:47" s="124" customFormat="1" ht="21.75" hidden="1" customHeight="1">
      <c r="A642" s="331">
        <v>641</v>
      </c>
      <c r="B642" s="28" t="s">
        <v>114</v>
      </c>
      <c r="C642" s="361"/>
      <c r="D642" s="435" t="s">
        <v>764</v>
      </c>
      <c r="E642" s="361" t="str">
        <f t="shared" ref="E642:E705" si="10">IF(Z642&lt;=0, "LOSS",IF(Z642&lt;=15, "CRITICAL",IF(Z642&lt;=30, "WARNING",IF(Z642&lt;60, "ATTENTION", "ON TRACK"))))</f>
        <v>LOSS</v>
      </c>
      <c r="F642" s="361"/>
      <c r="G642" s="361"/>
      <c r="H642" s="361" t="s">
        <v>327</v>
      </c>
      <c r="I642" s="160" t="s">
        <v>346</v>
      </c>
      <c r="J642" s="361"/>
      <c r="K642" s="365"/>
      <c r="L642" s="361"/>
      <c r="M642" s="361"/>
      <c r="N642" s="361"/>
      <c r="O642" s="374" t="s">
        <v>115</v>
      </c>
      <c r="P642" s="410" t="s">
        <v>115</v>
      </c>
      <c r="Q642" s="361"/>
      <c r="R642" s="410" t="s">
        <v>115</v>
      </c>
      <c r="S642" s="409">
        <v>145825000</v>
      </c>
      <c r="T642" s="361"/>
      <c r="U642" s="367">
        <v>44848</v>
      </c>
      <c r="V642" s="367">
        <v>45212</v>
      </c>
      <c r="W642" s="361" t="s">
        <v>250</v>
      </c>
      <c r="X642" s="361"/>
      <c r="Y642" s="361"/>
      <c r="Z642" s="361"/>
      <c r="AA642" s="361"/>
      <c r="AB642" s="361"/>
      <c r="AC642" s="159"/>
      <c r="AD642" s="361" t="s">
        <v>2396</v>
      </c>
      <c r="AE642" s="364">
        <v>4500019285</v>
      </c>
      <c r="AF642" s="364"/>
      <c r="AG642" s="361"/>
      <c r="AH642" s="365"/>
      <c r="AI642" s="361"/>
      <c r="AJ642" s="361"/>
      <c r="AK642" s="361"/>
      <c r="AL642" s="361"/>
      <c r="AM642" s="361"/>
      <c r="AN642" s="361"/>
      <c r="AO642" s="361"/>
      <c r="AP642" s="361"/>
      <c r="AQ642" s="361"/>
      <c r="AR642" s="503"/>
      <c r="AS642" s="489"/>
      <c r="AT642" s="160"/>
      <c r="AU642" s="355"/>
    </row>
    <row r="643" spans="1:47" s="124" customFormat="1" ht="21.75" hidden="1" customHeight="1">
      <c r="A643" s="331">
        <v>642</v>
      </c>
      <c r="B643" s="361" t="s">
        <v>2397</v>
      </c>
      <c r="C643" s="361" t="s">
        <v>2398</v>
      </c>
      <c r="D643" s="436" t="s">
        <v>2399</v>
      </c>
      <c r="E643" s="361" t="str">
        <f t="shared" si="10"/>
        <v>LOSS</v>
      </c>
      <c r="F643" s="361"/>
      <c r="G643" s="361"/>
      <c r="H643" s="361" t="s">
        <v>327</v>
      </c>
      <c r="I643" s="160" t="s">
        <v>346</v>
      </c>
      <c r="J643" s="361" t="s">
        <v>2400</v>
      </c>
      <c r="K643" s="365"/>
      <c r="L643" s="361"/>
      <c r="M643" s="361"/>
      <c r="N643" s="361"/>
      <c r="O643" s="370">
        <v>1500000</v>
      </c>
      <c r="P643" s="409">
        <v>26400000</v>
      </c>
      <c r="Q643" s="361"/>
      <c r="R643" s="410" t="s">
        <v>115</v>
      </c>
      <c r="S643" s="409">
        <v>35000006</v>
      </c>
      <c r="T643" s="361"/>
      <c r="U643" s="367">
        <v>44868</v>
      </c>
      <c r="V643" s="367">
        <v>45232</v>
      </c>
      <c r="W643" s="361" t="s">
        <v>250</v>
      </c>
      <c r="X643" s="361"/>
      <c r="Y643" s="361"/>
      <c r="Z643" s="361"/>
      <c r="AA643" s="361"/>
      <c r="AB643" s="361"/>
      <c r="AC643" s="159"/>
      <c r="AD643" s="361" t="s">
        <v>2401</v>
      </c>
      <c r="AE643" s="364">
        <v>4500019394</v>
      </c>
      <c r="AF643" s="364"/>
      <c r="AG643" s="361"/>
      <c r="AH643" s="365"/>
      <c r="AI643" s="361"/>
      <c r="AJ643" s="361"/>
      <c r="AK643" s="361"/>
      <c r="AL643" s="361"/>
      <c r="AM643" s="361"/>
      <c r="AN643" s="361"/>
      <c r="AO643" s="361"/>
      <c r="AP643" s="361"/>
      <c r="AQ643" s="361"/>
      <c r="AR643" s="503"/>
      <c r="AS643" s="489"/>
      <c r="AT643" s="160"/>
      <c r="AU643" s="355"/>
    </row>
    <row r="644" spans="1:47" s="124" customFormat="1" ht="21.75" hidden="1" customHeight="1">
      <c r="A644" s="331">
        <v>643</v>
      </c>
      <c r="B644" s="28" t="s">
        <v>179</v>
      </c>
      <c r="C644" s="361"/>
      <c r="D644" s="435" t="s">
        <v>2402</v>
      </c>
      <c r="E644" s="361" t="str">
        <f t="shared" si="10"/>
        <v>LOSS</v>
      </c>
      <c r="F644" s="361"/>
      <c r="G644" s="361"/>
      <c r="H644" s="361" t="s">
        <v>327</v>
      </c>
      <c r="I644" s="361" t="s">
        <v>242</v>
      </c>
      <c r="J644" s="361"/>
      <c r="K644" s="365"/>
      <c r="L644" s="361"/>
      <c r="M644" s="361"/>
      <c r="N644" s="361"/>
      <c r="O644" s="374" t="s">
        <v>115</v>
      </c>
      <c r="P644" s="410" t="s">
        <v>115</v>
      </c>
      <c r="Q644" s="361"/>
      <c r="R644" s="410" t="s">
        <v>115</v>
      </c>
      <c r="S644" s="409">
        <v>36000000</v>
      </c>
      <c r="T644" s="361"/>
      <c r="U644" s="367">
        <v>44840</v>
      </c>
      <c r="V644" s="367">
        <v>45204</v>
      </c>
      <c r="W644" s="361" t="s">
        <v>250</v>
      </c>
      <c r="X644" s="361"/>
      <c r="Y644" s="361"/>
      <c r="Z644" s="361"/>
      <c r="AA644" s="361"/>
      <c r="AB644" s="361"/>
      <c r="AC644" s="159"/>
      <c r="AD644" s="361" t="s">
        <v>2403</v>
      </c>
      <c r="AE644" s="364">
        <v>4500019391</v>
      </c>
      <c r="AF644" s="364"/>
      <c r="AG644" s="361"/>
      <c r="AH644" s="365"/>
      <c r="AI644" s="361"/>
      <c r="AJ644" s="361"/>
      <c r="AK644" s="361"/>
      <c r="AL644" s="361"/>
      <c r="AM644" s="361"/>
      <c r="AN644" s="361"/>
      <c r="AO644" s="361"/>
      <c r="AP644" s="361"/>
      <c r="AQ644" s="361"/>
      <c r="AR644" s="503"/>
      <c r="AS644" s="489"/>
      <c r="AT644" s="160"/>
      <c r="AU644" s="355"/>
    </row>
    <row r="645" spans="1:47" s="124" customFormat="1" ht="21.75" hidden="1" customHeight="1">
      <c r="A645" s="331">
        <v>644</v>
      </c>
      <c r="B645" s="28" t="s">
        <v>179</v>
      </c>
      <c r="C645" s="361" t="s">
        <v>1246</v>
      </c>
      <c r="D645" s="436" t="s">
        <v>2145</v>
      </c>
      <c r="E645" s="361" t="str">
        <f t="shared" si="10"/>
        <v>LOSS</v>
      </c>
      <c r="F645" s="361"/>
      <c r="G645" s="361"/>
      <c r="H645" s="361" t="s">
        <v>327</v>
      </c>
      <c r="I645" s="361" t="s">
        <v>242</v>
      </c>
      <c r="J645" s="361" t="s">
        <v>2404</v>
      </c>
      <c r="K645" s="365"/>
      <c r="L645" s="361"/>
      <c r="M645" s="361"/>
      <c r="N645" s="361"/>
      <c r="O645" s="374" t="s">
        <v>115</v>
      </c>
      <c r="P645" s="409">
        <v>240000000</v>
      </c>
      <c r="Q645" s="361"/>
      <c r="R645" s="410" t="s">
        <v>115</v>
      </c>
      <c r="S645" s="409">
        <v>36000000</v>
      </c>
      <c r="T645" s="361"/>
      <c r="U645" s="367">
        <v>44848</v>
      </c>
      <c r="V645" s="367">
        <v>45212</v>
      </c>
      <c r="W645" s="361" t="s">
        <v>250</v>
      </c>
      <c r="X645" s="361"/>
      <c r="Y645" s="361"/>
      <c r="Z645" s="361"/>
      <c r="AA645" s="361"/>
      <c r="AB645" s="361"/>
      <c r="AC645" s="159"/>
      <c r="AD645" s="361" t="s">
        <v>2405</v>
      </c>
      <c r="AE645" s="364">
        <v>4500019390</v>
      </c>
      <c r="AF645" s="364"/>
      <c r="AG645" s="361"/>
      <c r="AH645" s="365"/>
      <c r="AI645" s="361"/>
      <c r="AJ645" s="361"/>
      <c r="AK645" s="361"/>
      <c r="AL645" s="361"/>
      <c r="AM645" s="361"/>
      <c r="AN645" s="361"/>
      <c r="AO645" s="361"/>
      <c r="AP645" s="361"/>
      <c r="AQ645" s="361"/>
      <c r="AR645" s="503"/>
      <c r="AS645" s="489"/>
      <c r="AT645" s="160"/>
      <c r="AU645" s="355"/>
    </row>
    <row r="646" spans="1:47" s="124" customFormat="1" ht="21.75" hidden="1" customHeight="1">
      <c r="A646" s="331">
        <v>645</v>
      </c>
      <c r="B646" s="28" t="s">
        <v>179</v>
      </c>
      <c r="C646" s="361" t="s">
        <v>2406</v>
      </c>
      <c r="D646" s="442"/>
      <c r="E646" s="361" t="str">
        <f t="shared" si="10"/>
        <v>LOSS</v>
      </c>
      <c r="F646" s="361"/>
      <c r="G646" s="361"/>
      <c r="H646" s="361" t="s">
        <v>327</v>
      </c>
      <c r="I646" s="361" t="s">
        <v>242</v>
      </c>
      <c r="J646" s="361" t="s">
        <v>2407</v>
      </c>
      <c r="K646" s="365"/>
      <c r="L646" s="361"/>
      <c r="M646" s="361"/>
      <c r="N646" s="361"/>
      <c r="O646" s="374">
        <v>13000000</v>
      </c>
      <c r="P646" s="409">
        <v>4776000000</v>
      </c>
      <c r="Q646" s="361"/>
      <c r="R646" s="410" t="s">
        <v>115</v>
      </c>
      <c r="S646" s="409">
        <v>18000000</v>
      </c>
      <c r="T646" s="361"/>
      <c r="U646" s="367">
        <v>44881</v>
      </c>
      <c r="V646" s="367">
        <v>45245</v>
      </c>
      <c r="W646" s="361" t="s">
        <v>250</v>
      </c>
      <c r="X646" s="361"/>
      <c r="Y646" s="361"/>
      <c r="Z646" s="361"/>
      <c r="AA646" s="361"/>
      <c r="AB646" s="361"/>
      <c r="AC646" s="159"/>
      <c r="AD646" s="361" t="s">
        <v>2408</v>
      </c>
      <c r="AE646" s="364">
        <v>4500019440</v>
      </c>
      <c r="AF646" s="364"/>
      <c r="AG646" s="361"/>
      <c r="AH646" s="365"/>
      <c r="AI646" s="361"/>
      <c r="AJ646" s="361"/>
      <c r="AK646" s="361"/>
      <c r="AL646" s="361"/>
      <c r="AM646" s="361"/>
      <c r="AN646" s="361"/>
      <c r="AO646" s="361"/>
      <c r="AP646" s="361"/>
      <c r="AQ646" s="361"/>
      <c r="AR646" s="503"/>
      <c r="AS646" s="489"/>
      <c r="AT646" s="160"/>
      <c r="AU646" s="355"/>
    </row>
    <row r="647" spans="1:47" s="124" customFormat="1" ht="21.75" hidden="1" customHeight="1">
      <c r="A647" s="331">
        <v>646</v>
      </c>
      <c r="B647" s="28" t="s">
        <v>179</v>
      </c>
      <c r="C647" s="361"/>
      <c r="D647" s="436" t="s">
        <v>2145</v>
      </c>
      <c r="E647" s="361" t="str">
        <f t="shared" si="10"/>
        <v>LOSS</v>
      </c>
      <c r="F647" s="361"/>
      <c r="G647" s="361"/>
      <c r="H647" s="361" t="s">
        <v>327</v>
      </c>
      <c r="I647" s="361" t="s">
        <v>242</v>
      </c>
      <c r="J647" s="361"/>
      <c r="K647" s="365"/>
      <c r="L647" s="361"/>
      <c r="M647" s="361"/>
      <c r="N647" s="361"/>
      <c r="O647" s="374" t="s">
        <v>115</v>
      </c>
      <c r="P647" s="410" t="s">
        <v>115</v>
      </c>
      <c r="Q647" s="361"/>
      <c r="R647" s="410" t="s">
        <v>115</v>
      </c>
      <c r="S647" s="409">
        <v>18000000</v>
      </c>
      <c r="T647" s="361"/>
      <c r="U647" s="367">
        <v>44876</v>
      </c>
      <c r="V647" s="367">
        <v>45240</v>
      </c>
      <c r="W647" s="361" t="s">
        <v>250</v>
      </c>
      <c r="X647" s="361"/>
      <c r="Y647" s="361"/>
      <c r="Z647" s="361"/>
      <c r="AA647" s="361"/>
      <c r="AB647" s="361"/>
      <c r="AC647" s="159"/>
      <c r="AD647" s="361" t="s">
        <v>2409</v>
      </c>
      <c r="AE647" s="364">
        <v>4500019383</v>
      </c>
      <c r="AF647" s="364"/>
      <c r="AG647" s="361"/>
      <c r="AH647" s="365"/>
      <c r="AI647" s="361"/>
      <c r="AJ647" s="361"/>
      <c r="AK647" s="361"/>
      <c r="AL647" s="361"/>
      <c r="AM647" s="361"/>
      <c r="AN647" s="361"/>
      <c r="AO647" s="361"/>
      <c r="AP647" s="361"/>
      <c r="AQ647" s="361"/>
      <c r="AR647" s="503"/>
      <c r="AS647" s="489"/>
      <c r="AT647" s="160"/>
      <c r="AU647" s="355"/>
    </row>
    <row r="648" spans="1:47" s="124" customFormat="1" ht="21.75" hidden="1" customHeight="1">
      <c r="A648" s="331">
        <v>647</v>
      </c>
      <c r="B648" s="361" t="s">
        <v>450</v>
      </c>
      <c r="C648" s="361" t="s">
        <v>2410</v>
      </c>
      <c r="D648" s="435" t="s">
        <v>2411</v>
      </c>
      <c r="E648" s="361" t="str">
        <f t="shared" si="10"/>
        <v>LOSS</v>
      </c>
      <c r="F648" s="361"/>
      <c r="G648" s="361"/>
      <c r="H648" s="28" t="s">
        <v>261</v>
      </c>
      <c r="I648" s="361" t="s">
        <v>243</v>
      </c>
      <c r="J648" s="361" t="s">
        <v>766</v>
      </c>
      <c r="K648" s="361"/>
      <c r="L648" s="361"/>
      <c r="M648" s="361"/>
      <c r="N648" s="361"/>
      <c r="O648" s="374" t="s">
        <v>115</v>
      </c>
      <c r="P648" s="409">
        <v>348000000</v>
      </c>
      <c r="Q648" s="361"/>
      <c r="R648" s="410" t="s">
        <v>115</v>
      </c>
      <c r="S648" s="409">
        <v>180000000</v>
      </c>
      <c r="T648" s="361"/>
      <c r="U648" s="367">
        <v>44905</v>
      </c>
      <c r="V648" s="367">
        <v>45269</v>
      </c>
      <c r="W648" s="364" t="s">
        <v>250</v>
      </c>
      <c r="X648" s="361"/>
      <c r="Y648" s="361"/>
      <c r="Z648" s="361"/>
      <c r="AA648" s="361"/>
      <c r="AB648" s="361"/>
      <c r="AC648" s="159"/>
      <c r="AD648" s="361" t="s">
        <v>2412</v>
      </c>
      <c r="AE648" s="364">
        <v>4500019393</v>
      </c>
      <c r="AF648" s="364"/>
      <c r="AG648" s="361"/>
      <c r="AH648" s="361"/>
      <c r="AI648" s="361"/>
      <c r="AJ648" s="361"/>
      <c r="AK648" s="361"/>
      <c r="AL648" s="361"/>
      <c r="AM648" s="361"/>
      <c r="AN648" s="361"/>
      <c r="AO648" s="361"/>
      <c r="AP648" s="361"/>
      <c r="AQ648" s="361"/>
      <c r="AR648" s="503"/>
      <c r="AS648" s="489"/>
      <c r="AT648" s="160"/>
      <c r="AU648" s="355"/>
    </row>
    <row r="649" spans="1:47" s="124" customFormat="1" ht="21.75" hidden="1" customHeight="1">
      <c r="A649" s="331">
        <v>648</v>
      </c>
      <c r="B649" s="361" t="s">
        <v>2413</v>
      </c>
      <c r="C649" s="361" t="s">
        <v>2414</v>
      </c>
      <c r="D649" s="436" t="s">
        <v>2415</v>
      </c>
      <c r="E649" s="361" t="str">
        <f t="shared" si="10"/>
        <v>LOSS</v>
      </c>
      <c r="F649" s="361"/>
      <c r="G649" s="361"/>
      <c r="H649" s="361" t="s">
        <v>327</v>
      </c>
      <c r="I649" s="160" t="s">
        <v>346</v>
      </c>
      <c r="J649" s="361" t="s">
        <v>2416</v>
      </c>
      <c r="K649" s="365"/>
      <c r="L649" s="361"/>
      <c r="M649" s="361"/>
      <c r="N649" s="361"/>
      <c r="O649" s="374" t="s">
        <v>115</v>
      </c>
      <c r="P649" s="409">
        <v>29400000</v>
      </c>
      <c r="Q649" s="361"/>
      <c r="R649" s="410" t="s">
        <v>115</v>
      </c>
      <c r="S649" s="409">
        <v>27000000</v>
      </c>
      <c r="T649" s="361"/>
      <c r="U649" s="367">
        <v>44927</v>
      </c>
      <c r="V649" s="367">
        <v>45291</v>
      </c>
      <c r="W649" s="361" t="s">
        <v>250</v>
      </c>
      <c r="X649" s="361"/>
      <c r="Y649" s="361"/>
      <c r="Z649" s="361"/>
      <c r="AA649" s="361"/>
      <c r="AB649" s="361"/>
      <c r="AC649" s="159"/>
      <c r="AD649" s="361" t="s">
        <v>2417</v>
      </c>
      <c r="AE649" s="364">
        <v>4500019527</v>
      </c>
      <c r="AF649" s="364"/>
      <c r="AG649" s="361"/>
      <c r="AH649" s="365"/>
      <c r="AI649" s="361"/>
      <c r="AJ649" s="361"/>
      <c r="AK649" s="361"/>
      <c r="AL649" s="361"/>
      <c r="AM649" s="361"/>
      <c r="AN649" s="361"/>
      <c r="AO649" s="361"/>
      <c r="AP649" s="361"/>
      <c r="AQ649" s="361"/>
      <c r="AR649" s="503"/>
      <c r="AS649" s="489"/>
      <c r="AT649" s="160"/>
      <c r="AU649" s="355"/>
    </row>
    <row r="650" spans="1:47" s="124" customFormat="1" ht="21.75" hidden="1" customHeight="1">
      <c r="A650" s="331">
        <v>649</v>
      </c>
      <c r="B650" s="159" t="s">
        <v>614</v>
      </c>
      <c r="C650" s="361" t="s">
        <v>1915</v>
      </c>
      <c r="D650" s="435" t="s">
        <v>1407</v>
      </c>
      <c r="E650" s="361" t="str">
        <f t="shared" si="10"/>
        <v>LOSS</v>
      </c>
      <c r="F650" s="361"/>
      <c r="G650" s="361"/>
      <c r="H650" s="361" t="s">
        <v>327</v>
      </c>
      <c r="I650" s="160" t="s">
        <v>346</v>
      </c>
      <c r="J650" s="361" t="s">
        <v>2418</v>
      </c>
      <c r="K650" s="365"/>
      <c r="L650" s="361"/>
      <c r="M650" s="361"/>
      <c r="N650" s="361"/>
      <c r="O650" s="374" t="s">
        <v>115</v>
      </c>
      <c r="P650" s="409">
        <v>60000000</v>
      </c>
      <c r="Q650" s="361"/>
      <c r="R650" s="410" t="s">
        <v>115</v>
      </c>
      <c r="S650" s="409">
        <v>14400000</v>
      </c>
      <c r="T650" s="361"/>
      <c r="U650" s="367">
        <v>44845</v>
      </c>
      <c r="V650" s="367">
        <v>45209</v>
      </c>
      <c r="W650" s="361" t="s">
        <v>250</v>
      </c>
      <c r="X650" s="361"/>
      <c r="Y650" s="361"/>
      <c r="Z650" s="361"/>
      <c r="AA650" s="361"/>
      <c r="AB650" s="361"/>
      <c r="AC650" s="159"/>
      <c r="AD650" s="368"/>
      <c r="AE650" s="364">
        <v>4500019289</v>
      </c>
      <c r="AF650" s="364"/>
      <c r="AG650" s="361"/>
      <c r="AH650" s="365"/>
      <c r="AI650" s="361"/>
      <c r="AJ650" s="361"/>
      <c r="AK650" s="361"/>
      <c r="AL650" s="361"/>
      <c r="AM650" s="361"/>
      <c r="AN650" s="361"/>
      <c r="AO650" s="361"/>
      <c r="AP650" s="361"/>
      <c r="AQ650" s="361"/>
      <c r="AR650" s="503"/>
      <c r="AS650" s="489"/>
      <c r="AT650" s="160"/>
      <c r="AU650" s="355"/>
    </row>
    <row r="651" spans="1:47" s="124" customFormat="1" ht="21.75" hidden="1" customHeight="1">
      <c r="A651" s="331">
        <v>650</v>
      </c>
      <c r="B651" s="361" t="s">
        <v>450</v>
      </c>
      <c r="C651" s="361" t="s">
        <v>2419</v>
      </c>
      <c r="D651" s="436" t="s">
        <v>1410</v>
      </c>
      <c r="E651" s="361" t="str">
        <f t="shared" si="10"/>
        <v>LOSS</v>
      </c>
      <c r="F651" s="361"/>
      <c r="G651" s="361"/>
      <c r="H651" s="28" t="s">
        <v>261</v>
      </c>
      <c r="I651" s="361" t="s">
        <v>243</v>
      </c>
      <c r="J651" s="361" t="s">
        <v>2420</v>
      </c>
      <c r="K651" s="361"/>
      <c r="L651" s="361"/>
      <c r="M651" s="361"/>
      <c r="N651" s="361"/>
      <c r="O651" s="374" t="s">
        <v>115</v>
      </c>
      <c r="P651" s="409">
        <v>516000000</v>
      </c>
      <c r="Q651" s="361"/>
      <c r="R651" s="410" t="s">
        <v>115</v>
      </c>
      <c r="S651" s="409">
        <v>240000000</v>
      </c>
      <c r="T651" s="361"/>
      <c r="U651" s="367">
        <v>44901</v>
      </c>
      <c r="V651" s="367">
        <v>45265</v>
      </c>
      <c r="W651" s="361" t="s">
        <v>250</v>
      </c>
      <c r="X651" s="361"/>
      <c r="Y651" s="361"/>
      <c r="Z651" s="361"/>
      <c r="AA651" s="361"/>
      <c r="AB651" s="361"/>
      <c r="AC651" s="159"/>
      <c r="AD651" s="361" t="s">
        <v>2421</v>
      </c>
      <c r="AE651" s="364">
        <v>4500019380</v>
      </c>
      <c r="AF651" s="364"/>
      <c r="AG651" s="361"/>
      <c r="AH651" s="361"/>
      <c r="AI651" s="361"/>
      <c r="AJ651" s="361"/>
      <c r="AK651" s="361"/>
      <c r="AL651" s="361"/>
      <c r="AM651" s="361"/>
      <c r="AN651" s="361"/>
      <c r="AO651" s="361"/>
      <c r="AP651" s="361"/>
      <c r="AQ651" s="361"/>
      <c r="AR651" s="503"/>
      <c r="AS651" s="489"/>
      <c r="AT651" s="160"/>
      <c r="AU651" s="355"/>
    </row>
    <row r="652" spans="1:47" s="124" customFormat="1" ht="21.75" hidden="1" customHeight="1">
      <c r="A652" s="331">
        <v>651</v>
      </c>
      <c r="B652" s="361" t="s">
        <v>450</v>
      </c>
      <c r="C652" s="361" t="s">
        <v>2422</v>
      </c>
      <c r="D652" s="435" t="s">
        <v>1410</v>
      </c>
      <c r="E652" s="361" t="str">
        <f t="shared" si="10"/>
        <v>LOSS</v>
      </c>
      <c r="F652" s="361"/>
      <c r="G652" s="361"/>
      <c r="H652" s="28" t="s">
        <v>261</v>
      </c>
      <c r="I652" s="361" t="s">
        <v>243</v>
      </c>
      <c r="J652" s="361" t="s">
        <v>1536</v>
      </c>
      <c r="K652" s="361"/>
      <c r="L652" s="361"/>
      <c r="M652" s="361"/>
      <c r="N652" s="361"/>
      <c r="O652" s="374" t="s">
        <v>115</v>
      </c>
      <c r="P652" s="409">
        <v>378000000</v>
      </c>
      <c r="Q652" s="361"/>
      <c r="R652" s="410" t="s">
        <v>115</v>
      </c>
      <c r="S652" s="409">
        <v>120000000</v>
      </c>
      <c r="T652" s="361"/>
      <c r="U652" s="367">
        <v>44562</v>
      </c>
      <c r="V652" s="367">
        <v>45291</v>
      </c>
      <c r="W652" s="361" t="s">
        <v>250</v>
      </c>
      <c r="X652" s="361"/>
      <c r="Y652" s="361"/>
      <c r="Z652" s="361"/>
      <c r="AA652" s="361"/>
      <c r="AB652" s="361"/>
      <c r="AC652" s="159"/>
      <c r="AD652" s="361" t="s">
        <v>2423</v>
      </c>
      <c r="AE652" s="364">
        <v>4500019389</v>
      </c>
      <c r="AF652" s="364"/>
      <c r="AG652" s="361"/>
      <c r="AH652" s="361"/>
      <c r="AI652" s="361"/>
      <c r="AJ652" s="361"/>
      <c r="AK652" s="361"/>
      <c r="AL652" s="361"/>
      <c r="AM652" s="361"/>
      <c r="AN652" s="361"/>
      <c r="AO652" s="361"/>
      <c r="AP652" s="361"/>
      <c r="AQ652" s="361"/>
      <c r="AR652" s="503"/>
      <c r="AS652" s="489"/>
      <c r="AT652" s="160"/>
      <c r="AU652" s="355"/>
    </row>
    <row r="653" spans="1:47" s="124" customFormat="1" ht="21.75" hidden="1" customHeight="1">
      <c r="A653" s="331">
        <v>652</v>
      </c>
      <c r="B653" s="361" t="s">
        <v>2424</v>
      </c>
      <c r="C653" s="361" t="s">
        <v>2425</v>
      </c>
      <c r="D653" s="436" t="s">
        <v>2426</v>
      </c>
      <c r="E653" s="361" t="str">
        <f t="shared" si="10"/>
        <v>LOSS</v>
      </c>
      <c r="F653" s="361"/>
      <c r="G653" s="361"/>
      <c r="H653" s="361" t="s">
        <v>327</v>
      </c>
      <c r="I653" s="160" t="s">
        <v>346</v>
      </c>
      <c r="J653" s="365">
        <v>4000069514</v>
      </c>
      <c r="K653" s="365"/>
      <c r="L653" s="361"/>
      <c r="M653" s="361"/>
      <c r="N653" s="361"/>
      <c r="O653" s="374" t="s">
        <v>115</v>
      </c>
      <c r="P653" s="409">
        <v>42000000</v>
      </c>
      <c r="Q653" s="361"/>
      <c r="R653" s="410" t="s">
        <v>115</v>
      </c>
      <c r="S653" s="409">
        <v>16500000</v>
      </c>
      <c r="T653" s="361"/>
      <c r="U653" s="367">
        <v>44867</v>
      </c>
      <c r="V653" s="367">
        <v>45231</v>
      </c>
      <c r="W653" s="361" t="s">
        <v>250</v>
      </c>
      <c r="X653" s="361"/>
      <c r="Y653" s="361"/>
      <c r="Z653" s="361"/>
      <c r="AA653" s="361"/>
      <c r="AB653" s="361"/>
      <c r="AC653" s="159"/>
      <c r="AD653" s="361" t="s">
        <v>2427</v>
      </c>
      <c r="AE653" s="364">
        <v>4500019423</v>
      </c>
      <c r="AF653" s="364"/>
      <c r="AG653" s="361"/>
      <c r="AH653" s="365"/>
      <c r="AI653" s="361"/>
      <c r="AJ653" s="361"/>
      <c r="AK653" s="361"/>
      <c r="AL653" s="361"/>
      <c r="AM653" s="361"/>
      <c r="AN653" s="361"/>
      <c r="AO653" s="361"/>
      <c r="AP653" s="361"/>
      <c r="AQ653" s="361"/>
      <c r="AR653" s="503"/>
      <c r="AS653" s="489"/>
      <c r="AT653" s="160"/>
      <c r="AU653" s="355"/>
    </row>
    <row r="654" spans="1:47" s="124" customFormat="1" ht="21.75" hidden="1" customHeight="1">
      <c r="A654" s="331">
        <v>653</v>
      </c>
      <c r="B654" s="361" t="s">
        <v>2428</v>
      </c>
      <c r="C654" s="361" t="s">
        <v>2429</v>
      </c>
      <c r="D654" s="435" t="s">
        <v>2430</v>
      </c>
      <c r="E654" s="361" t="str">
        <f t="shared" si="10"/>
        <v>LOSS</v>
      </c>
      <c r="F654" s="361"/>
      <c r="G654" s="361"/>
      <c r="H654" s="361" t="s">
        <v>327</v>
      </c>
      <c r="I654" s="361" t="s">
        <v>242</v>
      </c>
      <c r="J654" s="361" t="s">
        <v>2431</v>
      </c>
      <c r="K654" s="365"/>
      <c r="L654" s="361"/>
      <c r="M654" s="361"/>
      <c r="N654" s="361"/>
      <c r="O654" s="374">
        <v>3500000</v>
      </c>
      <c r="P654" s="409">
        <v>90000000</v>
      </c>
      <c r="Q654" s="361"/>
      <c r="R654" s="410" t="s">
        <v>115</v>
      </c>
      <c r="S654" s="409">
        <v>17399349</v>
      </c>
      <c r="T654" s="361"/>
      <c r="U654" s="367">
        <v>44887</v>
      </c>
      <c r="V654" s="367">
        <v>45199</v>
      </c>
      <c r="W654" s="361" t="s">
        <v>250</v>
      </c>
      <c r="X654" s="361"/>
      <c r="Y654" s="361"/>
      <c r="Z654" s="361"/>
      <c r="AA654" s="361"/>
      <c r="AB654" s="361"/>
      <c r="AC654" s="159"/>
      <c r="AD654" s="361" t="s">
        <v>2432</v>
      </c>
      <c r="AE654" s="364">
        <v>4500019453</v>
      </c>
      <c r="AF654" s="364"/>
      <c r="AG654" s="361"/>
      <c r="AH654" s="365"/>
      <c r="AI654" s="361"/>
      <c r="AJ654" s="361"/>
      <c r="AK654" s="361"/>
      <c r="AL654" s="361"/>
      <c r="AM654" s="361"/>
      <c r="AN654" s="361"/>
      <c r="AO654" s="361"/>
      <c r="AP654" s="361"/>
      <c r="AQ654" s="361"/>
      <c r="AR654" s="503"/>
      <c r="AS654" s="489"/>
      <c r="AT654" s="160"/>
      <c r="AU654" s="355"/>
    </row>
    <row r="655" spans="1:47" s="124" customFormat="1" ht="21.75" hidden="1" customHeight="1">
      <c r="A655" s="331">
        <v>654</v>
      </c>
      <c r="B655" s="28" t="s">
        <v>179</v>
      </c>
      <c r="C655" s="361" t="s">
        <v>1274</v>
      </c>
      <c r="D655" s="436" t="s">
        <v>2145</v>
      </c>
      <c r="E655" s="361" t="str">
        <f t="shared" si="10"/>
        <v>LOSS</v>
      </c>
      <c r="F655" s="361"/>
      <c r="G655" s="361"/>
      <c r="H655" s="361" t="s">
        <v>327</v>
      </c>
      <c r="I655" s="160" t="s">
        <v>346</v>
      </c>
      <c r="J655" s="361"/>
      <c r="K655" s="365"/>
      <c r="L655" s="361"/>
      <c r="M655" s="361"/>
      <c r="N655" s="361"/>
      <c r="O655" s="374" t="s">
        <v>115</v>
      </c>
      <c r="P655" s="410" t="s">
        <v>115</v>
      </c>
      <c r="Q655" s="361"/>
      <c r="R655" s="410" t="s">
        <v>115</v>
      </c>
      <c r="S655" s="409">
        <v>49500000</v>
      </c>
      <c r="T655" s="361"/>
      <c r="U655" s="367">
        <v>44753</v>
      </c>
      <c r="V655" s="367">
        <v>45117</v>
      </c>
      <c r="W655" s="361" t="s">
        <v>250</v>
      </c>
      <c r="X655" s="361"/>
      <c r="Y655" s="361"/>
      <c r="Z655" s="361"/>
      <c r="AA655" s="361"/>
      <c r="AB655" s="361"/>
      <c r="AC655" s="159"/>
      <c r="AD655" s="361" t="s">
        <v>2433</v>
      </c>
      <c r="AE655" s="364">
        <v>4500018490</v>
      </c>
      <c r="AF655" s="364"/>
      <c r="AG655" s="361"/>
      <c r="AH655" s="365"/>
      <c r="AI655" s="361"/>
      <c r="AJ655" s="361"/>
      <c r="AK655" s="361"/>
      <c r="AL655" s="361"/>
      <c r="AM655" s="361"/>
      <c r="AN655" s="361"/>
      <c r="AO655" s="361"/>
      <c r="AP655" s="361"/>
      <c r="AQ655" s="361"/>
      <c r="AR655" s="503"/>
      <c r="AS655" s="489"/>
      <c r="AT655" s="160"/>
      <c r="AU655" s="355"/>
    </row>
    <row r="656" spans="1:47" s="124" customFormat="1" ht="21.75" hidden="1" customHeight="1">
      <c r="A656" s="331">
        <v>655</v>
      </c>
      <c r="B656" s="361" t="s">
        <v>400</v>
      </c>
      <c r="C656" s="361"/>
      <c r="D656" s="435" t="s">
        <v>1032</v>
      </c>
      <c r="E656" s="361" t="str">
        <f t="shared" si="10"/>
        <v>LOSS</v>
      </c>
      <c r="F656" s="361"/>
      <c r="G656" s="361"/>
      <c r="H656" s="361" t="s">
        <v>327</v>
      </c>
      <c r="I656" s="160" t="s">
        <v>346</v>
      </c>
      <c r="J656" s="361"/>
      <c r="K656" s="365"/>
      <c r="L656" s="361"/>
      <c r="M656" s="361"/>
      <c r="N656" s="361"/>
      <c r="O656" s="374" t="s">
        <v>115</v>
      </c>
      <c r="P656" s="410" t="s">
        <v>115</v>
      </c>
      <c r="Q656" s="361"/>
      <c r="R656" s="410" t="s">
        <v>115</v>
      </c>
      <c r="S656" s="409">
        <v>17000004</v>
      </c>
      <c r="T656" s="361"/>
      <c r="U656" s="367">
        <v>44742</v>
      </c>
      <c r="V656" s="367">
        <v>45106</v>
      </c>
      <c r="W656" s="361" t="s">
        <v>250</v>
      </c>
      <c r="X656" s="361"/>
      <c r="Y656" s="361"/>
      <c r="Z656" s="361"/>
      <c r="AA656" s="361"/>
      <c r="AB656" s="361"/>
      <c r="AC656" s="159"/>
      <c r="AD656" s="361" t="s">
        <v>2434</v>
      </c>
      <c r="AE656" s="364">
        <v>4500018369</v>
      </c>
      <c r="AF656" s="364"/>
      <c r="AG656" s="361"/>
      <c r="AH656" s="365"/>
      <c r="AI656" s="361"/>
      <c r="AJ656" s="361"/>
      <c r="AK656" s="361"/>
      <c r="AL656" s="361"/>
      <c r="AM656" s="361"/>
      <c r="AN656" s="361"/>
      <c r="AO656" s="361"/>
      <c r="AP656" s="361"/>
      <c r="AQ656" s="361"/>
      <c r="AR656" s="503"/>
      <c r="AS656" s="489"/>
      <c r="AT656" s="160"/>
      <c r="AU656" s="355"/>
    </row>
    <row r="657" spans="1:47" s="124" customFormat="1" ht="21.75" hidden="1" customHeight="1">
      <c r="A657" s="331">
        <v>656</v>
      </c>
      <c r="B657" s="28" t="s">
        <v>1554</v>
      </c>
      <c r="C657" s="361" t="s">
        <v>2435</v>
      </c>
      <c r="D657" s="436" t="s">
        <v>2436</v>
      </c>
      <c r="E657" s="361" t="str">
        <f t="shared" si="10"/>
        <v>LOSS</v>
      </c>
      <c r="F657" s="361"/>
      <c r="G657" s="361"/>
      <c r="H657" s="28" t="s">
        <v>261</v>
      </c>
      <c r="I657" s="361" t="s">
        <v>243</v>
      </c>
      <c r="J657" s="361" t="s">
        <v>2437</v>
      </c>
      <c r="K657" s="361"/>
      <c r="L657" s="361"/>
      <c r="M657" s="361"/>
      <c r="N657" s="361"/>
      <c r="O657" s="370"/>
      <c r="P657" s="387">
        <v>109200000</v>
      </c>
      <c r="Q657" s="387"/>
      <c r="R657" s="387"/>
      <c r="S657" s="387">
        <v>30000000</v>
      </c>
      <c r="T657" s="387"/>
      <c r="U657" s="367">
        <v>44562</v>
      </c>
      <c r="V657" s="367">
        <v>44926</v>
      </c>
      <c r="W657" s="361" t="s">
        <v>250</v>
      </c>
      <c r="X657" s="361"/>
      <c r="Y657" s="361"/>
      <c r="Z657" s="361"/>
      <c r="AA657" s="361"/>
      <c r="AB657" s="361"/>
      <c r="AC657" s="159"/>
      <c r="AD657" s="361" t="s">
        <v>2438</v>
      </c>
      <c r="AE657" s="364">
        <v>4500018115</v>
      </c>
      <c r="AF657" s="364"/>
      <c r="AG657" s="361"/>
      <c r="AH657" s="361"/>
      <c r="AI657" s="361"/>
      <c r="AJ657" s="361"/>
      <c r="AK657" s="361"/>
      <c r="AL657" s="361"/>
      <c r="AM657" s="361"/>
      <c r="AN657" s="361"/>
      <c r="AO657" s="361"/>
      <c r="AP657" s="361"/>
      <c r="AQ657" s="361"/>
      <c r="AR657" s="503"/>
      <c r="AS657" s="489"/>
      <c r="AT657" s="160"/>
      <c r="AU657" s="355"/>
    </row>
    <row r="658" spans="1:47" s="124" customFormat="1" ht="21.75" hidden="1" customHeight="1">
      <c r="A658" s="331">
        <v>657</v>
      </c>
      <c r="B658" s="361" t="s">
        <v>2439</v>
      </c>
      <c r="C658" s="361" t="s">
        <v>2440</v>
      </c>
      <c r="D658" s="435" t="s">
        <v>2441</v>
      </c>
      <c r="E658" s="361" t="str">
        <f t="shared" si="10"/>
        <v>LOSS</v>
      </c>
      <c r="F658" s="361"/>
      <c r="G658" s="361"/>
      <c r="H658" s="28" t="s">
        <v>261</v>
      </c>
      <c r="I658" s="361" t="s">
        <v>243</v>
      </c>
      <c r="J658" s="361" t="s">
        <v>2442</v>
      </c>
      <c r="K658" s="361"/>
      <c r="L658" s="361"/>
      <c r="M658" s="361"/>
      <c r="N658" s="361"/>
      <c r="O658" s="370">
        <v>2000000</v>
      </c>
      <c r="P658" s="387">
        <v>57600000</v>
      </c>
      <c r="Q658" s="387"/>
      <c r="R658" s="387">
        <v>5000000</v>
      </c>
      <c r="S658" s="387">
        <v>162000000</v>
      </c>
      <c r="T658" s="387"/>
      <c r="U658" s="367">
        <v>44669</v>
      </c>
      <c r="V658" s="367">
        <v>45033</v>
      </c>
      <c r="W658" s="361" t="s">
        <v>250</v>
      </c>
      <c r="X658" s="361"/>
      <c r="Y658" s="361"/>
      <c r="Z658" s="361"/>
      <c r="AA658" s="361"/>
      <c r="AB658" s="361"/>
      <c r="AC658" s="159"/>
      <c r="AD658" s="368"/>
      <c r="AE658" s="364">
        <v>4500017961</v>
      </c>
      <c r="AF658" s="364"/>
      <c r="AG658" s="361"/>
      <c r="AH658" s="361"/>
      <c r="AI658" s="361"/>
      <c r="AJ658" s="361"/>
      <c r="AK658" s="361"/>
      <c r="AL658" s="361"/>
      <c r="AM658" s="361"/>
      <c r="AN658" s="361"/>
      <c r="AO658" s="361"/>
      <c r="AP658" s="361"/>
      <c r="AQ658" s="361"/>
      <c r="AR658" s="503"/>
      <c r="AS658" s="489"/>
      <c r="AT658" s="160"/>
      <c r="AU658" s="355"/>
    </row>
    <row r="659" spans="1:47" s="124" customFormat="1" ht="21.75" hidden="1" customHeight="1">
      <c r="A659" s="331">
        <v>658</v>
      </c>
      <c r="B659" s="361" t="s">
        <v>71</v>
      </c>
      <c r="C659" s="361" t="s">
        <v>2443</v>
      </c>
      <c r="D659" s="436" t="s">
        <v>2444</v>
      </c>
      <c r="E659" s="361" t="str">
        <f t="shared" si="10"/>
        <v>LOSS</v>
      </c>
      <c r="F659" s="361"/>
      <c r="G659" s="361"/>
      <c r="H659" s="361" t="s">
        <v>327</v>
      </c>
      <c r="I659" s="361" t="s">
        <v>242</v>
      </c>
      <c r="J659" s="361" t="s">
        <v>90</v>
      </c>
      <c r="K659" s="365"/>
      <c r="L659" s="361"/>
      <c r="M659" s="361"/>
      <c r="N659" s="361"/>
      <c r="O659" s="370">
        <v>5000000</v>
      </c>
      <c r="P659" s="387">
        <v>72000000</v>
      </c>
      <c r="Q659" s="387"/>
      <c r="R659" s="387">
        <v>4000000</v>
      </c>
      <c r="S659" s="387">
        <v>36000000</v>
      </c>
      <c r="T659" s="387"/>
      <c r="U659" s="367">
        <v>44711</v>
      </c>
      <c r="V659" s="367">
        <v>45075</v>
      </c>
      <c r="W659" s="361" t="s">
        <v>250</v>
      </c>
      <c r="X659" s="361"/>
      <c r="Y659" s="361"/>
      <c r="Z659" s="361"/>
      <c r="AA659" s="361"/>
      <c r="AB659" s="361"/>
      <c r="AC659" s="159"/>
      <c r="AD659" s="361" t="s">
        <v>2445</v>
      </c>
      <c r="AE659" s="364">
        <v>4500018058</v>
      </c>
      <c r="AF659" s="364"/>
      <c r="AG659" s="361"/>
      <c r="AH659" s="365"/>
      <c r="AI659" s="361"/>
      <c r="AJ659" s="361"/>
      <c r="AK659" s="361"/>
      <c r="AL659" s="361"/>
      <c r="AM659" s="361"/>
      <c r="AN659" s="361"/>
      <c r="AO659" s="361"/>
      <c r="AP659" s="361"/>
      <c r="AQ659" s="361"/>
      <c r="AR659" s="503"/>
      <c r="AS659" s="489"/>
      <c r="AT659" s="160"/>
      <c r="AU659" s="355"/>
    </row>
    <row r="660" spans="1:47" s="124" customFormat="1" ht="21.75" hidden="1" customHeight="1">
      <c r="A660" s="331">
        <v>659</v>
      </c>
      <c r="B660" s="28" t="s">
        <v>129</v>
      </c>
      <c r="C660" s="361" t="s">
        <v>2446</v>
      </c>
      <c r="D660" s="438" t="s">
        <v>2447</v>
      </c>
      <c r="E660" s="361" t="str">
        <f t="shared" si="10"/>
        <v>LOSS</v>
      </c>
      <c r="F660" s="361"/>
      <c r="G660" s="361"/>
      <c r="H660" s="361" t="s">
        <v>327</v>
      </c>
      <c r="I660" s="160" t="s">
        <v>346</v>
      </c>
      <c r="J660" s="361" t="s">
        <v>133</v>
      </c>
      <c r="K660" s="365"/>
      <c r="L660" s="361"/>
      <c r="M660" s="361"/>
      <c r="N660" s="361"/>
      <c r="O660" s="370">
        <v>5000000</v>
      </c>
      <c r="P660" s="387">
        <v>564000000</v>
      </c>
      <c r="Q660" s="387"/>
      <c r="R660" s="387"/>
      <c r="S660" s="387">
        <v>24470100</v>
      </c>
      <c r="T660" s="387"/>
      <c r="U660" s="367">
        <v>44704</v>
      </c>
      <c r="V660" s="367">
        <v>45068</v>
      </c>
      <c r="W660" s="361" t="s">
        <v>250</v>
      </c>
      <c r="X660" s="361"/>
      <c r="Y660" s="361"/>
      <c r="Z660" s="361"/>
      <c r="AA660" s="361"/>
      <c r="AB660" s="361"/>
      <c r="AC660" s="159"/>
      <c r="AD660" s="361" t="s">
        <v>2448</v>
      </c>
      <c r="AE660" s="364">
        <v>4500018065</v>
      </c>
      <c r="AF660" s="364"/>
      <c r="AG660" s="361"/>
      <c r="AH660" s="365"/>
      <c r="AI660" s="361"/>
      <c r="AJ660" s="361"/>
      <c r="AK660" s="361"/>
      <c r="AL660" s="361"/>
      <c r="AM660" s="361"/>
      <c r="AN660" s="361"/>
      <c r="AO660" s="361"/>
      <c r="AP660" s="361"/>
      <c r="AQ660" s="361"/>
      <c r="AR660" s="503"/>
      <c r="AS660" s="489"/>
      <c r="AT660" s="160"/>
      <c r="AU660" s="355"/>
    </row>
    <row r="661" spans="1:47" s="124" customFormat="1" ht="21.75" hidden="1" customHeight="1">
      <c r="A661" s="331">
        <v>660</v>
      </c>
      <c r="B661" s="159" t="s">
        <v>614</v>
      </c>
      <c r="C661" s="361" t="s">
        <v>684</v>
      </c>
      <c r="D661" s="436" t="s">
        <v>1207</v>
      </c>
      <c r="E661" s="361" t="str">
        <f t="shared" si="10"/>
        <v>LOSS</v>
      </c>
      <c r="F661" s="361"/>
      <c r="G661" s="361"/>
      <c r="H661" s="28" t="s">
        <v>261</v>
      </c>
      <c r="I661" s="361" t="s">
        <v>243</v>
      </c>
      <c r="J661" s="361" t="s">
        <v>2449</v>
      </c>
      <c r="K661" s="361"/>
      <c r="L661" s="361"/>
      <c r="M661" s="361"/>
      <c r="N661" s="361"/>
      <c r="O661" s="370">
        <v>2000000</v>
      </c>
      <c r="P661" s="387">
        <v>25200000</v>
      </c>
      <c r="Q661" s="387"/>
      <c r="R661" s="387">
        <v>5000000</v>
      </c>
      <c r="S661" s="387">
        <v>48000000</v>
      </c>
      <c r="T661" s="387"/>
      <c r="U661" s="367">
        <v>44672</v>
      </c>
      <c r="V661" s="367">
        <v>45036</v>
      </c>
      <c r="W661" s="361" t="s">
        <v>250</v>
      </c>
      <c r="X661" s="361"/>
      <c r="Y661" s="361"/>
      <c r="Z661" s="361"/>
      <c r="AA661" s="361"/>
      <c r="AB661" s="361"/>
      <c r="AC661" s="159"/>
      <c r="AD661" s="361" t="s">
        <v>2450</v>
      </c>
      <c r="AE661" s="364">
        <v>4500017837</v>
      </c>
      <c r="AF661" s="364"/>
      <c r="AG661" s="361"/>
      <c r="AH661" s="361"/>
      <c r="AI661" s="361"/>
      <c r="AJ661" s="361"/>
      <c r="AK661" s="361"/>
      <c r="AL661" s="361"/>
      <c r="AM661" s="361"/>
      <c r="AN661" s="361"/>
      <c r="AO661" s="361"/>
      <c r="AP661" s="361"/>
      <c r="AQ661" s="361"/>
      <c r="AR661" s="503"/>
      <c r="AS661" s="489"/>
      <c r="AT661" s="160"/>
      <c r="AU661" s="355"/>
    </row>
    <row r="662" spans="1:47" s="124" customFormat="1" ht="21.75" hidden="1" customHeight="1">
      <c r="A662" s="331">
        <v>661</v>
      </c>
      <c r="B662" s="361" t="s">
        <v>71</v>
      </c>
      <c r="C662" s="361" t="s">
        <v>2451</v>
      </c>
      <c r="D662" s="435" t="s">
        <v>2444</v>
      </c>
      <c r="E662" s="361" t="str">
        <f t="shared" si="10"/>
        <v>LOSS</v>
      </c>
      <c r="F662" s="361"/>
      <c r="G662" s="361"/>
      <c r="H662" s="361" t="s">
        <v>327</v>
      </c>
      <c r="I662" s="361" t="s">
        <v>242</v>
      </c>
      <c r="J662" s="361" t="s">
        <v>2452</v>
      </c>
      <c r="K662" s="365"/>
      <c r="L662" s="361"/>
      <c r="M662" s="361"/>
      <c r="N662" s="361"/>
      <c r="O662" s="370"/>
      <c r="P662" s="387">
        <v>44568000</v>
      </c>
      <c r="Q662" s="387"/>
      <c r="R662" s="387">
        <v>1500000</v>
      </c>
      <c r="S662" s="387">
        <v>18000000</v>
      </c>
      <c r="T662" s="387"/>
      <c r="U662" s="367">
        <v>44694</v>
      </c>
      <c r="V662" s="367">
        <v>45058</v>
      </c>
      <c r="W662" s="361" t="s">
        <v>250</v>
      </c>
      <c r="X662" s="361"/>
      <c r="Y662" s="361"/>
      <c r="Z662" s="361"/>
      <c r="AA662" s="361"/>
      <c r="AB662" s="361"/>
      <c r="AC662" s="159"/>
      <c r="AD662" s="361" t="s">
        <v>2453</v>
      </c>
      <c r="AE662" s="364">
        <v>4500018020</v>
      </c>
      <c r="AF662" s="364"/>
      <c r="AG662" s="361"/>
      <c r="AH662" s="365"/>
      <c r="AI662" s="361"/>
      <c r="AJ662" s="361"/>
      <c r="AK662" s="361"/>
      <c r="AL662" s="361"/>
      <c r="AM662" s="361"/>
      <c r="AN662" s="361"/>
      <c r="AO662" s="361"/>
      <c r="AP662" s="361"/>
      <c r="AQ662" s="361"/>
      <c r="AR662" s="503"/>
      <c r="AS662" s="489"/>
      <c r="AT662" s="160"/>
      <c r="AU662" s="355"/>
    </row>
    <row r="663" spans="1:47" s="124" customFormat="1" ht="21.75" hidden="1" customHeight="1">
      <c r="A663" s="331">
        <v>662</v>
      </c>
      <c r="B663" s="159" t="s">
        <v>1103</v>
      </c>
      <c r="C663" s="361" t="s">
        <v>1104</v>
      </c>
      <c r="D663" s="437" t="s">
        <v>1105</v>
      </c>
      <c r="E663" s="361" t="str">
        <f t="shared" si="10"/>
        <v>LOSS</v>
      </c>
      <c r="F663" s="361"/>
      <c r="G663" s="361"/>
      <c r="H663" s="361" t="s">
        <v>327</v>
      </c>
      <c r="I663" s="160" t="s">
        <v>346</v>
      </c>
      <c r="J663" s="361" t="s">
        <v>190</v>
      </c>
      <c r="K663" s="365"/>
      <c r="L663" s="361"/>
      <c r="M663" s="361"/>
      <c r="N663" s="361"/>
      <c r="O663" s="370"/>
      <c r="P663" s="387">
        <v>72000000</v>
      </c>
      <c r="Q663" s="387"/>
      <c r="R663" s="387"/>
      <c r="S663" s="387">
        <v>35500000</v>
      </c>
      <c r="T663" s="387"/>
      <c r="U663" s="367">
        <v>44595</v>
      </c>
      <c r="V663" s="367">
        <v>44959</v>
      </c>
      <c r="W663" s="361" t="s">
        <v>250</v>
      </c>
      <c r="X663" s="361"/>
      <c r="Y663" s="361"/>
      <c r="Z663" s="361"/>
      <c r="AA663" s="361"/>
      <c r="AB663" s="361"/>
      <c r="AC663" s="159"/>
      <c r="AD663" s="361" t="s">
        <v>2454</v>
      </c>
      <c r="AE663" s="364">
        <v>4500017749</v>
      </c>
      <c r="AF663" s="364"/>
      <c r="AG663" s="361"/>
      <c r="AH663" s="365"/>
      <c r="AI663" s="361"/>
      <c r="AJ663" s="361"/>
      <c r="AK663" s="361"/>
      <c r="AL663" s="361"/>
      <c r="AM663" s="361"/>
      <c r="AN663" s="361"/>
      <c r="AO663" s="361"/>
      <c r="AP663" s="361"/>
      <c r="AQ663" s="361"/>
      <c r="AR663" s="503"/>
      <c r="AS663" s="489"/>
      <c r="AT663" s="160"/>
      <c r="AU663" s="355"/>
    </row>
    <row r="664" spans="1:47" s="124" customFormat="1" ht="21.75" hidden="1" customHeight="1">
      <c r="A664" s="331">
        <v>663</v>
      </c>
      <c r="B664" s="28" t="s">
        <v>151</v>
      </c>
      <c r="C664" s="361" t="s">
        <v>450</v>
      </c>
      <c r="D664" s="438" t="s">
        <v>2455</v>
      </c>
      <c r="E664" s="361" t="str">
        <f t="shared" si="10"/>
        <v>LOSS</v>
      </c>
      <c r="F664" s="361"/>
      <c r="G664" s="361"/>
      <c r="H664" s="361" t="s">
        <v>327</v>
      </c>
      <c r="I664" s="160" t="s">
        <v>346</v>
      </c>
      <c r="J664" s="361" t="s">
        <v>2456</v>
      </c>
      <c r="K664" s="365"/>
      <c r="L664" s="361"/>
      <c r="M664" s="361"/>
      <c r="N664" s="361"/>
      <c r="O664" s="370"/>
      <c r="P664" s="387">
        <v>118800000</v>
      </c>
      <c r="Q664" s="387"/>
      <c r="R664" s="387"/>
      <c r="S664" s="387">
        <v>17000000</v>
      </c>
      <c r="T664" s="387"/>
      <c r="U664" s="367">
        <v>44810</v>
      </c>
      <c r="V664" s="367">
        <v>45175</v>
      </c>
      <c r="W664" s="361" t="s">
        <v>250</v>
      </c>
      <c r="X664" s="361"/>
      <c r="Y664" s="361"/>
      <c r="Z664" s="361"/>
      <c r="AA664" s="361"/>
      <c r="AB664" s="361"/>
      <c r="AC664" s="159"/>
      <c r="AD664" s="361" t="s">
        <v>2457</v>
      </c>
      <c r="AE664" s="364">
        <v>4500017892</v>
      </c>
      <c r="AF664" s="364"/>
      <c r="AG664" s="361"/>
      <c r="AH664" s="365"/>
      <c r="AI664" s="361"/>
      <c r="AJ664" s="361"/>
      <c r="AK664" s="361"/>
      <c r="AL664" s="361"/>
      <c r="AM664" s="361"/>
      <c r="AN664" s="361"/>
      <c r="AO664" s="361"/>
      <c r="AP664" s="361"/>
      <c r="AQ664" s="361"/>
      <c r="AR664" s="503"/>
      <c r="AS664" s="489"/>
      <c r="AT664" s="160"/>
      <c r="AU664" s="355"/>
    </row>
    <row r="665" spans="1:47" s="124" customFormat="1" ht="21.75" hidden="1" customHeight="1">
      <c r="A665" s="331">
        <v>664</v>
      </c>
      <c r="B665" s="361" t="s">
        <v>97</v>
      </c>
      <c r="C665" s="361" t="s">
        <v>2362</v>
      </c>
      <c r="D665" s="437" t="s">
        <v>2363</v>
      </c>
      <c r="E665" s="361" t="str">
        <f t="shared" si="10"/>
        <v>LOSS</v>
      </c>
      <c r="F665" s="361" t="s">
        <v>2364</v>
      </c>
      <c r="G665" s="361" t="s">
        <v>2365</v>
      </c>
      <c r="H665" s="361" t="s">
        <v>327</v>
      </c>
      <c r="I665" s="361" t="s">
        <v>242</v>
      </c>
      <c r="J665" s="361" t="s">
        <v>1123</v>
      </c>
      <c r="K665" s="28"/>
      <c r="L665" s="27"/>
      <c r="M665" s="27"/>
      <c r="N665" s="29"/>
      <c r="O665" s="56"/>
      <c r="P665" s="31">
        <f>11950000*12</f>
        <v>143400000</v>
      </c>
      <c r="Q665" s="31"/>
      <c r="R665" s="167"/>
      <c r="S665" s="409">
        <v>12000000</v>
      </c>
      <c r="T665" s="167"/>
      <c r="U665" s="367">
        <v>45061</v>
      </c>
      <c r="V665" s="367">
        <v>45426</v>
      </c>
      <c r="W665" s="364" t="s">
        <v>250</v>
      </c>
      <c r="X665" s="27"/>
      <c r="Y665" s="34">
        <f ca="1">TODAY()</f>
        <v>46290</v>
      </c>
      <c r="Z665" s="361"/>
      <c r="AA665" s="27"/>
      <c r="AB665" s="27"/>
      <c r="AC665" s="159"/>
      <c r="AD665" s="361" t="s">
        <v>2366</v>
      </c>
      <c r="AE665" s="27" t="s">
        <v>2458</v>
      </c>
      <c r="AF665" s="364" t="s">
        <v>333</v>
      </c>
      <c r="AG665" s="361" t="s">
        <v>2367</v>
      </c>
      <c r="AH665" s="365" t="s">
        <v>2368</v>
      </c>
      <c r="AI665" s="27"/>
      <c r="AJ665" s="27"/>
      <c r="AK665" s="27"/>
      <c r="AL665" s="27"/>
      <c r="AM665" s="27"/>
      <c r="AN665" s="27"/>
      <c r="AO665" s="27" t="s">
        <v>2459</v>
      </c>
      <c r="AP665" s="27"/>
      <c r="AQ665" s="27"/>
      <c r="AR665" s="504"/>
      <c r="AS665" s="332"/>
      <c r="AT665" s="160"/>
      <c r="AU665" s="355"/>
    </row>
    <row r="666" spans="1:47" s="124" customFormat="1" ht="21.75" hidden="1" customHeight="1">
      <c r="A666" s="331">
        <v>665</v>
      </c>
      <c r="B666" s="361" t="s">
        <v>97</v>
      </c>
      <c r="C666" s="361" t="s">
        <v>2362</v>
      </c>
      <c r="D666" s="438" t="s">
        <v>2363</v>
      </c>
      <c r="E666" s="361" t="str">
        <f t="shared" ca="1" si="10"/>
        <v>LOSS</v>
      </c>
      <c r="F666" s="361" t="s">
        <v>2364</v>
      </c>
      <c r="G666" s="361" t="s">
        <v>2365</v>
      </c>
      <c r="H666" s="361" t="s">
        <v>327</v>
      </c>
      <c r="I666" s="361" t="s">
        <v>242</v>
      </c>
      <c r="J666" s="361" t="s">
        <v>1123</v>
      </c>
      <c r="K666" s="28"/>
      <c r="L666" s="27"/>
      <c r="M666" s="27"/>
      <c r="N666" s="29"/>
      <c r="O666" s="56"/>
      <c r="P666" s="31">
        <f>11950000*12</f>
        <v>143400000</v>
      </c>
      <c r="Q666" s="31"/>
      <c r="R666" s="167"/>
      <c r="S666" s="409">
        <v>12000000</v>
      </c>
      <c r="T666" s="167"/>
      <c r="U666" s="367">
        <v>45427</v>
      </c>
      <c r="V666" s="367">
        <v>45791</v>
      </c>
      <c r="W666" s="549" t="s">
        <v>250</v>
      </c>
      <c r="X666" s="27"/>
      <c r="Y666" s="34">
        <f ca="1">TODAY()</f>
        <v>46290</v>
      </c>
      <c r="Z666" s="35">
        <f ca="1">V666-Y666</f>
        <v>-499</v>
      </c>
      <c r="AA666" s="27">
        <f>MONTH(V666)</f>
        <v>5</v>
      </c>
      <c r="AB666" s="27">
        <f>YEAR(V666)</f>
        <v>2025</v>
      </c>
      <c r="AC666" s="159"/>
      <c r="AD666" s="28" t="s">
        <v>2458</v>
      </c>
      <c r="AE666" s="27" t="s">
        <v>2460</v>
      </c>
      <c r="AF666" s="364" t="s">
        <v>333</v>
      </c>
      <c r="AG666" s="361" t="s">
        <v>2367</v>
      </c>
      <c r="AH666" s="365" t="s">
        <v>2368</v>
      </c>
      <c r="AI666" s="27"/>
      <c r="AJ666" s="27"/>
      <c r="AK666" s="27"/>
      <c r="AL666" s="27"/>
      <c r="AM666" s="27"/>
      <c r="AN666" s="27"/>
      <c r="AO666" s="27"/>
      <c r="AP666" s="27" t="s">
        <v>2461</v>
      </c>
      <c r="AQ666" s="27"/>
      <c r="AR666" s="504"/>
      <c r="AS666" s="332"/>
      <c r="AT666" s="160"/>
      <c r="AU666" s="355"/>
    </row>
    <row r="667" spans="1:47" s="124" customFormat="1" ht="21.75" hidden="1" customHeight="1">
      <c r="A667" s="331">
        <v>666</v>
      </c>
      <c r="B667" s="361" t="s">
        <v>97</v>
      </c>
      <c r="C667" s="361" t="s">
        <v>948</v>
      </c>
      <c r="D667" s="436" t="s">
        <v>2462</v>
      </c>
      <c r="E667" s="361" t="str">
        <f t="shared" si="10"/>
        <v>LOSS</v>
      </c>
      <c r="F667" s="361"/>
      <c r="G667" s="361"/>
      <c r="H667" s="361" t="s">
        <v>327</v>
      </c>
      <c r="I667" s="361" t="s">
        <v>242</v>
      </c>
      <c r="J667" s="361" t="s">
        <v>2463</v>
      </c>
      <c r="K667" s="365"/>
      <c r="L667" s="361"/>
      <c r="M667" s="361"/>
      <c r="N667" s="361"/>
      <c r="O667" s="370">
        <v>6000000</v>
      </c>
      <c r="P667" s="387">
        <v>198000000</v>
      </c>
      <c r="Q667" s="387"/>
      <c r="R667" s="387">
        <v>5000000</v>
      </c>
      <c r="S667" s="387">
        <v>24000000</v>
      </c>
      <c r="T667" s="387"/>
      <c r="U667" s="367">
        <v>44582</v>
      </c>
      <c r="V667" s="367">
        <v>44946</v>
      </c>
      <c r="W667" s="361" t="s">
        <v>250</v>
      </c>
      <c r="X667" s="361"/>
      <c r="Y667" s="361"/>
      <c r="Z667" s="361"/>
      <c r="AA667" s="361"/>
      <c r="AB667" s="361"/>
      <c r="AC667" s="159"/>
      <c r="AD667" s="368"/>
      <c r="AE667" s="364">
        <v>4500017503</v>
      </c>
      <c r="AF667" s="364"/>
      <c r="AG667" s="361"/>
      <c r="AH667" s="365"/>
      <c r="AI667" s="361"/>
      <c r="AJ667" s="361"/>
      <c r="AK667" s="361"/>
      <c r="AL667" s="361"/>
      <c r="AM667" s="361"/>
      <c r="AN667" s="361"/>
      <c r="AO667" s="361"/>
      <c r="AP667" s="361"/>
      <c r="AQ667" s="361"/>
      <c r="AR667" s="503"/>
      <c r="AS667" s="489"/>
      <c r="AT667" s="160"/>
      <c r="AU667" s="355"/>
    </row>
    <row r="668" spans="1:47" s="124" customFormat="1" ht="21.75" hidden="1" customHeight="1">
      <c r="A668" s="331">
        <v>667</v>
      </c>
      <c r="B668" s="361" t="s">
        <v>542</v>
      </c>
      <c r="C668" s="361" t="s">
        <v>2464</v>
      </c>
      <c r="D668" s="435" t="s">
        <v>544</v>
      </c>
      <c r="E668" s="361" t="str">
        <f t="shared" si="10"/>
        <v>LOSS</v>
      </c>
      <c r="F668" s="361"/>
      <c r="G668" s="361"/>
      <c r="H668" s="361" t="s">
        <v>327</v>
      </c>
      <c r="I668" s="160" t="s">
        <v>346</v>
      </c>
      <c r="J668" s="361" t="s">
        <v>2465</v>
      </c>
      <c r="K668" s="365"/>
      <c r="L668" s="361"/>
      <c r="M668" s="361"/>
      <c r="N668" s="361"/>
      <c r="O668" s="370"/>
      <c r="P668" s="387">
        <v>1123140000</v>
      </c>
      <c r="Q668" s="387"/>
      <c r="R668" s="387"/>
      <c r="S668" s="387">
        <v>108000000</v>
      </c>
      <c r="T668" s="387"/>
      <c r="U668" s="367">
        <v>44562</v>
      </c>
      <c r="V668" s="367">
        <v>45291</v>
      </c>
      <c r="W668" s="361" t="s">
        <v>250</v>
      </c>
      <c r="X668" s="361"/>
      <c r="Y668" s="361"/>
      <c r="Z668" s="361"/>
      <c r="AA668" s="361"/>
      <c r="AB668" s="361"/>
      <c r="AC668" s="159"/>
      <c r="AD668" s="368"/>
      <c r="AE668" s="364">
        <v>4500017131</v>
      </c>
      <c r="AF668" s="364"/>
      <c r="AG668" s="361"/>
      <c r="AH668" s="365"/>
      <c r="AI668" s="361"/>
      <c r="AJ668" s="361"/>
      <c r="AK668" s="361"/>
      <c r="AL668" s="361"/>
      <c r="AM668" s="361"/>
      <c r="AN668" s="361"/>
      <c r="AO668" s="361"/>
      <c r="AP668" s="361"/>
      <c r="AQ668" s="361"/>
      <c r="AR668" s="503"/>
      <c r="AS668" s="489"/>
      <c r="AT668" s="160"/>
      <c r="AU668" s="355"/>
    </row>
    <row r="669" spans="1:47" s="124" customFormat="1" ht="21.75" hidden="1" customHeight="1">
      <c r="A669" s="331">
        <v>668</v>
      </c>
      <c r="B669" s="28" t="s">
        <v>143</v>
      </c>
      <c r="C669" s="361" t="s">
        <v>349</v>
      </c>
      <c r="D669" s="437" t="s">
        <v>1119</v>
      </c>
      <c r="E669" s="361" t="str">
        <f t="shared" si="10"/>
        <v>LOSS</v>
      </c>
      <c r="F669" s="361"/>
      <c r="G669" s="361"/>
      <c r="H669" s="361" t="s">
        <v>327</v>
      </c>
      <c r="I669" s="160" t="s">
        <v>346</v>
      </c>
      <c r="J669" s="361" t="s">
        <v>1011</v>
      </c>
      <c r="K669" s="365"/>
      <c r="L669" s="361"/>
      <c r="M669" s="361"/>
      <c r="N669" s="361"/>
      <c r="O669" s="370"/>
      <c r="P669" s="387">
        <v>34800000</v>
      </c>
      <c r="Q669" s="387"/>
      <c r="R669" s="387"/>
      <c r="S669" s="387">
        <v>13000000</v>
      </c>
      <c r="T669" s="387"/>
      <c r="U669" s="367">
        <v>44593</v>
      </c>
      <c r="V669" s="367">
        <v>44957</v>
      </c>
      <c r="W669" s="361" t="s">
        <v>250</v>
      </c>
      <c r="X669" s="361"/>
      <c r="Y669" s="361"/>
      <c r="Z669" s="361"/>
      <c r="AA669" s="361"/>
      <c r="AB669" s="361"/>
      <c r="AC669" s="159"/>
      <c r="AD669" s="368"/>
      <c r="AE669" s="364">
        <v>4500017469</v>
      </c>
      <c r="AF669" s="364"/>
      <c r="AG669" s="361"/>
      <c r="AH669" s="365"/>
      <c r="AI669" s="361"/>
      <c r="AJ669" s="361"/>
      <c r="AK669" s="361"/>
      <c r="AL669" s="361"/>
      <c r="AM669" s="361"/>
      <c r="AN669" s="361"/>
      <c r="AO669" s="361"/>
      <c r="AP669" s="361"/>
      <c r="AQ669" s="361"/>
      <c r="AR669" s="503"/>
      <c r="AS669" s="489"/>
      <c r="AT669" s="160"/>
      <c r="AU669" s="355"/>
    </row>
    <row r="670" spans="1:47" s="124" customFormat="1" ht="21.75" hidden="1" customHeight="1">
      <c r="A670" s="331">
        <v>669</v>
      </c>
      <c r="B670" s="361" t="s">
        <v>2466</v>
      </c>
      <c r="C670" s="361" t="s">
        <v>1804</v>
      </c>
      <c r="D670" s="435" t="s">
        <v>556</v>
      </c>
      <c r="E670" s="361" t="str">
        <f t="shared" si="10"/>
        <v>LOSS</v>
      </c>
      <c r="F670" s="361"/>
      <c r="G670" s="361"/>
      <c r="H670" s="361" t="s">
        <v>327</v>
      </c>
      <c r="I670" s="160" t="s">
        <v>346</v>
      </c>
      <c r="J670" s="361" t="s">
        <v>1806</v>
      </c>
      <c r="K670" s="365"/>
      <c r="L670" s="361"/>
      <c r="M670" s="361"/>
      <c r="N670" s="361"/>
      <c r="O670" s="370"/>
      <c r="P670" s="387">
        <v>82800000</v>
      </c>
      <c r="Q670" s="387"/>
      <c r="R670" s="387"/>
      <c r="S670" s="387">
        <v>10000000</v>
      </c>
      <c r="T670" s="387"/>
      <c r="U670" s="367">
        <v>44562</v>
      </c>
      <c r="V670" s="367">
        <v>44926</v>
      </c>
      <c r="W670" s="361" t="s">
        <v>250</v>
      </c>
      <c r="X670" s="361"/>
      <c r="Y670" s="361"/>
      <c r="Z670" s="361"/>
      <c r="AA670" s="361"/>
      <c r="AB670" s="361"/>
      <c r="AC670" s="159"/>
      <c r="AD670" s="368"/>
      <c r="AE670" s="364">
        <v>4500017465</v>
      </c>
      <c r="AF670" s="364"/>
      <c r="AG670" s="361"/>
      <c r="AH670" s="365"/>
      <c r="AI670" s="361"/>
      <c r="AJ670" s="361"/>
      <c r="AK670" s="361"/>
      <c r="AL670" s="361"/>
      <c r="AM670" s="361"/>
      <c r="AN670" s="361"/>
      <c r="AO670" s="361"/>
      <c r="AP670" s="361"/>
      <c r="AQ670" s="361"/>
      <c r="AR670" s="503"/>
      <c r="AS670" s="489"/>
      <c r="AT670" s="160"/>
      <c r="AU670" s="355"/>
    </row>
    <row r="671" spans="1:47" s="124" customFormat="1" ht="21.75" hidden="1" customHeight="1">
      <c r="A671" s="331">
        <v>670</v>
      </c>
      <c r="B671" s="361" t="s">
        <v>2467</v>
      </c>
      <c r="C671" s="361" t="s">
        <v>1402</v>
      </c>
      <c r="D671" s="436" t="s">
        <v>544</v>
      </c>
      <c r="E671" s="361" t="str">
        <f t="shared" si="10"/>
        <v>LOSS</v>
      </c>
      <c r="F671" s="361"/>
      <c r="G671" s="361"/>
      <c r="H671" s="361" t="s">
        <v>327</v>
      </c>
      <c r="I671" s="160" t="s">
        <v>346</v>
      </c>
      <c r="J671" s="361" t="s">
        <v>1403</v>
      </c>
      <c r="K671" s="365"/>
      <c r="L671" s="361"/>
      <c r="M671" s="361"/>
      <c r="N671" s="361"/>
      <c r="O671" s="370"/>
      <c r="P671" s="387">
        <v>123000000</v>
      </c>
      <c r="Q671" s="387"/>
      <c r="R671" s="387"/>
      <c r="S671" s="387">
        <v>48015000</v>
      </c>
      <c r="T671" s="387"/>
      <c r="U671" s="367">
        <v>44562</v>
      </c>
      <c r="V671" s="367">
        <v>44926</v>
      </c>
      <c r="W671" s="361" t="s">
        <v>250</v>
      </c>
      <c r="X671" s="361"/>
      <c r="Y671" s="361"/>
      <c r="Z671" s="361"/>
      <c r="AA671" s="361"/>
      <c r="AB671" s="361"/>
      <c r="AC671" s="159"/>
      <c r="AD671" s="368"/>
      <c r="AE671" s="364">
        <v>4500017441</v>
      </c>
      <c r="AF671" s="364"/>
      <c r="AG671" s="361"/>
      <c r="AH671" s="365"/>
      <c r="AI671" s="361"/>
      <c r="AJ671" s="361"/>
      <c r="AK671" s="361"/>
      <c r="AL671" s="361"/>
      <c r="AM671" s="361"/>
      <c r="AN671" s="361"/>
      <c r="AO671" s="361"/>
      <c r="AP671" s="361"/>
      <c r="AQ671" s="361"/>
      <c r="AR671" s="503"/>
      <c r="AS671" s="489"/>
      <c r="AT671" s="160"/>
      <c r="AU671" s="355"/>
    </row>
    <row r="672" spans="1:47" s="124" customFormat="1" ht="21.75" hidden="1" customHeight="1">
      <c r="A672" s="331">
        <v>671</v>
      </c>
      <c r="B672" s="28" t="s">
        <v>180</v>
      </c>
      <c r="C672" s="361" t="s">
        <v>2468</v>
      </c>
      <c r="D672" s="438" t="s">
        <v>2469</v>
      </c>
      <c r="E672" s="361" t="str">
        <f t="shared" si="10"/>
        <v>LOSS</v>
      </c>
      <c r="F672" s="361"/>
      <c r="G672" s="361"/>
      <c r="H672" s="361" t="s">
        <v>327</v>
      </c>
      <c r="I672" s="160" t="s">
        <v>346</v>
      </c>
      <c r="J672" s="361" t="s">
        <v>181</v>
      </c>
      <c r="K672" s="365"/>
      <c r="L672" s="361"/>
      <c r="M672" s="361"/>
      <c r="N672" s="361"/>
      <c r="O672" s="370">
        <v>10000000</v>
      </c>
      <c r="P672" s="387">
        <v>163225440</v>
      </c>
      <c r="Q672" s="387"/>
      <c r="R672" s="387"/>
      <c r="S672" s="387">
        <v>12000000</v>
      </c>
      <c r="T672" s="387"/>
      <c r="U672" s="367">
        <v>44581</v>
      </c>
      <c r="V672" s="367">
        <v>44945</v>
      </c>
      <c r="W672" s="27" t="s">
        <v>250</v>
      </c>
      <c r="X672" s="361"/>
      <c r="Y672" s="361"/>
      <c r="Z672" s="361"/>
      <c r="AA672" s="361"/>
      <c r="AB672" s="361"/>
      <c r="AC672" s="159"/>
      <c r="AD672" s="361" t="s">
        <v>2470</v>
      </c>
      <c r="AE672" s="364">
        <v>4500017472</v>
      </c>
      <c r="AF672" s="364"/>
      <c r="AG672" s="361"/>
      <c r="AH672" s="365"/>
      <c r="AI672" s="361"/>
      <c r="AJ672" s="361"/>
      <c r="AK672" s="361"/>
      <c r="AL672" s="361"/>
      <c r="AM672" s="361"/>
      <c r="AN672" s="361"/>
      <c r="AO672" s="361"/>
      <c r="AP672" s="361"/>
      <c r="AQ672" s="361"/>
      <c r="AR672" s="503"/>
      <c r="AS672" s="489"/>
      <c r="AT672" s="160"/>
      <c r="AU672" s="355"/>
    </row>
    <row r="673" spans="1:47" s="124" customFormat="1" ht="21.75" hidden="1" customHeight="1">
      <c r="A673" s="331">
        <v>672</v>
      </c>
      <c r="B673" s="361" t="s">
        <v>2471</v>
      </c>
      <c r="C673" s="361" t="s">
        <v>2472</v>
      </c>
      <c r="D673" s="436" t="s">
        <v>2473</v>
      </c>
      <c r="E673" s="361" t="str">
        <f t="shared" si="10"/>
        <v>LOSS</v>
      </c>
      <c r="F673" s="361"/>
      <c r="G673" s="361"/>
      <c r="H673" s="361" t="s">
        <v>327</v>
      </c>
      <c r="I673" s="160" t="s">
        <v>346</v>
      </c>
      <c r="J673" s="361" t="s">
        <v>2474</v>
      </c>
      <c r="K673" s="365"/>
      <c r="L673" s="361"/>
      <c r="M673" s="361"/>
      <c r="N673" s="361"/>
      <c r="O673" s="370"/>
      <c r="P673" s="387">
        <v>72000000</v>
      </c>
      <c r="Q673" s="387"/>
      <c r="R673" s="387"/>
      <c r="S673" s="387">
        <v>60000000</v>
      </c>
      <c r="T673" s="387"/>
      <c r="U673" s="367">
        <v>44626</v>
      </c>
      <c r="V673" s="367">
        <v>44990</v>
      </c>
      <c r="W673" s="361" t="s">
        <v>250</v>
      </c>
      <c r="X673" s="361"/>
      <c r="Y673" s="361"/>
      <c r="Z673" s="361"/>
      <c r="AA673" s="361"/>
      <c r="AB673" s="361"/>
      <c r="AC673" s="159"/>
      <c r="AD673" s="361" t="s">
        <v>2475</v>
      </c>
      <c r="AE673" s="364">
        <v>4500017915</v>
      </c>
      <c r="AF673" s="364"/>
      <c r="AG673" s="361"/>
      <c r="AH673" s="365"/>
      <c r="AI673" s="361"/>
      <c r="AJ673" s="361"/>
      <c r="AK673" s="361"/>
      <c r="AL673" s="361"/>
      <c r="AM673" s="361"/>
      <c r="AN673" s="361"/>
      <c r="AO673" s="361"/>
      <c r="AP673" s="361"/>
      <c r="AQ673" s="361"/>
      <c r="AR673" s="503"/>
      <c r="AS673" s="489"/>
      <c r="AT673" s="160"/>
      <c r="AU673" s="355"/>
    </row>
    <row r="674" spans="1:47" s="124" customFormat="1" ht="21.75" hidden="1" customHeight="1">
      <c r="A674" s="331">
        <v>673</v>
      </c>
      <c r="B674" s="361" t="s">
        <v>37</v>
      </c>
      <c r="C674" s="361" t="s">
        <v>2476</v>
      </c>
      <c r="D674" s="435" t="s">
        <v>1129</v>
      </c>
      <c r="E674" s="361" t="str">
        <f t="shared" si="10"/>
        <v>LOSS</v>
      </c>
      <c r="F674" s="361"/>
      <c r="G674" s="361"/>
      <c r="H674" s="361" t="s">
        <v>327</v>
      </c>
      <c r="I674" s="160" t="s">
        <v>346</v>
      </c>
      <c r="J674" s="361" t="s">
        <v>2477</v>
      </c>
      <c r="K674" s="365"/>
      <c r="L674" s="361"/>
      <c r="M674" s="361"/>
      <c r="N674" s="361"/>
      <c r="O674" s="370"/>
      <c r="P674" s="387">
        <v>210000000</v>
      </c>
      <c r="Q674" s="387"/>
      <c r="R674" s="387"/>
      <c r="S674" s="387">
        <v>19500000</v>
      </c>
      <c r="T674" s="387"/>
      <c r="U674" s="367">
        <v>44712</v>
      </c>
      <c r="V674" s="367">
        <v>45076</v>
      </c>
      <c r="W674" s="361" t="s">
        <v>250</v>
      </c>
      <c r="X674" s="361"/>
      <c r="Y674" s="361"/>
      <c r="Z674" s="361"/>
      <c r="AA674" s="361"/>
      <c r="AB674" s="361"/>
      <c r="AC674" s="159"/>
      <c r="AD674" s="361" t="s">
        <v>2478</v>
      </c>
      <c r="AE674" s="364">
        <v>4500017916</v>
      </c>
      <c r="AF674" s="364"/>
      <c r="AG674" s="361"/>
      <c r="AH674" s="365"/>
      <c r="AI674" s="361"/>
      <c r="AJ674" s="361"/>
      <c r="AK674" s="361"/>
      <c r="AL674" s="361"/>
      <c r="AM674" s="361"/>
      <c r="AN674" s="361"/>
      <c r="AO674" s="361"/>
      <c r="AP674" s="361"/>
      <c r="AQ674" s="361"/>
      <c r="AR674" s="503"/>
      <c r="AS674" s="489"/>
      <c r="AT674" s="160"/>
      <c r="AU674" s="355"/>
    </row>
    <row r="675" spans="1:47" s="124" customFormat="1" ht="21.75" hidden="1" customHeight="1">
      <c r="A675" s="331">
        <v>674</v>
      </c>
      <c r="B675" s="361" t="s">
        <v>198</v>
      </c>
      <c r="C675" s="361" t="s">
        <v>2479</v>
      </c>
      <c r="D675" s="436" t="s">
        <v>544</v>
      </c>
      <c r="E675" s="361" t="str">
        <f t="shared" si="10"/>
        <v>LOSS</v>
      </c>
      <c r="F675" s="361"/>
      <c r="G675" s="361"/>
      <c r="H675" s="361" t="s">
        <v>327</v>
      </c>
      <c r="I675" s="160" t="s">
        <v>346</v>
      </c>
      <c r="J675" s="361" t="s">
        <v>2480</v>
      </c>
      <c r="K675" s="365"/>
      <c r="L675" s="361"/>
      <c r="M675" s="361"/>
      <c r="N675" s="361"/>
      <c r="O675" s="370"/>
      <c r="P675" s="387">
        <v>103154352</v>
      </c>
      <c r="Q675" s="387"/>
      <c r="R675" s="387"/>
      <c r="S675" s="387">
        <v>23200000</v>
      </c>
      <c r="T675" s="387"/>
      <c r="U675" s="367">
        <v>44656</v>
      </c>
      <c r="V675" s="367">
        <v>45020</v>
      </c>
      <c r="W675" s="361" t="s">
        <v>250</v>
      </c>
      <c r="X675" s="361"/>
      <c r="Y675" s="361"/>
      <c r="Z675" s="361"/>
      <c r="AA675" s="361"/>
      <c r="AB675" s="361"/>
      <c r="AC675" s="159"/>
      <c r="AD675" s="361" t="s">
        <v>2481</v>
      </c>
      <c r="AE675" s="364">
        <v>4500017867</v>
      </c>
      <c r="AF675" s="364"/>
      <c r="AG675" s="361"/>
      <c r="AH675" s="365"/>
      <c r="AI675" s="361"/>
      <c r="AJ675" s="361"/>
      <c r="AK675" s="361"/>
      <c r="AL675" s="361"/>
      <c r="AM675" s="361"/>
      <c r="AN675" s="361"/>
      <c r="AO675" s="361"/>
      <c r="AP675" s="361"/>
      <c r="AQ675" s="361"/>
      <c r="AR675" s="503"/>
      <c r="AS675" s="489"/>
      <c r="AT675" s="160"/>
      <c r="AU675" s="355"/>
    </row>
    <row r="676" spans="1:47" s="124" customFormat="1" ht="21.75" hidden="1" customHeight="1">
      <c r="A676" s="331">
        <v>675</v>
      </c>
      <c r="B676" s="361" t="s">
        <v>235</v>
      </c>
      <c r="C676" s="361" t="s">
        <v>2482</v>
      </c>
      <c r="D676" s="435" t="s">
        <v>2483</v>
      </c>
      <c r="E676" s="361" t="str">
        <f t="shared" si="10"/>
        <v>LOSS</v>
      </c>
      <c r="F676" s="361"/>
      <c r="G676" s="361"/>
      <c r="H676" s="361" t="s">
        <v>327</v>
      </c>
      <c r="I676" s="160" t="s">
        <v>346</v>
      </c>
      <c r="J676" s="361" t="s">
        <v>2484</v>
      </c>
      <c r="K676" s="365"/>
      <c r="L676" s="361"/>
      <c r="M676" s="361"/>
      <c r="N676" s="361"/>
      <c r="O676" s="370"/>
      <c r="P676" s="387">
        <v>48000000</v>
      </c>
      <c r="Q676" s="387"/>
      <c r="R676" s="387"/>
      <c r="S676" s="387">
        <v>3000000</v>
      </c>
      <c r="T676" s="387"/>
      <c r="U676" s="367">
        <v>44636</v>
      </c>
      <c r="V676" s="367">
        <v>45000</v>
      </c>
      <c r="W676" s="361" t="s">
        <v>250</v>
      </c>
      <c r="X676" s="361"/>
      <c r="Y676" s="361"/>
      <c r="Z676" s="361"/>
      <c r="AA676" s="361"/>
      <c r="AB676" s="361"/>
      <c r="AC676" s="159"/>
      <c r="AD676" s="361" t="s">
        <v>2485</v>
      </c>
      <c r="AE676" s="364">
        <v>4500017850</v>
      </c>
      <c r="AF676" s="364"/>
      <c r="AG676" s="361"/>
      <c r="AH676" s="365"/>
      <c r="AI676" s="361"/>
      <c r="AJ676" s="361"/>
      <c r="AK676" s="361"/>
      <c r="AL676" s="361"/>
      <c r="AM676" s="361"/>
      <c r="AN676" s="361"/>
      <c r="AO676" s="361"/>
      <c r="AP676" s="361"/>
      <c r="AQ676" s="361"/>
      <c r="AR676" s="503"/>
      <c r="AS676" s="489"/>
      <c r="AT676" s="160"/>
      <c r="AU676" s="355"/>
    </row>
    <row r="677" spans="1:47" s="124" customFormat="1" ht="21.75" hidden="1" customHeight="1">
      <c r="A677" s="331">
        <v>676</v>
      </c>
      <c r="B677" s="361" t="s">
        <v>71</v>
      </c>
      <c r="C677" s="361" t="s">
        <v>2486</v>
      </c>
      <c r="D677" s="436" t="s">
        <v>2444</v>
      </c>
      <c r="E677" s="361" t="str">
        <f t="shared" si="10"/>
        <v>LOSS</v>
      </c>
      <c r="F677" s="361"/>
      <c r="G677" s="361"/>
      <c r="H677" s="361" t="s">
        <v>327</v>
      </c>
      <c r="I677" s="361" t="s">
        <v>242</v>
      </c>
      <c r="J677" s="361" t="s">
        <v>2487</v>
      </c>
      <c r="K677" s="365"/>
      <c r="L677" s="361"/>
      <c r="M677" s="361"/>
      <c r="N677" s="361"/>
      <c r="O677" s="370"/>
      <c r="P677" s="387">
        <v>84000000</v>
      </c>
      <c r="Q677" s="387"/>
      <c r="R677" s="387"/>
      <c r="S677" s="387">
        <v>36000000</v>
      </c>
      <c r="T677" s="387"/>
      <c r="U677" s="367">
        <v>44588</v>
      </c>
      <c r="V677" s="367">
        <v>44952</v>
      </c>
      <c r="W677" s="361" t="s">
        <v>250</v>
      </c>
      <c r="X677" s="361"/>
      <c r="Y677" s="361"/>
      <c r="Z677" s="361"/>
      <c r="AA677" s="361"/>
      <c r="AB677" s="361"/>
      <c r="AC677" s="159"/>
      <c r="AD677" s="361" t="s">
        <v>2488</v>
      </c>
      <c r="AE677" s="364">
        <v>4500017500</v>
      </c>
      <c r="AF677" s="364"/>
      <c r="AG677" s="361"/>
      <c r="AH677" s="365"/>
      <c r="AI677" s="361"/>
      <c r="AJ677" s="361"/>
      <c r="AK677" s="361"/>
      <c r="AL677" s="361"/>
      <c r="AM677" s="361"/>
      <c r="AN677" s="361"/>
      <c r="AO677" s="361"/>
      <c r="AP677" s="361"/>
      <c r="AQ677" s="361"/>
      <c r="AR677" s="503"/>
      <c r="AS677" s="489"/>
      <c r="AT677" s="160"/>
      <c r="AU677" s="355"/>
    </row>
    <row r="678" spans="1:47" s="124" customFormat="1" ht="21.75" hidden="1" customHeight="1">
      <c r="A678" s="331">
        <v>677</v>
      </c>
      <c r="B678" s="361" t="s">
        <v>71</v>
      </c>
      <c r="C678" s="361" t="s">
        <v>2489</v>
      </c>
      <c r="D678" s="435" t="s">
        <v>2444</v>
      </c>
      <c r="E678" s="361" t="str">
        <f t="shared" si="10"/>
        <v>LOSS</v>
      </c>
      <c r="F678" s="361"/>
      <c r="G678" s="361"/>
      <c r="H678" s="361" t="s">
        <v>327</v>
      </c>
      <c r="I678" s="361" t="s">
        <v>242</v>
      </c>
      <c r="J678" s="361" t="s">
        <v>732</v>
      </c>
      <c r="K678" s="365"/>
      <c r="L678" s="361"/>
      <c r="M678" s="361"/>
      <c r="N678" s="361"/>
      <c r="O678" s="370"/>
      <c r="P678" s="387">
        <v>155730480</v>
      </c>
      <c r="Q678" s="387"/>
      <c r="R678" s="387"/>
      <c r="S678" s="387">
        <v>18000000</v>
      </c>
      <c r="T678" s="387"/>
      <c r="U678" s="367">
        <v>44571</v>
      </c>
      <c r="V678" s="367">
        <v>44935</v>
      </c>
      <c r="W678" s="361" t="s">
        <v>250</v>
      </c>
      <c r="X678" s="361"/>
      <c r="Y678" s="361"/>
      <c r="Z678" s="361"/>
      <c r="AA678" s="361"/>
      <c r="AB678" s="361"/>
      <c r="AC678" s="159"/>
      <c r="AD678" s="368"/>
      <c r="AE678" s="364">
        <v>4500017501</v>
      </c>
      <c r="AF678" s="364"/>
      <c r="AG678" s="361"/>
      <c r="AH678" s="365"/>
      <c r="AI678" s="361"/>
      <c r="AJ678" s="361"/>
      <c r="AK678" s="361"/>
      <c r="AL678" s="361"/>
      <c r="AM678" s="361"/>
      <c r="AN678" s="361"/>
      <c r="AO678" s="361"/>
      <c r="AP678" s="361"/>
      <c r="AQ678" s="361"/>
      <c r="AR678" s="503"/>
      <c r="AS678" s="489"/>
      <c r="AT678" s="160"/>
      <c r="AU678" s="355"/>
    </row>
    <row r="679" spans="1:47" s="124" customFormat="1" ht="21.75" hidden="1" customHeight="1">
      <c r="A679" s="331">
        <v>678</v>
      </c>
      <c r="B679" s="361" t="s">
        <v>2490</v>
      </c>
      <c r="C679" s="361" t="s">
        <v>1302</v>
      </c>
      <c r="D679" s="436" t="s">
        <v>590</v>
      </c>
      <c r="E679" s="361" t="str">
        <f t="shared" si="10"/>
        <v>LOSS</v>
      </c>
      <c r="F679" s="361"/>
      <c r="G679" s="361"/>
      <c r="H679" s="361" t="s">
        <v>327</v>
      </c>
      <c r="I679" s="160" t="s">
        <v>346</v>
      </c>
      <c r="J679" s="361" t="s">
        <v>2491</v>
      </c>
      <c r="K679" s="365"/>
      <c r="L679" s="361"/>
      <c r="M679" s="361"/>
      <c r="N679" s="361"/>
      <c r="O679" s="370"/>
      <c r="P679" s="387">
        <v>32400000</v>
      </c>
      <c r="Q679" s="387"/>
      <c r="R679" s="387"/>
      <c r="S679" s="387">
        <v>44000000</v>
      </c>
      <c r="T679" s="387"/>
      <c r="U679" s="367">
        <v>44562</v>
      </c>
      <c r="V679" s="367">
        <v>44926</v>
      </c>
      <c r="W679" s="361" t="s">
        <v>250</v>
      </c>
      <c r="X679" s="361"/>
      <c r="Y679" s="361"/>
      <c r="Z679" s="361"/>
      <c r="AA679" s="361"/>
      <c r="AB679" s="361"/>
      <c r="AC679" s="159"/>
      <c r="AD679" s="361" t="s">
        <v>2492</v>
      </c>
      <c r="AE679" s="364">
        <v>4500017871</v>
      </c>
      <c r="AF679" s="364"/>
      <c r="AG679" s="361"/>
      <c r="AH679" s="365"/>
      <c r="AI679" s="361"/>
      <c r="AJ679" s="361"/>
      <c r="AK679" s="361"/>
      <c r="AL679" s="361"/>
      <c r="AM679" s="361"/>
      <c r="AN679" s="361"/>
      <c r="AO679" s="361"/>
      <c r="AP679" s="361"/>
      <c r="AQ679" s="361"/>
      <c r="AR679" s="503"/>
      <c r="AS679" s="489"/>
      <c r="AT679" s="160"/>
      <c r="AU679" s="355"/>
    </row>
    <row r="680" spans="1:47" s="124" customFormat="1" ht="21.75" hidden="1" customHeight="1">
      <c r="A680" s="331">
        <v>679</v>
      </c>
      <c r="B680" s="361" t="s">
        <v>450</v>
      </c>
      <c r="C680" s="361" t="s">
        <v>2493</v>
      </c>
      <c r="D680" s="435" t="s">
        <v>597</v>
      </c>
      <c r="E680" s="361" t="str">
        <f t="shared" si="10"/>
        <v>LOSS</v>
      </c>
      <c r="F680" s="361"/>
      <c r="G680" s="361"/>
      <c r="H680" s="361" t="s">
        <v>327</v>
      </c>
      <c r="I680" s="160" t="s">
        <v>346</v>
      </c>
      <c r="J680" s="361" t="s">
        <v>2494</v>
      </c>
      <c r="K680" s="365"/>
      <c r="L680" s="361"/>
      <c r="M680" s="361"/>
      <c r="N680" s="361"/>
      <c r="O680" s="370"/>
      <c r="P680" s="387">
        <v>59400000</v>
      </c>
      <c r="Q680" s="387"/>
      <c r="R680" s="387"/>
      <c r="S680" s="387">
        <v>3500000</v>
      </c>
      <c r="T680" s="387"/>
      <c r="U680" s="367">
        <v>44562</v>
      </c>
      <c r="V680" s="367">
        <v>44926</v>
      </c>
      <c r="W680" s="361" t="s">
        <v>250</v>
      </c>
      <c r="X680" s="361"/>
      <c r="Y680" s="361"/>
      <c r="Z680" s="361"/>
      <c r="AA680" s="361"/>
      <c r="AB680" s="361"/>
      <c r="AC680" s="159"/>
      <c r="AD680" s="368"/>
      <c r="AE680" s="364">
        <v>4500017132</v>
      </c>
      <c r="AF680" s="364"/>
      <c r="AG680" s="361"/>
      <c r="AH680" s="365"/>
      <c r="AI680" s="361"/>
      <c r="AJ680" s="361"/>
      <c r="AK680" s="361"/>
      <c r="AL680" s="361"/>
      <c r="AM680" s="361"/>
      <c r="AN680" s="361"/>
      <c r="AO680" s="361"/>
      <c r="AP680" s="361"/>
      <c r="AQ680" s="361"/>
      <c r="AR680" s="503"/>
      <c r="AS680" s="489"/>
      <c r="AT680" s="160"/>
      <c r="AU680" s="355"/>
    </row>
    <row r="681" spans="1:47" s="124" customFormat="1" ht="21.75" hidden="1" customHeight="1">
      <c r="A681" s="331">
        <v>680</v>
      </c>
      <c r="B681" s="361" t="s">
        <v>165</v>
      </c>
      <c r="C681" s="361" t="s">
        <v>2495</v>
      </c>
      <c r="D681" s="436" t="s">
        <v>1073</v>
      </c>
      <c r="E681" s="361" t="str">
        <f t="shared" si="10"/>
        <v>LOSS</v>
      </c>
      <c r="F681" s="361"/>
      <c r="G681" s="361"/>
      <c r="H681" s="28" t="s">
        <v>261</v>
      </c>
      <c r="I681" s="361" t="s">
        <v>243</v>
      </c>
      <c r="J681" s="361" t="s">
        <v>1702</v>
      </c>
      <c r="K681" s="361"/>
      <c r="L681" s="361"/>
      <c r="M681" s="361"/>
      <c r="N681" s="361"/>
      <c r="O681" s="370"/>
      <c r="P681" s="387">
        <v>192000000</v>
      </c>
      <c r="Q681" s="387"/>
      <c r="R681" s="387"/>
      <c r="S681" s="387">
        <v>126000000</v>
      </c>
      <c r="T681" s="387"/>
      <c r="U681" s="367">
        <v>44593</v>
      </c>
      <c r="V681" s="367">
        <v>44957</v>
      </c>
      <c r="W681" s="361" t="s">
        <v>250</v>
      </c>
      <c r="X681" s="361"/>
      <c r="Y681" s="361"/>
      <c r="Z681" s="361"/>
      <c r="AA681" s="361"/>
      <c r="AB681" s="361"/>
      <c r="AC681" s="159"/>
      <c r="AD681" s="361" t="s">
        <v>2496</v>
      </c>
      <c r="AE681" s="364">
        <v>4500017790</v>
      </c>
      <c r="AF681" s="364"/>
      <c r="AG681" s="361"/>
      <c r="AH681" s="361"/>
      <c r="AI681" s="361"/>
      <c r="AJ681" s="361"/>
      <c r="AK681" s="361"/>
      <c r="AL681" s="361"/>
      <c r="AM681" s="361"/>
      <c r="AN681" s="361"/>
      <c r="AO681" s="361"/>
      <c r="AP681" s="361"/>
      <c r="AQ681" s="361"/>
      <c r="AR681" s="503"/>
      <c r="AS681" s="489"/>
      <c r="AT681" s="160"/>
      <c r="AU681" s="355"/>
    </row>
    <row r="682" spans="1:47" s="124" customFormat="1" ht="21.75" hidden="1" customHeight="1">
      <c r="A682" s="331">
        <v>681</v>
      </c>
      <c r="B682" s="28" t="s">
        <v>669</v>
      </c>
      <c r="C682" s="361" t="s">
        <v>2497</v>
      </c>
      <c r="D682" s="435" t="s">
        <v>2498</v>
      </c>
      <c r="E682" s="361" t="str">
        <f t="shared" si="10"/>
        <v>LOSS</v>
      </c>
      <c r="F682" s="361"/>
      <c r="G682" s="361"/>
      <c r="H682" s="361" t="s">
        <v>327</v>
      </c>
      <c r="I682" s="160" t="s">
        <v>346</v>
      </c>
      <c r="J682" s="361" t="s">
        <v>676</v>
      </c>
      <c r="K682" s="365"/>
      <c r="L682" s="361"/>
      <c r="M682" s="361"/>
      <c r="N682" s="361"/>
      <c r="O682" s="370"/>
      <c r="P682" s="387">
        <v>49200000</v>
      </c>
      <c r="Q682" s="387"/>
      <c r="R682" s="387"/>
      <c r="S682" s="387">
        <v>8642700</v>
      </c>
      <c r="T682" s="387"/>
      <c r="U682" s="367">
        <v>44562</v>
      </c>
      <c r="V682" s="367">
        <v>44926</v>
      </c>
      <c r="W682" s="361" t="s">
        <v>250</v>
      </c>
      <c r="X682" s="361"/>
      <c r="Y682" s="361"/>
      <c r="Z682" s="361"/>
      <c r="AA682" s="361"/>
      <c r="AB682" s="361"/>
      <c r="AC682" s="159"/>
      <c r="AD682" s="361" t="s">
        <v>2499</v>
      </c>
      <c r="AE682" s="364">
        <v>4500019109</v>
      </c>
      <c r="AF682" s="364"/>
      <c r="AG682" s="361"/>
      <c r="AH682" s="365"/>
      <c r="AI682" s="361"/>
      <c r="AJ682" s="361"/>
      <c r="AK682" s="361"/>
      <c r="AL682" s="361"/>
      <c r="AM682" s="361"/>
      <c r="AN682" s="361"/>
      <c r="AO682" s="361"/>
      <c r="AP682" s="361"/>
      <c r="AQ682" s="361"/>
      <c r="AR682" s="503"/>
      <c r="AS682" s="489"/>
      <c r="AT682" s="160"/>
      <c r="AU682" s="355"/>
    </row>
    <row r="683" spans="1:47" s="124" customFormat="1" ht="21.75" hidden="1" customHeight="1">
      <c r="A683" s="331">
        <v>682</v>
      </c>
      <c r="B683" s="361" t="s">
        <v>2500</v>
      </c>
      <c r="C683" s="361" t="s">
        <v>2501</v>
      </c>
      <c r="D683" s="436" t="s">
        <v>1316</v>
      </c>
      <c r="E683" s="361" t="str">
        <f t="shared" si="10"/>
        <v>LOSS</v>
      </c>
      <c r="F683" s="361"/>
      <c r="G683" s="361"/>
      <c r="H683" s="361" t="s">
        <v>327</v>
      </c>
      <c r="I683" s="361" t="s">
        <v>242</v>
      </c>
      <c r="J683" s="361" t="s">
        <v>2502</v>
      </c>
      <c r="K683" s="365"/>
      <c r="L683" s="361"/>
      <c r="M683" s="361"/>
      <c r="N683" s="361"/>
      <c r="O683" s="370">
        <v>5000000</v>
      </c>
      <c r="P683" s="387">
        <v>132000000</v>
      </c>
      <c r="Q683" s="387"/>
      <c r="R683" s="387">
        <v>2500000</v>
      </c>
      <c r="S683" s="387">
        <v>12000000</v>
      </c>
      <c r="T683" s="387"/>
      <c r="U683" s="367">
        <v>44641</v>
      </c>
      <c r="V683" s="367">
        <v>45005</v>
      </c>
      <c r="W683" s="361" t="s">
        <v>250</v>
      </c>
      <c r="X683" s="361"/>
      <c r="Y683" s="361"/>
      <c r="Z683" s="361"/>
      <c r="AA683" s="361"/>
      <c r="AB683" s="361"/>
      <c r="AC683" s="159"/>
      <c r="AD683" s="361" t="s">
        <v>2503</v>
      </c>
      <c r="AE683" s="364">
        <v>4500017773</v>
      </c>
      <c r="AF683" s="364"/>
      <c r="AG683" s="361"/>
      <c r="AH683" s="365"/>
      <c r="AI683" s="361"/>
      <c r="AJ683" s="361"/>
      <c r="AK683" s="361"/>
      <c r="AL683" s="361"/>
      <c r="AM683" s="361"/>
      <c r="AN683" s="361"/>
      <c r="AO683" s="361"/>
      <c r="AP683" s="361"/>
      <c r="AQ683" s="361"/>
      <c r="AR683" s="503"/>
      <c r="AS683" s="489"/>
      <c r="AT683" s="160"/>
      <c r="AU683" s="355"/>
    </row>
    <row r="684" spans="1:47" s="124" customFormat="1" ht="21.75" hidden="1" customHeight="1">
      <c r="A684" s="331">
        <v>683</v>
      </c>
      <c r="B684" s="159" t="s">
        <v>903</v>
      </c>
      <c r="C684" s="361" t="s">
        <v>2451</v>
      </c>
      <c r="D684" s="435" t="s">
        <v>2504</v>
      </c>
      <c r="E684" s="361" t="str">
        <f t="shared" si="10"/>
        <v>LOSS</v>
      </c>
      <c r="F684" s="361"/>
      <c r="G684" s="361"/>
      <c r="H684" s="361" t="s">
        <v>327</v>
      </c>
      <c r="I684" s="361" t="s">
        <v>242</v>
      </c>
      <c r="J684" s="361" t="s">
        <v>212</v>
      </c>
      <c r="K684" s="365"/>
      <c r="L684" s="361"/>
      <c r="M684" s="361"/>
      <c r="N684" s="361"/>
      <c r="O684" s="370">
        <v>5000000</v>
      </c>
      <c r="P684" s="387">
        <v>38568000</v>
      </c>
      <c r="Q684" s="387"/>
      <c r="R684" s="387"/>
      <c r="S684" s="387">
        <v>12000000</v>
      </c>
      <c r="T684" s="387"/>
      <c r="U684" s="367">
        <v>44593</v>
      </c>
      <c r="V684" s="367">
        <v>44957</v>
      </c>
      <c r="W684" s="361" t="s">
        <v>250</v>
      </c>
      <c r="X684" s="361"/>
      <c r="Y684" s="361"/>
      <c r="Z684" s="361"/>
      <c r="AA684" s="361"/>
      <c r="AB684" s="361"/>
      <c r="AC684" s="159"/>
      <c r="AD684" s="361" t="s">
        <v>2505</v>
      </c>
      <c r="AE684" s="364">
        <v>4500017597</v>
      </c>
      <c r="AF684" s="364"/>
      <c r="AG684" s="361"/>
      <c r="AH684" s="365"/>
      <c r="AI684" s="361"/>
      <c r="AJ684" s="361"/>
      <c r="AK684" s="361"/>
      <c r="AL684" s="361"/>
      <c r="AM684" s="361"/>
      <c r="AN684" s="361"/>
      <c r="AO684" s="361"/>
      <c r="AP684" s="361"/>
      <c r="AQ684" s="361"/>
      <c r="AR684" s="503"/>
      <c r="AS684" s="489"/>
      <c r="AT684" s="160"/>
      <c r="AU684" s="355"/>
    </row>
    <row r="685" spans="1:47" s="124" customFormat="1" ht="21.75" hidden="1" customHeight="1">
      <c r="A685" s="331">
        <v>684</v>
      </c>
      <c r="B685" s="28" t="s">
        <v>129</v>
      </c>
      <c r="C685" s="361" t="s">
        <v>2506</v>
      </c>
      <c r="D685" s="438" t="s">
        <v>2507</v>
      </c>
      <c r="E685" s="361" t="str">
        <f t="shared" si="10"/>
        <v>LOSS</v>
      </c>
      <c r="F685" s="361"/>
      <c r="G685" s="361"/>
      <c r="H685" s="361" t="s">
        <v>327</v>
      </c>
      <c r="I685" s="160" t="s">
        <v>346</v>
      </c>
      <c r="J685" s="361" t="s">
        <v>132</v>
      </c>
      <c r="K685" s="365"/>
      <c r="L685" s="361"/>
      <c r="M685" s="361"/>
      <c r="N685" s="361"/>
      <c r="O685" s="370">
        <v>4000000</v>
      </c>
      <c r="P685" s="387">
        <v>414000000</v>
      </c>
      <c r="Q685" s="387"/>
      <c r="R685" s="387"/>
      <c r="S685" s="387">
        <v>13594500</v>
      </c>
      <c r="T685" s="387"/>
      <c r="U685" s="367">
        <v>44615</v>
      </c>
      <c r="V685" s="367">
        <v>44979</v>
      </c>
      <c r="W685" s="361" t="s">
        <v>250</v>
      </c>
      <c r="X685" s="361"/>
      <c r="Y685" s="361"/>
      <c r="Z685" s="361"/>
      <c r="AA685" s="361"/>
      <c r="AB685" s="361"/>
      <c r="AC685" s="159"/>
      <c r="AD685" s="361" t="s">
        <v>2508</v>
      </c>
      <c r="AE685" s="364">
        <v>4500017659</v>
      </c>
      <c r="AF685" s="364"/>
      <c r="AG685" s="361"/>
      <c r="AH685" s="365"/>
      <c r="AI685" s="361"/>
      <c r="AJ685" s="361"/>
      <c r="AK685" s="361"/>
      <c r="AL685" s="361"/>
      <c r="AM685" s="361"/>
      <c r="AN685" s="361"/>
      <c r="AO685" s="361"/>
      <c r="AP685" s="361"/>
      <c r="AQ685" s="361"/>
      <c r="AR685" s="503"/>
      <c r="AS685" s="489"/>
      <c r="AT685" s="160"/>
      <c r="AU685" s="355"/>
    </row>
    <row r="686" spans="1:47" s="124" customFormat="1" ht="21.75" hidden="1" customHeight="1">
      <c r="A686" s="331">
        <v>685</v>
      </c>
      <c r="B686" s="361" t="s">
        <v>2509</v>
      </c>
      <c r="C686" s="361" t="s">
        <v>2510</v>
      </c>
      <c r="D686" s="435" t="s">
        <v>2511</v>
      </c>
      <c r="E686" s="361" t="str">
        <f t="shared" si="10"/>
        <v>LOSS</v>
      </c>
      <c r="F686" s="361"/>
      <c r="G686" s="361"/>
      <c r="H686" s="361" t="s">
        <v>327</v>
      </c>
      <c r="I686" s="361" t="s">
        <v>242</v>
      </c>
      <c r="J686" s="361" t="s">
        <v>2512</v>
      </c>
      <c r="K686" s="365"/>
      <c r="L686" s="361"/>
      <c r="M686" s="361"/>
      <c r="N686" s="361"/>
      <c r="O686" s="370"/>
      <c r="P686" s="387">
        <v>600000000</v>
      </c>
      <c r="Q686" s="387"/>
      <c r="R686" s="387"/>
      <c r="S686" s="387">
        <v>35000000</v>
      </c>
      <c r="T686" s="387"/>
      <c r="U686" s="367">
        <v>44621</v>
      </c>
      <c r="V686" s="367">
        <v>44985</v>
      </c>
      <c r="W686" s="361" t="s">
        <v>250</v>
      </c>
      <c r="X686" s="361"/>
      <c r="Y686" s="361"/>
      <c r="Z686" s="361"/>
      <c r="AA686" s="361"/>
      <c r="AB686" s="361"/>
      <c r="AC686" s="159"/>
      <c r="AD686" s="361" t="s">
        <v>2513</v>
      </c>
      <c r="AE686" s="364">
        <v>4500017682</v>
      </c>
      <c r="AF686" s="364"/>
      <c r="AG686" s="361"/>
      <c r="AH686" s="365"/>
      <c r="AI686" s="361"/>
      <c r="AJ686" s="361"/>
      <c r="AK686" s="361"/>
      <c r="AL686" s="361"/>
      <c r="AM686" s="361"/>
      <c r="AN686" s="361"/>
      <c r="AO686" s="361"/>
      <c r="AP686" s="361"/>
      <c r="AQ686" s="361"/>
      <c r="AR686" s="503"/>
      <c r="AS686" s="489"/>
      <c r="AT686" s="160"/>
      <c r="AU686" s="355"/>
    </row>
    <row r="687" spans="1:47" s="124" customFormat="1" ht="21.75" hidden="1" customHeight="1">
      <c r="A687" s="331">
        <v>686</v>
      </c>
      <c r="B687" s="361" t="s">
        <v>2514</v>
      </c>
      <c r="C687" s="361" t="s">
        <v>2515</v>
      </c>
      <c r="D687" s="436" t="s">
        <v>590</v>
      </c>
      <c r="E687" s="361" t="str">
        <f t="shared" si="10"/>
        <v>LOSS</v>
      </c>
      <c r="F687" s="361"/>
      <c r="G687" s="361"/>
      <c r="H687" s="361" t="s">
        <v>327</v>
      </c>
      <c r="I687" s="160" t="s">
        <v>346</v>
      </c>
      <c r="J687" s="361" t="s">
        <v>2516</v>
      </c>
      <c r="K687" s="365"/>
      <c r="L687" s="361"/>
      <c r="M687" s="361"/>
      <c r="N687" s="361"/>
      <c r="O687" s="370">
        <v>5000000</v>
      </c>
      <c r="P687" s="387">
        <v>34024992</v>
      </c>
      <c r="Q687" s="387"/>
      <c r="R687" s="387"/>
      <c r="S687" s="387">
        <v>5000000</v>
      </c>
      <c r="T687" s="387"/>
      <c r="U687" s="367">
        <v>44621</v>
      </c>
      <c r="V687" s="367">
        <v>44985</v>
      </c>
      <c r="W687" s="361" t="s">
        <v>250</v>
      </c>
      <c r="X687" s="361"/>
      <c r="Y687" s="361"/>
      <c r="Z687" s="361"/>
      <c r="AA687" s="361"/>
      <c r="AB687" s="361"/>
      <c r="AC687" s="159"/>
      <c r="AD687" s="361" t="s">
        <v>2517</v>
      </c>
      <c r="AE687" s="364">
        <v>4500018001</v>
      </c>
      <c r="AF687" s="364"/>
      <c r="AG687" s="361"/>
      <c r="AH687" s="365"/>
      <c r="AI687" s="361"/>
      <c r="AJ687" s="361"/>
      <c r="AK687" s="361"/>
      <c r="AL687" s="361"/>
      <c r="AM687" s="361"/>
      <c r="AN687" s="361"/>
      <c r="AO687" s="361"/>
      <c r="AP687" s="361"/>
      <c r="AQ687" s="361"/>
      <c r="AR687" s="503"/>
      <c r="AS687" s="489"/>
      <c r="AT687" s="160"/>
      <c r="AU687" s="355"/>
    </row>
    <row r="688" spans="1:47" s="124" customFormat="1" ht="21.75" hidden="1" customHeight="1">
      <c r="A688" s="331">
        <v>687</v>
      </c>
      <c r="B688" s="361" t="s">
        <v>348</v>
      </c>
      <c r="C688" s="361" t="s">
        <v>1142</v>
      </c>
      <c r="D688" s="435" t="s">
        <v>1187</v>
      </c>
      <c r="E688" s="361" t="str">
        <f t="shared" si="10"/>
        <v>LOSS</v>
      </c>
      <c r="F688" s="361"/>
      <c r="G688" s="361"/>
      <c r="H688" s="361" t="s">
        <v>327</v>
      </c>
      <c r="I688" s="361" t="s">
        <v>242</v>
      </c>
      <c r="J688" s="361" t="s">
        <v>2518</v>
      </c>
      <c r="K688" s="365"/>
      <c r="L688" s="361"/>
      <c r="M688" s="361"/>
      <c r="N688" s="361"/>
      <c r="O688" s="370"/>
      <c r="P688" s="387">
        <v>21600000</v>
      </c>
      <c r="Q688" s="387"/>
      <c r="R688" s="387"/>
      <c r="S688" s="387">
        <v>12714168</v>
      </c>
      <c r="T688" s="387"/>
      <c r="U688" s="367">
        <v>44621</v>
      </c>
      <c r="V688" s="367">
        <v>44985</v>
      </c>
      <c r="W688" s="361" t="s">
        <v>250</v>
      </c>
      <c r="X688" s="361"/>
      <c r="Y688" s="361"/>
      <c r="Z688" s="361"/>
      <c r="AA688" s="361"/>
      <c r="AB688" s="361"/>
      <c r="AC688" s="159"/>
      <c r="AD688" s="361" t="s">
        <v>2519</v>
      </c>
      <c r="AE688" s="364">
        <v>4500017658</v>
      </c>
      <c r="AF688" s="364"/>
      <c r="AG688" s="361"/>
      <c r="AH688" s="365"/>
      <c r="AI688" s="361"/>
      <c r="AJ688" s="361"/>
      <c r="AK688" s="361"/>
      <c r="AL688" s="361"/>
      <c r="AM688" s="361"/>
      <c r="AN688" s="361"/>
      <c r="AO688" s="361"/>
      <c r="AP688" s="361"/>
      <c r="AQ688" s="361"/>
      <c r="AR688" s="503"/>
      <c r="AS688" s="489"/>
      <c r="AT688" s="160"/>
      <c r="AU688" s="355"/>
    </row>
    <row r="689" spans="1:47" s="124" customFormat="1" ht="21.75" hidden="1" customHeight="1">
      <c r="A689" s="331">
        <v>688</v>
      </c>
      <c r="B689" s="28" t="s">
        <v>1554</v>
      </c>
      <c r="C689" s="361" t="s">
        <v>2520</v>
      </c>
      <c r="D689" s="436" t="s">
        <v>2521</v>
      </c>
      <c r="E689" s="361" t="str">
        <f t="shared" si="10"/>
        <v>LOSS</v>
      </c>
      <c r="F689" s="361"/>
      <c r="G689" s="361"/>
      <c r="H689" s="28" t="s">
        <v>261</v>
      </c>
      <c r="I689" s="361" t="s">
        <v>243</v>
      </c>
      <c r="J689" s="361" t="s">
        <v>2522</v>
      </c>
      <c r="K689" s="361"/>
      <c r="L689" s="361"/>
      <c r="M689" s="361"/>
      <c r="N689" s="361"/>
      <c r="O689" s="370">
        <v>3000000</v>
      </c>
      <c r="P689" s="387">
        <v>48600000</v>
      </c>
      <c r="Q689" s="387"/>
      <c r="R689" s="387">
        <v>2500000</v>
      </c>
      <c r="S689" s="387">
        <v>33600000</v>
      </c>
      <c r="T689" s="387"/>
      <c r="U689" s="367">
        <v>44596</v>
      </c>
      <c r="V689" s="367">
        <v>44960</v>
      </c>
      <c r="W689" s="361" t="s">
        <v>250</v>
      </c>
      <c r="X689" s="361"/>
      <c r="Y689" s="361"/>
      <c r="Z689" s="361"/>
      <c r="AA689" s="361"/>
      <c r="AB689" s="361"/>
      <c r="AC689" s="159"/>
      <c r="AD689" s="361" t="s">
        <v>2523</v>
      </c>
      <c r="AE689" s="364">
        <v>4500017527</v>
      </c>
      <c r="AF689" s="364"/>
      <c r="AG689" s="361"/>
      <c r="AH689" s="361"/>
      <c r="AI689" s="361"/>
      <c r="AJ689" s="361"/>
      <c r="AK689" s="361"/>
      <c r="AL689" s="361"/>
      <c r="AM689" s="361"/>
      <c r="AN689" s="361"/>
      <c r="AO689" s="361"/>
      <c r="AP689" s="361"/>
      <c r="AQ689" s="361"/>
      <c r="AR689" s="503"/>
      <c r="AS689" s="489"/>
      <c r="AT689" s="160"/>
      <c r="AU689" s="355"/>
    </row>
    <row r="690" spans="1:47" s="124" customFormat="1" ht="21.75" hidden="1" customHeight="1">
      <c r="A690" s="331">
        <v>689</v>
      </c>
      <c r="B690" s="28" t="s">
        <v>1301</v>
      </c>
      <c r="C690" s="361" t="s">
        <v>1327</v>
      </c>
      <c r="D690" s="435" t="s">
        <v>2524</v>
      </c>
      <c r="E690" s="361" t="str">
        <f t="shared" si="10"/>
        <v>LOSS</v>
      </c>
      <c r="F690" s="361"/>
      <c r="G690" s="361"/>
      <c r="H690" s="28" t="s">
        <v>261</v>
      </c>
      <c r="I690" s="361" t="s">
        <v>243</v>
      </c>
      <c r="J690" s="361" t="s">
        <v>2525</v>
      </c>
      <c r="K690" s="361"/>
      <c r="L690" s="361"/>
      <c r="M690" s="361"/>
      <c r="N690" s="361"/>
      <c r="O690" s="370"/>
      <c r="P690" s="387">
        <v>154344727</v>
      </c>
      <c r="Q690" s="387"/>
      <c r="R690" s="387"/>
      <c r="S690" s="387">
        <v>56210000</v>
      </c>
      <c r="T690" s="387"/>
      <c r="U690" s="367">
        <v>44562</v>
      </c>
      <c r="V690" s="367">
        <v>44926</v>
      </c>
      <c r="W690" s="361" t="s">
        <v>250</v>
      </c>
      <c r="X690" s="361"/>
      <c r="Y690" s="361"/>
      <c r="Z690" s="361"/>
      <c r="AA690" s="361"/>
      <c r="AB690" s="361"/>
      <c r="AC690" s="159"/>
      <c r="AD690" s="361" t="s">
        <v>2526</v>
      </c>
      <c r="AE690" s="364">
        <v>4500017364</v>
      </c>
      <c r="AF690" s="364"/>
      <c r="AG690" s="361"/>
      <c r="AH690" s="361"/>
      <c r="AI690" s="361"/>
      <c r="AJ690" s="361"/>
      <c r="AK690" s="361"/>
      <c r="AL690" s="361"/>
      <c r="AM690" s="361"/>
      <c r="AN690" s="361"/>
      <c r="AO690" s="361"/>
      <c r="AP690" s="361"/>
      <c r="AQ690" s="361"/>
      <c r="AR690" s="503"/>
      <c r="AS690" s="489"/>
      <c r="AT690" s="160"/>
      <c r="AU690" s="355"/>
    </row>
    <row r="691" spans="1:47" s="124" customFormat="1" ht="21.75" hidden="1" customHeight="1">
      <c r="A691" s="331">
        <v>690</v>
      </c>
      <c r="B691" s="28" t="s">
        <v>1301</v>
      </c>
      <c r="C691" s="361" t="s">
        <v>1327</v>
      </c>
      <c r="D691" s="436" t="s">
        <v>2524</v>
      </c>
      <c r="E691" s="361" t="str">
        <f t="shared" si="10"/>
        <v>LOSS</v>
      </c>
      <c r="F691" s="361"/>
      <c r="G691" s="361"/>
      <c r="H691" s="28" t="s">
        <v>261</v>
      </c>
      <c r="I691" s="361" t="s">
        <v>243</v>
      </c>
      <c r="J691" s="361" t="s">
        <v>2527</v>
      </c>
      <c r="K691" s="361"/>
      <c r="L691" s="361"/>
      <c r="M691" s="361"/>
      <c r="N691" s="361"/>
      <c r="O691" s="370"/>
      <c r="P691" s="387">
        <v>818181</v>
      </c>
      <c r="Q691" s="387"/>
      <c r="R691" s="387"/>
      <c r="S691" s="387">
        <v>13727273</v>
      </c>
      <c r="T691" s="387"/>
      <c r="U691" s="367">
        <v>44593</v>
      </c>
      <c r="V691" s="367">
        <v>44985</v>
      </c>
      <c r="W691" s="361" t="s">
        <v>250</v>
      </c>
      <c r="X691" s="361"/>
      <c r="Y691" s="361"/>
      <c r="Z691" s="361"/>
      <c r="AA691" s="361"/>
      <c r="AB691" s="361"/>
      <c r="AC691" s="159"/>
      <c r="AD691" s="361" t="s">
        <v>2528</v>
      </c>
      <c r="AE691" s="364">
        <v>4500017628</v>
      </c>
      <c r="AF691" s="364"/>
      <c r="AG691" s="361"/>
      <c r="AH691" s="361"/>
      <c r="AI691" s="361"/>
      <c r="AJ691" s="361"/>
      <c r="AK691" s="361"/>
      <c r="AL691" s="361"/>
      <c r="AM691" s="361"/>
      <c r="AN691" s="361"/>
      <c r="AO691" s="361"/>
      <c r="AP691" s="361"/>
      <c r="AQ691" s="361"/>
      <c r="AR691" s="503"/>
      <c r="AS691" s="489"/>
      <c r="AT691" s="160"/>
      <c r="AU691" s="355"/>
    </row>
    <row r="692" spans="1:47" s="124" customFormat="1" ht="21.75" hidden="1" customHeight="1">
      <c r="A692" s="331">
        <v>691</v>
      </c>
      <c r="B692" s="361" t="s">
        <v>1336</v>
      </c>
      <c r="C692" s="361" t="s">
        <v>2529</v>
      </c>
      <c r="D692" s="435" t="s">
        <v>611</v>
      </c>
      <c r="E692" s="361" t="str">
        <f t="shared" si="10"/>
        <v>LOSS</v>
      </c>
      <c r="F692" s="361"/>
      <c r="G692" s="361"/>
      <c r="H692" s="361" t="s">
        <v>327</v>
      </c>
      <c r="I692" s="361" t="s">
        <v>242</v>
      </c>
      <c r="J692" s="361" t="s">
        <v>2530</v>
      </c>
      <c r="K692" s="365"/>
      <c r="L692" s="361"/>
      <c r="M692" s="361"/>
      <c r="N692" s="361"/>
      <c r="O692" s="370">
        <v>2500000</v>
      </c>
      <c r="P692" s="387">
        <v>36000000</v>
      </c>
      <c r="Q692" s="387"/>
      <c r="R692" s="387">
        <v>3000000</v>
      </c>
      <c r="S692" s="387">
        <v>6000000</v>
      </c>
      <c r="T692" s="387"/>
      <c r="U692" s="367">
        <v>44606</v>
      </c>
      <c r="V692" s="367">
        <v>44970</v>
      </c>
      <c r="W692" s="361" t="s">
        <v>250</v>
      </c>
      <c r="X692" s="361"/>
      <c r="Y692" s="361"/>
      <c r="Z692" s="361"/>
      <c r="AA692" s="361"/>
      <c r="AB692" s="361"/>
      <c r="AC692" s="159"/>
      <c r="AD692" s="361" t="s">
        <v>2531</v>
      </c>
      <c r="AE692" s="364">
        <v>4500017502</v>
      </c>
      <c r="AF692" s="364"/>
      <c r="AG692" s="361"/>
      <c r="AH692" s="365"/>
      <c r="AI692" s="361"/>
      <c r="AJ692" s="361"/>
      <c r="AK692" s="361"/>
      <c r="AL692" s="361"/>
      <c r="AM692" s="361"/>
      <c r="AN692" s="361"/>
      <c r="AO692" s="361"/>
      <c r="AP692" s="361"/>
      <c r="AQ692" s="361"/>
      <c r="AR692" s="503"/>
      <c r="AS692" s="489"/>
      <c r="AT692" s="160"/>
      <c r="AU692" s="355"/>
    </row>
    <row r="693" spans="1:47" s="124" customFormat="1" ht="21.75" hidden="1" customHeight="1">
      <c r="A693" s="331">
        <v>692</v>
      </c>
      <c r="B693" s="361" t="s">
        <v>97</v>
      </c>
      <c r="C693" s="361" t="s">
        <v>2532</v>
      </c>
      <c r="D693" s="436" t="s">
        <v>2462</v>
      </c>
      <c r="E693" s="361" t="str">
        <f t="shared" si="10"/>
        <v>LOSS</v>
      </c>
      <c r="F693" s="361"/>
      <c r="G693" s="361"/>
      <c r="H693" s="361" t="s">
        <v>327</v>
      </c>
      <c r="I693" s="361" t="s">
        <v>242</v>
      </c>
      <c r="J693" s="361" t="s">
        <v>2533</v>
      </c>
      <c r="K693" s="365"/>
      <c r="L693" s="361"/>
      <c r="M693" s="361"/>
      <c r="N693" s="361"/>
      <c r="O693" s="370">
        <v>12000000</v>
      </c>
      <c r="P693" s="387">
        <v>72000000</v>
      </c>
      <c r="Q693" s="387"/>
      <c r="R693" s="387">
        <v>3000000</v>
      </c>
      <c r="S693" s="387">
        <v>12000000</v>
      </c>
      <c r="T693" s="387"/>
      <c r="U693" s="367">
        <v>44602</v>
      </c>
      <c r="V693" s="367">
        <v>44966</v>
      </c>
      <c r="W693" s="361" t="s">
        <v>250</v>
      </c>
      <c r="X693" s="361"/>
      <c r="Y693" s="361"/>
      <c r="Z693" s="361"/>
      <c r="AA693" s="361"/>
      <c r="AB693" s="361"/>
      <c r="AC693" s="159"/>
      <c r="AD693" s="361" t="s">
        <v>2534</v>
      </c>
      <c r="AE693" s="364">
        <v>4500017633</v>
      </c>
      <c r="AF693" s="364"/>
      <c r="AG693" s="361"/>
      <c r="AH693" s="365"/>
      <c r="AI693" s="361"/>
      <c r="AJ693" s="361"/>
      <c r="AK693" s="361"/>
      <c r="AL693" s="361"/>
      <c r="AM693" s="361"/>
      <c r="AN693" s="361"/>
      <c r="AO693" s="361"/>
      <c r="AP693" s="361"/>
      <c r="AQ693" s="361"/>
      <c r="AR693" s="503"/>
      <c r="AS693" s="489"/>
      <c r="AT693" s="160"/>
      <c r="AU693" s="355"/>
    </row>
    <row r="694" spans="1:47" s="124" customFormat="1" ht="21.75" hidden="1" customHeight="1">
      <c r="A694" s="331">
        <v>693</v>
      </c>
      <c r="B694" s="361" t="s">
        <v>71</v>
      </c>
      <c r="C694" s="361" t="s">
        <v>2451</v>
      </c>
      <c r="D694" s="435" t="s">
        <v>2444</v>
      </c>
      <c r="E694" s="361" t="str">
        <f t="shared" si="10"/>
        <v>LOSS</v>
      </c>
      <c r="F694" s="361"/>
      <c r="G694" s="361"/>
      <c r="H694" s="361" t="s">
        <v>327</v>
      </c>
      <c r="I694" s="361" t="s">
        <v>242</v>
      </c>
      <c r="J694" s="361" t="s">
        <v>2535</v>
      </c>
      <c r="K694" s="365"/>
      <c r="L694" s="361"/>
      <c r="M694" s="361"/>
      <c r="N694" s="361"/>
      <c r="O694" s="370">
        <v>5000000</v>
      </c>
      <c r="P694" s="387">
        <v>71928000</v>
      </c>
      <c r="Q694" s="387"/>
      <c r="R694" s="387">
        <v>1500000</v>
      </c>
      <c r="S694" s="387">
        <v>18000000</v>
      </c>
      <c r="T694" s="387"/>
      <c r="U694" s="367">
        <v>44600</v>
      </c>
      <c r="V694" s="367">
        <v>44964</v>
      </c>
      <c r="W694" s="361" t="s">
        <v>250</v>
      </c>
      <c r="X694" s="361"/>
      <c r="Y694" s="361"/>
      <c r="Z694" s="361"/>
      <c r="AA694" s="361"/>
      <c r="AB694" s="361"/>
      <c r="AC694" s="159"/>
      <c r="AD694" s="368"/>
      <c r="AE694" s="364">
        <v>4500017576</v>
      </c>
      <c r="AF694" s="364"/>
      <c r="AG694" s="361"/>
      <c r="AH694" s="365"/>
      <c r="AI694" s="361"/>
      <c r="AJ694" s="361"/>
      <c r="AK694" s="361"/>
      <c r="AL694" s="361"/>
      <c r="AM694" s="361"/>
      <c r="AN694" s="361"/>
      <c r="AO694" s="361"/>
      <c r="AP694" s="361"/>
      <c r="AQ694" s="361"/>
      <c r="AR694" s="503"/>
      <c r="AS694" s="489"/>
      <c r="AT694" s="160"/>
      <c r="AU694" s="355"/>
    </row>
    <row r="695" spans="1:47" s="124" customFormat="1" ht="21.75" hidden="1" customHeight="1">
      <c r="A695" s="331">
        <v>694</v>
      </c>
      <c r="B695" s="361" t="s">
        <v>2536</v>
      </c>
      <c r="C695" s="361" t="s">
        <v>1327</v>
      </c>
      <c r="D695" s="436" t="s">
        <v>2537</v>
      </c>
      <c r="E695" s="361" t="str">
        <f t="shared" si="10"/>
        <v>LOSS</v>
      </c>
      <c r="F695" s="361"/>
      <c r="G695" s="361"/>
      <c r="H695" s="28" t="s">
        <v>261</v>
      </c>
      <c r="I695" s="361" t="s">
        <v>243</v>
      </c>
      <c r="J695" s="361" t="s">
        <v>1329</v>
      </c>
      <c r="K695" s="361"/>
      <c r="L695" s="361"/>
      <c r="M695" s="361"/>
      <c r="N695" s="361"/>
      <c r="O695" s="370"/>
      <c r="P695" s="387">
        <v>21818181</v>
      </c>
      <c r="Q695" s="387"/>
      <c r="R695" s="387"/>
      <c r="S695" s="387">
        <v>15000000</v>
      </c>
      <c r="T695" s="387"/>
      <c r="U695" s="367">
        <v>44562</v>
      </c>
      <c r="V695" s="367">
        <v>44926</v>
      </c>
      <c r="W695" s="361" t="s">
        <v>250</v>
      </c>
      <c r="X695" s="361"/>
      <c r="Y695" s="361"/>
      <c r="Z695" s="361"/>
      <c r="AA695" s="361"/>
      <c r="AB695" s="361"/>
      <c r="AC695" s="159"/>
      <c r="AD695" s="361" t="s">
        <v>2538</v>
      </c>
      <c r="AE695" s="364">
        <v>4500017424</v>
      </c>
      <c r="AF695" s="364"/>
      <c r="AG695" s="361"/>
      <c r="AH695" s="361"/>
      <c r="AI695" s="361"/>
      <c r="AJ695" s="361"/>
      <c r="AK695" s="361"/>
      <c r="AL695" s="361"/>
      <c r="AM695" s="361"/>
      <c r="AN695" s="361"/>
      <c r="AO695" s="361"/>
      <c r="AP695" s="361"/>
      <c r="AQ695" s="361"/>
      <c r="AR695" s="503"/>
      <c r="AS695" s="489"/>
      <c r="AT695" s="160"/>
      <c r="AU695" s="355"/>
    </row>
    <row r="696" spans="1:47" s="124" customFormat="1" ht="21.75" hidden="1" customHeight="1">
      <c r="A696" s="331">
        <v>695</v>
      </c>
      <c r="B696" s="361" t="s">
        <v>71</v>
      </c>
      <c r="C696" s="361" t="s">
        <v>2539</v>
      </c>
      <c r="D696" s="435" t="s">
        <v>572</v>
      </c>
      <c r="E696" s="361" t="str">
        <f t="shared" si="10"/>
        <v>LOSS</v>
      </c>
      <c r="F696" s="361"/>
      <c r="G696" s="361"/>
      <c r="H696" s="361" t="s">
        <v>327</v>
      </c>
      <c r="I696" s="361" t="s">
        <v>242</v>
      </c>
      <c r="J696" s="361" t="s">
        <v>87</v>
      </c>
      <c r="K696" s="365"/>
      <c r="L696" s="361"/>
      <c r="M696" s="361"/>
      <c r="N696" s="361"/>
      <c r="O696" s="370">
        <v>3500000</v>
      </c>
      <c r="P696" s="387">
        <v>54000000</v>
      </c>
      <c r="Q696" s="387"/>
      <c r="R696" s="387">
        <v>1500000</v>
      </c>
      <c r="S696" s="387">
        <v>18000000</v>
      </c>
      <c r="T696" s="387"/>
      <c r="U696" s="367">
        <v>44587</v>
      </c>
      <c r="V696" s="367">
        <v>44951</v>
      </c>
      <c r="W696" s="361" t="s">
        <v>250</v>
      </c>
      <c r="X696" s="361"/>
      <c r="Y696" s="361"/>
      <c r="Z696" s="361"/>
      <c r="AA696" s="361"/>
      <c r="AB696" s="361"/>
      <c r="AC696" s="159"/>
      <c r="AD696" s="361" t="s">
        <v>2540</v>
      </c>
      <c r="AE696" s="364">
        <v>4500017451</v>
      </c>
      <c r="AF696" s="364"/>
      <c r="AG696" s="361"/>
      <c r="AH696" s="365"/>
      <c r="AI696" s="361"/>
      <c r="AJ696" s="361"/>
      <c r="AK696" s="361"/>
      <c r="AL696" s="361"/>
      <c r="AM696" s="361"/>
      <c r="AN696" s="361"/>
      <c r="AO696" s="361"/>
      <c r="AP696" s="361"/>
      <c r="AQ696" s="361"/>
      <c r="AR696" s="503"/>
      <c r="AS696" s="489"/>
      <c r="AT696" s="160"/>
      <c r="AU696" s="355"/>
    </row>
    <row r="697" spans="1:47" s="124" customFormat="1" ht="21.75" hidden="1" customHeight="1">
      <c r="A697" s="331">
        <v>696</v>
      </c>
      <c r="B697" s="28" t="s">
        <v>179</v>
      </c>
      <c r="C697" s="361" t="s">
        <v>2277</v>
      </c>
      <c r="D697" s="436" t="s">
        <v>560</v>
      </c>
      <c r="E697" s="361" t="str">
        <f t="shared" si="10"/>
        <v>LOSS</v>
      </c>
      <c r="F697" s="361"/>
      <c r="G697" s="361"/>
      <c r="H697" s="361" t="s">
        <v>327</v>
      </c>
      <c r="I697" s="361" t="s">
        <v>242</v>
      </c>
      <c r="J697" s="361" t="s">
        <v>175</v>
      </c>
      <c r="K697" s="365"/>
      <c r="L697" s="361"/>
      <c r="M697" s="361"/>
      <c r="N697" s="361"/>
      <c r="O697" s="370">
        <v>5000000</v>
      </c>
      <c r="P697" s="387">
        <v>1080000000</v>
      </c>
      <c r="Q697" s="387"/>
      <c r="R697" s="387">
        <v>1500000</v>
      </c>
      <c r="S697" s="387">
        <v>18000000</v>
      </c>
      <c r="T697" s="387"/>
      <c r="U697" s="367">
        <v>44578</v>
      </c>
      <c r="V697" s="367">
        <v>44942</v>
      </c>
      <c r="W697" s="361" t="s">
        <v>250</v>
      </c>
      <c r="X697" s="361"/>
      <c r="Y697" s="361"/>
      <c r="Z697" s="361"/>
      <c r="AA697" s="361"/>
      <c r="AB697" s="361"/>
      <c r="AC697" s="159"/>
      <c r="AD697" s="361" t="s">
        <v>2541</v>
      </c>
      <c r="AE697" s="364">
        <v>4500017499</v>
      </c>
      <c r="AF697" s="364"/>
      <c r="AG697" s="361"/>
      <c r="AH697" s="365"/>
      <c r="AI697" s="361"/>
      <c r="AJ697" s="361"/>
      <c r="AK697" s="361"/>
      <c r="AL697" s="361"/>
      <c r="AM697" s="361"/>
      <c r="AN697" s="361"/>
      <c r="AO697" s="361"/>
      <c r="AP697" s="361"/>
      <c r="AQ697" s="361"/>
      <c r="AR697" s="503"/>
      <c r="AS697" s="489"/>
      <c r="AT697" s="160"/>
      <c r="AU697" s="355"/>
    </row>
    <row r="698" spans="1:47" s="124" customFormat="1" ht="21.75" hidden="1" customHeight="1">
      <c r="A698" s="331">
        <v>697</v>
      </c>
      <c r="B698" s="361" t="s">
        <v>37</v>
      </c>
      <c r="C698" s="361" t="s">
        <v>1327</v>
      </c>
      <c r="D698" s="435" t="s">
        <v>1129</v>
      </c>
      <c r="E698" s="361" t="str">
        <f t="shared" si="10"/>
        <v>LOSS</v>
      </c>
      <c r="F698" s="361"/>
      <c r="G698" s="361"/>
      <c r="H698" s="28" t="s">
        <v>261</v>
      </c>
      <c r="I698" s="361" t="s">
        <v>243</v>
      </c>
      <c r="J698" s="361" t="s">
        <v>2542</v>
      </c>
      <c r="K698" s="361"/>
      <c r="L698" s="361"/>
      <c r="M698" s="361"/>
      <c r="N698" s="361"/>
      <c r="O698" s="370"/>
      <c r="P698" s="387">
        <v>73909091</v>
      </c>
      <c r="Q698" s="387"/>
      <c r="R698" s="387"/>
      <c r="S698" s="387">
        <v>19000000</v>
      </c>
      <c r="T698" s="387"/>
      <c r="U698" s="367">
        <v>44562</v>
      </c>
      <c r="V698" s="367">
        <v>44592</v>
      </c>
      <c r="W698" s="361" t="s">
        <v>250</v>
      </c>
      <c r="X698" s="361"/>
      <c r="Y698" s="361"/>
      <c r="Z698" s="361"/>
      <c r="AA698" s="361"/>
      <c r="AB698" s="361"/>
      <c r="AC698" s="159"/>
      <c r="AD698" s="361" t="s">
        <v>2543</v>
      </c>
      <c r="AE698" s="364">
        <v>4500017422</v>
      </c>
      <c r="AF698" s="364"/>
      <c r="AG698" s="361"/>
      <c r="AH698" s="361"/>
      <c r="AI698" s="361"/>
      <c r="AJ698" s="361"/>
      <c r="AK698" s="361"/>
      <c r="AL698" s="361"/>
      <c r="AM698" s="361"/>
      <c r="AN698" s="361"/>
      <c r="AO698" s="361"/>
      <c r="AP698" s="361"/>
      <c r="AQ698" s="361"/>
      <c r="AR698" s="503"/>
      <c r="AS698" s="489"/>
      <c r="AT698" s="160"/>
      <c r="AU698" s="355"/>
    </row>
    <row r="699" spans="1:47" s="124" customFormat="1" ht="21.75" hidden="1" customHeight="1">
      <c r="A699" s="331">
        <v>698</v>
      </c>
      <c r="B699" s="159" t="s">
        <v>645</v>
      </c>
      <c r="C699" s="361" t="s">
        <v>349</v>
      </c>
      <c r="D699" s="436" t="s">
        <v>646</v>
      </c>
      <c r="E699" s="361" t="str">
        <f t="shared" si="10"/>
        <v>LOSS</v>
      </c>
      <c r="F699" s="361"/>
      <c r="G699" s="361"/>
      <c r="H699" s="361" t="s">
        <v>327</v>
      </c>
      <c r="I699" s="160" t="s">
        <v>346</v>
      </c>
      <c r="J699" s="361" t="s">
        <v>203</v>
      </c>
      <c r="K699" s="365"/>
      <c r="L699" s="361"/>
      <c r="M699" s="361"/>
      <c r="N699" s="361"/>
      <c r="O699" s="370"/>
      <c r="P699" s="387">
        <v>34800000</v>
      </c>
      <c r="Q699" s="387"/>
      <c r="R699" s="387"/>
      <c r="S699" s="387">
        <v>1700000</v>
      </c>
      <c r="T699" s="387"/>
      <c r="U699" s="367">
        <v>44569</v>
      </c>
      <c r="V699" s="367">
        <v>44933</v>
      </c>
      <c r="W699" s="361" t="s">
        <v>250</v>
      </c>
      <c r="X699" s="361"/>
      <c r="Y699" s="361"/>
      <c r="Z699" s="361"/>
      <c r="AA699" s="361"/>
      <c r="AB699" s="361"/>
      <c r="AC699" s="159"/>
      <c r="AD699" s="368"/>
      <c r="AE699" s="364">
        <v>4500017487</v>
      </c>
      <c r="AF699" s="364"/>
      <c r="AG699" s="361"/>
      <c r="AH699" s="365"/>
      <c r="AI699" s="361"/>
      <c r="AJ699" s="361"/>
      <c r="AK699" s="361"/>
      <c r="AL699" s="361"/>
      <c r="AM699" s="361"/>
      <c r="AN699" s="361"/>
      <c r="AO699" s="361"/>
      <c r="AP699" s="361"/>
      <c r="AQ699" s="361"/>
      <c r="AR699" s="503"/>
      <c r="AS699" s="489"/>
      <c r="AT699" s="160"/>
      <c r="AU699" s="355"/>
    </row>
    <row r="700" spans="1:47" s="124" customFormat="1" ht="21.75" hidden="1" customHeight="1">
      <c r="A700" s="331">
        <v>699</v>
      </c>
      <c r="B700" s="28" t="s">
        <v>179</v>
      </c>
      <c r="C700" s="361" t="s">
        <v>2544</v>
      </c>
      <c r="D700" s="435" t="s">
        <v>560</v>
      </c>
      <c r="E700" s="361" t="str">
        <f t="shared" si="10"/>
        <v>LOSS</v>
      </c>
      <c r="F700" s="361"/>
      <c r="G700" s="361"/>
      <c r="H700" s="361" t="s">
        <v>327</v>
      </c>
      <c r="I700" s="361" t="s">
        <v>242</v>
      </c>
      <c r="J700" s="361"/>
      <c r="K700" s="365"/>
      <c r="L700" s="361"/>
      <c r="M700" s="361"/>
      <c r="N700" s="361"/>
      <c r="O700" s="370"/>
      <c r="P700" s="387"/>
      <c r="Q700" s="387"/>
      <c r="R700" s="387"/>
      <c r="S700" s="387">
        <v>18000000</v>
      </c>
      <c r="T700" s="387"/>
      <c r="U700" s="367">
        <v>44594</v>
      </c>
      <c r="V700" s="367">
        <v>44958</v>
      </c>
      <c r="W700" s="361" t="s">
        <v>250</v>
      </c>
      <c r="X700" s="361"/>
      <c r="Y700" s="361"/>
      <c r="Z700" s="361"/>
      <c r="AA700" s="361"/>
      <c r="AB700" s="361"/>
      <c r="AC700" s="159"/>
      <c r="AD700" s="361" t="s">
        <v>2545</v>
      </c>
      <c r="AE700" s="364">
        <v>4500017575</v>
      </c>
      <c r="AF700" s="364"/>
      <c r="AG700" s="361"/>
      <c r="AH700" s="365"/>
      <c r="AI700" s="361"/>
      <c r="AJ700" s="361"/>
      <c r="AK700" s="361"/>
      <c r="AL700" s="361"/>
      <c r="AM700" s="361"/>
      <c r="AN700" s="361"/>
      <c r="AO700" s="361"/>
      <c r="AP700" s="361"/>
      <c r="AQ700" s="361"/>
      <c r="AR700" s="503"/>
      <c r="AS700" s="489"/>
      <c r="AT700" s="160"/>
      <c r="AU700" s="355"/>
    </row>
    <row r="701" spans="1:47" s="124" customFormat="1" ht="21.75" hidden="1" customHeight="1">
      <c r="A701" s="331">
        <v>700</v>
      </c>
      <c r="B701" s="28" t="s">
        <v>521</v>
      </c>
      <c r="C701" s="361" t="s">
        <v>2546</v>
      </c>
      <c r="D701" s="436" t="s">
        <v>523</v>
      </c>
      <c r="E701" s="361" t="str">
        <f t="shared" si="10"/>
        <v>LOSS</v>
      </c>
      <c r="F701" s="361"/>
      <c r="G701" s="361"/>
      <c r="H701" s="28" t="s">
        <v>261</v>
      </c>
      <c r="I701" s="361" t="s">
        <v>243</v>
      </c>
      <c r="J701" s="361" t="s">
        <v>2547</v>
      </c>
      <c r="K701" s="361"/>
      <c r="L701" s="361"/>
      <c r="M701" s="361"/>
      <c r="N701" s="361"/>
      <c r="O701" s="370"/>
      <c r="P701" s="387">
        <v>232000000</v>
      </c>
      <c r="Q701" s="387"/>
      <c r="R701" s="387"/>
      <c r="S701" s="387">
        <v>4784000</v>
      </c>
      <c r="T701" s="387"/>
      <c r="U701" s="367">
        <v>44618</v>
      </c>
      <c r="V701" s="367">
        <v>45128</v>
      </c>
      <c r="W701" s="361" t="s">
        <v>250</v>
      </c>
      <c r="X701" s="361"/>
      <c r="Y701" s="361"/>
      <c r="Z701" s="361"/>
      <c r="AA701" s="361"/>
      <c r="AB701" s="361"/>
      <c r="AC701" s="159"/>
      <c r="AD701" s="361" t="s">
        <v>2548</v>
      </c>
      <c r="AE701" s="364">
        <v>4500017771</v>
      </c>
      <c r="AF701" s="364"/>
      <c r="AG701" s="361"/>
      <c r="AH701" s="361"/>
      <c r="AI701" s="361"/>
      <c r="AJ701" s="361"/>
      <c r="AK701" s="361"/>
      <c r="AL701" s="361"/>
      <c r="AM701" s="361"/>
      <c r="AN701" s="361"/>
      <c r="AO701" s="361"/>
      <c r="AP701" s="361"/>
      <c r="AQ701" s="361"/>
      <c r="AR701" s="503"/>
      <c r="AS701" s="489"/>
      <c r="AT701" s="160"/>
      <c r="AU701" s="355"/>
    </row>
    <row r="702" spans="1:47" s="124" customFormat="1" ht="21.75" hidden="1" customHeight="1">
      <c r="A702" s="331">
        <v>701</v>
      </c>
      <c r="B702" s="361" t="s">
        <v>628</v>
      </c>
      <c r="C702" s="361" t="s">
        <v>2549</v>
      </c>
      <c r="D702" s="435" t="s">
        <v>630</v>
      </c>
      <c r="E702" s="361" t="str">
        <f t="shared" si="10"/>
        <v>LOSS</v>
      </c>
      <c r="F702" s="361"/>
      <c r="G702" s="361"/>
      <c r="H702" s="28" t="s">
        <v>261</v>
      </c>
      <c r="I702" s="361" t="s">
        <v>243</v>
      </c>
      <c r="J702" s="361" t="s">
        <v>747</v>
      </c>
      <c r="K702" s="361"/>
      <c r="L702" s="361"/>
      <c r="M702" s="361"/>
      <c r="N702" s="361"/>
      <c r="O702" s="370"/>
      <c r="P702" s="387">
        <v>89296800</v>
      </c>
      <c r="Q702" s="387"/>
      <c r="R702" s="387"/>
      <c r="S702" s="387">
        <v>11160000</v>
      </c>
      <c r="T702" s="387"/>
      <c r="U702" s="367">
        <v>44531</v>
      </c>
      <c r="V702" s="367">
        <v>44895</v>
      </c>
      <c r="W702" s="361" t="s">
        <v>250</v>
      </c>
      <c r="X702" s="361"/>
      <c r="Y702" s="361"/>
      <c r="Z702" s="361"/>
      <c r="AA702" s="361"/>
      <c r="AB702" s="361"/>
      <c r="AC702" s="159"/>
      <c r="AD702" s="361" t="s">
        <v>2550</v>
      </c>
      <c r="AE702" s="364">
        <v>4500017490</v>
      </c>
      <c r="AF702" s="364"/>
      <c r="AG702" s="160" t="s">
        <v>633</v>
      </c>
      <c r="AH702" s="174" t="s">
        <v>634</v>
      </c>
      <c r="AI702" s="361"/>
      <c r="AJ702" s="361"/>
      <c r="AK702" s="361"/>
      <c r="AL702" s="361"/>
      <c r="AM702" s="361"/>
      <c r="AN702" s="361"/>
      <c r="AO702" s="361"/>
      <c r="AP702" s="361"/>
      <c r="AQ702" s="361"/>
      <c r="AR702" s="503"/>
      <c r="AS702" s="489"/>
      <c r="AT702" s="160"/>
      <c r="AU702" s="355"/>
    </row>
    <row r="703" spans="1:47" s="124" customFormat="1" ht="21.75" hidden="1" customHeight="1">
      <c r="A703" s="331">
        <v>702</v>
      </c>
      <c r="B703" s="361" t="s">
        <v>2551</v>
      </c>
      <c r="C703" s="361" t="s">
        <v>615</v>
      </c>
      <c r="D703" s="436" t="s">
        <v>2552</v>
      </c>
      <c r="E703" s="361" t="str">
        <f t="shared" si="10"/>
        <v>LOSS</v>
      </c>
      <c r="F703" s="361"/>
      <c r="G703" s="361"/>
      <c r="H703" s="361" t="s">
        <v>327</v>
      </c>
      <c r="I703" s="160" t="s">
        <v>346</v>
      </c>
      <c r="J703" s="361" t="s">
        <v>2553</v>
      </c>
      <c r="K703" s="365"/>
      <c r="L703" s="361"/>
      <c r="M703" s="361"/>
      <c r="N703" s="361"/>
      <c r="O703" s="370"/>
      <c r="P703" s="387">
        <v>324000000</v>
      </c>
      <c r="Q703" s="387"/>
      <c r="R703" s="387"/>
      <c r="S703" s="387">
        <v>21000000</v>
      </c>
      <c r="T703" s="387"/>
      <c r="U703" s="367">
        <v>43875</v>
      </c>
      <c r="V703" s="367">
        <v>44694</v>
      </c>
      <c r="W703" s="361" t="s">
        <v>250</v>
      </c>
      <c r="X703" s="361"/>
      <c r="Y703" s="361"/>
      <c r="Z703" s="361"/>
      <c r="AA703" s="361"/>
      <c r="AB703" s="361"/>
      <c r="AC703" s="159"/>
      <c r="AD703" s="361" t="s">
        <v>2554</v>
      </c>
      <c r="AE703" s="364">
        <v>4500016004</v>
      </c>
      <c r="AF703" s="364"/>
      <c r="AG703" s="361"/>
      <c r="AH703" s="365"/>
      <c r="AI703" s="361"/>
      <c r="AJ703" s="361"/>
      <c r="AK703" s="361"/>
      <c r="AL703" s="361"/>
      <c r="AM703" s="361"/>
      <c r="AN703" s="361"/>
      <c r="AO703" s="361"/>
      <c r="AP703" s="361"/>
      <c r="AQ703" s="361"/>
      <c r="AR703" s="503"/>
      <c r="AS703" s="489"/>
      <c r="AT703" s="160"/>
      <c r="AU703" s="355"/>
    </row>
    <row r="704" spans="1:47" s="124" customFormat="1" ht="21.75" hidden="1" customHeight="1">
      <c r="A704" s="331">
        <v>703</v>
      </c>
      <c r="B704" s="361" t="s">
        <v>1374</v>
      </c>
      <c r="C704" s="361" t="s">
        <v>1375</v>
      </c>
      <c r="D704" s="435" t="s">
        <v>2555</v>
      </c>
      <c r="E704" s="361" t="str">
        <f t="shared" si="10"/>
        <v>LOSS</v>
      </c>
      <c r="F704" s="361"/>
      <c r="G704" s="361"/>
      <c r="H704" s="28" t="s">
        <v>261</v>
      </c>
      <c r="I704" s="361" t="s">
        <v>243</v>
      </c>
      <c r="J704" s="361" t="s">
        <v>2556</v>
      </c>
      <c r="K704" s="361"/>
      <c r="L704" s="361"/>
      <c r="M704" s="361"/>
      <c r="N704" s="361"/>
      <c r="O704" s="370"/>
      <c r="P704" s="387">
        <v>42000000</v>
      </c>
      <c r="Q704" s="387"/>
      <c r="R704" s="387"/>
      <c r="S704" s="387">
        <v>21630000</v>
      </c>
      <c r="T704" s="387"/>
      <c r="U704" s="367">
        <v>44676</v>
      </c>
      <c r="V704" s="367">
        <v>44804</v>
      </c>
      <c r="W704" s="361" t="s">
        <v>250</v>
      </c>
      <c r="X704" s="361"/>
      <c r="Y704" s="361"/>
      <c r="Z704" s="361"/>
      <c r="AA704" s="361"/>
      <c r="AB704" s="361"/>
      <c r="AC704" s="159"/>
      <c r="AD704" s="361" t="s">
        <v>2557</v>
      </c>
      <c r="AE704" s="364">
        <v>4500017897</v>
      </c>
      <c r="AF704" s="364"/>
      <c r="AG704" s="361"/>
      <c r="AH704" s="361"/>
      <c r="AI704" s="361"/>
      <c r="AJ704" s="361"/>
      <c r="AK704" s="361"/>
      <c r="AL704" s="361"/>
      <c r="AM704" s="361"/>
      <c r="AN704" s="361"/>
      <c r="AO704" s="361"/>
      <c r="AP704" s="361"/>
      <c r="AQ704" s="361"/>
      <c r="AR704" s="503"/>
      <c r="AS704" s="489"/>
      <c r="AT704" s="160"/>
      <c r="AU704" s="355"/>
    </row>
    <row r="705" spans="1:47" s="124" customFormat="1" ht="21.75" hidden="1" customHeight="1">
      <c r="A705" s="331">
        <v>704</v>
      </c>
      <c r="B705" s="159" t="s">
        <v>1537</v>
      </c>
      <c r="C705" s="361" t="s">
        <v>2558</v>
      </c>
      <c r="D705" s="436" t="s">
        <v>539</v>
      </c>
      <c r="E705" s="361" t="str">
        <f t="shared" si="10"/>
        <v>LOSS</v>
      </c>
      <c r="F705" s="361"/>
      <c r="G705" s="361"/>
      <c r="H705" s="361" t="s">
        <v>327</v>
      </c>
      <c r="I705" s="160" t="s">
        <v>346</v>
      </c>
      <c r="J705" s="361" t="s">
        <v>2559</v>
      </c>
      <c r="K705" s="365"/>
      <c r="L705" s="361"/>
      <c r="M705" s="361"/>
      <c r="N705" s="361"/>
      <c r="O705" s="370"/>
      <c r="P705" s="387">
        <v>222000000</v>
      </c>
      <c r="Q705" s="387"/>
      <c r="R705" s="387"/>
      <c r="S705" s="387">
        <v>90000000</v>
      </c>
      <c r="T705" s="387"/>
      <c r="U705" s="367">
        <v>44650</v>
      </c>
      <c r="V705" s="367">
        <v>45014</v>
      </c>
      <c r="W705" s="361" t="s">
        <v>250</v>
      </c>
      <c r="X705" s="361"/>
      <c r="Y705" s="361"/>
      <c r="Z705" s="361"/>
      <c r="AA705" s="361"/>
      <c r="AB705" s="361"/>
      <c r="AC705" s="159"/>
      <c r="AD705" s="361" t="s">
        <v>2560</v>
      </c>
      <c r="AE705" s="364">
        <v>4500017801</v>
      </c>
      <c r="AF705" s="364"/>
      <c r="AG705" s="361"/>
      <c r="AH705" s="365"/>
      <c r="AI705" s="361"/>
      <c r="AJ705" s="361"/>
      <c r="AK705" s="361"/>
      <c r="AL705" s="361"/>
      <c r="AM705" s="361"/>
      <c r="AN705" s="361"/>
      <c r="AO705" s="361"/>
      <c r="AP705" s="361"/>
      <c r="AQ705" s="361"/>
      <c r="AR705" s="503"/>
      <c r="AS705" s="489"/>
      <c r="AT705" s="160"/>
      <c r="AU705" s="355"/>
    </row>
    <row r="706" spans="1:47" s="124" customFormat="1" ht="21.75" hidden="1" customHeight="1">
      <c r="A706" s="331">
        <v>705</v>
      </c>
      <c r="B706" s="361" t="s">
        <v>1336</v>
      </c>
      <c r="C706" s="361" t="s">
        <v>2561</v>
      </c>
      <c r="D706" s="435" t="s">
        <v>611</v>
      </c>
      <c r="E706" s="361" t="str">
        <f t="shared" ref="E706:E769" si="11">IF(Z706&lt;=0, "LOSS",IF(Z706&lt;=15, "CRITICAL",IF(Z706&lt;=30, "WARNING",IF(Z706&lt;60, "ATTENTION", "ON TRACK"))))</f>
        <v>LOSS</v>
      </c>
      <c r="F706" s="361"/>
      <c r="G706" s="361"/>
      <c r="H706" s="361" t="s">
        <v>327</v>
      </c>
      <c r="I706" s="361" t="s">
        <v>242</v>
      </c>
      <c r="J706" s="361" t="s">
        <v>855</v>
      </c>
      <c r="K706" s="365"/>
      <c r="L706" s="361"/>
      <c r="M706" s="361"/>
      <c r="N706" s="361"/>
      <c r="O706" s="370"/>
      <c r="P706" s="387">
        <v>528000000</v>
      </c>
      <c r="Q706" s="387"/>
      <c r="R706" s="387"/>
      <c r="S706" s="387">
        <v>6000000</v>
      </c>
      <c r="T706" s="387"/>
      <c r="U706" s="367">
        <v>44667</v>
      </c>
      <c r="V706" s="367">
        <v>45031</v>
      </c>
      <c r="W706" s="361" t="s">
        <v>250</v>
      </c>
      <c r="X706" s="361"/>
      <c r="Y706" s="361"/>
      <c r="Z706" s="361"/>
      <c r="AA706" s="361"/>
      <c r="AB706" s="361"/>
      <c r="AC706" s="159"/>
      <c r="AD706" s="361" t="s">
        <v>2562</v>
      </c>
      <c r="AE706" s="364">
        <v>4500017852</v>
      </c>
      <c r="AF706" s="364"/>
      <c r="AG706" s="361"/>
      <c r="AH706" s="365"/>
      <c r="AI706" s="361"/>
      <c r="AJ706" s="361"/>
      <c r="AK706" s="361"/>
      <c r="AL706" s="361"/>
      <c r="AM706" s="361"/>
      <c r="AN706" s="361"/>
      <c r="AO706" s="361"/>
      <c r="AP706" s="361"/>
      <c r="AQ706" s="361"/>
      <c r="AR706" s="503"/>
      <c r="AS706" s="489"/>
      <c r="AT706" s="160"/>
      <c r="AU706" s="355"/>
    </row>
    <row r="707" spans="1:47" s="124" customFormat="1" ht="21.75" hidden="1" customHeight="1">
      <c r="A707" s="331">
        <v>706</v>
      </c>
      <c r="B707" s="361" t="s">
        <v>2563</v>
      </c>
      <c r="C707" s="361" t="s">
        <v>1253</v>
      </c>
      <c r="D707" s="436" t="s">
        <v>1269</v>
      </c>
      <c r="E707" s="361" t="str">
        <f t="shared" si="11"/>
        <v>LOSS</v>
      </c>
      <c r="F707" s="361"/>
      <c r="G707" s="361"/>
      <c r="H707" s="361" t="s">
        <v>327</v>
      </c>
      <c r="I707" s="160" t="s">
        <v>346</v>
      </c>
      <c r="J707" s="361"/>
      <c r="K707" s="365"/>
      <c r="L707" s="361"/>
      <c r="M707" s="361"/>
      <c r="N707" s="361"/>
      <c r="O707" s="370"/>
      <c r="P707" s="387"/>
      <c r="Q707" s="387"/>
      <c r="R707" s="387"/>
      <c r="S707" s="387">
        <v>105010000</v>
      </c>
      <c r="T707" s="387"/>
      <c r="U707" s="367">
        <v>44406</v>
      </c>
      <c r="V707" s="367">
        <v>45501</v>
      </c>
      <c r="W707" s="364" t="s">
        <v>250</v>
      </c>
      <c r="X707" s="361"/>
      <c r="Y707" s="361"/>
      <c r="Z707" s="361"/>
      <c r="AA707" s="361"/>
      <c r="AB707" s="361"/>
      <c r="AC707" s="159"/>
      <c r="AD707" s="361" t="s">
        <v>2564</v>
      </c>
      <c r="AE707" s="364">
        <v>4500017709</v>
      </c>
      <c r="AF707" s="364"/>
      <c r="AG707" s="361"/>
      <c r="AH707" s="365"/>
      <c r="AI707" s="361"/>
      <c r="AJ707" s="361"/>
      <c r="AK707" s="361"/>
      <c r="AL707" s="361"/>
      <c r="AM707" s="361"/>
      <c r="AN707" s="361"/>
      <c r="AO707" s="361"/>
      <c r="AP707" s="361"/>
      <c r="AQ707" s="361"/>
      <c r="AR707" s="503"/>
      <c r="AS707" s="489"/>
      <c r="AT707" s="160"/>
      <c r="AU707" s="355"/>
    </row>
    <row r="708" spans="1:47" s="124" customFormat="1" ht="21.75" hidden="1" customHeight="1">
      <c r="A708" s="331">
        <v>707</v>
      </c>
      <c r="B708" s="361" t="s">
        <v>2563</v>
      </c>
      <c r="C708" s="361" t="s">
        <v>1253</v>
      </c>
      <c r="D708" s="435" t="s">
        <v>1269</v>
      </c>
      <c r="E708" s="361" t="str">
        <f t="shared" si="11"/>
        <v>LOSS</v>
      </c>
      <c r="F708" s="361"/>
      <c r="G708" s="361"/>
      <c r="H708" s="361" t="s">
        <v>327</v>
      </c>
      <c r="I708" s="160" t="s">
        <v>346</v>
      </c>
      <c r="J708" s="361"/>
      <c r="K708" s="365"/>
      <c r="L708" s="361"/>
      <c r="M708" s="361"/>
      <c r="N708" s="361"/>
      <c r="O708" s="370"/>
      <c r="P708" s="387"/>
      <c r="Q708" s="387"/>
      <c r="R708" s="387"/>
      <c r="S708" s="387">
        <v>105010000</v>
      </c>
      <c r="T708" s="387"/>
      <c r="U708" s="367">
        <v>44490</v>
      </c>
      <c r="V708" s="367">
        <v>45585</v>
      </c>
      <c r="W708" s="364" t="s">
        <v>250</v>
      </c>
      <c r="X708" s="361"/>
      <c r="Y708" s="361"/>
      <c r="Z708" s="361"/>
      <c r="AA708" s="361"/>
      <c r="AB708" s="361"/>
      <c r="AC708" s="159"/>
      <c r="AD708" s="361" t="s">
        <v>2565</v>
      </c>
      <c r="AE708" s="364">
        <v>4500017708</v>
      </c>
      <c r="AF708" s="364"/>
      <c r="AG708" s="361"/>
      <c r="AH708" s="365"/>
      <c r="AI708" s="361"/>
      <c r="AJ708" s="361"/>
      <c r="AK708" s="361"/>
      <c r="AL708" s="361"/>
      <c r="AM708" s="361"/>
      <c r="AN708" s="361"/>
      <c r="AO708" s="361"/>
      <c r="AP708" s="361"/>
      <c r="AQ708" s="361"/>
      <c r="AR708" s="503"/>
      <c r="AS708" s="489"/>
      <c r="AT708" s="160"/>
      <c r="AU708" s="355"/>
    </row>
    <row r="709" spans="1:47" s="124" customFormat="1" ht="21.75" hidden="1" customHeight="1">
      <c r="A709" s="331">
        <v>708</v>
      </c>
      <c r="B709" s="28" t="s">
        <v>103</v>
      </c>
      <c r="C709" s="361" t="s">
        <v>2566</v>
      </c>
      <c r="D709" s="436" t="s">
        <v>556</v>
      </c>
      <c r="E709" s="361" t="str">
        <f t="shared" si="11"/>
        <v>LOSS</v>
      </c>
      <c r="F709" s="361"/>
      <c r="G709" s="361"/>
      <c r="H709" s="361" t="s">
        <v>327</v>
      </c>
      <c r="I709" s="160" t="s">
        <v>346</v>
      </c>
      <c r="J709" s="361" t="s">
        <v>1782</v>
      </c>
      <c r="K709" s="365"/>
      <c r="L709" s="361"/>
      <c r="M709" s="361"/>
      <c r="N709" s="361"/>
      <c r="O709" s="370"/>
      <c r="P709" s="387">
        <v>44000000</v>
      </c>
      <c r="Q709" s="387"/>
      <c r="R709" s="387"/>
      <c r="S709" s="387">
        <v>15136000</v>
      </c>
      <c r="T709" s="387"/>
      <c r="U709" s="367">
        <v>44588</v>
      </c>
      <c r="V709" s="367">
        <v>44952</v>
      </c>
      <c r="W709" s="361" t="s">
        <v>250</v>
      </c>
      <c r="X709" s="361"/>
      <c r="Y709" s="361"/>
      <c r="Z709" s="361"/>
      <c r="AA709" s="361"/>
      <c r="AB709" s="361"/>
      <c r="AC709" s="159"/>
      <c r="AD709" s="361" t="s">
        <v>2567</v>
      </c>
      <c r="AE709" s="364">
        <v>4500017587</v>
      </c>
      <c r="AF709" s="364"/>
      <c r="AG709" s="361"/>
      <c r="AH709" s="365"/>
      <c r="AI709" s="361"/>
      <c r="AJ709" s="361"/>
      <c r="AK709" s="361"/>
      <c r="AL709" s="361"/>
      <c r="AM709" s="361"/>
      <c r="AN709" s="361"/>
      <c r="AO709" s="361"/>
      <c r="AP709" s="361"/>
      <c r="AQ709" s="361"/>
      <c r="AR709" s="503"/>
      <c r="AS709" s="489"/>
      <c r="AT709" s="160"/>
      <c r="AU709" s="355"/>
    </row>
    <row r="710" spans="1:47" s="124" customFormat="1" ht="21.75" hidden="1" customHeight="1">
      <c r="A710" s="331">
        <v>709</v>
      </c>
      <c r="B710" s="361" t="s">
        <v>542</v>
      </c>
      <c r="C710" s="361" t="s">
        <v>1122</v>
      </c>
      <c r="D710" s="435" t="s">
        <v>544</v>
      </c>
      <c r="E710" s="361" t="str">
        <f t="shared" si="11"/>
        <v>LOSS</v>
      </c>
      <c r="F710" s="361"/>
      <c r="G710" s="361"/>
      <c r="H710" s="361" t="s">
        <v>327</v>
      </c>
      <c r="I710" s="160" t="s">
        <v>346</v>
      </c>
      <c r="J710" s="361" t="s">
        <v>2568</v>
      </c>
      <c r="K710" s="365"/>
      <c r="L710" s="361"/>
      <c r="M710" s="361"/>
      <c r="N710" s="361"/>
      <c r="O710" s="370"/>
      <c r="P710" s="387">
        <v>276000000</v>
      </c>
      <c r="Q710" s="387"/>
      <c r="R710" s="387"/>
      <c r="S710" s="387">
        <v>8000000</v>
      </c>
      <c r="T710" s="387"/>
      <c r="U710" s="367">
        <v>44510</v>
      </c>
      <c r="V710" s="367">
        <v>44874</v>
      </c>
      <c r="W710" s="361" t="s">
        <v>250</v>
      </c>
      <c r="X710" s="361"/>
      <c r="Y710" s="361"/>
      <c r="Z710" s="361"/>
      <c r="AA710" s="361"/>
      <c r="AB710" s="361"/>
      <c r="AC710" s="159"/>
      <c r="AD710" s="368"/>
      <c r="AE710" s="364">
        <v>4500018400</v>
      </c>
      <c r="AF710" s="364"/>
      <c r="AG710" s="361"/>
      <c r="AH710" s="365"/>
      <c r="AI710" s="361"/>
      <c r="AJ710" s="361"/>
      <c r="AK710" s="361"/>
      <c r="AL710" s="361"/>
      <c r="AM710" s="361"/>
      <c r="AN710" s="361"/>
      <c r="AO710" s="361"/>
      <c r="AP710" s="361"/>
      <c r="AQ710" s="361"/>
      <c r="AR710" s="503"/>
      <c r="AS710" s="489"/>
      <c r="AT710" s="160"/>
      <c r="AU710" s="355"/>
    </row>
    <row r="711" spans="1:47" s="124" customFormat="1" ht="21.75" hidden="1" customHeight="1">
      <c r="A711" s="331">
        <v>710</v>
      </c>
      <c r="B711" s="28" t="s">
        <v>103</v>
      </c>
      <c r="C711" s="361" t="s">
        <v>555</v>
      </c>
      <c r="D711" s="436" t="s">
        <v>556</v>
      </c>
      <c r="E711" s="361" t="str">
        <f t="shared" si="11"/>
        <v>LOSS</v>
      </c>
      <c r="F711" s="361"/>
      <c r="G711" s="361"/>
      <c r="H711" s="361" t="s">
        <v>327</v>
      </c>
      <c r="I711" s="160" t="s">
        <v>346</v>
      </c>
      <c r="J711" s="361" t="s">
        <v>557</v>
      </c>
      <c r="K711" s="365"/>
      <c r="L711" s="361"/>
      <c r="M711" s="361"/>
      <c r="N711" s="361"/>
      <c r="O711" s="370"/>
      <c r="P711" s="387">
        <v>54000000</v>
      </c>
      <c r="Q711" s="387"/>
      <c r="R711" s="387"/>
      <c r="S711" s="387">
        <v>38500000</v>
      </c>
      <c r="T711" s="387"/>
      <c r="U711" s="367">
        <v>44800</v>
      </c>
      <c r="V711" s="367">
        <v>45164</v>
      </c>
      <c r="W711" s="361" t="s">
        <v>250</v>
      </c>
      <c r="X711" s="361"/>
      <c r="Y711" s="361"/>
      <c r="Z711" s="361"/>
      <c r="AA711" s="361"/>
      <c r="AB711" s="361"/>
      <c r="AC711" s="159"/>
      <c r="AD711" s="368"/>
      <c r="AE711" s="364">
        <v>4500018257</v>
      </c>
      <c r="AF711" s="364"/>
      <c r="AG711" s="361"/>
      <c r="AH711" s="365"/>
      <c r="AI711" s="361"/>
      <c r="AJ711" s="361"/>
      <c r="AK711" s="361"/>
      <c r="AL711" s="361"/>
      <c r="AM711" s="361"/>
      <c r="AN711" s="361"/>
      <c r="AO711" s="361"/>
      <c r="AP711" s="361"/>
      <c r="AQ711" s="361"/>
      <c r="AR711" s="503"/>
      <c r="AS711" s="489"/>
      <c r="AT711" s="160"/>
      <c r="AU711" s="355"/>
    </row>
    <row r="712" spans="1:47" s="124" customFormat="1" ht="21.75" hidden="1" customHeight="1">
      <c r="A712" s="331">
        <v>711</v>
      </c>
      <c r="B712" s="28" t="s">
        <v>521</v>
      </c>
      <c r="C712" s="361" t="s">
        <v>2546</v>
      </c>
      <c r="D712" s="435" t="s">
        <v>523</v>
      </c>
      <c r="E712" s="361" t="str">
        <f t="shared" si="11"/>
        <v>LOSS</v>
      </c>
      <c r="F712" s="361"/>
      <c r="G712" s="361"/>
      <c r="H712" s="28" t="s">
        <v>261</v>
      </c>
      <c r="I712" s="361" t="s">
        <v>243</v>
      </c>
      <c r="J712" s="361" t="s">
        <v>2569</v>
      </c>
      <c r="K712" s="361"/>
      <c r="L712" s="361"/>
      <c r="M712" s="361"/>
      <c r="N712" s="361"/>
      <c r="O712" s="370"/>
      <c r="P712" s="387">
        <v>556800000</v>
      </c>
      <c r="Q712" s="387"/>
      <c r="R712" s="387"/>
      <c r="S712" s="387">
        <v>120000000</v>
      </c>
      <c r="T712" s="387"/>
      <c r="U712" s="367">
        <v>44399</v>
      </c>
      <c r="V712" s="367">
        <v>45128</v>
      </c>
      <c r="W712" s="361" t="s">
        <v>250</v>
      </c>
      <c r="X712" s="361"/>
      <c r="Y712" s="361"/>
      <c r="Z712" s="361"/>
      <c r="AA712" s="361"/>
      <c r="AB712" s="361"/>
      <c r="AC712" s="159"/>
      <c r="AD712" s="361" t="s">
        <v>2570</v>
      </c>
      <c r="AE712" s="364">
        <v>4500018443</v>
      </c>
      <c r="AF712" s="364"/>
      <c r="AG712" s="361"/>
      <c r="AH712" s="361"/>
      <c r="AI712" s="361"/>
      <c r="AJ712" s="361"/>
      <c r="AK712" s="361"/>
      <c r="AL712" s="361"/>
      <c r="AM712" s="361"/>
      <c r="AN712" s="361"/>
      <c r="AO712" s="361"/>
      <c r="AP712" s="361"/>
      <c r="AQ712" s="361"/>
      <c r="AR712" s="503"/>
      <c r="AS712" s="489"/>
      <c r="AT712" s="160"/>
      <c r="AU712" s="355"/>
    </row>
    <row r="713" spans="1:47" s="124" customFormat="1" ht="21.75" hidden="1" customHeight="1">
      <c r="A713" s="331">
        <v>712</v>
      </c>
      <c r="B713" s="361" t="s">
        <v>348</v>
      </c>
      <c r="C713" s="361" t="s">
        <v>2571</v>
      </c>
      <c r="D713" s="436" t="s">
        <v>1187</v>
      </c>
      <c r="E713" s="361" t="str">
        <f t="shared" si="11"/>
        <v>LOSS</v>
      </c>
      <c r="F713" s="361"/>
      <c r="G713" s="361"/>
      <c r="H713" s="361" t="s">
        <v>327</v>
      </c>
      <c r="I713" s="361" t="s">
        <v>242</v>
      </c>
      <c r="J713" s="361" t="s">
        <v>2572</v>
      </c>
      <c r="K713" s="365"/>
      <c r="L713" s="361"/>
      <c r="M713" s="361"/>
      <c r="N713" s="361"/>
      <c r="O713" s="370">
        <v>3500000</v>
      </c>
      <c r="P713" s="387">
        <v>48000000</v>
      </c>
      <c r="Q713" s="387"/>
      <c r="R713" s="387"/>
      <c r="S713" s="387">
        <v>26143452</v>
      </c>
      <c r="T713" s="387"/>
      <c r="U713" s="367">
        <v>44768</v>
      </c>
      <c r="V713" s="367">
        <v>45132</v>
      </c>
      <c r="W713" s="361" t="s">
        <v>250</v>
      </c>
      <c r="X713" s="361"/>
      <c r="Y713" s="361"/>
      <c r="Z713" s="361"/>
      <c r="AA713" s="361"/>
      <c r="AB713" s="361"/>
      <c r="AC713" s="159"/>
      <c r="AD713" s="361" t="s">
        <v>2573</v>
      </c>
      <c r="AE713" s="364">
        <v>4500018458</v>
      </c>
      <c r="AF713" s="364"/>
      <c r="AG713" s="361"/>
      <c r="AH713" s="365"/>
      <c r="AI713" s="361"/>
      <c r="AJ713" s="361"/>
      <c r="AK713" s="361"/>
      <c r="AL713" s="361"/>
      <c r="AM713" s="361"/>
      <c r="AN713" s="361"/>
      <c r="AO713" s="361"/>
      <c r="AP713" s="361"/>
      <c r="AQ713" s="361"/>
      <c r="AR713" s="503"/>
      <c r="AS713" s="489"/>
      <c r="AT713" s="160"/>
      <c r="AU713" s="355"/>
    </row>
    <row r="714" spans="1:47" s="124" customFormat="1" ht="21.75" hidden="1" customHeight="1">
      <c r="A714" s="331">
        <v>713</v>
      </c>
      <c r="B714" s="361" t="s">
        <v>628</v>
      </c>
      <c r="C714" s="361" t="s">
        <v>2574</v>
      </c>
      <c r="D714" s="435" t="s">
        <v>630</v>
      </c>
      <c r="E714" s="361" t="str">
        <f t="shared" si="11"/>
        <v>LOSS</v>
      </c>
      <c r="F714" s="361"/>
      <c r="G714" s="361"/>
      <c r="H714" s="28" t="s">
        <v>261</v>
      </c>
      <c r="I714" s="361" t="s">
        <v>243</v>
      </c>
      <c r="J714" s="361" t="s">
        <v>2575</v>
      </c>
      <c r="K714" s="361"/>
      <c r="L714" s="361"/>
      <c r="M714" s="361"/>
      <c r="N714" s="361"/>
      <c r="O714" s="370">
        <v>5000000</v>
      </c>
      <c r="P714" s="387">
        <v>114000000</v>
      </c>
      <c r="Q714" s="387"/>
      <c r="R714" s="387">
        <v>3000000</v>
      </c>
      <c r="S714" s="387">
        <v>73710000</v>
      </c>
      <c r="T714" s="387"/>
      <c r="U714" s="367">
        <v>44825</v>
      </c>
      <c r="V714" s="367">
        <v>45189</v>
      </c>
      <c r="W714" s="361" t="s">
        <v>250</v>
      </c>
      <c r="X714" s="361"/>
      <c r="Y714" s="361"/>
      <c r="Z714" s="361"/>
      <c r="AA714" s="361"/>
      <c r="AB714" s="361"/>
      <c r="AC714" s="159"/>
      <c r="AD714" s="361" t="s">
        <v>2576</v>
      </c>
      <c r="AE714" s="364">
        <v>4500018568</v>
      </c>
      <c r="AF714" s="364"/>
      <c r="AG714" s="160" t="s">
        <v>633</v>
      </c>
      <c r="AH714" s="174" t="s">
        <v>634</v>
      </c>
      <c r="AI714" s="361"/>
      <c r="AJ714" s="361"/>
      <c r="AK714" s="361"/>
      <c r="AL714" s="361"/>
      <c r="AM714" s="361"/>
      <c r="AN714" s="361"/>
      <c r="AO714" s="361"/>
      <c r="AP714" s="361"/>
      <c r="AQ714" s="361"/>
      <c r="AR714" s="503"/>
      <c r="AS714" s="489"/>
      <c r="AT714" s="160"/>
      <c r="AU714" s="355"/>
    </row>
    <row r="715" spans="1:47" s="124" customFormat="1" ht="21.75" hidden="1" customHeight="1">
      <c r="A715" s="331">
        <v>714</v>
      </c>
      <c r="B715" s="361" t="s">
        <v>1374</v>
      </c>
      <c r="C715" s="361" t="s">
        <v>1375</v>
      </c>
      <c r="D715" s="436" t="s">
        <v>2555</v>
      </c>
      <c r="E715" s="361" t="str">
        <f t="shared" si="11"/>
        <v>LOSS</v>
      </c>
      <c r="F715" s="361"/>
      <c r="G715" s="361"/>
      <c r="H715" s="28" t="s">
        <v>261</v>
      </c>
      <c r="I715" s="361" t="s">
        <v>243</v>
      </c>
      <c r="J715" s="361" t="s">
        <v>2556</v>
      </c>
      <c r="K715" s="361"/>
      <c r="L715" s="361"/>
      <c r="M715" s="361"/>
      <c r="N715" s="361"/>
      <c r="O715" s="370"/>
      <c r="P715" s="387">
        <v>120000000</v>
      </c>
      <c r="Q715" s="387"/>
      <c r="R715" s="387"/>
      <c r="S715" s="387">
        <v>61800000</v>
      </c>
      <c r="T715" s="387"/>
      <c r="U715" s="367">
        <v>44805</v>
      </c>
      <c r="V715" s="367">
        <v>45169</v>
      </c>
      <c r="W715" s="361" t="s">
        <v>250</v>
      </c>
      <c r="X715" s="361"/>
      <c r="Y715" s="361"/>
      <c r="Z715" s="361"/>
      <c r="AA715" s="361"/>
      <c r="AB715" s="361"/>
      <c r="AC715" s="159"/>
      <c r="AD715" s="361" t="s">
        <v>2577</v>
      </c>
      <c r="AE715" s="364">
        <v>4500018424</v>
      </c>
      <c r="AF715" s="364"/>
      <c r="AG715" s="361"/>
      <c r="AH715" s="361"/>
      <c r="AI715" s="361"/>
      <c r="AJ715" s="361"/>
      <c r="AK715" s="361"/>
      <c r="AL715" s="361"/>
      <c r="AM715" s="361"/>
      <c r="AN715" s="361"/>
      <c r="AO715" s="361"/>
      <c r="AP715" s="361"/>
      <c r="AQ715" s="361"/>
      <c r="AR715" s="503"/>
      <c r="AS715" s="489"/>
      <c r="AT715" s="160"/>
      <c r="AU715" s="355"/>
    </row>
    <row r="716" spans="1:47" s="124" customFormat="1" ht="21.75" hidden="1" customHeight="1">
      <c r="A716" s="331">
        <v>715</v>
      </c>
      <c r="B716" s="361" t="s">
        <v>450</v>
      </c>
      <c r="C716" s="361" t="s">
        <v>2578</v>
      </c>
      <c r="D716" s="435" t="s">
        <v>597</v>
      </c>
      <c r="E716" s="361" t="str">
        <f t="shared" si="11"/>
        <v>LOSS</v>
      </c>
      <c r="F716" s="361"/>
      <c r="G716" s="361"/>
      <c r="H716" s="28" t="s">
        <v>261</v>
      </c>
      <c r="I716" s="361" t="s">
        <v>243</v>
      </c>
      <c r="J716" s="361" t="s">
        <v>2579</v>
      </c>
      <c r="K716" s="361"/>
      <c r="L716" s="361"/>
      <c r="M716" s="361"/>
      <c r="N716" s="361"/>
      <c r="O716" s="370"/>
      <c r="P716" s="387">
        <v>120000000</v>
      </c>
      <c r="Q716" s="387"/>
      <c r="R716" s="387"/>
      <c r="S716" s="387">
        <v>90000000</v>
      </c>
      <c r="T716" s="387"/>
      <c r="U716" s="367">
        <v>44774</v>
      </c>
      <c r="V716" s="367">
        <v>45138</v>
      </c>
      <c r="W716" s="361" t="s">
        <v>250</v>
      </c>
      <c r="X716" s="361"/>
      <c r="Y716" s="361"/>
      <c r="Z716" s="361"/>
      <c r="AA716" s="361"/>
      <c r="AB716" s="361"/>
      <c r="AC716" s="159"/>
      <c r="AD716" s="361" t="s">
        <v>2580</v>
      </c>
      <c r="AE716" s="364">
        <v>4500018422</v>
      </c>
      <c r="AF716" s="364"/>
      <c r="AG716" s="361"/>
      <c r="AH716" s="361"/>
      <c r="AI716" s="361"/>
      <c r="AJ716" s="361"/>
      <c r="AK716" s="361"/>
      <c r="AL716" s="361"/>
      <c r="AM716" s="361"/>
      <c r="AN716" s="361"/>
      <c r="AO716" s="361"/>
      <c r="AP716" s="361"/>
      <c r="AQ716" s="361"/>
      <c r="AR716" s="503"/>
      <c r="AS716" s="489"/>
      <c r="AT716" s="160"/>
      <c r="AU716" s="355"/>
    </row>
    <row r="717" spans="1:47" s="124" customFormat="1" ht="21.75" hidden="1" customHeight="1">
      <c r="A717" s="331">
        <v>716</v>
      </c>
      <c r="B717" s="28" t="s">
        <v>521</v>
      </c>
      <c r="C717" s="361" t="s">
        <v>2581</v>
      </c>
      <c r="D717" s="436" t="s">
        <v>523</v>
      </c>
      <c r="E717" s="361" t="str">
        <f t="shared" si="11"/>
        <v>LOSS</v>
      </c>
      <c r="F717" s="361"/>
      <c r="G717" s="361"/>
      <c r="H717" s="28" t="s">
        <v>261</v>
      </c>
      <c r="I717" s="361" t="s">
        <v>243</v>
      </c>
      <c r="J717" s="361" t="s">
        <v>2582</v>
      </c>
      <c r="K717" s="361"/>
      <c r="L717" s="361"/>
      <c r="M717" s="361"/>
      <c r="N717" s="361"/>
      <c r="O717" s="370"/>
      <c r="P717" s="387">
        <v>99120000</v>
      </c>
      <c r="Q717" s="387"/>
      <c r="R717" s="387"/>
      <c r="S717" s="387">
        <v>24000000</v>
      </c>
      <c r="T717" s="387"/>
      <c r="U717" s="367">
        <v>44771</v>
      </c>
      <c r="V717" s="367">
        <v>45135</v>
      </c>
      <c r="W717" s="361" t="s">
        <v>250</v>
      </c>
      <c r="X717" s="361"/>
      <c r="Y717" s="361"/>
      <c r="Z717" s="361"/>
      <c r="AA717" s="361"/>
      <c r="AB717" s="361"/>
      <c r="AC717" s="159"/>
      <c r="AD717" s="361" t="s">
        <v>2583</v>
      </c>
      <c r="AE717" s="364">
        <v>4500018421</v>
      </c>
      <c r="AF717" s="364"/>
      <c r="AG717" s="361"/>
      <c r="AH717" s="361"/>
      <c r="AI717" s="361"/>
      <c r="AJ717" s="361"/>
      <c r="AK717" s="361"/>
      <c r="AL717" s="361"/>
      <c r="AM717" s="361"/>
      <c r="AN717" s="361"/>
      <c r="AO717" s="361"/>
      <c r="AP717" s="361"/>
      <c r="AQ717" s="361"/>
      <c r="AR717" s="503"/>
      <c r="AS717" s="489"/>
      <c r="AT717" s="160"/>
      <c r="AU717" s="355"/>
    </row>
    <row r="718" spans="1:47" s="124" customFormat="1" ht="21.75" hidden="1" customHeight="1">
      <c r="A718" s="331">
        <v>717</v>
      </c>
      <c r="B718" s="28" t="s">
        <v>179</v>
      </c>
      <c r="C718" s="361" t="s">
        <v>2584</v>
      </c>
      <c r="D718" s="435" t="s">
        <v>560</v>
      </c>
      <c r="E718" s="361" t="str">
        <f t="shared" si="11"/>
        <v>LOSS</v>
      </c>
      <c r="F718" s="361"/>
      <c r="G718" s="361"/>
      <c r="H718" s="361" t="s">
        <v>327</v>
      </c>
      <c r="I718" s="361" t="s">
        <v>242</v>
      </c>
      <c r="J718" s="361" t="s">
        <v>1631</v>
      </c>
      <c r="K718" s="365"/>
      <c r="L718" s="361"/>
      <c r="M718" s="361"/>
      <c r="N718" s="361"/>
      <c r="O718" s="370"/>
      <c r="P718" s="387">
        <v>300000000</v>
      </c>
      <c r="Q718" s="387"/>
      <c r="R718" s="387"/>
      <c r="S718" s="387">
        <v>36000000</v>
      </c>
      <c r="T718" s="387"/>
      <c r="U718" s="367">
        <v>44680</v>
      </c>
      <c r="V718" s="367">
        <v>45044</v>
      </c>
      <c r="W718" s="361" t="s">
        <v>250</v>
      </c>
      <c r="X718" s="361"/>
      <c r="Y718" s="361"/>
      <c r="Z718" s="361"/>
      <c r="AA718" s="361"/>
      <c r="AB718" s="361"/>
      <c r="AC718" s="159"/>
      <c r="AD718" s="361" t="s">
        <v>2585</v>
      </c>
      <c r="AE718" s="364">
        <v>4500018118</v>
      </c>
      <c r="AF718" s="364"/>
      <c r="AG718" s="361"/>
      <c r="AH718" s="365"/>
      <c r="AI718" s="361"/>
      <c r="AJ718" s="361"/>
      <c r="AK718" s="361"/>
      <c r="AL718" s="361"/>
      <c r="AM718" s="361"/>
      <c r="AN718" s="361"/>
      <c r="AO718" s="361"/>
      <c r="AP718" s="361"/>
      <c r="AQ718" s="361"/>
      <c r="AR718" s="503"/>
      <c r="AS718" s="489"/>
      <c r="AT718" s="160"/>
      <c r="AU718" s="355"/>
    </row>
    <row r="719" spans="1:47" s="124" customFormat="1" ht="21.75" hidden="1" customHeight="1">
      <c r="A719" s="331">
        <v>718</v>
      </c>
      <c r="B719" s="361" t="s">
        <v>628</v>
      </c>
      <c r="C719" s="361" t="s">
        <v>1192</v>
      </c>
      <c r="D719" s="436" t="s">
        <v>630</v>
      </c>
      <c r="E719" s="361" t="str">
        <f t="shared" si="11"/>
        <v>LOSS</v>
      </c>
      <c r="F719" s="361"/>
      <c r="G719" s="361"/>
      <c r="H719" s="28" t="s">
        <v>261</v>
      </c>
      <c r="I719" s="361" t="s">
        <v>243</v>
      </c>
      <c r="J719" s="361" t="s">
        <v>2586</v>
      </c>
      <c r="K719" s="361"/>
      <c r="L719" s="361"/>
      <c r="M719" s="361"/>
      <c r="N719" s="361"/>
      <c r="O719" s="370">
        <v>5000000</v>
      </c>
      <c r="P719" s="387">
        <v>129000000</v>
      </c>
      <c r="Q719" s="387"/>
      <c r="R719" s="387">
        <v>3000000</v>
      </c>
      <c r="S719" s="387">
        <v>95760000</v>
      </c>
      <c r="T719" s="387"/>
      <c r="U719" s="367">
        <v>44762</v>
      </c>
      <c r="V719" s="367">
        <v>45126</v>
      </c>
      <c r="W719" s="361" t="s">
        <v>250</v>
      </c>
      <c r="X719" s="361"/>
      <c r="Y719" s="361"/>
      <c r="Z719" s="361"/>
      <c r="AA719" s="361"/>
      <c r="AB719" s="361"/>
      <c r="AC719" s="159"/>
      <c r="AD719" s="361" t="s">
        <v>2587</v>
      </c>
      <c r="AE719" s="364">
        <v>4500018282</v>
      </c>
      <c r="AF719" s="364"/>
      <c r="AG719" s="160" t="s">
        <v>633</v>
      </c>
      <c r="AH719" s="174" t="s">
        <v>634</v>
      </c>
      <c r="AI719" s="361"/>
      <c r="AJ719" s="361"/>
      <c r="AK719" s="361"/>
      <c r="AL719" s="361"/>
      <c r="AM719" s="361"/>
      <c r="AN719" s="361"/>
      <c r="AO719" s="361"/>
      <c r="AP719" s="361"/>
      <c r="AQ719" s="361"/>
      <c r="AR719" s="503"/>
      <c r="AS719" s="489"/>
      <c r="AT719" s="160"/>
      <c r="AU719" s="355"/>
    </row>
    <row r="720" spans="1:47" s="124" customFormat="1" ht="21.75" hidden="1" customHeight="1">
      <c r="A720" s="331">
        <v>719</v>
      </c>
      <c r="B720" s="28" t="s">
        <v>1554</v>
      </c>
      <c r="C720" s="361" t="s">
        <v>2435</v>
      </c>
      <c r="D720" s="435" t="s">
        <v>2521</v>
      </c>
      <c r="E720" s="361" t="str">
        <f t="shared" si="11"/>
        <v>LOSS</v>
      </c>
      <c r="F720" s="361"/>
      <c r="G720" s="361"/>
      <c r="H720" s="28" t="s">
        <v>261</v>
      </c>
      <c r="I720" s="361" t="s">
        <v>243</v>
      </c>
      <c r="J720" s="361" t="s">
        <v>2588</v>
      </c>
      <c r="K720" s="361"/>
      <c r="L720" s="361"/>
      <c r="M720" s="361"/>
      <c r="N720" s="361"/>
      <c r="O720" s="370"/>
      <c r="P720" s="387">
        <v>31200000</v>
      </c>
      <c r="Q720" s="387"/>
      <c r="R720" s="387"/>
      <c r="S720" s="387">
        <v>12000000</v>
      </c>
      <c r="T720" s="387"/>
      <c r="U720" s="367">
        <v>44806</v>
      </c>
      <c r="V720" s="367">
        <v>45170</v>
      </c>
      <c r="W720" s="361" t="s">
        <v>250</v>
      </c>
      <c r="X720" s="361"/>
      <c r="Y720" s="361"/>
      <c r="Z720" s="361"/>
      <c r="AA720" s="361"/>
      <c r="AB720" s="361"/>
      <c r="AC720" s="159"/>
      <c r="AD720" s="361" t="s">
        <v>2589</v>
      </c>
      <c r="AE720" s="364">
        <v>4500018651</v>
      </c>
      <c r="AF720" s="364"/>
      <c r="AG720" s="361"/>
      <c r="AH720" s="361"/>
      <c r="AI720" s="361"/>
      <c r="AJ720" s="361"/>
      <c r="AK720" s="361"/>
      <c r="AL720" s="361"/>
      <c r="AM720" s="361"/>
      <c r="AN720" s="361"/>
      <c r="AO720" s="361"/>
      <c r="AP720" s="361"/>
      <c r="AQ720" s="361"/>
      <c r="AR720" s="503"/>
      <c r="AS720" s="489"/>
      <c r="AT720" s="160"/>
      <c r="AU720" s="355"/>
    </row>
    <row r="721" spans="1:47" s="124" customFormat="1" ht="21.75" hidden="1" customHeight="1">
      <c r="A721" s="331">
        <v>720</v>
      </c>
      <c r="B721" s="361" t="s">
        <v>2590</v>
      </c>
      <c r="C721" s="361" t="s">
        <v>2591</v>
      </c>
      <c r="D721" s="436" t="s">
        <v>642</v>
      </c>
      <c r="E721" s="361" t="str">
        <f t="shared" si="11"/>
        <v>LOSS</v>
      </c>
      <c r="F721" s="361"/>
      <c r="G721" s="361"/>
      <c r="H721" s="361" t="s">
        <v>327</v>
      </c>
      <c r="I721" s="160" t="s">
        <v>346</v>
      </c>
      <c r="J721" s="361" t="s">
        <v>2592</v>
      </c>
      <c r="K721" s="365"/>
      <c r="L721" s="361"/>
      <c r="M721" s="361"/>
      <c r="N721" s="361"/>
      <c r="O721" s="370"/>
      <c r="P721" s="387">
        <v>180000000</v>
      </c>
      <c r="Q721" s="387"/>
      <c r="R721" s="387"/>
      <c r="S721" s="387">
        <v>60500000</v>
      </c>
      <c r="T721" s="387"/>
      <c r="U721" s="367">
        <v>44682</v>
      </c>
      <c r="V721" s="367">
        <v>45046</v>
      </c>
      <c r="W721" s="361" t="s">
        <v>250</v>
      </c>
      <c r="X721" s="361"/>
      <c r="Y721" s="361"/>
      <c r="Z721" s="361"/>
      <c r="AA721" s="361"/>
      <c r="AB721" s="361"/>
      <c r="AC721" s="159"/>
      <c r="AD721" s="361" t="s">
        <v>2372</v>
      </c>
      <c r="AE721" s="364">
        <v>4500017828</v>
      </c>
      <c r="AF721" s="364"/>
      <c r="AG721" s="361"/>
      <c r="AH721" s="365"/>
      <c r="AI721" s="361"/>
      <c r="AJ721" s="361"/>
      <c r="AK721" s="361"/>
      <c r="AL721" s="361"/>
      <c r="AM721" s="361"/>
      <c r="AN721" s="361"/>
      <c r="AO721" s="361"/>
      <c r="AP721" s="361"/>
      <c r="AQ721" s="361"/>
      <c r="AR721" s="503"/>
      <c r="AS721" s="489"/>
      <c r="AT721" s="160"/>
      <c r="AU721" s="355"/>
    </row>
    <row r="722" spans="1:47" s="124" customFormat="1" ht="21.75" hidden="1" customHeight="1">
      <c r="A722" s="331">
        <v>721</v>
      </c>
      <c r="B722" s="361" t="s">
        <v>2593</v>
      </c>
      <c r="C722" s="361" t="s">
        <v>2594</v>
      </c>
      <c r="D722" s="435" t="s">
        <v>2595</v>
      </c>
      <c r="E722" s="361" t="str">
        <f t="shared" si="11"/>
        <v>LOSS</v>
      </c>
      <c r="F722" s="361"/>
      <c r="G722" s="361"/>
      <c r="H722" s="361" t="s">
        <v>327</v>
      </c>
      <c r="I722" s="160" t="s">
        <v>346</v>
      </c>
      <c r="J722" s="361" t="s">
        <v>2596</v>
      </c>
      <c r="K722" s="365"/>
      <c r="L722" s="361"/>
      <c r="M722" s="361"/>
      <c r="N722" s="361"/>
      <c r="O722" s="370">
        <v>5000000</v>
      </c>
      <c r="P722" s="387">
        <v>72000000</v>
      </c>
      <c r="Q722" s="387"/>
      <c r="R722" s="387"/>
      <c r="S722" s="387">
        <v>41343750</v>
      </c>
      <c r="T722" s="387"/>
      <c r="U722" s="367">
        <v>44788</v>
      </c>
      <c r="V722" s="367">
        <v>45152</v>
      </c>
      <c r="W722" s="361" t="s">
        <v>250</v>
      </c>
      <c r="X722" s="361"/>
      <c r="Y722" s="361"/>
      <c r="Z722" s="361"/>
      <c r="AA722" s="361"/>
      <c r="AB722" s="361"/>
      <c r="AC722" s="159"/>
      <c r="AD722" s="361" t="s">
        <v>2597</v>
      </c>
      <c r="AE722" s="364">
        <v>4500018666</v>
      </c>
      <c r="AF722" s="364"/>
      <c r="AG722" s="361"/>
      <c r="AH722" s="365"/>
      <c r="AI722" s="361"/>
      <c r="AJ722" s="361"/>
      <c r="AK722" s="361"/>
      <c r="AL722" s="361"/>
      <c r="AM722" s="361"/>
      <c r="AN722" s="361"/>
      <c r="AO722" s="361"/>
      <c r="AP722" s="361"/>
      <c r="AQ722" s="361"/>
      <c r="AR722" s="503"/>
      <c r="AS722" s="489"/>
      <c r="AT722" s="160"/>
      <c r="AU722" s="355"/>
    </row>
    <row r="723" spans="1:47" s="124" customFormat="1" ht="21.75" hidden="1" customHeight="1">
      <c r="A723" s="331">
        <v>722</v>
      </c>
      <c r="B723" s="361" t="s">
        <v>628</v>
      </c>
      <c r="C723" s="361" t="s">
        <v>2598</v>
      </c>
      <c r="D723" s="436" t="s">
        <v>630</v>
      </c>
      <c r="E723" s="361" t="str">
        <f t="shared" si="11"/>
        <v>LOSS</v>
      </c>
      <c r="F723" s="361"/>
      <c r="G723" s="361"/>
      <c r="H723" s="28" t="s">
        <v>261</v>
      </c>
      <c r="I723" s="361" t="s">
        <v>243</v>
      </c>
      <c r="J723" s="361" t="s">
        <v>2599</v>
      </c>
      <c r="K723" s="361"/>
      <c r="L723" s="361"/>
      <c r="M723" s="361"/>
      <c r="N723" s="361"/>
      <c r="O723" s="370"/>
      <c r="P723" s="387">
        <v>150586800</v>
      </c>
      <c r="Q723" s="387"/>
      <c r="R723" s="387"/>
      <c r="S723" s="387">
        <v>147000000</v>
      </c>
      <c r="T723" s="387"/>
      <c r="U723" s="367">
        <v>44833</v>
      </c>
      <c r="V723" s="367">
        <v>45197</v>
      </c>
      <c r="W723" s="361" t="s">
        <v>250</v>
      </c>
      <c r="X723" s="361"/>
      <c r="Y723" s="361"/>
      <c r="Z723" s="361"/>
      <c r="AA723" s="361"/>
      <c r="AB723" s="361"/>
      <c r="AC723" s="159"/>
      <c r="AD723" s="361" t="s">
        <v>2600</v>
      </c>
      <c r="AE723" s="364">
        <v>4500018573</v>
      </c>
      <c r="AF723" s="364"/>
      <c r="AG723" s="160" t="s">
        <v>633</v>
      </c>
      <c r="AH723" s="174" t="s">
        <v>634</v>
      </c>
      <c r="AI723" s="361"/>
      <c r="AJ723" s="361"/>
      <c r="AK723" s="361"/>
      <c r="AL723" s="361"/>
      <c r="AM723" s="361"/>
      <c r="AN723" s="361"/>
      <c r="AO723" s="361"/>
      <c r="AP723" s="361"/>
      <c r="AQ723" s="361"/>
      <c r="AR723" s="503"/>
      <c r="AS723" s="489"/>
      <c r="AT723" s="160"/>
      <c r="AU723" s="355"/>
    </row>
    <row r="724" spans="1:47" s="124" customFormat="1" ht="21.75" hidden="1" customHeight="1">
      <c r="A724" s="331">
        <v>723</v>
      </c>
      <c r="B724" s="28" t="s">
        <v>2601</v>
      </c>
      <c r="C724" s="361" t="s">
        <v>2602</v>
      </c>
      <c r="D724" s="435" t="s">
        <v>590</v>
      </c>
      <c r="E724" s="361" t="str">
        <f t="shared" si="11"/>
        <v>LOSS</v>
      </c>
      <c r="F724" s="361"/>
      <c r="G724" s="361"/>
      <c r="H724" s="28" t="s">
        <v>261</v>
      </c>
      <c r="I724" s="361" t="s">
        <v>243</v>
      </c>
      <c r="J724" s="361" t="s">
        <v>2603</v>
      </c>
      <c r="K724" s="361"/>
      <c r="L724" s="361"/>
      <c r="M724" s="361"/>
      <c r="N724" s="361"/>
      <c r="O724" s="370">
        <v>3500000</v>
      </c>
      <c r="P724" s="387">
        <v>204000000</v>
      </c>
      <c r="Q724" s="387"/>
      <c r="R724" s="387">
        <v>1000000</v>
      </c>
      <c r="S724" s="387">
        <v>12000000</v>
      </c>
      <c r="T724" s="387"/>
      <c r="U724" s="367">
        <v>44765</v>
      </c>
      <c r="V724" s="367">
        <v>45129</v>
      </c>
      <c r="W724" s="361" t="s">
        <v>250</v>
      </c>
      <c r="X724" s="361"/>
      <c r="Y724" s="361"/>
      <c r="Z724" s="361"/>
      <c r="AA724" s="361"/>
      <c r="AB724" s="361"/>
      <c r="AC724" s="159"/>
      <c r="AD724" s="361" t="s">
        <v>2604</v>
      </c>
      <c r="AE724" s="364">
        <v>4500018546</v>
      </c>
      <c r="AF724" s="364"/>
      <c r="AG724" s="361"/>
      <c r="AH724" s="361"/>
      <c r="AI724" s="361"/>
      <c r="AJ724" s="361"/>
      <c r="AK724" s="361"/>
      <c r="AL724" s="361"/>
      <c r="AM724" s="361"/>
      <c r="AN724" s="361"/>
      <c r="AO724" s="361"/>
      <c r="AP724" s="361"/>
      <c r="AQ724" s="361"/>
      <c r="AR724" s="503"/>
      <c r="AS724" s="489"/>
      <c r="AT724" s="160"/>
      <c r="AU724" s="355"/>
    </row>
    <row r="725" spans="1:47" s="124" customFormat="1" ht="21.75" hidden="1" customHeight="1">
      <c r="A725" s="331">
        <v>724</v>
      </c>
      <c r="B725" s="361" t="s">
        <v>2605</v>
      </c>
      <c r="C725" s="361" t="s">
        <v>2606</v>
      </c>
      <c r="D725" s="436" t="s">
        <v>2607</v>
      </c>
      <c r="E725" s="361" t="str">
        <f t="shared" si="11"/>
        <v>LOSS</v>
      </c>
      <c r="F725" s="361"/>
      <c r="G725" s="361"/>
      <c r="H725" s="361" t="s">
        <v>327</v>
      </c>
      <c r="I725" s="160" t="s">
        <v>346</v>
      </c>
      <c r="J725" s="361" t="s">
        <v>2608</v>
      </c>
      <c r="K725" s="365"/>
      <c r="L725" s="361"/>
      <c r="M725" s="361"/>
      <c r="N725" s="361"/>
      <c r="O725" s="370">
        <v>390000000</v>
      </c>
      <c r="P725" s="387">
        <v>1092000000</v>
      </c>
      <c r="Q725" s="387"/>
      <c r="R725" s="387"/>
      <c r="S725" s="387">
        <v>24000000</v>
      </c>
      <c r="T725" s="387"/>
      <c r="U725" s="367">
        <v>44778</v>
      </c>
      <c r="V725" s="367">
        <v>45142</v>
      </c>
      <c r="W725" s="361" t="s">
        <v>250</v>
      </c>
      <c r="X725" s="361"/>
      <c r="Y725" s="361"/>
      <c r="Z725" s="361"/>
      <c r="AA725" s="361"/>
      <c r="AB725" s="361"/>
      <c r="AC725" s="159"/>
      <c r="AD725" s="361" t="s">
        <v>2609</v>
      </c>
      <c r="AE725" s="364">
        <v>4500018572</v>
      </c>
      <c r="AF725" s="364"/>
      <c r="AG725" s="361"/>
      <c r="AH725" s="365"/>
      <c r="AI725" s="361"/>
      <c r="AJ725" s="361"/>
      <c r="AK725" s="361"/>
      <c r="AL725" s="361"/>
      <c r="AM725" s="361"/>
      <c r="AN725" s="361"/>
      <c r="AO725" s="361"/>
      <c r="AP725" s="361"/>
      <c r="AQ725" s="361"/>
      <c r="AR725" s="503"/>
      <c r="AS725" s="489"/>
      <c r="AT725" s="160"/>
      <c r="AU725" s="355"/>
    </row>
    <row r="726" spans="1:47" s="124" customFormat="1" ht="21.75" hidden="1" customHeight="1">
      <c r="A726" s="331">
        <v>725</v>
      </c>
      <c r="B726" s="28" t="s">
        <v>103</v>
      </c>
      <c r="C726" s="361" t="s">
        <v>2610</v>
      </c>
      <c r="D726" s="435" t="s">
        <v>556</v>
      </c>
      <c r="E726" s="361" t="str">
        <f t="shared" si="11"/>
        <v>LOSS</v>
      </c>
      <c r="F726" s="361"/>
      <c r="G726" s="361"/>
      <c r="H726" s="361" t="s">
        <v>327</v>
      </c>
      <c r="I726" s="160" t="s">
        <v>346</v>
      </c>
      <c r="J726" s="361" t="s">
        <v>107</v>
      </c>
      <c r="K726" s="365"/>
      <c r="L726" s="361"/>
      <c r="M726" s="361"/>
      <c r="N726" s="361"/>
      <c r="O726" s="370">
        <v>2318184</v>
      </c>
      <c r="P726" s="387">
        <v>45818184</v>
      </c>
      <c r="Q726" s="387"/>
      <c r="R726" s="387"/>
      <c r="S726" s="387">
        <v>4816950</v>
      </c>
      <c r="T726" s="387"/>
      <c r="U726" s="367">
        <v>44803</v>
      </c>
      <c r="V726" s="367">
        <v>45167</v>
      </c>
      <c r="W726" s="361" t="s">
        <v>250</v>
      </c>
      <c r="X726" s="361"/>
      <c r="Y726" s="361"/>
      <c r="Z726" s="361"/>
      <c r="AA726" s="361"/>
      <c r="AB726" s="361"/>
      <c r="AC726" s="159"/>
      <c r="AD726" s="361" t="s">
        <v>2611</v>
      </c>
      <c r="AE726" s="364">
        <v>4500018593</v>
      </c>
      <c r="AF726" s="364"/>
      <c r="AG726" s="361"/>
      <c r="AH726" s="365"/>
      <c r="AI726" s="361"/>
      <c r="AJ726" s="361"/>
      <c r="AK726" s="361"/>
      <c r="AL726" s="361"/>
      <c r="AM726" s="361"/>
      <c r="AN726" s="361"/>
      <c r="AO726" s="361"/>
      <c r="AP726" s="361"/>
      <c r="AQ726" s="361"/>
      <c r="AR726" s="503"/>
      <c r="AS726" s="489"/>
      <c r="AT726" s="160"/>
      <c r="AU726" s="355"/>
    </row>
    <row r="727" spans="1:47" s="124" customFormat="1" ht="21.75" hidden="1" customHeight="1">
      <c r="A727" s="331">
        <v>726</v>
      </c>
      <c r="B727" s="28" t="s">
        <v>151</v>
      </c>
      <c r="C727" s="361" t="s">
        <v>2612</v>
      </c>
      <c r="D727" s="436" t="s">
        <v>539</v>
      </c>
      <c r="E727" s="361" t="str">
        <f t="shared" si="11"/>
        <v>LOSS</v>
      </c>
      <c r="F727" s="361"/>
      <c r="G727" s="361"/>
      <c r="H727" s="361" t="s">
        <v>327</v>
      </c>
      <c r="I727" s="160" t="s">
        <v>346</v>
      </c>
      <c r="J727" s="361" t="s">
        <v>2613</v>
      </c>
      <c r="K727" s="365"/>
      <c r="L727" s="361"/>
      <c r="M727" s="361"/>
      <c r="N727" s="361"/>
      <c r="O727" s="370"/>
      <c r="P727" s="387">
        <v>168000000</v>
      </c>
      <c r="Q727" s="387"/>
      <c r="R727" s="387"/>
      <c r="S727" s="387">
        <v>52000000</v>
      </c>
      <c r="T727" s="387"/>
      <c r="U727" s="367">
        <v>44810</v>
      </c>
      <c r="V727" s="367">
        <v>45174</v>
      </c>
      <c r="W727" s="361" t="s">
        <v>250</v>
      </c>
      <c r="X727" s="361"/>
      <c r="Y727" s="361"/>
      <c r="Z727" s="361"/>
      <c r="AA727" s="361"/>
      <c r="AB727" s="361"/>
      <c r="AC727" s="159"/>
      <c r="AD727" s="361" t="s">
        <v>2614</v>
      </c>
      <c r="AE727" s="364">
        <v>4500018456</v>
      </c>
      <c r="AF727" s="364"/>
      <c r="AG727" s="361"/>
      <c r="AH727" s="365"/>
      <c r="AI727" s="361"/>
      <c r="AJ727" s="361"/>
      <c r="AK727" s="361"/>
      <c r="AL727" s="361"/>
      <c r="AM727" s="361"/>
      <c r="AN727" s="361"/>
      <c r="AO727" s="361"/>
      <c r="AP727" s="361"/>
      <c r="AQ727" s="361"/>
      <c r="AR727" s="503"/>
      <c r="AS727" s="489"/>
      <c r="AT727" s="160"/>
      <c r="AU727" s="355"/>
    </row>
    <row r="728" spans="1:47" s="124" customFormat="1" ht="21.75" hidden="1" customHeight="1">
      <c r="A728" s="331">
        <v>727</v>
      </c>
      <c r="B728" s="361" t="s">
        <v>2615</v>
      </c>
      <c r="C728" s="361" t="s">
        <v>2616</v>
      </c>
      <c r="D728" s="435" t="s">
        <v>2617</v>
      </c>
      <c r="E728" s="361" t="str">
        <f t="shared" si="11"/>
        <v>LOSS</v>
      </c>
      <c r="F728" s="361"/>
      <c r="G728" s="361"/>
      <c r="H728" s="28" t="s">
        <v>261</v>
      </c>
      <c r="I728" s="361" t="s">
        <v>243</v>
      </c>
      <c r="J728" s="361" t="s">
        <v>2618</v>
      </c>
      <c r="K728" s="361"/>
      <c r="L728" s="361"/>
      <c r="M728" s="361"/>
      <c r="N728" s="361"/>
      <c r="O728" s="370">
        <v>5000</v>
      </c>
      <c r="P728" s="387">
        <v>384057600</v>
      </c>
      <c r="Q728" s="387"/>
      <c r="R728" s="387">
        <v>4000000</v>
      </c>
      <c r="S728" s="387">
        <v>210000000</v>
      </c>
      <c r="T728" s="387"/>
      <c r="U728" s="367">
        <v>44795</v>
      </c>
      <c r="V728" s="367">
        <v>45159</v>
      </c>
      <c r="W728" s="361" t="s">
        <v>250</v>
      </c>
      <c r="X728" s="361"/>
      <c r="Y728" s="361"/>
      <c r="Z728" s="361"/>
      <c r="AA728" s="361"/>
      <c r="AB728" s="361"/>
      <c r="AC728" s="159"/>
      <c r="AD728" s="361" t="s">
        <v>2619</v>
      </c>
      <c r="AE728" s="364">
        <v>4500018763</v>
      </c>
      <c r="AF728" s="364"/>
      <c r="AG728" s="361"/>
      <c r="AH728" s="361"/>
      <c r="AI728" s="361"/>
      <c r="AJ728" s="361"/>
      <c r="AK728" s="361"/>
      <c r="AL728" s="361"/>
      <c r="AM728" s="361"/>
      <c r="AN728" s="361"/>
      <c r="AO728" s="361"/>
      <c r="AP728" s="361"/>
      <c r="AQ728" s="361"/>
      <c r="AR728" s="503"/>
      <c r="AS728" s="489"/>
      <c r="AT728" s="160"/>
      <c r="AU728" s="355"/>
    </row>
    <row r="729" spans="1:47" s="124" customFormat="1" ht="21.75" hidden="1" customHeight="1">
      <c r="A729" s="331">
        <v>728</v>
      </c>
      <c r="B729" s="361" t="s">
        <v>2620</v>
      </c>
      <c r="C729" s="361" t="s">
        <v>2435</v>
      </c>
      <c r="D729" s="436" t="s">
        <v>2521</v>
      </c>
      <c r="E729" s="361" t="str">
        <f t="shared" si="11"/>
        <v>LOSS</v>
      </c>
      <c r="F729" s="361"/>
      <c r="G729" s="361"/>
      <c r="H729" s="28" t="s">
        <v>261</v>
      </c>
      <c r="I729" s="361" t="s">
        <v>243</v>
      </c>
      <c r="J729" s="361" t="s">
        <v>2621</v>
      </c>
      <c r="K729" s="361"/>
      <c r="L729" s="361"/>
      <c r="M729" s="361"/>
      <c r="N729" s="361"/>
      <c r="O729" s="370">
        <v>4000000</v>
      </c>
      <c r="P729" s="387">
        <v>56400000</v>
      </c>
      <c r="Q729" s="387"/>
      <c r="R729" s="387">
        <v>2500000</v>
      </c>
      <c r="S729" s="387">
        <v>39000000</v>
      </c>
      <c r="T729" s="387"/>
      <c r="U729" s="367">
        <v>44806</v>
      </c>
      <c r="V729" s="367">
        <v>45170</v>
      </c>
      <c r="W729" s="361" t="s">
        <v>250</v>
      </c>
      <c r="X729" s="361"/>
      <c r="Y729" s="361"/>
      <c r="Z729" s="361"/>
      <c r="AA729" s="361"/>
      <c r="AB729" s="361"/>
      <c r="AC729" s="159"/>
      <c r="AD729" s="361" t="s">
        <v>2622</v>
      </c>
      <c r="AE729" s="364">
        <v>4500018575</v>
      </c>
      <c r="AF729" s="364"/>
      <c r="AG729" s="361"/>
      <c r="AH729" s="361"/>
      <c r="AI729" s="361"/>
      <c r="AJ729" s="361"/>
      <c r="AK729" s="361"/>
      <c r="AL729" s="361"/>
      <c r="AM729" s="361"/>
      <c r="AN729" s="361"/>
      <c r="AO729" s="361"/>
      <c r="AP729" s="361"/>
      <c r="AQ729" s="361"/>
      <c r="AR729" s="503"/>
      <c r="AS729" s="489"/>
      <c r="AT729" s="160"/>
      <c r="AU729" s="355"/>
    </row>
    <row r="730" spans="1:47" s="124" customFormat="1" ht="21.75" hidden="1" customHeight="1">
      <c r="A730" s="331">
        <v>729</v>
      </c>
      <c r="B730" s="361" t="s">
        <v>2623</v>
      </c>
      <c r="C730" s="361" t="s">
        <v>2624</v>
      </c>
      <c r="D730" s="435" t="s">
        <v>586</v>
      </c>
      <c r="E730" s="361" t="str">
        <f t="shared" si="11"/>
        <v>LOSS</v>
      </c>
      <c r="F730" s="361"/>
      <c r="G730" s="361"/>
      <c r="H730" s="361" t="s">
        <v>327</v>
      </c>
      <c r="I730" s="160" t="s">
        <v>346</v>
      </c>
      <c r="J730" s="361"/>
      <c r="K730" s="365"/>
      <c r="L730" s="361"/>
      <c r="M730" s="361"/>
      <c r="N730" s="361"/>
      <c r="O730" s="370"/>
      <c r="P730" s="387"/>
      <c r="Q730" s="387"/>
      <c r="R730" s="387"/>
      <c r="S730" s="387">
        <v>20200000</v>
      </c>
      <c r="T730" s="387"/>
      <c r="U730" s="367">
        <v>44531</v>
      </c>
      <c r="V730" s="367">
        <v>44895</v>
      </c>
      <c r="W730" s="361" t="s">
        <v>250</v>
      </c>
      <c r="X730" s="361"/>
      <c r="Y730" s="361"/>
      <c r="Z730" s="361"/>
      <c r="AA730" s="361"/>
      <c r="AB730" s="361"/>
      <c r="AC730" s="159"/>
      <c r="AD730" s="361" t="s">
        <v>2625</v>
      </c>
      <c r="AE730" s="364">
        <v>4500018727</v>
      </c>
      <c r="AF730" s="364"/>
      <c r="AG730" s="361"/>
      <c r="AH730" s="365"/>
      <c r="AI730" s="361"/>
      <c r="AJ730" s="361"/>
      <c r="AK730" s="361"/>
      <c r="AL730" s="361"/>
      <c r="AM730" s="361"/>
      <c r="AN730" s="361"/>
      <c r="AO730" s="361"/>
      <c r="AP730" s="361"/>
      <c r="AQ730" s="361"/>
      <c r="AR730" s="503"/>
      <c r="AS730" s="489"/>
      <c r="AT730" s="160"/>
      <c r="AU730" s="355"/>
    </row>
    <row r="731" spans="1:47" s="124" customFormat="1" ht="21.75" hidden="1" customHeight="1">
      <c r="A731" s="331">
        <v>730</v>
      </c>
      <c r="B731" s="28" t="s">
        <v>151</v>
      </c>
      <c r="C731" s="361" t="s">
        <v>2626</v>
      </c>
      <c r="D731" s="436" t="s">
        <v>539</v>
      </c>
      <c r="E731" s="361" t="str">
        <f t="shared" si="11"/>
        <v>LOSS</v>
      </c>
      <c r="F731" s="361"/>
      <c r="G731" s="361"/>
      <c r="H731" s="361" t="s">
        <v>327</v>
      </c>
      <c r="I731" s="160" t="s">
        <v>346</v>
      </c>
      <c r="J731" s="361" t="s">
        <v>2627</v>
      </c>
      <c r="K731" s="365"/>
      <c r="L731" s="361"/>
      <c r="M731" s="361"/>
      <c r="N731" s="361"/>
      <c r="O731" s="370"/>
      <c r="P731" s="387">
        <v>352480000</v>
      </c>
      <c r="Q731" s="387"/>
      <c r="R731" s="387"/>
      <c r="S731" s="387">
        <v>35000000</v>
      </c>
      <c r="T731" s="387"/>
      <c r="U731" s="367">
        <v>44709</v>
      </c>
      <c r="V731" s="367">
        <v>45073</v>
      </c>
      <c r="W731" s="361" t="s">
        <v>250</v>
      </c>
      <c r="X731" s="361"/>
      <c r="Y731" s="361"/>
      <c r="Z731" s="361"/>
      <c r="AA731" s="361"/>
      <c r="AB731" s="361"/>
      <c r="AC731" s="159"/>
      <c r="AD731" s="361" t="s">
        <v>2628</v>
      </c>
      <c r="AE731" s="364">
        <v>4500018233</v>
      </c>
      <c r="AF731" s="364"/>
      <c r="AG731" s="361"/>
      <c r="AH731" s="365"/>
      <c r="AI731" s="361"/>
      <c r="AJ731" s="361"/>
      <c r="AK731" s="361"/>
      <c r="AL731" s="361"/>
      <c r="AM731" s="361"/>
      <c r="AN731" s="361"/>
      <c r="AO731" s="361"/>
      <c r="AP731" s="361"/>
      <c r="AQ731" s="361"/>
      <c r="AR731" s="503"/>
      <c r="AS731" s="489"/>
      <c r="AT731" s="160"/>
      <c r="AU731" s="355"/>
    </row>
    <row r="732" spans="1:47" s="124" customFormat="1" ht="21.75" hidden="1" customHeight="1">
      <c r="A732" s="331">
        <v>731</v>
      </c>
      <c r="B732" s="361" t="s">
        <v>1336</v>
      </c>
      <c r="C732" s="361" t="s">
        <v>2629</v>
      </c>
      <c r="D732" s="435" t="s">
        <v>611</v>
      </c>
      <c r="E732" s="361" t="str">
        <f t="shared" si="11"/>
        <v>LOSS</v>
      </c>
      <c r="F732" s="361"/>
      <c r="G732" s="361"/>
      <c r="H732" s="361" t="s">
        <v>327</v>
      </c>
      <c r="I732" s="361" t="s">
        <v>242</v>
      </c>
      <c r="J732" s="361" t="s">
        <v>2630</v>
      </c>
      <c r="K732" s="365"/>
      <c r="L732" s="361"/>
      <c r="M732" s="361"/>
      <c r="N732" s="361"/>
      <c r="O732" s="370"/>
      <c r="P732" s="387">
        <v>132000000</v>
      </c>
      <c r="Q732" s="387"/>
      <c r="R732" s="387"/>
      <c r="S732" s="387">
        <v>6000000</v>
      </c>
      <c r="T732" s="387"/>
      <c r="U732" s="367">
        <v>44742</v>
      </c>
      <c r="V732" s="367">
        <v>45106</v>
      </c>
      <c r="W732" s="361" t="s">
        <v>250</v>
      </c>
      <c r="X732" s="361"/>
      <c r="Y732" s="361"/>
      <c r="Z732" s="361"/>
      <c r="AA732" s="361"/>
      <c r="AB732" s="361"/>
      <c r="AC732" s="159"/>
      <c r="AD732" s="361" t="s">
        <v>2631</v>
      </c>
      <c r="AE732" s="364">
        <v>4500018223</v>
      </c>
      <c r="AF732" s="364"/>
      <c r="AG732" s="361"/>
      <c r="AH732" s="365"/>
      <c r="AI732" s="361"/>
      <c r="AJ732" s="361"/>
      <c r="AK732" s="361"/>
      <c r="AL732" s="361"/>
      <c r="AM732" s="361"/>
      <c r="AN732" s="361"/>
      <c r="AO732" s="361"/>
      <c r="AP732" s="361"/>
      <c r="AQ732" s="361"/>
      <c r="AR732" s="503"/>
      <c r="AS732" s="489"/>
      <c r="AT732" s="160"/>
      <c r="AU732" s="355"/>
    </row>
    <row r="733" spans="1:47" s="124" customFormat="1" ht="21.75" hidden="1" customHeight="1">
      <c r="A733" s="331">
        <v>732</v>
      </c>
      <c r="B733" s="361" t="s">
        <v>542</v>
      </c>
      <c r="C733" s="361" t="s">
        <v>2632</v>
      </c>
      <c r="D733" s="436" t="s">
        <v>544</v>
      </c>
      <c r="E733" s="361" t="str">
        <f t="shared" si="11"/>
        <v>LOSS</v>
      </c>
      <c r="F733" s="361"/>
      <c r="G733" s="361"/>
      <c r="H733" s="361" t="s">
        <v>327</v>
      </c>
      <c r="I733" s="361" t="s">
        <v>242</v>
      </c>
      <c r="J733" s="361" t="s">
        <v>2633</v>
      </c>
      <c r="K733" s="365"/>
      <c r="L733" s="361"/>
      <c r="M733" s="361"/>
      <c r="N733" s="361"/>
      <c r="O733" s="370">
        <v>6600000</v>
      </c>
      <c r="P733" s="387">
        <v>244800000</v>
      </c>
      <c r="Q733" s="387"/>
      <c r="R733" s="387">
        <v>4000000</v>
      </c>
      <c r="S733" s="387">
        <v>16000000</v>
      </c>
      <c r="T733" s="387"/>
      <c r="U733" s="367">
        <v>44757</v>
      </c>
      <c r="V733" s="367">
        <v>45121</v>
      </c>
      <c r="W733" s="361" t="s">
        <v>250</v>
      </c>
      <c r="X733" s="361"/>
      <c r="Y733" s="361"/>
      <c r="Z733" s="361"/>
      <c r="AA733" s="361"/>
      <c r="AB733" s="361"/>
      <c r="AC733" s="159"/>
      <c r="AD733" s="361" t="s">
        <v>2634</v>
      </c>
      <c r="AE733" s="364">
        <v>4500018379</v>
      </c>
      <c r="AF733" s="364"/>
      <c r="AG733" s="361"/>
      <c r="AH733" s="365"/>
      <c r="AI733" s="361"/>
      <c r="AJ733" s="361"/>
      <c r="AK733" s="361"/>
      <c r="AL733" s="361"/>
      <c r="AM733" s="361"/>
      <c r="AN733" s="361"/>
      <c r="AO733" s="361"/>
      <c r="AP733" s="361"/>
      <c r="AQ733" s="361"/>
      <c r="AR733" s="503"/>
      <c r="AS733" s="489"/>
      <c r="AT733" s="160"/>
      <c r="AU733" s="355"/>
    </row>
    <row r="734" spans="1:47" s="124" customFormat="1" ht="21.75" hidden="1" customHeight="1">
      <c r="A734" s="331">
        <v>733</v>
      </c>
      <c r="B734" s="361" t="s">
        <v>2635</v>
      </c>
      <c r="C734" s="361" t="s">
        <v>2636</v>
      </c>
      <c r="D734" s="435" t="s">
        <v>2637</v>
      </c>
      <c r="E734" s="361" t="str">
        <f t="shared" si="11"/>
        <v>LOSS</v>
      </c>
      <c r="F734" s="361"/>
      <c r="G734" s="361"/>
      <c r="H734" s="361" t="s">
        <v>327</v>
      </c>
      <c r="I734" s="361" t="s">
        <v>242</v>
      </c>
      <c r="J734" s="361" t="s">
        <v>2638</v>
      </c>
      <c r="K734" s="365"/>
      <c r="L734" s="361"/>
      <c r="M734" s="361"/>
      <c r="N734" s="361"/>
      <c r="O734" s="370">
        <v>5000000</v>
      </c>
      <c r="P734" s="387">
        <v>25800000</v>
      </c>
      <c r="Q734" s="387"/>
      <c r="R734" s="387">
        <v>1500000</v>
      </c>
      <c r="S734" s="387">
        <v>3600000</v>
      </c>
      <c r="T734" s="387"/>
      <c r="U734" s="367">
        <v>44720</v>
      </c>
      <c r="V734" s="367">
        <v>45084</v>
      </c>
      <c r="W734" s="361" t="s">
        <v>250</v>
      </c>
      <c r="X734" s="361"/>
      <c r="Y734" s="361"/>
      <c r="Z734" s="361"/>
      <c r="AA734" s="361"/>
      <c r="AB734" s="361"/>
      <c r="AC734" s="159"/>
      <c r="AD734" s="361" t="s">
        <v>2639</v>
      </c>
      <c r="AE734" s="364">
        <v>4500018075</v>
      </c>
      <c r="AF734" s="364"/>
      <c r="AG734" s="361"/>
      <c r="AH734" s="365"/>
      <c r="AI734" s="361"/>
      <c r="AJ734" s="361"/>
      <c r="AK734" s="361"/>
      <c r="AL734" s="361"/>
      <c r="AM734" s="361"/>
      <c r="AN734" s="361"/>
      <c r="AO734" s="361"/>
      <c r="AP734" s="361"/>
      <c r="AQ734" s="361"/>
      <c r="AR734" s="503"/>
      <c r="AS734" s="489"/>
      <c r="AT734" s="160"/>
      <c r="AU734" s="355"/>
    </row>
    <row r="735" spans="1:47" s="124" customFormat="1" ht="21.75" hidden="1" customHeight="1">
      <c r="A735" s="331">
        <v>734</v>
      </c>
      <c r="B735" s="361" t="s">
        <v>2640</v>
      </c>
      <c r="C735" s="361" t="s">
        <v>2641</v>
      </c>
      <c r="D735" s="436" t="s">
        <v>544</v>
      </c>
      <c r="E735" s="361" t="str">
        <f t="shared" si="11"/>
        <v>LOSS</v>
      </c>
      <c r="F735" s="361"/>
      <c r="G735" s="361"/>
      <c r="H735" s="28" t="s">
        <v>261</v>
      </c>
      <c r="I735" s="361" t="s">
        <v>243</v>
      </c>
      <c r="J735" s="361" t="s">
        <v>2642</v>
      </c>
      <c r="K735" s="361"/>
      <c r="L735" s="361"/>
      <c r="M735" s="361"/>
      <c r="N735" s="361"/>
      <c r="O735" s="370"/>
      <c r="P735" s="387">
        <v>108750000</v>
      </c>
      <c r="Q735" s="387"/>
      <c r="R735" s="387"/>
      <c r="S735" s="387">
        <v>54000000</v>
      </c>
      <c r="T735" s="387"/>
      <c r="U735" s="367">
        <v>44743</v>
      </c>
      <c r="V735" s="367">
        <v>45107</v>
      </c>
      <c r="W735" s="361" t="s">
        <v>250</v>
      </c>
      <c r="X735" s="361"/>
      <c r="Y735" s="361"/>
      <c r="Z735" s="361"/>
      <c r="AA735" s="361"/>
      <c r="AB735" s="361"/>
      <c r="AC735" s="159"/>
      <c r="AD735" s="361" t="s">
        <v>2643</v>
      </c>
      <c r="AE735" s="364">
        <v>4500018322</v>
      </c>
      <c r="AF735" s="364"/>
      <c r="AG735" s="361"/>
      <c r="AH735" s="361"/>
      <c r="AI735" s="361"/>
      <c r="AJ735" s="361"/>
      <c r="AK735" s="361"/>
      <c r="AL735" s="361"/>
      <c r="AM735" s="361"/>
      <c r="AN735" s="361"/>
      <c r="AO735" s="361"/>
      <c r="AP735" s="361"/>
      <c r="AQ735" s="361"/>
      <c r="AR735" s="503"/>
      <c r="AS735" s="489"/>
      <c r="AT735" s="160"/>
      <c r="AU735" s="355"/>
    </row>
    <row r="736" spans="1:47" s="124" customFormat="1" ht="21.75" hidden="1" customHeight="1">
      <c r="A736" s="331">
        <v>735</v>
      </c>
      <c r="B736" s="361" t="s">
        <v>1326</v>
      </c>
      <c r="C736" s="361" t="s">
        <v>2644</v>
      </c>
      <c r="D736" s="435" t="s">
        <v>1328</v>
      </c>
      <c r="E736" s="361" t="str">
        <f t="shared" si="11"/>
        <v>LOSS</v>
      </c>
      <c r="F736" s="361"/>
      <c r="G736" s="361"/>
      <c r="H736" s="361" t="s">
        <v>327</v>
      </c>
      <c r="I736" s="361" t="s">
        <v>242</v>
      </c>
      <c r="J736" s="361" t="s">
        <v>2645</v>
      </c>
      <c r="K736" s="365"/>
      <c r="L736" s="361"/>
      <c r="M736" s="361"/>
      <c r="N736" s="361"/>
      <c r="O736" s="370"/>
      <c r="P736" s="387">
        <v>66600024</v>
      </c>
      <c r="Q736" s="387"/>
      <c r="R736" s="387"/>
      <c r="S736" s="387">
        <v>62900000</v>
      </c>
      <c r="T736" s="387"/>
      <c r="U736" s="367">
        <v>44771</v>
      </c>
      <c r="V736" s="367">
        <v>45135</v>
      </c>
      <c r="W736" s="361" t="s">
        <v>250</v>
      </c>
      <c r="X736" s="361"/>
      <c r="Y736" s="361"/>
      <c r="Z736" s="361"/>
      <c r="AA736" s="361"/>
      <c r="AB736" s="361"/>
      <c r="AC736" s="159"/>
      <c r="AD736" s="361" t="s">
        <v>2646</v>
      </c>
      <c r="AE736" s="364">
        <v>4500018401</v>
      </c>
      <c r="AF736" s="364"/>
      <c r="AG736" s="361"/>
      <c r="AH736" s="365"/>
      <c r="AI736" s="361"/>
      <c r="AJ736" s="361"/>
      <c r="AK736" s="361"/>
      <c r="AL736" s="361"/>
      <c r="AM736" s="361"/>
      <c r="AN736" s="361"/>
      <c r="AO736" s="361"/>
      <c r="AP736" s="361"/>
      <c r="AQ736" s="361"/>
      <c r="AR736" s="503"/>
      <c r="AS736" s="489"/>
      <c r="AT736" s="160"/>
      <c r="AU736" s="355"/>
    </row>
    <row r="737" spans="1:47" s="124" customFormat="1" ht="21.75" hidden="1" customHeight="1">
      <c r="A737" s="331">
        <v>736</v>
      </c>
      <c r="B737" s="159" t="s">
        <v>614</v>
      </c>
      <c r="C737" s="361" t="s">
        <v>1206</v>
      </c>
      <c r="D737" s="436" t="s">
        <v>1207</v>
      </c>
      <c r="E737" s="361" t="str">
        <f t="shared" si="11"/>
        <v>LOSS</v>
      </c>
      <c r="F737" s="361"/>
      <c r="G737" s="361"/>
      <c r="H737" s="28" t="s">
        <v>261</v>
      </c>
      <c r="I737" s="361" t="s">
        <v>243</v>
      </c>
      <c r="J737" s="361" t="s">
        <v>2647</v>
      </c>
      <c r="K737" s="361"/>
      <c r="L737" s="361"/>
      <c r="M737" s="361"/>
      <c r="N737" s="361"/>
      <c r="O737" s="370"/>
      <c r="P737" s="387">
        <v>156000000</v>
      </c>
      <c r="Q737" s="387"/>
      <c r="R737" s="387"/>
      <c r="S737" s="387">
        <v>168000000</v>
      </c>
      <c r="T737" s="387"/>
      <c r="U737" s="367">
        <v>44743</v>
      </c>
      <c r="V737" s="367">
        <v>45107</v>
      </c>
      <c r="W737" s="361" t="s">
        <v>250</v>
      </c>
      <c r="X737" s="361"/>
      <c r="Y737" s="361"/>
      <c r="Z737" s="361"/>
      <c r="AA737" s="361"/>
      <c r="AB737" s="361"/>
      <c r="AC737" s="159"/>
      <c r="AD737" s="361" t="s">
        <v>2648</v>
      </c>
      <c r="AE737" s="364">
        <v>4500018287</v>
      </c>
      <c r="AF737" s="364"/>
      <c r="AG737" s="361"/>
      <c r="AH737" s="361"/>
      <c r="AI737" s="361"/>
      <c r="AJ737" s="361"/>
      <c r="AK737" s="361"/>
      <c r="AL737" s="361"/>
      <c r="AM737" s="361"/>
      <c r="AN737" s="361"/>
      <c r="AO737" s="361"/>
      <c r="AP737" s="361"/>
      <c r="AQ737" s="361"/>
      <c r="AR737" s="503"/>
      <c r="AS737" s="489"/>
      <c r="AT737" s="160"/>
      <c r="AU737" s="355"/>
    </row>
    <row r="738" spans="1:47" s="124" customFormat="1" ht="21.75" hidden="1" customHeight="1">
      <c r="A738" s="331">
        <v>737</v>
      </c>
      <c r="B738" s="361" t="s">
        <v>2563</v>
      </c>
      <c r="C738" s="361" t="s">
        <v>1253</v>
      </c>
      <c r="D738" s="435" t="s">
        <v>1269</v>
      </c>
      <c r="E738" s="361" t="str">
        <f t="shared" si="11"/>
        <v>LOSS</v>
      </c>
      <c r="F738" s="361"/>
      <c r="G738" s="361"/>
      <c r="H738" s="361" t="s">
        <v>327</v>
      </c>
      <c r="I738" s="160" t="s">
        <v>346</v>
      </c>
      <c r="J738" s="361"/>
      <c r="K738" s="365"/>
      <c r="L738" s="361"/>
      <c r="M738" s="361"/>
      <c r="N738" s="361"/>
      <c r="O738" s="370"/>
      <c r="P738" s="387"/>
      <c r="Q738" s="387"/>
      <c r="R738" s="387"/>
      <c r="S738" s="387">
        <v>90000000</v>
      </c>
      <c r="T738" s="387"/>
      <c r="U738" s="367">
        <v>44562</v>
      </c>
      <c r="V738" s="367">
        <v>44926</v>
      </c>
      <c r="W738" s="361" t="s">
        <v>250</v>
      </c>
      <c r="X738" s="361"/>
      <c r="Y738" s="361"/>
      <c r="Z738" s="361"/>
      <c r="AA738" s="361"/>
      <c r="AB738" s="361"/>
      <c r="AC738" s="159"/>
      <c r="AD738" s="361" t="s">
        <v>2649</v>
      </c>
      <c r="AE738" s="364">
        <v>4500018320</v>
      </c>
      <c r="AF738" s="364"/>
      <c r="AG738" s="361"/>
      <c r="AH738" s="365"/>
      <c r="AI738" s="361"/>
      <c r="AJ738" s="361"/>
      <c r="AK738" s="361"/>
      <c r="AL738" s="361"/>
      <c r="AM738" s="361"/>
      <c r="AN738" s="361"/>
      <c r="AO738" s="361"/>
      <c r="AP738" s="361"/>
      <c r="AQ738" s="361"/>
      <c r="AR738" s="503"/>
      <c r="AS738" s="489"/>
      <c r="AT738" s="160"/>
      <c r="AU738" s="355"/>
    </row>
    <row r="739" spans="1:47" s="124" customFormat="1" ht="21.75" hidden="1" customHeight="1">
      <c r="A739" s="331">
        <v>738</v>
      </c>
      <c r="B739" s="361" t="s">
        <v>1326</v>
      </c>
      <c r="C739" s="361" t="s">
        <v>555</v>
      </c>
      <c r="D739" s="436" t="s">
        <v>2650</v>
      </c>
      <c r="E739" s="361" t="str">
        <f t="shared" si="11"/>
        <v>LOSS</v>
      </c>
      <c r="F739" s="361"/>
      <c r="G739" s="361"/>
      <c r="H739" s="28" t="s">
        <v>261</v>
      </c>
      <c r="I739" s="361" t="s">
        <v>243</v>
      </c>
      <c r="J739" s="361" t="s">
        <v>2651</v>
      </c>
      <c r="K739" s="361"/>
      <c r="L739" s="361"/>
      <c r="M739" s="361"/>
      <c r="N739" s="361"/>
      <c r="O739" s="370"/>
      <c r="P739" s="387">
        <v>43740000</v>
      </c>
      <c r="Q739" s="387"/>
      <c r="R739" s="387"/>
      <c r="S739" s="387">
        <v>48000000</v>
      </c>
      <c r="T739" s="387"/>
      <c r="U739" s="367">
        <v>44743</v>
      </c>
      <c r="V739" s="367">
        <v>45107</v>
      </c>
      <c r="W739" s="361" t="s">
        <v>250</v>
      </c>
      <c r="X739" s="361"/>
      <c r="Y739" s="361"/>
      <c r="Z739" s="361"/>
      <c r="AA739" s="361"/>
      <c r="AB739" s="361"/>
      <c r="AC739" s="159"/>
      <c r="AD739" s="361" t="s">
        <v>2652</v>
      </c>
      <c r="AE739" s="364">
        <v>4500018239</v>
      </c>
      <c r="AF739" s="364"/>
      <c r="AG739" s="361"/>
      <c r="AH739" s="361"/>
      <c r="AI739" s="361"/>
      <c r="AJ739" s="361"/>
      <c r="AK739" s="361"/>
      <c r="AL739" s="361"/>
      <c r="AM739" s="361"/>
      <c r="AN739" s="361"/>
      <c r="AO739" s="361"/>
      <c r="AP739" s="361"/>
      <c r="AQ739" s="361"/>
      <c r="AR739" s="503"/>
      <c r="AS739" s="489"/>
      <c r="AT739" s="160"/>
      <c r="AU739" s="355"/>
    </row>
    <row r="740" spans="1:47" s="124" customFormat="1" ht="21.75" hidden="1" customHeight="1">
      <c r="A740" s="331">
        <v>739</v>
      </c>
      <c r="B740" s="361" t="s">
        <v>542</v>
      </c>
      <c r="C740" s="361" t="s">
        <v>1295</v>
      </c>
      <c r="D740" s="435" t="s">
        <v>544</v>
      </c>
      <c r="E740" s="361" t="str">
        <f t="shared" si="11"/>
        <v>LOSS</v>
      </c>
      <c r="F740" s="361"/>
      <c r="G740" s="361"/>
      <c r="H740" s="361" t="s">
        <v>464</v>
      </c>
      <c r="I740" s="361" t="s">
        <v>242</v>
      </c>
      <c r="J740" s="361" t="s">
        <v>1296</v>
      </c>
      <c r="K740" s="365"/>
      <c r="L740" s="361"/>
      <c r="M740" s="361"/>
      <c r="N740" s="361"/>
      <c r="O740" s="370"/>
      <c r="P740" s="387">
        <v>7666667</v>
      </c>
      <c r="Q740" s="387"/>
      <c r="R740" s="387"/>
      <c r="S740" s="387">
        <v>1010747</v>
      </c>
      <c r="T740" s="387"/>
      <c r="U740" s="367">
        <v>44696</v>
      </c>
      <c r="V740" s="367">
        <v>44742</v>
      </c>
      <c r="W740" s="361" t="s">
        <v>250</v>
      </c>
      <c r="X740" s="361"/>
      <c r="Y740" s="361"/>
      <c r="Z740" s="361"/>
      <c r="AA740" s="361"/>
      <c r="AB740" s="361"/>
      <c r="AC740" s="159"/>
      <c r="AD740" s="368"/>
      <c r="AE740" s="364">
        <v>4500018963</v>
      </c>
      <c r="AF740" s="364"/>
      <c r="AG740" s="361"/>
      <c r="AH740" s="365"/>
      <c r="AI740" s="361"/>
      <c r="AJ740" s="361"/>
      <c r="AK740" s="361"/>
      <c r="AL740" s="361"/>
      <c r="AM740" s="361"/>
      <c r="AN740" s="361"/>
      <c r="AO740" s="361"/>
      <c r="AP740" s="361"/>
      <c r="AQ740" s="361"/>
      <c r="AR740" s="503"/>
      <c r="AS740" s="489"/>
      <c r="AT740" s="160"/>
      <c r="AU740" s="355"/>
    </row>
    <row r="741" spans="1:47" s="124" customFormat="1" ht="21.75" hidden="1" customHeight="1">
      <c r="A741" s="331">
        <v>740</v>
      </c>
      <c r="B741" s="361" t="s">
        <v>1336</v>
      </c>
      <c r="C741" s="361" t="s">
        <v>1134</v>
      </c>
      <c r="D741" s="436" t="s">
        <v>611</v>
      </c>
      <c r="E741" s="361" t="str">
        <f t="shared" si="11"/>
        <v>LOSS</v>
      </c>
      <c r="F741" s="361"/>
      <c r="G741" s="361"/>
      <c r="H741" s="361" t="s">
        <v>327</v>
      </c>
      <c r="I741" s="361" t="s">
        <v>242</v>
      </c>
      <c r="J741" s="361" t="s">
        <v>1168</v>
      </c>
      <c r="K741" s="365"/>
      <c r="L741" s="361"/>
      <c r="M741" s="361"/>
      <c r="N741" s="361"/>
      <c r="O741" s="370"/>
      <c r="P741" s="387">
        <v>872304000</v>
      </c>
      <c r="Q741" s="387"/>
      <c r="R741" s="387"/>
      <c r="S741" s="387">
        <v>6000000</v>
      </c>
      <c r="T741" s="387"/>
      <c r="U741" s="367">
        <v>44813</v>
      </c>
      <c r="V741" s="367">
        <v>45177</v>
      </c>
      <c r="W741" s="361" t="s">
        <v>250</v>
      </c>
      <c r="X741" s="361"/>
      <c r="Y741" s="361"/>
      <c r="Z741" s="361"/>
      <c r="AA741" s="361"/>
      <c r="AB741" s="361"/>
      <c r="AC741" s="159"/>
      <c r="AD741" s="361" t="s">
        <v>2653</v>
      </c>
      <c r="AE741" s="364">
        <v>4500018959</v>
      </c>
      <c r="AF741" s="364"/>
      <c r="AG741" s="361"/>
      <c r="AH741" s="365"/>
      <c r="AI741" s="361"/>
      <c r="AJ741" s="361"/>
      <c r="AK741" s="361"/>
      <c r="AL741" s="361"/>
      <c r="AM741" s="361"/>
      <c r="AN741" s="361"/>
      <c r="AO741" s="361"/>
      <c r="AP741" s="361"/>
      <c r="AQ741" s="361"/>
      <c r="AR741" s="503"/>
      <c r="AS741" s="489"/>
      <c r="AT741" s="160"/>
      <c r="AU741" s="355"/>
    </row>
    <row r="742" spans="1:47" s="124" customFormat="1" ht="21.75" hidden="1" customHeight="1">
      <c r="A742" s="331">
        <v>741</v>
      </c>
      <c r="B742" s="173" t="s">
        <v>1035</v>
      </c>
      <c r="C742" s="361" t="s">
        <v>2654</v>
      </c>
      <c r="D742" s="435" t="s">
        <v>1240</v>
      </c>
      <c r="E742" s="361" t="str">
        <f t="shared" si="11"/>
        <v>LOSS</v>
      </c>
      <c r="F742" s="361"/>
      <c r="G742" s="361"/>
      <c r="H742" s="361" t="s">
        <v>327</v>
      </c>
      <c r="I742" s="160" t="s">
        <v>346</v>
      </c>
      <c r="J742" s="361" t="s">
        <v>2655</v>
      </c>
      <c r="K742" s="365"/>
      <c r="L742" s="361"/>
      <c r="M742" s="361"/>
      <c r="N742" s="361"/>
      <c r="O742" s="370"/>
      <c r="P742" s="387">
        <v>126000000</v>
      </c>
      <c r="Q742" s="387"/>
      <c r="R742" s="387"/>
      <c r="S742" s="387">
        <v>30640000</v>
      </c>
      <c r="T742" s="387"/>
      <c r="U742" s="367">
        <v>44807</v>
      </c>
      <c r="V742" s="367">
        <v>45171</v>
      </c>
      <c r="W742" s="361" t="s">
        <v>250</v>
      </c>
      <c r="X742" s="361"/>
      <c r="Y742" s="361"/>
      <c r="Z742" s="361"/>
      <c r="AA742" s="361"/>
      <c r="AB742" s="361"/>
      <c r="AC742" s="159"/>
      <c r="AD742" s="368"/>
      <c r="AE742" s="364">
        <v>4500018968</v>
      </c>
      <c r="AF742" s="364"/>
      <c r="AG742" s="361"/>
      <c r="AH742" s="365"/>
      <c r="AI742" s="361"/>
      <c r="AJ742" s="361"/>
      <c r="AK742" s="361"/>
      <c r="AL742" s="361"/>
      <c r="AM742" s="361"/>
      <c r="AN742" s="361"/>
      <c r="AO742" s="361"/>
      <c r="AP742" s="361"/>
      <c r="AQ742" s="361"/>
      <c r="AR742" s="503"/>
      <c r="AS742" s="489"/>
      <c r="AT742" s="160"/>
      <c r="AU742" s="355"/>
    </row>
    <row r="743" spans="1:47" s="124" customFormat="1" ht="21.75" hidden="1" customHeight="1">
      <c r="A743" s="331">
        <v>742</v>
      </c>
      <c r="B743" s="361" t="s">
        <v>1336</v>
      </c>
      <c r="C743" s="361" t="s">
        <v>1134</v>
      </c>
      <c r="D743" s="436" t="s">
        <v>611</v>
      </c>
      <c r="E743" s="361" t="str">
        <f t="shared" si="11"/>
        <v>LOSS</v>
      </c>
      <c r="F743" s="361"/>
      <c r="G743" s="361"/>
      <c r="H743" s="361" t="s">
        <v>327</v>
      </c>
      <c r="I743" s="160" t="s">
        <v>346</v>
      </c>
      <c r="J743" s="361" t="s">
        <v>2656</v>
      </c>
      <c r="K743" s="365"/>
      <c r="L743" s="361"/>
      <c r="M743" s="361"/>
      <c r="N743" s="361"/>
      <c r="O743" s="370"/>
      <c r="P743" s="387">
        <v>872304000</v>
      </c>
      <c r="Q743" s="387"/>
      <c r="R743" s="387"/>
      <c r="S743" s="387">
        <v>276000000</v>
      </c>
      <c r="T743" s="387"/>
      <c r="U743" s="367">
        <v>44810</v>
      </c>
      <c r="V743" s="367">
        <v>45174</v>
      </c>
      <c r="W743" s="361" t="s">
        <v>250</v>
      </c>
      <c r="X743" s="361"/>
      <c r="Y743" s="361"/>
      <c r="Z743" s="361"/>
      <c r="AA743" s="361"/>
      <c r="AB743" s="361"/>
      <c r="AC743" s="159"/>
      <c r="AD743" s="368"/>
      <c r="AE743" s="364">
        <v>4500018961</v>
      </c>
      <c r="AF743" s="364"/>
      <c r="AG743" s="361"/>
      <c r="AH743" s="365"/>
      <c r="AI743" s="361"/>
      <c r="AJ743" s="361"/>
      <c r="AK743" s="361"/>
      <c r="AL743" s="361"/>
      <c r="AM743" s="361"/>
      <c r="AN743" s="361"/>
      <c r="AO743" s="361"/>
      <c r="AP743" s="361"/>
      <c r="AQ743" s="361"/>
      <c r="AR743" s="503"/>
      <c r="AS743" s="489"/>
      <c r="AT743" s="160"/>
      <c r="AU743" s="355"/>
    </row>
    <row r="744" spans="1:47" s="124" customFormat="1" ht="21.75" hidden="1" customHeight="1">
      <c r="A744" s="331">
        <v>743</v>
      </c>
      <c r="B744" s="361" t="s">
        <v>1336</v>
      </c>
      <c r="C744" s="361" t="s">
        <v>1134</v>
      </c>
      <c r="D744" s="435" t="s">
        <v>611</v>
      </c>
      <c r="E744" s="361" t="str">
        <f t="shared" si="11"/>
        <v>LOSS</v>
      </c>
      <c r="F744" s="361"/>
      <c r="G744" s="361"/>
      <c r="H744" s="361" t="s">
        <v>327</v>
      </c>
      <c r="I744" s="361" t="s">
        <v>242</v>
      </c>
      <c r="J744" s="361"/>
      <c r="K744" s="365"/>
      <c r="L744" s="361"/>
      <c r="M744" s="361"/>
      <c r="N744" s="361"/>
      <c r="O744" s="370"/>
      <c r="P744" s="387"/>
      <c r="Q744" s="387"/>
      <c r="R744" s="387"/>
      <c r="S744" s="387">
        <v>18000000</v>
      </c>
      <c r="T744" s="387"/>
      <c r="U744" s="367">
        <v>44813</v>
      </c>
      <c r="V744" s="367">
        <v>45177</v>
      </c>
      <c r="W744" s="361" t="s">
        <v>250</v>
      </c>
      <c r="X744" s="361"/>
      <c r="Y744" s="361"/>
      <c r="Z744" s="361"/>
      <c r="AA744" s="361"/>
      <c r="AB744" s="361"/>
      <c r="AC744" s="159"/>
      <c r="AD744" s="368"/>
      <c r="AE744" s="364">
        <v>4500018960</v>
      </c>
      <c r="AF744" s="364"/>
      <c r="AG744" s="361"/>
      <c r="AH744" s="365"/>
      <c r="AI744" s="361"/>
      <c r="AJ744" s="361"/>
      <c r="AK744" s="361"/>
      <c r="AL744" s="361"/>
      <c r="AM744" s="361"/>
      <c r="AN744" s="361"/>
      <c r="AO744" s="361"/>
      <c r="AP744" s="361"/>
      <c r="AQ744" s="361"/>
      <c r="AR744" s="503"/>
      <c r="AS744" s="489"/>
      <c r="AT744" s="160"/>
      <c r="AU744" s="355"/>
    </row>
    <row r="745" spans="1:47" s="124" customFormat="1" ht="21.75" hidden="1" customHeight="1">
      <c r="A745" s="331">
        <v>744</v>
      </c>
      <c r="B745" s="361" t="s">
        <v>2657</v>
      </c>
      <c r="C745" s="361" t="s">
        <v>2658</v>
      </c>
      <c r="D745" s="436" t="s">
        <v>590</v>
      </c>
      <c r="E745" s="361" t="str">
        <f t="shared" si="11"/>
        <v>LOSS</v>
      </c>
      <c r="F745" s="361"/>
      <c r="G745" s="361"/>
      <c r="H745" s="28" t="s">
        <v>261</v>
      </c>
      <c r="I745" s="361" t="s">
        <v>243</v>
      </c>
      <c r="J745" s="361" t="s">
        <v>2659</v>
      </c>
      <c r="K745" s="361"/>
      <c r="L745" s="361"/>
      <c r="M745" s="361"/>
      <c r="N745" s="361"/>
      <c r="O745" s="370">
        <v>5000000</v>
      </c>
      <c r="P745" s="387">
        <v>222000000</v>
      </c>
      <c r="Q745" s="387"/>
      <c r="R745" s="387">
        <v>2000000</v>
      </c>
      <c r="S745" s="387">
        <v>126000000</v>
      </c>
      <c r="T745" s="387"/>
      <c r="U745" s="367">
        <v>44813</v>
      </c>
      <c r="V745" s="367">
        <v>45177</v>
      </c>
      <c r="W745" s="361" t="s">
        <v>250</v>
      </c>
      <c r="X745" s="361"/>
      <c r="Y745" s="361"/>
      <c r="Z745" s="361"/>
      <c r="AA745" s="361"/>
      <c r="AB745" s="361"/>
      <c r="AC745" s="159"/>
      <c r="AD745" s="361" t="s">
        <v>2660</v>
      </c>
      <c r="AE745" s="364">
        <v>4500017711</v>
      </c>
      <c r="AF745" s="364"/>
      <c r="AG745" s="361"/>
      <c r="AH745" s="361"/>
      <c r="AI745" s="361"/>
      <c r="AJ745" s="361"/>
      <c r="AK745" s="361"/>
      <c r="AL745" s="361"/>
      <c r="AM745" s="361"/>
      <c r="AN745" s="361"/>
      <c r="AO745" s="361"/>
      <c r="AP745" s="361"/>
      <c r="AQ745" s="361"/>
      <c r="AR745" s="503"/>
      <c r="AS745" s="489"/>
      <c r="AT745" s="160"/>
      <c r="AU745" s="355"/>
    </row>
    <row r="746" spans="1:47" s="124" customFormat="1" ht="21.75" hidden="1" customHeight="1">
      <c r="A746" s="331">
        <v>745</v>
      </c>
      <c r="B746" s="361" t="s">
        <v>628</v>
      </c>
      <c r="C746" s="361" t="s">
        <v>684</v>
      </c>
      <c r="D746" s="435" t="s">
        <v>630</v>
      </c>
      <c r="E746" s="361" t="str">
        <f t="shared" si="11"/>
        <v>LOSS</v>
      </c>
      <c r="F746" s="361"/>
      <c r="G746" s="361"/>
      <c r="H746" s="28" t="s">
        <v>261</v>
      </c>
      <c r="I746" s="361" t="s">
        <v>243</v>
      </c>
      <c r="J746" s="361" t="s">
        <v>2661</v>
      </c>
      <c r="K746" s="361"/>
      <c r="L746" s="361"/>
      <c r="M746" s="361"/>
      <c r="N746" s="361"/>
      <c r="O746" s="370">
        <v>2000000</v>
      </c>
      <c r="P746" s="387">
        <v>30000000</v>
      </c>
      <c r="Q746" s="387"/>
      <c r="R746" s="387">
        <v>5000000</v>
      </c>
      <c r="S746" s="387">
        <v>86400000</v>
      </c>
      <c r="T746" s="387"/>
      <c r="U746" s="367">
        <v>44805</v>
      </c>
      <c r="V746" s="367">
        <v>45169</v>
      </c>
      <c r="W746" s="361" t="s">
        <v>250</v>
      </c>
      <c r="X746" s="361"/>
      <c r="Y746" s="361"/>
      <c r="Z746" s="361"/>
      <c r="AA746" s="361"/>
      <c r="AB746" s="361"/>
      <c r="AC746" s="159"/>
      <c r="AD746" s="28"/>
      <c r="AE746" s="27" t="s">
        <v>2662</v>
      </c>
      <c r="AF746" s="364"/>
      <c r="AG746" s="160" t="s">
        <v>633</v>
      </c>
      <c r="AH746" s="174" t="s">
        <v>634</v>
      </c>
      <c r="AI746" s="361"/>
      <c r="AJ746" s="361"/>
      <c r="AK746" s="361"/>
      <c r="AL746" s="361"/>
      <c r="AM746" s="361"/>
      <c r="AN746" s="361"/>
      <c r="AO746" s="361"/>
      <c r="AP746" s="361"/>
      <c r="AQ746" s="361"/>
      <c r="AR746" s="503"/>
      <c r="AS746" s="489"/>
      <c r="AT746" s="160"/>
      <c r="AU746" s="355"/>
    </row>
    <row r="747" spans="1:47" s="124" customFormat="1" ht="21.75" hidden="1" customHeight="1">
      <c r="A747" s="331">
        <v>746</v>
      </c>
      <c r="B747" s="28" t="s">
        <v>1249</v>
      </c>
      <c r="C747" s="361" t="s">
        <v>1402</v>
      </c>
      <c r="D747" s="436" t="s">
        <v>572</v>
      </c>
      <c r="E747" s="361" t="str">
        <f t="shared" si="11"/>
        <v>LOSS</v>
      </c>
      <c r="F747" s="361"/>
      <c r="G747" s="361"/>
      <c r="H747" s="28" t="s">
        <v>261</v>
      </c>
      <c r="I747" s="361" t="s">
        <v>243</v>
      </c>
      <c r="J747" s="361" t="s">
        <v>2663</v>
      </c>
      <c r="K747" s="361"/>
      <c r="L747" s="361"/>
      <c r="M747" s="361"/>
      <c r="N747" s="361"/>
      <c r="O747" s="370">
        <v>10000000</v>
      </c>
      <c r="P747" s="387">
        <v>366000000</v>
      </c>
      <c r="Q747" s="387"/>
      <c r="R747" s="387">
        <v>10000000</v>
      </c>
      <c r="S747" s="387">
        <v>258000000</v>
      </c>
      <c r="T747" s="387"/>
      <c r="U747" s="367">
        <v>44838</v>
      </c>
      <c r="V747" s="367">
        <v>45202</v>
      </c>
      <c r="W747" s="361" t="s">
        <v>250</v>
      </c>
      <c r="X747" s="361"/>
      <c r="Y747" s="361"/>
      <c r="Z747" s="361"/>
      <c r="AA747" s="361"/>
      <c r="AB747" s="361"/>
      <c r="AC747" s="159"/>
      <c r="AD747" s="361" t="s">
        <v>2664</v>
      </c>
      <c r="AE747" s="364">
        <v>4500019012</v>
      </c>
      <c r="AF747" s="364"/>
      <c r="AG747" s="361"/>
      <c r="AH747" s="361"/>
      <c r="AI747" s="361"/>
      <c r="AJ747" s="361"/>
      <c r="AK747" s="361"/>
      <c r="AL747" s="361"/>
      <c r="AM747" s="361"/>
      <c r="AN747" s="361"/>
      <c r="AO747" s="361"/>
      <c r="AP747" s="361"/>
      <c r="AQ747" s="361"/>
      <c r="AR747" s="503"/>
      <c r="AS747" s="489"/>
      <c r="AT747" s="160"/>
      <c r="AU747" s="355"/>
    </row>
    <row r="748" spans="1:47" s="124" customFormat="1" ht="21.75" hidden="1" customHeight="1">
      <c r="A748" s="331">
        <v>747</v>
      </c>
      <c r="B748" s="159" t="s">
        <v>614</v>
      </c>
      <c r="C748" s="361" t="s">
        <v>2665</v>
      </c>
      <c r="D748" s="435" t="s">
        <v>1207</v>
      </c>
      <c r="E748" s="361" t="str">
        <f t="shared" si="11"/>
        <v>LOSS</v>
      </c>
      <c r="F748" s="361"/>
      <c r="G748" s="361"/>
      <c r="H748" s="28" t="s">
        <v>261</v>
      </c>
      <c r="I748" s="361" t="s">
        <v>243</v>
      </c>
      <c r="J748" s="361" t="s">
        <v>2666</v>
      </c>
      <c r="K748" s="361"/>
      <c r="L748" s="361"/>
      <c r="M748" s="361"/>
      <c r="N748" s="361"/>
      <c r="O748" s="370"/>
      <c r="P748" s="387">
        <v>54000000</v>
      </c>
      <c r="Q748" s="387"/>
      <c r="R748" s="387"/>
      <c r="S748" s="387">
        <v>72000000</v>
      </c>
      <c r="T748" s="387"/>
      <c r="U748" s="367">
        <v>44850</v>
      </c>
      <c r="V748" s="367">
        <v>45214</v>
      </c>
      <c r="W748" s="361" t="s">
        <v>250</v>
      </c>
      <c r="X748" s="361"/>
      <c r="Y748" s="361"/>
      <c r="Z748" s="361"/>
      <c r="AA748" s="361"/>
      <c r="AB748" s="361"/>
      <c r="AC748" s="159"/>
      <c r="AD748" s="361" t="s">
        <v>2667</v>
      </c>
      <c r="AE748" s="364">
        <v>4500019004</v>
      </c>
      <c r="AF748" s="364"/>
      <c r="AG748" s="361"/>
      <c r="AH748" s="361"/>
      <c r="AI748" s="361"/>
      <c r="AJ748" s="361"/>
      <c r="AK748" s="361"/>
      <c r="AL748" s="361"/>
      <c r="AM748" s="361"/>
      <c r="AN748" s="361"/>
      <c r="AO748" s="361"/>
      <c r="AP748" s="361"/>
      <c r="AQ748" s="361"/>
      <c r="AR748" s="503"/>
      <c r="AS748" s="489"/>
      <c r="AT748" s="160"/>
      <c r="AU748" s="355"/>
    </row>
    <row r="749" spans="1:47" s="124" customFormat="1" ht="21.75" hidden="1" customHeight="1">
      <c r="A749" s="331">
        <v>748</v>
      </c>
      <c r="B749" s="28" t="s">
        <v>179</v>
      </c>
      <c r="C749" s="361" t="s">
        <v>2668</v>
      </c>
      <c r="D749" s="436" t="s">
        <v>560</v>
      </c>
      <c r="E749" s="361" t="str">
        <f t="shared" si="11"/>
        <v>LOSS</v>
      </c>
      <c r="F749" s="361"/>
      <c r="G749" s="361"/>
      <c r="H749" s="361" t="s">
        <v>327</v>
      </c>
      <c r="I749" s="361" t="s">
        <v>242</v>
      </c>
      <c r="J749" s="361" t="s">
        <v>2669</v>
      </c>
      <c r="K749" s="365"/>
      <c r="L749" s="361"/>
      <c r="M749" s="361"/>
      <c r="N749" s="361"/>
      <c r="O749" s="370">
        <v>5000000</v>
      </c>
      <c r="P749" s="387">
        <v>240000000</v>
      </c>
      <c r="Q749" s="387"/>
      <c r="R749" s="387">
        <v>1500000</v>
      </c>
      <c r="S749" s="387">
        <v>18000000</v>
      </c>
      <c r="T749" s="387"/>
      <c r="U749" s="367">
        <v>44832</v>
      </c>
      <c r="V749" s="367">
        <v>45196</v>
      </c>
      <c r="W749" s="361" t="s">
        <v>250</v>
      </c>
      <c r="X749" s="361"/>
      <c r="Y749" s="361"/>
      <c r="Z749" s="361"/>
      <c r="AA749" s="361"/>
      <c r="AB749" s="361"/>
      <c r="AC749" s="159"/>
      <c r="AD749" s="361" t="s">
        <v>2670</v>
      </c>
      <c r="AE749" s="364">
        <v>4500018983</v>
      </c>
      <c r="AF749" s="364"/>
      <c r="AG749" s="361"/>
      <c r="AH749" s="365"/>
      <c r="AI749" s="361"/>
      <c r="AJ749" s="361"/>
      <c r="AK749" s="361"/>
      <c r="AL749" s="361"/>
      <c r="AM749" s="361"/>
      <c r="AN749" s="361"/>
      <c r="AO749" s="361"/>
      <c r="AP749" s="361"/>
      <c r="AQ749" s="361"/>
      <c r="AR749" s="503"/>
      <c r="AS749" s="489"/>
      <c r="AT749" s="160"/>
      <c r="AU749" s="355"/>
    </row>
    <row r="750" spans="1:47" s="124" customFormat="1" ht="21.75" hidden="1" customHeight="1">
      <c r="A750" s="331">
        <v>749</v>
      </c>
      <c r="B750" s="361" t="s">
        <v>71</v>
      </c>
      <c r="C750" s="361" t="s">
        <v>2671</v>
      </c>
      <c r="D750" s="435" t="s">
        <v>560</v>
      </c>
      <c r="E750" s="361" t="str">
        <f t="shared" si="11"/>
        <v>LOSS</v>
      </c>
      <c r="F750" s="361"/>
      <c r="G750" s="361"/>
      <c r="H750" s="361" t="s">
        <v>327</v>
      </c>
      <c r="I750" s="361" t="s">
        <v>242</v>
      </c>
      <c r="J750" s="361" t="s">
        <v>2672</v>
      </c>
      <c r="K750" s="365"/>
      <c r="L750" s="361"/>
      <c r="M750" s="361"/>
      <c r="N750" s="361"/>
      <c r="O750" s="370"/>
      <c r="P750" s="387">
        <v>420000000</v>
      </c>
      <c r="Q750" s="387"/>
      <c r="R750" s="387"/>
      <c r="S750" s="387">
        <v>36000000</v>
      </c>
      <c r="T750" s="387"/>
      <c r="U750" s="367">
        <v>44805</v>
      </c>
      <c r="V750" s="367">
        <v>45169</v>
      </c>
      <c r="W750" s="361" t="s">
        <v>250</v>
      </c>
      <c r="X750" s="361"/>
      <c r="Y750" s="361"/>
      <c r="Z750" s="361"/>
      <c r="AA750" s="361"/>
      <c r="AB750" s="361"/>
      <c r="AC750" s="159"/>
      <c r="AD750" s="361" t="s">
        <v>2673</v>
      </c>
      <c r="AE750" s="364">
        <v>4500018868</v>
      </c>
      <c r="AF750" s="364"/>
      <c r="AG750" s="361"/>
      <c r="AH750" s="365"/>
      <c r="AI750" s="361"/>
      <c r="AJ750" s="361"/>
      <c r="AK750" s="361"/>
      <c r="AL750" s="361"/>
      <c r="AM750" s="361"/>
      <c r="AN750" s="361"/>
      <c r="AO750" s="361"/>
      <c r="AP750" s="361"/>
      <c r="AQ750" s="361"/>
      <c r="AR750" s="503"/>
      <c r="AS750" s="489"/>
      <c r="AT750" s="160"/>
      <c r="AU750" s="355"/>
    </row>
    <row r="751" spans="1:47" s="124" customFormat="1" ht="21.75" hidden="1" customHeight="1">
      <c r="A751" s="331">
        <v>750</v>
      </c>
      <c r="B751" s="361" t="s">
        <v>37</v>
      </c>
      <c r="C751" s="361" t="s">
        <v>2674</v>
      </c>
      <c r="D751" s="436" t="s">
        <v>1129</v>
      </c>
      <c r="E751" s="361" t="str">
        <f t="shared" si="11"/>
        <v>LOSS</v>
      </c>
      <c r="F751" s="361"/>
      <c r="G751" s="361"/>
      <c r="H751" s="361" t="s">
        <v>327</v>
      </c>
      <c r="I751" s="361" t="s">
        <v>242</v>
      </c>
      <c r="J751" s="361" t="s">
        <v>2675</v>
      </c>
      <c r="K751" s="365"/>
      <c r="L751" s="361"/>
      <c r="M751" s="361"/>
      <c r="N751" s="361"/>
      <c r="O751" s="370">
        <v>3500000</v>
      </c>
      <c r="P751" s="387">
        <v>37200000</v>
      </c>
      <c r="Q751" s="387"/>
      <c r="R751" s="387">
        <v>2500000</v>
      </c>
      <c r="S751" s="387">
        <v>30000000</v>
      </c>
      <c r="T751" s="387"/>
      <c r="U751" s="367">
        <v>44916</v>
      </c>
      <c r="V751" s="367">
        <v>45280</v>
      </c>
      <c r="W751" s="361" t="s">
        <v>250</v>
      </c>
      <c r="X751" s="361"/>
      <c r="Y751" s="361"/>
      <c r="Z751" s="361"/>
      <c r="AA751" s="361"/>
      <c r="AB751" s="361"/>
      <c r="AC751" s="159"/>
      <c r="AD751" s="361" t="s">
        <v>2676</v>
      </c>
      <c r="AE751" s="364">
        <v>4500019384</v>
      </c>
      <c r="AF751" s="364"/>
      <c r="AG751" s="361"/>
      <c r="AH751" s="365"/>
      <c r="AI751" s="361"/>
      <c r="AJ751" s="361"/>
      <c r="AK751" s="361"/>
      <c r="AL751" s="361"/>
      <c r="AM751" s="361"/>
      <c r="AN751" s="361"/>
      <c r="AO751" s="361"/>
      <c r="AP751" s="361"/>
      <c r="AQ751" s="361"/>
      <c r="AR751" s="503"/>
      <c r="AS751" s="489"/>
      <c r="AT751" s="160"/>
      <c r="AU751" s="355"/>
    </row>
    <row r="752" spans="1:47" s="124" customFormat="1" ht="21.75" hidden="1" customHeight="1">
      <c r="A752" s="331">
        <v>751</v>
      </c>
      <c r="B752" s="28" t="s">
        <v>44</v>
      </c>
      <c r="C752" s="361"/>
      <c r="D752" s="435" t="s">
        <v>539</v>
      </c>
      <c r="E752" s="361" t="str">
        <f t="shared" si="11"/>
        <v>LOSS</v>
      </c>
      <c r="F752" s="361"/>
      <c r="G752" s="361"/>
      <c r="H752" s="361" t="s">
        <v>327</v>
      </c>
      <c r="I752" s="160" t="s">
        <v>346</v>
      </c>
      <c r="J752" s="361"/>
      <c r="K752" s="365"/>
      <c r="L752" s="361"/>
      <c r="M752" s="361"/>
      <c r="N752" s="361"/>
      <c r="O752" s="370"/>
      <c r="P752" s="387"/>
      <c r="Q752" s="387"/>
      <c r="R752" s="387"/>
      <c r="S752" s="387">
        <v>120000000</v>
      </c>
      <c r="T752" s="387"/>
      <c r="U752" s="367">
        <v>44876</v>
      </c>
      <c r="V752" s="367">
        <v>45240</v>
      </c>
      <c r="W752" s="361" t="s">
        <v>250</v>
      </c>
      <c r="X752" s="361"/>
      <c r="Y752" s="361"/>
      <c r="Z752" s="361"/>
      <c r="AA752" s="361"/>
      <c r="AB752" s="361"/>
      <c r="AC752" s="159"/>
      <c r="AD752" s="361" t="s">
        <v>2677</v>
      </c>
      <c r="AE752" s="364">
        <v>4500019251</v>
      </c>
      <c r="AF752" s="364"/>
      <c r="AG752" s="361"/>
      <c r="AH752" s="365"/>
      <c r="AI752" s="361"/>
      <c r="AJ752" s="361"/>
      <c r="AK752" s="361"/>
      <c r="AL752" s="361"/>
      <c r="AM752" s="361"/>
      <c r="AN752" s="361"/>
      <c r="AO752" s="361"/>
      <c r="AP752" s="361"/>
      <c r="AQ752" s="361"/>
      <c r="AR752" s="503"/>
      <c r="AS752" s="489"/>
      <c r="AT752" s="160"/>
      <c r="AU752" s="355"/>
    </row>
    <row r="753" spans="1:47" s="124" customFormat="1" ht="21.75" hidden="1" customHeight="1">
      <c r="A753" s="331">
        <v>752</v>
      </c>
      <c r="B753" s="28" t="s">
        <v>129</v>
      </c>
      <c r="C753" s="361" t="s">
        <v>2678</v>
      </c>
      <c r="D753" s="436" t="s">
        <v>544</v>
      </c>
      <c r="E753" s="361" t="str">
        <f t="shared" si="11"/>
        <v>LOSS</v>
      </c>
      <c r="F753" s="361"/>
      <c r="G753" s="361"/>
      <c r="H753" s="361" t="s">
        <v>327</v>
      </c>
      <c r="I753" s="160" t="s">
        <v>346</v>
      </c>
      <c r="J753" s="361" t="s">
        <v>2679</v>
      </c>
      <c r="K753" s="365"/>
      <c r="L753" s="361"/>
      <c r="M753" s="361"/>
      <c r="N753" s="361"/>
      <c r="O753" s="370"/>
      <c r="P753" s="387">
        <v>15600000</v>
      </c>
      <c r="Q753" s="387"/>
      <c r="R753" s="387"/>
      <c r="S753" s="387">
        <v>17582220</v>
      </c>
      <c r="T753" s="387"/>
      <c r="U753" s="367">
        <v>44853</v>
      </c>
      <c r="V753" s="367">
        <v>45217</v>
      </c>
      <c r="W753" s="361" t="s">
        <v>250</v>
      </c>
      <c r="X753" s="361"/>
      <c r="Y753" s="361"/>
      <c r="Z753" s="361"/>
      <c r="AA753" s="361"/>
      <c r="AB753" s="361"/>
      <c r="AC753" s="159"/>
      <c r="AD753" s="361" t="s">
        <v>2680</v>
      </c>
      <c r="AE753" s="364">
        <v>4500019280</v>
      </c>
      <c r="AF753" s="364"/>
      <c r="AG753" s="361"/>
      <c r="AH753" s="365"/>
      <c r="AI753" s="361"/>
      <c r="AJ753" s="361"/>
      <c r="AK753" s="361"/>
      <c r="AL753" s="361"/>
      <c r="AM753" s="361"/>
      <c r="AN753" s="361"/>
      <c r="AO753" s="361"/>
      <c r="AP753" s="361"/>
      <c r="AQ753" s="361"/>
      <c r="AR753" s="503"/>
      <c r="AS753" s="489"/>
      <c r="AT753" s="160"/>
      <c r="AU753" s="355"/>
    </row>
    <row r="754" spans="1:47" s="124" customFormat="1" ht="21.75" hidden="1" customHeight="1">
      <c r="A754" s="331">
        <v>753</v>
      </c>
      <c r="B754" s="28" t="s">
        <v>129</v>
      </c>
      <c r="C754" s="361" t="s">
        <v>2681</v>
      </c>
      <c r="D754" s="435" t="s">
        <v>544</v>
      </c>
      <c r="E754" s="361" t="str">
        <f t="shared" si="11"/>
        <v>LOSS</v>
      </c>
      <c r="F754" s="361"/>
      <c r="G754" s="361"/>
      <c r="H754" s="361" t="s">
        <v>327</v>
      </c>
      <c r="I754" s="160" t="s">
        <v>346</v>
      </c>
      <c r="J754" s="361" t="s">
        <v>2682</v>
      </c>
      <c r="K754" s="365"/>
      <c r="L754" s="361"/>
      <c r="M754" s="361"/>
      <c r="N754" s="361"/>
      <c r="O754" s="370">
        <v>5000000</v>
      </c>
      <c r="P754" s="387">
        <v>38196000</v>
      </c>
      <c r="Q754" s="387"/>
      <c r="R754" s="387"/>
      <c r="S754" s="387">
        <v>26735850</v>
      </c>
      <c r="T754" s="387"/>
      <c r="U754" s="367">
        <v>44850</v>
      </c>
      <c r="V754" s="367">
        <v>45214</v>
      </c>
      <c r="W754" s="361" t="s">
        <v>250</v>
      </c>
      <c r="X754" s="361"/>
      <c r="Y754" s="361"/>
      <c r="Z754" s="361"/>
      <c r="AA754" s="361"/>
      <c r="AB754" s="361"/>
      <c r="AC754" s="159"/>
      <c r="AD754" s="361" t="s">
        <v>2683</v>
      </c>
      <c r="AE754" s="364">
        <v>4500019283</v>
      </c>
      <c r="AF754" s="364"/>
      <c r="AG754" s="361"/>
      <c r="AH754" s="365"/>
      <c r="AI754" s="361"/>
      <c r="AJ754" s="361"/>
      <c r="AK754" s="361"/>
      <c r="AL754" s="361"/>
      <c r="AM754" s="361"/>
      <c r="AN754" s="361"/>
      <c r="AO754" s="361"/>
      <c r="AP754" s="361"/>
      <c r="AQ754" s="361"/>
      <c r="AR754" s="503"/>
      <c r="AS754" s="489"/>
      <c r="AT754" s="160"/>
      <c r="AU754" s="355"/>
    </row>
    <row r="755" spans="1:47" s="124" customFormat="1" ht="21.75" hidden="1" customHeight="1">
      <c r="A755" s="331">
        <v>754</v>
      </c>
      <c r="B755" s="28" t="s">
        <v>129</v>
      </c>
      <c r="C755" s="361" t="s">
        <v>2684</v>
      </c>
      <c r="D755" s="436" t="s">
        <v>544</v>
      </c>
      <c r="E755" s="361" t="str">
        <f t="shared" si="11"/>
        <v>LOSS</v>
      </c>
      <c r="F755" s="361"/>
      <c r="G755" s="361"/>
      <c r="H755" s="361" t="s">
        <v>327</v>
      </c>
      <c r="I755" s="160" t="s">
        <v>346</v>
      </c>
      <c r="J755" s="361" t="s">
        <v>2685</v>
      </c>
      <c r="K755" s="365"/>
      <c r="L755" s="361"/>
      <c r="M755" s="361"/>
      <c r="N755" s="361"/>
      <c r="O755" s="370"/>
      <c r="P755" s="387">
        <v>20300400</v>
      </c>
      <c r="Q755" s="387"/>
      <c r="R755" s="387"/>
      <c r="S755" s="387">
        <v>543780</v>
      </c>
      <c r="T755" s="387"/>
      <c r="U755" s="367">
        <v>44717</v>
      </c>
      <c r="V755" s="367">
        <v>45081</v>
      </c>
      <c r="W755" s="361" t="s">
        <v>250</v>
      </c>
      <c r="X755" s="361"/>
      <c r="Y755" s="361"/>
      <c r="Z755" s="361"/>
      <c r="AA755" s="361"/>
      <c r="AB755" s="361"/>
      <c r="AC755" s="159"/>
      <c r="AD755" s="361" t="s">
        <v>2686</v>
      </c>
      <c r="AE755" s="364">
        <v>4500019274</v>
      </c>
      <c r="AF755" s="364"/>
      <c r="AG755" s="361"/>
      <c r="AH755" s="365"/>
      <c r="AI755" s="361"/>
      <c r="AJ755" s="361"/>
      <c r="AK755" s="361"/>
      <c r="AL755" s="361"/>
      <c r="AM755" s="361"/>
      <c r="AN755" s="361"/>
      <c r="AO755" s="361"/>
      <c r="AP755" s="361"/>
      <c r="AQ755" s="361"/>
      <c r="AR755" s="503"/>
      <c r="AS755" s="489"/>
      <c r="AT755" s="160"/>
      <c r="AU755" s="355"/>
    </row>
    <row r="756" spans="1:47" s="124" customFormat="1" ht="21.75" hidden="1" customHeight="1">
      <c r="A756" s="331">
        <v>755</v>
      </c>
      <c r="B756" s="28" t="s">
        <v>129</v>
      </c>
      <c r="C756" s="361" t="s">
        <v>615</v>
      </c>
      <c r="D756" s="435" t="s">
        <v>544</v>
      </c>
      <c r="E756" s="361" t="str">
        <f t="shared" si="11"/>
        <v>LOSS</v>
      </c>
      <c r="F756" s="361"/>
      <c r="G756" s="361"/>
      <c r="H756" s="361" t="s">
        <v>327</v>
      </c>
      <c r="I756" s="160" t="s">
        <v>346</v>
      </c>
      <c r="J756" s="361" t="s">
        <v>2687</v>
      </c>
      <c r="K756" s="365"/>
      <c r="L756" s="361"/>
      <c r="M756" s="361"/>
      <c r="N756" s="361"/>
      <c r="O756" s="370"/>
      <c r="P756" s="387">
        <v>42000000</v>
      </c>
      <c r="Q756" s="387"/>
      <c r="R756" s="387"/>
      <c r="S756" s="387">
        <v>38699010</v>
      </c>
      <c r="T756" s="387"/>
      <c r="U756" s="367">
        <v>44803</v>
      </c>
      <c r="V756" s="367">
        <v>45167</v>
      </c>
      <c r="W756" s="361" t="s">
        <v>250</v>
      </c>
      <c r="X756" s="361"/>
      <c r="Y756" s="361"/>
      <c r="Z756" s="361"/>
      <c r="AA756" s="361"/>
      <c r="AB756" s="361"/>
      <c r="AC756" s="159"/>
      <c r="AD756" s="361" t="s">
        <v>2688</v>
      </c>
      <c r="AE756" s="364">
        <v>4500019273</v>
      </c>
      <c r="AF756" s="364"/>
      <c r="AG756" s="361"/>
      <c r="AH756" s="365"/>
      <c r="AI756" s="361"/>
      <c r="AJ756" s="361"/>
      <c r="AK756" s="361"/>
      <c r="AL756" s="361"/>
      <c r="AM756" s="361"/>
      <c r="AN756" s="361"/>
      <c r="AO756" s="361"/>
      <c r="AP756" s="361"/>
      <c r="AQ756" s="361"/>
      <c r="AR756" s="503"/>
      <c r="AS756" s="489"/>
      <c r="AT756" s="160"/>
      <c r="AU756" s="355"/>
    </row>
    <row r="757" spans="1:47" s="124" customFormat="1" ht="21.75" hidden="1" customHeight="1">
      <c r="A757" s="331">
        <v>756</v>
      </c>
      <c r="B757" s="28" t="s">
        <v>129</v>
      </c>
      <c r="C757" s="361" t="s">
        <v>2689</v>
      </c>
      <c r="D757" s="436" t="s">
        <v>544</v>
      </c>
      <c r="E757" s="361" t="str">
        <f t="shared" si="11"/>
        <v>LOSS</v>
      </c>
      <c r="F757" s="361"/>
      <c r="G757" s="361"/>
      <c r="H757" s="361" t="s">
        <v>327</v>
      </c>
      <c r="I757" s="160" t="s">
        <v>346</v>
      </c>
      <c r="J757" s="361" t="s">
        <v>2690</v>
      </c>
      <c r="K757" s="365"/>
      <c r="L757" s="361"/>
      <c r="M757" s="361"/>
      <c r="N757" s="361"/>
      <c r="O757" s="370"/>
      <c r="P757" s="387">
        <v>97200000</v>
      </c>
      <c r="Q757" s="387"/>
      <c r="R757" s="387"/>
      <c r="S757" s="387">
        <v>41127600</v>
      </c>
      <c r="T757" s="387"/>
      <c r="U757" s="367">
        <v>44831</v>
      </c>
      <c r="V757" s="367">
        <v>45195</v>
      </c>
      <c r="W757" s="361" t="s">
        <v>250</v>
      </c>
      <c r="X757" s="361"/>
      <c r="Y757" s="361"/>
      <c r="Z757" s="361"/>
      <c r="AA757" s="361"/>
      <c r="AB757" s="361"/>
      <c r="AC757" s="159"/>
      <c r="AD757" s="361" t="s">
        <v>2691</v>
      </c>
      <c r="AE757" s="364">
        <v>4500019271</v>
      </c>
      <c r="AF757" s="364"/>
      <c r="AG757" s="361"/>
      <c r="AH757" s="365"/>
      <c r="AI757" s="361"/>
      <c r="AJ757" s="361"/>
      <c r="AK757" s="361"/>
      <c r="AL757" s="361"/>
      <c r="AM757" s="361"/>
      <c r="AN757" s="361"/>
      <c r="AO757" s="361"/>
      <c r="AP757" s="361"/>
      <c r="AQ757" s="361"/>
      <c r="AR757" s="503"/>
      <c r="AS757" s="489"/>
      <c r="AT757" s="160"/>
      <c r="AU757" s="355"/>
    </row>
    <row r="758" spans="1:47" s="124" customFormat="1" ht="21.75" hidden="1" customHeight="1">
      <c r="A758" s="331">
        <v>757</v>
      </c>
      <c r="B758" s="28" t="s">
        <v>129</v>
      </c>
      <c r="C758" s="361" t="s">
        <v>2692</v>
      </c>
      <c r="D758" s="435" t="s">
        <v>544</v>
      </c>
      <c r="E758" s="361" t="str">
        <f t="shared" si="11"/>
        <v>LOSS</v>
      </c>
      <c r="F758" s="361"/>
      <c r="G758" s="361"/>
      <c r="H758" s="361" t="s">
        <v>327</v>
      </c>
      <c r="I758" s="160" t="s">
        <v>346</v>
      </c>
      <c r="J758" s="361" t="s">
        <v>2693</v>
      </c>
      <c r="K758" s="365"/>
      <c r="L758" s="361"/>
      <c r="M758" s="361"/>
      <c r="N758" s="361"/>
      <c r="O758" s="370"/>
      <c r="P758" s="387">
        <v>330000000</v>
      </c>
      <c r="Q758" s="387"/>
      <c r="R758" s="387"/>
      <c r="S758" s="387">
        <v>68516280</v>
      </c>
      <c r="T758" s="387"/>
      <c r="U758" s="367">
        <v>44664</v>
      </c>
      <c r="V758" s="367">
        <v>45028</v>
      </c>
      <c r="W758" s="361" t="s">
        <v>250</v>
      </c>
      <c r="X758" s="361"/>
      <c r="Y758" s="361"/>
      <c r="Z758" s="361"/>
      <c r="AA758" s="361"/>
      <c r="AB758" s="361"/>
      <c r="AC758" s="159"/>
      <c r="AD758" s="361" t="s">
        <v>2694</v>
      </c>
      <c r="AE758" s="364">
        <v>4500019269</v>
      </c>
      <c r="AF758" s="364"/>
      <c r="AG758" s="361"/>
      <c r="AH758" s="365"/>
      <c r="AI758" s="361"/>
      <c r="AJ758" s="361"/>
      <c r="AK758" s="361"/>
      <c r="AL758" s="361"/>
      <c r="AM758" s="361"/>
      <c r="AN758" s="361"/>
      <c r="AO758" s="361"/>
      <c r="AP758" s="361"/>
      <c r="AQ758" s="361"/>
      <c r="AR758" s="503"/>
      <c r="AS758" s="489"/>
      <c r="AT758" s="160"/>
      <c r="AU758" s="355"/>
    </row>
    <row r="759" spans="1:47" s="124" customFormat="1" ht="21.75" hidden="1" customHeight="1">
      <c r="A759" s="331">
        <v>758</v>
      </c>
      <c r="B759" s="28" t="s">
        <v>129</v>
      </c>
      <c r="C759" s="28" t="s">
        <v>2695</v>
      </c>
      <c r="D759" s="436" t="s">
        <v>2447</v>
      </c>
      <c r="E759" s="361" t="str">
        <f t="shared" si="11"/>
        <v>LOSS</v>
      </c>
      <c r="F759" s="361"/>
      <c r="G759" s="361"/>
      <c r="H759" s="361" t="s">
        <v>327</v>
      </c>
      <c r="I759" s="160" t="s">
        <v>346</v>
      </c>
      <c r="J759" s="361" t="s">
        <v>2696</v>
      </c>
      <c r="K759" s="365"/>
      <c r="L759" s="361"/>
      <c r="M759" s="361"/>
      <c r="N759" s="361"/>
      <c r="O759" s="370">
        <v>5000000</v>
      </c>
      <c r="P759" s="387">
        <v>72000000</v>
      </c>
      <c r="Q759" s="387"/>
      <c r="R759" s="387"/>
      <c r="S759" s="387">
        <v>27823410</v>
      </c>
      <c r="T759" s="387"/>
      <c r="U759" s="367">
        <v>44798</v>
      </c>
      <c r="V759" s="367">
        <v>45162</v>
      </c>
      <c r="W759" s="361" t="s">
        <v>250</v>
      </c>
      <c r="X759" s="361"/>
      <c r="Y759" s="361"/>
      <c r="Z759" s="361"/>
      <c r="AA759" s="361"/>
      <c r="AB759" s="361"/>
      <c r="AC759" s="159"/>
      <c r="AD759" s="361" t="s">
        <v>2697</v>
      </c>
      <c r="AE759" s="364">
        <v>4500019267</v>
      </c>
      <c r="AF759" s="364"/>
      <c r="AG759" s="361"/>
      <c r="AH759" s="365"/>
      <c r="AI759" s="361"/>
      <c r="AJ759" s="361"/>
      <c r="AK759" s="361"/>
      <c r="AL759" s="361"/>
      <c r="AM759" s="361"/>
      <c r="AN759" s="361"/>
      <c r="AO759" s="361"/>
      <c r="AP759" s="361"/>
      <c r="AQ759" s="361"/>
      <c r="AR759" s="503"/>
      <c r="AS759" s="489"/>
      <c r="AT759" s="160"/>
      <c r="AU759" s="355"/>
    </row>
    <row r="760" spans="1:47" s="124" customFormat="1" ht="21.75" hidden="1" customHeight="1">
      <c r="A760" s="331">
        <v>759</v>
      </c>
      <c r="B760" s="28" t="s">
        <v>129</v>
      </c>
      <c r="C760" s="361" t="s">
        <v>2698</v>
      </c>
      <c r="D760" s="435" t="s">
        <v>544</v>
      </c>
      <c r="E760" s="361" t="str">
        <f t="shared" si="11"/>
        <v>LOSS</v>
      </c>
      <c r="F760" s="361"/>
      <c r="G760" s="361"/>
      <c r="H760" s="361" t="s">
        <v>327</v>
      </c>
      <c r="I760" s="160" t="s">
        <v>346</v>
      </c>
      <c r="J760" s="361" t="s">
        <v>2699</v>
      </c>
      <c r="K760" s="365"/>
      <c r="L760" s="361"/>
      <c r="M760" s="361"/>
      <c r="N760" s="361"/>
      <c r="O760" s="370">
        <v>2300000</v>
      </c>
      <c r="P760" s="387">
        <v>90000000</v>
      </c>
      <c r="Q760" s="387"/>
      <c r="R760" s="387"/>
      <c r="S760" s="387">
        <v>31176720</v>
      </c>
      <c r="T760" s="387"/>
      <c r="U760" s="367">
        <v>44731</v>
      </c>
      <c r="V760" s="367">
        <v>45095</v>
      </c>
      <c r="W760" s="361" t="s">
        <v>250</v>
      </c>
      <c r="X760" s="361"/>
      <c r="Y760" s="361"/>
      <c r="Z760" s="361"/>
      <c r="AA760" s="361"/>
      <c r="AB760" s="361"/>
      <c r="AC760" s="159"/>
      <c r="AD760" s="361" t="s">
        <v>2700</v>
      </c>
      <c r="AE760" s="364">
        <v>4500019266</v>
      </c>
      <c r="AF760" s="364"/>
      <c r="AG760" s="361"/>
      <c r="AH760" s="365"/>
      <c r="AI760" s="361"/>
      <c r="AJ760" s="361"/>
      <c r="AK760" s="361"/>
      <c r="AL760" s="361"/>
      <c r="AM760" s="361"/>
      <c r="AN760" s="361"/>
      <c r="AO760" s="361"/>
      <c r="AP760" s="361"/>
      <c r="AQ760" s="361"/>
      <c r="AR760" s="503"/>
      <c r="AS760" s="489"/>
      <c r="AT760" s="160"/>
      <c r="AU760" s="355"/>
    </row>
    <row r="761" spans="1:47" s="124" customFormat="1" ht="21.75" hidden="1" customHeight="1">
      <c r="A761" s="331">
        <v>760</v>
      </c>
      <c r="B761" s="361" t="s">
        <v>2701</v>
      </c>
      <c r="C761" s="361" t="s">
        <v>2702</v>
      </c>
      <c r="D761" s="436" t="s">
        <v>2703</v>
      </c>
      <c r="E761" s="361" t="str">
        <f t="shared" si="11"/>
        <v>LOSS</v>
      </c>
      <c r="F761" s="361"/>
      <c r="G761" s="361"/>
      <c r="H761" s="28" t="s">
        <v>261</v>
      </c>
      <c r="I761" s="361" t="s">
        <v>243</v>
      </c>
      <c r="J761" s="361" t="s">
        <v>2704</v>
      </c>
      <c r="K761" s="361"/>
      <c r="L761" s="361"/>
      <c r="M761" s="361"/>
      <c r="N761" s="361"/>
      <c r="O761" s="370">
        <v>5000000</v>
      </c>
      <c r="P761" s="387">
        <v>30000000</v>
      </c>
      <c r="Q761" s="387"/>
      <c r="R761" s="387">
        <v>1500000</v>
      </c>
      <c r="S761" s="387">
        <v>24000000</v>
      </c>
      <c r="T761" s="387"/>
      <c r="U761" s="367">
        <v>44915</v>
      </c>
      <c r="V761" s="367">
        <v>45279</v>
      </c>
      <c r="W761" s="361" t="s">
        <v>250</v>
      </c>
      <c r="X761" s="361"/>
      <c r="Y761" s="361"/>
      <c r="Z761" s="361"/>
      <c r="AA761" s="361"/>
      <c r="AB761" s="361"/>
      <c r="AC761" s="159"/>
      <c r="AD761" s="361" t="s">
        <v>2705</v>
      </c>
      <c r="AE761" s="364">
        <v>4500019474</v>
      </c>
      <c r="AF761" s="364"/>
      <c r="AG761" s="361"/>
      <c r="AH761" s="361"/>
      <c r="AI761" s="361"/>
      <c r="AJ761" s="361"/>
      <c r="AK761" s="361"/>
      <c r="AL761" s="361"/>
      <c r="AM761" s="361"/>
      <c r="AN761" s="361"/>
      <c r="AO761" s="361"/>
      <c r="AP761" s="361"/>
      <c r="AQ761" s="361"/>
      <c r="AR761" s="503"/>
      <c r="AS761" s="489"/>
      <c r="AT761" s="160"/>
      <c r="AU761" s="355"/>
    </row>
    <row r="762" spans="1:47" s="124" customFormat="1" ht="21.75" hidden="1" customHeight="1">
      <c r="A762" s="331">
        <v>761</v>
      </c>
      <c r="B762" s="361" t="s">
        <v>2615</v>
      </c>
      <c r="C762" s="361" t="s">
        <v>2546</v>
      </c>
      <c r="D762" s="435" t="s">
        <v>2617</v>
      </c>
      <c r="E762" s="361" t="str">
        <f t="shared" si="11"/>
        <v>LOSS</v>
      </c>
      <c r="F762" s="361"/>
      <c r="G762" s="361"/>
      <c r="H762" s="361" t="s">
        <v>327</v>
      </c>
      <c r="I762" s="160" t="s">
        <v>346</v>
      </c>
      <c r="J762" s="361" t="s">
        <v>2706</v>
      </c>
      <c r="K762" s="365"/>
      <c r="L762" s="361"/>
      <c r="M762" s="361"/>
      <c r="N762" s="361"/>
      <c r="O762" s="370">
        <v>10000000</v>
      </c>
      <c r="P762" s="387">
        <v>1740000000</v>
      </c>
      <c r="Q762" s="387"/>
      <c r="R762" s="387"/>
      <c r="S762" s="387">
        <v>23233560</v>
      </c>
      <c r="T762" s="387"/>
      <c r="U762" s="367">
        <v>44753</v>
      </c>
      <c r="V762" s="367">
        <v>45126</v>
      </c>
      <c r="W762" s="361" t="s">
        <v>250</v>
      </c>
      <c r="X762" s="361"/>
      <c r="Y762" s="361"/>
      <c r="Z762" s="361"/>
      <c r="AA762" s="361"/>
      <c r="AB762" s="361"/>
      <c r="AC762" s="159"/>
      <c r="AD762" s="361" t="s">
        <v>2707</v>
      </c>
      <c r="AE762" s="364">
        <v>4500019499</v>
      </c>
      <c r="AF762" s="364"/>
      <c r="AG762" s="361"/>
      <c r="AH762" s="365"/>
      <c r="AI762" s="361"/>
      <c r="AJ762" s="361"/>
      <c r="AK762" s="361"/>
      <c r="AL762" s="361"/>
      <c r="AM762" s="361"/>
      <c r="AN762" s="361"/>
      <c r="AO762" s="361"/>
      <c r="AP762" s="361"/>
      <c r="AQ762" s="361"/>
      <c r="AR762" s="503"/>
      <c r="AS762" s="489"/>
      <c r="AT762" s="160"/>
      <c r="AU762" s="355"/>
    </row>
    <row r="763" spans="1:47" s="124" customFormat="1" ht="21.75" hidden="1" customHeight="1">
      <c r="A763" s="331">
        <v>762</v>
      </c>
      <c r="B763" s="361" t="s">
        <v>962</v>
      </c>
      <c r="C763" s="361" t="s">
        <v>2674</v>
      </c>
      <c r="D763" s="436" t="s">
        <v>1056</v>
      </c>
      <c r="E763" s="361" t="str">
        <f t="shared" si="11"/>
        <v>LOSS</v>
      </c>
      <c r="F763" s="361"/>
      <c r="G763" s="361"/>
      <c r="H763" s="28" t="s">
        <v>261</v>
      </c>
      <c r="I763" s="361" t="s">
        <v>243</v>
      </c>
      <c r="J763" s="361" t="s">
        <v>2708</v>
      </c>
      <c r="K763" s="361"/>
      <c r="L763" s="361"/>
      <c r="M763" s="361"/>
      <c r="N763" s="361"/>
      <c r="O763" s="370">
        <v>3500000</v>
      </c>
      <c r="P763" s="387">
        <v>37200000</v>
      </c>
      <c r="Q763" s="387"/>
      <c r="R763" s="387">
        <v>2500000</v>
      </c>
      <c r="S763" s="387">
        <v>12000000</v>
      </c>
      <c r="T763" s="387"/>
      <c r="U763" s="367">
        <v>44882</v>
      </c>
      <c r="V763" s="367">
        <v>45246</v>
      </c>
      <c r="W763" s="361" t="s">
        <v>250</v>
      </c>
      <c r="X763" s="361"/>
      <c r="Y763" s="361"/>
      <c r="Z763" s="361"/>
      <c r="AA763" s="361"/>
      <c r="AB763" s="361"/>
      <c r="AC763" s="159"/>
      <c r="AD763" s="361" t="s">
        <v>2709</v>
      </c>
      <c r="AE763" s="364">
        <v>4500019444</v>
      </c>
      <c r="AF763" s="364"/>
      <c r="AG763" s="361"/>
      <c r="AH763" s="361"/>
      <c r="AI763" s="361"/>
      <c r="AJ763" s="361"/>
      <c r="AK763" s="361"/>
      <c r="AL763" s="361"/>
      <c r="AM763" s="361"/>
      <c r="AN763" s="361"/>
      <c r="AO763" s="361"/>
      <c r="AP763" s="361"/>
      <c r="AQ763" s="361"/>
      <c r="AR763" s="503"/>
      <c r="AS763" s="489"/>
      <c r="AT763" s="160"/>
      <c r="AU763" s="355"/>
    </row>
    <row r="764" spans="1:47" s="124" customFormat="1" ht="21.75" hidden="1" customHeight="1">
      <c r="A764" s="331">
        <v>763</v>
      </c>
      <c r="B764" s="361" t="s">
        <v>348</v>
      </c>
      <c r="C764" s="361"/>
      <c r="D764" s="435" t="s">
        <v>1187</v>
      </c>
      <c r="E764" s="361" t="str">
        <f t="shared" si="11"/>
        <v>LOSS</v>
      </c>
      <c r="F764" s="361"/>
      <c r="G764" s="361"/>
      <c r="H764" s="361" t="s">
        <v>327</v>
      </c>
      <c r="I764" s="361" t="s">
        <v>242</v>
      </c>
      <c r="J764" s="361"/>
      <c r="K764" s="365"/>
      <c r="L764" s="361"/>
      <c r="M764" s="361"/>
      <c r="N764" s="361"/>
      <c r="O764" s="370"/>
      <c r="P764" s="387"/>
      <c r="Q764" s="387"/>
      <c r="R764" s="387"/>
      <c r="S764" s="387">
        <v>2208578544</v>
      </c>
      <c r="T764" s="387"/>
      <c r="U764" s="367">
        <v>44835</v>
      </c>
      <c r="V764" s="367">
        <v>45199</v>
      </c>
      <c r="W764" s="361" t="s">
        <v>250</v>
      </c>
      <c r="X764" s="361"/>
      <c r="Y764" s="361"/>
      <c r="Z764" s="361"/>
      <c r="AA764" s="361"/>
      <c r="AB764" s="361"/>
      <c r="AC764" s="361" t="s">
        <v>2710</v>
      </c>
      <c r="AD764" s="361">
        <v>4500019523</v>
      </c>
      <c r="AE764" s="364"/>
      <c r="AF764" s="364"/>
      <c r="AG764" s="361"/>
      <c r="AH764" s="365"/>
      <c r="AI764" s="361"/>
      <c r="AJ764" s="361"/>
      <c r="AK764" s="361"/>
      <c r="AL764" s="361"/>
      <c r="AM764" s="361"/>
      <c r="AN764" s="361"/>
      <c r="AO764" s="361"/>
      <c r="AP764" s="361"/>
      <c r="AQ764" s="361"/>
      <c r="AR764" s="503"/>
      <c r="AS764" s="489"/>
      <c r="AT764" s="160"/>
      <c r="AU764" s="355"/>
    </row>
    <row r="765" spans="1:47" s="124" customFormat="1" ht="21.75" hidden="1" customHeight="1">
      <c r="A765" s="331">
        <v>764</v>
      </c>
      <c r="B765" s="361" t="s">
        <v>2711</v>
      </c>
      <c r="C765" s="361" t="s">
        <v>2712</v>
      </c>
      <c r="D765" s="436" t="s">
        <v>590</v>
      </c>
      <c r="E765" s="361" t="str">
        <f t="shared" si="11"/>
        <v>LOSS</v>
      </c>
      <c r="F765" s="361"/>
      <c r="G765" s="361"/>
      <c r="H765" s="361" t="s">
        <v>327</v>
      </c>
      <c r="I765" s="160" t="s">
        <v>346</v>
      </c>
      <c r="J765" s="361" t="s">
        <v>2394</v>
      </c>
      <c r="K765" s="365"/>
      <c r="L765" s="361"/>
      <c r="M765" s="361"/>
      <c r="N765" s="361"/>
      <c r="O765" s="370"/>
      <c r="P765" s="387">
        <v>30545460</v>
      </c>
      <c r="Q765" s="387"/>
      <c r="R765" s="387"/>
      <c r="S765" s="387">
        <v>5000000</v>
      </c>
      <c r="T765" s="387"/>
      <c r="U765" s="367">
        <v>44896</v>
      </c>
      <c r="V765" s="367">
        <v>45260</v>
      </c>
      <c r="W765" s="361" t="s">
        <v>250</v>
      </c>
      <c r="X765" s="361"/>
      <c r="Y765" s="361"/>
      <c r="Z765" s="361"/>
      <c r="AA765" s="361"/>
      <c r="AB765" s="361"/>
      <c r="AC765" s="361" t="s">
        <v>2713</v>
      </c>
      <c r="AD765" s="361">
        <v>4500018689</v>
      </c>
      <c r="AE765" s="364"/>
      <c r="AF765" s="364"/>
      <c r="AG765" s="361"/>
      <c r="AH765" s="365"/>
      <c r="AI765" s="361"/>
      <c r="AJ765" s="361"/>
      <c r="AK765" s="361"/>
      <c r="AL765" s="361"/>
      <c r="AM765" s="361"/>
      <c r="AN765" s="361"/>
      <c r="AO765" s="361"/>
      <c r="AP765" s="361"/>
      <c r="AQ765" s="361"/>
      <c r="AR765" s="503"/>
      <c r="AS765" s="489"/>
      <c r="AT765" s="160"/>
      <c r="AU765" s="355"/>
    </row>
    <row r="766" spans="1:47" s="124" customFormat="1" ht="21.75" hidden="1" customHeight="1">
      <c r="A766" s="331">
        <v>765</v>
      </c>
      <c r="B766" s="361" t="s">
        <v>1160</v>
      </c>
      <c r="C766" s="361" t="s">
        <v>2714</v>
      </c>
      <c r="D766" s="435" t="s">
        <v>1162</v>
      </c>
      <c r="E766" s="361" t="str">
        <f t="shared" si="11"/>
        <v>LOSS</v>
      </c>
      <c r="F766" s="361"/>
      <c r="G766" s="361"/>
      <c r="H766" s="361" t="s">
        <v>327</v>
      </c>
      <c r="I766" s="361" t="s">
        <v>242</v>
      </c>
      <c r="J766" s="361" t="s">
        <v>2715</v>
      </c>
      <c r="K766" s="365"/>
      <c r="L766" s="361"/>
      <c r="M766" s="361"/>
      <c r="N766" s="361"/>
      <c r="O766" s="370"/>
      <c r="P766" s="387">
        <v>54000000</v>
      </c>
      <c r="Q766" s="387"/>
      <c r="R766" s="387"/>
      <c r="S766" s="387">
        <v>18150000</v>
      </c>
      <c r="T766" s="387"/>
      <c r="U766" s="367">
        <v>44862</v>
      </c>
      <c r="V766" s="367">
        <v>45226</v>
      </c>
      <c r="W766" s="361" t="s">
        <v>250</v>
      </c>
      <c r="X766" s="361"/>
      <c r="Y766" s="361"/>
      <c r="Z766" s="361"/>
      <c r="AA766" s="361"/>
      <c r="AB766" s="361"/>
      <c r="AC766" s="361" t="s">
        <v>2716</v>
      </c>
      <c r="AD766" s="361">
        <v>4500019559</v>
      </c>
      <c r="AE766" s="364"/>
      <c r="AF766" s="364"/>
      <c r="AG766" s="361"/>
      <c r="AH766" s="365"/>
      <c r="AI766" s="361"/>
      <c r="AJ766" s="361"/>
      <c r="AK766" s="361"/>
      <c r="AL766" s="361"/>
      <c r="AM766" s="361"/>
      <c r="AN766" s="361"/>
      <c r="AO766" s="361"/>
      <c r="AP766" s="361"/>
      <c r="AQ766" s="361"/>
      <c r="AR766" s="503"/>
      <c r="AS766" s="489"/>
      <c r="AT766" s="160"/>
      <c r="AU766" s="355"/>
    </row>
    <row r="767" spans="1:47" s="124" customFormat="1" ht="21.75" hidden="1" customHeight="1">
      <c r="A767" s="331">
        <v>766</v>
      </c>
      <c r="B767" s="361" t="s">
        <v>1160</v>
      </c>
      <c r="C767" s="361" t="s">
        <v>2717</v>
      </c>
      <c r="D767" s="436" t="s">
        <v>1162</v>
      </c>
      <c r="E767" s="361" t="str">
        <f t="shared" si="11"/>
        <v>LOSS</v>
      </c>
      <c r="F767" s="361"/>
      <c r="G767" s="361"/>
      <c r="H767" s="361" t="s">
        <v>327</v>
      </c>
      <c r="I767" s="361" t="s">
        <v>242</v>
      </c>
      <c r="J767" s="361" t="s">
        <v>2718</v>
      </c>
      <c r="K767" s="365"/>
      <c r="L767" s="361"/>
      <c r="M767" s="361"/>
      <c r="N767" s="361"/>
      <c r="O767" s="370"/>
      <c r="P767" s="387">
        <v>36000000</v>
      </c>
      <c r="Q767" s="387"/>
      <c r="R767" s="387"/>
      <c r="S767" s="387">
        <v>7260000</v>
      </c>
      <c r="T767" s="387"/>
      <c r="U767" s="367">
        <v>44857</v>
      </c>
      <c r="V767" s="367">
        <v>45221</v>
      </c>
      <c r="W767" s="361" t="s">
        <v>250</v>
      </c>
      <c r="X767" s="361"/>
      <c r="Y767" s="361"/>
      <c r="Z767" s="361"/>
      <c r="AA767" s="361"/>
      <c r="AB767" s="361"/>
      <c r="AC767" s="368"/>
      <c r="AD767" s="361">
        <v>4500019561</v>
      </c>
      <c r="AE767" s="364"/>
      <c r="AF767" s="364"/>
      <c r="AG767" s="361"/>
      <c r="AH767" s="365"/>
      <c r="AI767" s="361"/>
      <c r="AJ767" s="361"/>
      <c r="AK767" s="361"/>
      <c r="AL767" s="361"/>
      <c r="AM767" s="361"/>
      <c r="AN767" s="361"/>
      <c r="AO767" s="361"/>
      <c r="AP767" s="361"/>
      <c r="AQ767" s="361"/>
      <c r="AR767" s="503"/>
      <c r="AS767" s="489"/>
      <c r="AT767" s="160"/>
      <c r="AU767" s="355"/>
    </row>
    <row r="768" spans="1:47" s="124" customFormat="1" ht="21.75" hidden="1" customHeight="1">
      <c r="A768" s="331">
        <v>767</v>
      </c>
      <c r="B768" s="28" t="s">
        <v>348</v>
      </c>
      <c r="C768" s="361" t="s">
        <v>2719</v>
      </c>
      <c r="D768" s="435" t="s">
        <v>1187</v>
      </c>
      <c r="E768" s="361" t="str">
        <f t="shared" si="11"/>
        <v>LOSS</v>
      </c>
      <c r="F768" s="361"/>
      <c r="G768" s="361"/>
      <c r="H768" s="361" t="s">
        <v>464</v>
      </c>
      <c r="I768" s="361" t="s">
        <v>242</v>
      </c>
      <c r="J768" s="361" t="s">
        <v>2720</v>
      </c>
      <c r="K768" s="365"/>
      <c r="L768" s="361"/>
      <c r="M768" s="361"/>
      <c r="N768" s="361"/>
      <c r="O768" s="370">
        <v>7000000</v>
      </c>
      <c r="P768" s="387">
        <v>49500000</v>
      </c>
      <c r="Q768" s="387"/>
      <c r="R768" s="387"/>
      <c r="S768" s="387">
        <v>11922531</v>
      </c>
      <c r="T768" s="387"/>
      <c r="U768" s="367">
        <v>44917</v>
      </c>
      <c r="V768" s="367">
        <v>45199</v>
      </c>
      <c r="W768" s="361" t="s">
        <v>250</v>
      </c>
      <c r="X768" s="361"/>
      <c r="Y768" s="361"/>
      <c r="Z768" s="361"/>
      <c r="AA768" s="361"/>
      <c r="AB768" s="361"/>
      <c r="AC768" s="368"/>
      <c r="AD768" s="361">
        <v>4500019509</v>
      </c>
      <c r="AE768" s="364"/>
      <c r="AF768" s="364"/>
      <c r="AG768" s="361"/>
      <c r="AH768" s="365"/>
      <c r="AI768" s="361"/>
      <c r="AJ768" s="361"/>
      <c r="AK768" s="361"/>
      <c r="AL768" s="361"/>
      <c r="AM768" s="361"/>
      <c r="AN768" s="361"/>
      <c r="AO768" s="361"/>
      <c r="AP768" s="361"/>
      <c r="AQ768" s="361"/>
      <c r="AR768" s="503"/>
      <c r="AS768" s="489"/>
      <c r="AT768" s="160"/>
      <c r="AU768" s="355"/>
    </row>
    <row r="769" spans="1:47" s="124" customFormat="1" ht="21.75" hidden="1" customHeight="1">
      <c r="A769" s="331">
        <v>768</v>
      </c>
      <c r="B769" s="28" t="s">
        <v>179</v>
      </c>
      <c r="C769" s="361" t="s">
        <v>2721</v>
      </c>
      <c r="D769" s="436" t="s">
        <v>560</v>
      </c>
      <c r="E769" s="361" t="str">
        <f t="shared" si="11"/>
        <v>LOSS</v>
      </c>
      <c r="F769" s="361"/>
      <c r="G769" s="361"/>
      <c r="H769" s="361" t="s">
        <v>327</v>
      </c>
      <c r="I769" s="361" t="s">
        <v>242</v>
      </c>
      <c r="J769" s="361"/>
      <c r="K769" s="365"/>
      <c r="L769" s="361"/>
      <c r="M769" s="361"/>
      <c r="N769" s="361"/>
      <c r="O769" s="370"/>
      <c r="P769" s="387"/>
      <c r="Q769" s="387"/>
      <c r="R769" s="387"/>
      <c r="S769" s="387">
        <v>18000000</v>
      </c>
      <c r="T769" s="387"/>
      <c r="U769" s="367">
        <v>44910</v>
      </c>
      <c r="V769" s="367">
        <v>45275</v>
      </c>
      <c r="W769" s="361" t="s">
        <v>250</v>
      </c>
      <c r="X769" s="361"/>
      <c r="Y769" s="361"/>
      <c r="Z769" s="361"/>
      <c r="AA769" s="361"/>
      <c r="AB769" s="361"/>
      <c r="AC769" s="361" t="s">
        <v>2722</v>
      </c>
      <c r="AD769" s="361">
        <v>4500019747</v>
      </c>
      <c r="AE769" s="364"/>
      <c r="AF769" s="364"/>
      <c r="AG769" s="361"/>
      <c r="AH769" s="365"/>
      <c r="AI769" s="361"/>
      <c r="AJ769" s="361"/>
      <c r="AK769" s="361"/>
      <c r="AL769" s="361"/>
      <c r="AM769" s="361"/>
      <c r="AN769" s="361"/>
      <c r="AO769" s="361"/>
      <c r="AP769" s="361"/>
      <c r="AQ769" s="361"/>
      <c r="AR769" s="503"/>
      <c r="AS769" s="489"/>
      <c r="AT769" s="160"/>
      <c r="AU769" s="355"/>
    </row>
    <row r="770" spans="1:47" s="124" customFormat="1" ht="21.75" hidden="1" customHeight="1">
      <c r="A770" s="331">
        <v>769</v>
      </c>
      <c r="B770" s="28" t="s">
        <v>151</v>
      </c>
      <c r="C770" s="361" t="s">
        <v>2665</v>
      </c>
      <c r="D770" s="435" t="s">
        <v>539</v>
      </c>
      <c r="E770" s="361" t="str">
        <f t="shared" ref="E770:E833" si="12">IF(Z770&lt;=0, "LOSS",IF(Z770&lt;=15, "CRITICAL",IF(Z770&lt;=30, "WARNING",IF(Z770&lt;60, "ATTENTION", "ON TRACK"))))</f>
        <v>LOSS</v>
      </c>
      <c r="F770" s="361"/>
      <c r="G770" s="361"/>
      <c r="H770" s="361" t="s">
        <v>327</v>
      </c>
      <c r="I770" s="160" t="s">
        <v>346</v>
      </c>
      <c r="J770" s="361" t="s">
        <v>1476</v>
      </c>
      <c r="K770" s="365"/>
      <c r="L770" s="361"/>
      <c r="M770" s="361"/>
      <c r="N770" s="361"/>
      <c r="O770" s="370"/>
      <c r="P770" s="387">
        <v>28800000</v>
      </c>
      <c r="Q770" s="387"/>
      <c r="R770" s="387"/>
      <c r="S770" s="387">
        <v>7500000</v>
      </c>
      <c r="T770" s="387"/>
      <c r="U770" s="367">
        <v>44858</v>
      </c>
      <c r="V770" s="367">
        <v>45222</v>
      </c>
      <c r="W770" s="361" t="s">
        <v>250</v>
      </c>
      <c r="X770" s="361"/>
      <c r="Y770" s="361"/>
      <c r="Z770" s="361"/>
      <c r="AA770" s="361"/>
      <c r="AB770" s="361"/>
      <c r="AC770" s="361" t="s">
        <v>2723</v>
      </c>
      <c r="AD770" s="361">
        <v>4500019535</v>
      </c>
      <c r="AE770" s="364"/>
      <c r="AF770" s="364"/>
      <c r="AG770" s="361"/>
      <c r="AH770" s="365"/>
      <c r="AI770" s="361"/>
      <c r="AJ770" s="361"/>
      <c r="AK770" s="361"/>
      <c r="AL770" s="361"/>
      <c r="AM770" s="361"/>
      <c r="AN770" s="361"/>
      <c r="AO770" s="361"/>
      <c r="AP770" s="361"/>
      <c r="AQ770" s="361"/>
      <c r="AR770" s="503"/>
      <c r="AS770" s="489"/>
      <c r="AT770" s="160"/>
      <c r="AU770" s="355"/>
    </row>
    <row r="771" spans="1:47" s="124" customFormat="1" ht="21.75" hidden="1" customHeight="1">
      <c r="A771" s="331">
        <v>770</v>
      </c>
      <c r="B771" s="159" t="s">
        <v>2724</v>
      </c>
      <c r="C771" s="361" t="s">
        <v>2725</v>
      </c>
      <c r="D771" s="436" t="s">
        <v>572</v>
      </c>
      <c r="E771" s="361" t="str">
        <f t="shared" si="12"/>
        <v>LOSS</v>
      </c>
      <c r="F771" s="361"/>
      <c r="G771" s="361"/>
      <c r="H771" s="361" t="s">
        <v>327</v>
      </c>
      <c r="I771" s="160" t="s">
        <v>346</v>
      </c>
      <c r="J771" s="361" t="s">
        <v>2726</v>
      </c>
      <c r="K771" s="365"/>
      <c r="L771" s="361"/>
      <c r="M771" s="361"/>
      <c r="N771" s="361"/>
      <c r="O771" s="370"/>
      <c r="P771" s="387">
        <v>240000000</v>
      </c>
      <c r="Q771" s="387"/>
      <c r="R771" s="387"/>
      <c r="S771" s="387">
        <v>35000000</v>
      </c>
      <c r="T771" s="387"/>
      <c r="U771" s="367">
        <v>44927</v>
      </c>
      <c r="V771" s="367">
        <v>45291</v>
      </c>
      <c r="W771" s="361" t="s">
        <v>250</v>
      </c>
      <c r="X771" s="361"/>
      <c r="Y771" s="361"/>
      <c r="Z771" s="361"/>
      <c r="AA771" s="361"/>
      <c r="AB771" s="361"/>
      <c r="AC771" s="361" t="s">
        <v>2727</v>
      </c>
      <c r="AD771" s="361">
        <v>4500019756</v>
      </c>
      <c r="AE771" s="364"/>
      <c r="AF771" s="364"/>
      <c r="AG771" s="361"/>
      <c r="AH771" s="365"/>
      <c r="AI771" s="361"/>
      <c r="AJ771" s="361"/>
      <c r="AK771" s="361"/>
      <c r="AL771" s="361"/>
      <c r="AM771" s="361"/>
      <c r="AN771" s="361"/>
      <c r="AO771" s="361"/>
      <c r="AP771" s="361"/>
      <c r="AQ771" s="361"/>
      <c r="AR771" s="503"/>
      <c r="AS771" s="489"/>
      <c r="AT771" s="160"/>
      <c r="AU771" s="355"/>
    </row>
    <row r="772" spans="1:47" s="124" customFormat="1" ht="21.75" hidden="1" customHeight="1">
      <c r="A772" s="331">
        <v>771</v>
      </c>
      <c r="B772" s="28" t="s">
        <v>321</v>
      </c>
      <c r="C772" s="361" t="s">
        <v>2728</v>
      </c>
      <c r="D772" s="435" t="s">
        <v>1078</v>
      </c>
      <c r="E772" s="361" t="str">
        <f t="shared" si="12"/>
        <v>LOSS</v>
      </c>
      <c r="F772" s="361"/>
      <c r="G772" s="361"/>
      <c r="H772" s="28" t="s">
        <v>261</v>
      </c>
      <c r="I772" s="361" t="s">
        <v>243</v>
      </c>
      <c r="J772" s="361" t="s">
        <v>2729</v>
      </c>
      <c r="K772" s="361"/>
      <c r="L772" s="361"/>
      <c r="M772" s="361"/>
      <c r="N772" s="361"/>
      <c r="O772" s="370"/>
      <c r="P772" s="387">
        <v>87480000</v>
      </c>
      <c r="Q772" s="387"/>
      <c r="R772" s="387"/>
      <c r="S772" s="387">
        <v>74400000</v>
      </c>
      <c r="T772" s="387"/>
      <c r="U772" s="367">
        <v>44562</v>
      </c>
      <c r="V772" s="367">
        <v>44926</v>
      </c>
      <c r="W772" s="361" t="s">
        <v>250</v>
      </c>
      <c r="X772" s="361"/>
      <c r="Y772" s="361"/>
      <c r="Z772" s="361"/>
      <c r="AA772" s="361"/>
      <c r="AB772" s="361"/>
      <c r="AC772" s="361" t="s">
        <v>2730</v>
      </c>
      <c r="AD772" s="361">
        <v>4500019430</v>
      </c>
      <c r="AE772" s="364"/>
      <c r="AF772" s="364"/>
      <c r="AG772" s="361"/>
      <c r="AH772" s="361"/>
      <c r="AI772" s="361"/>
      <c r="AJ772" s="361"/>
      <c r="AK772" s="361"/>
      <c r="AL772" s="361"/>
      <c r="AM772" s="361"/>
      <c r="AN772" s="361"/>
      <c r="AO772" s="361"/>
      <c r="AP772" s="361"/>
      <c r="AQ772" s="361"/>
      <c r="AR772" s="503"/>
      <c r="AS772" s="489"/>
      <c r="AT772" s="160"/>
      <c r="AU772" s="355"/>
    </row>
    <row r="773" spans="1:47" s="124" customFormat="1" ht="21.75" hidden="1" customHeight="1">
      <c r="A773" s="331">
        <v>772</v>
      </c>
      <c r="B773" s="361" t="s">
        <v>2593</v>
      </c>
      <c r="C773" s="361" t="s">
        <v>2731</v>
      </c>
      <c r="D773" s="436" t="s">
        <v>2595</v>
      </c>
      <c r="E773" s="361" t="str">
        <f t="shared" si="12"/>
        <v>LOSS</v>
      </c>
      <c r="F773" s="361"/>
      <c r="G773" s="361"/>
      <c r="H773" s="361" t="s">
        <v>327</v>
      </c>
      <c r="I773" s="160" t="s">
        <v>346</v>
      </c>
      <c r="J773" s="361" t="s">
        <v>2732</v>
      </c>
      <c r="K773" s="365"/>
      <c r="L773" s="361"/>
      <c r="M773" s="361"/>
      <c r="N773" s="361"/>
      <c r="O773" s="370">
        <v>3000000</v>
      </c>
      <c r="P773" s="387">
        <v>120000000</v>
      </c>
      <c r="Q773" s="387"/>
      <c r="R773" s="387"/>
      <c r="S773" s="387">
        <v>82500000</v>
      </c>
      <c r="T773" s="387"/>
      <c r="U773" s="367">
        <v>44904</v>
      </c>
      <c r="V773" s="367">
        <v>45634</v>
      </c>
      <c r="W773" s="364" t="s">
        <v>250</v>
      </c>
      <c r="X773" s="361"/>
      <c r="Y773" s="361"/>
      <c r="Z773" s="361"/>
      <c r="AA773" s="361"/>
      <c r="AB773" s="361"/>
      <c r="AC773" s="361" t="s">
        <v>2733</v>
      </c>
      <c r="AD773" s="361">
        <v>4500019557</v>
      </c>
      <c r="AE773" s="364"/>
      <c r="AF773" s="364"/>
      <c r="AG773" s="361"/>
      <c r="AH773" s="365"/>
      <c r="AI773" s="361"/>
      <c r="AJ773" s="361"/>
      <c r="AK773" s="361"/>
      <c r="AL773" s="361"/>
      <c r="AM773" s="361"/>
      <c r="AN773" s="361"/>
      <c r="AO773" s="361"/>
      <c r="AP773" s="361"/>
      <c r="AQ773" s="361"/>
      <c r="AR773" s="503"/>
      <c r="AS773" s="489"/>
      <c r="AT773" s="160"/>
      <c r="AU773" s="355"/>
    </row>
    <row r="774" spans="1:47" s="124" customFormat="1" ht="21.75" hidden="1" customHeight="1">
      <c r="A774" s="331">
        <v>773</v>
      </c>
      <c r="B774" s="28" t="s">
        <v>179</v>
      </c>
      <c r="C774" s="361" t="s">
        <v>2734</v>
      </c>
      <c r="D774" s="435" t="s">
        <v>560</v>
      </c>
      <c r="E774" s="361" t="str">
        <f t="shared" si="12"/>
        <v>LOSS</v>
      </c>
      <c r="F774" s="361"/>
      <c r="G774" s="361"/>
      <c r="H774" s="361" t="s">
        <v>327</v>
      </c>
      <c r="I774" s="361" t="s">
        <v>242</v>
      </c>
      <c r="J774" s="361" t="s">
        <v>2735</v>
      </c>
      <c r="K774" s="365"/>
      <c r="L774" s="361"/>
      <c r="M774" s="361"/>
      <c r="N774" s="361"/>
      <c r="O774" s="370"/>
      <c r="P774" s="387">
        <v>1800000000</v>
      </c>
      <c r="Q774" s="387"/>
      <c r="R774" s="387">
        <v>1500000</v>
      </c>
      <c r="S774" s="387">
        <v>18000000</v>
      </c>
      <c r="T774" s="387"/>
      <c r="U774" s="367">
        <v>44895</v>
      </c>
      <c r="V774" s="367">
        <v>45259</v>
      </c>
      <c r="W774" s="361" t="s">
        <v>250</v>
      </c>
      <c r="X774" s="361"/>
      <c r="Y774" s="361"/>
      <c r="Z774" s="361"/>
      <c r="AA774" s="361"/>
      <c r="AB774" s="361"/>
      <c r="AC774" s="361" t="s">
        <v>2736</v>
      </c>
      <c r="AD774" s="361">
        <v>4500019548</v>
      </c>
      <c r="AE774" s="364"/>
      <c r="AF774" s="364"/>
      <c r="AG774" s="361"/>
      <c r="AH774" s="365"/>
      <c r="AI774" s="361"/>
      <c r="AJ774" s="361"/>
      <c r="AK774" s="361"/>
      <c r="AL774" s="361"/>
      <c r="AM774" s="361"/>
      <c r="AN774" s="361"/>
      <c r="AO774" s="361"/>
      <c r="AP774" s="361"/>
      <c r="AQ774" s="361"/>
      <c r="AR774" s="503"/>
      <c r="AS774" s="489"/>
      <c r="AT774" s="160"/>
      <c r="AU774" s="355"/>
    </row>
    <row r="775" spans="1:47" s="124" customFormat="1" ht="21.75" hidden="1" customHeight="1">
      <c r="A775" s="331">
        <v>774</v>
      </c>
      <c r="B775" s="361" t="s">
        <v>542</v>
      </c>
      <c r="C775" s="361" t="s">
        <v>1192</v>
      </c>
      <c r="D775" s="436" t="s">
        <v>544</v>
      </c>
      <c r="E775" s="361" t="str">
        <f t="shared" si="12"/>
        <v>LOSS</v>
      </c>
      <c r="F775" s="361"/>
      <c r="G775" s="361"/>
      <c r="H775" s="361" t="s">
        <v>327</v>
      </c>
      <c r="I775" s="361" t="s">
        <v>242</v>
      </c>
      <c r="J775" s="361" t="s">
        <v>2737</v>
      </c>
      <c r="K775" s="365"/>
      <c r="L775" s="361"/>
      <c r="M775" s="361"/>
      <c r="N775" s="361"/>
      <c r="O775" s="370">
        <v>5000000</v>
      </c>
      <c r="P775" s="387">
        <v>210000000</v>
      </c>
      <c r="Q775" s="387"/>
      <c r="R775" s="387">
        <v>4000000</v>
      </c>
      <c r="S775" s="387">
        <v>8000000</v>
      </c>
      <c r="T775" s="387"/>
      <c r="U775" s="367">
        <v>44902</v>
      </c>
      <c r="V775" s="367">
        <v>45266</v>
      </c>
      <c r="W775" s="361" t="s">
        <v>250</v>
      </c>
      <c r="X775" s="361"/>
      <c r="Y775" s="361"/>
      <c r="Z775" s="361"/>
      <c r="AA775" s="361"/>
      <c r="AB775" s="361"/>
      <c r="AC775" s="361" t="s">
        <v>2738</v>
      </c>
      <c r="AD775" s="361">
        <v>4500019496</v>
      </c>
      <c r="AE775" s="364"/>
      <c r="AF775" s="364"/>
      <c r="AG775" s="361"/>
      <c r="AH775" s="365"/>
      <c r="AI775" s="361"/>
      <c r="AJ775" s="361"/>
      <c r="AK775" s="361"/>
      <c r="AL775" s="361"/>
      <c r="AM775" s="361"/>
      <c r="AN775" s="361"/>
      <c r="AO775" s="361"/>
      <c r="AP775" s="361"/>
      <c r="AQ775" s="361"/>
      <c r="AR775" s="503"/>
      <c r="AS775" s="489"/>
      <c r="AT775" s="160"/>
      <c r="AU775" s="355"/>
    </row>
    <row r="776" spans="1:47" s="124" customFormat="1" ht="21.75" hidden="1" customHeight="1">
      <c r="A776" s="331">
        <v>775</v>
      </c>
      <c r="B776" s="173" t="s">
        <v>1035</v>
      </c>
      <c r="C776" s="361" t="s">
        <v>2549</v>
      </c>
      <c r="D776" s="435" t="s">
        <v>1240</v>
      </c>
      <c r="E776" s="361" t="str">
        <f t="shared" si="12"/>
        <v>LOSS</v>
      </c>
      <c r="F776" s="361"/>
      <c r="G776" s="361"/>
      <c r="H776" s="361" t="s">
        <v>327</v>
      </c>
      <c r="I776" s="160" t="s">
        <v>346</v>
      </c>
      <c r="J776" s="361" t="s">
        <v>1343</v>
      </c>
      <c r="K776" s="365"/>
      <c r="L776" s="361"/>
      <c r="M776" s="361"/>
      <c r="N776" s="361"/>
      <c r="O776" s="370"/>
      <c r="P776" s="387">
        <v>87387600</v>
      </c>
      <c r="Q776" s="387"/>
      <c r="R776" s="387"/>
      <c r="S776" s="387">
        <v>2856000</v>
      </c>
      <c r="T776" s="387"/>
      <c r="U776" s="367">
        <v>44828</v>
      </c>
      <c r="V776" s="367">
        <v>45192</v>
      </c>
      <c r="W776" s="361" t="s">
        <v>250</v>
      </c>
      <c r="X776" s="361"/>
      <c r="Y776" s="361"/>
      <c r="Z776" s="361"/>
      <c r="AA776" s="361"/>
      <c r="AB776" s="361"/>
      <c r="AC776" s="361" t="s">
        <v>2739</v>
      </c>
      <c r="AD776" s="361">
        <v>4500018841</v>
      </c>
      <c r="AE776" s="364"/>
      <c r="AF776" s="364"/>
      <c r="AG776" s="361"/>
      <c r="AH776" s="365"/>
      <c r="AI776" s="361"/>
      <c r="AJ776" s="361"/>
      <c r="AK776" s="361"/>
      <c r="AL776" s="361"/>
      <c r="AM776" s="361"/>
      <c r="AN776" s="361"/>
      <c r="AO776" s="361"/>
      <c r="AP776" s="361"/>
      <c r="AQ776" s="361"/>
      <c r="AR776" s="503"/>
      <c r="AS776" s="489"/>
      <c r="AT776" s="160"/>
      <c r="AU776" s="355"/>
    </row>
    <row r="777" spans="1:47" s="124" customFormat="1" ht="21.75" hidden="1" customHeight="1">
      <c r="A777" s="331">
        <v>776</v>
      </c>
      <c r="B777" s="28" t="s">
        <v>44</v>
      </c>
      <c r="C777" s="361"/>
      <c r="D777" s="436" t="s">
        <v>539</v>
      </c>
      <c r="E777" s="361" t="str">
        <f t="shared" si="12"/>
        <v>LOSS</v>
      </c>
      <c r="F777" s="361"/>
      <c r="G777" s="361"/>
      <c r="H777" s="361" t="s">
        <v>327</v>
      </c>
      <c r="I777" s="160" t="s">
        <v>346</v>
      </c>
      <c r="J777" s="361"/>
      <c r="K777" s="365"/>
      <c r="L777" s="361"/>
      <c r="M777" s="361"/>
      <c r="N777" s="361"/>
      <c r="O777" s="370"/>
      <c r="P777" s="387"/>
      <c r="Q777" s="387"/>
      <c r="R777" s="387"/>
      <c r="S777" s="387">
        <v>12000000</v>
      </c>
      <c r="T777" s="387"/>
      <c r="U777" s="367">
        <v>44863</v>
      </c>
      <c r="V777" s="367">
        <v>45227</v>
      </c>
      <c r="W777" s="361" t="s">
        <v>250</v>
      </c>
      <c r="X777" s="361"/>
      <c r="Y777" s="361"/>
      <c r="Z777" s="361"/>
      <c r="AA777" s="361"/>
      <c r="AB777" s="361"/>
      <c r="AC777" s="361" t="s">
        <v>2740</v>
      </c>
      <c r="AD777" s="361">
        <v>4500019399</v>
      </c>
      <c r="AE777" s="364"/>
      <c r="AF777" s="364"/>
      <c r="AG777" s="361"/>
      <c r="AH777" s="365"/>
      <c r="AI777" s="361"/>
      <c r="AJ777" s="361"/>
      <c r="AK777" s="361"/>
      <c r="AL777" s="361"/>
      <c r="AM777" s="361"/>
      <c r="AN777" s="361"/>
      <c r="AO777" s="361"/>
      <c r="AP777" s="361"/>
      <c r="AQ777" s="361"/>
      <c r="AR777" s="503"/>
      <c r="AS777" s="489"/>
      <c r="AT777" s="160"/>
      <c r="AU777" s="355"/>
    </row>
    <row r="778" spans="1:47" s="124" customFormat="1" ht="21.75" hidden="1" customHeight="1">
      <c r="A778" s="331">
        <v>777</v>
      </c>
      <c r="B778" s="361" t="s">
        <v>450</v>
      </c>
      <c r="C778" s="361" t="s">
        <v>2741</v>
      </c>
      <c r="D778" s="438" t="s">
        <v>597</v>
      </c>
      <c r="E778" s="361" t="str">
        <f t="shared" si="12"/>
        <v>LOSS</v>
      </c>
      <c r="F778" s="361"/>
      <c r="G778" s="361"/>
      <c r="H778" s="28" t="s">
        <v>261</v>
      </c>
      <c r="I778" s="361" t="s">
        <v>243</v>
      </c>
      <c r="J778" s="361" t="s">
        <v>2742</v>
      </c>
      <c r="K778" s="361"/>
      <c r="L778" s="361"/>
      <c r="M778" s="361"/>
      <c r="N778" s="361"/>
      <c r="O778" s="370"/>
      <c r="P778" s="387">
        <v>168000000</v>
      </c>
      <c r="Q778" s="387"/>
      <c r="R778" s="387"/>
      <c r="S778" s="387">
        <v>90000000</v>
      </c>
      <c r="T778" s="387"/>
      <c r="U778" s="367">
        <v>44927</v>
      </c>
      <c r="V778" s="367">
        <v>45291</v>
      </c>
      <c r="W778" s="361" t="s">
        <v>250</v>
      </c>
      <c r="X778" s="361"/>
      <c r="Y778" s="361"/>
      <c r="Z778" s="361"/>
      <c r="AA778" s="361"/>
      <c r="AB778" s="361"/>
      <c r="AC778" s="361" t="s">
        <v>2743</v>
      </c>
      <c r="AD778" s="361">
        <v>4500019445</v>
      </c>
      <c r="AE778" s="364"/>
      <c r="AF778" s="364"/>
      <c r="AG778" s="361"/>
      <c r="AH778" s="361"/>
      <c r="AI778" s="361"/>
      <c r="AJ778" s="361"/>
      <c r="AK778" s="361"/>
      <c r="AL778" s="361"/>
      <c r="AM778" s="361"/>
      <c r="AN778" s="361"/>
      <c r="AO778" s="361"/>
      <c r="AP778" s="361"/>
      <c r="AQ778" s="361"/>
      <c r="AR778" s="503"/>
      <c r="AS778" s="489"/>
      <c r="AT778" s="160"/>
      <c r="AU778" s="355"/>
    </row>
    <row r="779" spans="1:47" ht="21.75" hidden="1" customHeight="1">
      <c r="A779" s="331">
        <v>778</v>
      </c>
      <c r="B779" s="28" t="s">
        <v>2744</v>
      </c>
      <c r="C779" s="28" t="s">
        <v>1467</v>
      </c>
      <c r="D779" s="437" t="s">
        <v>2745</v>
      </c>
      <c r="E779" s="361" t="str">
        <f t="shared" ca="1" si="12"/>
        <v>LOSS</v>
      </c>
      <c r="F779" s="29" t="s">
        <v>2746</v>
      </c>
      <c r="G779" s="28" t="s">
        <v>2747</v>
      </c>
      <c r="H779" s="29" t="s">
        <v>2748</v>
      </c>
      <c r="I779" s="160" t="s">
        <v>346</v>
      </c>
      <c r="J779" s="28" t="s">
        <v>2749</v>
      </c>
      <c r="K779" s="28"/>
      <c r="L779" s="27"/>
      <c r="M779" s="27"/>
      <c r="N779" s="29"/>
      <c r="O779" s="56"/>
      <c r="P779" s="31">
        <v>94009200</v>
      </c>
      <c r="Q779" s="31"/>
      <c r="R779" s="27"/>
      <c r="S779" s="32">
        <v>40000000</v>
      </c>
      <c r="T779" s="33"/>
      <c r="U779" s="334">
        <v>45139</v>
      </c>
      <c r="V779" s="334">
        <v>45504</v>
      </c>
      <c r="W779" s="27" t="s">
        <v>245</v>
      </c>
      <c r="X779" s="27"/>
      <c r="Y779" s="34">
        <f t="shared" ref="Y779:Y842" ca="1" si="13">TODAY()</f>
        <v>46290</v>
      </c>
      <c r="Z779" s="35">
        <f t="shared" ref="Z779:Z842" ca="1" si="14">V779-Y779</f>
        <v>-786</v>
      </c>
      <c r="AA779" s="27">
        <f t="shared" ref="AA779:AA842" si="15">MONTH(V779)</f>
        <v>7</v>
      </c>
      <c r="AB779" s="27">
        <f t="shared" ref="AB779:AB842" si="16">YEAR(V779)</f>
        <v>2024</v>
      </c>
      <c r="AC779" s="28" t="s">
        <v>2750</v>
      </c>
      <c r="AD779" s="28" t="s">
        <v>2751</v>
      </c>
      <c r="AE779" s="27">
        <v>4500021624</v>
      </c>
      <c r="AF779" s="27" t="s">
        <v>339</v>
      </c>
      <c r="AG779" s="29"/>
      <c r="AH779" s="28"/>
      <c r="AI779" s="27"/>
      <c r="AJ779" s="27"/>
      <c r="AK779" s="27" t="s">
        <v>2752</v>
      </c>
      <c r="AL779" s="27" t="s">
        <v>2753</v>
      </c>
      <c r="AM779" s="27"/>
      <c r="AN779" s="27"/>
      <c r="AO779" s="27" t="s">
        <v>2754</v>
      </c>
      <c r="AP779" s="27"/>
      <c r="AQ779" s="27"/>
      <c r="AR779" s="504"/>
      <c r="AS779" s="333" t="s">
        <v>2755</v>
      </c>
      <c r="AT779" s="160"/>
    </row>
    <row r="780" spans="1:47" ht="21.75" hidden="1" customHeight="1">
      <c r="A780" s="331">
        <v>779</v>
      </c>
      <c r="B780" s="28" t="s">
        <v>30</v>
      </c>
      <c r="C780" s="28" t="s">
        <v>2756</v>
      </c>
      <c r="D780" s="438" t="s">
        <v>2757</v>
      </c>
      <c r="E780" s="361" t="str">
        <f t="shared" ca="1" si="12"/>
        <v>LOSS</v>
      </c>
      <c r="F780" s="29" t="s">
        <v>2758</v>
      </c>
      <c r="G780" s="28" t="s">
        <v>2759</v>
      </c>
      <c r="H780" s="29" t="s">
        <v>2748</v>
      </c>
      <c r="I780" s="29" t="s">
        <v>346</v>
      </c>
      <c r="J780" s="28" t="s">
        <v>2760</v>
      </c>
      <c r="K780" s="28"/>
      <c r="L780" s="27"/>
      <c r="M780" s="27"/>
      <c r="N780" s="29"/>
      <c r="O780" s="56"/>
      <c r="P780" s="31">
        <v>24000000</v>
      </c>
      <c r="Q780" s="31"/>
      <c r="R780" s="27"/>
      <c r="S780" s="32">
        <v>20000000</v>
      </c>
      <c r="T780" s="33"/>
      <c r="U780" s="334">
        <v>44530</v>
      </c>
      <c r="V780" s="334">
        <v>44894</v>
      </c>
      <c r="W780" s="27" t="s">
        <v>245</v>
      </c>
      <c r="X780" s="27"/>
      <c r="Y780" s="34">
        <f t="shared" ca="1" si="13"/>
        <v>46290</v>
      </c>
      <c r="Z780" s="35">
        <f t="shared" ca="1" si="14"/>
        <v>-1396</v>
      </c>
      <c r="AA780" s="27">
        <f t="shared" si="15"/>
        <v>11</v>
      </c>
      <c r="AB780" s="27">
        <f t="shared" si="16"/>
        <v>2022</v>
      </c>
      <c r="AC780" s="28" t="s">
        <v>479</v>
      </c>
      <c r="AD780" s="28" t="s">
        <v>2761</v>
      </c>
      <c r="AE780" s="27">
        <v>4500017255</v>
      </c>
      <c r="AF780" s="27" t="s">
        <v>339</v>
      </c>
      <c r="AG780" s="29" t="s">
        <v>2762</v>
      </c>
      <c r="AH780" s="28" t="s">
        <v>2763</v>
      </c>
      <c r="AI780" s="27"/>
      <c r="AJ780" s="27"/>
      <c r="AK780" s="27"/>
      <c r="AL780" s="27"/>
      <c r="AM780" s="27" t="s">
        <v>2764</v>
      </c>
      <c r="AN780" s="27"/>
      <c r="AO780" s="27"/>
      <c r="AP780" s="27"/>
      <c r="AQ780" s="27"/>
      <c r="AR780" s="504"/>
      <c r="AS780" s="332"/>
      <c r="AT780" s="160"/>
    </row>
    <row r="781" spans="1:47" ht="21.75" hidden="1" customHeight="1">
      <c r="A781" s="331">
        <v>780</v>
      </c>
      <c r="B781" s="28" t="s">
        <v>30</v>
      </c>
      <c r="C781" s="28" t="s">
        <v>2765</v>
      </c>
      <c r="D781" s="437" t="s">
        <v>2757</v>
      </c>
      <c r="E781" s="361" t="str">
        <f t="shared" ca="1" si="12"/>
        <v>LOSS</v>
      </c>
      <c r="F781" s="29" t="s">
        <v>2766</v>
      </c>
      <c r="G781" s="28" t="s">
        <v>2767</v>
      </c>
      <c r="H781" s="29" t="s">
        <v>2748</v>
      </c>
      <c r="I781" s="29" t="s">
        <v>346</v>
      </c>
      <c r="J781" s="28" t="s">
        <v>33</v>
      </c>
      <c r="K781" s="28"/>
      <c r="L781" s="27"/>
      <c r="M781" s="27"/>
      <c r="N781" s="29"/>
      <c r="O781" s="56"/>
      <c r="P781" s="31">
        <v>51600000</v>
      </c>
      <c r="Q781" s="31"/>
      <c r="R781" s="30"/>
      <c r="S781" s="32">
        <v>20000000</v>
      </c>
      <c r="T781" s="33"/>
      <c r="U781" s="334">
        <v>45454</v>
      </c>
      <c r="V781" s="334">
        <v>45818</v>
      </c>
      <c r="W781" s="27" t="s">
        <v>250</v>
      </c>
      <c r="X781" s="27"/>
      <c r="Y781" s="34">
        <f t="shared" ca="1" si="13"/>
        <v>46290</v>
      </c>
      <c r="Z781" s="35">
        <f t="shared" ca="1" si="14"/>
        <v>-472</v>
      </c>
      <c r="AA781" s="27">
        <f t="shared" si="15"/>
        <v>6</v>
      </c>
      <c r="AB781" s="27">
        <f t="shared" si="16"/>
        <v>2025</v>
      </c>
      <c r="AC781" s="28" t="s">
        <v>2768</v>
      </c>
      <c r="AD781" s="28">
        <v>2939</v>
      </c>
      <c r="AE781" s="27">
        <v>4500022458</v>
      </c>
      <c r="AF781" s="27" t="s">
        <v>339</v>
      </c>
      <c r="AG781" s="29" t="s">
        <v>2762</v>
      </c>
      <c r="AH781" s="28" t="s">
        <v>2763</v>
      </c>
      <c r="AI781" s="27">
        <v>44</v>
      </c>
      <c r="AJ781" s="27" t="s">
        <v>2769</v>
      </c>
      <c r="AK781" s="27" t="s">
        <v>2770</v>
      </c>
      <c r="AL781" s="27" t="s">
        <v>2771</v>
      </c>
      <c r="AM781" s="27" t="s">
        <v>2772</v>
      </c>
      <c r="AN781" s="27" t="s">
        <v>2773</v>
      </c>
      <c r="AO781" s="27" t="s">
        <v>2774</v>
      </c>
      <c r="AP781" s="27"/>
      <c r="AQ781" s="27"/>
      <c r="AR781" s="504"/>
      <c r="AS781" s="332" t="s">
        <v>2775</v>
      </c>
      <c r="AT781" s="160"/>
    </row>
    <row r="782" spans="1:47" ht="21.75" hidden="1" customHeight="1">
      <c r="A782" s="331">
        <v>781</v>
      </c>
      <c r="B782" s="28" t="s">
        <v>30</v>
      </c>
      <c r="C782" s="28" t="s">
        <v>2776</v>
      </c>
      <c r="D782" s="438" t="s">
        <v>2757</v>
      </c>
      <c r="E782" s="361" t="str">
        <f t="shared" ca="1" si="12"/>
        <v>LOSS</v>
      </c>
      <c r="F782" s="36" t="s">
        <v>115</v>
      </c>
      <c r="G782" s="28" t="s">
        <v>2777</v>
      </c>
      <c r="H782" s="29" t="s">
        <v>2748</v>
      </c>
      <c r="I782" s="29" t="s">
        <v>346</v>
      </c>
      <c r="J782" s="28" t="s">
        <v>2778</v>
      </c>
      <c r="K782" s="28"/>
      <c r="L782" s="27"/>
      <c r="M782" s="27"/>
      <c r="N782" s="29"/>
      <c r="O782" s="56"/>
      <c r="P782" s="31">
        <v>54000000</v>
      </c>
      <c r="Q782" s="31"/>
      <c r="R782" s="27"/>
      <c r="S782" s="32">
        <v>20000000</v>
      </c>
      <c r="T782" s="33"/>
      <c r="U782" s="334">
        <v>45076</v>
      </c>
      <c r="V782" s="334">
        <v>45441</v>
      </c>
      <c r="W782" s="27" t="s">
        <v>245</v>
      </c>
      <c r="X782" s="27"/>
      <c r="Y782" s="34">
        <f t="shared" ca="1" si="13"/>
        <v>46290</v>
      </c>
      <c r="Z782" s="35">
        <f t="shared" ca="1" si="14"/>
        <v>-849</v>
      </c>
      <c r="AA782" s="27">
        <f t="shared" si="15"/>
        <v>5</v>
      </c>
      <c r="AB782" s="27">
        <f t="shared" si="16"/>
        <v>2024</v>
      </c>
      <c r="AC782" s="28" t="s">
        <v>2779</v>
      </c>
      <c r="AD782" s="28" t="s">
        <v>2780</v>
      </c>
      <c r="AE782" s="27">
        <v>4500020636</v>
      </c>
      <c r="AF782" s="27" t="s">
        <v>339</v>
      </c>
      <c r="AG782" s="29" t="s">
        <v>2762</v>
      </c>
      <c r="AH782" s="28" t="s">
        <v>2763</v>
      </c>
      <c r="AI782" s="27">
        <v>29</v>
      </c>
      <c r="AJ782" s="27" t="s">
        <v>2781</v>
      </c>
      <c r="AK782" s="27" t="s">
        <v>2782</v>
      </c>
      <c r="AL782" s="27"/>
      <c r="AM782" s="27"/>
      <c r="AN782" s="27" t="s">
        <v>2783</v>
      </c>
      <c r="AO782" s="27" t="s">
        <v>2784</v>
      </c>
      <c r="AP782" s="27"/>
      <c r="AQ782" s="27"/>
      <c r="AR782" s="504"/>
      <c r="AS782" s="332" t="s">
        <v>2775</v>
      </c>
      <c r="AT782" s="160"/>
    </row>
    <row r="783" spans="1:47" ht="21.75" hidden="1" customHeight="1">
      <c r="A783" s="331">
        <v>782</v>
      </c>
      <c r="B783" s="28" t="s">
        <v>30</v>
      </c>
      <c r="C783" s="28" t="s">
        <v>2785</v>
      </c>
      <c r="D783" s="437" t="s">
        <v>2757</v>
      </c>
      <c r="E783" s="361" t="str">
        <f t="shared" ca="1" si="12"/>
        <v>LOSS</v>
      </c>
      <c r="F783" s="36" t="s">
        <v>115</v>
      </c>
      <c r="G783" s="28" t="s">
        <v>2786</v>
      </c>
      <c r="H783" s="29" t="s">
        <v>2748</v>
      </c>
      <c r="I783" s="29" t="s">
        <v>346</v>
      </c>
      <c r="J783" s="28" t="s">
        <v>1791</v>
      </c>
      <c r="K783" s="28"/>
      <c r="L783" s="27"/>
      <c r="M783" s="27"/>
      <c r="N783" s="29"/>
      <c r="O783" s="56"/>
      <c r="P783" s="31">
        <v>42000000</v>
      </c>
      <c r="Q783" s="31"/>
      <c r="R783" s="27"/>
      <c r="S783" s="32">
        <v>20000000</v>
      </c>
      <c r="T783" s="33"/>
      <c r="U783" s="334">
        <v>44562</v>
      </c>
      <c r="V783" s="334">
        <v>44926</v>
      </c>
      <c r="W783" s="27" t="s">
        <v>245</v>
      </c>
      <c r="X783" s="27"/>
      <c r="Y783" s="34">
        <f t="shared" ca="1" si="13"/>
        <v>46290</v>
      </c>
      <c r="Z783" s="35">
        <f t="shared" ca="1" si="14"/>
        <v>-1364</v>
      </c>
      <c r="AA783" s="27">
        <f t="shared" si="15"/>
        <v>12</v>
      </c>
      <c r="AB783" s="27">
        <f t="shared" si="16"/>
        <v>2022</v>
      </c>
      <c r="AC783" s="28" t="s">
        <v>2787</v>
      </c>
      <c r="AD783" s="28" t="s">
        <v>2788</v>
      </c>
      <c r="AE783" s="27">
        <v>4500017086</v>
      </c>
      <c r="AF783" s="27" t="s">
        <v>339</v>
      </c>
      <c r="AG783" s="29" t="s">
        <v>2762</v>
      </c>
      <c r="AH783" s="28" t="s">
        <v>2763</v>
      </c>
      <c r="AI783" s="27"/>
      <c r="AJ783" s="27"/>
      <c r="AK783" s="27" t="s">
        <v>2789</v>
      </c>
      <c r="AL783" s="27" t="s">
        <v>2790</v>
      </c>
      <c r="AM783" s="27" t="s">
        <v>2791</v>
      </c>
      <c r="AN783" s="27"/>
      <c r="AO783" s="27"/>
      <c r="AP783" s="27"/>
      <c r="AQ783" s="27"/>
      <c r="AR783" s="504"/>
      <c r="AS783" s="332"/>
      <c r="AT783" s="160"/>
    </row>
    <row r="784" spans="1:47" ht="21.75" hidden="1" customHeight="1">
      <c r="A784" s="331">
        <v>783</v>
      </c>
      <c r="B784" s="28" t="s">
        <v>30</v>
      </c>
      <c r="C784" s="28" t="s">
        <v>2792</v>
      </c>
      <c r="D784" s="438" t="s">
        <v>2757</v>
      </c>
      <c r="E784" s="361" t="str">
        <f t="shared" ca="1" si="12"/>
        <v>LOSS</v>
      </c>
      <c r="F784" s="29" t="s">
        <v>2793</v>
      </c>
      <c r="G784" s="28" t="s">
        <v>2794</v>
      </c>
      <c r="H784" s="29" t="s">
        <v>2748</v>
      </c>
      <c r="I784" s="160" t="s">
        <v>346</v>
      </c>
      <c r="J784" s="28" t="s">
        <v>2795</v>
      </c>
      <c r="K784" s="28"/>
      <c r="L784" s="27"/>
      <c r="M784" s="27"/>
      <c r="N784" s="29"/>
      <c r="O784" s="56"/>
      <c r="P784" s="31">
        <v>33600000</v>
      </c>
      <c r="Q784" s="31"/>
      <c r="R784" s="30"/>
      <c r="S784" s="32">
        <v>20000000</v>
      </c>
      <c r="T784" s="33"/>
      <c r="U784" s="334">
        <v>45648</v>
      </c>
      <c r="V784" s="334">
        <v>46012</v>
      </c>
      <c r="W784" s="27" t="s">
        <v>250</v>
      </c>
      <c r="X784" s="27"/>
      <c r="Y784" s="34">
        <f t="shared" ca="1" si="13"/>
        <v>46290</v>
      </c>
      <c r="Z784" s="35">
        <f t="shared" ca="1" si="14"/>
        <v>-278</v>
      </c>
      <c r="AA784" s="27">
        <f t="shared" si="15"/>
        <v>12</v>
      </c>
      <c r="AB784" s="27">
        <f t="shared" si="16"/>
        <v>2025</v>
      </c>
      <c r="AC784" s="28" t="s">
        <v>2796</v>
      </c>
      <c r="AD784" s="28" t="s">
        <v>2797</v>
      </c>
      <c r="AE784" s="27">
        <v>4500024451</v>
      </c>
      <c r="AF784" s="27" t="s">
        <v>339</v>
      </c>
      <c r="AG784" s="29" t="s">
        <v>2762</v>
      </c>
      <c r="AH784" s="28" t="s">
        <v>2763</v>
      </c>
      <c r="AI784" s="27"/>
      <c r="AJ784" s="27"/>
      <c r="AK784" s="27" t="s">
        <v>2798</v>
      </c>
      <c r="AL784" s="27" t="s">
        <v>2799</v>
      </c>
      <c r="AM784" s="27" t="s">
        <v>2800</v>
      </c>
      <c r="AN784" s="27"/>
      <c r="AO784" s="27" t="s">
        <v>2801</v>
      </c>
      <c r="AP784" s="27"/>
      <c r="AQ784" s="27"/>
      <c r="AR784" s="504"/>
      <c r="AS784" s="332" t="s">
        <v>2802</v>
      </c>
      <c r="AT784" s="160"/>
    </row>
    <row r="785" spans="1:46" ht="21.75" hidden="1" customHeight="1">
      <c r="A785" s="331">
        <v>784</v>
      </c>
      <c r="B785" s="159" t="s">
        <v>1387</v>
      </c>
      <c r="C785" s="28" t="s">
        <v>2803</v>
      </c>
      <c r="D785" s="437" t="s">
        <v>2804</v>
      </c>
      <c r="E785" s="361" t="str">
        <f t="shared" ca="1" si="12"/>
        <v>LOSS</v>
      </c>
      <c r="F785" s="36" t="s">
        <v>115</v>
      </c>
      <c r="G785" s="28" t="s">
        <v>2804</v>
      </c>
      <c r="H785" s="29" t="s">
        <v>2748</v>
      </c>
      <c r="I785" s="160" t="s">
        <v>346</v>
      </c>
      <c r="J785" s="28" t="s">
        <v>36</v>
      </c>
      <c r="K785" s="28"/>
      <c r="L785" s="27"/>
      <c r="M785" s="27"/>
      <c r="N785" s="29"/>
      <c r="O785" s="56"/>
      <c r="P785" s="31">
        <v>436363632</v>
      </c>
      <c r="Q785" s="31"/>
      <c r="R785" s="27"/>
      <c r="S785" s="32">
        <v>64000000</v>
      </c>
      <c r="T785" s="33"/>
      <c r="U785" s="334">
        <v>45496</v>
      </c>
      <c r="V785" s="334">
        <v>45860</v>
      </c>
      <c r="W785" s="27" t="s">
        <v>250</v>
      </c>
      <c r="X785" s="27"/>
      <c r="Y785" s="34">
        <f t="shared" ca="1" si="13"/>
        <v>46290</v>
      </c>
      <c r="Z785" s="35">
        <f t="shared" ca="1" si="14"/>
        <v>-430</v>
      </c>
      <c r="AA785" s="27">
        <f t="shared" si="15"/>
        <v>7</v>
      </c>
      <c r="AB785" s="27">
        <f t="shared" si="16"/>
        <v>2025</v>
      </c>
      <c r="AC785" s="28" t="s">
        <v>2805</v>
      </c>
      <c r="AD785" s="28" t="s">
        <v>2806</v>
      </c>
      <c r="AE785" s="27">
        <v>4500023029</v>
      </c>
      <c r="AF785" s="27" t="s">
        <v>339</v>
      </c>
      <c r="AG785" s="29"/>
      <c r="AH785" s="28"/>
      <c r="AI785" s="27"/>
      <c r="AJ785" s="27"/>
      <c r="AK785" s="27"/>
      <c r="AL785" s="27"/>
      <c r="AM785" s="27" t="s">
        <v>2807</v>
      </c>
      <c r="AN785" s="27" t="s">
        <v>2808</v>
      </c>
      <c r="AO785" s="27" t="s">
        <v>2809</v>
      </c>
      <c r="AP785" s="27"/>
      <c r="AQ785" s="27"/>
      <c r="AR785" s="504"/>
      <c r="AS785" s="332"/>
      <c r="AT785" s="160"/>
    </row>
    <row r="786" spans="1:46" ht="21.75" hidden="1" customHeight="1">
      <c r="A786" s="331">
        <v>785</v>
      </c>
      <c r="B786" s="28" t="s">
        <v>2810</v>
      </c>
      <c r="C786" s="28" t="s">
        <v>2811</v>
      </c>
      <c r="D786" s="438" t="s">
        <v>2812</v>
      </c>
      <c r="E786" s="361" t="str">
        <f t="shared" ca="1" si="12"/>
        <v>LOSS</v>
      </c>
      <c r="F786" s="36" t="s">
        <v>115</v>
      </c>
      <c r="G786" s="28" t="s">
        <v>2813</v>
      </c>
      <c r="H786" s="29" t="s">
        <v>2748</v>
      </c>
      <c r="I786" s="160" t="s">
        <v>346</v>
      </c>
      <c r="J786" s="40" t="s">
        <v>2814</v>
      </c>
      <c r="K786" s="28"/>
      <c r="L786" s="27"/>
      <c r="M786" s="27"/>
      <c r="N786" s="29"/>
      <c r="O786" s="56"/>
      <c r="P786" s="31">
        <v>114545448</v>
      </c>
      <c r="Q786" s="31"/>
      <c r="R786" s="27"/>
      <c r="S786" s="32">
        <v>7636366</v>
      </c>
      <c r="T786" s="33"/>
      <c r="U786" s="334">
        <v>44136</v>
      </c>
      <c r="V786" s="334">
        <v>44500</v>
      </c>
      <c r="W786" s="27" t="s">
        <v>250</v>
      </c>
      <c r="X786" s="27"/>
      <c r="Y786" s="34">
        <f t="shared" ca="1" si="13"/>
        <v>46290</v>
      </c>
      <c r="Z786" s="35">
        <f t="shared" ca="1" si="14"/>
        <v>-1790</v>
      </c>
      <c r="AA786" s="27">
        <f t="shared" si="15"/>
        <v>10</v>
      </c>
      <c r="AB786" s="27">
        <f t="shared" si="16"/>
        <v>2021</v>
      </c>
      <c r="AC786" s="28" t="s">
        <v>2815</v>
      </c>
      <c r="AD786" s="28" t="s">
        <v>2816</v>
      </c>
      <c r="AE786" s="27"/>
      <c r="AF786" s="27" t="s">
        <v>339</v>
      </c>
      <c r="AG786" s="29"/>
      <c r="AH786" s="28"/>
      <c r="AI786" s="27"/>
      <c r="AJ786" s="27"/>
      <c r="AK786" s="27"/>
      <c r="AL786" s="27"/>
      <c r="AM786" s="27"/>
      <c r="AN786" s="27"/>
      <c r="AO786" s="27"/>
      <c r="AP786" s="27"/>
      <c r="AQ786" s="27"/>
      <c r="AR786" s="504"/>
      <c r="AS786" s="332" t="s">
        <v>2817</v>
      </c>
      <c r="AT786" s="160"/>
    </row>
    <row r="787" spans="1:46" ht="21.75" hidden="1" customHeight="1">
      <c r="A787" s="331">
        <v>786</v>
      </c>
      <c r="B787" s="28" t="s">
        <v>2818</v>
      </c>
      <c r="C787" s="28" t="s">
        <v>2803</v>
      </c>
      <c r="D787" s="437" t="s">
        <v>2819</v>
      </c>
      <c r="E787" s="361" t="str">
        <f t="shared" ca="1" si="12"/>
        <v>LOSS</v>
      </c>
      <c r="F787" s="29" t="s">
        <v>2820</v>
      </c>
      <c r="G787" s="28" t="s">
        <v>2821</v>
      </c>
      <c r="H787" s="29" t="s">
        <v>2748</v>
      </c>
      <c r="I787" s="160" t="s">
        <v>346</v>
      </c>
      <c r="J787" s="28" t="s">
        <v>2822</v>
      </c>
      <c r="K787" s="28"/>
      <c r="L787" s="27"/>
      <c r="M787" s="27"/>
      <c r="N787" s="29"/>
      <c r="O787" s="56"/>
      <c r="P787" s="31">
        <v>108000000</v>
      </c>
      <c r="Q787" s="31"/>
      <c r="R787" s="27"/>
      <c r="S787" s="32">
        <v>38500000</v>
      </c>
      <c r="T787" s="33"/>
      <c r="U787" s="334">
        <v>44378</v>
      </c>
      <c r="V787" s="334">
        <v>44742</v>
      </c>
      <c r="W787" s="27" t="s">
        <v>245</v>
      </c>
      <c r="X787" s="27"/>
      <c r="Y787" s="34">
        <f t="shared" ca="1" si="13"/>
        <v>46290</v>
      </c>
      <c r="Z787" s="35">
        <f t="shared" ca="1" si="14"/>
        <v>-1548</v>
      </c>
      <c r="AA787" s="27">
        <f t="shared" si="15"/>
        <v>6</v>
      </c>
      <c r="AB787" s="27">
        <f t="shared" si="16"/>
        <v>2022</v>
      </c>
      <c r="AC787" s="28" t="s">
        <v>2823</v>
      </c>
      <c r="AD787" s="28" t="s">
        <v>2824</v>
      </c>
      <c r="AE787" s="27">
        <v>4500016269</v>
      </c>
      <c r="AF787" s="27" t="s">
        <v>339</v>
      </c>
      <c r="AG787" s="29" t="s">
        <v>2825</v>
      </c>
      <c r="AH787" s="28" t="s">
        <v>2826</v>
      </c>
      <c r="AI787" s="27">
        <v>52</v>
      </c>
      <c r="AJ787" s="27" t="s">
        <v>2827</v>
      </c>
      <c r="AK787" s="27" t="s">
        <v>2828</v>
      </c>
      <c r="AL787" s="27" t="s">
        <v>2829</v>
      </c>
      <c r="AM787" s="27" t="s">
        <v>2830</v>
      </c>
      <c r="AN787" s="27"/>
      <c r="AO787" s="27"/>
      <c r="AP787" s="27"/>
      <c r="AQ787" s="27"/>
      <c r="AR787" s="504"/>
      <c r="AS787" s="332" t="s">
        <v>2831</v>
      </c>
      <c r="AT787" s="160"/>
    </row>
    <row r="788" spans="1:46" ht="21.75" hidden="1" customHeight="1">
      <c r="A788" s="331">
        <v>787</v>
      </c>
      <c r="B788" s="28" t="s">
        <v>41</v>
      </c>
      <c r="C788" s="28" t="s">
        <v>972</v>
      </c>
      <c r="D788" s="443" t="s">
        <v>2832</v>
      </c>
      <c r="E788" s="361" t="str">
        <f t="shared" ca="1" si="12"/>
        <v>LOSS</v>
      </c>
      <c r="F788" s="29" t="s">
        <v>2833</v>
      </c>
      <c r="G788" s="38" t="s">
        <v>115</v>
      </c>
      <c r="H788" s="29" t="s">
        <v>2748</v>
      </c>
      <c r="I788" s="29" t="s">
        <v>242</v>
      </c>
      <c r="J788" s="28" t="s">
        <v>42</v>
      </c>
      <c r="K788" s="28"/>
      <c r="L788" s="27"/>
      <c r="M788" s="27"/>
      <c r="N788" s="29"/>
      <c r="O788" s="56"/>
      <c r="P788" s="31">
        <v>36000000</v>
      </c>
      <c r="Q788" s="31"/>
      <c r="R788" s="27"/>
      <c r="S788" s="32">
        <v>15000000</v>
      </c>
      <c r="T788" s="33"/>
      <c r="U788" s="334">
        <v>45056</v>
      </c>
      <c r="V788" s="334">
        <v>45421</v>
      </c>
      <c r="W788" s="27" t="s">
        <v>250</v>
      </c>
      <c r="X788" s="27"/>
      <c r="Y788" s="34">
        <f t="shared" ca="1" si="13"/>
        <v>46290</v>
      </c>
      <c r="Z788" s="35">
        <f t="shared" ca="1" si="14"/>
        <v>-869</v>
      </c>
      <c r="AA788" s="27">
        <f t="shared" si="15"/>
        <v>5</v>
      </c>
      <c r="AB788" s="27">
        <f t="shared" si="16"/>
        <v>2024</v>
      </c>
      <c r="AC788" s="28" t="s">
        <v>2834</v>
      </c>
      <c r="AD788" s="28" t="s">
        <v>2835</v>
      </c>
      <c r="AE788" s="27">
        <v>4500023008</v>
      </c>
      <c r="AF788" s="27" t="s">
        <v>333</v>
      </c>
      <c r="AG788" s="29" t="s">
        <v>1923</v>
      </c>
      <c r="AH788" s="28" t="s">
        <v>2836</v>
      </c>
      <c r="AI788" s="27"/>
      <c r="AJ788" s="27"/>
      <c r="AK788" s="27" t="s">
        <v>2837</v>
      </c>
      <c r="AL788" s="27" t="s">
        <v>2838</v>
      </c>
      <c r="AM788" s="27"/>
      <c r="AN788" s="27" t="s">
        <v>2839</v>
      </c>
      <c r="AO788" s="27" t="s">
        <v>2840</v>
      </c>
      <c r="AP788" s="27"/>
      <c r="AQ788" s="27"/>
      <c r="AR788" s="504"/>
      <c r="AS788" s="332"/>
      <c r="AT788" s="160"/>
    </row>
    <row r="789" spans="1:46" ht="21.75" hidden="1" customHeight="1">
      <c r="A789" s="331">
        <v>788</v>
      </c>
      <c r="B789" s="28" t="s">
        <v>41</v>
      </c>
      <c r="C789" s="28" t="s">
        <v>972</v>
      </c>
      <c r="D789" s="444" t="s">
        <v>2832</v>
      </c>
      <c r="E789" s="361" t="str">
        <f t="shared" ca="1" si="12"/>
        <v>LOSS</v>
      </c>
      <c r="F789" s="29" t="s">
        <v>2833</v>
      </c>
      <c r="G789" s="38"/>
      <c r="H789" s="29" t="s">
        <v>2748</v>
      </c>
      <c r="I789" s="29" t="s">
        <v>242</v>
      </c>
      <c r="J789" s="28" t="s">
        <v>42</v>
      </c>
      <c r="K789" s="28"/>
      <c r="L789" s="27"/>
      <c r="M789" s="27"/>
      <c r="N789" s="29"/>
      <c r="O789" s="56"/>
      <c r="P789" s="31">
        <v>36000000</v>
      </c>
      <c r="Q789" s="31"/>
      <c r="R789" s="27"/>
      <c r="S789" s="32">
        <v>15000000</v>
      </c>
      <c r="T789" s="33"/>
      <c r="U789" s="334">
        <v>45422</v>
      </c>
      <c r="V789" s="334">
        <v>45786</v>
      </c>
      <c r="W789" s="27" t="s">
        <v>250</v>
      </c>
      <c r="X789" s="27"/>
      <c r="Y789" s="34">
        <f t="shared" ca="1" si="13"/>
        <v>46290</v>
      </c>
      <c r="Z789" s="35">
        <f t="shared" ca="1" si="14"/>
        <v>-504</v>
      </c>
      <c r="AA789" s="27">
        <f t="shared" si="15"/>
        <v>5</v>
      </c>
      <c r="AB789" s="27">
        <f t="shared" si="16"/>
        <v>2025</v>
      </c>
      <c r="AC789" s="28"/>
      <c r="AD789" s="28" t="s">
        <v>2841</v>
      </c>
      <c r="AE789" s="27">
        <v>4500023187</v>
      </c>
      <c r="AF789" s="27" t="s">
        <v>333</v>
      </c>
      <c r="AG789" s="29"/>
      <c r="AH789" s="28"/>
      <c r="AI789" s="27"/>
      <c r="AJ789" s="27"/>
      <c r="AK789" s="27"/>
      <c r="AL789" s="27"/>
      <c r="AM789" s="27"/>
      <c r="AN789" s="27"/>
      <c r="AO789" s="27"/>
      <c r="AP789" s="27" t="s">
        <v>2842</v>
      </c>
      <c r="AQ789" s="27"/>
      <c r="AR789" s="504"/>
      <c r="AS789" s="332"/>
      <c r="AT789" s="160"/>
    </row>
    <row r="790" spans="1:46" ht="21.75" hidden="1" customHeight="1">
      <c r="A790" s="331">
        <v>789</v>
      </c>
      <c r="B790" s="28" t="s">
        <v>41</v>
      </c>
      <c r="C790" s="28" t="s">
        <v>2843</v>
      </c>
      <c r="D790" s="443" t="s">
        <v>2832</v>
      </c>
      <c r="E790" s="361" t="str">
        <f t="shared" ca="1" si="12"/>
        <v>LOSS</v>
      </c>
      <c r="F790" s="29" t="s">
        <v>2844</v>
      </c>
      <c r="G790" s="28" t="s">
        <v>2845</v>
      </c>
      <c r="H790" s="29" t="s">
        <v>2748</v>
      </c>
      <c r="I790" s="29" t="s">
        <v>242</v>
      </c>
      <c r="J790" s="28" t="s">
        <v>2846</v>
      </c>
      <c r="K790" s="28"/>
      <c r="L790" s="27"/>
      <c r="M790" s="27"/>
      <c r="N790" s="29"/>
      <c r="O790" s="56"/>
      <c r="P790" s="31">
        <v>90000000</v>
      </c>
      <c r="Q790" s="31"/>
      <c r="R790" s="27"/>
      <c r="S790" s="32">
        <v>15000000</v>
      </c>
      <c r="T790" s="33"/>
      <c r="U790" s="334">
        <v>44098</v>
      </c>
      <c r="V790" s="334">
        <v>44462</v>
      </c>
      <c r="W790" s="27" t="s">
        <v>245</v>
      </c>
      <c r="X790" s="27"/>
      <c r="Y790" s="34">
        <f t="shared" ca="1" si="13"/>
        <v>46290</v>
      </c>
      <c r="Z790" s="35">
        <f t="shared" ca="1" si="14"/>
        <v>-1828</v>
      </c>
      <c r="AA790" s="27">
        <f t="shared" si="15"/>
        <v>9</v>
      </c>
      <c r="AB790" s="27">
        <f t="shared" si="16"/>
        <v>2021</v>
      </c>
      <c r="AC790" s="28" t="s">
        <v>2847</v>
      </c>
      <c r="AD790" s="28">
        <v>14277</v>
      </c>
      <c r="AE790" s="27">
        <v>4500016790</v>
      </c>
      <c r="AF790" s="27" t="s">
        <v>339</v>
      </c>
      <c r="AG790" s="29" t="s">
        <v>1923</v>
      </c>
      <c r="AH790" s="28" t="s">
        <v>2836</v>
      </c>
      <c r="AI790" s="27"/>
      <c r="AJ790" s="27"/>
      <c r="AK790" s="27" t="s">
        <v>2848</v>
      </c>
      <c r="AL790" s="27"/>
      <c r="AM790" s="27"/>
      <c r="AN790" s="27"/>
      <c r="AO790" s="27"/>
      <c r="AP790" s="27"/>
      <c r="AQ790" s="27"/>
      <c r="AR790" s="504"/>
      <c r="AS790" s="333" t="s">
        <v>2817</v>
      </c>
      <c r="AT790" s="160"/>
    </row>
    <row r="791" spans="1:46" ht="21.75" hidden="1" customHeight="1">
      <c r="A791" s="331">
        <v>790</v>
      </c>
      <c r="B791" s="28" t="s">
        <v>41</v>
      </c>
      <c r="C791" s="28" t="s">
        <v>2849</v>
      </c>
      <c r="D791" s="444" t="s">
        <v>2832</v>
      </c>
      <c r="E791" s="361" t="str">
        <f t="shared" ca="1" si="12"/>
        <v>LOSS</v>
      </c>
      <c r="F791" s="29" t="s">
        <v>2850</v>
      </c>
      <c r="G791" s="28" t="s">
        <v>2845</v>
      </c>
      <c r="H791" s="29" t="s">
        <v>2748</v>
      </c>
      <c r="I791" s="29" t="s">
        <v>242</v>
      </c>
      <c r="J791" s="28" t="s">
        <v>2851</v>
      </c>
      <c r="K791" s="28"/>
      <c r="L791" s="27"/>
      <c r="M791" s="27"/>
      <c r="N791" s="29"/>
      <c r="O791" s="56"/>
      <c r="P791" s="31">
        <v>240000000</v>
      </c>
      <c r="Q791" s="31"/>
      <c r="R791" s="27"/>
      <c r="S791" s="32">
        <v>24000000</v>
      </c>
      <c r="T791" s="33"/>
      <c r="U791" s="334">
        <v>44042</v>
      </c>
      <c r="V791" s="334">
        <v>44406</v>
      </c>
      <c r="W791" s="27" t="s">
        <v>250</v>
      </c>
      <c r="X791" s="27"/>
      <c r="Y791" s="34">
        <f t="shared" ca="1" si="13"/>
        <v>46290</v>
      </c>
      <c r="Z791" s="35">
        <f t="shared" ca="1" si="14"/>
        <v>-1884</v>
      </c>
      <c r="AA791" s="27">
        <f t="shared" si="15"/>
        <v>7</v>
      </c>
      <c r="AB791" s="27">
        <f t="shared" si="16"/>
        <v>2021</v>
      </c>
      <c r="AC791" s="28" t="s">
        <v>2852</v>
      </c>
      <c r="AD791" s="28">
        <v>16400</v>
      </c>
      <c r="AE791" s="27">
        <v>4500018489</v>
      </c>
      <c r="AF791" s="27" t="s">
        <v>339</v>
      </c>
      <c r="AG791" s="29" t="s">
        <v>1923</v>
      </c>
      <c r="AH791" s="28" t="s">
        <v>2836</v>
      </c>
      <c r="AI791" s="27"/>
      <c r="AJ791" s="27"/>
      <c r="AK791" s="27"/>
      <c r="AL791" s="27" t="s">
        <v>2853</v>
      </c>
      <c r="AM791" s="27"/>
      <c r="AN791" s="27"/>
      <c r="AO791" s="27"/>
      <c r="AP791" s="27"/>
      <c r="AQ791" s="27"/>
      <c r="AR791" s="504"/>
      <c r="AS791" s="490" t="s">
        <v>2817</v>
      </c>
      <c r="AT791" s="160"/>
    </row>
    <row r="792" spans="1:46" ht="21.75" hidden="1" customHeight="1">
      <c r="A792" s="331">
        <v>791</v>
      </c>
      <c r="B792" s="28" t="s">
        <v>41</v>
      </c>
      <c r="C792" s="28" t="s">
        <v>2854</v>
      </c>
      <c r="D792" s="443" t="s">
        <v>2832</v>
      </c>
      <c r="E792" s="361" t="str">
        <f t="shared" ca="1" si="12"/>
        <v>LOSS</v>
      </c>
      <c r="F792" s="29"/>
      <c r="G792" s="28" t="s">
        <v>2855</v>
      </c>
      <c r="H792" s="29" t="s">
        <v>2748</v>
      </c>
      <c r="I792" s="29" t="s">
        <v>242</v>
      </c>
      <c r="J792" s="28" t="s">
        <v>2856</v>
      </c>
      <c r="K792" s="28"/>
      <c r="L792" s="27"/>
      <c r="M792" s="27"/>
      <c r="N792" s="29"/>
      <c r="O792" s="56"/>
      <c r="P792" s="31">
        <v>240000000</v>
      </c>
      <c r="Q792" s="31"/>
      <c r="R792" s="27"/>
      <c r="S792" s="32">
        <v>15000000</v>
      </c>
      <c r="T792" s="33"/>
      <c r="U792" s="334">
        <v>44273</v>
      </c>
      <c r="V792" s="334">
        <v>44637</v>
      </c>
      <c r="W792" s="27" t="s">
        <v>250</v>
      </c>
      <c r="X792" s="27"/>
      <c r="Y792" s="34">
        <f t="shared" ca="1" si="13"/>
        <v>46290</v>
      </c>
      <c r="Z792" s="35">
        <f t="shared" ca="1" si="14"/>
        <v>-1653</v>
      </c>
      <c r="AA792" s="27">
        <f t="shared" si="15"/>
        <v>3</v>
      </c>
      <c r="AB792" s="27">
        <f t="shared" si="16"/>
        <v>2022</v>
      </c>
      <c r="AC792" s="28" t="s">
        <v>2857</v>
      </c>
      <c r="AD792" s="28" t="s">
        <v>2858</v>
      </c>
      <c r="AE792" s="27">
        <v>4500019179</v>
      </c>
      <c r="AF792" s="27" t="s">
        <v>339</v>
      </c>
      <c r="AG792" s="29" t="s">
        <v>1923</v>
      </c>
      <c r="AH792" s="28" t="s">
        <v>2836</v>
      </c>
      <c r="AI792" s="27"/>
      <c r="AJ792" s="27"/>
      <c r="AK792" s="27"/>
      <c r="AL792" s="27" t="s">
        <v>2859</v>
      </c>
      <c r="AM792" s="27"/>
      <c r="AN792" s="27" t="s">
        <v>2860</v>
      </c>
      <c r="AO792" s="27"/>
      <c r="AP792" s="27"/>
      <c r="AQ792" s="27"/>
      <c r="AR792" s="504"/>
      <c r="AS792" s="490" t="s">
        <v>2817</v>
      </c>
      <c r="AT792" s="160"/>
    </row>
    <row r="793" spans="1:46" ht="21.75" hidden="1" customHeight="1">
      <c r="A793" s="331">
        <v>792</v>
      </c>
      <c r="B793" s="28" t="s">
        <v>41</v>
      </c>
      <c r="C793" s="28" t="s">
        <v>2861</v>
      </c>
      <c r="D793" s="444" t="s">
        <v>2832</v>
      </c>
      <c r="E793" s="361" t="str">
        <f t="shared" ca="1" si="12"/>
        <v>LOSS</v>
      </c>
      <c r="F793" s="36" t="s">
        <v>115</v>
      </c>
      <c r="G793" s="28" t="s">
        <v>2862</v>
      </c>
      <c r="H793" s="29" t="s">
        <v>2748</v>
      </c>
      <c r="I793" s="29" t="s">
        <v>242</v>
      </c>
      <c r="J793" s="28" t="s">
        <v>2863</v>
      </c>
      <c r="K793" s="28"/>
      <c r="L793" s="27"/>
      <c r="M793" s="27"/>
      <c r="N793" s="29"/>
      <c r="O793" s="56"/>
      <c r="P793" s="31">
        <f>12*17600000</f>
        <v>211200000</v>
      </c>
      <c r="Q793" s="31"/>
      <c r="R793" s="39" t="s">
        <v>2864</v>
      </c>
      <c r="S793" s="32">
        <v>24000000</v>
      </c>
      <c r="T793" s="33"/>
      <c r="U793" s="334">
        <v>44970</v>
      </c>
      <c r="V793" s="334">
        <v>45334</v>
      </c>
      <c r="W793" s="27" t="s">
        <v>250</v>
      </c>
      <c r="X793" s="27"/>
      <c r="Y793" s="34">
        <f t="shared" ca="1" si="13"/>
        <v>46290</v>
      </c>
      <c r="Z793" s="35">
        <f t="shared" ca="1" si="14"/>
        <v>-956</v>
      </c>
      <c r="AA793" s="27">
        <f t="shared" si="15"/>
        <v>2</v>
      </c>
      <c r="AB793" s="27">
        <f t="shared" si="16"/>
        <v>2024</v>
      </c>
      <c r="AC793" s="28" t="s">
        <v>479</v>
      </c>
      <c r="AD793" s="28" t="s">
        <v>2865</v>
      </c>
      <c r="AE793" s="27">
        <v>4500019898</v>
      </c>
      <c r="AF793" s="27" t="s">
        <v>333</v>
      </c>
      <c r="AG793" s="29" t="s">
        <v>1923</v>
      </c>
      <c r="AH793" s="28" t="s">
        <v>2836</v>
      </c>
      <c r="AI793" s="27"/>
      <c r="AJ793" s="27"/>
      <c r="AK793" s="27"/>
      <c r="AL793" s="27"/>
      <c r="AM793" s="27"/>
      <c r="AN793" s="27"/>
      <c r="AO793" s="27" t="s">
        <v>2866</v>
      </c>
      <c r="AP793" s="27"/>
      <c r="AQ793" s="27"/>
      <c r="AR793" s="504"/>
      <c r="AS793" s="332" t="s">
        <v>2867</v>
      </c>
      <c r="AT793" s="160"/>
    </row>
    <row r="794" spans="1:46" ht="21.75" hidden="1" customHeight="1">
      <c r="A794" s="331">
        <v>793</v>
      </c>
      <c r="B794" s="28" t="s">
        <v>41</v>
      </c>
      <c r="C794" s="28" t="s">
        <v>2868</v>
      </c>
      <c r="D794" s="443" t="s">
        <v>2832</v>
      </c>
      <c r="E794" s="361" t="str">
        <f t="shared" ca="1" si="12"/>
        <v>LOSS</v>
      </c>
      <c r="F794" s="29" t="s">
        <v>2869</v>
      </c>
      <c r="G794" s="28" t="s">
        <v>2870</v>
      </c>
      <c r="H794" s="29" t="s">
        <v>2748</v>
      </c>
      <c r="I794" s="160" t="s">
        <v>346</v>
      </c>
      <c r="J794" s="28" t="s">
        <v>2871</v>
      </c>
      <c r="K794" s="28"/>
      <c r="L794" s="27"/>
      <c r="M794" s="27"/>
      <c r="N794" s="29"/>
      <c r="O794" s="56"/>
      <c r="P794" s="31">
        <v>114000000</v>
      </c>
      <c r="Q794" s="31"/>
      <c r="R794" s="27"/>
      <c r="S794" s="32">
        <v>18000000</v>
      </c>
      <c r="T794" s="33"/>
      <c r="U794" s="334">
        <v>43617</v>
      </c>
      <c r="V794" s="334">
        <v>43982</v>
      </c>
      <c r="W794" s="27" t="s">
        <v>245</v>
      </c>
      <c r="X794" s="27"/>
      <c r="Y794" s="34">
        <f t="shared" ca="1" si="13"/>
        <v>46290</v>
      </c>
      <c r="Z794" s="35">
        <f t="shared" ca="1" si="14"/>
        <v>-2308</v>
      </c>
      <c r="AA794" s="27">
        <f t="shared" si="15"/>
        <v>5</v>
      </c>
      <c r="AB794" s="27">
        <f t="shared" si="16"/>
        <v>2020</v>
      </c>
      <c r="AC794" s="28" t="s">
        <v>2872</v>
      </c>
      <c r="AD794" s="28" t="s">
        <v>2873</v>
      </c>
      <c r="AE794" s="27">
        <v>4500013206</v>
      </c>
      <c r="AF794" s="27" t="s">
        <v>339</v>
      </c>
      <c r="AG794" s="29" t="s">
        <v>1923</v>
      </c>
      <c r="AH794" s="28" t="s">
        <v>2874</v>
      </c>
      <c r="AI794" s="27">
        <v>168</v>
      </c>
      <c r="AJ794" s="27" t="s">
        <v>2875</v>
      </c>
      <c r="AK794" s="27" t="s">
        <v>2876</v>
      </c>
      <c r="AL794" s="27"/>
      <c r="AM794" s="27"/>
      <c r="AN794" s="27"/>
      <c r="AO794" s="27"/>
      <c r="AP794" s="27"/>
      <c r="AQ794" s="27"/>
      <c r="AR794" s="504"/>
      <c r="AS794" s="332" t="s">
        <v>2877</v>
      </c>
      <c r="AT794" s="160"/>
    </row>
    <row r="795" spans="1:46" ht="21.75" hidden="1" customHeight="1">
      <c r="A795" s="331">
        <v>794</v>
      </c>
      <c r="B795" s="28" t="s">
        <v>41</v>
      </c>
      <c r="C795" s="28" t="s">
        <v>1020</v>
      </c>
      <c r="D795" s="444" t="s">
        <v>2832</v>
      </c>
      <c r="E795" s="361" t="str">
        <f t="shared" ca="1" si="12"/>
        <v>LOSS</v>
      </c>
      <c r="F795" s="29" t="s">
        <v>2878</v>
      </c>
      <c r="G795" s="28" t="s">
        <v>2879</v>
      </c>
      <c r="H795" s="29" t="s">
        <v>2748</v>
      </c>
      <c r="I795" s="160" t="s">
        <v>346</v>
      </c>
      <c r="J795" s="28" t="s">
        <v>2880</v>
      </c>
      <c r="K795" s="28"/>
      <c r="L795" s="27"/>
      <c r="M795" s="27"/>
      <c r="N795" s="29"/>
      <c r="O795" s="56"/>
      <c r="P795" s="31">
        <v>84000000</v>
      </c>
      <c r="Q795" s="31"/>
      <c r="R795" s="27"/>
      <c r="S795" s="32">
        <v>19500000</v>
      </c>
      <c r="T795" s="33"/>
      <c r="U795" s="334">
        <v>44712</v>
      </c>
      <c r="V795" s="334">
        <v>45076</v>
      </c>
      <c r="W795" s="27" t="s">
        <v>250</v>
      </c>
      <c r="X795" s="27"/>
      <c r="Y795" s="34">
        <f t="shared" ca="1" si="13"/>
        <v>46290</v>
      </c>
      <c r="Z795" s="35">
        <f t="shared" ca="1" si="14"/>
        <v>-1214</v>
      </c>
      <c r="AA795" s="27">
        <f t="shared" si="15"/>
        <v>5</v>
      </c>
      <c r="AB795" s="27">
        <f t="shared" si="16"/>
        <v>2023</v>
      </c>
      <c r="AC795" s="28" t="s">
        <v>2881</v>
      </c>
      <c r="AD795" s="28" t="s">
        <v>2882</v>
      </c>
      <c r="AE795" s="27">
        <v>4500017916</v>
      </c>
      <c r="AF795" s="27" t="s">
        <v>339</v>
      </c>
      <c r="AG795" s="29" t="s">
        <v>1923</v>
      </c>
      <c r="AH795" s="28" t="s">
        <v>2874</v>
      </c>
      <c r="AI795" s="27" t="s">
        <v>2883</v>
      </c>
      <c r="AJ795" s="27" t="s">
        <v>2884</v>
      </c>
      <c r="AK795" s="27" t="s">
        <v>2885</v>
      </c>
      <c r="AL795" s="27" t="s">
        <v>2886</v>
      </c>
      <c r="AM795" s="27" t="s">
        <v>2887</v>
      </c>
      <c r="AN795" s="27" t="s">
        <v>2888</v>
      </c>
      <c r="AO795" s="27"/>
      <c r="AP795" s="27"/>
      <c r="AQ795" s="27"/>
      <c r="AR795" s="504"/>
      <c r="AS795" s="333" t="s">
        <v>2889</v>
      </c>
      <c r="AT795" s="160"/>
    </row>
    <row r="796" spans="1:46" ht="21.75" hidden="1" customHeight="1">
      <c r="A796" s="331">
        <v>795</v>
      </c>
      <c r="B796" s="28" t="s">
        <v>41</v>
      </c>
      <c r="C796" s="28" t="s">
        <v>2890</v>
      </c>
      <c r="D796" s="443" t="s">
        <v>2832</v>
      </c>
      <c r="E796" s="361" t="str">
        <f t="shared" ca="1" si="12"/>
        <v>LOSS</v>
      </c>
      <c r="F796" s="29" t="s">
        <v>2891</v>
      </c>
      <c r="G796" s="28" t="s">
        <v>2892</v>
      </c>
      <c r="H796" s="29" t="s">
        <v>2748</v>
      </c>
      <c r="I796" s="29" t="s">
        <v>242</v>
      </c>
      <c r="J796" s="28" t="s">
        <v>2893</v>
      </c>
      <c r="K796" s="28"/>
      <c r="L796" s="27"/>
      <c r="M796" s="27"/>
      <c r="N796" s="29"/>
      <c r="O796" s="56"/>
      <c r="P796" s="31">
        <v>234000000</v>
      </c>
      <c r="Q796" s="31"/>
      <c r="R796" s="27"/>
      <c r="S796" s="32">
        <v>21000000</v>
      </c>
      <c r="T796" s="33"/>
      <c r="U796" s="334">
        <v>44308</v>
      </c>
      <c r="V796" s="334">
        <v>44672</v>
      </c>
      <c r="W796" s="27" t="s">
        <v>250</v>
      </c>
      <c r="X796" s="27"/>
      <c r="Y796" s="34">
        <f t="shared" ca="1" si="13"/>
        <v>46290</v>
      </c>
      <c r="Z796" s="35">
        <f t="shared" ca="1" si="14"/>
        <v>-1618</v>
      </c>
      <c r="AA796" s="27">
        <f t="shared" si="15"/>
        <v>4</v>
      </c>
      <c r="AB796" s="27">
        <f t="shared" si="16"/>
        <v>2022</v>
      </c>
      <c r="AC796" s="28" t="s">
        <v>479</v>
      </c>
      <c r="AD796" s="28" t="s">
        <v>1773</v>
      </c>
      <c r="AE796" s="27">
        <v>4500016006</v>
      </c>
      <c r="AF796" s="27" t="s">
        <v>339</v>
      </c>
      <c r="AG796" s="29" t="s">
        <v>1923</v>
      </c>
      <c r="AH796" s="28" t="s">
        <v>2836</v>
      </c>
      <c r="AI796" s="27"/>
      <c r="AJ796" s="27"/>
      <c r="AK796" s="27"/>
      <c r="AL796" s="27"/>
      <c r="AM796" s="27" t="s">
        <v>2894</v>
      </c>
      <c r="AN796" s="27"/>
      <c r="AO796" s="27"/>
      <c r="AP796" s="27"/>
      <c r="AQ796" s="27"/>
      <c r="AR796" s="504"/>
      <c r="AS796" s="490" t="s">
        <v>2817</v>
      </c>
      <c r="AT796" s="160"/>
    </row>
    <row r="797" spans="1:46" ht="21.75" hidden="1" customHeight="1">
      <c r="A797" s="331">
        <v>796</v>
      </c>
      <c r="B797" s="28" t="s">
        <v>41</v>
      </c>
      <c r="C797" s="28" t="s">
        <v>2895</v>
      </c>
      <c r="D797" s="444" t="s">
        <v>2832</v>
      </c>
      <c r="E797" s="361" t="str">
        <f t="shared" ca="1" si="12"/>
        <v>LOSS</v>
      </c>
      <c r="F797" s="29" t="s">
        <v>2896</v>
      </c>
      <c r="G797" s="28" t="s">
        <v>2896</v>
      </c>
      <c r="H797" s="29" t="s">
        <v>2748</v>
      </c>
      <c r="I797" s="29" t="s">
        <v>242</v>
      </c>
      <c r="J797" s="28" t="s">
        <v>1340</v>
      </c>
      <c r="K797" s="28"/>
      <c r="L797" s="27"/>
      <c r="M797" s="27"/>
      <c r="N797" s="29"/>
      <c r="O797" s="56"/>
      <c r="P797" s="31">
        <v>48000000</v>
      </c>
      <c r="Q797" s="31"/>
      <c r="R797" s="27"/>
      <c r="S797" s="32">
        <v>25000000</v>
      </c>
      <c r="T797" s="33"/>
      <c r="U797" s="334">
        <v>44814</v>
      </c>
      <c r="V797" s="334">
        <v>45178</v>
      </c>
      <c r="W797" s="27" t="s">
        <v>250</v>
      </c>
      <c r="X797" s="27"/>
      <c r="Y797" s="34">
        <f t="shared" ca="1" si="13"/>
        <v>46290</v>
      </c>
      <c r="Z797" s="35">
        <f t="shared" ca="1" si="14"/>
        <v>-1112</v>
      </c>
      <c r="AA797" s="27">
        <f t="shared" si="15"/>
        <v>9</v>
      </c>
      <c r="AB797" s="27">
        <f t="shared" si="16"/>
        <v>2023</v>
      </c>
      <c r="AC797" s="28" t="s">
        <v>2897</v>
      </c>
      <c r="AD797" s="28">
        <v>20065</v>
      </c>
      <c r="AE797" s="27">
        <v>4500019200</v>
      </c>
      <c r="AF797" s="27" t="s">
        <v>339</v>
      </c>
      <c r="AG797" s="29" t="s">
        <v>1923</v>
      </c>
      <c r="AH797" s="28" t="s">
        <v>2836</v>
      </c>
      <c r="AI797" s="27"/>
      <c r="AJ797" s="27"/>
      <c r="AK797" s="27"/>
      <c r="AL797" s="27"/>
      <c r="AM797" s="27" t="s">
        <v>2898</v>
      </c>
      <c r="AN797" s="27"/>
      <c r="AO797" s="27"/>
      <c r="AP797" s="27"/>
      <c r="AQ797" s="27"/>
      <c r="AR797" s="504"/>
      <c r="AS797" s="332"/>
      <c r="AT797" s="160"/>
    </row>
    <row r="798" spans="1:46" ht="21.75" hidden="1" customHeight="1">
      <c r="A798" s="331">
        <v>797</v>
      </c>
      <c r="B798" s="28" t="s">
        <v>41</v>
      </c>
      <c r="C798" s="28" t="s">
        <v>2899</v>
      </c>
      <c r="D798" s="443" t="s">
        <v>2832</v>
      </c>
      <c r="E798" s="361" t="str">
        <f t="shared" ca="1" si="12"/>
        <v>LOSS</v>
      </c>
      <c r="F798" s="29"/>
      <c r="G798" s="28" t="s">
        <v>2900</v>
      </c>
      <c r="H798" s="29" t="s">
        <v>2748</v>
      </c>
      <c r="I798" s="29" t="s">
        <v>242</v>
      </c>
      <c r="J798" s="28" t="s">
        <v>2675</v>
      </c>
      <c r="K798" s="28"/>
      <c r="L798" s="27"/>
      <c r="M798" s="27"/>
      <c r="N798" s="29"/>
      <c r="O798" s="56"/>
      <c r="P798" s="31">
        <f>12*3100000</f>
        <v>37200000</v>
      </c>
      <c r="Q798" s="31"/>
      <c r="R798" s="27"/>
      <c r="S798" s="32">
        <v>32500000</v>
      </c>
      <c r="T798" s="33"/>
      <c r="U798" s="334">
        <v>44916</v>
      </c>
      <c r="V798" s="334">
        <v>45280</v>
      </c>
      <c r="W798" s="27" t="s">
        <v>245</v>
      </c>
      <c r="X798" s="27"/>
      <c r="Y798" s="34">
        <f t="shared" ca="1" si="13"/>
        <v>46290</v>
      </c>
      <c r="Z798" s="35">
        <f t="shared" ca="1" si="14"/>
        <v>-1010</v>
      </c>
      <c r="AA798" s="27">
        <f t="shared" si="15"/>
        <v>12</v>
      </c>
      <c r="AB798" s="27">
        <f t="shared" si="16"/>
        <v>2023</v>
      </c>
      <c r="AC798" s="28" t="s">
        <v>479</v>
      </c>
      <c r="AD798" s="28" t="s">
        <v>2676</v>
      </c>
      <c r="AE798" s="27">
        <v>4500019384</v>
      </c>
      <c r="AF798" s="27" t="s">
        <v>339</v>
      </c>
      <c r="AG798" s="29" t="s">
        <v>1923</v>
      </c>
      <c r="AH798" s="28" t="s">
        <v>2836</v>
      </c>
      <c r="AI798" s="27"/>
      <c r="AJ798" s="27"/>
      <c r="AK798" s="27"/>
      <c r="AL798" s="27"/>
      <c r="AM798" s="27"/>
      <c r="AN798" s="27" t="s">
        <v>2901</v>
      </c>
      <c r="AO798" s="27"/>
      <c r="AP798" s="27"/>
      <c r="AQ798" s="27"/>
      <c r="AR798" s="504"/>
      <c r="AS798" s="332"/>
      <c r="AT798" s="160"/>
    </row>
    <row r="799" spans="1:46" ht="21.75" hidden="1" customHeight="1">
      <c r="A799" s="331">
        <v>798</v>
      </c>
      <c r="B799" s="28" t="s">
        <v>41</v>
      </c>
      <c r="C799" s="28" t="s">
        <v>2902</v>
      </c>
      <c r="D799" s="444" t="s">
        <v>2832</v>
      </c>
      <c r="E799" s="361" t="str">
        <f t="shared" ca="1" si="12"/>
        <v>LOSS</v>
      </c>
      <c r="F799" s="29"/>
      <c r="G799" s="28" t="s">
        <v>2903</v>
      </c>
      <c r="H799" s="29" t="s">
        <v>2748</v>
      </c>
      <c r="I799" s="29" t="s">
        <v>242</v>
      </c>
      <c r="J799" s="40" t="s">
        <v>43</v>
      </c>
      <c r="K799" s="28"/>
      <c r="L799" s="27"/>
      <c r="M799" s="27"/>
      <c r="N799" s="29"/>
      <c r="O799" s="56"/>
      <c r="P799" s="31">
        <f>12*17500000</f>
        <v>210000000</v>
      </c>
      <c r="Q799" s="31"/>
      <c r="R799" s="27"/>
      <c r="S799" s="32">
        <v>24000000</v>
      </c>
      <c r="T799" s="33"/>
      <c r="U799" s="334">
        <v>45181</v>
      </c>
      <c r="V799" s="334">
        <v>45546</v>
      </c>
      <c r="W799" s="27" t="s">
        <v>250</v>
      </c>
      <c r="X799" s="27"/>
      <c r="Y799" s="34">
        <f t="shared" ca="1" si="13"/>
        <v>46290</v>
      </c>
      <c r="Z799" s="35">
        <f t="shared" ca="1" si="14"/>
        <v>-744</v>
      </c>
      <c r="AA799" s="27">
        <f t="shared" si="15"/>
        <v>9</v>
      </c>
      <c r="AB799" s="27">
        <f t="shared" si="16"/>
        <v>2024</v>
      </c>
      <c r="AC799" s="28" t="s">
        <v>479</v>
      </c>
      <c r="AD799" s="28" t="s">
        <v>2904</v>
      </c>
      <c r="AE799" s="27">
        <v>4500021071</v>
      </c>
      <c r="AF799" s="27" t="s">
        <v>339</v>
      </c>
      <c r="AG799" s="29" t="s">
        <v>1923</v>
      </c>
      <c r="AH799" s="28" t="s">
        <v>2836</v>
      </c>
      <c r="AI799" s="27"/>
      <c r="AJ799" s="27"/>
      <c r="AK799" s="27"/>
      <c r="AL799" s="27"/>
      <c r="AM799" s="27"/>
      <c r="AN799" s="27"/>
      <c r="AO799" s="27" t="s">
        <v>2905</v>
      </c>
      <c r="AP799" s="27"/>
      <c r="AQ799" s="27"/>
      <c r="AR799" s="504"/>
      <c r="AS799" s="332"/>
      <c r="AT799" s="160"/>
    </row>
    <row r="800" spans="1:46" ht="21.75" hidden="1" customHeight="1">
      <c r="A800" s="331">
        <v>799</v>
      </c>
      <c r="B800" s="28" t="s">
        <v>2906</v>
      </c>
      <c r="C800" s="40" t="s">
        <v>2907</v>
      </c>
      <c r="D800" s="443" t="s">
        <v>2908</v>
      </c>
      <c r="E800" s="361" t="str">
        <f t="shared" ca="1" si="12"/>
        <v>LOSS</v>
      </c>
      <c r="F800" s="29" t="s">
        <v>2909</v>
      </c>
      <c r="G800" s="28" t="s">
        <v>2910</v>
      </c>
      <c r="H800" s="29" t="s">
        <v>2748</v>
      </c>
      <c r="I800" s="160" t="s">
        <v>346</v>
      </c>
      <c r="J800" s="28" t="s">
        <v>2911</v>
      </c>
      <c r="K800" s="28"/>
      <c r="L800" s="27"/>
      <c r="M800" s="27"/>
      <c r="N800" s="29"/>
      <c r="O800" s="56"/>
      <c r="P800" s="31">
        <v>10442000</v>
      </c>
      <c r="Q800" s="31"/>
      <c r="R800" s="27"/>
      <c r="S800" s="32">
        <v>50000000</v>
      </c>
      <c r="T800" s="33"/>
      <c r="U800" s="334">
        <v>44110</v>
      </c>
      <c r="V800" s="334">
        <v>44474</v>
      </c>
      <c r="W800" s="27" t="s">
        <v>245</v>
      </c>
      <c r="X800" s="27"/>
      <c r="Y800" s="34">
        <f t="shared" ca="1" si="13"/>
        <v>46290</v>
      </c>
      <c r="Z800" s="35">
        <f t="shared" ca="1" si="14"/>
        <v>-1816</v>
      </c>
      <c r="AA800" s="27">
        <f t="shared" si="15"/>
        <v>10</v>
      </c>
      <c r="AB800" s="27">
        <f t="shared" si="16"/>
        <v>2021</v>
      </c>
      <c r="AC800" s="28" t="s">
        <v>2912</v>
      </c>
      <c r="AD800" s="28" t="s">
        <v>2913</v>
      </c>
      <c r="AE800" s="27">
        <v>4500011849</v>
      </c>
      <c r="AF800" s="27" t="s">
        <v>339</v>
      </c>
      <c r="AG800" s="29" t="s">
        <v>2914</v>
      </c>
      <c r="AH800" s="28" t="s">
        <v>2915</v>
      </c>
      <c r="AI800" s="27" t="s">
        <v>2916</v>
      </c>
      <c r="AJ800" s="27"/>
      <c r="AK800" s="27"/>
      <c r="AL800" s="27"/>
      <c r="AM800" s="27"/>
      <c r="AN800" s="27"/>
      <c r="AO800" s="27"/>
      <c r="AP800" s="27"/>
      <c r="AQ800" s="27"/>
      <c r="AR800" s="504"/>
      <c r="AS800" s="332" t="s">
        <v>2917</v>
      </c>
      <c r="AT800" s="160"/>
    </row>
    <row r="801" spans="1:46" ht="21.75" hidden="1" customHeight="1">
      <c r="A801" s="331">
        <v>800</v>
      </c>
      <c r="B801" s="28" t="s">
        <v>44</v>
      </c>
      <c r="C801" s="28" t="s">
        <v>2918</v>
      </c>
      <c r="D801" s="437" t="s">
        <v>442</v>
      </c>
      <c r="E801" s="361" t="str">
        <f t="shared" ca="1" si="12"/>
        <v>LOSS</v>
      </c>
      <c r="F801" s="29" t="s">
        <v>2919</v>
      </c>
      <c r="G801" s="28" t="s">
        <v>2920</v>
      </c>
      <c r="H801" s="29" t="s">
        <v>2748</v>
      </c>
      <c r="I801" s="160" t="s">
        <v>346</v>
      </c>
      <c r="J801" s="28" t="s">
        <v>2921</v>
      </c>
      <c r="K801" s="28"/>
      <c r="L801" s="27"/>
      <c r="M801" s="27"/>
      <c r="N801" s="29"/>
      <c r="O801" s="56"/>
      <c r="P801" s="31">
        <f>10000000*12</f>
        <v>120000000</v>
      </c>
      <c r="Q801" s="31"/>
      <c r="R801" s="27"/>
      <c r="S801" s="32">
        <v>12000000</v>
      </c>
      <c r="T801" s="33"/>
      <c r="U801" s="334">
        <v>45292</v>
      </c>
      <c r="V801" s="334">
        <v>45657</v>
      </c>
      <c r="W801" s="27" t="s">
        <v>245</v>
      </c>
      <c r="X801" s="27"/>
      <c r="Y801" s="34">
        <f t="shared" ca="1" si="13"/>
        <v>46290</v>
      </c>
      <c r="Z801" s="35">
        <f t="shared" ca="1" si="14"/>
        <v>-633</v>
      </c>
      <c r="AA801" s="27">
        <f t="shared" si="15"/>
        <v>12</v>
      </c>
      <c r="AB801" s="27">
        <f t="shared" si="16"/>
        <v>2024</v>
      </c>
      <c r="AC801" s="28" t="s">
        <v>2922</v>
      </c>
      <c r="AD801" s="28">
        <v>2445</v>
      </c>
      <c r="AE801" s="27">
        <v>4500022104</v>
      </c>
      <c r="AF801" s="27" t="s">
        <v>339</v>
      </c>
      <c r="AG801" s="29" t="s">
        <v>449</v>
      </c>
      <c r="AH801" s="28" t="s">
        <v>2923</v>
      </c>
      <c r="AI801" s="27"/>
      <c r="AJ801" s="27"/>
      <c r="AK801" s="27"/>
      <c r="AL801" s="27"/>
      <c r="AM801" s="27"/>
      <c r="AN801" s="27"/>
      <c r="AO801" s="27" t="s">
        <v>2924</v>
      </c>
      <c r="AP801" s="27" t="s">
        <v>2925</v>
      </c>
      <c r="AQ801" s="27"/>
      <c r="AR801" s="504"/>
      <c r="AS801" s="333" t="s">
        <v>115</v>
      </c>
      <c r="AT801" s="160"/>
    </row>
    <row r="802" spans="1:46" ht="21.75" hidden="1" customHeight="1">
      <c r="A802" s="331">
        <v>801</v>
      </c>
      <c r="B802" s="28" t="s">
        <v>44</v>
      </c>
      <c r="C802" s="28" t="s">
        <v>2926</v>
      </c>
      <c r="D802" s="438" t="s">
        <v>442</v>
      </c>
      <c r="E802" s="361" t="str">
        <f t="shared" ca="1" si="12"/>
        <v>LOSS</v>
      </c>
      <c r="F802" s="29" t="s">
        <v>2927</v>
      </c>
      <c r="G802" s="28" t="s">
        <v>2928</v>
      </c>
      <c r="H802" s="29" t="s">
        <v>2748</v>
      </c>
      <c r="I802" s="160" t="s">
        <v>346</v>
      </c>
      <c r="J802" s="28" t="s">
        <v>47</v>
      </c>
      <c r="K802" s="28"/>
      <c r="L802" s="27"/>
      <c r="M802" s="27"/>
      <c r="N802" s="29"/>
      <c r="O802" s="56"/>
      <c r="P802" s="31">
        <v>576000000</v>
      </c>
      <c r="Q802" s="31"/>
      <c r="R802" s="27"/>
      <c r="S802" s="32">
        <v>12000000</v>
      </c>
      <c r="T802" s="33"/>
      <c r="U802" s="334">
        <v>45303</v>
      </c>
      <c r="V802" s="334">
        <v>45668</v>
      </c>
      <c r="W802" s="27" t="s">
        <v>250</v>
      </c>
      <c r="X802" s="27"/>
      <c r="Y802" s="34">
        <f t="shared" ca="1" si="13"/>
        <v>46290</v>
      </c>
      <c r="Z802" s="35">
        <f t="shared" ca="1" si="14"/>
        <v>-622</v>
      </c>
      <c r="AA802" s="27">
        <f t="shared" si="15"/>
        <v>1</v>
      </c>
      <c r="AB802" s="27">
        <f t="shared" si="16"/>
        <v>2025</v>
      </c>
      <c r="AC802" s="28" t="s">
        <v>2929</v>
      </c>
      <c r="AD802" s="28">
        <v>2372</v>
      </c>
      <c r="AE802" s="27">
        <v>4500022067</v>
      </c>
      <c r="AF802" s="27" t="s">
        <v>339</v>
      </c>
      <c r="AG802" s="29" t="s">
        <v>449</v>
      </c>
      <c r="AH802" s="28" t="s">
        <v>2930</v>
      </c>
      <c r="AI802" s="27"/>
      <c r="AJ802" s="27"/>
      <c r="AK802" s="27"/>
      <c r="AL802" s="27" t="s">
        <v>2931</v>
      </c>
      <c r="AM802" s="27" t="s">
        <v>2932</v>
      </c>
      <c r="AN802" s="27"/>
      <c r="AO802" s="27" t="s">
        <v>2933</v>
      </c>
      <c r="AP802" s="27" t="s">
        <v>2934</v>
      </c>
      <c r="AQ802" s="27"/>
      <c r="AR802" s="504"/>
      <c r="AS802" s="333" t="s">
        <v>115</v>
      </c>
      <c r="AT802" s="160"/>
    </row>
    <row r="803" spans="1:46" ht="21.75" hidden="1" customHeight="1">
      <c r="A803" s="331">
        <v>802</v>
      </c>
      <c r="B803" s="28" t="s">
        <v>44</v>
      </c>
      <c r="C803" s="28" t="s">
        <v>2935</v>
      </c>
      <c r="D803" s="437" t="s">
        <v>442</v>
      </c>
      <c r="E803" s="361" t="str">
        <f t="shared" ca="1" si="12"/>
        <v>LOSS</v>
      </c>
      <c r="F803" s="29" t="s">
        <v>2927</v>
      </c>
      <c r="G803" s="28" t="s">
        <v>2936</v>
      </c>
      <c r="H803" s="29" t="s">
        <v>2748</v>
      </c>
      <c r="I803" s="160" t="s">
        <v>346</v>
      </c>
      <c r="J803" s="28" t="s">
        <v>2937</v>
      </c>
      <c r="K803" s="28"/>
      <c r="L803" s="27"/>
      <c r="M803" s="27"/>
      <c r="N803" s="29"/>
      <c r="O803" s="56"/>
      <c r="P803" s="31">
        <v>15292944000</v>
      </c>
      <c r="Q803" s="31"/>
      <c r="R803" s="27"/>
      <c r="S803" s="32">
        <v>120000000</v>
      </c>
      <c r="T803" s="33"/>
      <c r="U803" s="334">
        <v>45241</v>
      </c>
      <c r="V803" s="334">
        <v>45606</v>
      </c>
      <c r="W803" s="27" t="s">
        <v>250</v>
      </c>
      <c r="X803" s="27"/>
      <c r="Y803" s="34">
        <f t="shared" ca="1" si="13"/>
        <v>46290</v>
      </c>
      <c r="Z803" s="35">
        <f t="shared" ca="1" si="14"/>
        <v>-684</v>
      </c>
      <c r="AA803" s="27">
        <f t="shared" si="15"/>
        <v>11</v>
      </c>
      <c r="AB803" s="27">
        <f t="shared" si="16"/>
        <v>2024</v>
      </c>
      <c r="AC803" s="28" t="s">
        <v>2938</v>
      </c>
      <c r="AD803" s="28" t="s">
        <v>2939</v>
      </c>
      <c r="AE803" s="27">
        <v>4500021498</v>
      </c>
      <c r="AF803" s="27" t="s">
        <v>339</v>
      </c>
      <c r="AG803" s="29" t="s">
        <v>449</v>
      </c>
      <c r="AH803" s="28" t="s">
        <v>2940</v>
      </c>
      <c r="AI803" s="27">
        <v>120</v>
      </c>
      <c r="AJ803" s="27" t="s">
        <v>2941</v>
      </c>
      <c r="AK803" s="27" t="s">
        <v>2942</v>
      </c>
      <c r="AL803" s="27" t="s">
        <v>2943</v>
      </c>
      <c r="AM803" s="27"/>
      <c r="AN803" s="27" t="s">
        <v>2944</v>
      </c>
      <c r="AO803" s="27" t="s">
        <v>2945</v>
      </c>
      <c r="AP803" s="27"/>
      <c r="AQ803" s="27"/>
      <c r="AR803" s="504"/>
      <c r="AS803" s="333" t="s">
        <v>115</v>
      </c>
      <c r="AT803" s="160"/>
    </row>
    <row r="804" spans="1:46" ht="21.75" hidden="1" customHeight="1">
      <c r="A804" s="331">
        <v>803</v>
      </c>
      <c r="B804" s="28" t="s">
        <v>44</v>
      </c>
      <c r="C804" s="28" t="s">
        <v>2946</v>
      </c>
      <c r="D804" s="438" t="s">
        <v>442</v>
      </c>
      <c r="E804" s="361" t="str">
        <f t="shared" ca="1" si="12"/>
        <v>LOSS</v>
      </c>
      <c r="F804" s="29" t="s">
        <v>2927</v>
      </c>
      <c r="G804" s="28" t="s">
        <v>2936</v>
      </c>
      <c r="H804" s="29" t="s">
        <v>2748</v>
      </c>
      <c r="I804" s="160" t="s">
        <v>346</v>
      </c>
      <c r="J804" s="28" t="s">
        <v>2947</v>
      </c>
      <c r="K804" s="28"/>
      <c r="L804" s="27"/>
      <c r="M804" s="27"/>
      <c r="N804" s="29"/>
      <c r="O804" s="56"/>
      <c r="P804" s="31">
        <v>27142012968</v>
      </c>
      <c r="Q804" s="31"/>
      <c r="R804" s="27"/>
      <c r="S804" s="32">
        <v>12000000</v>
      </c>
      <c r="T804" s="33"/>
      <c r="U804" s="334">
        <v>45228</v>
      </c>
      <c r="V804" s="334">
        <v>45593</v>
      </c>
      <c r="W804" s="27" t="s">
        <v>250</v>
      </c>
      <c r="X804" s="27"/>
      <c r="Y804" s="34">
        <f t="shared" ca="1" si="13"/>
        <v>46290</v>
      </c>
      <c r="Z804" s="35">
        <f t="shared" ca="1" si="14"/>
        <v>-697</v>
      </c>
      <c r="AA804" s="27">
        <f t="shared" si="15"/>
        <v>10</v>
      </c>
      <c r="AB804" s="27">
        <f t="shared" si="16"/>
        <v>2024</v>
      </c>
      <c r="AC804" s="28" t="s">
        <v>2948</v>
      </c>
      <c r="AD804" s="28" t="s">
        <v>2949</v>
      </c>
      <c r="AE804" s="27">
        <v>4500021491</v>
      </c>
      <c r="AF804" s="27" t="s">
        <v>339</v>
      </c>
      <c r="AG804" s="29" t="s">
        <v>449</v>
      </c>
      <c r="AH804" s="28" t="s">
        <v>2940</v>
      </c>
      <c r="AI804" s="27">
        <v>147</v>
      </c>
      <c r="AJ804" s="27" t="s">
        <v>2950</v>
      </c>
      <c r="AK804" s="27" t="s">
        <v>2951</v>
      </c>
      <c r="AL804" s="27" t="s">
        <v>2952</v>
      </c>
      <c r="AM804" s="27" t="s">
        <v>2953</v>
      </c>
      <c r="AN804" s="27" t="s">
        <v>2954</v>
      </c>
      <c r="AO804" s="27" t="s">
        <v>2955</v>
      </c>
      <c r="AP804" s="27"/>
      <c r="AQ804" s="27"/>
      <c r="AR804" s="504"/>
      <c r="AS804" s="333" t="s">
        <v>115</v>
      </c>
      <c r="AT804" s="160"/>
    </row>
    <row r="805" spans="1:46" ht="21.75" hidden="1" customHeight="1">
      <c r="A805" s="331">
        <v>804</v>
      </c>
      <c r="B805" s="28" t="s">
        <v>44</v>
      </c>
      <c r="C805" s="28" t="s">
        <v>2956</v>
      </c>
      <c r="D805" s="437" t="s">
        <v>442</v>
      </c>
      <c r="E805" s="361" t="str">
        <f t="shared" ca="1" si="12"/>
        <v>LOSS</v>
      </c>
      <c r="F805" s="29" t="s">
        <v>2927</v>
      </c>
      <c r="G805" s="28" t="s">
        <v>2936</v>
      </c>
      <c r="H805" s="29" t="s">
        <v>2748</v>
      </c>
      <c r="I805" s="160" t="s">
        <v>346</v>
      </c>
      <c r="J805" s="28" t="s">
        <v>45</v>
      </c>
      <c r="K805" s="28"/>
      <c r="L805" s="27"/>
      <c r="M805" s="27"/>
      <c r="N805" s="29"/>
      <c r="O805" s="56"/>
      <c r="P805" s="31">
        <v>16270344000</v>
      </c>
      <c r="Q805" s="31"/>
      <c r="R805" s="27"/>
      <c r="S805" s="32">
        <v>24000000</v>
      </c>
      <c r="T805" s="33"/>
      <c r="U805" s="334">
        <v>45318</v>
      </c>
      <c r="V805" s="334">
        <v>45683</v>
      </c>
      <c r="W805" s="27" t="s">
        <v>250</v>
      </c>
      <c r="X805" s="27"/>
      <c r="Y805" s="34">
        <f t="shared" ca="1" si="13"/>
        <v>46290</v>
      </c>
      <c r="Z805" s="35">
        <f t="shared" ca="1" si="14"/>
        <v>-607</v>
      </c>
      <c r="AA805" s="27">
        <f t="shared" si="15"/>
        <v>1</v>
      </c>
      <c r="AB805" s="27">
        <f t="shared" si="16"/>
        <v>2025</v>
      </c>
      <c r="AC805" s="28" t="s">
        <v>2957</v>
      </c>
      <c r="AD805" s="28">
        <v>2443</v>
      </c>
      <c r="AE805" s="27">
        <v>4500022116</v>
      </c>
      <c r="AF805" s="27" t="s">
        <v>339</v>
      </c>
      <c r="AG805" s="29" t="s">
        <v>449</v>
      </c>
      <c r="AH805" s="28" t="s">
        <v>2958</v>
      </c>
      <c r="AI805" s="27" t="s">
        <v>115</v>
      </c>
      <c r="AJ805" s="27">
        <v>172</v>
      </c>
      <c r="AK805" s="27" t="s">
        <v>2959</v>
      </c>
      <c r="AL805" s="27" t="s">
        <v>2960</v>
      </c>
      <c r="AM805" s="27"/>
      <c r="AN805" s="27"/>
      <c r="AO805" s="27" t="s">
        <v>2961</v>
      </c>
      <c r="AP805" s="27" t="s">
        <v>2925</v>
      </c>
      <c r="AQ805" s="27"/>
      <c r="AR805" s="504"/>
      <c r="AS805" s="333" t="s">
        <v>115</v>
      </c>
      <c r="AT805" s="160"/>
    </row>
    <row r="806" spans="1:46" ht="21.75" hidden="1" customHeight="1">
      <c r="A806" s="331">
        <v>805</v>
      </c>
      <c r="B806" s="28" t="s">
        <v>44</v>
      </c>
      <c r="C806" s="28" t="s">
        <v>2962</v>
      </c>
      <c r="D806" s="438" t="s">
        <v>442</v>
      </c>
      <c r="E806" s="361" t="str">
        <f t="shared" ca="1" si="12"/>
        <v>LOSS</v>
      </c>
      <c r="F806" s="29"/>
      <c r="G806" s="28" t="s">
        <v>2936</v>
      </c>
      <c r="H806" s="29" t="s">
        <v>2748</v>
      </c>
      <c r="I806" s="160" t="s">
        <v>346</v>
      </c>
      <c r="J806" s="28" t="s">
        <v>46</v>
      </c>
      <c r="K806" s="28"/>
      <c r="L806" s="27"/>
      <c r="M806" s="27"/>
      <c r="N806" s="29"/>
      <c r="O806" s="56"/>
      <c r="P806" s="31">
        <v>0</v>
      </c>
      <c r="Q806" s="31"/>
      <c r="R806" s="27"/>
      <c r="S806" s="32">
        <v>24000000</v>
      </c>
      <c r="T806" s="33"/>
      <c r="U806" s="334">
        <v>45427</v>
      </c>
      <c r="V806" s="334">
        <v>45791</v>
      </c>
      <c r="W806" s="27" t="s">
        <v>250</v>
      </c>
      <c r="X806" s="27"/>
      <c r="Y806" s="34">
        <f t="shared" ca="1" si="13"/>
        <v>46290</v>
      </c>
      <c r="Z806" s="35">
        <f t="shared" ca="1" si="14"/>
        <v>-499</v>
      </c>
      <c r="AA806" s="27">
        <f t="shared" si="15"/>
        <v>5</v>
      </c>
      <c r="AB806" s="27">
        <f t="shared" si="16"/>
        <v>2025</v>
      </c>
      <c r="AC806" s="28" t="s">
        <v>2963</v>
      </c>
      <c r="AD806" s="28" t="s">
        <v>2964</v>
      </c>
      <c r="AE806" s="27">
        <v>4500022601</v>
      </c>
      <c r="AF806" s="27" t="s">
        <v>339</v>
      </c>
      <c r="AG806" s="29" t="s">
        <v>449</v>
      </c>
      <c r="AH806" s="28" t="s">
        <v>2965</v>
      </c>
      <c r="AI806" s="27"/>
      <c r="AJ806" s="27"/>
      <c r="AK806" s="27" t="s">
        <v>2966</v>
      </c>
      <c r="AL806" s="27"/>
      <c r="AM806" s="27" t="s">
        <v>2967</v>
      </c>
      <c r="AN806" s="27" t="s">
        <v>2968</v>
      </c>
      <c r="AO806" s="27" t="s">
        <v>2969</v>
      </c>
      <c r="AP806" s="27"/>
      <c r="AQ806" s="27"/>
      <c r="AR806" s="504"/>
      <c r="AS806" s="333" t="s">
        <v>115</v>
      </c>
      <c r="AT806" s="160"/>
    </row>
    <row r="807" spans="1:46" ht="21.75" hidden="1" customHeight="1">
      <c r="A807" s="331">
        <v>806</v>
      </c>
      <c r="B807" s="28" t="s">
        <v>44</v>
      </c>
      <c r="C807" s="28" t="s">
        <v>2970</v>
      </c>
      <c r="D807" s="437" t="s">
        <v>442</v>
      </c>
      <c r="E807" s="361" t="str">
        <f t="shared" ca="1" si="12"/>
        <v>LOSS</v>
      </c>
      <c r="F807" s="29"/>
      <c r="G807" s="28" t="s">
        <v>2971</v>
      </c>
      <c r="H807" s="29" t="s">
        <v>2748</v>
      </c>
      <c r="I807" s="160" t="s">
        <v>346</v>
      </c>
      <c r="J807" s="28" t="s">
        <v>2972</v>
      </c>
      <c r="K807" s="28"/>
      <c r="L807" s="27"/>
      <c r="M807" s="27"/>
      <c r="N807" s="29"/>
      <c r="O807" s="56"/>
      <c r="P807" s="31">
        <f>12*50000000</f>
        <v>600000000</v>
      </c>
      <c r="Q807" s="31"/>
      <c r="R807" s="27"/>
      <c r="S807" s="32">
        <v>24000000</v>
      </c>
      <c r="T807" s="33"/>
      <c r="U807" s="334">
        <v>45159</v>
      </c>
      <c r="V807" s="334">
        <v>45524</v>
      </c>
      <c r="W807" s="27" t="s">
        <v>245</v>
      </c>
      <c r="X807" s="27"/>
      <c r="Y807" s="34">
        <f t="shared" ca="1" si="13"/>
        <v>46290</v>
      </c>
      <c r="Z807" s="35">
        <f t="shared" ca="1" si="14"/>
        <v>-766</v>
      </c>
      <c r="AA807" s="27">
        <f t="shared" si="15"/>
        <v>8</v>
      </c>
      <c r="AB807" s="27">
        <f t="shared" si="16"/>
        <v>2024</v>
      </c>
      <c r="AC807" s="28" t="s">
        <v>479</v>
      </c>
      <c r="AD807" s="28" t="s">
        <v>2973</v>
      </c>
      <c r="AE807" s="27">
        <v>4500021055</v>
      </c>
      <c r="AF807" s="27" t="s">
        <v>339</v>
      </c>
      <c r="AG807" s="29" t="s">
        <v>449</v>
      </c>
      <c r="AH807" s="28" t="s">
        <v>2965</v>
      </c>
      <c r="AI807" s="27"/>
      <c r="AJ807" s="27"/>
      <c r="AK807" s="27"/>
      <c r="AL807" s="27"/>
      <c r="AM807" s="27"/>
      <c r="AN807" s="27"/>
      <c r="AO807" s="27" t="s">
        <v>2974</v>
      </c>
      <c r="AP807" s="27"/>
      <c r="AQ807" s="27"/>
      <c r="AR807" s="504"/>
      <c r="AS807" s="333" t="s">
        <v>115</v>
      </c>
      <c r="AT807" s="160"/>
    </row>
    <row r="808" spans="1:46" ht="21.75" hidden="1" customHeight="1">
      <c r="A808" s="331">
        <v>807</v>
      </c>
      <c r="B808" s="28" t="s">
        <v>49</v>
      </c>
      <c r="C808" s="28" t="s">
        <v>2975</v>
      </c>
      <c r="D808" s="438" t="s">
        <v>2976</v>
      </c>
      <c r="E808" s="361" t="str">
        <f t="shared" ca="1" si="12"/>
        <v>LOSS</v>
      </c>
      <c r="F808" s="29" t="s">
        <v>2977</v>
      </c>
      <c r="G808" s="28" t="s">
        <v>2978</v>
      </c>
      <c r="H808" s="29" t="s">
        <v>2748</v>
      </c>
      <c r="I808" s="160" t="s">
        <v>346</v>
      </c>
      <c r="J808" s="28" t="s">
        <v>50</v>
      </c>
      <c r="K808" s="28"/>
      <c r="L808" s="27"/>
      <c r="M808" s="27"/>
      <c r="N808" s="29"/>
      <c r="O808" s="56"/>
      <c r="P808" s="31">
        <v>300000000</v>
      </c>
      <c r="Q808" s="31"/>
      <c r="R808" s="27"/>
      <c r="S808" s="32">
        <v>25000000</v>
      </c>
      <c r="T808" s="33"/>
      <c r="U808" s="334">
        <v>45352</v>
      </c>
      <c r="V808" s="334">
        <v>45716</v>
      </c>
      <c r="W808" s="27" t="s">
        <v>250</v>
      </c>
      <c r="X808" s="27"/>
      <c r="Y808" s="34">
        <f t="shared" ca="1" si="13"/>
        <v>46290</v>
      </c>
      <c r="Z808" s="35">
        <f t="shared" ca="1" si="14"/>
        <v>-574</v>
      </c>
      <c r="AA808" s="27">
        <f t="shared" si="15"/>
        <v>2</v>
      </c>
      <c r="AB808" s="27">
        <f t="shared" si="16"/>
        <v>2025</v>
      </c>
      <c r="AC808" s="28" t="s">
        <v>2979</v>
      </c>
      <c r="AD808" s="28">
        <v>2455</v>
      </c>
      <c r="AE808" s="27">
        <v>4500022264</v>
      </c>
      <c r="AF808" s="27" t="s">
        <v>339</v>
      </c>
      <c r="AG808" s="29" t="s">
        <v>2980</v>
      </c>
      <c r="AH808" s="28"/>
      <c r="AI808" s="27"/>
      <c r="AJ808" s="27"/>
      <c r="AK808" s="27" t="s">
        <v>2981</v>
      </c>
      <c r="AL808" s="27" t="s">
        <v>2982</v>
      </c>
      <c r="AM808" s="27" t="s">
        <v>2983</v>
      </c>
      <c r="AN808" s="27" t="s">
        <v>2984</v>
      </c>
      <c r="AO808" s="27" t="s">
        <v>2985</v>
      </c>
      <c r="AP808" s="27" t="s">
        <v>2986</v>
      </c>
      <c r="AQ808" s="27"/>
      <c r="AR808" s="504"/>
      <c r="AS808" s="332"/>
      <c r="AT808" s="160"/>
    </row>
    <row r="809" spans="1:46" ht="21.75" hidden="1" customHeight="1">
      <c r="A809" s="331">
        <v>808</v>
      </c>
      <c r="B809" s="28" t="s">
        <v>154</v>
      </c>
      <c r="C809" s="28" t="s">
        <v>2987</v>
      </c>
      <c r="D809" s="437" t="s">
        <v>2988</v>
      </c>
      <c r="E809" s="361" t="str">
        <f t="shared" ca="1" si="12"/>
        <v>LOSS</v>
      </c>
      <c r="F809" s="29" t="s">
        <v>2989</v>
      </c>
      <c r="G809" s="28"/>
      <c r="H809" s="29"/>
      <c r="I809" s="29"/>
      <c r="J809" s="28"/>
      <c r="K809" s="29"/>
      <c r="L809" s="27"/>
      <c r="M809" s="27"/>
      <c r="N809" s="29"/>
      <c r="O809" s="56"/>
      <c r="P809" s="31"/>
      <c r="Q809" s="31"/>
      <c r="R809" s="27"/>
      <c r="S809" s="32"/>
      <c r="T809" s="33"/>
      <c r="U809" s="334">
        <v>45350</v>
      </c>
      <c r="V809" s="334">
        <v>45715</v>
      </c>
      <c r="W809" s="27" t="s">
        <v>250</v>
      </c>
      <c r="X809" s="27"/>
      <c r="Y809" s="34">
        <f t="shared" ca="1" si="13"/>
        <v>46290</v>
      </c>
      <c r="Z809" s="35">
        <f t="shared" ca="1" si="14"/>
        <v>-575</v>
      </c>
      <c r="AA809" s="27">
        <f t="shared" si="15"/>
        <v>2</v>
      </c>
      <c r="AB809" s="27">
        <f t="shared" si="16"/>
        <v>2025</v>
      </c>
      <c r="AC809" s="28" t="s">
        <v>479</v>
      </c>
      <c r="AD809" s="28">
        <v>2184</v>
      </c>
      <c r="AE809" s="27">
        <v>4500022060</v>
      </c>
      <c r="AF809" s="27" t="s">
        <v>356</v>
      </c>
      <c r="AG809" s="29"/>
      <c r="AH809" s="29"/>
      <c r="AI809" s="27"/>
      <c r="AJ809" s="27"/>
      <c r="AK809" s="27"/>
      <c r="AL809" s="27"/>
      <c r="AM809" s="27"/>
      <c r="AN809" s="27"/>
      <c r="AO809" s="27"/>
      <c r="AP809" s="27" t="s">
        <v>2990</v>
      </c>
      <c r="AQ809" s="27"/>
      <c r="AR809" s="504"/>
      <c r="AS809" s="332"/>
      <c r="AT809" s="160"/>
    </row>
    <row r="810" spans="1:46" ht="21.75" hidden="1" customHeight="1">
      <c r="A810" s="331">
        <v>809</v>
      </c>
      <c r="B810" s="28" t="s">
        <v>2991</v>
      </c>
      <c r="C810" s="28" t="s">
        <v>2992</v>
      </c>
      <c r="D810" s="438" t="s">
        <v>2993</v>
      </c>
      <c r="E810" s="361" t="str">
        <f t="shared" ca="1" si="12"/>
        <v>LOSS</v>
      </c>
      <c r="F810" s="29" t="s">
        <v>2994</v>
      </c>
      <c r="G810" s="28" t="s">
        <v>2995</v>
      </c>
      <c r="H810" s="29" t="s">
        <v>2748</v>
      </c>
      <c r="I810" s="29" t="s">
        <v>346</v>
      </c>
      <c r="J810" s="28" t="s">
        <v>2996</v>
      </c>
      <c r="K810" s="28"/>
      <c r="L810" s="27"/>
      <c r="M810" s="27"/>
      <c r="N810" s="29"/>
      <c r="O810" s="56"/>
      <c r="P810" s="31">
        <v>42000000</v>
      </c>
      <c r="Q810" s="31"/>
      <c r="R810" s="27"/>
      <c r="S810" s="32">
        <v>27000000</v>
      </c>
      <c r="T810" s="33"/>
      <c r="U810" s="334">
        <v>45292</v>
      </c>
      <c r="V810" s="334">
        <v>45657</v>
      </c>
      <c r="W810" s="27" t="s">
        <v>250</v>
      </c>
      <c r="X810" s="27"/>
      <c r="Y810" s="34">
        <f t="shared" ca="1" si="13"/>
        <v>46290</v>
      </c>
      <c r="Z810" s="35">
        <f t="shared" ca="1" si="14"/>
        <v>-633</v>
      </c>
      <c r="AA810" s="27">
        <f t="shared" si="15"/>
        <v>12</v>
      </c>
      <c r="AB810" s="27">
        <f t="shared" si="16"/>
        <v>2024</v>
      </c>
      <c r="AC810" s="28" t="s">
        <v>2997</v>
      </c>
      <c r="AD810" s="28" t="s">
        <v>2998</v>
      </c>
      <c r="AE810" s="27">
        <v>4500021696</v>
      </c>
      <c r="AF810" s="27" t="s">
        <v>339</v>
      </c>
      <c r="AG810" s="29"/>
      <c r="AH810" s="28"/>
      <c r="AI810" s="27" t="s">
        <v>2999</v>
      </c>
      <c r="AJ810" s="27" t="s">
        <v>3000</v>
      </c>
      <c r="AK810" s="27" t="s">
        <v>3001</v>
      </c>
      <c r="AL810" s="27" t="s">
        <v>3002</v>
      </c>
      <c r="AM810" s="27" t="s">
        <v>3003</v>
      </c>
      <c r="AN810" s="27"/>
      <c r="AO810" s="27" t="s">
        <v>3004</v>
      </c>
      <c r="AP810" s="27"/>
      <c r="AQ810" s="27"/>
      <c r="AR810" s="504"/>
      <c r="AS810" s="332"/>
      <c r="AT810" s="160"/>
    </row>
    <row r="811" spans="1:46" ht="21.75" hidden="1" customHeight="1">
      <c r="A811" s="331">
        <v>810</v>
      </c>
      <c r="B811" s="28" t="s">
        <v>3005</v>
      </c>
      <c r="C811" s="28"/>
      <c r="D811" s="437" t="s">
        <v>3006</v>
      </c>
      <c r="E811" s="361" t="str">
        <f t="shared" ca="1" si="12"/>
        <v>LOSS</v>
      </c>
      <c r="F811" s="29" t="s">
        <v>3007</v>
      </c>
      <c r="G811" s="28" t="s">
        <v>3008</v>
      </c>
      <c r="H811" s="29" t="s">
        <v>2748</v>
      </c>
      <c r="I811" s="29" t="s">
        <v>346</v>
      </c>
      <c r="J811" s="28" t="s">
        <v>3009</v>
      </c>
      <c r="K811" s="28"/>
      <c r="L811" s="27"/>
      <c r="M811" s="27"/>
      <c r="N811" s="29"/>
      <c r="O811" s="56"/>
      <c r="P811" s="31" t="s">
        <v>115</v>
      </c>
      <c r="Q811" s="31"/>
      <c r="R811" s="27"/>
      <c r="S811" s="32">
        <v>3300000</v>
      </c>
      <c r="T811" s="33"/>
      <c r="U811" s="334">
        <v>43478</v>
      </c>
      <c r="V811" s="334">
        <v>45669</v>
      </c>
      <c r="W811" s="27" t="s">
        <v>245</v>
      </c>
      <c r="X811" s="27"/>
      <c r="Y811" s="34">
        <f t="shared" ca="1" si="13"/>
        <v>46290</v>
      </c>
      <c r="Z811" s="35">
        <f t="shared" ca="1" si="14"/>
        <v>-621</v>
      </c>
      <c r="AA811" s="27">
        <f t="shared" si="15"/>
        <v>1</v>
      </c>
      <c r="AB811" s="27">
        <f t="shared" si="16"/>
        <v>2025</v>
      </c>
      <c r="AC811" s="40" t="s">
        <v>3010</v>
      </c>
      <c r="AD811" s="28">
        <v>2746</v>
      </c>
      <c r="AE811" s="27"/>
      <c r="AF811" s="27" t="s">
        <v>339</v>
      </c>
      <c r="AG811" s="29" t="s">
        <v>3011</v>
      </c>
      <c r="AH811" s="28" t="s">
        <v>3012</v>
      </c>
      <c r="AI811" s="27"/>
      <c r="AJ811" s="27"/>
      <c r="AK811" s="27"/>
      <c r="AL811" s="27"/>
      <c r="AM811" s="27"/>
      <c r="AN811" s="27"/>
      <c r="AO811" s="27"/>
      <c r="AP811" s="27"/>
      <c r="AQ811" s="27"/>
      <c r="AR811" s="504"/>
      <c r="AS811" s="332"/>
      <c r="AT811" s="160"/>
    </row>
    <row r="812" spans="1:46" ht="21.75" hidden="1" customHeight="1">
      <c r="A812" s="331">
        <v>811</v>
      </c>
      <c r="B812" s="159" t="s">
        <v>1280</v>
      </c>
      <c r="C812" s="28" t="s">
        <v>3013</v>
      </c>
      <c r="D812" s="434" t="s">
        <v>1282</v>
      </c>
      <c r="E812" s="361" t="str">
        <f t="shared" ca="1" si="12"/>
        <v>LOSS</v>
      </c>
      <c r="F812" s="29" t="s">
        <v>3014</v>
      </c>
      <c r="G812" s="38" t="s">
        <v>115</v>
      </c>
      <c r="H812" s="29" t="s">
        <v>2748</v>
      </c>
      <c r="I812" s="29" t="s">
        <v>242</v>
      </c>
      <c r="J812" s="28" t="s">
        <v>54</v>
      </c>
      <c r="K812" s="28"/>
      <c r="L812" s="27"/>
      <c r="M812" s="27"/>
      <c r="N812" s="29"/>
      <c r="O812" s="56"/>
      <c r="P812" s="31">
        <v>120000000</v>
      </c>
      <c r="Q812" s="31"/>
      <c r="R812" s="27"/>
      <c r="S812" s="32">
        <v>78000000</v>
      </c>
      <c r="T812" s="33"/>
      <c r="U812" s="334">
        <v>45356</v>
      </c>
      <c r="V812" s="334">
        <v>45720</v>
      </c>
      <c r="W812" s="27" t="s">
        <v>250</v>
      </c>
      <c r="X812" s="27"/>
      <c r="Y812" s="34">
        <f t="shared" ca="1" si="13"/>
        <v>46290</v>
      </c>
      <c r="Z812" s="35">
        <f t="shared" ca="1" si="14"/>
        <v>-570</v>
      </c>
      <c r="AA812" s="27">
        <f t="shared" si="15"/>
        <v>3</v>
      </c>
      <c r="AB812" s="27">
        <f t="shared" si="16"/>
        <v>2025</v>
      </c>
      <c r="AC812" s="28" t="s">
        <v>3015</v>
      </c>
      <c r="AD812" s="28">
        <v>2456</v>
      </c>
      <c r="AE812" s="27">
        <v>4500022200</v>
      </c>
      <c r="AF812" s="27" t="s">
        <v>339</v>
      </c>
      <c r="AG812" s="29"/>
      <c r="AH812" s="28" t="s">
        <v>3016</v>
      </c>
      <c r="AI812" s="27"/>
      <c r="AJ812" s="27"/>
      <c r="AK812" s="27"/>
      <c r="AL812" s="27"/>
      <c r="AM812" s="27"/>
      <c r="AN812" s="27" t="s">
        <v>3017</v>
      </c>
      <c r="AO812" s="27" t="s">
        <v>3018</v>
      </c>
      <c r="AP812" s="27" t="s">
        <v>3019</v>
      </c>
      <c r="AQ812" s="27"/>
      <c r="AR812" s="504"/>
      <c r="AS812" s="332" t="s">
        <v>3020</v>
      </c>
      <c r="AT812" s="160"/>
    </row>
    <row r="813" spans="1:46" ht="21.75" hidden="1" customHeight="1">
      <c r="A813" s="331">
        <v>812</v>
      </c>
      <c r="B813" s="28" t="s">
        <v>3021</v>
      </c>
      <c r="C813" s="28" t="s">
        <v>3022</v>
      </c>
      <c r="D813" s="444" t="s">
        <v>3023</v>
      </c>
      <c r="E813" s="361" t="str">
        <f t="shared" ca="1" si="12"/>
        <v>LOSS</v>
      </c>
      <c r="F813" s="29" t="s">
        <v>3024</v>
      </c>
      <c r="G813" s="28" t="s">
        <v>3025</v>
      </c>
      <c r="H813" s="29" t="s">
        <v>2748</v>
      </c>
      <c r="I813" s="29" t="s">
        <v>346</v>
      </c>
      <c r="J813" s="28" t="s">
        <v>3026</v>
      </c>
      <c r="K813" s="28"/>
      <c r="L813" s="27"/>
      <c r="M813" s="27"/>
      <c r="N813" s="29"/>
      <c r="O813" s="56"/>
      <c r="P813" s="31">
        <v>84000000</v>
      </c>
      <c r="Q813" s="31"/>
      <c r="R813" s="27"/>
      <c r="S813" s="32">
        <v>18000000</v>
      </c>
      <c r="T813" s="33"/>
      <c r="U813" s="334">
        <v>44398</v>
      </c>
      <c r="V813" s="334">
        <v>44762</v>
      </c>
      <c r="W813" s="27" t="s">
        <v>245</v>
      </c>
      <c r="X813" s="27"/>
      <c r="Y813" s="34">
        <f t="shared" ca="1" si="13"/>
        <v>46290</v>
      </c>
      <c r="Z813" s="35">
        <f t="shared" ca="1" si="14"/>
        <v>-1528</v>
      </c>
      <c r="AA813" s="27">
        <f t="shared" si="15"/>
        <v>7</v>
      </c>
      <c r="AB813" s="27">
        <f t="shared" si="16"/>
        <v>2022</v>
      </c>
      <c r="AC813" s="28" t="s">
        <v>3027</v>
      </c>
      <c r="AD813" s="28" t="s">
        <v>3028</v>
      </c>
      <c r="AE813" s="27">
        <v>4500016923</v>
      </c>
      <c r="AF813" s="27" t="s">
        <v>339</v>
      </c>
      <c r="AG813" s="29" t="s">
        <v>3029</v>
      </c>
      <c r="AH813" s="28"/>
      <c r="AI813" s="27">
        <v>161</v>
      </c>
      <c r="AJ813" s="27" t="s">
        <v>3030</v>
      </c>
      <c r="AK813" s="27" t="s">
        <v>3031</v>
      </c>
      <c r="AL813" s="27" t="s">
        <v>3032</v>
      </c>
      <c r="AM813" s="27" t="s">
        <v>3033</v>
      </c>
      <c r="AN813" s="27"/>
      <c r="AO813" s="27"/>
      <c r="AP813" s="27"/>
      <c r="AQ813" s="27"/>
      <c r="AR813" s="504"/>
      <c r="AS813" s="332"/>
      <c r="AT813" s="160"/>
    </row>
    <row r="814" spans="1:46" ht="21.75" hidden="1" customHeight="1">
      <c r="A814" s="331">
        <v>813</v>
      </c>
      <c r="B814" s="28" t="s">
        <v>3034</v>
      </c>
      <c r="C814" s="28" t="s">
        <v>1274</v>
      </c>
      <c r="D814" s="438" t="s">
        <v>3035</v>
      </c>
      <c r="E814" s="361" t="str">
        <f t="shared" ca="1" si="12"/>
        <v>LOSS</v>
      </c>
      <c r="F814" s="29"/>
      <c r="G814" s="28" t="s">
        <v>3036</v>
      </c>
      <c r="H814" s="29" t="s">
        <v>2748</v>
      </c>
      <c r="I814" s="29" t="s">
        <v>346</v>
      </c>
      <c r="J814" s="28" t="s">
        <v>3037</v>
      </c>
      <c r="K814" s="28"/>
      <c r="L814" s="27"/>
      <c r="M814" s="27"/>
      <c r="N814" s="29"/>
      <c r="O814" s="56"/>
      <c r="P814" s="31">
        <f>12*4097000000</f>
        <v>49164000000</v>
      </c>
      <c r="Q814" s="31"/>
      <c r="R814" s="27"/>
      <c r="S814" s="32">
        <v>10000000</v>
      </c>
      <c r="T814" s="33"/>
      <c r="U814" s="334">
        <v>45229</v>
      </c>
      <c r="V814" s="334">
        <v>45594</v>
      </c>
      <c r="W814" s="27" t="s">
        <v>250</v>
      </c>
      <c r="X814" s="27"/>
      <c r="Y814" s="34">
        <f t="shared" ca="1" si="13"/>
        <v>46290</v>
      </c>
      <c r="Z814" s="35">
        <f t="shared" ca="1" si="14"/>
        <v>-696</v>
      </c>
      <c r="AA814" s="27">
        <f t="shared" si="15"/>
        <v>10</v>
      </c>
      <c r="AB814" s="27">
        <f t="shared" si="16"/>
        <v>2024</v>
      </c>
      <c r="AC814" s="28" t="s">
        <v>479</v>
      </c>
      <c r="AD814" s="28" t="s">
        <v>3038</v>
      </c>
      <c r="AE814" s="27">
        <v>4500021582</v>
      </c>
      <c r="AF814" s="27" t="s">
        <v>339</v>
      </c>
      <c r="AG814" s="29" t="s">
        <v>3039</v>
      </c>
      <c r="AH814" s="28" t="s">
        <v>3040</v>
      </c>
      <c r="AI814" s="27"/>
      <c r="AJ814" s="27"/>
      <c r="AK814" s="27"/>
      <c r="AL814" s="27"/>
      <c r="AM814" s="27"/>
      <c r="AN814" s="27"/>
      <c r="AO814" s="27" t="s">
        <v>3041</v>
      </c>
      <c r="AP814" s="27"/>
      <c r="AQ814" s="27"/>
      <c r="AR814" s="504"/>
      <c r="AS814" s="332" t="s">
        <v>3042</v>
      </c>
      <c r="AT814" s="160"/>
    </row>
    <row r="815" spans="1:46" ht="21.75" hidden="1" customHeight="1">
      <c r="A815" s="331">
        <v>814</v>
      </c>
      <c r="B815" s="28" t="s">
        <v>3043</v>
      </c>
      <c r="C815" s="28" t="s">
        <v>3044</v>
      </c>
      <c r="D815" s="437" t="s">
        <v>3045</v>
      </c>
      <c r="E815" s="361" t="str">
        <f t="shared" ca="1" si="12"/>
        <v>LOSS</v>
      </c>
      <c r="F815" s="36" t="s">
        <v>115</v>
      </c>
      <c r="G815" s="28" t="s">
        <v>3046</v>
      </c>
      <c r="H815" s="29" t="s">
        <v>2748</v>
      </c>
      <c r="I815" s="29" t="s">
        <v>346</v>
      </c>
      <c r="J815" s="28" t="s">
        <v>3047</v>
      </c>
      <c r="K815" s="28"/>
      <c r="L815" s="27"/>
      <c r="M815" s="27"/>
      <c r="N815" s="29"/>
      <c r="O815" s="56"/>
      <c r="P815" s="31">
        <f>12*4500000</f>
        <v>54000000</v>
      </c>
      <c r="Q815" s="31"/>
      <c r="R815" s="27"/>
      <c r="S815" s="32">
        <v>8000000</v>
      </c>
      <c r="T815" s="33"/>
      <c r="U815" s="334">
        <v>44713</v>
      </c>
      <c r="V815" s="334">
        <v>45077</v>
      </c>
      <c r="W815" s="27" t="s">
        <v>245</v>
      </c>
      <c r="X815" s="27"/>
      <c r="Y815" s="34">
        <f t="shared" ca="1" si="13"/>
        <v>46290</v>
      </c>
      <c r="Z815" s="35">
        <f t="shared" ca="1" si="14"/>
        <v>-1213</v>
      </c>
      <c r="AA815" s="27">
        <f t="shared" si="15"/>
        <v>5</v>
      </c>
      <c r="AB815" s="27">
        <f t="shared" si="16"/>
        <v>2023</v>
      </c>
      <c r="AC815" s="28" t="s">
        <v>479</v>
      </c>
      <c r="AD815" s="28" t="s">
        <v>3048</v>
      </c>
      <c r="AE815" s="27">
        <v>4500018062</v>
      </c>
      <c r="AF815" s="27" t="s">
        <v>339</v>
      </c>
      <c r="AG815" s="29"/>
      <c r="AH815" s="28"/>
      <c r="AI815" s="27"/>
      <c r="AJ815" s="27"/>
      <c r="AK815" s="27"/>
      <c r="AL815" s="27"/>
      <c r="AM815" s="27"/>
      <c r="AN815" s="27" t="s">
        <v>3049</v>
      </c>
      <c r="AO815" s="27"/>
      <c r="AP815" s="27"/>
      <c r="AQ815" s="27"/>
      <c r="AR815" s="504"/>
      <c r="AS815" s="332" t="s">
        <v>3050</v>
      </c>
      <c r="AT815" s="160"/>
    </row>
    <row r="816" spans="1:46" ht="21.75" hidden="1" customHeight="1">
      <c r="A816" s="331">
        <v>815</v>
      </c>
      <c r="B816" s="28" t="s">
        <v>55</v>
      </c>
      <c r="C816" s="28" t="s">
        <v>3051</v>
      </c>
      <c r="D816" s="438" t="s">
        <v>3052</v>
      </c>
      <c r="E816" s="361" t="str">
        <f t="shared" ca="1" si="12"/>
        <v>LOSS</v>
      </c>
      <c r="F816" s="36" t="s">
        <v>115</v>
      </c>
      <c r="G816" s="28" t="s">
        <v>3053</v>
      </c>
      <c r="H816" s="29" t="s">
        <v>2748</v>
      </c>
      <c r="I816" s="361" t="s">
        <v>3054</v>
      </c>
      <c r="J816" s="28" t="s">
        <v>56</v>
      </c>
      <c r="K816" s="28"/>
      <c r="L816" s="27"/>
      <c r="M816" s="27"/>
      <c r="N816" s="29"/>
      <c r="O816" s="56"/>
      <c r="P816" s="31">
        <f>12*5000000</f>
        <v>60000000</v>
      </c>
      <c r="Q816" s="31"/>
      <c r="R816" s="27"/>
      <c r="S816" s="32">
        <v>15000000</v>
      </c>
      <c r="T816" s="33"/>
      <c r="U816" s="334">
        <v>44835</v>
      </c>
      <c r="V816" s="334">
        <v>45565</v>
      </c>
      <c r="W816" s="27" t="s">
        <v>250</v>
      </c>
      <c r="X816" s="27"/>
      <c r="Y816" s="34">
        <f t="shared" ca="1" si="13"/>
        <v>46290</v>
      </c>
      <c r="Z816" s="35">
        <f t="shared" ca="1" si="14"/>
        <v>-725</v>
      </c>
      <c r="AA816" s="27">
        <f t="shared" si="15"/>
        <v>9</v>
      </c>
      <c r="AB816" s="27">
        <f t="shared" si="16"/>
        <v>2024</v>
      </c>
      <c r="AC816" s="28" t="s">
        <v>479</v>
      </c>
      <c r="AD816" s="28" t="s">
        <v>3055</v>
      </c>
      <c r="AE816" s="27">
        <v>4500018900</v>
      </c>
      <c r="AF816" s="27" t="s">
        <v>333</v>
      </c>
      <c r="AG816" s="29"/>
      <c r="AH816" s="28"/>
      <c r="AI816" s="27"/>
      <c r="AJ816" s="27"/>
      <c r="AK816" s="27"/>
      <c r="AL816" s="27"/>
      <c r="AM816" s="27"/>
      <c r="AN816" s="27" t="s">
        <v>3056</v>
      </c>
      <c r="AO816" s="27"/>
      <c r="AP816" s="27"/>
      <c r="AQ816" s="27"/>
      <c r="AR816" s="504"/>
      <c r="AS816" s="332"/>
      <c r="AT816" s="160"/>
    </row>
    <row r="817" spans="1:46" ht="21.75" hidden="1" customHeight="1">
      <c r="A817" s="331">
        <v>816</v>
      </c>
      <c r="B817" s="28" t="s">
        <v>521</v>
      </c>
      <c r="C817" s="28" t="s">
        <v>3057</v>
      </c>
      <c r="D817" s="437" t="s">
        <v>3058</v>
      </c>
      <c r="E817" s="361" t="str">
        <f t="shared" ca="1" si="12"/>
        <v>LOSS</v>
      </c>
      <c r="F817" s="36" t="s">
        <v>115</v>
      </c>
      <c r="G817" s="28" t="s">
        <v>3059</v>
      </c>
      <c r="H817" s="29" t="s">
        <v>2748</v>
      </c>
      <c r="I817" s="160" t="s">
        <v>346</v>
      </c>
      <c r="J817" s="28" t="s">
        <v>1098</v>
      </c>
      <c r="K817" s="28"/>
      <c r="L817" s="27"/>
      <c r="M817" s="27"/>
      <c r="N817" s="29"/>
      <c r="O817" s="56"/>
      <c r="P817" s="31">
        <v>216000000</v>
      </c>
      <c r="Q817" s="31"/>
      <c r="R817" s="27"/>
      <c r="S817" s="32">
        <v>18000000</v>
      </c>
      <c r="T817" s="33"/>
      <c r="U817" s="334">
        <v>45170</v>
      </c>
      <c r="V817" s="334">
        <v>45535</v>
      </c>
      <c r="W817" s="27" t="s">
        <v>17</v>
      </c>
      <c r="X817" s="27" t="s">
        <v>306</v>
      </c>
      <c r="Y817" s="34">
        <f t="shared" ca="1" si="13"/>
        <v>46290</v>
      </c>
      <c r="Z817" s="35">
        <f t="shared" ca="1" si="14"/>
        <v>-755</v>
      </c>
      <c r="AA817" s="27">
        <f t="shared" si="15"/>
        <v>8</v>
      </c>
      <c r="AB817" s="27">
        <f t="shared" si="16"/>
        <v>2024</v>
      </c>
      <c r="AC817" s="28" t="s">
        <v>3060</v>
      </c>
      <c r="AD817" s="28" t="s">
        <v>3061</v>
      </c>
      <c r="AE817" s="27">
        <v>4500022096</v>
      </c>
      <c r="AF817" s="27" t="s">
        <v>339</v>
      </c>
      <c r="AG817" s="29"/>
      <c r="AH817" s="28"/>
      <c r="AI817" s="27"/>
      <c r="AJ817" s="27"/>
      <c r="AK817" s="27"/>
      <c r="AL817" s="27" t="s">
        <v>3062</v>
      </c>
      <c r="AM817" s="27"/>
      <c r="AN817" s="27" t="s">
        <v>3063</v>
      </c>
      <c r="AO817" s="27" t="s">
        <v>3064</v>
      </c>
      <c r="AP817" s="27"/>
      <c r="AQ817" s="27"/>
      <c r="AR817" s="504"/>
      <c r="AS817" s="332"/>
      <c r="AT817" s="160"/>
    </row>
    <row r="818" spans="1:46" ht="21.75" hidden="1" customHeight="1">
      <c r="A818" s="331">
        <v>817</v>
      </c>
      <c r="B818" s="28" t="s">
        <v>521</v>
      </c>
      <c r="C818" s="28" t="s">
        <v>3065</v>
      </c>
      <c r="D818" s="438" t="s">
        <v>3058</v>
      </c>
      <c r="E818" s="361" t="str">
        <f t="shared" ca="1" si="12"/>
        <v>LOSS</v>
      </c>
      <c r="F818" s="29" t="s">
        <v>3066</v>
      </c>
      <c r="G818" s="28" t="s">
        <v>3067</v>
      </c>
      <c r="H818" s="29" t="s">
        <v>2748</v>
      </c>
      <c r="I818" s="29" t="s">
        <v>346</v>
      </c>
      <c r="J818" s="28" t="s">
        <v>1198</v>
      </c>
      <c r="K818" s="28"/>
      <c r="L818" s="27"/>
      <c r="M818" s="27"/>
      <c r="N818" s="29"/>
      <c r="O818" s="56"/>
      <c r="P818" s="31">
        <v>99120000</v>
      </c>
      <c r="Q818" s="31"/>
      <c r="R818" s="27"/>
      <c r="S818" s="32">
        <v>24000000</v>
      </c>
      <c r="T818" s="33"/>
      <c r="U818" s="334">
        <v>44041</v>
      </c>
      <c r="V818" s="334">
        <v>44405</v>
      </c>
      <c r="W818" s="27" t="s">
        <v>245</v>
      </c>
      <c r="X818" s="27"/>
      <c r="Y818" s="34">
        <f t="shared" ca="1" si="13"/>
        <v>46290</v>
      </c>
      <c r="Z818" s="35">
        <f t="shared" ca="1" si="14"/>
        <v>-1885</v>
      </c>
      <c r="AA818" s="27">
        <f t="shared" si="15"/>
        <v>7</v>
      </c>
      <c r="AB818" s="27">
        <f t="shared" si="16"/>
        <v>2021</v>
      </c>
      <c r="AC818" s="28" t="s">
        <v>3068</v>
      </c>
      <c r="AD818" s="28" t="s">
        <v>3069</v>
      </c>
      <c r="AE818" s="27">
        <v>4500014675</v>
      </c>
      <c r="AF818" s="27" t="s">
        <v>339</v>
      </c>
      <c r="AG818" s="29" t="s">
        <v>3070</v>
      </c>
      <c r="AH818" s="28" t="s">
        <v>3071</v>
      </c>
      <c r="AI818" s="27"/>
      <c r="AJ818" s="27"/>
      <c r="AK818" s="27" t="s">
        <v>3072</v>
      </c>
      <c r="AL818" s="27" t="s">
        <v>3073</v>
      </c>
      <c r="AM818" s="27"/>
      <c r="AN818" s="27"/>
      <c r="AO818" s="27"/>
      <c r="AP818" s="27"/>
      <c r="AQ818" s="27"/>
      <c r="AR818" s="504"/>
      <c r="AS818" s="332"/>
      <c r="AT818" s="160"/>
    </row>
    <row r="819" spans="1:46" ht="21.75" hidden="1" customHeight="1">
      <c r="A819" s="331">
        <v>818</v>
      </c>
      <c r="B819" s="28" t="s">
        <v>3074</v>
      </c>
      <c r="C819" s="28" t="s">
        <v>3075</v>
      </c>
      <c r="D819" s="437" t="s">
        <v>3076</v>
      </c>
      <c r="E819" s="361" t="str">
        <f t="shared" ca="1" si="12"/>
        <v>LOSS</v>
      </c>
      <c r="F819" s="29"/>
      <c r="G819" s="38" t="s">
        <v>3077</v>
      </c>
      <c r="H819" s="29" t="s">
        <v>2748</v>
      </c>
      <c r="I819" s="29" t="s">
        <v>346</v>
      </c>
      <c r="J819" s="28" t="s">
        <v>3078</v>
      </c>
      <c r="K819" s="28"/>
      <c r="L819" s="27"/>
      <c r="M819" s="27" t="s">
        <v>3079</v>
      </c>
      <c r="N819" s="29"/>
      <c r="O819" s="56"/>
      <c r="P819" s="31" t="s">
        <v>115</v>
      </c>
      <c r="Q819" s="31"/>
      <c r="R819" s="27"/>
      <c r="S819" s="32">
        <v>89967776</v>
      </c>
      <c r="T819" s="33"/>
      <c r="U819" s="334">
        <v>45054</v>
      </c>
      <c r="V819" s="334">
        <v>45291</v>
      </c>
      <c r="W819" s="27" t="s">
        <v>245</v>
      </c>
      <c r="X819" s="27"/>
      <c r="Y819" s="34">
        <f t="shared" ca="1" si="13"/>
        <v>46290</v>
      </c>
      <c r="Z819" s="35">
        <f t="shared" ca="1" si="14"/>
        <v>-999</v>
      </c>
      <c r="AA819" s="27">
        <f t="shared" si="15"/>
        <v>12</v>
      </c>
      <c r="AB819" s="27">
        <f t="shared" si="16"/>
        <v>2023</v>
      </c>
      <c r="AC819" s="28" t="s">
        <v>3080</v>
      </c>
      <c r="AD819" s="28" t="s">
        <v>3081</v>
      </c>
      <c r="AE819" s="27">
        <v>4500021004</v>
      </c>
      <c r="AF819" s="27" t="s">
        <v>339</v>
      </c>
      <c r="AG819" s="29"/>
      <c r="AH819" s="28"/>
      <c r="AI819" s="27"/>
      <c r="AJ819" s="27"/>
      <c r="AK819" s="27"/>
      <c r="AL819" s="27"/>
      <c r="AM819" s="27" t="s">
        <v>3082</v>
      </c>
      <c r="AN819" s="27" t="s">
        <v>3083</v>
      </c>
      <c r="AO819" s="27" t="s">
        <v>3084</v>
      </c>
      <c r="AP819" s="27"/>
      <c r="AQ819" s="27"/>
      <c r="AR819" s="504"/>
      <c r="AS819" s="332" t="s">
        <v>3085</v>
      </c>
      <c r="AT819" s="160"/>
    </row>
    <row r="820" spans="1:46" ht="21.75" hidden="1" customHeight="1">
      <c r="A820" s="331">
        <v>819</v>
      </c>
      <c r="B820" s="28" t="s">
        <v>3086</v>
      </c>
      <c r="C820" s="28" t="s">
        <v>3087</v>
      </c>
      <c r="D820" s="438" t="s">
        <v>3088</v>
      </c>
      <c r="E820" s="361" t="str">
        <f t="shared" ca="1" si="12"/>
        <v>LOSS</v>
      </c>
      <c r="F820" s="29"/>
      <c r="G820" s="28" t="s">
        <v>3089</v>
      </c>
      <c r="H820" s="29" t="s">
        <v>2748</v>
      </c>
      <c r="I820" s="29" t="s">
        <v>242</v>
      </c>
      <c r="J820" s="28" t="s">
        <v>2512</v>
      </c>
      <c r="K820" s="28"/>
      <c r="L820" s="27"/>
      <c r="M820" s="27"/>
      <c r="N820" s="29"/>
      <c r="O820" s="56"/>
      <c r="P820" s="31">
        <v>600000000</v>
      </c>
      <c r="Q820" s="31"/>
      <c r="R820" s="27"/>
      <c r="S820" s="32">
        <v>35000000</v>
      </c>
      <c r="T820" s="33"/>
      <c r="U820" s="334">
        <v>44621</v>
      </c>
      <c r="V820" s="334">
        <v>44985</v>
      </c>
      <c r="W820" s="27" t="s">
        <v>245</v>
      </c>
      <c r="X820" s="27"/>
      <c r="Y820" s="34">
        <f t="shared" ca="1" si="13"/>
        <v>46290</v>
      </c>
      <c r="Z820" s="35">
        <f t="shared" ca="1" si="14"/>
        <v>-1305</v>
      </c>
      <c r="AA820" s="27">
        <f t="shared" si="15"/>
        <v>2</v>
      </c>
      <c r="AB820" s="27">
        <f t="shared" si="16"/>
        <v>2023</v>
      </c>
      <c r="AC820" s="28" t="s">
        <v>479</v>
      </c>
      <c r="AD820" s="28" t="s">
        <v>2513</v>
      </c>
      <c r="AE820" s="27">
        <v>4500017682</v>
      </c>
      <c r="AF820" s="27" t="s">
        <v>339</v>
      </c>
      <c r="AG820" s="29"/>
      <c r="AH820" s="28"/>
      <c r="AI820" s="27"/>
      <c r="AJ820" s="27"/>
      <c r="AK820" s="27"/>
      <c r="AL820" s="27"/>
      <c r="AM820" s="27"/>
      <c r="AN820" s="27" t="s">
        <v>3090</v>
      </c>
      <c r="AO820" s="27"/>
      <c r="AP820" s="27"/>
      <c r="AQ820" s="27"/>
      <c r="AR820" s="504"/>
      <c r="AS820" s="332" t="s">
        <v>3091</v>
      </c>
      <c r="AT820" s="160"/>
    </row>
    <row r="821" spans="1:46" ht="21.75" hidden="1" customHeight="1">
      <c r="A821" s="331">
        <v>820</v>
      </c>
      <c r="B821" s="28" t="s">
        <v>3092</v>
      </c>
      <c r="C821" s="28" t="s">
        <v>1402</v>
      </c>
      <c r="D821" s="444" t="s">
        <v>3093</v>
      </c>
      <c r="E821" s="361" t="str">
        <f t="shared" ca="1" si="12"/>
        <v>LOSS</v>
      </c>
      <c r="F821" s="36" t="s">
        <v>115</v>
      </c>
      <c r="G821" s="28" t="s">
        <v>3094</v>
      </c>
      <c r="H821" s="29" t="s">
        <v>2748</v>
      </c>
      <c r="I821" s="29" t="s">
        <v>346</v>
      </c>
      <c r="J821" s="28" t="s">
        <v>3095</v>
      </c>
      <c r="K821" s="28"/>
      <c r="L821" s="27"/>
      <c r="M821" s="27"/>
      <c r="N821" s="29"/>
      <c r="O821" s="56"/>
      <c r="P821" s="31">
        <v>123000000</v>
      </c>
      <c r="Q821" s="31"/>
      <c r="R821" s="27"/>
      <c r="S821" s="32">
        <v>48015000</v>
      </c>
      <c r="T821" s="33"/>
      <c r="U821" s="334">
        <v>44562</v>
      </c>
      <c r="V821" s="334">
        <v>44926</v>
      </c>
      <c r="W821" s="27" t="s">
        <v>245</v>
      </c>
      <c r="X821" s="27"/>
      <c r="Y821" s="34">
        <f t="shared" ca="1" si="13"/>
        <v>46290</v>
      </c>
      <c r="Z821" s="35">
        <f t="shared" ca="1" si="14"/>
        <v>-1364</v>
      </c>
      <c r="AA821" s="27">
        <f t="shared" si="15"/>
        <v>12</v>
      </c>
      <c r="AB821" s="27">
        <f t="shared" si="16"/>
        <v>2022</v>
      </c>
      <c r="AC821" s="28" t="s">
        <v>3096</v>
      </c>
      <c r="AD821" s="28" t="s">
        <v>3097</v>
      </c>
      <c r="AE821" s="27">
        <v>4500017441</v>
      </c>
      <c r="AF821" s="27" t="s">
        <v>339</v>
      </c>
      <c r="AG821" s="29" t="s">
        <v>3098</v>
      </c>
      <c r="AH821" s="28" t="s">
        <v>3099</v>
      </c>
      <c r="AI821" s="27"/>
      <c r="AJ821" s="27"/>
      <c r="AK821" s="27" t="s">
        <v>3100</v>
      </c>
      <c r="AL821" s="27" t="s">
        <v>3101</v>
      </c>
      <c r="AM821" s="27" t="s">
        <v>3102</v>
      </c>
      <c r="AN821" s="27" t="s">
        <v>3103</v>
      </c>
      <c r="AO821" s="27"/>
      <c r="AP821" s="27"/>
      <c r="AQ821" s="27"/>
      <c r="AR821" s="504"/>
      <c r="AS821" s="332" t="s">
        <v>3104</v>
      </c>
      <c r="AT821" s="160"/>
    </row>
    <row r="822" spans="1:46" ht="21.75" hidden="1" customHeight="1">
      <c r="A822" s="331">
        <v>821</v>
      </c>
      <c r="B822" s="28" t="s">
        <v>3092</v>
      </c>
      <c r="C822" s="28" t="s">
        <v>2149</v>
      </c>
      <c r="D822" s="443" t="s">
        <v>3093</v>
      </c>
      <c r="E822" s="361" t="str">
        <f t="shared" ca="1" si="12"/>
        <v>LOSS</v>
      </c>
      <c r="F822" s="36" t="s">
        <v>115</v>
      </c>
      <c r="G822" s="28" t="s">
        <v>3105</v>
      </c>
      <c r="H822" s="29" t="s">
        <v>2748</v>
      </c>
      <c r="I822" s="29" t="s">
        <v>346</v>
      </c>
      <c r="J822" s="28" t="s">
        <v>3106</v>
      </c>
      <c r="K822" s="28"/>
      <c r="L822" s="27"/>
      <c r="M822" s="27"/>
      <c r="N822" s="29"/>
      <c r="O822" s="56"/>
      <c r="P822" s="31">
        <v>64000000</v>
      </c>
      <c r="Q822" s="31"/>
      <c r="R822" s="27"/>
      <c r="S822" s="32">
        <v>11100000</v>
      </c>
      <c r="T822" s="33"/>
      <c r="U822" s="334">
        <v>44440</v>
      </c>
      <c r="V822" s="334">
        <v>44804</v>
      </c>
      <c r="W822" s="27" t="s">
        <v>245</v>
      </c>
      <c r="X822" s="27"/>
      <c r="Y822" s="34">
        <f t="shared" ca="1" si="13"/>
        <v>46290</v>
      </c>
      <c r="Z822" s="35">
        <f t="shared" ca="1" si="14"/>
        <v>-1486</v>
      </c>
      <c r="AA822" s="27">
        <f t="shared" si="15"/>
        <v>8</v>
      </c>
      <c r="AB822" s="27">
        <f t="shared" si="16"/>
        <v>2022</v>
      </c>
      <c r="AC822" s="28" t="s">
        <v>3107</v>
      </c>
      <c r="AD822" s="28" t="s">
        <v>3108</v>
      </c>
      <c r="AE822" s="27">
        <v>4500016488</v>
      </c>
      <c r="AF822" s="27" t="s">
        <v>339</v>
      </c>
      <c r="AG822" s="29" t="s">
        <v>3098</v>
      </c>
      <c r="AH822" s="28" t="s">
        <v>3099</v>
      </c>
      <c r="AI822" s="27"/>
      <c r="AJ822" s="27"/>
      <c r="AK822" s="27"/>
      <c r="AL822" s="27"/>
      <c r="AM822" s="27"/>
      <c r="AN822" s="27"/>
      <c r="AO822" s="27"/>
      <c r="AP822" s="27"/>
      <c r="AQ822" s="27"/>
      <c r="AR822" s="504"/>
      <c r="AS822" s="491" t="s">
        <v>3109</v>
      </c>
      <c r="AT822" s="160"/>
    </row>
    <row r="823" spans="1:46" ht="21.75" hidden="1" customHeight="1">
      <c r="A823" s="331">
        <v>822</v>
      </c>
      <c r="B823" s="28" t="s">
        <v>3110</v>
      </c>
      <c r="C823" s="28" t="s">
        <v>3111</v>
      </c>
      <c r="D823" s="437" t="s">
        <v>3112</v>
      </c>
      <c r="E823" s="361" t="str">
        <f t="shared" ca="1" si="12"/>
        <v>LOSS</v>
      </c>
      <c r="F823" s="36" t="s">
        <v>115</v>
      </c>
      <c r="G823" s="28" t="s">
        <v>3113</v>
      </c>
      <c r="H823" s="29" t="s">
        <v>2748</v>
      </c>
      <c r="I823" s="29" t="s">
        <v>346</v>
      </c>
      <c r="J823" s="28" t="s">
        <v>3114</v>
      </c>
      <c r="K823" s="28"/>
      <c r="L823" s="27"/>
      <c r="M823" s="27"/>
      <c r="N823" s="29"/>
      <c r="O823" s="56"/>
      <c r="P823" s="31">
        <v>518700000</v>
      </c>
      <c r="Q823" s="31"/>
      <c r="R823" s="27"/>
      <c r="S823" s="32">
        <v>206640000</v>
      </c>
      <c r="T823" s="33"/>
      <c r="U823" s="334">
        <v>43662</v>
      </c>
      <c r="V823" s="334">
        <v>44392</v>
      </c>
      <c r="W823" s="27" t="s">
        <v>245</v>
      </c>
      <c r="X823" s="27"/>
      <c r="Y823" s="34">
        <f t="shared" ca="1" si="13"/>
        <v>46290</v>
      </c>
      <c r="Z823" s="35">
        <f t="shared" ca="1" si="14"/>
        <v>-1898</v>
      </c>
      <c r="AA823" s="27">
        <f t="shared" si="15"/>
        <v>7</v>
      </c>
      <c r="AB823" s="27">
        <f t="shared" si="16"/>
        <v>2021</v>
      </c>
      <c r="AC823" s="28" t="s">
        <v>3115</v>
      </c>
      <c r="AD823" s="28" t="s">
        <v>3116</v>
      </c>
      <c r="AE823" s="27">
        <v>4500012998</v>
      </c>
      <c r="AF823" s="27" t="s">
        <v>339</v>
      </c>
      <c r="AG823" s="29" t="s">
        <v>3117</v>
      </c>
      <c r="AH823" s="28"/>
      <c r="AI823" s="27"/>
      <c r="AJ823" s="27" t="s">
        <v>3118</v>
      </c>
      <c r="AK823" s="27" t="s">
        <v>3119</v>
      </c>
      <c r="AL823" s="27"/>
      <c r="AM823" s="27"/>
      <c r="AN823" s="27"/>
      <c r="AO823" s="27"/>
      <c r="AP823" s="27"/>
      <c r="AQ823" s="27"/>
      <c r="AR823" s="504"/>
      <c r="AS823" s="332" t="s">
        <v>3120</v>
      </c>
      <c r="AT823" s="160"/>
    </row>
    <row r="824" spans="1:46" ht="21.75" hidden="1" customHeight="1">
      <c r="A824" s="331">
        <v>823</v>
      </c>
      <c r="B824" s="28" t="s">
        <v>3110</v>
      </c>
      <c r="C824" s="28" t="s">
        <v>3121</v>
      </c>
      <c r="D824" s="438" t="s">
        <v>3112</v>
      </c>
      <c r="E824" s="361" t="str">
        <f t="shared" ca="1" si="12"/>
        <v>LOSS</v>
      </c>
      <c r="F824" s="36" t="s">
        <v>115</v>
      </c>
      <c r="G824" s="28" t="s">
        <v>3122</v>
      </c>
      <c r="H824" s="29" t="s">
        <v>2748</v>
      </c>
      <c r="I824" s="29" t="s">
        <v>346</v>
      </c>
      <c r="J824" s="28" t="s">
        <v>3114</v>
      </c>
      <c r="K824" s="28"/>
      <c r="L824" s="27"/>
      <c r="M824" s="27"/>
      <c r="N824" s="29"/>
      <c r="O824" s="56"/>
      <c r="P824" s="31"/>
      <c r="Q824" s="31"/>
      <c r="R824" s="27"/>
      <c r="S824" s="32">
        <v>96000000</v>
      </c>
      <c r="T824" s="33"/>
      <c r="U824" s="334">
        <v>43891</v>
      </c>
      <c r="V824" s="334">
        <v>44255</v>
      </c>
      <c r="W824" s="27" t="s">
        <v>245</v>
      </c>
      <c r="X824" s="27"/>
      <c r="Y824" s="34">
        <f t="shared" ca="1" si="13"/>
        <v>46290</v>
      </c>
      <c r="Z824" s="35">
        <f t="shared" ca="1" si="14"/>
        <v>-2035</v>
      </c>
      <c r="AA824" s="27">
        <f t="shared" si="15"/>
        <v>2</v>
      </c>
      <c r="AB824" s="27">
        <f t="shared" si="16"/>
        <v>2021</v>
      </c>
      <c r="AC824" s="28" t="s">
        <v>3123</v>
      </c>
      <c r="AD824" s="28" t="s">
        <v>3116</v>
      </c>
      <c r="AE824" s="27">
        <v>4500013910</v>
      </c>
      <c r="AF824" s="27" t="s">
        <v>339</v>
      </c>
      <c r="AG824" s="29"/>
      <c r="AH824" s="28"/>
      <c r="AI824" s="27"/>
      <c r="AJ824" s="27"/>
      <c r="AK824" s="27" t="s">
        <v>3124</v>
      </c>
      <c r="AL824" s="27" t="s">
        <v>3125</v>
      </c>
      <c r="AM824" s="27"/>
      <c r="AN824" s="27"/>
      <c r="AO824" s="27"/>
      <c r="AP824" s="27"/>
      <c r="AQ824" s="27"/>
      <c r="AR824" s="504"/>
      <c r="AS824" s="332" t="s">
        <v>3120</v>
      </c>
      <c r="AT824" s="160"/>
    </row>
    <row r="825" spans="1:46" ht="21.75" hidden="1" customHeight="1">
      <c r="A825" s="331">
        <v>824</v>
      </c>
      <c r="B825" s="28" t="s">
        <v>59</v>
      </c>
      <c r="C825" s="28" t="s">
        <v>3126</v>
      </c>
      <c r="D825" s="437" t="s">
        <v>3127</v>
      </c>
      <c r="E825" s="361" t="str">
        <f t="shared" ca="1" si="12"/>
        <v>LOSS</v>
      </c>
      <c r="F825" s="36" t="s">
        <v>115</v>
      </c>
      <c r="G825" s="28" t="s">
        <v>3128</v>
      </c>
      <c r="H825" s="29" t="s">
        <v>2748</v>
      </c>
      <c r="I825" s="29" t="s">
        <v>242</v>
      </c>
      <c r="J825" s="28" t="s">
        <v>60</v>
      </c>
      <c r="K825" s="28"/>
      <c r="L825" s="27"/>
      <c r="M825" s="27"/>
      <c r="N825" s="29"/>
      <c r="O825" s="56"/>
      <c r="P825" s="31">
        <v>36000000</v>
      </c>
      <c r="Q825" s="31"/>
      <c r="R825" s="27"/>
      <c r="S825" s="32">
        <v>18000000</v>
      </c>
      <c r="T825" s="33"/>
      <c r="U825" s="334">
        <v>45383</v>
      </c>
      <c r="V825" s="334">
        <v>45747</v>
      </c>
      <c r="W825" s="27" t="s">
        <v>245</v>
      </c>
      <c r="X825" s="27"/>
      <c r="Y825" s="34">
        <f t="shared" ca="1" si="13"/>
        <v>46290</v>
      </c>
      <c r="Z825" s="35">
        <f t="shared" ca="1" si="14"/>
        <v>-543</v>
      </c>
      <c r="AA825" s="27">
        <f t="shared" si="15"/>
        <v>3</v>
      </c>
      <c r="AB825" s="27">
        <f t="shared" si="16"/>
        <v>2025</v>
      </c>
      <c r="AC825" s="28" t="s">
        <v>3129</v>
      </c>
      <c r="AD825" s="28">
        <v>2457</v>
      </c>
      <c r="AE825" s="27">
        <v>4500020389</v>
      </c>
      <c r="AF825" s="27" t="s">
        <v>339</v>
      </c>
      <c r="AG825" s="29" t="s">
        <v>3130</v>
      </c>
      <c r="AH825" s="28" t="s">
        <v>3131</v>
      </c>
      <c r="AI825" s="27"/>
      <c r="AJ825" s="27"/>
      <c r="AK825" s="27" t="s">
        <v>3132</v>
      </c>
      <c r="AL825" s="27" t="s">
        <v>3133</v>
      </c>
      <c r="AM825" s="27" t="s">
        <v>3134</v>
      </c>
      <c r="AN825" s="27" t="s">
        <v>3135</v>
      </c>
      <c r="AO825" s="27" t="s">
        <v>3136</v>
      </c>
      <c r="AP825" s="27" t="s">
        <v>3137</v>
      </c>
      <c r="AQ825" s="27"/>
      <c r="AR825" s="504"/>
      <c r="AS825" s="332"/>
      <c r="AT825" s="160"/>
    </row>
    <row r="826" spans="1:46" ht="21.75" hidden="1" customHeight="1">
      <c r="A826" s="331">
        <v>825</v>
      </c>
      <c r="B826" s="28" t="s">
        <v>59</v>
      </c>
      <c r="C826" s="28" t="s">
        <v>883</v>
      </c>
      <c r="D826" s="438" t="s">
        <v>3127</v>
      </c>
      <c r="E826" s="361" t="str">
        <f t="shared" ca="1" si="12"/>
        <v>ON TRACK</v>
      </c>
      <c r="F826" s="29" t="s">
        <v>115</v>
      </c>
      <c r="G826" s="28" t="s">
        <v>3138</v>
      </c>
      <c r="H826" s="29" t="s">
        <v>2748</v>
      </c>
      <c r="I826" s="29" t="s">
        <v>242</v>
      </c>
      <c r="J826" s="28" t="s">
        <v>3139</v>
      </c>
      <c r="K826" s="28"/>
      <c r="L826" s="27"/>
      <c r="M826" s="27"/>
      <c r="N826" s="29"/>
      <c r="O826" s="56"/>
      <c r="P826" s="31">
        <v>564100000</v>
      </c>
      <c r="Q826" s="31"/>
      <c r="R826" s="27"/>
      <c r="S826" s="32">
        <v>80640000</v>
      </c>
      <c r="T826" s="33"/>
      <c r="U826" s="334">
        <v>45271</v>
      </c>
      <c r="V826" s="334">
        <v>46366</v>
      </c>
      <c r="W826" s="27" t="s">
        <v>17</v>
      </c>
      <c r="X826" s="27"/>
      <c r="Y826" s="34">
        <f t="shared" ca="1" si="13"/>
        <v>46290</v>
      </c>
      <c r="Z826" s="35">
        <f t="shared" ca="1" si="14"/>
        <v>76</v>
      </c>
      <c r="AA826" s="27">
        <f t="shared" si="15"/>
        <v>12</v>
      </c>
      <c r="AB826" s="27">
        <f t="shared" si="16"/>
        <v>2026</v>
      </c>
      <c r="AC826" s="28" t="s">
        <v>479</v>
      </c>
      <c r="AD826" s="28" t="s">
        <v>3140</v>
      </c>
      <c r="AE826" s="27">
        <v>4500021645</v>
      </c>
      <c r="AF826" s="27" t="s">
        <v>333</v>
      </c>
      <c r="AG826" s="29" t="s">
        <v>3141</v>
      </c>
      <c r="AH826" s="28" t="s">
        <v>3142</v>
      </c>
      <c r="AI826" s="27"/>
      <c r="AJ826" s="27"/>
      <c r="AK826" s="27"/>
      <c r="AL826" s="27"/>
      <c r="AM826" s="27"/>
      <c r="AN826" s="27"/>
      <c r="AO826" s="27" t="s">
        <v>3143</v>
      </c>
      <c r="AP826" s="27"/>
      <c r="AQ826" s="27"/>
      <c r="AR826" s="504"/>
      <c r="AS826" s="332"/>
      <c r="AT826" s="160"/>
    </row>
    <row r="827" spans="1:46" ht="21.75" hidden="1" customHeight="1">
      <c r="A827" s="331">
        <v>826</v>
      </c>
      <c r="B827" s="28" t="s">
        <v>61</v>
      </c>
      <c r="C827" s="28" t="s">
        <v>3144</v>
      </c>
      <c r="D827" s="444" t="s">
        <v>3145</v>
      </c>
      <c r="E827" s="361" t="str">
        <f t="shared" ca="1" si="12"/>
        <v>LOSS</v>
      </c>
      <c r="F827" s="36" t="s">
        <v>115</v>
      </c>
      <c r="G827" s="28" t="s">
        <v>3146</v>
      </c>
      <c r="H827" s="29" t="s">
        <v>2748</v>
      </c>
      <c r="I827" s="160" t="s">
        <v>242</v>
      </c>
      <c r="J827" s="28" t="s">
        <v>3147</v>
      </c>
      <c r="K827" s="28"/>
      <c r="L827" s="27"/>
      <c r="M827" s="27"/>
      <c r="N827" s="29"/>
      <c r="O827" s="56"/>
      <c r="P827" s="31">
        <f>12*14000000</f>
        <v>168000000</v>
      </c>
      <c r="Q827" s="31"/>
      <c r="R827" s="27"/>
      <c r="S827" s="32">
        <v>8000000</v>
      </c>
      <c r="T827" s="33"/>
      <c r="U827" s="334">
        <v>45071</v>
      </c>
      <c r="V827" s="334">
        <v>45436</v>
      </c>
      <c r="W827" s="27" t="s">
        <v>17</v>
      </c>
      <c r="X827" s="27" t="s">
        <v>3148</v>
      </c>
      <c r="Y827" s="34">
        <f t="shared" ca="1" si="13"/>
        <v>46290</v>
      </c>
      <c r="Z827" s="35">
        <f t="shared" ca="1" si="14"/>
        <v>-854</v>
      </c>
      <c r="AA827" s="27">
        <f t="shared" si="15"/>
        <v>5</v>
      </c>
      <c r="AB827" s="27">
        <f t="shared" si="16"/>
        <v>2024</v>
      </c>
      <c r="AC827" s="28" t="s">
        <v>479</v>
      </c>
      <c r="AD827" s="28" t="s">
        <v>3149</v>
      </c>
      <c r="AE827" s="27">
        <v>4500020540</v>
      </c>
      <c r="AF827" s="27" t="s">
        <v>333</v>
      </c>
      <c r="AG827" s="29" t="s">
        <v>3150</v>
      </c>
      <c r="AH827" s="28" t="s">
        <v>3151</v>
      </c>
      <c r="AI827" s="27"/>
      <c r="AJ827" s="27"/>
      <c r="AK827" s="27"/>
      <c r="AL827" s="27"/>
      <c r="AM827" s="27"/>
      <c r="AN827" s="27"/>
      <c r="AO827" s="27" t="s">
        <v>3152</v>
      </c>
      <c r="AP827" s="27"/>
      <c r="AQ827" s="27"/>
      <c r="AR827" s="504"/>
      <c r="AS827" s="332" t="s">
        <v>3153</v>
      </c>
      <c r="AT827" s="160"/>
    </row>
    <row r="828" spans="1:46" ht="21.75" hidden="1" customHeight="1">
      <c r="A828" s="331">
        <v>827</v>
      </c>
      <c r="B828" s="28" t="s">
        <v>61</v>
      </c>
      <c r="C828" s="28" t="s">
        <v>3154</v>
      </c>
      <c r="D828" s="443" t="s">
        <v>3145</v>
      </c>
      <c r="E828" s="361" t="str">
        <f t="shared" ca="1" si="12"/>
        <v>LOSS</v>
      </c>
      <c r="F828" s="36" t="s">
        <v>115</v>
      </c>
      <c r="G828" s="28" t="s">
        <v>3155</v>
      </c>
      <c r="H828" s="29" t="s">
        <v>2748</v>
      </c>
      <c r="I828" s="29" t="s">
        <v>346</v>
      </c>
      <c r="J828" s="28" t="s">
        <v>3156</v>
      </c>
      <c r="K828" s="28"/>
      <c r="L828" s="27"/>
      <c r="M828" s="27"/>
      <c r="N828" s="29"/>
      <c r="O828" s="56"/>
      <c r="P828" s="31">
        <v>21000000</v>
      </c>
      <c r="Q828" s="31"/>
      <c r="R828" s="27"/>
      <c r="S828" s="32">
        <v>12000000</v>
      </c>
      <c r="T828" s="33"/>
      <c r="U828" s="334">
        <v>44136</v>
      </c>
      <c r="V828" s="334">
        <v>44500</v>
      </c>
      <c r="W828" s="27" t="s">
        <v>245</v>
      </c>
      <c r="X828" s="27"/>
      <c r="Y828" s="34">
        <f t="shared" ca="1" si="13"/>
        <v>46290</v>
      </c>
      <c r="Z828" s="35">
        <f t="shared" ca="1" si="14"/>
        <v>-1790</v>
      </c>
      <c r="AA828" s="27">
        <f t="shared" si="15"/>
        <v>10</v>
      </c>
      <c r="AB828" s="27">
        <f t="shared" si="16"/>
        <v>2021</v>
      </c>
      <c r="AC828" s="28"/>
      <c r="AD828" s="28" t="s">
        <v>3157</v>
      </c>
      <c r="AE828" s="27">
        <v>4500015336</v>
      </c>
      <c r="AF828" s="27" t="s">
        <v>339</v>
      </c>
      <c r="AG828" s="29" t="s">
        <v>3150</v>
      </c>
      <c r="AH828" s="28" t="s">
        <v>3158</v>
      </c>
      <c r="AI828" s="27"/>
      <c r="AJ828" s="27"/>
      <c r="AK828" s="27" t="s">
        <v>3159</v>
      </c>
      <c r="AL828" s="27" t="s">
        <v>3160</v>
      </c>
      <c r="AM828" s="27"/>
      <c r="AN828" s="27"/>
      <c r="AO828" s="27"/>
      <c r="AP828" s="27"/>
      <c r="AQ828" s="27"/>
      <c r="AR828" s="504"/>
      <c r="AS828" s="332"/>
      <c r="AT828" s="160"/>
    </row>
    <row r="829" spans="1:46" ht="21.75" hidden="1" customHeight="1">
      <c r="A829" s="331">
        <v>828</v>
      </c>
      <c r="B829" s="28" t="s">
        <v>61</v>
      </c>
      <c r="C829" s="28" t="s">
        <v>1679</v>
      </c>
      <c r="D829" s="444" t="s">
        <v>3145</v>
      </c>
      <c r="E829" s="361" t="str">
        <f t="shared" ca="1" si="12"/>
        <v>LOSS</v>
      </c>
      <c r="F829" s="29" t="s">
        <v>3161</v>
      </c>
      <c r="G829" s="28" t="s">
        <v>3162</v>
      </c>
      <c r="H829" s="29" t="s">
        <v>2748</v>
      </c>
      <c r="I829" s="29" t="s">
        <v>346</v>
      </c>
      <c r="J829" s="28" t="s">
        <v>67</v>
      </c>
      <c r="K829" s="28"/>
      <c r="L829" s="27"/>
      <c r="M829" s="27"/>
      <c r="N829" s="29"/>
      <c r="O829" s="56"/>
      <c r="P829" s="31">
        <f>12*200000000</f>
        <v>2400000000</v>
      </c>
      <c r="Q829" s="31"/>
      <c r="R829" s="27"/>
      <c r="S829" s="32">
        <v>8000000</v>
      </c>
      <c r="T829" s="33"/>
      <c r="U829" s="334">
        <v>45353</v>
      </c>
      <c r="V829" s="334">
        <v>45717</v>
      </c>
      <c r="W829" s="27" t="s">
        <v>17</v>
      </c>
      <c r="X829" s="27"/>
      <c r="Y829" s="34">
        <f t="shared" ca="1" si="13"/>
        <v>46290</v>
      </c>
      <c r="Z829" s="35">
        <f t="shared" ca="1" si="14"/>
        <v>-573</v>
      </c>
      <c r="AA829" s="27">
        <f t="shared" si="15"/>
        <v>3</v>
      </c>
      <c r="AB829" s="27">
        <f t="shared" si="16"/>
        <v>2025</v>
      </c>
      <c r="AC829" s="28" t="s">
        <v>3163</v>
      </c>
      <c r="AD829" s="28" t="s">
        <v>3164</v>
      </c>
      <c r="AE829" s="27">
        <v>4500022887</v>
      </c>
      <c r="AF829" s="27" t="s">
        <v>339</v>
      </c>
      <c r="AG829" s="29" t="s">
        <v>3150</v>
      </c>
      <c r="AH829" s="28" t="s">
        <v>3151</v>
      </c>
      <c r="AI829" s="27"/>
      <c r="AJ829" s="27"/>
      <c r="AK829" s="27"/>
      <c r="AL829" s="27"/>
      <c r="AM829" s="27"/>
      <c r="AN829" s="27"/>
      <c r="AO829" s="27" t="s">
        <v>3165</v>
      </c>
      <c r="AP829" s="27"/>
      <c r="AQ829" s="27"/>
      <c r="AR829" s="504"/>
      <c r="AS829" s="332" t="s">
        <v>3153</v>
      </c>
      <c r="AT829" s="160"/>
    </row>
    <row r="830" spans="1:46" ht="21.75" hidden="1" customHeight="1">
      <c r="A830" s="331">
        <v>829</v>
      </c>
      <c r="B830" s="28" t="s">
        <v>61</v>
      </c>
      <c r="C830" s="28" t="s">
        <v>3166</v>
      </c>
      <c r="D830" s="443" t="s">
        <v>3145</v>
      </c>
      <c r="E830" s="361" t="str">
        <f t="shared" ca="1" si="12"/>
        <v>LOSS</v>
      </c>
      <c r="F830" s="36" t="s">
        <v>115</v>
      </c>
      <c r="G830" s="28" t="s">
        <v>3167</v>
      </c>
      <c r="H830" s="29" t="s">
        <v>2748</v>
      </c>
      <c r="I830" s="29" t="s">
        <v>346</v>
      </c>
      <c r="J830" s="42" t="s">
        <v>62</v>
      </c>
      <c r="K830" s="28"/>
      <c r="L830" s="27"/>
      <c r="M830" s="27"/>
      <c r="N830" s="29"/>
      <c r="O830" s="56"/>
      <c r="P830" s="43">
        <v>3366600000</v>
      </c>
      <c r="Q830" s="43"/>
      <c r="R830" s="27"/>
      <c r="S830" s="32">
        <v>8000000</v>
      </c>
      <c r="T830" s="33"/>
      <c r="U830" s="334">
        <v>45392</v>
      </c>
      <c r="V830" s="334">
        <v>45756</v>
      </c>
      <c r="W830" s="27" t="s">
        <v>17</v>
      </c>
      <c r="X830" s="27"/>
      <c r="Y830" s="34">
        <f t="shared" ca="1" si="13"/>
        <v>46290</v>
      </c>
      <c r="Z830" s="35">
        <f t="shared" ca="1" si="14"/>
        <v>-534</v>
      </c>
      <c r="AA830" s="27">
        <f t="shared" si="15"/>
        <v>4</v>
      </c>
      <c r="AB830" s="27">
        <f t="shared" si="16"/>
        <v>2025</v>
      </c>
      <c r="AC830" s="28" t="s">
        <v>3168</v>
      </c>
      <c r="AD830" s="28" t="s">
        <v>3169</v>
      </c>
      <c r="AE830" s="27">
        <v>4500022801</v>
      </c>
      <c r="AF830" s="27" t="s">
        <v>333</v>
      </c>
      <c r="AG830" s="29" t="s">
        <v>3150</v>
      </c>
      <c r="AH830" s="28" t="s">
        <v>3170</v>
      </c>
      <c r="AI830" s="27"/>
      <c r="AJ830" s="27"/>
      <c r="AK830" s="27"/>
      <c r="AL830" s="27"/>
      <c r="AM830" s="27"/>
      <c r="AN830" s="27"/>
      <c r="AO830" s="27" t="s">
        <v>3171</v>
      </c>
      <c r="AP830" s="27" t="s">
        <v>3172</v>
      </c>
      <c r="AQ830" s="27"/>
      <c r="AR830" s="504"/>
      <c r="AS830" s="332" t="s">
        <v>3173</v>
      </c>
      <c r="AT830" s="160"/>
    </row>
    <row r="831" spans="1:46" ht="21.75" hidden="1" customHeight="1">
      <c r="A831" s="331">
        <v>830</v>
      </c>
      <c r="B831" s="28" t="s">
        <v>61</v>
      </c>
      <c r="C831" s="28" t="s">
        <v>3174</v>
      </c>
      <c r="D831" s="444" t="s">
        <v>3145</v>
      </c>
      <c r="E831" s="361" t="str">
        <f t="shared" ca="1" si="12"/>
        <v>LOSS</v>
      </c>
      <c r="F831" s="36" t="s">
        <v>115</v>
      </c>
      <c r="G831" s="28" t="s">
        <v>3175</v>
      </c>
      <c r="H831" s="29" t="s">
        <v>2748</v>
      </c>
      <c r="I831" s="29" t="s">
        <v>346</v>
      </c>
      <c r="J831" s="28" t="s">
        <v>1296</v>
      </c>
      <c r="K831" s="28"/>
      <c r="L831" s="27"/>
      <c r="M831" s="27"/>
      <c r="N831" s="29"/>
      <c r="O831" s="56"/>
      <c r="P831" s="31">
        <v>60000000</v>
      </c>
      <c r="Q831" s="31"/>
      <c r="R831" s="27"/>
      <c r="S831" s="32">
        <v>8000000</v>
      </c>
      <c r="T831" s="33"/>
      <c r="U831" s="334">
        <v>44696</v>
      </c>
      <c r="V831" s="334">
        <v>44742</v>
      </c>
      <c r="W831" s="27" t="s">
        <v>245</v>
      </c>
      <c r="X831" s="27"/>
      <c r="Y831" s="34">
        <f t="shared" ca="1" si="13"/>
        <v>46290</v>
      </c>
      <c r="Z831" s="35">
        <f t="shared" ca="1" si="14"/>
        <v>-1548</v>
      </c>
      <c r="AA831" s="27">
        <f t="shared" si="15"/>
        <v>6</v>
      </c>
      <c r="AB831" s="27">
        <f t="shared" si="16"/>
        <v>2022</v>
      </c>
      <c r="AC831" s="28" t="s">
        <v>3176</v>
      </c>
      <c r="AD831" s="28" t="s">
        <v>3177</v>
      </c>
      <c r="AE831" s="27">
        <v>4500018963</v>
      </c>
      <c r="AF831" s="27" t="s">
        <v>339</v>
      </c>
      <c r="AG831" s="29" t="s">
        <v>3150</v>
      </c>
      <c r="AH831" s="28" t="s">
        <v>3170</v>
      </c>
      <c r="AI831" s="27"/>
      <c r="AJ831" s="27"/>
      <c r="AK831" s="27" t="s">
        <v>3178</v>
      </c>
      <c r="AL831" s="27"/>
      <c r="AM831" s="27" t="s">
        <v>3179</v>
      </c>
      <c r="AN831" s="27" t="s">
        <v>3180</v>
      </c>
      <c r="AO831" s="27"/>
      <c r="AP831" s="27"/>
      <c r="AQ831" s="27"/>
      <c r="AR831" s="504"/>
      <c r="AS831" s="332" t="s">
        <v>3181</v>
      </c>
      <c r="AT831" s="160"/>
    </row>
    <row r="832" spans="1:46" ht="21.75" hidden="1" customHeight="1">
      <c r="A832" s="331">
        <v>831</v>
      </c>
      <c r="B832" s="28" t="s">
        <v>61</v>
      </c>
      <c r="C832" s="28" t="s">
        <v>1418</v>
      </c>
      <c r="D832" s="443" t="s">
        <v>3145</v>
      </c>
      <c r="E832" s="361" t="str">
        <f t="shared" ca="1" si="12"/>
        <v>LOSS</v>
      </c>
      <c r="F832" s="29" t="s">
        <v>3182</v>
      </c>
      <c r="G832" s="28" t="s">
        <v>3183</v>
      </c>
      <c r="H832" s="29" t="s">
        <v>2748</v>
      </c>
      <c r="I832" s="29" t="s">
        <v>346</v>
      </c>
      <c r="J832" s="44" t="s">
        <v>809</v>
      </c>
      <c r="K832" s="28"/>
      <c r="L832" s="27"/>
      <c r="M832" s="27"/>
      <c r="N832" s="29"/>
      <c r="O832" s="56"/>
      <c r="P832" s="31">
        <v>111600000</v>
      </c>
      <c r="Q832" s="31"/>
      <c r="R832" s="27"/>
      <c r="S832" s="32">
        <v>8000000</v>
      </c>
      <c r="T832" s="33"/>
      <c r="U832" s="334">
        <v>44199</v>
      </c>
      <c r="V832" s="334">
        <v>44563</v>
      </c>
      <c r="W832" s="27" t="s">
        <v>245</v>
      </c>
      <c r="X832" s="27"/>
      <c r="Y832" s="34">
        <f t="shared" ca="1" si="13"/>
        <v>46290</v>
      </c>
      <c r="Z832" s="35">
        <f t="shared" ca="1" si="14"/>
        <v>-1727</v>
      </c>
      <c r="AA832" s="27">
        <f t="shared" si="15"/>
        <v>1</v>
      </c>
      <c r="AB832" s="27">
        <f t="shared" si="16"/>
        <v>2022</v>
      </c>
      <c r="AC832" s="28" t="s">
        <v>3184</v>
      </c>
      <c r="AD832" s="28" t="s">
        <v>3185</v>
      </c>
      <c r="AE832" s="27">
        <v>4500015718</v>
      </c>
      <c r="AF832" s="27" t="s">
        <v>339</v>
      </c>
      <c r="AG832" s="29" t="s">
        <v>3150</v>
      </c>
      <c r="AH832" s="28" t="s">
        <v>3151</v>
      </c>
      <c r="AI832" s="27" t="s">
        <v>115</v>
      </c>
      <c r="AJ832" s="27" t="s">
        <v>3186</v>
      </c>
      <c r="AK832" s="27" t="s">
        <v>3187</v>
      </c>
      <c r="AL832" s="27" t="s">
        <v>2952</v>
      </c>
      <c r="AM832" s="27" t="s">
        <v>3188</v>
      </c>
      <c r="AN832" s="27"/>
      <c r="AO832" s="27"/>
      <c r="AP832" s="27"/>
      <c r="AQ832" s="27"/>
      <c r="AR832" s="504"/>
      <c r="AS832" s="332"/>
      <c r="AT832" s="160"/>
    </row>
    <row r="833" spans="1:46" ht="21.75" hidden="1" customHeight="1">
      <c r="A833" s="331">
        <v>832</v>
      </c>
      <c r="B833" s="28" t="s">
        <v>61</v>
      </c>
      <c r="C833" s="28" t="s">
        <v>1229</v>
      </c>
      <c r="D833" s="444" t="s">
        <v>3145</v>
      </c>
      <c r="E833" s="361" t="str">
        <f t="shared" ca="1" si="12"/>
        <v>LOSS</v>
      </c>
      <c r="F833" s="29" t="s">
        <v>3189</v>
      </c>
      <c r="G833" s="28" t="s">
        <v>3183</v>
      </c>
      <c r="H833" s="29" t="s">
        <v>2748</v>
      </c>
      <c r="I833" s="160" t="s">
        <v>242</v>
      </c>
      <c r="J833" s="28" t="s">
        <v>1331</v>
      </c>
      <c r="K833" s="28"/>
      <c r="L833" s="27"/>
      <c r="M833" s="27"/>
      <c r="N833" s="29"/>
      <c r="O833" s="56"/>
      <c r="P833" s="31">
        <v>72000000</v>
      </c>
      <c r="Q833" s="31"/>
      <c r="R833" s="27"/>
      <c r="S833" s="32">
        <v>6000000</v>
      </c>
      <c r="T833" s="33"/>
      <c r="U833" s="334">
        <v>45278</v>
      </c>
      <c r="V833" s="334">
        <v>45643</v>
      </c>
      <c r="W833" s="27" t="s">
        <v>17</v>
      </c>
      <c r="X833" s="27" t="s">
        <v>3148</v>
      </c>
      <c r="Y833" s="34">
        <f t="shared" ca="1" si="13"/>
        <v>46290</v>
      </c>
      <c r="Z833" s="35">
        <f t="shared" ca="1" si="14"/>
        <v>-647</v>
      </c>
      <c r="AA833" s="27">
        <f t="shared" si="15"/>
        <v>12</v>
      </c>
      <c r="AB833" s="27">
        <f t="shared" si="16"/>
        <v>2024</v>
      </c>
      <c r="AC833" s="28" t="s">
        <v>3190</v>
      </c>
      <c r="AD833" s="28">
        <v>18911</v>
      </c>
      <c r="AE833" s="27">
        <v>4500021919</v>
      </c>
      <c r="AF833" s="27" t="s">
        <v>339</v>
      </c>
      <c r="AG833" s="29" t="s">
        <v>3150</v>
      </c>
      <c r="AH833" s="28" t="s">
        <v>3151</v>
      </c>
      <c r="AI833" s="27"/>
      <c r="AJ833" s="27" t="s">
        <v>3191</v>
      </c>
      <c r="AK833" s="27" t="s">
        <v>3192</v>
      </c>
      <c r="AL833" s="27" t="s">
        <v>3193</v>
      </c>
      <c r="AM833" s="27" t="s">
        <v>3194</v>
      </c>
      <c r="AN833" s="27" t="s">
        <v>3195</v>
      </c>
      <c r="AO833" s="27"/>
      <c r="AP833" s="27"/>
      <c r="AQ833" s="27"/>
      <c r="AR833" s="504"/>
      <c r="AS833" s="332"/>
      <c r="AT833" s="160"/>
    </row>
    <row r="834" spans="1:46" ht="21.75" hidden="1" customHeight="1">
      <c r="A834" s="331">
        <v>833</v>
      </c>
      <c r="B834" s="28" t="s">
        <v>61</v>
      </c>
      <c r="C834" s="28" t="s">
        <v>1418</v>
      </c>
      <c r="D834" s="443" t="s">
        <v>3145</v>
      </c>
      <c r="E834" s="361" t="str">
        <f t="shared" ref="E834:E897" ca="1" si="17">IF(Z834&lt;=0, "LOSS",IF(Z834&lt;=15, "CRITICAL",IF(Z834&lt;=30, "WARNING",IF(Z834&lt;60, "ATTENTION", "ON TRACK"))))</f>
        <v>LOSS</v>
      </c>
      <c r="F834" s="29" t="s">
        <v>3196</v>
      </c>
      <c r="G834" s="28" t="s">
        <v>3183</v>
      </c>
      <c r="H834" s="29" t="s">
        <v>2748</v>
      </c>
      <c r="I834" s="29" t="s">
        <v>346</v>
      </c>
      <c r="J834" s="28" t="s">
        <v>809</v>
      </c>
      <c r="K834" s="28"/>
      <c r="L834" s="27"/>
      <c r="M834" s="27"/>
      <c r="N834" s="29"/>
      <c r="O834" s="56"/>
      <c r="P834" s="31">
        <v>81600000</v>
      </c>
      <c r="Q834" s="31"/>
      <c r="R834" s="27"/>
      <c r="S834" s="32">
        <v>8000000</v>
      </c>
      <c r="T834" s="33"/>
      <c r="U834" s="334">
        <v>44166</v>
      </c>
      <c r="V834" s="334">
        <v>44530</v>
      </c>
      <c r="W834" s="27" t="s">
        <v>250</v>
      </c>
      <c r="X834" s="27"/>
      <c r="Y834" s="34">
        <f t="shared" ca="1" si="13"/>
        <v>46290</v>
      </c>
      <c r="Z834" s="35">
        <f t="shared" ca="1" si="14"/>
        <v>-1760</v>
      </c>
      <c r="AA834" s="27">
        <f t="shared" si="15"/>
        <v>11</v>
      </c>
      <c r="AB834" s="27">
        <f t="shared" si="16"/>
        <v>2021</v>
      </c>
      <c r="AC834" s="28" t="s">
        <v>3197</v>
      </c>
      <c r="AD834" s="28" t="s">
        <v>3198</v>
      </c>
      <c r="AE834" s="27">
        <v>4500015270</v>
      </c>
      <c r="AF834" s="27" t="s">
        <v>339</v>
      </c>
      <c r="AG834" s="29" t="s">
        <v>3150</v>
      </c>
      <c r="AH834" s="28" t="s">
        <v>3151</v>
      </c>
      <c r="AI834" s="27" t="s">
        <v>3186</v>
      </c>
      <c r="AJ834" s="27" t="s">
        <v>3199</v>
      </c>
      <c r="AK834" s="27" t="s">
        <v>3200</v>
      </c>
      <c r="AL834" s="27"/>
      <c r="AM834" s="27"/>
      <c r="AN834" s="27"/>
      <c r="AO834" s="27"/>
      <c r="AP834" s="27"/>
      <c r="AQ834" s="27"/>
      <c r="AR834" s="504"/>
      <c r="AS834" s="332"/>
      <c r="AT834" s="160"/>
    </row>
    <row r="835" spans="1:46" ht="21.75" hidden="1" customHeight="1">
      <c r="A835" s="331">
        <v>834</v>
      </c>
      <c r="B835" s="28" t="s">
        <v>61</v>
      </c>
      <c r="C835" s="28" t="s">
        <v>3201</v>
      </c>
      <c r="D835" s="444" t="s">
        <v>3145</v>
      </c>
      <c r="E835" s="361" t="str">
        <f t="shared" ca="1" si="17"/>
        <v>LOSS</v>
      </c>
      <c r="F835" s="36" t="s">
        <v>115</v>
      </c>
      <c r="G835" s="28" t="s">
        <v>3202</v>
      </c>
      <c r="H835" s="29" t="s">
        <v>2748</v>
      </c>
      <c r="I835" s="29" t="s">
        <v>346</v>
      </c>
      <c r="J835" s="28" t="s">
        <v>1612</v>
      </c>
      <c r="K835" s="28"/>
      <c r="L835" s="27"/>
      <c r="M835" s="27"/>
      <c r="N835" s="29"/>
      <c r="O835" s="56"/>
      <c r="P835" s="31">
        <v>48000000</v>
      </c>
      <c r="Q835" s="31"/>
      <c r="R835" s="27"/>
      <c r="S835" s="32">
        <v>8000000</v>
      </c>
      <c r="T835" s="33"/>
      <c r="U835" s="334">
        <v>44470</v>
      </c>
      <c r="V835" s="334">
        <v>44834</v>
      </c>
      <c r="W835" s="27" t="s">
        <v>250</v>
      </c>
      <c r="X835" s="27"/>
      <c r="Y835" s="34">
        <f t="shared" ca="1" si="13"/>
        <v>46290</v>
      </c>
      <c r="Z835" s="35">
        <f t="shared" ca="1" si="14"/>
        <v>-1456</v>
      </c>
      <c r="AA835" s="27">
        <f t="shared" si="15"/>
        <v>9</v>
      </c>
      <c r="AB835" s="27">
        <f t="shared" si="16"/>
        <v>2022</v>
      </c>
      <c r="AC835" s="28" t="s">
        <v>479</v>
      </c>
      <c r="AD835" s="28" t="s">
        <v>1613</v>
      </c>
      <c r="AE835" s="27">
        <v>4500016821</v>
      </c>
      <c r="AF835" s="27" t="s">
        <v>339</v>
      </c>
      <c r="AG835" s="29" t="s">
        <v>3150</v>
      </c>
      <c r="AH835" s="28" t="s">
        <v>3151</v>
      </c>
      <c r="AI835" s="27"/>
      <c r="AJ835" s="27"/>
      <c r="AK835" s="27"/>
      <c r="AL835" s="27"/>
      <c r="AM835" s="27" t="s">
        <v>3203</v>
      </c>
      <c r="AN835" s="27"/>
      <c r="AO835" s="27"/>
      <c r="AP835" s="27"/>
      <c r="AQ835" s="27"/>
      <c r="AR835" s="504"/>
      <c r="AS835" s="332"/>
      <c r="AT835" s="160"/>
    </row>
    <row r="836" spans="1:46" ht="21.75" hidden="1" customHeight="1">
      <c r="A836" s="331">
        <v>835</v>
      </c>
      <c r="B836" s="28" t="s">
        <v>61</v>
      </c>
      <c r="C836" s="28" t="s">
        <v>3204</v>
      </c>
      <c r="D836" s="443" t="s">
        <v>3145</v>
      </c>
      <c r="E836" s="361" t="str">
        <f t="shared" ca="1" si="17"/>
        <v>LOSS</v>
      </c>
      <c r="F836" s="29" t="s">
        <v>3189</v>
      </c>
      <c r="G836" s="38" t="s">
        <v>115</v>
      </c>
      <c r="H836" s="29" t="s">
        <v>2748</v>
      </c>
      <c r="I836" s="160" t="s">
        <v>242</v>
      </c>
      <c r="J836" s="28" t="s">
        <v>1230</v>
      </c>
      <c r="K836" s="28"/>
      <c r="L836" s="27"/>
      <c r="M836" s="27"/>
      <c r="N836" s="29"/>
      <c r="O836" s="56"/>
      <c r="P836" s="31">
        <v>36000000</v>
      </c>
      <c r="Q836" s="31"/>
      <c r="R836" s="27"/>
      <c r="S836" s="32">
        <v>8000000</v>
      </c>
      <c r="T836" s="33"/>
      <c r="U836" s="334">
        <v>45278</v>
      </c>
      <c r="V836" s="334">
        <v>45643</v>
      </c>
      <c r="W836" s="27" t="s">
        <v>17</v>
      </c>
      <c r="X836" s="27" t="s">
        <v>3148</v>
      </c>
      <c r="Y836" s="34">
        <f t="shared" ca="1" si="13"/>
        <v>46290</v>
      </c>
      <c r="Z836" s="35">
        <f t="shared" ca="1" si="14"/>
        <v>-647</v>
      </c>
      <c r="AA836" s="27">
        <f t="shared" si="15"/>
        <v>12</v>
      </c>
      <c r="AB836" s="27">
        <f t="shared" si="16"/>
        <v>2024</v>
      </c>
      <c r="AC836" s="28" t="s">
        <v>3205</v>
      </c>
      <c r="AD836" s="28" t="s">
        <v>3206</v>
      </c>
      <c r="AE836" s="27">
        <v>4500021919</v>
      </c>
      <c r="AF836" s="27" t="s">
        <v>339</v>
      </c>
      <c r="AG836" s="29" t="s">
        <v>3150</v>
      </c>
      <c r="AH836" s="28" t="s">
        <v>3158</v>
      </c>
      <c r="AI836" s="27"/>
      <c r="AJ836" s="27"/>
      <c r="AK836" s="27" t="s">
        <v>3207</v>
      </c>
      <c r="AL836" s="27" t="s">
        <v>3208</v>
      </c>
      <c r="AM836" s="27" t="s">
        <v>3209</v>
      </c>
      <c r="AN836" s="27"/>
      <c r="AO836" s="27" t="s">
        <v>3210</v>
      </c>
      <c r="AP836" s="27"/>
      <c r="AQ836" s="27"/>
      <c r="AR836" s="504"/>
      <c r="AS836" s="332"/>
      <c r="AT836" s="160"/>
    </row>
    <row r="837" spans="1:46" ht="21.75" hidden="1" customHeight="1">
      <c r="A837" s="331">
        <v>836</v>
      </c>
      <c r="B837" s="28" t="s">
        <v>61</v>
      </c>
      <c r="C837" s="28" t="s">
        <v>1412</v>
      </c>
      <c r="D837" s="444" t="s">
        <v>3145</v>
      </c>
      <c r="E837" s="361" t="str">
        <f t="shared" ca="1" si="17"/>
        <v>LOSS</v>
      </c>
      <c r="F837" s="36" t="s">
        <v>115</v>
      </c>
      <c r="G837" s="28" t="s">
        <v>3211</v>
      </c>
      <c r="H837" s="29" t="s">
        <v>2748</v>
      </c>
      <c r="I837" s="29" t="s">
        <v>346</v>
      </c>
      <c r="J837" s="28" t="s">
        <v>744</v>
      </c>
      <c r="K837" s="28"/>
      <c r="L837" s="27"/>
      <c r="M837" s="27"/>
      <c r="N837" s="29"/>
      <c r="O837" s="56"/>
      <c r="P837" s="31">
        <v>216000000</v>
      </c>
      <c r="Q837" s="31"/>
      <c r="R837" s="27"/>
      <c r="S837" s="32">
        <v>6000000</v>
      </c>
      <c r="T837" s="33"/>
      <c r="U837" s="334">
        <v>44621</v>
      </c>
      <c r="V837" s="334">
        <v>44985</v>
      </c>
      <c r="W837" s="27" t="s">
        <v>250</v>
      </c>
      <c r="X837" s="27"/>
      <c r="Y837" s="34">
        <f t="shared" ca="1" si="13"/>
        <v>46290</v>
      </c>
      <c r="Z837" s="35">
        <f t="shared" ca="1" si="14"/>
        <v>-1305</v>
      </c>
      <c r="AA837" s="27">
        <f t="shared" si="15"/>
        <v>2</v>
      </c>
      <c r="AB837" s="27">
        <f t="shared" si="16"/>
        <v>2023</v>
      </c>
      <c r="AC837" s="28" t="s">
        <v>3212</v>
      </c>
      <c r="AD837" s="28" t="s">
        <v>3213</v>
      </c>
      <c r="AE837" s="27">
        <v>4500019966</v>
      </c>
      <c r="AF837" s="27" t="s">
        <v>339</v>
      </c>
      <c r="AG837" s="29" t="s">
        <v>3150</v>
      </c>
      <c r="AH837" s="28" t="s">
        <v>3158</v>
      </c>
      <c r="AI837" s="27"/>
      <c r="AJ837" s="27"/>
      <c r="AK837" s="27" t="s">
        <v>3214</v>
      </c>
      <c r="AL837" s="27" t="s">
        <v>3215</v>
      </c>
      <c r="AM837" s="27" t="s">
        <v>3216</v>
      </c>
      <c r="AN837" s="27" t="s">
        <v>3217</v>
      </c>
      <c r="AO837" s="27"/>
      <c r="AP837" s="27"/>
      <c r="AQ837" s="27"/>
      <c r="AR837" s="504"/>
      <c r="AS837" s="332"/>
      <c r="AT837" s="160"/>
    </row>
    <row r="838" spans="1:46" ht="21.75" hidden="1" customHeight="1">
      <c r="A838" s="331">
        <v>837</v>
      </c>
      <c r="B838" s="28" t="s">
        <v>61</v>
      </c>
      <c r="C838" s="28" t="s">
        <v>3204</v>
      </c>
      <c r="D838" s="443" t="s">
        <v>3145</v>
      </c>
      <c r="E838" s="361" t="str">
        <f t="shared" ca="1" si="17"/>
        <v>LOSS</v>
      </c>
      <c r="F838" s="29"/>
      <c r="G838" s="28" t="s">
        <v>3218</v>
      </c>
      <c r="H838" s="29" t="s">
        <v>2748</v>
      </c>
      <c r="I838" s="29" t="s">
        <v>346</v>
      </c>
      <c r="J838" s="28" t="s">
        <v>64</v>
      </c>
      <c r="K838" s="28"/>
      <c r="L838" s="27"/>
      <c r="M838" s="27"/>
      <c r="N838" s="29"/>
      <c r="O838" s="56"/>
      <c r="P838" s="31">
        <v>144000000</v>
      </c>
      <c r="Q838" s="31"/>
      <c r="R838" s="27"/>
      <c r="S838" s="32">
        <v>8000000</v>
      </c>
      <c r="T838" s="33"/>
      <c r="U838" s="334">
        <v>45170</v>
      </c>
      <c r="V838" s="334">
        <v>45535</v>
      </c>
      <c r="W838" s="27" t="s">
        <v>250</v>
      </c>
      <c r="X838" s="27"/>
      <c r="Y838" s="34">
        <f t="shared" ca="1" si="13"/>
        <v>46290</v>
      </c>
      <c r="Z838" s="35">
        <f t="shared" ca="1" si="14"/>
        <v>-755</v>
      </c>
      <c r="AA838" s="27">
        <f t="shared" si="15"/>
        <v>8</v>
      </c>
      <c r="AB838" s="27">
        <f t="shared" si="16"/>
        <v>2024</v>
      </c>
      <c r="AC838" s="28" t="s">
        <v>3219</v>
      </c>
      <c r="AD838" s="28"/>
      <c r="AE838" s="27">
        <v>4500020934</v>
      </c>
      <c r="AF838" s="27" t="s">
        <v>339</v>
      </c>
      <c r="AG838" s="29" t="s">
        <v>3150</v>
      </c>
      <c r="AH838" s="28" t="s">
        <v>3158</v>
      </c>
      <c r="AI838" s="27"/>
      <c r="AJ838" s="27"/>
      <c r="AK838" s="27" t="s">
        <v>3220</v>
      </c>
      <c r="AL838" s="27" t="s">
        <v>3221</v>
      </c>
      <c r="AM838" s="27" t="s">
        <v>3222</v>
      </c>
      <c r="AN838" s="27" t="s">
        <v>3223</v>
      </c>
      <c r="AO838" s="27" t="s">
        <v>3224</v>
      </c>
      <c r="AP838" s="27"/>
      <c r="AQ838" s="27"/>
      <c r="AR838" s="504"/>
      <c r="AS838" s="332"/>
      <c r="AT838" s="160"/>
    </row>
    <row r="839" spans="1:46" ht="21.75" hidden="1" customHeight="1">
      <c r="A839" s="331">
        <v>838</v>
      </c>
      <c r="B839" s="28" t="s">
        <v>61</v>
      </c>
      <c r="C839" s="28" t="s">
        <v>3204</v>
      </c>
      <c r="D839" s="444" t="s">
        <v>3145</v>
      </c>
      <c r="E839" s="361" t="str">
        <f t="shared" ca="1" si="17"/>
        <v>LOSS</v>
      </c>
      <c r="F839" s="29"/>
      <c r="G839" s="28" t="s">
        <v>3218</v>
      </c>
      <c r="H839" s="29" t="s">
        <v>2748</v>
      </c>
      <c r="I839" s="160" t="s">
        <v>346</v>
      </c>
      <c r="J839" s="28" t="s">
        <v>64</v>
      </c>
      <c r="K839" s="28"/>
      <c r="L839" s="27"/>
      <c r="M839" s="27"/>
      <c r="N839" s="29"/>
      <c r="O839" s="56"/>
      <c r="P839" s="31">
        <v>108000000</v>
      </c>
      <c r="Q839" s="31"/>
      <c r="R839" s="27"/>
      <c r="S839" s="32">
        <v>8000000</v>
      </c>
      <c r="T839" s="33"/>
      <c r="U839" s="334">
        <v>45536</v>
      </c>
      <c r="V839" s="334">
        <v>45900</v>
      </c>
      <c r="W839" s="27" t="s">
        <v>17</v>
      </c>
      <c r="X839" s="27"/>
      <c r="Y839" s="34">
        <f t="shared" ca="1" si="13"/>
        <v>46290</v>
      </c>
      <c r="Z839" s="35">
        <f t="shared" ca="1" si="14"/>
        <v>-390</v>
      </c>
      <c r="AA839" s="27">
        <f t="shared" si="15"/>
        <v>8</v>
      </c>
      <c r="AB839" s="27">
        <f t="shared" si="16"/>
        <v>2025</v>
      </c>
      <c r="AC839" s="28"/>
      <c r="AD839" s="28" t="s">
        <v>3225</v>
      </c>
      <c r="AE839" s="27">
        <v>4500023035</v>
      </c>
      <c r="AF839" s="27" t="s">
        <v>333</v>
      </c>
      <c r="AG839" s="29" t="s">
        <v>3150</v>
      </c>
      <c r="AH839" s="28" t="s">
        <v>3158</v>
      </c>
      <c r="AI839" s="27"/>
      <c r="AJ839" s="27"/>
      <c r="AK839" s="27"/>
      <c r="AL839" s="27"/>
      <c r="AM839" s="27"/>
      <c r="AN839" s="27"/>
      <c r="AO839" s="27"/>
      <c r="AP839" s="27" t="s">
        <v>3226</v>
      </c>
      <c r="AQ839" s="27"/>
      <c r="AR839" s="504"/>
      <c r="AS839" s="332"/>
      <c r="AT839" s="160"/>
    </row>
    <row r="840" spans="1:46" ht="21.75" hidden="1" customHeight="1">
      <c r="A840" s="331">
        <v>839</v>
      </c>
      <c r="B840" s="28" t="s">
        <v>61</v>
      </c>
      <c r="C840" s="28" t="s">
        <v>3227</v>
      </c>
      <c r="D840" s="443" t="s">
        <v>3145</v>
      </c>
      <c r="E840" s="361" t="str">
        <f t="shared" ca="1" si="17"/>
        <v>LOSS</v>
      </c>
      <c r="F840" s="29"/>
      <c r="G840" s="28" t="s">
        <v>3228</v>
      </c>
      <c r="H840" s="29" t="s">
        <v>2748</v>
      </c>
      <c r="I840" s="29" t="s">
        <v>346</v>
      </c>
      <c r="J840" s="28" t="s">
        <v>3229</v>
      </c>
      <c r="K840" s="28"/>
      <c r="L840" s="27"/>
      <c r="M840" s="27"/>
      <c r="N840" s="29"/>
      <c r="O840" s="56"/>
      <c r="P840" s="31">
        <v>96000000</v>
      </c>
      <c r="Q840" s="31"/>
      <c r="R840" s="27"/>
      <c r="S840" s="32">
        <v>2000000</v>
      </c>
      <c r="T840" s="33"/>
      <c r="U840" s="334">
        <v>44121</v>
      </c>
      <c r="V840" s="334">
        <v>44485</v>
      </c>
      <c r="W840" s="27" t="s">
        <v>250</v>
      </c>
      <c r="X840" s="27"/>
      <c r="Y840" s="34">
        <f t="shared" ca="1" si="13"/>
        <v>46290</v>
      </c>
      <c r="Z840" s="35">
        <f t="shared" ca="1" si="14"/>
        <v>-1805</v>
      </c>
      <c r="AA840" s="27">
        <f t="shared" si="15"/>
        <v>10</v>
      </c>
      <c r="AB840" s="27">
        <f t="shared" si="16"/>
        <v>2021</v>
      </c>
      <c r="AC840" s="28" t="s">
        <v>3230</v>
      </c>
      <c r="AD840" s="28" t="s">
        <v>3231</v>
      </c>
      <c r="AE840" s="27">
        <v>4500015110</v>
      </c>
      <c r="AF840" s="27" t="s">
        <v>339</v>
      </c>
      <c r="AG840" s="29" t="s">
        <v>3150</v>
      </c>
      <c r="AH840" s="28" t="s">
        <v>3151</v>
      </c>
      <c r="AI840" s="27"/>
      <c r="AJ840" s="27"/>
      <c r="AK840" s="27" t="s">
        <v>3232</v>
      </c>
      <c r="AL840" s="27" t="s">
        <v>3233</v>
      </c>
      <c r="AM840" s="27"/>
      <c r="AN840" s="27"/>
      <c r="AO840" s="27"/>
      <c r="AP840" s="27"/>
      <c r="AQ840" s="27"/>
      <c r="AR840" s="504"/>
      <c r="AS840" s="332" t="s">
        <v>3234</v>
      </c>
      <c r="AT840" s="160"/>
    </row>
    <row r="841" spans="1:46" ht="21.75" hidden="1" customHeight="1">
      <c r="A841" s="331">
        <v>840</v>
      </c>
      <c r="B841" s="28" t="s">
        <v>61</v>
      </c>
      <c r="C841" s="28" t="s">
        <v>2868</v>
      </c>
      <c r="D841" s="444" t="s">
        <v>3145</v>
      </c>
      <c r="E841" s="361" t="str">
        <f t="shared" ca="1" si="17"/>
        <v>LOSS</v>
      </c>
      <c r="F841" s="29"/>
      <c r="G841" s="28" t="s">
        <v>3235</v>
      </c>
      <c r="H841" s="29" t="s">
        <v>2748</v>
      </c>
      <c r="I841" s="29" t="s">
        <v>346</v>
      </c>
      <c r="J841" s="28" t="s">
        <v>744</v>
      </c>
      <c r="K841" s="28"/>
      <c r="L841" s="27"/>
      <c r="M841" s="27"/>
      <c r="N841" s="29"/>
      <c r="O841" s="56"/>
      <c r="P841" s="31">
        <v>114000000</v>
      </c>
      <c r="Q841" s="31"/>
      <c r="R841" s="27"/>
      <c r="S841" s="32">
        <v>2000000</v>
      </c>
      <c r="T841" s="33"/>
      <c r="U841" s="334">
        <v>44679</v>
      </c>
      <c r="V841" s="334">
        <v>45043</v>
      </c>
      <c r="W841" s="27" t="s">
        <v>250</v>
      </c>
      <c r="X841" s="27"/>
      <c r="Y841" s="34">
        <f t="shared" ca="1" si="13"/>
        <v>46290</v>
      </c>
      <c r="Z841" s="35">
        <f t="shared" ca="1" si="14"/>
        <v>-1247</v>
      </c>
      <c r="AA841" s="27">
        <f t="shared" si="15"/>
        <v>4</v>
      </c>
      <c r="AB841" s="27">
        <f t="shared" si="16"/>
        <v>2023</v>
      </c>
      <c r="AC841" s="28" t="s">
        <v>3236</v>
      </c>
      <c r="AD841" s="28" t="s">
        <v>3237</v>
      </c>
      <c r="AE841" s="27">
        <v>4500016837</v>
      </c>
      <c r="AF841" s="27" t="s">
        <v>339</v>
      </c>
      <c r="AG841" s="29" t="s">
        <v>3150</v>
      </c>
      <c r="AH841" s="28" t="s">
        <v>3151</v>
      </c>
      <c r="AI841" s="27"/>
      <c r="AJ841" s="27" t="s">
        <v>3238</v>
      </c>
      <c r="AK841" s="27" t="s">
        <v>3239</v>
      </c>
      <c r="AL841" s="27" t="s">
        <v>3240</v>
      </c>
      <c r="AM841" s="27" t="s">
        <v>3241</v>
      </c>
      <c r="AN841" s="27"/>
      <c r="AO841" s="27"/>
      <c r="AP841" s="27"/>
      <c r="AQ841" s="27"/>
      <c r="AR841" s="504"/>
      <c r="AS841" s="332" t="s">
        <v>3234</v>
      </c>
      <c r="AT841" s="160"/>
    </row>
    <row r="842" spans="1:46" ht="21.75" hidden="1" customHeight="1">
      <c r="A842" s="331">
        <v>841</v>
      </c>
      <c r="B842" s="28" t="s">
        <v>61</v>
      </c>
      <c r="C842" s="28" t="s">
        <v>1192</v>
      </c>
      <c r="D842" s="443" t="s">
        <v>3145</v>
      </c>
      <c r="E842" s="361" t="str">
        <f t="shared" ca="1" si="17"/>
        <v>LOSS</v>
      </c>
      <c r="F842" s="29"/>
      <c r="G842" s="28" t="s">
        <v>3242</v>
      </c>
      <c r="H842" s="29" t="s">
        <v>2748</v>
      </c>
      <c r="I842" s="29" t="s">
        <v>346</v>
      </c>
      <c r="J842" s="28" t="s">
        <v>2568</v>
      </c>
      <c r="K842" s="28"/>
      <c r="L842" s="27"/>
      <c r="M842" s="27"/>
      <c r="N842" s="29"/>
      <c r="O842" s="56"/>
      <c r="P842" s="31">
        <v>600000000</v>
      </c>
      <c r="Q842" s="31"/>
      <c r="R842" s="27"/>
      <c r="S842" s="32">
        <v>8000000</v>
      </c>
      <c r="T842" s="33"/>
      <c r="U842" s="334">
        <v>44875</v>
      </c>
      <c r="V842" s="334">
        <v>45239</v>
      </c>
      <c r="W842" s="27" t="s">
        <v>250</v>
      </c>
      <c r="X842" s="27"/>
      <c r="Y842" s="34">
        <f t="shared" ca="1" si="13"/>
        <v>46290</v>
      </c>
      <c r="Z842" s="35">
        <f t="shared" ca="1" si="14"/>
        <v>-1051</v>
      </c>
      <c r="AA842" s="27">
        <f t="shared" si="15"/>
        <v>11</v>
      </c>
      <c r="AB842" s="27">
        <f t="shared" si="16"/>
        <v>2023</v>
      </c>
      <c r="AC842" s="28" t="s">
        <v>3243</v>
      </c>
      <c r="AD842" s="28" t="s">
        <v>3244</v>
      </c>
      <c r="AE842" s="27">
        <v>4500018400</v>
      </c>
      <c r="AF842" s="27" t="s">
        <v>339</v>
      </c>
      <c r="AG842" s="29" t="s">
        <v>3150</v>
      </c>
      <c r="AH842" s="28" t="s">
        <v>3151</v>
      </c>
      <c r="AI842" s="27" t="s">
        <v>3245</v>
      </c>
      <c r="AJ842" s="27" t="s">
        <v>3246</v>
      </c>
      <c r="AK842" s="27" t="s">
        <v>3247</v>
      </c>
      <c r="AL842" s="27" t="s">
        <v>3248</v>
      </c>
      <c r="AM842" s="27" t="s">
        <v>3249</v>
      </c>
      <c r="AN842" s="27"/>
      <c r="AO842" s="27"/>
      <c r="AP842" s="27"/>
      <c r="AQ842" s="27"/>
      <c r="AR842" s="504"/>
      <c r="AS842" s="332" t="s">
        <v>3234</v>
      </c>
      <c r="AT842" s="160"/>
    </row>
    <row r="843" spans="1:46" ht="21.75" hidden="1" customHeight="1">
      <c r="A843" s="331">
        <v>842</v>
      </c>
      <c r="B843" s="28" t="s">
        <v>61</v>
      </c>
      <c r="C843" s="40" t="s">
        <v>3250</v>
      </c>
      <c r="D843" s="444" t="s">
        <v>3145</v>
      </c>
      <c r="E843" s="361" t="str">
        <f t="shared" ca="1" si="17"/>
        <v>LOSS</v>
      </c>
      <c r="F843" s="29"/>
      <c r="G843" s="28" t="s">
        <v>3251</v>
      </c>
      <c r="H843" s="29" t="s">
        <v>2748</v>
      </c>
      <c r="I843" s="160" t="s">
        <v>346</v>
      </c>
      <c r="J843" s="28" t="s">
        <v>3252</v>
      </c>
      <c r="K843" s="28"/>
      <c r="L843" s="27"/>
      <c r="M843" s="27"/>
      <c r="N843" s="29"/>
      <c r="O843" s="56"/>
      <c r="P843" s="31">
        <v>3589800000</v>
      </c>
      <c r="Q843" s="31"/>
      <c r="R843" s="27"/>
      <c r="S843" s="32">
        <v>108000000</v>
      </c>
      <c r="T843" s="33"/>
      <c r="U843" s="334">
        <v>45292</v>
      </c>
      <c r="V843" s="334">
        <v>45657</v>
      </c>
      <c r="W843" s="27" t="s">
        <v>17</v>
      </c>
      <c r="X843" s="27" t="s">
        <v>3148</v>
      </c>
      <c r="Y843" s="34">
        <f t="shared" ref="Y843:Y906" ca="1" si="18">TODAY()</f>
        <v>46290</v>
      </c>
      <c r="Z843" s="35">
        <f t="shared" ref="Z843:Z906" ca="1" si="19">V843-Y843</f>
        <v>-633</v>
      </c>
      <c r="AA843" s="27">
        <f t="shared" ref="AA843:AA906" si="20">MONTH(V843)</f>
        <v>12</v>
      </c>
      <c r="AB843" s="27">
        <f t="shared" ref="AB843:AB906" si="21">YEAR(V843)</f>
        <v>2024</v>
      </c>
      <c r="AC843" s="45" t="s">
        <v>3253</v>
      </c>
      <c r="AD843" s="46" t="s">
        <v>3254</v>
      </c>
      <c r="AE843" s="47" t="s">
        <v>3255</v>
      </c>
      <c r="AF843" s="27" t="s">
        <v>339</v>
      </c>
      <c r="AG843" s="29" t="s">
        <v>3150</v>
      </c>
      <c r="AH843" s="28" t="s">
        <v>3151</v>
      </c>
      <c r="AI843" s="27">
        <v>130</v>
      </c>
      <c r="AJ843" s="27" t="s">
        <v>3256</v>
      </c>
      <c r="AK843" s="27" t="s">
        <v>3257</v>
      </c>
      <c r="AL843" s="27" t="s">
        <v>3258</v>
      </c>
      <c r="AM843" s="27" t="s">
        <v>3259</v>
      </c>
      <c r="AN843" s="27" t="s">
        <v>3260</v>
      </c>
      <c r="AO843" s="27" t="s">
        <v>3261</v>
      </c>
      <c r="AP843" s="27" t="s">
        <v>3262</v>
      </c>
      <c r="AQ843" s="27"/>
      <c r="AR843" s="504"/>
      <c r="AS843" s="332" t="s">
        <v>3263</v>
      </c>
      <c r="AT843" s="160"/>
    </row>
    <row r="844" spans="1:46" ht="21.75" hidden="1" customHeight="1">
      <c r="A844" s="331">
        <v>843</v>
      </c>
      <c r="B844" s="28" t="s">
        <v>61</v>
      </c>
      <c r="C844" s="28" t="s">
        <v>3264</v>
      </c>
      <c r="D844" s="443" t="s">
        <v>3145</v>
      </c>
      <c r="E844" s="361" t="str">
        <f t="shared" ca="1" si="17"/>
        <v>LOSS</v>
      </c>
      <c r="F844" s="29"/>
      <c r="G844" s="28" t="s">
        <v>3265</v>
      </c>
      <c r="H844" s="29" t="s">
        <v>2748</v>
      </c>
      <c r="I844" s="29" t="s">
        <v>346</v>
      </c>
      <c r="J844" s="28" t="s">
        <v>3266</v>
      </c>
      <c r="K844" s="28"/>
      <c r="L844" s="27"/>
      <c r="M844" s="27"/>
      <c r="N844" s="29"/>
      <c r="O844" s="56"/>
      <c r="P844" s="31">
        <v>88800000</v>
      </c>
      <c r="Q844" s="31"/>
      <c r="R844" s="27"/>
      <c r="S844" s="32">
        <v>5000000</v>
      </c>
      <c r="T844" s="33"/>
      <c r="U844" s="334">
        <v>43611</v>
      </c>
      <c r="V844" s="334">
        <v>43976</v>
      </c>
      <c r="W844" s="27" t="s">
        <v>245</v>
      </c>
      <c r="X844" s="27"/>
      <c r="Y844" s="34">
        <f t="shared" ca="1" si="18"/>
        <v>46290</v>
      </c>
      <c r="Z844" s="35">
        <f t="shared" ca="1" si="19"/>
        <v>-2314</v>
      </c>
      <c r="AA844" s="27">
        <f t="shared" si="20"/>
        <v>5</v>
      </c>
      <c r="AB844" s="27">
        <f t="shared" si="21"/>
        <v>2020</v>
      </c>
      <c r="AC844" s="28" t="s">
        <v>3267</v>
      </c>
      <c r="AD844" s="28" t="s">
        <v>3268</v>
      </c>
      <c r="AE844" s="27">
        <v>4500012896</v>
      </c>
      <c r="AF844" s="27" t="s">
        <v>339</v>
      </c>
      <c r="AG844" s="29" t="s">
        <v>3150</v>
      </c>
      <c r="AH844" s="28" t="s">
        <v>3151</v>
      </c>
      <c r="AI844" s="27">
        <v>47</v>
      </c>
      <c r="AJ844" s="27" t="s">
        <v>3269</v>
      </c>
      <c r="AK844" s="27" t="s">
        <v>3270</v>
      </c>
      <c r="AL844" s="27"/>
      <c r="AM844" s="27"/>
      <c r="AN844" s="27"/>
      <c r="AO844" s="27"/>
      <c r="AP844" s="27"/>
      <c r="AQ844" s="27"/>
      <c r="AR844" s="504"/>
      <c r="AS844" s="332" t="s">
        <v>3271</v>
      </c>
      <c r="AT844" s="160"/>
    </row>
    <row r="845" spans="1:46" ht="21.75" hidden="1" customHeight="1">
      <c r="A845" s="331">
        <v>844</v>
      </c>
      <c r="B845" s="28" t="s">
        <v>61</v>
      </c>
      <c r="C845" s="28" t="s">
        <v>3272</v>
      </c>
      <c r="D845" s="444" t="s">
        <v>3145</v>
      </c>
      <c r="E845" s="361" t="str">
        <f t="shared" ca="1" si="17"/>
        <v>LOSS</v>
      </c>
      <c r="F845" s="29"/>
      <c r="G845" s="28" t="s">
        <v>3273</v>
      </c>
      <c r="H845" s="29" t="s">
        <v>2748</v>
      </c>
      <c r="I845" s="29" t="s">
        <v>346</v>
      </c>
      <c r="J845" s="28" t="s">
        <v>3274</v>
      </c>
      <c r="K845" s="28"/>
      <c r="L845" s="27"/>
      <c r="M845" s="27"/>
      <c r="N845" s="29"/>
      <c r="O845" s="56"/>
      <c r="P845" s="31">
        <v>3000000000</v>
      </c>
      <c r="Q845" s="31"/>
      <c r="R845" s="27"/>
      <c r="S845" s="32">
        <v>8000000</v>
      </c>
      <c r="T845" s="33"/>
      <c r="U845" s="334">
        <v>43582</v>
      </c>
      <c r="V845" s="334">
        <v>43947</v>
      </c>
      <c r="W845" s="27" t="s">
        <v>245</v>
      </c>
      <c r="X845" s="27"/>
      <c r="Y845" s="34">
        <f t="shared" ca="1" si="18"/>
        <v>46290</v>
      </c>
      <c r="Z845" s="35">
        <f t="shared" ca="1" si="19"/>
        <v>-2343</v>
      </c>
      <c r="AA845" s="27">
        <f t="shared" si="20"/>
        <v>4</v>
      </c>
      <c r="AB845" s="27">
        <f t="shared" si="21"/>
        <v>2020</v>
      </c>
      <c r="AC845" s="28" t="s">
        <v>3275</v>
      </c>
      <c r="AD845" s="28" t="s">
        <v>3276</v>
      </c>
      <c r="AE845" s="27">
        <v>4500012505</v>
      </c>
      <c r="AF845" s="27" t="s">
        <v>339</v>
      </c>
      <c r="AG845" s="29" t="s">
        <v>3150</v>
      </c>
      <c r="AH845" s="28" t="s">
        <v>3151</v>
      </c>
      <c r="AI845" s="27">
        <v>138</v>
      </c>
      <c r="AJ845" s="27" t="s">
        <v>3277</v>
      </c>
      <c r="AK845" s="27" t="s">
        <v>3278</v>
      </c>
      <c r="AL845" s="27"/>
      <c r="AM845" s="27"/>
      <c r="AN845" s="27"/>
      <c r="AO845" s="27"/>
      <c r="AP845" s="27"/>
      <c r="AQ845" s="27"/>
      <c r="AR845" s="504"/>
      <c r="AS845" s="332" t="s">
        <v>3279</v>
      </c>
      <c r="AT845" s="160"/>
    </row>
    <row r="846" spans="1:46" ht="21.75" hidden="1" customHeight="1">
      <c r="A846" s="331">
        <v>845</v>
      </c>
      <c r="B846" s="28" t="s">
        <v>61</v>
      </c>
      <c r="C846" s="28" t="s">
        <v>3280</v>
      </c>
      <c r="D846" s="443" t="s">
        <v>3145</v>
      </c>
      <c r="E846" s="361" t="str">
        <f t="shared" ca="1" si="17"/>
        <v>LOSS</v>
      </c>
      <c r="F846" s="29"/>
      <c r="G846" s="28" t="s">
        <v>3281</v>
      </c>
      <c r="H846" s="29" t="s">
        <v>2748</v>
      </c>
      <c r="I846" s="29" t="s">
        <v>346</v>
      </c>
      <c r="J846" s="28" t="s">
        <v>3282</v>
      </c>
      <c r="K846" s="28"/>
      <c r="L846" s="27"/>
      <c r="M846" s="27"/>
      <c r="N846" s="29"/>
      <c r="O846" s="56"/>
      <c r="P846" s="31">
        <v>136800000</v>
      </c>
      <c r="Q846" s="31"/>
      <c r="R846" s="27"/>
      <c r="S846" s="32">
        <v>6000000</v>
      </c>
      <c r="T846" s="33"/>
      <c r="U846" s="334">
        <v>44652</v>
      </c>
      <c r="V846" s="334">
        <v>45016</v>
      </c>
      <c r="W846" s="27" t="s">
        <v>250</v>
      </c>
      <c r="X846" s="27"/>
      <c r="Y846" s="34">
        <f t="shared" ca="1" si="18"/>
        <v>46290</v>
      </c>
      <c r="Z846" s="35">
        <f t="shared" ca="1" si="19"/>
        <v>-1274</v>
      </c>
      <c r="AA846" s="27">
        <f t="shared" si="20"/>
        <v>3</v>
      </c>
      <c r="AB846" s="27">
        <f t="shared" si="21"/>
        <v>2023</v>
      </c>
      <c r="AC846" s="28" t="s">
        <v>3283</v>
      </c>
      <c r="AD846" s="28" t="s">
        <v>3284</v>
      </c>
      <c r="AE846" s="27"/>
      <c r="AF846" s="27" t="s">
        <v>339</v>
      </c>
      <c r="AG846" s="29" t="s">
        <v>3150</v>
      </c>
      <c r="AH846" s="28" t="s">
        <v>3151</v>
      </c>
      <c r="AI846" s="27"/>
      <c r="AJ846" s="27" t="s">
        <v>3285</v>
      </c>
      <c r="AK846" s="27" t="s">
        <v>3286</v>
      </c>
      <c r="AL846" s="27"/>
      <c r="AM846" s="27" t="s">
        <v>3287</v>
      </c>
      <c r="AN846" s="27" t="s">
        <v>3288</v>
      </c>
      <c r="AO846" s="27"/>
      <c r="AP846" s="27"/>
      <c r="AQ846" s="27"/>
      <c r="AR846" s="504"/>
      <c r="AS846" s="332" t="s">
        <v>3289</v>
      </c>
      <c r="AT846" s="160"/>
    </row>
    <row r="847" spans="1:46" ht="21.75" hidden="1" customHeight="1">
      <c r="A847" s="331">
        <v>846</v>
      </c>
      <c r="B847" s="28" t="s">
        <v>61</v>
      </c>
      <c r="C847" s="28" t="s">
        <v>742</v>
      </c>
      <c r="D847" s="444" t="s">
        <v>3145</v>
      </c>
      <c r="E847" s="361" t="str">
        <f t="shared" ca="1" si="17"/>
        <v>LOSS</v>
      </c>
      <c r="F847" s="29"/>
      <c r="G847" s="28" t="s">
        <v>3281</v>
      </c>
      <c r="H847" s="29" t="s">
        <v>2748</v>
      </c>
      <c r="I847" s="29" t="s">
        <v>346</v>
      </c>
      <c r="J847" s="28" t="s">
        <v>3290</v>
      </c>
      <c r="K847" s="28"/>
      <c r="L847" s="27"/>
      <c r="M847" s="27"/>
      <c r="N847" s="29"/>
      <c r="O847" s="56"/>
      <c r="P847" s="31">
        <v>42000000</v>
      </c>
      <c r="Q847" s="31"/>
      <c r="R847" s="27"/>
      <c r="S847" s="32">
        <v>6000000</v>
      </c>
      <c r="T847" s="33"/>
      <c r="U847" s="334">
        <v>44505</v>
      </c>
      <c r="V847" s="334">
        <v>44869</v>
      </c>
      <c r="W847" s="27" t="s">
        <v>250</v>
      </c>
      <c r="X847" s="27"/>
      <c r="Y847" s="34">
        <f t="shared" ca="1" si="18"/>
        <v>46290</v>
      </c>
      <c r="Z847" s="35">
        <f t="shared" ca="1" si="19"/>
        <v>-1421</v>
      </c>
      <c r="AA847" s="27">
        <f t="shared" si="20"/>
        <v>11</v>
      </c>
      <c r="AB847" s="27">
        <f t="shared" si="21"/>
        <v>2022</v>
      </c>
      <c r="AC847" s="28" t="s">
        <v>3291</v>
      </c>
      <c r="AD847" s="28">
        <v>17170</v>
      </c>
      <c r="AE847" s="27"/>
      <c r="AF847" s="27" t="s">
        <v>339</v>
      </c>
      <c r="AG847" s="29" t="s">
        <v>3150</v>
      </c>
      <c r="AH847" s="28"/>
      <c r="AI847" s="27"/>
      <c r="AJ847" s="27"/>
      <c r="AK847" s="27" t="s">
        <v>3292</v>
      </c>
      <c r="AL847" s="27" t="s">
        <v>3293</v>
      </c>
      <c r="AM847" s="27"/>
      <c r="AN847" s="27"/>
      <c r="AO847" s="27"/>
      <c r="AP847" s="27"/>
      <c r="AQ847" s="27"/>
      <c r="AR847" s="504"/>
      <c r="AS847" s="332" t="s">
        <v>3294</v>
      </c>
      <c r="AT847" s="160"/>
    </row>
    <row r="848" spans="1:46" ht="21.75" hidden="1" customHeight="1">
      <c r="A848" s="331">
        <v>847</v>
      </c>
      <c r="B848" s="28" t="s">
        <v>61</v>
      </c>
      <c r="C848" s="28" t="s">
        <v>3295</v>
      </c>
      <c r="D848" s="443" t="s">
        <v>3145</v>
      </c>
      <c r="E848" s="361" t="str">
        <f t="shared" ca="1" si="17"/>
        <v>LOSS</v>
      </c>
      <c r="F848" s="29"/>
      <c r="G848" s="28" t="s">
        <v>3296</v>
      </c>
      <c r="H848" s="29" t="s">
        <v>2748</v>
      </c>
      <c r="I848" s="160" t="s">
        <v>242</v>
      </c>
      <c r="J848" s="28" t="s">
        <v>2231</v>
      </c>
      <c r="K848" s="28"/>
      <c r="L848" s="27"/>
      <c r="M848" s="27"/>
      <c r="N848" s="29"/>
      <c r="O848" s="56"/>
      <c r="P848" s="31">
        <v>42000000</v>
      </c>
      <c r="Q848" s="31"/>
      <c r="R848" s="27"/>
      <c r="S848" s="32">
        <v>8000000</v>
      </c>
      <c r="T848" s="33"/>
      <c r="U848" s="334">
        <v>44973</v>
      </c>
      <c r="V848" s="334">
        <v>45337</v>
      </c>
      <c r="W848" s="27" t="s">
        <v>17</v>
      </c>
      <c r="X848" s="27" t="s">
        <v>3148</v>
      </c>
      <c r="Y848" s="34">
        <f t="shared" ca="1" si="18"/>
        <v>46290</v>
      </c>
      <c r="Z848" s="35">
        <f t="shared" ca="1" si="19"/>
        <v>-953</v>
      </c>
      <c r="AA848" s="27">
        <f t="shared" si="20"/>
        <v>2</v>
      </c>
      <c r="AB848" s="27">
        <f t="shared" si="21"/>
        <v>2024</v>
      </c>
      <c r="AC848" s="28" t="s">
        <v>3297</v>
      </c>
      <c r="AD848" s="28">
        <v>21353</v>
      </c>
      <c r="AE848" s="27"/>
      <c r="AF848" s="27" t="s">
        <v>339</v>
      </c>
      <c r="AG848" s="29" t="s">
        <v>3150</v>
      </c>
      <c r="AH848" s="28" t="s">
        <v>3151</v>
      </c>
      <c r="AI848" s="27"/>
      <c r="AJ848" s="27"/>
      <c r="AK848" s="27"/>
      <c r="AL848" s="27"/>
      <c r="AM848" s="27"/>
      <c r="AN848" s="27" t="s">
        <v>3298</v>
      </c>
      <c r="AO848" s="27"/>
      <c r="AP848" s="27"/>
      <c r="AQ848" s="27"/>
      <c r="AR848" s="504"/>
      <c r="AS848" s="332" t="s">
        <v>3299</v>
      </c>
      <c r="AT848" s="160"/>
    </row>
    <row r="849" spans="1:46" ht="21.75" hidden="1" customHeight="1">
      <c r="A849" s="331">
        <v>848</v>
      </c>
      <c r="B849" s="28" t="s">
        <v>61</v>
      </c>
      <c r="C849" s="28" t="s">
        <v>3300</v>
      </c>
      <c r="D849" s="444" t="s">
        <v>3145</v>
      </c>
      <c r="E849" s="361" t="str">
        <f t="shared" ca="1" si="17"/>
        <v>LOSS</v>
      </c>
      <c r="F849" s="29"/>
      <c r="G849" s="28" t="s">
        <v>3301</v>
      </c>
      <c r="H849" s="29" t="s">
        <v>2748</v>
      </c>
      <c r="I849" s="29" t="s">
        <v>346</v>
      </c>
      <c r="J849" s="28" t="s">
        <v>1399</v>
      </c>
      <c r="K849" s="28"/>
      <c r="L849" s="27"/>
      <c r="M849" s="27"/>
      <c r="N849" s="29"/>
      <c r="O849" s="56"/>
      <c r="P849" s="31">
        <v>144000000</v>
      </c>
      <c r="Q849" s="31"/>
      <c r="R849" s="27"/>
      <c r="S849" s="32">
        <v>6000000</v>
      </c>
      <c r="T849" s="33"/>
      <c r="U849" s="334">
        <v>44511</v>
      </c>
      <c r="V849" s="334">
        <v>44875</v>
      </c>
      <c r="W849" s="27" t="s">
        <v>250</v>
      </c>
      <c r="X849" s="27"/>
      <c r="Y849" s="34">
        <f t="shared" ca="1" si="18"/>
        <v>46290</v>
      </c>
      <c r="Z849" s="35">
        <f t="shared" ca="1" si="19"/>
        <v>-1415</v>
      </c>
      <c r="AA849" s="27">
        <f t="shared" si="20"/>
        <v>11</v>
      </c>
      <c r="AB849" s="27">
        <f t="shared" si="21"/>
        <v>2022</v>
      </c>
      <c r="AC849" s="28" t="s">
        <v>3302</v>
      </c>
      <c r="AD849" s="28">
        <v>17040</v>
      </c>
      <c r="AE849" s="27">
        <v>4500019565</v>
      </c>
      <c r="AF849" s="27" t="s">
        <v>339</v>
      </c>
      <c r="AG849" s="29" t="s">
        <v>3150</v>
      </c>
      <c r="AH849" s="28" t="s">
        <v>3151</v>
      </c>
      <c r="AI849" s="27"/>
      <c r="AJ849" s="27" t="s">
        <v>3303</v>
      </c>
      <c r="AK849" s="27"/>
      <c r="AL849" s="27" t="s">
        <v>3304</v>
      </c>
      <c r="AM849" s="27"/>
      <c r="AN849" s="27"/>
      <c r="AO849" s="27"/>
      <c r="AP849" s="27"/>
      <c r="AQ849" s="27"/>
      <c r="AR849" s="504"/>
      <c r="AS849" s="332"/>
      <c r="AT849" s="160"/>
    </row>
    <row r="850" spans="1:46" ht="21.75" hidden="1" customHeight="1">
      <c r="A850" s="331">
        <v>849</v>
      </c>
      <c r="B850" s="28" t="s">
        <v>61</v>
      </c>
      <c r="C850" s="28" t="s">
        <v>543</v>
      </c>
      <c r="D850" s="443" t="s">
        <v>3145</v>
      </c>
      <c r="E850" s="361" t="str">
        <f t="shared" ca="1" si="17"/>
        <v>LOSS</v>
      </c>
      <c r="F850" s="29"/>
      <c r="G850" s="28" t="s">
        <v>3305</v>
      </c>
      <c r="H850" s="29" t="s">
        <v>2748</v>
      </c>
      <c r="I850" s="29" t="s">
        <v>346</v>
      </c>
      <c r="J850" s="28" t="s">
        <v>3306</v>
      </c>
      <c r="K850" s="28"/>
      <c r="L850" s="27"/>
      <c r="M850" s="27"/>
      <c r="N850" s="29"/>
      <c r="O850" s="56"/>
      <c r="P850" s="31"/>
      <c r="Q850" s="31"/>
      <c r="R850" s="27"/>
      <c r="S850" s="32">
        <v>6000000</v>
      </c>
      <c r="T850" s="33"/>
      <c r="U850" s="334">
        <v>44806</v>
      </c>
      <c r="V850" s="334">
        <v>45170</v>
      </c>
      <c r="W850" s="27" t="s">
        <v>250</v>
      </c>
      <c r="X850" s="27"/>
      <c r="Y850" s="34">
        <f t="shared" ca="1" si="18"/>
        <v>46290</v>
      </c>
      <c r="Z850" s="35">
        <f t="shared" ca="1" si="19"/>
        <v>-1120</v>
      </c>
      <c r="AA850" s="27">
        <f t="shared" si="20"/>
        <v>9</v>
      </c>
      <c r="AB850" s="27">
        <f t="shared" si="21"/>
        <v>2023</v>
      </c>
      <c r="AC850" s="28" t="s">
        <v>3307</v>
      </c>
      <c r="AD850" s="28" t="s">
        <v>3308</v>
      </c>
      <c r="AE850" s="27">
        <v>4500018972</v>
      </c>
      <c r="AF850" s="27" t="s">
        <v>339</v>
      </c>
      <c r="AG850" s="29" t="s">
        <v>3150</v>
      </c>
      <c r="AH850" s="28" t="s">
        <v>3158</v>
      </c>
      <c r="AI850" s="27"/>
      <c r="AJ850" s="27"/>
      <c r="AK850" s="27" t="s">
        <v>3309</v>
      </c>
      <c r="AL850" s="27" t="s">
        <v>3310</v>
      </c>
      <c r="AM850" s="27" t="s">
        <v>3311</v>
      </c>
      <c r="AN850" s="27" t="s">
        <v>3312</v>
      </c>
      <c r="AO850" s="27"/>
      <c r="AP850" s="27"/>
      <c r="AQ850" s="27"/>
      <c r="AR850" s="504"/>
      <c r="AS850" s="332" t="s">
        <v>3313</v>
      </c>
      <c r="AT850" s="160"/>
    </row>
    <row r="851" spans="1:46" ht="21.75" hidden="1" customHeight="1">
      <c r="A851" s="331">
        <v>850</v>
      </c>
      <c r="B851" s="28" t="s">
        <v>61</v>
      </c>
      <c r="C851" s="28" t="s">
        <v>3314</v>
      </c>
      <c r="D851" s="444" t="s">
        <v>3145</v>
      </c>
      <c r="E851" s="361" t="str">
        <f t="shared" ca="1" si="17"/>
        <v>LOSS</v>
      </c>
      <c r="F851" s="29"/>
      <c r="G851" s="28" t="s">
        <v>3315</v>
      </c>
      <c r="H851" s="29" t="s">
        <v>2748</v>
      </c>
      <c r="I851" s="29" t="s">
        <v>346</v>
      </c>
      <c r="J851" s="28" t="s">
        <v>66</v>
      </c>
      <c r="K851" s="28"/>
      <c r="L851" s="27"/>
      <c r="M851" s="27"/>
      <c r="N851" s="29"/>
      <c r="O851" s="56"/>
      <c r="P851" s="31">
        <f>12*20400000</f>
        <v>244800000</v>
      </c>
      <c r="Q851" s="31"/>
      <c r="R851" s="27"/>
      <c r="S851" s="32">
        <v>8000000</v>
      </c>
      <c r="T851" s="33"/>
      <c r="U851" s="334">
        <v>45122</v>
      </c>
      <c r="V851" s="334">
        <v>45487</v>
      </c>
      <c r="W851" s="27" t="s">
        <v>250</v>
      </c>
      <c r="X851" s="27"/>
      <c r="Y851" s="34">
        <f t="shared" ca="1" si="18"/>
        <v>46290</v>
      </c>
      <c r="Z851" s="35">
        <f t="shared" ca="1" si="19"/>
        <v>-803</v>
      </c>
      <c r="AA851" s="27">
        <f t="shared" si="20"/>
        <v>7</v>
      </c>
      <c r="AB851" s="27">
        <f t="shared" si="21"/>
        <v>2024</v>
      </c>
      <c r="AC851" s="28" t="s">
        <v>3316</v>
      </c>
      <c r="AD851" s="28">
        <v>1339</v>
      </c>
      <c r="AE851" s="27"/>
      <c r="AF851" s="27" t="s">
        <v>339</v>
      </c>
      <c r="AG851" s="29" t="s">
        <v>3150</v>
      </c>
      <c r="AH851" s="28" t="s">
        <v>3151</v>
      </c>
      <c r="AI851" s="27"/>
      <c r="AJ851" s="27"/>
      <c r="AK851" s="27"/>
      <c r="AL851" s="27"/>
      <c r="AM851" s="27"/>
      <c r="AN851" s="27" t="s">
        <v>3317</v>
      </c>
      <c r="AO851" s="27"/>
      <c r="AP851" s="27"/>
      <c r="AQ851" s="27"/>
      <c r="AR851" s="504"/>
      <c r="AS851" s="332" t="s">
        <v>3318</v>
      </c>
      <c r="AT851" s="160"/>
    </row>
    <row r="852" spans="1:46" ht="21.75" hidden="1" customHeight="1">
      <c r="A852" s="331">
        <v>851</v>
      </c>
      <c r="B852" s="28" t="s">
        <v>61</v>
      </c>
      <c r="C852" s="28" t="s">
        <v>3314</v>
      </c>
      <c r="D852" s="443" t="s">
        <v>3145</v>
      </c>
      <c r="E852" s="361" t="str">
        <f t="shared" ca="1" si="17"/>
        <v>LOSS</v>
      </c>
      <c r="F852" s="29"/>
      <c r="G852" s="28" t="s">
        <v>3315</v>
      </c>
      <c r="H852" s="29" t="s">
        <v>2748</v>
      </c>
      <c r="I852" s="29" t="s">
        <v>346</v>
      </c>
      <c r="J852" s="28" t="s">
        <v>66</v>
      </c>
      <c r="K852" s="28"/>
      <c r="L852" s="27"/>
      <c r="M852" s="27"/>
      <c r="N852" s="29"/>
      <c r="O852" s="56"/>
      <c r="P852" s="31">
        <f>12*20300000</f>
        <v>243600000</v>
      </c>
      <c r="Q852" s="31"/>
      <c r="R852" s="27"/>
      <c r="S852" s="32">
        <v>20300000</v>
      </c>
      <c r="T852" s="33"/>
      <c r="U852" s="334">
        <v>45424</v>
      </c>
      <c r="V852" s="334">
        <v>45788</v>
      </c>
      <c r="W852" s="27" t="s">
        <v>17</v>
      </c>
      <c r="X852" s="27"/>
      <c r="Y852" s="34">
        <f t="shared" ca="1" si="18"/>
        <v>46290</v>
      </c>
      <c r="Z852" s="35">
        <f t="shared" ca="1" si="19"/>
        <v>-502</v>
      </c>
      <c r="AA852" s="27">
        <f t="shared" si="20"/>
        <v>5</v>
      </c>
      <c r="AB852" s="27">
        <f t="shared" si="21"/>
        <v>2025</v>
      </c>
      <c r="AC852" s="28" t="s">
        <v>479</v>
      </c>
      <c r="AD852" s="28" t="s">
        <v>3319</v>
      </c>
      <c r="AE852" s="27">
        <v>4500022779</v>
      </c>
      <c r="AF852" s="27" t="s">
        <v>339</v>
      </c>
      <c r="AG852" s="29" t="s">
        <v>3150</v>
      </c>
      <c r="AH852" s="28" t="s">
        <v>3151</v>
      </c>
      <c r="AI852" s="27"/>
      <c r="AJ852" s="27"/>
      <c r="AK852" s="27"/>
      <c r="AL852" s="27"/>
      <c r="AM852" s="27"/>
      <c r="AN852" s="27"/>
      <c r="AO852" s="27" t="s">
        <v>3320</v>
      </c>
      <c r="AP852" s="27" t="s">
        <v>3321</v>
      </c>
      <c r="AQ852" s="27"/>
      <c r="AR852" s="504"/>
      <c r="AS852" s="332" t="s">
        <v>3153</v>
      </c>
      <c r="AT852" s="160"/>
    </row>
    <row r="853" spans="1:46" ht="21.75" hidden="1" customHeight="1">
      <c r="A853" s="331">
        <v>852</v>
      </c>
      <c r="B853" s="28" t="s">
        <v>61</v>
      </c>
      <c r="C853" s="28" t="s">
        <v>3322</v>
      </c>
      <c r="D853" s="444" t="s">
        <v>3145</v>
      </c>
      <c r="E853" s="361" t="str">
        <f t="shared" ca="1" si="17"/>
        <v>LOSS</v>
      </c>
      <c r="F853" s="29"/>
      <c r="G853" s="28" t="s">
        <v>3323</v>
      </c>
      <c r="H853" s="29" t="s">
        <v>2748</v>
      </c>
      <c r="I853" s="29" t="s">
        <v>346</v>
      </c>
      <c r="J853" s="28" t="s">
        <v>3324</v>
      </c>
      <c r="K853" s="28"/>
      <c r="L853" s="27"/>
      <c r="M853" s="27"/>
      <c r="N853" s="29"/>
      <c r="O853" s="56"/>
      <c r="P853" s="31">
        <v>57600000</v>
      </c>
      <c r="Q853" s="31"/>
      <c r="R853" s="27"/>
      <c r="S853" s="32">
        <v>8000000</v>
      </c>
      <c r="T853" s="33"/>
      <c r="U853" s="334">
        <v>43525</v>
      </c>
      <c r="V853" s="334">
        <v>43890</v>
      </c>
      <c r="W853" s="27" t="s">
        <v>245</v>
      </c>
      <c r="X853" s="27"/>
      <c r="Y853" s="34">
        <f t="shared" ca="1" si="18"/>
        <v>46290</v>
      </c>
      <c r="Z853" s="35">
        <f t="shared" ca="1" si="19"/>
        <v>-2400</v>
      </c>
      <c r="AA853" s="27">
        <f t="shared" si="20"/>
        <v>2</v>
      </c>
      <c r="AB853" s="27">
        <f t="shared" si="21"/>
        <v>2020</v>
      </c>
      <c r="AC853" s="28" t="s">
        <v>3325</v>
      </c>
      <c r="AD853" s="28" t="s">
        <v>3326</v>
      </c>
      <c r="AE853" s="27">
        <v>4500012496</v>
      </c>
      <c r="AF853" s="27" t="s">
        <v>339</v>
      </c>
      <c r="AG853" s="29" t="s">
        <v>3150</v>
      </c>
      <c r="AH853" s="28" t="s">
        <v>3170</v>
      </c>
      <c r="AI853" s="27"/>
      <c r="AJ853" s="27"/>
      <c r="AK853" s="27" t="s">
        <v>3327</v>
      </c>
      <c r="AL853" s="27"/>
      <c r="AM853" s="27"/>
      <c r="AN853" s="27"/>
      <c r="AO853" s="27"/>
      <c r="AP853" s="27"/>
      <c r="AQ853" s="27"/>
      <c r="AR853" s="504"/>
      <c r="AS853" s="332"/>
      <c r="AT853" s="160"/>
    </row>
    <row r="854" spans="1:46" ht="21.75" hidden="1" customHeight="1">
      <c r="A854" s="331">
        <v>853</v>
      </c>
      <c r="B854" s="28" t="s">
        <v>61</v>
      </c>
      <c r="C854" s="28" t="s">
        <v>3328</v>
      </c>
      <c r="D854" s="443" t="s">
        <v>3145</v>
      </c>
      <c r="E854" s="361" t="str">
        <f t="shared" ca="1" si="17"/>
        <v>LOSS</v>
      </c>
      <c r="F854" s="29"/>
      <c r="G854" s="28" t="s">
        <v>3329</v>
      </c>
      <c r="H854" s="29" t="s">
        <v>2748</v>
      </c>
      <c r="I854" s="29" t="s">
        <v>346</v>
      </c>
      <c r="J854" s="28" t="s">
        <v>1194</v>
      </c>
      <c r="K854" s="28"/>
      <c r="L854" s="27"/>
      <c r="M854" s="27"/>
      <c r="N854" s="29"/>
      <c r="O854" s="56"/>
      <c r="P854" s="31">
        <v>324000000</v>
      </c>
      <c r="Q854" s="31"/>
      <c r="R854" s="27"/>
      <c r="S854" s="32">
        <v>8000000</v>
      </c>
      <c r="T854" s="33"/>
      <c r="U854" s="334">
        <v>44806</v>
      </c>
      <c r="V854" s="334">
        <v>45139</v>
      </c>
      <c r="W854" s="27" t="s">
        <v>250</v>
      </c>
      <c r="X854" s="27"/>
      <c r="Y854" s="34">
        <f t="shared" ca="1" si="18"/>
        <v>46290</v>
      </c>
      <c r="Z854" s="35">
        <f t="shared" ca="1" si="19"/>
        <v>-1151</v>
      </c>
      <c r="AA854" s="27">
        <f t="shared" si="20"/>
        <v>8</v>
      </c>
      <c r="AB854" s="27">
        <f t="shared" si="21"/>
        <v>2023</v>
      </c>
      <c r="AC854" s="28" t="s">
        <v>3330</v>
      </c>
      <c r="AD854" s="28">
        <v>18321</v>
      </c>
      <c r="AE854" s="27">
        <v>4500018964</v>
      </c>
      <c r="AF854" s="27" t="s">
        <v>339</v>
      </c>
      <c r="AG854" s="29" t="s">
        <v>3150</v>
      </c>
      <c r="AH854" s="28" t="s">
        <v>3151</v>
      </c>
      <c r="AI854" s="27"/>
      <c r="AJ854" s="27"/>
      <c r="AK854" s="27"/>
      <c r="AL854" s="27"/>
      <c r="AM854" s="27" t="s">
        <v>3331</v>
      </c>
      <c r="AN854" s="27"/>
      <c r="AO854" s="27"/>
      <c r="AP854" s="27"/>
      <c r="AQ854" s="27"/>
      <c r="AR854" s="504"/>
      <c r="AS854" s="332"/>
      <c r="AT854" s="160"/>
    </row>
    <row r="855" spans="1:46" ht="21.75" hidden="1" customHeight="1">
      <c r="A855" s="331">
        <v>854</v>
      </c>
      <c r="B855" s="28" t="s">
        <v>61</v>
      </c>
      <c r="C855" s="28" t="s">
        <v>3300</v>
      </c>
      <c r="D855" s="444" t="s">
        <v>3145</v>
      </c>
      <c r="E855" s="361" t="str">
        <f t="shared" ca="1" si="17"/>
        <v>LOSS</v>
      </c>
      <c r="F855" s="29"/>
      <c r="G855" s="28" t="s">
        <v>3332</v>
      </c>
      <c r="H855" s="29" t="s">
        <v>2748</v>
      </c>
      <c r="I855" s="29" t="s">
        <v>346</v>
      </c>
      <c r="J855" s="28" t="s">
        <v>1399</v>
      </c>
      <c r="K855" s="28"/>
      <c r="L855" s="27"/>
      <c r="M855" s="27"/>
      <c r="N855" s="29"/>
      <c r="O855" s="56"/>
      <c r="P855" s="31">
        <v>144000000</v>
      </c>
      <c r="Q855" s="31"/>
      <c r="R855" s="27"/>
      <c r="S855" s="32">
        <v>6000000</v>
      </c>
      <c r="T855" s="33"/>
      <c r="U855" s="334">
        <v>44395</v>
      </c>
      <c r="V855" s="334">
        <v>44759</v>
      </c>
      <c r="W855" s="27" t="s">
        <v>250</v>
      </c>
      <c r="X855" s="27"/>
      <c r="Y855" s="34">
        <f t="shared" ca="1" si="18"/>
        <v>46290</v>
      </c>
      <c r="Z855" s="35">
        <f t="shared" ca="1" si="19"/>
        <v>-1531</v>
      </c>
      <c r="AA855" s="27">
        <f t="shared" si="20"/>
        <v>7</v>
      </c>
      <c r="AB855" s="27">
        <f t="shared" si="21"/>
        <v>2022</v>
      </c>
      <c r="AC855" s="28" t="s">
        <v>3333</v>
      </c>
      <c r="AD855" s="28">
        <v>16166</v>
      </c>
      <c r="AE855" s="27">
        <v>4500018487</v>
      </c>
      <c r="AF855" s="27" t="s">
        <v>339</v>
      </c>
      <c r="AG855" s="29" t="s">
        <v>3150</v>
      </c>
      <c r="AH855" s="28" t="s">
        <v>3151</v>
      </c>
      <c r="AI855" s="27"/>
      <c r="AJ855" s="27" t="s">
        <v>3334</v>
      </c>
      <c r="AK855" s="27" t="s">
        <v>3335</v>
      </c>
      <c r="AL855" s="27" t="s">
        <v>3336</v>
      </c>
      <c r="AM855" s="27"/>
      <c r="AN855" s="27"/>
      <c r="AO855" s="27"/>
      <c r="AP855" s="27"/>
      <c r="AQ855" s="27"/>
      <c r="AR855" s="504"/>
      <c r="AS855" s="332" t="s">
        <v>3337</v>
      </c>
      <c r="AT855" s="160"/>
    </row>
    <row r="856" spans="1:46" ht="21.75" hidden="1" customHeight="1">
      <c r="A856" s="331">
        <v>855</v>
      </c>
      <c r="B856" s="28" t="s">
        <v>61</v>
      </c>
      <c r="C856" s="28" t="s">
        <v>3338</v>
      </c>
      <c r="D856" s="443" t="s">
        <v>3145</v>
      </c>
      <c r="E856" s="361" t="str">
        <f t="shared" ca="1" si="17"/>
        <v>LOSS</v>
      </c>
      <c r="F856" s="29"/>
      <c r="G856" s="28" t="s">
        <v>3339</v>
      </c>
      <c r="H856" s="29" t="s">
        <v>2748</v>
      </c>
      <c r="I856" s="29" t="s">
        <v>346</v>
      </c>
      <c r="J856" s="28" t="s">
        <v>3340</v>
      </c>
      <c r="K856" s="28"/>
      <c r="L856" s="27"/>
      <c r="M856" s="27"/>
      <c r="N856" s="29"/>
      <c r="O856" s="56"/>
      <c r="P856" s="31">
        <v>117000000</v>
      </c>
      <c r="Q856" s="31"/>
      <c r="R856" s="27"/>
      <c r="S856" s="32">
        <v>6000000</v>
      </c>
      <c r="T856" s="33"/>
      <c r="U856" s="334">
        <v>43618</v>
      </c>
      <c r="V856" s="334">
        <v>43983</v>
      </c>
      <c r="W856" s="27" t="s">
        <v>245</v>
      </c>
      <c r="X856" s="27"/>
      <c r="Y856" s="34">
        <f t="shared" ca="1" si="18"/>
        <v>46290</v>
      </c>
      <c r="Z856" s="35">
        <f t="shared" ca="1" si="19"/>
        <v>-2307</v>
      </c>
      <c r="AA856" s="27">
        <f t="shared" si="20"/>
        <v>6</v>
      </c>
      <c r="AB856" s="27">
        <f t="shared" si="21"/>
        <v>2020</v>
      </c>
      <c r="AC856" s="28" t="s">
        <v>3341</v>
      </c>
      <c r="AD856" s="28" t="s">
        <v>3342</v>
      </c>
      <c r="AE856" s="27">
        <v>4500012762</v>
      </c>
      <c r="AF856" s="27" t="s">
        <v>339</v>
      </c>
      <c r="AG856" s="29" t="s">
        <v>3150</v>
      </c>
      <c r="AH856" s="28" t="s">
        <v>3151</v>
      </c>
      <c r="AI856" s="27">
        <v>137</v>
      </c>
      <c r="AJ856" s="27" t="s">
        <v>3343</v>
      </c>
      <c r="AK856" s="27" t="s">
        <v>3344</v>
      </c>
      <c r="AL856" s="27"/>
      <c r="AM856" s="27"/>
      <c r="AN856" s="27"/>
      <c r="AO856" s="27"/>
      <c r="AP856" s="27"/>
      <c r="AQ856" s="27"/>
      <c r="AR856" s="504"/>
      <c r="AS856" s="332"/>
      <c r="AT856" s="160"/>
    </row>
    <row r="857" spans="1:46" ht="21.75" hidden="1" customHeight="1">
      <c r="A857" s="331">
        <v>856</v>
      </c>
      <c r="B857" s="28" t="s">
        <v>61</v>
      </c>
      <c r="C857" s="28" t="s">
        <v>3328</v>
      </c>
      <c r="D857" s="444" t="s">
        <v>3145</v>
      </c>
      <c r="E857" s="361" t="str">
        <f t="shared" ca="1" si="17"/>
        <v>LOSS</v>
      </c>
      <c r="F857" s="29"/>
      <c r="G857" s="28" t="s">
        <v>3329</v>
      </c>
      <c r="H857" s="29" t="s">
        <v>2748</v>
      </c>
      <c r="I857" s="160" t="s">
        <v>242</v>
      </c>
      <c r="J857" s="28" t="s">
        <v>1194</v>
      </c>
      <c r="K857" s="28"/>
      <c r="L857" s="27"/>
      <c r="M857" s="27"/>
      <c r="N857" s="29"/>
      <c r="O857" s="56"/>
      <c r="P857" s="31">
        <v>324000000</v>
      </c>
      <c r="Q857" s="31"/>
      <c r="R857" s="27"/>
      <c r="S857" s="32">
        <v>8000000</v>
      </c>
      <c r="T857" s="33"/>
      <c r="U857" s="334">
        <v>45171</v>
      </c>
      <c r="V857" s="334">
        <v>45536</v>
      </c>
      <c r="W857" s="27" t="s">
        <v>17</v>
      </c>
      <c r="X857" s="27" t="s">
        <v>3148</v>
      </c>
      <c r="Y857" s="34">
        <f t="shared" ca="1" si="18"/>
        <v>46290</v>
      </c>
      <c r="Z857" s="35">
        <f t="shared" ca="1" si="19"/>
        <v>-754</v>
      </c>
      <c r="AA857" s="27">
        <f t="shared" si="20"/>
        <v>9</v>
      </c>
      <c r="AB857" s="27">
        <f t="shared" si="21"/>
        <v>2024</v>
      </c>
      <c r="AC857" s="28">
        <v>4500018964</v>
      </c>
      <c r="AD857" s="28">
        <v>717</v>
      </c>
      <c r="AE857" s="27">
        <v>4500020935</v>
      </c>
      <c r="AF857" s="27" t="s">
        <v>339</v>
      </c>
      <c r="AG857" s="29" t="s">
        <v>3150</v>
      </c>
      <c r="AH857" s="28" t="s">
        <v>3151</v>
      </c>
      <c r="AI857" s="27"/>
      <c r="AJ857" s="27"/>
      <c r="AK857" s="27"/>
      <c r="AL857" s="27"/>
      <c r="AM857" s="27"/>
      <c r="AN857" s="27"/>
      <c r="AO857" s="27"/>
      <c r="AP857" s="27"/>
      <c r="AQ857" s="27"/>
      <c r="AR857" s="504"/>
      <c r="AS857" s="332"/>
      <c r="AT857" s="160"/>
    </row>
    <row r="858" spans="1:46" ht="21.75" hidden="1" customHeight="1">
      <c r="A858" s="331">
        <v>857</v>
      </c>
      <c r="B858" s="28" t="s">
        <v>61</v>
      </c>
      <c r="C858" s="28" t="s">
        <v>988</v>
      </c>
      <c r="D858" s="443" t="s">
        <v>3145</v>
      </c>
      <c r="E858" s="361" t="str">
        <f t="shared" ca="1" si="17"/>
        <v>LOSS</v>
      </c>
      <c r="F858" s="29"/>
      <c r="G858" s="28" t="s">
        <v>3345</v>
      </c>
      <c r="H858" s="29" t="s">
        <v>2748</v>
      </c>
      <c r="I858" s="29" t="s">
        <v>346</v>
      </c>
      <c r="J858" s="28" t="s">
        <v>3346</v>
      </c>
      <c r="K858" s="28"/>
      <c r="L858" s="27"/>
      <c r="M858" s="27"/>
      <c r="N858" s="29"/>
      <c r="O858" s="56"/>
      <c r="P858" s="31">
        <v>108000000</v>
      </c>
      <c r="Q858" s="31"/>
      <c r="R858" s="27"/>
      <c r="S858" s="32">
        <v>6000000</v>
      </c>
      <c r="T858" s="33"/>
      <c r="U858" s="334">
        <v>44866</v>
      </c>
      <c r="V858" s="334">
        <v>45230</v>
      </c>
      <c r="W858" s="27" t="s">
        <v>245</v>
      </c>
      <c r="X858" s="27"/>
      <c r="Y858" s="34">
        <f t="shared" ca="1" si="18"/>
        <v>46290</v>
      </c>
      <c r="Z858" s="35">
        <f t="shared" ca="1" si="19"/>
        <v>-1060</v>
      </c>
      <c r="AA858" s="27">
        <f t="shared" si="20"/>
        <v>10</v>
      </c>
      <c r="AB858" s="27">
        <f t="shared" si="21"/>
        <v>2023</v>
      </c>
      <c r="AC858" s="28" t="s">
        <v>3347</v>
      </c>
      <c r="AD858" s="28" t="s">
        <v>3348</v>
      </c>
      <c r="AE858" s="27">
        <v>4500021427</v>
      </c>
      <c r="AF858" s="27" t="s">
        <v>339</v>
      </c>
      <c r="AG858" s="29" t="s">
        <v>3150</v>
      </c>
      <c r="AH858" s="28" t="s">
        <v>3170</v>
      </c>
      <c r="AI858" s="27"/>
      <c r="AJ858" s="27"/>
      <c r="AK858" s="27" t="s">
        <v>3349</v>
      </c>
      <c r="AL858" s="27" t="s">
        <v>3350</v>
      </c>
      <c r="AM858" s="27"/>
      <c r="AN858" s="27" t="s">
        <v>3351</v>
      </c>
      <c r="AO858" s="27"/>
      <c r="AP858" s="27"/>
      <c r="AQ858" s="27"/>
      <c r="AR858" s="504"/>
      <c r="AS858" s="332"/>
      <c r="AT858" s="160"/>
    </row>
    <row r="859" spans="1:46" ht="21.75" hidden="1" customHeight="1">
      <c r="A859" s="331">
        <v>858</v>
      </c>
      <c r="B859" s="28" t="s">
        <v>61</v>
      </c>
      <c r="C859" s="28" t="s">
        <v>3352</v>
      </c>
      <c r="D859" s="444" t="s">
        <v>3145</v>
      </c>
      <c r="E859" s="361" t="str">
        <f t="shared" ca="1" si="17"/>
        <v>LOSS</v>
      </c>
      <c r="F859" s="29"/>
      <c r="G859" s="28" t="s">
        <v>3353</v>
      </c>
      <c r="H859" s="29" t="s">
        <v>2748</v>
      </c>
      <c r="I859" s="29" t="s">
        <v>346</v>
      </c>
      <c r="J859" s="28" t="s">
        <v>3354</v>
      </c>
      <c r="K859" s="28"/>
      <c r="L859" s="27"/>
      <c r="M859" s="27"/>
      <c r="N859" s="29"/>
      <c r="O859" s="56"/>
      <c r="P859" s="31">
        <v>591600000</v>
      </c>
      <c r="Q859" s="31"/>
      <c r="R859" s="27"/>
      <c r="S859" s="32">
        <v>8000000</v>
      </c>
      <c r="T859" s="33"/>
      <c r="U859" s="334">
        <v>44470</v>
      </c>
      <c r="V859" s="334">
        <v>44834</v>
      </c>
      <c r="W859" s="27" t="s">
        <v>245</v>
      </c>
      <c r="X859" s="27"/>
      <c r="Y859" s="34">
        <f t="shared" ca="1" si="18"/>
        <v>46290</v>
      </c>
      <c r="Z859" s="35">
        <f t="shared" ca="1" si="19"/>
        <v>-1456</v>
      </c>
      <c r="AA859" s="27">
        <f t="shared" si="20"/>
        <v>9</v>
      </c>
      <c r="AB859" s="27">
        <f t="shared" si="21"/>
        <v>2022</v>
      </c>
      <c r="AC859" s="28" t="s">
        <v>3355</v>
      </c>
      <c r="AD859" s="28" t="s">
        <v>3356</v>
      </c>
      <c r="AE859" s="27">
        <v>4500016489</v>
      </c>
      <c r="AF859" s="27" t="s">
        <v>339</v>
      </c>
      <c r="AG859" s="29" t="s">
        <v>3150</v>
      </c>
      <c r="AH859" s="28" t="s">
        <v>3151</v>
      </c>
      <c r="AI859" s="27">
        <v>136</v>
      </c>
      <c r="AJ859" s="27" t="s">
        <v>3357</v>
      </c>
      <c r="AK859" s="27" t="s">
        <v>3358</v>
      </c>
      <c r="AL859" s="27"/>
      <c r="AM859" s="27" t="s">
        <v>3359</v>
      </c>
      <c r="AN859" s="27"/>
      <c r="AO859" s="27"/>
      <c r="AP859" s="27"/>
      <c r="AQ859" s="27"/>
      <c r="AR859" s="504"/>
      <c r="AS859" s="332"/>
      <c r="AT859" s="160"/>
    </row>
    <row r="860" spans="1:46" ht="21.75" hidden="1" customHeight="1">
      <c r="A860" s="331">
        <v>859</v>
      </c>
      <c r="B860" s="28" t="s">
        <v>61</v>
      </c>
      <c r="C860" s="28" t="s">
        <v>3360</v>
      </c>
      <c r="D860" s="443" t="s">
        <v>3145</v>
      </c>
      <c r="E860" s="361" t="str">
        <f t="shared" ca="1" si="17"/>
        <v>LOSS</v>
      </c>
      <c r="F860" s="29"/>
      <c r="G860" s="28" t="s">
        <v>3361</v>
      </c>
      <c r="H860" s="29" t="s">
        <v>2748</v>
      </c>
      <c r="I860" s="29" t="s">
        <v>346</v>
      </c>
      <c r="J860" s="28" t="s">
        <v>3362</v>
      </c>
      <c r="K860" s="28"/>
      <c r="L860" s="27"/>
      <c r="M860" s="27"/>
      <c r="N860" s="29"/>
      <c r="O860" s="56"/>
      <c r="P860" s="31">
        <v>84000000</v>
      </c>
      <c r="Q860" s="31"/>
      <c r="R860" s="27"/>
      <c r="S860" s="32">
        <v>6000000</v>
      </c>
      <c r="T860" s="33"/>
      <c r="U860" s="334">
        <v>44088</v>
      </c>
      <c r="V860" s="334">
        <v>44452</v>
      </c>
      <c r="W860" s="27" t="s">
        <v>245</v>
      </c>
      <c r="X860" s="27"/>
      <c r="Y860" s="34">
        <f t="shared" ca="1" si="18"/>
        <v>46290</v>
      </c>
      <c r="Z860" s="35">
        <f t="shared" ca="1" si="19"/>
        <v>-1838</v>
      </c>
      <c r="AA860" s="27">
        <f t="shared" si="20"/>
        <v>9</v>
      </c>
      <c r="AB860" s="27">
        <f t="shared" si="21"/>
        <v>2021</v>
      </c>
      <c r="AC860" s="28" t="s">
        <v>3363</v>
      </c>
      <c r="AD860" s="28" t="s">
        <v>567</v>
      </c>
      <c r="AE860" s="27">
        <v>4500014893</v>
      </c>
      <c r="AF860" s="27" t="s">
        <v>339</v>
      </c>
      <c r="AG860" s="29" t="s">
        <v>3150</v>
      </c>
      <c r="AH860" s="28" t="s">
        <v>3151</v>
      </c>
      <c r="AI860" s="27">
        <v>84</v>
      </c>
      <c r="AJ860" s="27" t="s">
        <v>3364</v>
      </c>
      <c r="AK860" s="27" t="s">
        <v>3365</v>
      </c>
      <c r="AL860" s="27" t="s">
        <v>3366</v>
      </c>
      <c r="AM860" s="27"/>
      <c r="AN860" s="27"/>
      <c r="AO860" s="27"/>
      <c r="AP860" s="27"/>
      <c r="AQ860" s="27"/>
      <c r="AR860" s="504"/>
      <c r="AS860" s="332" t="s">
        <v>3367</v>
      </c>
      <c r="AT860" s="160"/>
    </row>
    <row r="861" spans="1:46" ht="21.75" hidden="1" customHeight="1">
      <c r="A861" s="331">
        <v>860</v>
      </c>
      <c r="B861" s="28" t="s">
        <v>61</v>
      </c>
      <c r="C861" s="28" t="s">
        <v>3368</v>
      </c>
      <c r="D861" s="444" t="s">
        <v>3145</v>
      </c>
      <c r="E861" s="361" t="str">
        <f t="shared" ca="1" si="17"/>
        <v>LOSS</v>
      </c>
      <c r="F861" s="29"/>
      <c r="G861" s="28" t="s">
        <v>3369</v>
      </c>
      <c r="H861" s="29" t="s">
        <v>2748</v>
      </c>
      <c r="I861" s="29" t="s">
        <v>346</v>
      </c>
      <c r="J861" s="28" t="s">
        <v>3370</v>
      </c>
      <c r="K861" s="28"/>
      <c r="L861" s="27"/>
      <c r="M861" s="27"/>
      <c r="N861" s="29"/>
      <c r="O861" s="56"/>
      <c r="P861" s="31">
        <f>12*20000000</f>
        <v>240000000</v>
      </c>
      <c r="Q861" s="31"/>
      <c r="R861" s="27"/>
      <c r="S861" s="32">
        <v>12000000</v>
      </c>
      <c r="T861" s="33"/>
      <c r="U861" s="334">
        <v>44951</v>
      </c>
      <c r="V861" s="334">
        <v>45315</v>
      </c>
      <c r="W861" s="27" t="s">
        <v>245</v>
      </c>
      <c r="X861" s="27"/>
      <c r="Y861" s="34">
        <f t="shared" ca="1" si="18"/>
        <v>46290</v>
      </c>
      <c r="Z861" s="35">
        <f t="shared" ca="1" si="19"/>
        <v>-975</v>
      </c>
      <c r="AA861" s="27">
        <f t="shared" si="20"/>
        <v>1</v>
      </c>
      <c r="AB861" s="27">
        <f t="shared" si="21"/>
        <v>2024</v>
      </c>
      <c r="AC861" s="28" t="s">
        <v>3371</v>
      </c>
      <c r="AD861" s="28" t="s">
        <v>3372</v>
      </c>
      <c r="AE861" s="27">
        <v>4500019947</v>
      </c>
      <c r="AF861" s="27" t="s">
        <v>333</v>
      </c>
      <c r="AG861" s="29" t="s">
        <v>3150</v>
      </c>
      <c r="AH861" s="28" t="s">
        <v>3151</v>
      </c>
      <c r="AI861" s="27"/>
      <c r="AJ861" s="27"/>
      <c r="AK861" s="27"/>
      <c r="AL861" s="27"/>
      <c r="AM861" s="27"/>
      <c r="AN861" s="27"/>
      <c r="AO861" s="27" t="s">
        <v>3373</v>
      </c>
      <c r="AP861" s="27"/>
      <c r="AQ861" s="27"/>
      <c r="AR861" s="504"/>
      <c r="AS861" s="332" t="s">
        <v>3153</v>
      </c>
      <c r="AT861" s="160"/>
    </row>
    <row r="862" spans="1:46" ht="21.75" hidden="1" customHeight="1">
      <c r="A862" s="331">
        <v>861</v>
      </c>
      <c r="B862" s="28" t="s">
        <v>61</v>
      </c>
      <c r="C862" s="28" t="s">
        <v>1020</v>
      </c>
      <c r="D862" s="443" t="s">
        <v>3145</v>
      </c>
      <c r="E862" s="361" t="str">
        <f t="shared" ca="1" si="17"/>
        <v>LOSS</v>
      </c>
      <c r="F862" s="29"/>
      <c r="G862" s="28" t="s">
        <v>3374</v>
      </c>
      <c r="H862" s="29" t="s">
        <v>2748</v>
      </c>
      <c r="I862" s="29" t="s">
        <v>346</v>
      </c>
      <c r="J862" s="28" t="s">
        <v>1021</v>
      </c>
      <c r="K862" s="28"/>
      <c r="L862" s="27"/>
      <c r="M862" s="27"/>
      <c r="N862" s="29"/>
      <c r="O862" s="56"/>
      <c r="P862" s="31">
        <v>120000000</v>
      </c>
      <c r="Q862" s="31"/>
      <c r="R862" s="27"/>
      <c r="S862" s="32">
        <v>6000000</v>
      </c>
      <c r="T862" s="33"/>
      <c r="U862" s="334">
        <v>43983</v>
      </c>
      <c r="V862" s="334">
        <v>44347</v>
      </c>
      <c r="W862" s="27" t="s">
        <v>245</v>
      </c>
      <c r="X862" s="27"/>
      <c r="Y862" s="34">
        <f t="shared" ca="1" si="18"/>
        <v>46290</v>
      </c>
      <c r="Z862" s="35">
        <f t="shared" ca="1" si="19"/>
        <v>-1943</v>
      </c>
      <c r="AA862" s="27">
        <f t="shared" si="20"/>
        <v>5</v>
      </c>
      <c r="AB862" s="27">
        <f t="shared" si="21"/>
        <v>2021</v>
      </c>
      <c r="AC862" s="28" t="s">
        <v>3375</v>
      </c>
      <c r="AD862" s="28" t="s">
        <v>3376</v>
      </c>
      <c r="AE862" s="27">
        <v>4500014363</v>
      </c>
      <c r="AF862" s="27" t="s">
        <v>339</v>
      </c>
      <c r="AG862" s="29" t="s">
        <v>3150</v>
      </c>
      <c r="AH862" s="28" t="s">
        <v>3377</v>
      </c>
      <c r="AI862" s="27"/>
      <c r="AJ862" s="27"/>
      <c r="AK862" s="27" t="s">
        <v>3378</v>
      </c>
      <c r="AL862" s="27" t="s">
        <v>3379</v>
      </c>
      <c r="AM862" s="27"/>
      <c r="AN862" s="27"/>
      <c r="AO862" s="27"/>
      <c r="AP862" s="27"/>
      <c r="AQ862" s="27"/>
      <c r="AR862" s="504"/>
      <c r="AS862" s="332"/>
      <c r="AT862" s="160"/>
    </row>
    <row r="863" spans="1:46" ht="21.75" hidden="1" customHeight="1">
      <c r="A863" s="331">
        <v>862</v>
      </c>
      <c r="B863" s="28" t="s">
        <v>61</v>
      </c>
      <c r="C863" s="28" t="s">
        <v>3380</v>
      </c>
      <c r="D863" s="444" t="s">
        <v>3145</v>
      </c>
      <c r="E863" s="361" t="str">
        <f t="shared" ca="1" si="17"/>
        <v>LOSS</v>
      </c>
      <c r="F863" s="29"/>
      <c r="G863" s="28" t="s">
        <v>3381</v>
      </c>
      <c r="H863" s="29" t="s">
        <v>2748</v>
      </c>
      <c r="I863" s="29" t="s">
        <v>346</v>
      </c>
      <c r="J863" s="28" t="s">
        <v>724</v>
      </c>
      <c r="K863" s="28"/>
      <c r="L863" s="27"/>
      <c r="M863" s="27"/>
      <c r="N863" s="29"/>
      <c r="O863" s="56"/>
      <c r="P863" s="31">
        <v>28800000</v>
      </c>
      <c r="Q863" s="31"/>
      <c r="R863" s="27"/>
      <c r="S863" s="32">
        <v>6000000</v>
      </c>
      <c r="T863" s="33"/>
      <c r="U863" s="334">
        <v>44401</v>
      </c>
      <c r="V863" s="334">
        <v>44765</v>
      </c>
      <c r="W863" s="27" t="s">
        <v>250</v>
      </c>
      <c r="X863" s="27"/>
      <c r="Y863" s="34">
        <f t="shared" ca="1" si="18"/>
        <v>46290</v>
      </c>
      <c r="Z863" s="35">
        <f t="shared" ca="1" si="19"/>
        <v>-1525</v>
      </c>
      <c r="AA863" s="27">
        <f t="shared" si="20"/>
        <v>7</v>
      </c>
      <c r="AB863" s="27">
        <f t="shared" si="21"/>
        <v>2022</v>
      </c>
      <c r="AC863" s="28" t="s">
        <v>3382</v>
      </c>
      <c r="AD863" s="28">
        <v>16253</v>
      </c>
      <c r="AE863" s="27"/>
      <c r="AF863" s="27" t="s">
        <v>339</v>
      </c>
      <c r="AG863" s="29" t="s">
        <v>3150</v>
      </c>
      <c r="AH863" s="28" t="s">
        <v>3377</v>
      </c>
      <c r="AI863" s="27"/>
      <c r="AJ863" s="27"/>
      <c r="AK863" s="27" t="s">
        <v>3383</v>
      </c>
      <c r="AL863" s="27" t="s">
        <v>3384</v>
      </c>
      <c r="AM863" s="27"/>
      <c r="AN863" s="27"/>
      <c r="AO863" s="27"/>
      <c r="AP863" s="27"/>
      <c r="AQ863" s="27"/>
      <c r="AR863" s="504"/>
      <c r="AS863" s="332" t="s">
        <v>3385</v>
      </c>
      <c r="AT863" s="160"/>
    </row>
    <row r="864" spans="1:46" ht="21.75" hidden="1" customHeight="1">
      <c r="A864" s="331">
        <v>863</v>
      </c>
      <c r="B864" s="28" t="s">
        <v>61</v>
      </c>
      <c r="C864" s="28" t="s">
        <v>3386</v>
      </c>
      <c r="D864" s="443" t="s">
        <v>3145</v>
      </c>
      <c r="E864" s="361" t="str">
        <f t="shared" ca="1" si="17"/>
        <v>LOSS</v>
      </c>
      <c r="F864" s="29"/>
      <c r="G864" s="28" t="s">
        <v>3387</v>
      </c>
      <c r="H864" s="29" t="s">
        <v>2748</v>
      </c>
      <c r="I864" s="160" t="s">
        <v>242</v>
      </c>
      <c r="J864" s="28" t="s">
        <v>2737</v>
      </c>
      <c r="K864" s="28"/>
      <c r="L864" s="27"/>
      <c r="M864" s="27"/>
      <c r="N864" s="29"/>
      <c r="O864" s="56"/>
      <c r="P864" s="31">
        <f>12*17500000</f>
        <v>210000000</v>
      </c>
      <c r="Q864" s="31"/>
      <c r="R864" s="27"/>
      <c r="S864" s="32">
        <v>8000000</v>
      </c>
      <c r="T864" s="33"/>
      <c r="U864" s="334">
        <v>45261</v>
      </c>
      <c r="V864" s="334">
        <v>45632</v>
      </c>
      <c r="W864" s="27" t="s">
        <v>250</v>
      </c>
      <c r="X864" s="27"/>
      <c r="Y864" s="34">
        <f t="shared" ca="1" si="18"/>
        <v>46290</v>
      </c>
      <c r="Z864" s="35">
        <f t="shared" ca="1" si="19"/>
        <v>-658</v>
      </c>
      <c r="AA864" s="27">
        <f t="shared" si="20"/>
        <v>12</v>
      </c>
      <c r="AB864" s="27">
        <f t="shared" si="21"/>
        <v>2024</v>
      </c>
      <c r="AC864" s="28" t="s">
        <v>479</v>
      </c>
      <c r="AD864" s="28" t="s">
        <v>2738</v>
      </c>
      <c r="AE864" s="27">
        <v>4500019496</v>
      </c>
      <c r="AF864" s="27" t="s">
        <v>339</v>
      </c>
      <c r="AG864" s="29" t="s">
        <v>3150</v>
      </c>
      <c r="AH864" s="28" t="s">
        <v>3377</v>
      </c>
      <c r="AI864" s="27"/>
      <c r="AJ864" s="27"/>
      <c r="AK864" s="27"/>
      <c r="AL864" s="27"/>
      <c r="AM864" s="27"/>
      <c r="AN864" s="27" t="s">
        <v>3388</v>
      </c>
      <c r="AO864" s="27"/>
      <c r="AP864" s="27"/>
      <c r="AQ864" s="27"/>
      <c r="AR864" s="504"/>
      <c r="AS864" s="332" t="s">
        <v>3389</v>
      </c>
      <c r="AT864" s="160"/>
    </row>
    <row r="865" spans="1:46" ht="21.75" hidden="1" customHeight="1">
      <c r="A865" s="331">
        <v>864</v>
      </c>
      <c r="B865" s="28" t="s">
        <v>61</v>
      </c>
      <c r="C865" s="28" t="s">
        <v>3390</v>
      </c>
      <c r="D865" s="437" t="s">
        <v>413</v>
      </c>
      <c r="E865" s="361" t="str">
        <f t="shared" ca="1" si="17"/>
        <v>LOSS</v>
      </c>
      <c r="F865" s="29" t="s">
        <v>3391</v>
      </c>
      <c r="G865" s="28" t="s">
        <v>3392</v>
      </c>
      <c r="H865" s="29" t="s">
        <v>2748</v>
      </c>
      <c r="I865" s="29" t="s">
        <v>346</v>
      </c>
      <c r="J865" s="28" t="s">
        <v>65</v>
      </c>
      <c r="K865" s="28"/>
      <c r="L865" s="27"/>
      <c r="M865" s="27"/>
      <c r="N865" s="29"/>
      <c r="O865" s="56"/>
      <c r="P865" s="31">
        <v>90000000</v>
      </c>
      <c r="Q865" s="31"/>
      <c r="R865" s="27"/>
      <c r="S865" s="32">
        <v>8000000</v>
      </c>
      <c r="T865" s="33"/>
      <c r="U865" s="334">
        <v>45335</v>
      </c>
      <c r="V865" s="334">
        <v>45700</v>
      </c>
      <c r="W865" s="27" t="s">
        <v>250</v>
      </c>
      <c r="X865" s="27"/>
      <c r="Y865" s="34">
        <f t="shared" ca="1" si="18"/>
        <v>46290</v>
      </c>
      <c r="Z865" s="35">
        <f t="shared" ca="1" si="19"/>
        <v>-590</v>
      </c>
      <c r="AA865" s="27">
        <f t="shared" si="20"/>
        <v>2</v>
      </c>
      <c r="AB865" s="27">
        <f t="shared" si="21"/>
        <v>2025</v>
      </c>
      <c r="AC865" s="28" t="s">
        <v>3393</v>
      </c>
      <c r="AD865" s="28" t="s">
        <v>3394</v>
      </c>
      <c r="AE865" s="27">
        <v>4500019967</v>
      </c>
      <c r="AF865" s="27" t="s">
        <v>339</v>
      </c>
      <c r="AG865" s="29" t="s">
        <v>3150</v>
      </c>
      <c r="AH865" s="28" t="s">
        <v>3377</v>
      </c>
      <c r="AI865" s="27"/>
      <c r="AJ865" s="27"/>
      <c r="AK865" s="27"/>
      <c r="AL865" s="27" t="s">
        <v>3395</v>
      </c>
      <c r="AM865" s="27" t="s">
        <v>3396</v>
      </c>
      <c r="AN865" s="27" t="s">
        <v>3397</v>
      </c>
      <c r="AO865" s="27"/>
      <c r="AP865" s="27" t="s">
        <v>3398</v>
      </c>
      <c r="AQ865" s="27"/>
      <c r="AR865" s="504"/>
      <c r="AS865" s="332" t="s">
        <v>3399</v>
      </c>
      <c r="AT865" s="160"/>
    </row>
    <row r="866" spans="1:46" ht="21.75" hidden="1" customHeight="1">
      <c r="A866" s="331">
        <v>865</v>
      </c>
      <c r="B866" s="28" t="s">
        <v>61</v>
      </c>
      <c r="C866" s="28" t="s">
        <v>1679</v>
      </c>
      <c r="D866" s="438" t="s">
        <v>3400</v>
      </c>
      <c r="E866" s="361" t="str">
        <f t="shared" ca="1" si="17"/>
        <v>LOSS</v>
      </c>
      <c r="F866" s="29"/>
      <c r="G866" s="28" t="s">
        <v>3162</v>
      </c>
      <c r="H866" s="29" t="s">
        <v>2748</v>
      </c>
      <c r="I866" s="29" t="s">
        <v>346</v>
      </c>
      <c r="J866" s="28" t="s">
        <v>67</v>
      </c>
      <c r="K866" s="28"/>
      <c r="L866" s="27"/>
      <c r="M866" s="27"/>
      <c r="N866" s="29"/>
      <c r="O866" s="56"/>
      <c r="P866" s="31">
        <f>12*200000000</f>
        <v>2400000000</v>
      </c>
      <c r="Q866" s="31"/>
      <c r="R866" s="27"/>
      <c r="S866" s="32">
        <v>8000000</v>
      </c>
      <c r="T866" s="33"/>
      <c r="U866" s="334">
        <v>45100</v>
      </c>
      <c r="V866" s="334">
        <v>45465</v>
      </c>
      <c r="W866" s="27" t="s">
        <v>250</v>
      </c>
      <c r="X866" s="27"/>
      <c r="Y866" s="34">
        <f t="shared" ca="1" si="18"/>
        <v>46290</v>
      </c>
      <c r="Z866" s="35">
        <f t="shared" ca="1" si="19"/>
        <v>-825</v>
      </c>
      <c r="AA866" s="27">
        <f t="shared" si="20"/>
        <v>6</v>
      </c>
      <c r="AB866" s="27">
        <f t="shared" si="21"/>
        <v>2024</v>
      </c>
      <c r="AC866" s="28" t="s">
        <v>479</v>
      </c>
      <c r="AD866" s="28" t="s">
        <v>3401</v>
      </c>
      <c r="AE866" s="27">
        <v>4500020820</v>
      </c>
      <c r="AF866" s="27" t="s">
        <v>339</v>
      </c>
      <c r="AG866" s="29" t="s">
        <v>3150</v>
      </c>
      <c r="AH866" s="28" t="s">
        <v>3377</v>
      </c>
      <c r="AI866" s="27"/>
      <c r="AJ866" s="27"/>
      <c r="AK866" s="27"/>
      <c r="AL866" s="27"/>
      <c r="AM866" s="27"/>
      <c r="AN866" s="27"/>
      <c r="AO866" s="27" t="s">
        <v>3402</v>
      </c>
      <c r="AP866" s="27"/>
      <c r="AQ866" s="27"/>
      <c r="AR866" s="504"/>
      <c r="AS866" s="332" t="s">
        <v>3399</v>
      </c>
      <c r="AT866" s="160"/>
    </row>
    <row r="867" spans="1:46" ht="21.75" hidden="1" customHeight="1">
      <c r="A867" s="331">
        <v>866</v>
      </c>
      <c r="B867" s="28" t="s">
        <v>61</v>
      </c>
      <c r="C867" s="28" t="s">
        <v>1679</v>
      </c>
      <c r="D867" s="437" t="s">
        <v>3400</v>
      </c>
      <c r="E867" s="361" t="str">
        <f t="shared" ca="1" si="17"/>
        <v>LOSS</v>
      </c>
      <c r="F867" s="29"/>
      <c r="G867" s="28" t="s">
        <v>3162</v>
      </c>
      <c r="H867" s="29" t="s">
        <v>2748</v>
      </c>
      <c r="I867" s="29" t="s">
        <v>346</v>
      </c>
      <c r="J867" s="28" t="s">
        <v>67</v>
      </c>
      <c r="K867" s="28"/>
      <c r="L867" s="27"/>
      <c r="M867" s="27"/>
      <c r="N867" s="29"/>
      <c r="O867" s="56"/>
      <c r="P867" s="31">
        <f>12*200000000</f>
        <v>2400000000</v>
      </c>
      <c r="Q867" s="31"/>
      <c r="R867" s="27"/>
      <c r="S867" s="32">
        <v>8000000</v>
      </c>
      <c r="T867" s="33"/>
      <c r="U867" s="334">
        <v>45466</v>
      </c>
      <c r="V867" s="334">
        <v>45830</v>
      </c>
      <c r="W867" s="27" t="s">
        <v>17</v>
      </c>
      <c r="X867" s="27"/>
      <c r="Y867" s="34">
        <f t="shared" ca="1" si="18"/>
        <v>46290</v>
      </c>
      <c r="Z867" s="35">
        <f t="shared" ca="1" si="19"/>
        <v>-460</v>
      </c>
      <c r="AA867" s="27">
        <f t="shared" si="20"/>
        <v>6</v>
      </c>
      <c r="AB867" s="27">
        <f t="shared" si="21"/>
        <v>2025</v>
      </c>
      <c r="AC867" s="28" t="s">
        <v>479</v>
      </c>
      <c r="AD867" s="28" t="s">
        <v>3403</v>
      </c>
      <c r="AE867" s="27">
        <v>4500023492</v>
      </c>
      <c r="AF867" s="27" t="s">
        <v>333</v>
      </c>
      <c r="AG867" s="29" t="s">
        <v>3150</v>
      </c>
      <c r="AH867" s="28" t="s">
        <v>3377</v>
      </c>
      <c r="AI867" s="27"/>
      <c r="AJ867" s="27"/>
      <c r="AK867" s="27"/>
      <c r="AL867" s="27"/>
      <c r="AM867" s="27"/>
      <c r="AN867" s="27"/>
      <c r="AO867" s="27"/>
      <c r="AP867" s="27" t="s">
        <v>3404</v>
      </c>
      <c r="AQ867" s="27"/>
      <c r="AR867" s="504"/>
      <c r="AS867" s="332" t="s">
        <v>3399</v>
      </c>
      <c r="AT867" s="160"/>
    </row>
    <row r="868" spans="1:46" ht="21.75" hidden="1" customHeight="1">
      <c r="A868" s="331">
        <v>867</v>
      </c>
      <c r="B868" s="28" t="s">
        <v>61</v>
      </c>
      <c r="C868" s="28" t="s">
        <v>1192</v>
      </c>
      <c r="D868" s="438" t="s">
        <v>3400</v>
      </c>
      <c r="E868" s="361" t="str">
        <f t="shared" ca="1" si="17"/>
        <v>LOSS</v>
      </c>
      <c r="F868" s="29"/>
      <c r="G868" s="28" t="s">
        <v>3405</v>
      </c>
      <c r="H868" s="29" t="s">
        <v>2748</v>
      </c>
      <c r="I868" s="160" t="s">
        <v>242</v>
      </c>
      <c r="J868" s="28" t="s">
        <v>3406</v>
      </c>
      <c r="K868" s="28"/>
      <c r="L868" s="27"/>
      <c r="M868" s="27"/>
      <c r="N868" s="29"/>
      <c r="O868" s="56"/>
      <c r="P868" s="31">
        <f>12*18000000</f>
        <v>216000000</v>
      </c>
      <c r="Q868" s="31"/>
      <c r="R868" s="27"/>
      <c r="S868" s="32">
        <v>8000000</v>
      </c>
      <c r="T868" s="33"/>
      <c r="U868" s="334">
        <v>45096</v>
      </c>
      <c r="V868" s="334">
        <v>45461</v>
      </c>
      <c r="W868" s="27" t="s">
        <v>17</v>
      </c>
      <c r="X868" s="27" t="s">
        <v>3148</v>
      </c>
      <c r="Y868" s="34">
        <f t="shared" ca="1" si="18"/>
        <v>46290</v>
      </c>
      <c r="Z868" s="35">
        <f t="shared" ca="1" si="19"/>
        <v>-829</v>
      </c>
      <c r="AA868" s="27">
        <f t="shared" si="20"/>
        <v>6</v>
      </c>
      <c r="AB868" s="27">
        <f t="shared" si="21"/>
        <v>2024</v>
      </c>
      <c r="AC868" s="28" t="s">
        <v>479</v>
      </c>
      <c r="AD868" s="28" t="s">
        <v>3407</v>
      </c>
      <c r="AE868" s="27">
        <v>4500020661</v>
      </c>
      <c r="AF868" s="27" t="s">
        <v>339</v>
      </c>
      <c r="AG868" s="29" t="s">
        <v>3150</v>
      </c>
      <c r="AH868" s="28" t="s">
        <v>3377</v>
      </c>
      <c r="AI868" s="27"/>
      <c r="AJ868" s="27"/>
      <c r="AK868" s="27"/>
      <c r="AL868" s="27"/>
      <c r="AM868" s="27"/>
      <c r="AN868" s="27"/>
      <c r="AO868" s="27" t="s">
        <v>3408</v>
      </c>
      <c r="AP868" s="27"/>
      <c r="AQ868" s="27"/>
      <c r="AR868" s="504"/>
      <c r="AS868" s="332" t="s">
        <v>3399</v>
      </c>
      <c r="AT868" s="160"/>
    </row>
    <row r="869" spans="1:46" ht="21.75" hidden="1" customHeight="1">
      <c r="A869" s="331">
        <v>868</v>
      </c>
      <c r="B869" s="28" t="s">
        <v>3409</v>
      </c>
      <c r="C869" s="28" t="s">
        <v>615</v>
      </c>
      <c r="D869" s="437" t="s">
        <v>3410</v>
      </c>
      <c r="E869" s="361" t="str">
        <f t="shared" ca="1" si="17"/>
        <v>LOSS</v>
      </c>
      <c r="F869" s="29"/>
      <c r="G869" s="28" t="s">
        <v>3411</v>
      </c>
      <c r="H869" s="29" t="s">
        <v>2748</v>
      </c>
      <c r="I869" s="29" t="s">
        <v>346</v>
      </c>
      <c r="J869" s="28" t="s">
        <v>3412</v>
      </c>
      <c r="K869" s="28"/>
      <c r="L869" s="27"/>
      <c r="M869" s="27"/>
      <c r="N869" s="29"/>
      <c r="O869" s="56"/>
      <c r="P869" s="31">
        <v>48000000</v>
      </c>
      <c r="Q869" s="31"/>
      <c r="R869" s="27"/>
      <c r="S869" s="32">
        <v>12000000</v>
      </c>
      <c r="T869" s="33"/>
      <c r="U869" s="334">
        <v>44287</v>
      </c>
      <c r="V869" s="334">
        <v>44651</v>
      </c>
      <c r="W869" s="27" t="s">
        <v>245</v>
      </c>
      <c r="X869" s="27"/>
      <c r="Y869" s="34">
        <f t="shared" ca="1" si="18"/>
        <v>46290</v>
      </c>
      <c r="Z869" s="35">
        <f t="shared" ca="1" si="19"/>
        <v>-1639</v>
      </c>
      <c r="AA869" s="27">
        <f t="shared" si="20"/>
        <v>3</v>
      </c>
      <c r="AB869" s="27">
        <f t="shared" si="21"/>
        <v>2022</v>
      </c>
      <c r="AC869" s="28" t="s">
        <v>3413</v>
      </c>
      <c r="AD869" s="28" t="s">
        <v>3414</v>
      </c>
      <c r="AE869" s="27">
        <v>4500015912</v>
      </c>
      <c r="AF869" s="27" t="s">
        <v>339</v>
      </c>
      <c r="AG869" s="29" t="s">
        <v>3415</v>
      </c>
      <c r="AH869" s="28" t="s">
        <v>3416</v>
      </c>
      <c r="AI869" s="27"/>
      <c r="AJ869" s="27" t="s">
        <v>3417</v>
      </c>
      <c r="AK869" s="27" t="s">
        <v>3418</v>
      </c>
      <c r="AL869" s="27" t="s">
        <v>3419</v>
      </c>
      <c r="AM869" s="27" t="s">
        <v>3420</v>
      </c>
      <c r="AN869" s="27"/>
      <c r="AO869" s="27"/>
      <c r="AP869" s="27"/>
      <c r="AQ869" s="27"/>
      <c r="AR869" s="504"/>
      <c r="AS869" s="332" t="s">
        <v>3421</v>
      </c>
      <c r="AT869" s="160"/>
    </row>
    <row r="870" spans="1:46" ht="21.75" hidden="1" customHeight="1">
      <c r="A870" s="331">
        <v>869</v>
      </c>
      <c r="B870" s="28" t="s">
        <v>3409</v>
      </c>
      <c r="C870" s="28" t="s">
        <v>555</v>
      </c>
      <c r="D870" s="438" t="s">
        <v>3422</v>
      </c>
      <c r="E870" s="361" t="str">
        <f t="shared" ca="1" si="17"/>
        <v>LOSS</v>
      </c>
      <c r="F870" s="29"/>
      <c r="G870" s="28" t="s">
        <v>3423</v>
      </c>
      <c r="H870" s="29" t="s">
        <v>2748</v>
      </c>
      <c r="I870" s="29" t="s">
        <v>346</v>
      </c>
      <c r="J870" s="28" t="s">
        <v>987</v>
      </c>
      <c r="K870" s="28"/>
      <c r="L870" s="27"/>
      <c r="M870" s="27"/>
      <c r="N870" s="29"/>
      <c r="O870" s="56"/>
      <c r="P870" s="31">
        <v>54000000</v>
      </c>
      <c r="Q870" s="31"/>
      <c r="R870" s="27"/>
      <c r="S870" s="32">
        <v>7200000</v>
      </c>
      <c r="T870" s="33"/>
      <c r="U870" s="334">
        <v>44104</v>
      </c>
      <c r="V870" s="334">
        <v>44468</v>
      </c>
      <c r="W870" s="27" t="s">
        <v>245</v>
      </c>
      <c r="X870" s="27"/>
      <c r="Y870" s="34">
        <f t="shared" ca="1" si="18"/>
        <v>46290</v>
      </c>
      <c r="Z870" s="35">
        <f t="shared" ca="1" si="19"/>
        <v>-1822</v>
      </c>
      <c r="AA870" s="27">
        <f t="shared" si="20"/>
        <v>9</v>
      </c>
      <c r="AB870" s="27">
        <f t="shared" si="21"/>
        <v>2021</v>
      </c>
      <c r="AC870" s="28" t="s">
        <v>3424</v>
      </c>
      <c r="AD870" s="28" t="s">
        <v>3425</v>
      </c>
      <c r="AE870" s="27">
        <v>4500014934</v>
      </c>
      <c r="AF870" s="27" t="s">
        <v>339</v>
      </c>
      <c r="AG870" s="29" t="s">
        <v>3426</v>
      </c>
      <c r="AH870" s="28" t="s">
        <v>3427</v>
      </c>
      <c r="AI870" s="27" t="s">
        <v>3428</v>
      </c>
      <c r="AJ870" s="27" t="s">
        <v>3429</v>
      </c>
      <c r="AK870" s="27" t="s">
        <v>3430</v>
      </c>
      <c r="AL870" s="27" t="s">
        <v>3431</v>
      </c>
      <c r="AM870" s="27"/>
      <c r="AN870" s="27"/>
      <c r="AO870" s="27"/>
      <c r="AP870" s="27"/>
      <c r="AQ870" s="27"/>
      <c r="AR870" s="504"/>
      <c r="AS870" s="332" t="s">
        <v>3432</v>
      </c>
      <c r="AT870" s="160"/>
    </row>
    <row r="871" spans="1:46" ht="21.75" hidden="1" customHeight="1">
      <c r="A871" s="331">
        <v>870</v>
      </c>
      <c r="B871" s="28" t="s">
        <v>3409</v>
      </c>
      <c r="C871" s="28" t="s">
        <v>2665</v>
      </c>
      <c r="D871" s="437" t="s">
        <v>3410</v>
      </c>
      <c r="E871" s="361" t="str">
        <f t="shared" ca="1" si="17"/>
        <v>LOSS</v>
      </c>
      <c r="F871" s="29"/>
      <c r="G871" s="28" t="s">
        <v>3433</v>
      </c>
      <c r="H871" s="29" t="s">
        <v>2748</v>
      </c>
      <c r="I871" s="29" t="s">
        <v>346</v>
      </c>
      <c r="J871" s="28" t="s">
        <v>2418</v>
      </c>
      <c r="K871" s="28"/>
      <c r="L871" s="27"/>
      <c r="M871" s="27"/>
      <c r="N871" s="29"/>
      <c r="O871" s="56"/>
      <c r="P871" s="31">
        <v>60000000</v>
      </c>
      <c r="Q871" s="31"/>
      <c r="R871" s="27"/>
      <c r="S871" s="32">
        <v>14400000</v>
      </c>
      <c r="T871" s="33"/>
      <c r="U871" s="334">
        <v>44845</v>
      </c>
      <c r="V871" s="334">
        <v>45209</v>
      </c>
      <c r="W871" s="27" t="s">
        <v>250</v>
      </c>
      <c r="X871" s="27"/>
      <c r="Y871" s="34">
        <f t="shared" ca="1" si="18"/>
        <v>46290</v>
      </c>
      <c r="Z871" s="35">
        <f t="shared" ca="1" si="19"/>
        <v>-1081</v>
      </c>
      <c r="AA871" s="27">
        <f t="shared" si="20"/>
        <v>10</v>
      </c>
      <c r="AB871" s="27">
        <f t="shared" si="21"/>
        <v>2023</v>
      </c>
      <c r="AC871" s="28" t="s">
        <v>3434</v>
      </c>
      <c r="AD871" s="28" t="s">
        <v>3435</v>
      </c>
      <c r="AE871" s="27">
        <v>4500019289</v>
      </c>
      <c r="AF871" s="27" t="s">
        <v>339</v>
      </c>
      <c r="AG871" s="29" t="s">
        <v>3415</v>
      </c>
      <c r="AH871" s="28" t="s">
        <v>3416</v>
      </c>
      <c r="AI871" s="27" t="s">
        <v>3436</v>
      </c>
      <c r="AJ871" s="27" t="s">
        <v>3437</v>
      </c>
      <c r="AK871" s="27" t="s">
        <v>3438</v>
      </c>
      <c r="AL871" s="27" t="s">
        <v>3439</v>
      </c>
      <c r="AM871" s="27" t="s">
        <v>3440</v>
      </c>
      <c r="AN871" s="27" t="s">
        <v>3441</v>
      </c>
      <c r="AO871" s="27"/>
      <c r="AP871" s="27"/>
      <c r="AQ871" s="27"/>
      <c r="AR871" s="504"/>
      <c r="AS871" s="332"/>
      <c r="AT871" s="160"/>
    </row>
    <row r="872" spans="1:46" ht="21.75" hidden="1" customHeight="1">
      <c r="A872" s="331">
        <v>871</v>
      </c>
      <c r="B872" s="28" t="s">
        <v>3409</v>
      </c>
      <c r="C872" s="28" t="s">
        <v>1206</v>
      </c>
      <c r="D872" s="438" t="s">
        <v>3410</v>
      </c>
      <c r="E872" s="361" t="str">
        <f t="shared" ca="1" si="17"/>
        <v>LOSS</v>
      </c>
      <c r="F872" s="29"/>
      <c r="G872" s="28" t="s">
        <v>3442</v>
      </c>
      <c r="H872" s="29" t="s">
        <v>2748</v>
      </c>
      <c r="I872" s="29" t="s">
        <v>346</v>
      </c>
      <c r="J872" s="28" t="s">
        <v>1015</v>
      </c>
      <c r="K872" s="28"/>
      <c r="L872" s="27"/>
      <c r="M872" s="27"/>
      <c r="N872" s="29"/>
      <c r="O872" s="56"/>
      <c r="P872" s="31">
        <v>79800000</v>
      </c>
      <c r="Q872" s="31"/>
      <c r="R872" s="27"/>
      <c r="S872" s="32">
        <v>12000000</v>
      </c>
      <c r="T872" s="33"/>
      <c r="U872" s="334">
        <v>44282</v>
      </c>
      <c r="V872" s="334">
        <v>44646</v>
      </c>
      <c r="W872" s="27" t="s">
        <v>245</v>
      </c>
      <c r="X872" s="27"/>
      <c r="Y872" s="34">
        <f t="shared" ca="1" si="18"/>
        <v>46290</v>
      </c>
      <c r="Z872" s="35">
        <f t="shared" ca="1" si="19"/>
        <v>-1644</v>
      </c>
      <c r="AA872" s="27">
        <f t="shared" si="20"/>
        <v>3</v>
      </c>
      <c r="AB872" s="27">
        <f t="shared" si="21"/>
        <v>2022</v>
      </c>
      <c r="AC872" s="28" t="s">
        <v>3443</v>
      </c>
      <c r="AD872" s="28" t="s">
        <v>3444</v>
      </c>
      <c r="AE872" s="27">
        <v>4500015719</v>
      </c>
      <c r="AF872" s="27" t="s">
        <v>339</v>
      </c>
      <c r="AG872" s="29" t="s">
        <v>3415</v>
      </c>
      <c r="AH872" s="28" t="s">
        <v>3416</v>
      </c>
      <c r="AI872" s="27">
        <v>23</v>
      </c>
      <c r="AJ872" s="27" t="s">
        <v>3445</v>
      </c>
      <c r="AK872" s="27" t="s">
        <v>3446</v>
      </c>
      <c r="AL872" s="27" t="s">
        <v>3447</v>
      </c>
      <c r="AM872" s="27" t="s">
        <v>3448</v>
      </c>
      <c r="AN872" s="27"/>
      <c r="AO872" s="27"/>
      <c r="AP872" s="27"/>
      <c r="AQ872" s="27"/>
      <c r="AR872" s="504"/>
      <c r="AS872" s="332" t="s">
        <v>3449</v>
      </c>
      <c r="AT872" s="160"/>
    </row>
    <row r="873" spans="1:46" ht="21.75" hidden="1" customHeight="1">
      <c r="A873" s="331">
        <v>872</v>
      </c>
      <c r="B873" s="28" t="s">
        <v>3450</v>
      </c>
      <c r="C873" s="28" t="s">
        <v>3451</v>
      </c>
      <c r="D873" s="437" t="s">
        <v>3452</v>
      </c>
      <c r="E873" s="361" t="str">
        <f t="shared" ca="1" si="17"/>
        <v>LOSS</v>
      </c>
      <c r="F873" s="29"/>
      <c r="G873" s="28"/>
      <c r="H873" s="29" t="s">
        <v>2748</v>
      </c>
      <c r="I873" s="29" t="s">
        <v>242</v>
      </c>
      <c r="J873" s="28" t="s">
        <v>1317</v>
      </c>
      <c r="K873" s="28"/>
      <c r="L873" s="27"/>
      <c r="M873" s="27"/>
      <c r="N873" s="29"/>
      <c r="O873" s="56"/>
      <c r="P873" s="31"/>
      <c r="Q873" s="31"/>
      <c r="R873" s="27"/>
      <c r="S873" s="32">
        <v>30000000</v>
      </c>
      <c r="T873" s="33"/>
      <c r="U873" s="334">
        <v>44377</v>
      </c>
      <c r="V873" s="334">
        <v>46202</v>
      </c>
      <c r="W873" s="27" t="s">
        <v>17</v>
      </c>
      <c r="X873" s="27"/>
      <c r="Y873" s="34">
        <f t="shared" ca="1" si="18"/>
        <v>46290</v>
      </c>
      <c r="Z873" s="35">
        <f t="shared" ca="1" si="19"/>
        <v>-88</v>
      </c>
      <c r="AA873" s="27">
        <f t="shared" si="20"/>
        <v>6</v>
      </c>
      <c r="AB873" s="27">
        <f t="shared" si="21"/>
        <v>2026</v>
      </c>
      <c r="AC873" s="46" t="s">
        <v>479</v>
      </c>
      <c r="AD873" s="46" t="s">
        <v>1318</v>
      </c>
      <c r="AE873" s="47" t="s">
        <v>3453</v>
      </c>
      <c r="AF873" s="27" t="s">
        <v>339</v>
      </c>
      <c r="AG873" s="29"/>
      <c r="AH873" s="28"/>
      <c r="AI873" s="27"/>
      <c r="AJ873" s="27"/>
      <c r="AK873" s="27"/>
      <c r="AL873" s="27"/>
      <c r="AM873" s="27" t="s">
        <v>3454</v>
      </c>
      <c r="AN873" s="27"/>
      <c r="AO873" s="27"/>
      <c r="AP873" s="27"/>
      <c r="AQ873" s="27"/>
      <c r="AR873" s="504"/>
      <c r="AS873" s="332"/>
      <c r="AT873" s="160"/>
    </row>
    <row r="874" spans="1:46" ht="21.75" hidden="1" customHeight="1">
      <c r="A874" s="331">
        <v>873</v>
      </c>
      <c r="B874" s="28" t="s">
        <v>69</v>
      </c>
      <c r="C874" s="28" t="s">
        <v>3455</v>
      </c>
      <c r="D874" s="438" t="s">
        <v>3456</v>
      </c>
      <c r="E874" s="361" t="str">
        <f t="shared" ca="1" si="17"/>
        <v>LOSS</v>
      </c>
      <c r="F874" s="29" t="s">
        <v>3457</v>
      </c>
      <c r="G874" s="28" t="s">
        <v>3456</v>
      </c>
      <c r="H874" s="29" t="s">
        <v>2748</v>
      </c>
      <c r="I874" s="160" t="s">
        <v>346</v>
      </c>
      <c r="J874" s="28" t="s">
        <v>70</v>
      </c>
      <c r="K874" s="28"/>
      <c r="L874" s="27"/>
      <c r="M874" s="27"/>
      <c r="N874" s="29"/>
      <c r="O874" s="56"/>
      <c r="P874" s="31">
        <v>420000000</v>
      </c>
      <c r="Q874" s="31"/>
      <c r="R874" s="27"/>
      <c r="S874" s="32">
        <v>9000000</v>
      </c>
      <c r="T874" s="33"/>
      <c r="U874" s="334">
        <v>45480</v>
      </c>
      <c r="V874" s="334">
        <v>45844</v>
      </c>
      <c r="W874" s="27" t="s">
        <v>250</v>
      </c>
      <c r="X874" s="27"/>
      <c r="Y874" s="34">
        <f t="shared" ca="1" si="18"/>
        <v>46290</v>
      </c>
      <c r="Z874" s="35">
        <f t="shared" ca="1" si="19"/>
        <v>-446</v>
      </c>
      <c r="AA874" s="27">
        <f t="shared" si="20"/>
        <v>7</v>
      </c>
      <c r="AB874" s="27">
        <f t="shared" si="21"/>
        <v>2025</v>
      </c>
      <c r="AC874" s="46"/>
      <c r="AD874" s="46" t="s">
        <v>3458</v>
      </c>
      <c r="AE874" s="47" t="s">
        <v>3459</v>
      </c>
      <c r="AF874" s="27" t="s">
        <v>339</v>
      </c>
      <c r="AG874" s="29"/>
      <c r="AH874" s="28"/>
      <c r="AI874" s="27"/>
      <c r="AJ874" s="27"/>
      <c r="AK874" s="27"/>
      <c r="AL874" s="27"/>
      <c r="AM874" s="27"/>
      <c r="AN874" s="27"/>
      <c r="AO874" s="27"/>
      <c r="AP874" s="27" t="s">
        <v>3460</v>
      </c>
      <c r="AQ874" s="27"/>
      <c r="AR874" s="504"/>
      <c r="AS874" s="332"/>
      <c r="AT874" s="160"/>
    </row>
    <row r="875" spans="1:46" ht="21.75" hidden="1" customHeight="1">
      <c r="A875" s="331">
        <v>874</v>
      </c>
      <c r="B875" s="28" t="s">
        <v>3461</v>
      </c>
      <c r="C875" s="28" t="s">
        <v>3462</v>
      </c>
      <c r="D875" s="437" t="s">
        <v>3463</v>
      </c>
      <c r="E875" s="361" t="str">
        <f t="shared" ca="1" si="17"/>
        <v>LOSS</v>
      </c>
      <c r="F875" s="29"/>
      <c r="G875" s="28" t="s">
        <v>3464</v>
      </c>
      <c r="H875" s="29" t="s">
        <v>2748</v>
      </c>
      <c r="I875" s="29" t="s">
        <v>242</v>
      </c>
      <c r="J875" s="28" t="s">
        <v>3465</v>
      </c>
      <c r="K875" s="28"/>
      <c r="L875" s="27"/>
      <c r="M875" s="27"/>
      <c r="N875" s="29"/>
      <c r="O875" s="56"/>
      <c r="P875" s="31">
        <v>50500000</v>
      </c>
      <c r="Q875" s="31"/>
      <c r="R875" s="27"/>
      <c r="S875" s="32">
        <v>3900000</v>
      </c>
      <c r="T875" s="33"/>
      <c r="U875" s="334">
        <v>43617</v>
      </c>
      <c r="V875" s="334">
        <v>44012</v>
      </c>
      <c r="W875" s="27" t="s">
        <v>245</v>
      </c>
      <c r="X875" s="27"/>
      <c r="Y875" s="34">
        <f t="shared" ca="1" si="18"/>
        <v>46290</v>
      </c>
      <c r="Z875" s="35">
        <f t="shared" ca="1" si="19"/>
        <v>-2278</v>
      </c>
      <c r="AA875" s="27">
        <f t="shared" si="20"/>
        <v>6</v>
      </c>
      <c r="AB875" s="27">
        <f t="shared" si="21"/>
        <v>2020</v>
      </c>
      <c r="AC875" s="28" t="s">
        <v>479</v>
      </c>
      <c r="AD875" s="28" t="s">
        <v>3466</v>
      </c>
      <c r="AE875" s="27">
        <v>4500012891</v>
      </c>
      <c r="AF875" s="27" t="s">
        <v>339</v>
      </c>
      <c r="AG875" s="29" t="s">
        <v>3467</v>
      </c>
      <c r="AH875" s="28" t="s">
        <v>3468</v>
      </c>
      <c r="AI875" s="27"/>
      <c r="AJ875" s="27"/>
      <c r="AK875" s="27" t="s">
        <v>3469</v>
      </c>
      <c r="AL875" s="27"/>
      <c r="AM875" s="27"/>
      <c r="AN875" s="27"/>
      <c r="AO875" s="27"/>
      <c r="AP875" s="27"/>
      <c r="AQ875" s="27"/>
      <c r="AR875" s="504"/>
      <c r="AS875" s="332"/>
      <c r="AT875" s="160"/>
    </row>
    <row r="876" spans="1:46" ht="21.75" hidden="1" customHeight="1">
      <c r="A876" s="331">
        <v>875</v>
      </c>
      <c r="B876" s="28" t="s">
        <v>3461</v>
      </c>
      <c r="C876" s="28" t="s">
        <v>3470</v>
      </c>
      <c r="D876" s="438" t="s">
        <v>3471</v>
      </c>
      <c r="E876" s="361" t="str">
        <f t="shared" ca="1" si="17"/>
        <v>LOSS</v>
      </c>
      <c r="F876" s="29"/>
      <c r="G876" s="28" t="s">
        <v>3472</v>
      </c>
      <c r="H876" s="29" t="s">
        <v>2748</v>
      </c>
      <c r="I876" s="29" t="s">
        <v>242</v>
      </c>
      <c r="J876" s="28" t="s">
        <v>3473</v>
      </c>
      <c r="K876" s="28"/>
      <c r="L876" s="27"/>
      <c r="M876" s="27"/>
      <c r="N876" s="29"/>
      <c r="O876" s="56"/>
      <c r="P876" s="31">
        <v>90600000</v>
      </c>
      <c r="Q876" s="31"/>
      <c r="R876" s="27"/>
      <c r="S876" s="32">
        <v>3900000</v>
      </c>
      <c r="T876" s="33"/>
      <c r="U876" s="334">
        <v>43647</v>
      </c>
      <c r="V876" s="334">
        <v>44012</v>
      </c>
      <c r="W876" s="27" t="s">
        <v>245</v>
      </c>
      <c r="X876" s="27"/>
      <c r="Y876" s="34">
        <f t="shared" ca="1" si="18"/>
        <v>46290</v>
      </c>
      <c r="Z876" s="35">
        <f t="shared" ca="1" si="19"/>
        <v>-2278</v>
      </c>
      <c r="AA876" s="27">
        <f t="shared" si="20"/>
        <v>6</v>
      </c>
      <c r="AB876" s="27">
        <f t="shared" si="21"/>
        <v>2020</v>
      </c>
      <c r="AC876" s="28" t="s">
        <v>479</v>
      </c>
      <c r="AD876" s="28" t="s">
        <v>3474</v>
      </c>
      <c r="AE876" s="27">
        <v>4500012979</v>
      </c>
      <c r="AF876" s="27" t="s">
        <v>339</v>
      </c>
      <c r="AG876" s="29" t="s">
        <v>3467</v>
      </c>
      <c r="AH876" s="28" t="s">
        <v>3475</v>
      </c>
      <c r="AI876" s="27"/>
      <c r="AJ876" s="27"/>
      <c r="AK876" s="27" t="s">
        <v>3476</v>
      </c>
      <c r="AL876" s="27"/>
      <c r="AM876" s="27"/>
      <c r="AN876" s="27"/>
      <c r="AO876" s="27"/>
      <c r="AP876" s="27"/>
      <c r="AQ876" s="27"/>
      <c r="AR876" s="504"/>
      <c r="AS876" s="332" t="s">
        <v>3477</v>
      </c>
      <c r="AT876" s="160"/>
    </row>
    <row r="877" spans="1:46" ht="21.75" hidden="1" customHeight="1">
      <c r="A877" s="331">
        <v>876</v>
      </c>
      <c r="B877" s="28" t="s">
        <v>3461</v>
      </c>
      <c r="C877" s="28" t="s">
        <v>3478</v>
      </c>
      <c r="D877" s="437" t="s">
        <v>3479</v>
      </c>
      <c r="E877" s="361" t="str">
        <f t="shared" ca="1" si="17"/>
        <v>LOSS</v>
      </c>
      <c r="F877" s="29"/>
      <c r="G877" s="28" t="s">
        <v>3480</v>
      </c>
      <c r="H877" s="29" t="s">
        <v>2748</v>
      </c>
      <c r="I877" s="29" t="s">
        <v>242</v>
      </c>
      <c r="J877" s="28" t="s">
        <v>3481</v>
      </c>
      <c r="K877" s="28"/>
      <c r="L877" s="27"/>
      <c r="M877" s="27"/>
      <c r="N877" s="29"/>
      <c r="O877" s="56"/>
      <c r="P877" s="31">
        <v>45000000</v>
      </c>
      <c r="Q877" s="31"/>
      <c r="R877" s="27"/>
      <c r="S877" s="32">
        <v>2400000</v>
      </c>
      <c r="T877" s="33"/>
      <c r="U877" s="334">
        <v>43733</v>
      </c>
      <c r="V877" s="334">
        <v>44098</v>
      </c>
      <c r="W877" s="27" t="s">
        <v>250</v>
      </c>
      <c r="X877" s="27"/>
      <c r="Y877" s="34">
        <f t="shared" ca="1" si="18"/>
        <v>46290</v>
      </c>
      <c r="Z877" s="35">
        <f t="shared" ca="1" si="19"/>
        <v>-2192</v>
      </c>
      <c r="AA877" s="27">
        <f t="shared" si="20"/>
        <v>9</v>
      </c>
      <c r="AB877" s="27">
        <f t="shared" si="21"/>
        <v>2020</v>
      </c>
      <c r="AC877" s="28" t="s">
        <v>479</v>
      </c>
      <c r="AD877" s="28" t="s">
        <v>3482</v>
      </c>
      <c r="AE877" s="27">
        <v>4500013317</v>
      </c>
      <c r="AF877" s="27" t="s">
        <v>339</v>
      </c>
      <c r="AG877" s="29" t="s">
        <v>3467</v>
      </c>
      <c r="AH877" s="28" t="s">
        <v>3475</v>
      </c>
      <c r="AI877" s="27"/>
      <c r="AJ877" s="27"/>
      <c r="AK877" s="27" t="s">
        <v>3483</v>
      </c>
      <c r="AL877" s="27"/>
      <c r="AM877" s="27"/>
      <c r="AN877" s="27"/>
      <c r="AO877" s="27"/>
      <c r="AP877" s="27"/>
      <c r="AQ877" s="27"/>
      <c r="AR877" s="504"/>
      <c r="AS877" s="332"/>
      <c r="AT877" s="160"/>
    </row>
    <row r="878" spans="1:46" ht="21.75" hidden="1" customHeight="1">
      <c r="A878" s="331">
        <v>877</v>
      </c>
      <c r="B878" s="28" t="s">
        <v>3461</v>
      </c>
      <c r="C878" s="28" t="s">
        <v>3484</v>
      </c>
      <c r="D878" s="438" t="s">
        <v>3479</v>
      </c>
      <c r="E878" s="361" t="str">
        <f t="shared" ca="1" si="17"/>
        <v>LOSS</v>
      </c>
      <c r="F878" s="29"/>
      <c r="G878" s="28" t="s">
        <v>3485</v>
      </c>
      <c r="H878" s="29" t="s">
        <v>2748</v>
      </c>
      <c r="I878" s="29" t="s">
        <v>242</v>
      </c>
      <c r="J878" s="28" t="s">
        <v>885</v>
      </c>
      <c r="K878" s="28"/>
      <c r="L878" s="27"/>
      <c r="M878" s="27"/>
      <c r="N878" s="29"/>
      <c r="O878" s="56"/>
      <c r="P878" s="31">
        <v>60000000</v>
      </c>
      <c r="Q878" s="31"/>
      <c r="R878" s="27"/>
      <c r="S878" s="32">
        <v>2400000</v>
      </c>
      <c r="T878" s="33"/>
      <c r="U878" s="334">
        <v>44183</v>
      </c>
      <c r="V878" s="334">
        <v>44547</v>
      </c>
      <c r="W878" s="27" t="s">
        <v>250</v>
      </c>
      <c r="X878" s="27"/>
      <c r="Y878" s="34">
        <f t="shared" ca="1" si="18"/>
        <v>46290</v>
      </c>
      <c r="Z878" s="35">
        <f t="shared" ca="1" si="19"/>
        <v>-1743</v>
      </c>
      <c r="AA878" s="27">
        <f t="shared" si="20"/>
        <v>12</v>
      </c>
      <c r="AB878" s="27">
        <f t="shared" si="21"/>
        <v>2021</v>
      </c>
      <c r="AC878" s="28" t="s">
        <v>479</v>
      </c>
      <c r="AD878" s="28" t="s">
        <v>886</v>
      </c>
      <c r="AE878" s="27">
        <v>4500015466</v>
      </c>
      <c r="AF878" s="27" t="s">
        <v>339</v>
      </c>
      <c r="AG878" s="29" t="s">
        <v>3467</v>
      </c>
      <c r="AH878" s="28" t="s">
        <v>3475</v>
      </c>
      <c r="AI878" s="27"/>
      <c r="AJ878" s="27"/>
      <c r="AK878" s="27"/>
      <c r="AL878" s="27" t="s">
        <v>3486</v>
      </c>
      <c r="AM878" s="27"/>
      <c r="AN878" s="27"/>
      <c r="AO878" s="27"/>
      <c r="AP878" s="27"/>
      <c r="AQ878" s="27"/>
      <c r="AR878" s="504"/>
      <c r="AS878" s="332" t="s">
        <v>3487</v>
      </c>
      <c r="AT878" s="160"/>
    </row>
    <row r="879" spans="1:46" ht="21.75" hidden="1" customHeight="1">
      <c r="A879" s="331">
        <v>878</v>
      </c>
      <c r="B879" s="28" t="s">
        <v>3461</v>
      </c>
      <c r="C879" s="28" t="s">
        <v>3488</v>
      </c>
      <c r="D879" s="437" t="s">
        <v>3489</v>
      </c>
      <c r="E879" s="361" t="str">
        <f t="shared" ca="1" si="17"/>
        <v>LOSS</v>
      </c>
      <c r="F879" s="29"/>
      <c r="G879" s="28" t="s">
        <v>3490</v>
      </c>
      <c r="H879" s="29" t="s">
        <v>2748</v>
      </c>
      <c r="I879" s="29" t="s">
        <v>346</v>
      </c>
      <c r="J879" s="28" t="s">
        <v>3491</v>
      </c>
      <c r="K879" s="28"/>
      <c r="L879" s="27"/>
      <c r="M879" s="27"/>
      <c r="N879" s="29"/>
      <c r="O879" s="56"/>
      <c r="P879" s="31">
        <v>102000000</v>
      </c>
      <c r="Q879" s="31"/>
      <c r="R879" s="27"/>
      <c r="S879" s="32">
        <v>2400000</v>
      </c>
      <c r="T879" s="33"/>
      <c r="U879" s="334">
        <v>43495</v>
      </c>
      <c r="V879" s="334">
        <v>43859</v>
      </c>
      <c r="W879" s="27" t="s">
        <v>250</v>
      </c>
      <c r="X879" s="27"/>
      <c r="Y879" s="34">
        <f t="shared" ca="1" si="18"/>
        <v>46290</v>
      </c>
      <c r="Z879" s="35">
        <f t="shared" ca="1" si="19"/>
        <v>-2431</v>
      </c>
      <c r="AA879" s="27">
        <f t="shared" si="20"/>
        <v>1</v>
      </c>
      <c r="AB879" s="27">
        <f t="shared" si="21"/>
        <v>2020</v>
      </c>
      <c r="AC879" s="28" t="s">
        <v>3492</v>
      </c>
      <c r="AD879" s="28" t="s">
        <v>3493</v>
      </c>
      <c r="AE879" s="27">
        <v>4500012332</v>
      </c>
      <c r="AF879" s="27" t="s">
        <v>339</v>
      </c>
      <c r="AG879" s="29" t="s">
        <v>3467</v>
      </c>
      <c r="AH879" s="28" t="s">
        <v>3494</v>
      </c>
      <c r="AI879" s="27">
        <v>146</v>
      </c>
      <c r="AJ879" s="27" t="s">
        <v>3495</v>
      </c>
      <c r="AK879" s="27" t="s">
        <v>3496</v>
      </c>
      <c r="AL879" s="27"/>
      <c r="AM879" s="27"/>
      <c r="AN879" s="27"/>
      <c r="AO879" s="27"/>
      <c r="AP879" s="27"/>
      <c r="AQ879" s="27"/>
      <c r="AR879" s="504"/>
      <c r="AS879" s="332"/>
      <c r="AT879" s="160"/>
    </row>
    <row r="880" spans="1:46" ht="21.75" hidden="1" customHeight="1">
      <c r="A880" s="331">
        <v>879</v>
      </c>
      <c r="B880" s="28" t="s">
        <v>93</v>
      </c>
      <c r="C880" s="28" t="s">
        <v>3497</v>
      </c>
      <c r="D880" s="443" t="s">
        <v>3498</v>
      </c>
      <c r="E880" s="361" t="str">
        <f t="shared" ca="1" si="17"/>
        <v>LOSS</v>
      </c>
      <c r="F880" s="36" t="s">
        <v>115</v>
      </c>
      <c r="G880" s="28" t="s">
        <v>3499</v>
      </c>
      <c r="H880" s="29" t="s">
        <v>2748</v>
      </c>
      <c r="I880" s="29" t="s">
        <v>242</v>
      </c>
      <c r="J880" s="28" t="s">
        <v>3500</v>
      </c>
      <c r="K880" s="28"/>
      <c r="L880" s="27"/>
      <c r="M880" s="27"/>
      <c r="N880" s="29"/>
      <c r="O880" s="56"/>
      <c r="P880" s="31" t="s">
        <v>115</v>
      </c>
      <c r="Q880" s="31"/>
      <c r="R880" s="30"/>
      <c r="S880" s="32">
        <v>36000000</v>
      </c>
      <c r="T880" s="33"/>
      <c r="U880" s="334">
        <v>45274</v>
      </c>
      <c r="V880" s="334">
        <v>45639</v>
      </c>
      <c r="W880" s="27" t="s">
        <v>250</v>
      </c>
      <c r="X880" s="27"/>
      <c r="Y880" s="34">
        <f t="shared" ca="1" si="18"/>
        <v>46290</v>
      </c>
      <c r="Z880" s="35">
        <f t="shared" ca="1" si="19"/>
        <v>-651</v>
      </c>
      <c r="AA880" s="27">
        <f t="shared" si="20"/>
        <v>12</v>
      </c>
      <c r="AB880" s="27">
        <f t="shared" si="21"/>
        <v>2024</v>
      </c>
      <c r="AC880" s="28" t="s">
        <v>3501</v>
      </c>
      <c r="AD880" s="28">
        <v>1927</v>
      </c>
      <c r="AE880" s="27">
        <v>4500022049</v>
      </c>
      <c r="AF880" s="27" t="s">
        <v>339</v>
      </c>
      <c r="AG880" s="29" t="s">
        <v>3502</v>
      </c>
      <c r="AH880" s="28" t="s">
        <v>3503</v>
      </c>
      <c r="AI880" s="27"/>
      <c r="AJ880" s="27"/>
      <c r="AK880" s="27"/>
      <c r="AL880" s="27"/>
      <c r="AM880" s="27" t="s">
        <v>3504</v>
      </c>
      <c r="AN880" s="27"/>
      <c r="AO880" s="27" t="s">
        <v>3505</v>
      </c>
      <c r="AP880" s="27"/>
      <c r="AQ880" s="27"/>
      <c r="AR880" s="504"/>
      <c r="AS880" s="332" t="s">
        <v>3506</v>
      </c>
      <c r="AT880" s="160"/>
    </row>
    <row r="881" spans="1:46" ht="21.75" hidden="1" customHeight="1">
      <c r="A881" s="331">
        <v>880</v>
      </c>
      <c r="B881" s="28" t="s">
        <v>71</v>
      </c>
      <c r="C881" s="28" t="s">
        <v>1581</v>
      </c>
      <c r="D881" s="444" t="s">
        <v>3498</v>
      </c>
      <c r="E881" s="361" t="str">
        <f t="shared" ca="1" si="17"/>
        <v>LOSS</v>
      </c>
      <c r="F881" s="29"/>
      <c r="G881" s="28" t="s">
        <v>3507</v>
      </c>
      <c r="H881" s="29" t="s">
        <v>2748</v>
      </c>
      <c r="I881" s="29" t="s">
        <v>242</v>
      </c>
      <c r="J881" s="28" t="s">
        <v>1447</v>
      </c>
      <c r="K881" s="28"/>
      <c r="L881" s="27"/>
      <c r="M881" s="27"/>
      <c r="N881" s="29"/>
      <c r="O881" s="56"/>
      <c r="P881" s="31">
        <v>246000000</v>
      </c>
      <c r="Q881" s="31"/>
      <c r="R881" s="30"/>
      <c r="S881" s="32">
        <v>18000000</v>
      </c>
      <c r="T881" s="33"/>
      <c r="U881" s="334">
        <v>44336</v>
      </c>
      <c r="V881" s="334">
        <v>44700</v>
      </c>
      <c r="W881" s="27" t="s">
        <v>245</v>
      </c>
      <c r="X881" s="27"/>
      <c r="Y881" s="34">
        <f t="shared" ca="1" si="18"/>
        <v>46290</v>
      </c>
      <c r="Z881" s="35">
        <f t="shared" ca="1" si="19"/>
        <v>-1590</v>
      </c>
      <c r="AA881" s="27">
        <f t="shared" si="20"/>
        <v>5</v>
      </c>
      <c r="AB881" s="27">
        <f t="shared" si="21"/>
        <v>2022</v>
      </c>
      <c r="AC881" s="28" t="s">
        <v>479</v>
      </c>
      <c r="AD881" s="28" t="s">
        <v>1448</v>
      </c>
      <c r="AE881" s="27">
        <v>4500016201</v>
      </c>
      <c r="AF881" s="27" t="s">
        <v>339</v>
      </c>
      <c r="AG881" s="29" t="s">
        <v>3502</v>
      </c>
      <c r="AH881" s="28" t="s">
        <v>3503</v>
      </c>
      <c r="AI881" s="27"/>
      <c r="AJ881" s="27"/>
      <c r="AK881" s="27"/>
      <c r="AL881" s="27"/>
      <c r="AM881" s="27" t="s">
        <v>3508</v>
      </c>
      <c r="AN881" s="27"/>
      <c r="AO881" s="27"/>
      <c r="AP881" s="27"/>
      <c r="AQ881" s="27"/>
      <c r="AR881" s="504"/>
      <c r="AS881" s="332" t="s">
        <v>3506</v>
      </c>
      <c r="AT881" s="160"/>
    </row>
    <row r="882" spans="1:46" ht="21.75" hidden="1" customHeight="1">
      <c r="A882" s="331">
        <v>881</v>
      </c>
      <c r="B882" s="28" t="s">
        <v>71</v>
      </c>
      <c r="C882" s="28" t="s">
        <v>1020</v>
      </c>
      <c r="D882" s="443" t="s">
        <v>3509</v>
      </c>
      <c r="E882" s="361" t="str">
        <f t="shared" ca="1" si="17"/>
        <v>LOSS</v>
      </c>
      <c r="F882" s="29" t="s">
        <v>3510</v>
      </c>
      <c r="G882" s="28" t="s">
        <v>3511</v>
      </c>
      <c r="H882" s="29" t="s">
        <v>2748</v>
      </c>
      <c r="I882" s="29" t="s">
        <v>346</v>
      </c>
      <c r="J882" s="28" t="s">
        <v>3512</v>
      </c>
      <c r="K882" s="28"/>
      <c r="L882" s="27"/>
      <c r="M882" s="27"/>
      <c r="N882" s="29"/>
      <c r="O882" s="56"/>
      <c r="P882" s="31">
        <v>98400000</v>
      </c>
      <c r="Q882" s="31"/>
      <c r="R882" s="30"/>
      <c r="S882" s="32">
        <v>18000000</v>
      </c>
      <c r="T882" s="33"/>
      <c r="U882" s="334">
        <v>45242</v>
      </c>
      <c r="V882" s="334">
        <v>45607</v>
      </c>
      <c r="W882" s="27" t="s">
        <v>250</v>
      </c>
      <c r="X882" s="27"/>
      <c r="Y882" s="34">
        <f t="shared" ca="1" si="18"/>
        <v>46290</v>
      </c>
      <c r="Z882" s="35">
        <f t="shared" ca="1" si="19"/>
        <v>-683</v>
      </c>
      <c r="AA882" s="27">
        <f t="shared" si="20"/>
        <v>11</v>
      </c>
      <c r="AB882" s="27">
        <f t="shared" si="21"/>
        <v>2024</v>
      </c>
      <c r="AC882" s="46" t="s">
        <v>3513</v>
      </c>
      <c r="AD882" s="46"/>
      <c r="AE882" s="47" t="s">
        <v>3514</v>
      </c>
      <c r="AF882" s="27" t="s">
        <v>339</v>
      </c>
      <c r="AG882" s="29" t="s">
        <v>3502</v>
      </c>
      <c r="AH882" s="28" t="s">
        <v>3503</v>
      </c>
      <c r="AI882" s="27">
        <v>129</v>
      </c>
      <c r="AJ882" s="27" t="s">
        <v>3515</v>
      </c>
      <c r="AK882" s="27" t="s">
        <v>3516</v>
      </c>
      <c r="AL882" s="27" t="s">
        <v>3517</v>
      </c>
      <c r="AM882" s="27"/>
      <c r="AN882" s="27" t="s">
        <v>3518</v>
      </c>
      <c r="AO882" s="27"/>
      <c r="AP882" s="27" t="s">
        <v>3519</v>
      </c>
      <c r="AQ882" s="27"/>
      <c r="AR882" s="504"/>
      <c r="AS882" s="332" t="s">
        <v>3506</v>
      </c>
      <c r="AT882" s="160"/>
    </row>
    <row r="883" spans="1:46" ht="21.75" hidden="1" customHeight="1">
      <c r="A883" s="331">
        <v>882</v>
      </c>
      <c r="B883" s="28" t="s">
        <v>71</v>
      </c>
      <c r="C883" s="28" t="s">
        <v>3520</v>
      </c>
      <c r="D883" s="444" t="s">
        <v>3509</v>
      </c>
      <c r="E883" s="361" t="str">
        <f t="shared" ca="1" si="17"/>
        <v>LOSS</v>
      </c>
      <c r="F883" s="29"/>
      <c r="G883" s="28" t="s">
        <v>3521</v>
      </c>
      <c r="H883" s="29" t="s">
        <v>2748</v>
      </c>
      <c r="I883" s="29" t="s">
        <v>346</v>
      </c>
      <c r="J883" s="28" t="s">
        <v>3522</v>
      </c>
      <c r="K883" s="28"/>
      <c r="L883" s="27"/>
      <c r="M883" s="27"/>
      <c r="N883" s="29"/>
      <c r="O883" s="56"/>
      <c r="P883" s="31">
        <v>48000000</v>
      </c>
      <c r="Q883" s="31"/>
      <c r="R883" s="27"/>
      <c r="S883" s="32">
        <v>36000000</v>
      </c>
      <c r="T883" s="33"/>
      <c r="U883" s="334">
        <v>44512</v>
      </c>
      <c r="V883" s="334">
        <v>44876</v>
      </c>
      <c r="W883" s="27" t="s">
        <v>245</v>
      </c>
      <c r="X883" s="27"/>
      <c r="Y883" s="34">
        <f t="shared" ca="1" si="18"/>
        <v>46290</v>
      </c>
      <c r="Z883" s="35">
        <f t="shared" ca="1" si="19"/>
        <v>-1414</v>
      </c>
      <c r="AA883" s="27">
        <f t="shared" si="20"/>
        <v>11</v>
      </c>
      <c r="AB883" s="27">
        <f t="shared" si="21"/>
        <v>2022</v>
      </c>
      <c r="AC883" s="28" t="s">
        <v>3523</v>
      </c>
      <c r="AD883" s="28" t="s">
        <v>3524</v>
      </c>
      <c r="AE883" s="27">
        <v>4500017127</v>
      </c>
      <c r="AF883" s="27" t="s">
        <v>339</v>
      </c>
      <c r="AG883" s="29" t="s">
        <v>3525</v>
      </c>
      <c r="AH883" s="28" t="s">
        <v>3503</v>
      </c>
      <c r="AI883" s="27">
        <v>127</v>
      </c>
      <c r="AJ883" s="27" t="s">
        <v>3526</v>
      </c>
      <c r="AK883" s="27" t="s">
        <v>3527</v>
      </c>
      <c r="AL883" s="27" t="s">
        <v>3528</v>
      </c>
      <c r="AM883" s="27" t="s">
        <v>3529</v>
      </c>
      <c r="AN883" s="27"/>
      <c r="AO883" s="27"/>
      <c r="AP883" s="27"/>
      <c r="AQ883" s="27"/>
      <c r="AR883" s="504"/>
      <c r="AS883" s="332" t="s">
        <v>3506</v>
      </c>
      <c r="AT883" s="160"/>
    </row>
    <row r="884" spans="1:46" ht="21.75" hidden="1" customHeight="1">
      <c r="A884" s="331">
        <v>883</v>
      </c>
      <c r="B884" s="28" t="s">
        <v>71</v>
      </c>
      <c r="C884" s="28" t="s">
        <v>615</v>
      </c>
      <c r="D884" s="443" t="s">
        <v>3509</v>
      </c>
      <c r="E884" s="361" t="str">
        <f t="shared" ca="1" si="17"/>
        <v>LOSS</v>
      </c>
      <c r="F884" s="29"/>
      <c r="G884" s="28" t="s">
        <v>3530</v>
      </c>
      <c r="H884" s="29" t="s">
        <v>2748</v>
      </c>
      <c r="I884" s="29" t="s">
        <v>346</v>
      </c>
      <c r="J884" s="28" t="s">
        <v>3531</v>
      </c>
      <c r="K884" s="28"/>
      <c r="L884" s="27"/>
      <c r="M884" s="27"/>
      <c r="N884" s="29"/>
      <c r="O884" s="56"/>
      <c r="P884" s="31">
        <v>360000000</v>
      </c>
      <c r="Q884" s="31"/>
      <c r="R884" s="30"/>
      <c r="S884" s="32">
        <v>18000000</v>
      </c>
      <c r="T884" s="33"/>
      <c r="U884" s="334">
        <v>45093</v>
      </c>
      <c r="V884" s="334">
        <v>45458</v>
      </c>
      <c r="W884" s="27" t="s">
        <v>250</v>
      </c>
      <c r="X884" s="27"/>
      <c r="Y884" s="34">
        <f t="shared" ca="1" si="18"/>
        <v>46290</v>
      </c>
      <c r="Z884" s="35">
        <f t="shared" ca="1" si="19"/>
        <v>-832</v>
      </c>
      <c r="AA884" s="27">
        <f t="shared" si="20"/>
        <v>6</v>
      </c>
      <c r="AB884" s="27">
        <f t="shared" si="21"/>
        <v>2024</v>
      </c>
      <c r="AC884" s="28" t="s">
        <v>3532</v>
      </c>
      <c r="AD884" s="28" t="s">
        <v>3533</v>
      </c>
      <c r="AE884" s="27">
        <v>4500020591</v>
      </c>
      <c r="AF884" s="27" t="s">
        <v>339</v>
      </c>
      <c r="AG884" s="29" t="s">
        <v>3502</v>
      </c>
      <c r="AH884" s="28" t="s">
        <v>3503</v>
      </c>
      <c r="AI884" s="27">
        <v>45</v>
      </c>
      <c r="AJ884" s="27" t="s">
        <v>3534</v>
      </c>
      <c r="AK884" s="27" t="s">
        <v>3535</v>
      </c>
      <c r="AL884" s="27" t="s">
        <v>3536</v>
      </c>
      <c r="AM884" s="27" t="s">
        <v>3537</v>
      </c>
      <c r="AN884" s="27" t="s">
        <v>3538</v>
      </c>
      <c r="AO884" s="27" t="s">
        <v>3539</v>
      </c>
      <c r="AP884" s="27"/>
      <c r="AQ884" s="27"/>
      <c r="AR884" s="504"/>
      <c r="AS884" s="332" t="s">
        <v>3506</v>
      </c>
      <c r="AT884" s="160"/>
    </row>
    <row r="885" spans="1:46" ht="21.75" hidden="1" customHeight="1">
      <c r="A885" s="331">
        <v>884</v>
      </c>
      <c r="B885" s="28" t="s">
        <v>71</v>
      </c>
      <c r="C885" s="28" t="s">
        <v>615</v>
      </c>
      <c r="D885" s="444" t="s">
        <v>3509</v>
      </c>
      <c r="E885" s="361" t="str">
        <f t="shared" ca="1" si="17"/>
        <v>LOSS</v>
      </c>
      <c r="F885" s="29" t="s">
        <v>3540</v>
      </c>
      <c r="G885" s="28" t="s">
        <v>3541</v>
      </c>
      <c r="H885" s="29" t="s">
        <v>2748</v>
      </c>
      <c r="I885" s="29" t="s">
        <v>346</v>
      </c>
      <c r="J885" s="28" t="s">
        <v>79</v>
      </c>
      <c r="K885" s="28"/>
      <c r="L885" s="27"/>
      <c r="M885" s="27"/>
      <c r="N885" s="29"/>
      <c r="O885" s="56"/>
      <c r="P885" s="31">
        <v>54000000</v>
      </c>
      <c r="Q885" s="31"/>
      <c r="R885" s="30"/>
      <c r="S885" s="32">
        <v>18000000</v>
      </c>
      <c r="T885" s="33"/>
      <c r="U885" s="334">
        <v>45459</v>
      </c>
      <c r="V885" s="334">
        <v>45823</v>
      </c>
      <c r="W885" s="27" t="s">
        <v>250</v>
      </c>
      <c r="X885" s="27"/>
      <c r="Y885" s="34">
        <f t="shared" ca="1" si="18"/>
        <v>46290</v>
      </c>
      <c r="Z885" s="35">
        <f t="shared" ca="1" si="19"/>
        <v>-467</v>
      </c>
      <c r="AA885" s="27">
        <f t="shared" si="20"/>
        <v>6</v>
      </c>
      <c r="AB885" s="27">
        <f t="shared" si="21"/>
        <v>2025</v>
      </c>
      <c r="AC885" s="28"/>
      <c r="AD885" s="28" t="s">
        <v>3542</v>
      </c>
      <c r="AE885" s="27">
        <v>4500022660</v>
      </c>
      <c r="AF885" s="27" t="s">
        <v>339</v>
      </c>
      <c r="AG885" s="29" t="s">
        <v>3502</v>
      </c>
      <c r="AH885" s="28" t="s">
        <v>3503</v>
      </c>
      <c r="AI885" s="27"/>
      <c r="AJ885" s="27"/>
      <c r="AK885" s="27"/>
      <c r="AL885" s="27"/>
      <c r="AM885" s="27"/>
      <c r="AN885" s="27"/>
      <c r="AO885" s="27"/>
      <c r="AP885" s="27" t="s">
        <v>3543</v>
      </c>
      <c r="AQ885" s="27"/>
      <c r="AR885" s="504"/>
      <c r="AS885" s="332"/>
      <c r="AT885" s="160"/>
    </row>
    <row r="886" spans="1:46" ht="21.75" hidden="1" customHeight="1">
      <c r="A886" s="331">
        <v>885</v>
      </c>
      <c r="B886" s="28" t="s">
        <v>71</v>
      </c>
      <c r="C886" s="28" t="s">
        <v>2285</v>
      </c>
      <c r="D886" s="443" t="s">
        <v>3509</v>
      </c>
      <c r="E886" s="361" t="str">
        <f t="shared" ca="1" si="17"/>
        <v>LOSS</v>
      </c>
      <c r="F886" s="29"/>
      <c r="G886" s="28" t="s">
        <v>3544</v>
      </c>
      <c r="H886" s="29" t="s">
        <v>2748</v>
      </c>
      <c r="I886" s="29" t="s">
        <v>346</v>
      </c>
      <c r="J886" s="28" t="s">
        <v>3545</v>
      </c>
      <c r="K886" s="28"/>
      <c r="L886" s="27"/>
      <c r="M886" s="27"/>
      <c r="N886" s="29"/>
      <c r="O886" s="56"/>
      <c r="P886" s="31">
        <v>120000000</v>
      </c>
      <c r="Q886" s="31"/>
      <c r="R886" s="30"/>
      <c r="S886" s="32">
        <v>18000000</v>
      </c>
      <c r="T886" s="33"/>
      <c r="U886" s="334">
        <v>45219</v>
      </c>
      <c r="V886" s="334">
        <v>45584</v>
      </c>
      <c r="W886" s="27" t="s">
        <v>250</v>
      </c>
      <c r="X886" s="27"/>
      <c r="Y886" s="34">
        <f t="shared" ca="1" si="18"/>
        <v>46290</v>
      </c>
      <c r="Z886" s="35">
        <f t="shared" ca="1" si="19"/>
        <v>-706</v>
      </c>
      <c r="AA886" s="27">
        <f t="shared" si="20"/>
        <v>10</v>
      </c>
      <c r="AB886" s="27">
        <f t="shared" si="21"/>
        <v>2024</v>
      </c>
      <c r="AC886" s="28" t="s">
        <v>3546</v>
      </c>
      <c r="AD886" s="28" t="s">
        <v>3547</v>
      </c>
      <c r="AE886" s="27">
        <v>4500021710</v>
      </c>
      <c r="AF886" s="27" t="s">
        <v>339</v>
      </c>
      <c r="AG886" s="29" t="s">
        <v>3502</v>
      </c>
      <c r="AH886" s="28" t="s">
        <v>3503</v>
      </c>
      <c r="AI886" s="27"/>
      <c r="AJ886" s="27" t="s">
        <v>3548</v>
      </c>
      <c r="AK886" s="27" t="s">
        <v>3549</v>
      </c>
      <c r="AL886" s="27" t="s">
        <v>3550</v>
      </c>
      <c r="AM886" s="27" t="s">
        <v>3551</v>
      </c>
      <c r="AN886" s="27" t="s">
        <v>3552</v>
      </c>
      <c r="AO886" s="27" t="s">
        <v>3553</v>
      </c>
      <c r="AP886" s="27"/>
      <c r="AQ886" s="27"/>
      <c r="AR886" s="504"/>
      <c r="AS886" s="332" t="s">
        <v>3506</v>
      </c>
      <c r="AT886" s="160"/>
    </row>
    <row r="887" spans="1:46" ht="21.75" hidden="1" customHeight="1">
      <c r="A887" s="331">
        <v>886</v>
      </c>
      <c r="B887" s="28" t="s">
        <v>71</v>
      </c>
      <c r="C887" s="28" t="s">
        <v>1308</v>
      </c>
      <c r="D887" s="444" t="s">
        <v>3509</v>
      </c>
      <c r="E887" s="361" t="str">
        <f t="shared" ca="1" si="17"/>
        <v>LOSS</v>
      </c>
      <c r="F887" s="29"/>
      <c r="G887" s="28" t="s">
        <v>3554</v>
      </c>
      <c r="H887" s="29" t="s">
        <v>2748</v>
      </c>
      <c r="I887" s="29" t="s">
        <v>242</v>
      </c>
      <c r="J887" s="28" t="s">
        <v>3555</v>
      </c>
      <c r="K887" s="28"/>
      <c r="L887" s="27"/>
      <c r="M887" s="27"/>
      <c r="N887" s="29"/>
      <c r="O887" s="56"/>
      <c r="P887" s="31">
        <v>33000000</v>
      </c>
      <c r="Q887" s="31"/>
      <c r="R887" s="27"/>
      <c r="S887" s="32">
        <v>18000000</v>
      </c>
      <c r="T887" s="33"/>
      <c r="U887" s="334">
        <v>44348</v>
      </c>
      <c r="V887" s="334">
        <v>44712</v>
      </c>
      <c r="W887" s="27" t="s">
        <v>245</v>
      </c>
      <c r="X887" s="27"/>
      <c r="Y887" s="34">
        <f t="shared" ca="1" si="18"/>
        <v>46290</v>
      </c>
      <c r="Z887" s="35">
        <f t="shared" ca="1" si="19"/>
        <v>-1578</v>
      </c>
      <c r="AA887" s="27">
        <f t="shared" si="20"/>
        <v>5</v>
      </c>
      <c r="AB887" s="27">
        <f t="shared" si="21"/>
        <v>2022</v>
      </c>
      <c r="AC887" s="28" t="s">
        <v>3556</v>
      </c>
      <c r="AD887" s="28" t="s">
        <v>3557</v>
      </c>
      <c r="AE887" s="27">
        <v>4500016057</v>
      </c>
      <c r="AF887" s="27" t="s">
        <v>339</v>
      </c>
      <c r="AG887" s="29" t="s">
        <v>3525</v>
      </c>
      <c r="AH887" s="28" t="s">
        <v>3503</v>
      </c>
      <c r="AI887" s="27">
        <v>49</v>
      </c>
      <c r="AJ887" s="27" t="s">
        <v>3558</v>
      </c>
      <c r="AK887" s="27" t="s">
        <v>3559</v>
      </c>
      <c r="AL887" s="27" t="s">
        <v>3560</v>
      </c>
      <c r="AM887" s="27" t="s">
        <v>3561</v>
      </c>
      <c r="AN887" s="27"/>
      <c r="AO887" s="27"/>
      <c r="AP887" s="27"/>
      <c r="AQ887" s="27"/>
      <c r="AR887" s="504"/>
      <c r="AS887" s="332" t="s">
        <v>3506</v>
      </c>
      <c r="AT887" s="160"/>
    </row>
    <row r="888" spans="1:46" ht="21.75" hidden="1" customHeight="1">
      <c r="A888" s="331">
        <v>887</v>
      </c>
      <c r="B888" s="28" t="s">
        <v>71</v>
      </c>
      <c r="C888" s="28" t="s">
        <v>3562</v>
      </c>
      <c r="D888" s="443" t="s">
        <v>3509</v>
      </c>
      <c r="E888" s="361" t="str">
        <f t="shared" ca="1" si="17"/>
        <v>LOSS</v>
      </c>
      <c r="F888" s="29"/>
      <c r="G888" s="28" t="s">
        <v>3563</v>
      </c>
      <c r="H888" s="29" t="s">
        <v>2748</v>
      </c>
      <c r="I888" s="29" t="s">
        <v>346</v>
      </c>
      <c r="J888" s="28" t="s">
        <v>80</v>
      </c>
      <c r="K888" s="28"/>
      <c r="L888" s="27"/>
      <c r="M888" s="27"/>
      <c r="N888" s="29"/>
      <c r="O888" s="56"/>
      <c r="P888" s="31">
        <v>102000000</v>
      </c>
      <c r="Q888" s="31"/>
      <c r="R888" s="30"/>
      <c r="S888" s="32">
        <v>18000000</v>
      </c>
      <c r="T888" s="33"/>
      <c r="U888" s="334">
        <v>45101</v>
      </c>
      <c r="V888" s="334">
        <v>45466</v>
      </c>
      <c r="W888" s="27" t="s">
        <v>250</v>
      </c>
      <c r="X888" s="27"/>
      <c r="Y888" s="34">
        <f t="shared" ca="1" si="18"/>
        <v>46290</v>
      </c>
      <c r="Z888" s="35">
        <f t="shared" ca="1" si="19"/>
        <v>-824</v>
      </c>
      <c r="AA888" s="27">
        <f t="shared" si="20"/>
        <v>6</v>
      </c>
      <c r="AB888" s="27">
        <f t="shared" si="21"/>
        <v>2024</v>
      </c>
      <c r="AC888" s="28" t="s">
        <v>3564</v>
      </c>
      <c r="AD888" s="28" t="s">
        <v>3565</v>
      </c>
      <c r="AE888" s="27">
        <v>4500020593</v>
      </c>
      <c r="AF888" s="27" t="s">
        <v>339</v>
      </c>
      <c r="AG888" s="29" t="s">
        <v>3502</v>
      </c>
      <c r="AH888" s="28" t="s">
        <v>3503</v>
      </c>
      <c r="AI888" s="27"/>
      <c r="AJ888" s="27" t="s">
        <v>3566</v>
      </c>
      <c r="AK888" s="27" t="s">
        <v>3567</v>
      </c>
      <c r="AL888" s="27" t="s">
        <v>3568</v>
      </c>
      <c r="AM888" s="27" t="s">
        <v>3569</v>
      </c>
      <c r="AN888" s="27" t="s">
        <v>3570</v>
      </c>
      <c r="AO888" s="27" t="s">
        <v>3571</v>
      </c>
      <c r="AP888" s="27"/>
      <c r="AQ888" s="27"/>
      <c r="AR888" s="504"/>
      <c r="AS888" s="332" t="s">
        <v>3506</v>
      </c>
      <c r="AT888" s="160"/>
    </row>
    <row r="889" spans="1:46" ht="21.75" hidden="1" customHeight="1">
      <c r="A889" s="331">
        <v>888</v>
      </c>
      <c r="B889" s="28" t="s">
        <v>71</v>
      </c>
      <c r="C889" s="28" t="s">
        <v>3562</v>
      </c>
      <c r="D889" s="444" t="s">
        <v>3509</v>
      </c>
      <c r="E889" s="361" t="str">
        <f t="shared" ca="1" si="17"/>
        <v>LOSS</v>
      </c>
      <c r="F889" s="29"/>
      <c r="G889" s="28" t="s">
        <v>3563</v>
      </c>
      <c r="H889" s="29" t="s">
        <v>2748</v>
      </c>
      <c r="I889" s="29" t="s">
        <v>346</v>
      </c>
      <c r="J889" s="28" t="s">
        <v>80</v>
      </c>
      <c r="K889" s="28"/>
      <c r="L889" s="27"/>
      <c r="M889" s="27"/>
      <c r="N889" s="29"/>
      <c r="O889" s="56"/>
      <c r="P889" s="31">
        <v>168000000</v>
      </c>
      <c r="Q889" s="31"/>
      <c r="R889" s="30"/>
      <c r="S889" s="32">
        <v>18000000</v>
      </c>
      <c r="T889" s="33"/>
      <c r="U889" s="334">
        <v>45467</v>
      </c>
      <c r="V889" s="334">
        <v>45831</v>
      </c>
      <c r="W889" s="27" t="s">
        <v>250</v>
      </c>
      <c r="X889" s="27"/>
      <c r="Y889" s="34">
        <f t="shared" ca="1" si="18"/>
        <v>46290</v>
      </c>
      <c r="Z889" s="35">
        <f t="shared" ca="1" si="19"/>
        <v>-459</v>
      </c>
      <c r="AA889" s="27">
        <f t="shared" si="20"/>
        <v>6</v>
      </c>
      <c r="AB889" s="27">
        <f t="shared" si="21"/>
        <v>2025</v>
      </c>
      <c r="AC889" s="28"/>
      <c r="AD889" s="28" t="s">
        <v>3572</v>
      </c>
      <c r="AE889" s="27">
        <v>4500023034</v>
      </c>
      <c r="AF889" s="27" t="s">
        <v>333</v>
      </c>
      <c r="AG889" s="29" t="s">
        <v>3502</v>
      </c>
      <c r="AH889" s="28" t="s">
        <v>3503</v>
      </c>
      <c r="AI889" s="27"/>
      <c r="AJ889" s="27"/>
      <c r="AK889" s="27"/>
      <c r="AL889" s="27"/>
      <c r="AM889" s="27"/>
      <c r="AN889" s="27"/>
      <c r="AO889" s="27"/>
      <c r="AP889" s="27" t="s">
        <v>3573</v>
      </c>
      <c r="AQ889" s="27"/>
      <c r="AR889" s="504"/>
      <c r="AS889" s="332"/>
      <c r="AT889" s="160"/>
    </row>
    <row r="890" spans="1:46" ht="21.75" hidden="1" customHeight="1">
      <c r="A890" s="331">
        <v>889</v>
      </c>
      <c r="B890" s="28" t="s">
        <v>71</v>
      </c>
      <c r="C890" s="28" t="s">
        <v>522</v>
      </c>
      <c r="D890" s="443" t="s">
        <v>3509</v>
      </c>
      <c r="E890" s="361" t="str">
        <f t="shared" ca="1" si="17"/>
        <v>LOSS</v>
      </c>
      <c r="F890" s="29"/>
      <c r="G890" s="28" t="s">
        <v>3574</v>
      </c>
      <c r="H890" s="29" t="s">
        <v>2748</v>
      </c>
      <c r="I890" s="29" t="s">
        <v>346</v>
      </c>
      <c r="J890" s="28" t="s">
        <v>81</v>
      </c>
      <c r="K890" s="28"/>
      <c r="L890" s="27"/>
      <c r="M890" s="27"/>
      <c r="N890" s="29"/>
      <c r="O890" s="56"/>
      <c r="P890" s="31">
        <v>396000000</v>
      </c>
      <c r="Q890" s="31"/>
      <c r="R890" s="30"/>
      <c r="S890" s="32">
        <v>14000000</v>
      </c>
      <c r="T890" s="33"/>
      <c r="U890" s="334">
        <v>45101</v>
      </c>
      <c r="V890" s="334">
        <v>45831</v>
      </c>
      <c r="W890" s="27" t="s">
        <v>250</v>
      </c>
      <c r="X890" s="27"/>
      <c r="Y890" s="34">
        <f t="shared" ca="1" si="18"/>
        <v>46290</v>
      </c>
      <c r="Z890" s="35">
        <f t="shared" ca="1" si="19"/>
        <v>-459</v>
      </c>
      <c r="AA890" s="27">
        <f t="shared" si="20"/>
        <v>6</v>
      </c>
      <c r="AB890" s="27">
        <f t="shared" si="21"/>
        <v>2025</v>
      </c>
      <c r="AC890" s="28" t="s">
        <v>3575</v>
      </c>
      <c r="AD890" s="28" t="s">
        <v>3576</v>
      </c>
      <c r="AE890" s="27">
        <v>4500020592</v>
      </c>
      <c r="AF890" s="27" t="s">
        <v>339</v>
      </c>
      <c r="AG890" s="29" t="s">
        <v>3502</v>
      </c>
      <c r="AH890" s="28" t="s">
        <v>3503</v>
      </c>
      <c r="AI890" s="27"/>
      <c r="AJ890" s="27" t="s">
        <v>3577</v>
      </c>
      <c r="AK890" s="27" t="s">
        <v>3578</v>
      </c>
      <c r="AL890" s="27" t="s">
        <v>3579</v>
      </c>
      <c r="AM890" s="27" t="s">
        <v>3580</v>
      </c>
      <c r="AN890" s="27" t="s">
        <v>3581</v>
      </c>
      <c r="AO890" s="27" t="s">
        <v>3582</v>
      </c>
      <c r="AP890" s="27"/>
      <c r="AQ890" s="27"/>
      <c r="AR890" s="504"/>
      <c r="AS890" s="332" t="s">
        <v>3506</v>
      </c>
      <c r="AT890" s="160"/>
    </row>
    <row r="891" spans="1:46" ht="21.75" hidden="1" customHeight="1">
      <c r="A891" s="331">
        <v>890</v>
      </c>
      <c r="B891" s="28" t="s">
        <v>71</v>
      </c>
      <c r="C891" s="28" t="s">
        <v>709</v>
      </c>
      <c r="D891" s="444" t="s">
        <v>3509</v>
      </c>
      <c r="E891" s="361" t="str">
        <f t="shared" ca="1" si="17"/>
        <v>LOSS</v>
      </c>
      <c r="F891" s="29"/>
      <c r="G891" s="28" t="s">
        <v>3583</v>
      </c>
      <c r="H891" s="29" t="s">
        <v>2748</v>
      </c>
      <c r="I891" s="29" t="s">
        <v>346</v>
      </c>
      <c r="J891" s="28" t="s">
        <v>3584</v>
      </c>
      <c r="K891" s="28"/>
      <c r="L891" s="27"/>
      <c r="M891" s="27"/>
      <c r="N891" s="29"/>
      <c r="O891" s="56"/>
      <c r="P891" s="31">
        <v>120000000</v>
      </c>
      <c r="Q891" s="31"/>
      <c r="R891" s="27"/>
      <c r="S891" s="32">
        <v>18000000</v>
      </c>
      <c r="T891" s="33"/>
      <c r="U891" s="334">
        <v>43665</v>
      </c>
      <c r="V891" s="334">
        <v>44030</v>
      </c>
      <c r="W891" s="27" t="s">
        <v>245</v>
      </c>
      <c r="X891" s="27"/>
      <c r="Y891" s="34">
        <f t="shared" ca="1" si="18"/>
        <v>46290</v>
      </c>
      <c r="Z891" s="35">
        <f t="shared" ca="1" si="19"/>
        <v>-2260</v>
      </c>
      <c r="AA891" s="27">
        <f t="shared" si="20"/>
        <v>7</v>
      </c>
      <c r="AB891" s="27">
        <f t="shared" si="21"/>
        <v>2020</v>
      </c>
      <c r="AC891" s="28" t="s">
        <v>3585</v>
      </c>
      <c r="AD891" s="28" t="s">
        <v>3586</v>
      </c>
      <c r="AE891" s="27">
        <v>4500013041</v>
      </c>
      <c r="AF891" s="27" t="s">
        <v>339</v>
      </c>
      <c r="AG891" s="29" t="s">
        <v>3525</v>
      </c>
      <c r="AH891" s="28" t="s">
        <v>3503</v>
      </c>
      <c r="AI891" s="27">
        <v>63</v>
      </c>
      <c r="AJ891" s="27" t="s">
        <v>3587</v>
      </c>
      <c r="AK891" s="27" t="s">
        <v>3588</v>
      </c>
      <c r="AL891" s="27"/>
      <c r="AM891" s="27"/>
      <c r="AN891" s="27"/>
      <c r="AO891" s="27"/>
      <c r="AP891" s="27"/>
      <c r="AQ891" s="27"/>
      <c r="AR891" s="504"/>
      <c r="AS891" s="332" t="s">
        <v>3506</v>
      </c>
      <c r="AT891" s="160"/>
    </row>
    <row r="892" spans="1:46" ht="21.75" hidden="1" customHeight="1">
      <c r="A892" s="331">
        <v>891</v>
      </c>
      <c r="B892" s="28" t="s">
        <v>71</v>
      </c>
      <c r="C892" s="28" t="s">
        <v>3589</v>
      </c>
      <c r="D892" s="443" t="s">
        <v>3498</v>
      </c>
      <c r="E892" s="361" t="str">
        <f t="shared" ca="1" si="17"/>
        <v>LOSS</v>
      </c>
      <c r="F892" s="29"/>
      <c r="G892" s="28" t="s">
        <v>3590</v>
      </c>
      <c r="H892" s="29" t="s">
        <v>2748</v>
      </c>
      <c r="I892" s="29" t="s">
        <v>242</v>
      </c>
      <c r="J892" s="28" t="s">
        <v>2242</v>
      </c>
      <c r="K892" s="28"/>
      <c r="L892" s="27"/>
      <c r="M892" s="27"/>
      <c r="N892" s="29"/>
      <c r="O892" s="56"/>
      <c r="P892" s="31">
        <f>12*6000000</f>
        <v>72000000</v>
      </c>
      <c r="Q892" s="31"/>
      <c r="R892" s="27"/>
      <c r="S892" s="32">
        <v>18000000</v>
      </c>
      <c r="T892" s="33"/>
      <c r="U892" s="334">
        <v>45023</v>
      </c>
      <c r="V892" s="334">
        <v>45388</v>
      </c>
      <c r="W892" s="27" t="s">
        <v>245</v>
      </c>
      <c r="X892" s="27"/>
      <c r="Y892" s="34">
        <f t="shared" ca="1" si="18"/>
        <v>46290</v>
      </c>
      <c r="Z892" s="35">
        <f t="shared" ca="1" si="19"/>
        <v>-902</v>
      </c>
      <c r="AA892" s="27">
        <f t="shared" si="20"/>
        <v>4</v>
      </c>
      <c r="AB892" s="27">
        <f t="shared" si="21"/>
        <v>2024</v>
      </c>
      <c r="AC892" s="28" t="s">
        <v>3591</v>
      </c>
      <c r="AD892" s="28"/>
      <c r="AE892" s="27">
        <v>4500020737</v>
      </c>
      <c r="AF892" s="27" t="s">
        <v>339</v>
      </c>
      <c r="AG892" s="29" t="s">
        <v>3502</v>
      </c>
      <c r="AH892" s="28" t="s">
        <v>3592</v>
      </c>
      <c r="AI892" s="27"/>
      <c r="AJ892" s="27"/>
      <c r="AK892" s="27"/>
      <c r="AL892" s="27"/>
      <c r="AM892" s="27"/>
      <c r="AN892" s="27" t="s">
        <v>3593</v>
      </c>
      <c r="AO892" s="27" t="s">
        <v>3594</v>
      </c>
      <c r="AP892" s="27"/>
      <c r="AQ892" s="27"/>
      <c r="AR892" s="504"/>
      <c r="AS892" s="332" t="s">
        <v>3506</v>
      </c>
      <c r="AT892" s="160"/>
    </row>
    <row r="893" spans="1:46" ht="21.75" hidden="1" customHeight="1">
      <c r="A893" s="331">
        <v>892</v>
      </c>
      <c r="B893" s="28" t="s">
        <v>71</v>
      </c>
      <c r="C893" s="28" t="s">
        <v>3595</v>
      </c>
      <c r="D893" s="444" t="s">
        <v>3498</v>
      </c>
      <c r="E893" s="361" t="str">
        <f t="shared" ca="1" si="17"/>
        <v>LOSS</v>
      </c>
      <c r="F893" s="29"/>
      <c r="G893" s="28" t="s">
        <v>3596</v>
      </c>
      <c r="H893" s="29" t="s">
        <v>2748</v>
      </c>
      <c r="I893" s="29" t="s">
        <v>242</v>
      </c>
      <c r="J893" s="28" t="s">
        <v>3597</v>
      </c>
      <c r="K893" s="28"/>
      <c r="L893" s="27"/>
      <c r="M893" s="27"/>
      <c r="N893" s="29"/>
      <c r="O893" s="56"/>
      <c r="P893" s="31">
        <v>231272724</v>
      </c>
      <c r="Q893" s="31"/>
      <c r="R893" s="27"/>
      <c r="S893" s="32">
        <v>18000000</v>
      </c>
      <c r="T893" s="33"/>
      <c r="U893" s="334">
        <v>43612</v>
      </c>
      <c r="V893" s="334">
        <v>43977</v>
      </c>
      <c r="W893" s="27" t="s">
        <v>245</v>
      </c>
      <c r="X893" s="27"/>
      <c r="Y893" s="34">
        <f t="shared" ca="1" si="18"/>
        <v>46290</v>
      </c>
      <c r="Z893" s="35">
        <f t="shared" ca="1" si="19"/>
        <v>-2313</v>
      </c>
      <c r="AA893" s="27">
        <f t="shared" si="20"/>
        <v>5</v>
      </c>
      <c r="AB893" s="27">
        <f t="shared" si="21"/>
        <v>2020</v>
      </c>
      <c r="AC893" s="46" t="s">
        <v>3371</v>
      </c>
      <c r="AD893" s="46" t="s">
        <v>3598</v>
      </c>
      <c r="AE893" s="47" t="s">
        <v>3599</v>
      </c>
      <c r="AF893" s="27" t="s">
        <v>339</v>
      </c>
      <c r="AG893" s="29"/>
      <c r="AH893" s="28"/>
      <c r="AI893" s="27"/>
      <c r="AJ893" s="27"/>
      <c r="AK893" s="27" t="s">
        <v>3600</v>
      </c>
      <c r="AL893" s="27"/>
      <c r="AM893" s="27"/>
      <c r="AN893" s="27"/>
      <c r="AO893" s="27"/>
      <c r="AP893" s="27"/>
      <c r="AQ893" s="27"/>
      <c r="AR893" s="504"/>
      <c r="AS893" s="332" t="s">
        <v>3506</v>
      </c>
      <c r="AT893" s="160"/>
    </row>
    <row r="894" spans="1:46" ht="21.75" hidden="1" customHeight="1">
      <c r="A894" s="331">
        <v>893</v>
      </c>
      <c r="B894" s="28" t="s">
        <v>71</v>
      </c>
      <c r="C894" s="28" t="s">
        <v>3601</v>
      </c>
      <c r="D894" s="443" t="s">
        <v>3498</v>
      </c>
      <c r="E894" s="361" t="str">
        <f t="shared" ca="1" si="17"/>
        <v>LOSS</v>
      </c>
      <c r="F894" s="29"/>
      <c r="G894" s="28" t="s">
        <v>3602</v>
      </c>
      <c r="H894" s="29" t="s">
        <v>2748</v>
      </c>
      <c r="I894" s="29" t="s">
        <v>242</v>
      </c>
      <c r="J894" s="28" t="s">
        <v>1364</v>
      </c>
      <c r="K894" s="28"/>
      <c r="L894" s="27"/>
      <c r="M894" s="27"/>
      <c r="N894" s="29"/>
      <c r="O894" s="56"/>
      <c r="P894" s="31">
        <v>246000000</v>
      </c>
      <c r="Q894" s="31"/>
      <c r="R894" s="30"/>
      <c r="S894" s="32">
        <v>18000000</v>
      </c>
      <c r="T894" s="33"/>
      <c r="U894" s="334">
        <v>44721</v>
      </c>
      <c r="V894" s="334">
        <v>45085</v>
      </c>
      <c r="W894" s="27" t="s">
        <v>245</v>
      </c>
      <c r="X894" s="27"/>
      <c r="Y894" s="34">
        <f t="shared" ca="1" si="18"/>
        <v>46290</v>
      </c>
      <c r="Z894" s="35">
        <f t="shared" ca="1" si="19"/>
        <v>-1205</v>
      </c>
      <c r="AA894" s="27">
        <f t="shared" si="20"/>
        <v>6</v>
      </c>
      <c r="AB894" s="27">
        <f t="shared" si="21"/>
        <v>2023</v>
      </c>
      <c r="AC894" s="28" t="s">
        <v>3603</v>
      </c>
      <c r="AD894" s="28" t="s">
        <v>2180</v>
      </c>
      <c r="AE894" s="27">
        <v>4500018325</v>
      </c>
      <c r="AF894" s="27" t="s">
        <v>339</v>
      </c>
      <c r="AG894" s="29" t="s">
        <v>3502</v>
      </c>
      <c r="AH894" s="28" t="s">
        <v>3503</v>
      </c>
      <c r="AI894" s="27"/>
      <c r="AJ894" s="27"/>
      <c r="AK894" s="27"/>
      <c r="AL894" s="27"/>
      <c r="AM894" s="27" t="s">
        <v>3604</v>
      </c>
      <c r="AN894" s="27" t="s">
        <v>3605</v>
      </c>
      <c r="AO894" s="27"/>
      <c r="AP894" s="27"/>
      <c r="AQ894" s="27"/>
      <c r="AR894" s="504"/>
      <c r="AS894" s="332" t="s">
        <v>3506</v>
      </c>
      <c r="AT894" s="160"/>
    </row>
    <row r="895" spans="1:46" ht="21.75" hidden="1" customHeight="1">
      <c r="A895" s="331">
        <v>894</v>
      </c>
      <c r="B895" s="28" t="s">
        <v>71</v>
      </c>
      <c r="C895" s="28" t="s">
        <v>1581</v>
      </c>
      <c r="D895" s="444" t="s">
        <v>3498</v>
      </c>
      <c r="E895" s="361" t="str">
        <f t="shared" ca="1" si="17"/>
        <v>LOSS</v>
      </c>
      <c r="F895" s="29"/>
      <c r="G895" s="28" t="s">
        <v>3602</v>
      </c>
      <c r="H895" s="29" t="s">
        <v>2748</v>
      </c>
      <c r="I895" s="29" t="s">
        <v>242</v>
      </c>
      <c r="J895" s="28" t="s">
        <v>85</v>
      </c>
      <c r="K895" s="28"/>
      <c r="L895" s="27"/>
      <c r="M895" s="27"/>
      <c r="N895" s="29"/>
      <c r="O895" s="56"/>
      <c r="P895" s="31">
        <v>420000000</v>
      </c>
      <c r="Q895" s="31"/>
      <c r="R895" s="30"/>
      <c r="S895" s="32">
        <v>18000000</v>
      </c>
      <c r="T895" s="33"/>
      <c r="U895" s="334">
        <v>45454</v>
      </c>
      <c r="V895" s="334">
        <v>45818</v>
      </c>
      <c r="W895" s="27" t="s">
        <v>245</v>
      </c>
      <c r="X895" s="27"/>
      <c r="Y895" s="34">
        <f t="shared" ca="1" si="18"/>
        <v>46290</v>
      </c>
      <c r="Z895" s="35">
        <f t="shared" ca="1" si="19"/>
        <v>-472</v>
      </c>
      <c r="AA895" s="27">
        <f t="shared" si="20"/>
        <v>6</v>
      </c>
      <c r="AB895" s="27">
        <f t="shared" si="21"/>
        <v>2025</v>
      </c>
      <c r="AC895" s="28" t="s">
        <v>3606</v>
      </c>
      <c r="AD895" s="28" t="s">
        <v>3607</v>
      </c>
      <c r="AE895" s="27">
        <v>4500022663</v>
      </c>
      <c r="AF895" s="27" t="s">
        <v>339</v>
      </c>
      <c r="AG895" s="29" t="s">
        <v>333</v>
      </c>
      <c r="AH895" s="28" t="s">
        <v>3503</v>
      </c>
      <c r="AI895" s="27"/>
      <c r="AJ895" s="27"/>
      <c r="AK895" s="27"/>
      <c r="AL895" s="27"/>
      <c r="AM895" s="27" t="s">
        <v>3608</v>
      </c>
      <c r="AN895" s="27" t="s">
        <v>3609</v>
      </c>
      <c r="AO895" s="27" t="s">
        <v>3610</v>
      </c>
      <c r="AP895" s="27" t="s">
        <v>3611</v>
      </c>
      <c r="AQ895" s="27"/>
      <c r="AR895" s="504"/>
      <c r="AS895" s="332" t="s">
        <v>3506</v>
      </c>
      <c r="AT895" s="160"/>
    </row>
    <row r="896" spans="1:46" ht="21.75" hidden="1" customHeight="1">
      <c r="A896" s="331">
        <v>895</v>
      </c>
      <c r="B896" s="28" t="s">
        <v>71</v>
      </c>
      <c r="C896" s="28" t="s">
        <v>3612</v>
      </c>
      <c r="D896" s="443" t="s">
        <v>3498</v>
      </c>
      <c r="E896" s="361" t="str">
        <f t="shared" ca="1" si="17"/>
        <v>LOSS</v>
      </c>
      <c r="F896" s="29"/>
      <c r="G896" s="28" t="s">
        <v>3613</v>
      </c>
      <c r="H896" s="29" t="s">
        <v>2748</v>
      </c>
      <c r="I896" s="29" t="s">
        <v>242</v>
      </c>
      <c r="J896" s="28" t="s">
        <v>88</v>
      </c>
      <c r="K896" s="28"/>
      <c r="L896" s="27"/>
      <c r="M896" s="27"/>
      <c r="N896" s="29"/>
      <c r="O896" s="56"/>
      <c r="P896" s="31">
        <v>71928000</v>
      </c>
      <c r="Q896" s="31"/>
      <c r="R896" s="30"/>
      <c r="S896" s="32">
        <v>18000000</v>
      </c>
      <c r="T896" s="33"/>
      <c r="U896" s="334">
        <v>45330</v>
      </c>
      <c r="V896" s="334">
        <v>45695</v>
      </c>
      <c r="W896" s="27" t="s">
        <v>250</v>
      </c>
      <c r="X896" s="27"/>
      <c r="Y896" s="34">
        <f t="shared" ca="1" si="18"/>
        <v>46290</v>
      </c>
      <c r="Z896" s="35">
        <f t="shared" ca="1" si="19"/>
        <v>-595</v>
      </c>
      <c r="AA896" s="27">
        <f t="shared" si="20"/>
        <v>2</v>
      </c>
      <c r="AB896" s="27">
        <f t="shared" si="21"/>
        <v>2025</v>
      </c>
      <c r="AC896" s="28" t="s">
        <v>3614</v>
      </c>
      <c r="AD896" s="28">
        <v>2661</v>
      </c>
      <c r="AE896" s="27">
        <v>4500022260</v>
      </c>
      <c r="AF896" s="27" t="s">
        <v>339</v>
      </c>
      <c r="AG896" s="29" t="s">
        <v>3502</v>
      </c>
      <c r="AH896" s="28" t="s">
        <v>3503</v>
      </c>
      <c r="AI896" s="27"/>
      <c r="AJ896" s="27"/>
      <c r="AK896" s="27"/>
      <c r="AL896" s="27"/>
      <c r="AM896" s="27"/>
      <c r="AN896" s="27" t="s">
        <v>3615</v>
      </c>
      <c r="AO896" s="27" t="s">
        <v>3616</v>
      </c>
      <c r="AP896" s="27" t="s">
        <v>3617</v>
      </c>
      <c r="AQ896" s="27"/>
      <c r="AR896" s="504"/>
      <c r="AS896" s="332" t="s">
        <v>3506</v>
      </c>
      <c r="AT896" s="160"/>
    </row>
    <row r="897" spans="1:46" ht="21.75" hidden="1" customHeight="1">
      <c r="A897" s="331">
        <v>896</v>
      </c>
      <c r="B897" s="28" t="s">
        <v>71</v>
      </c>
      <c r="C897" s="28" t="s">
        <v>3612</v>
      </c>
      <c r="D897" s="444" t="s">
        <v>3498</v>
      </c>
      <c r="E897" s="361" t="str">
        <f t="shared" ca="1" si="17"/>
        <v>LOSS</v>
      </c>
      <c r="F897" s="29"/>
      <c r="G897" s="28" t="s">
        <v>3618</v>
      </c>
      <c r="H897" s="29" t="s">
        <v>2748</v>
      </c>
      <c r="I897" s="29" t="s">
        <v>242</v>
      </c>
      <c r="J897" s="28" t="s">
        <v>72</v>
      </c>
      <c r="K897" s="28"/>
      <c r="L897" s="27"/>
      <c r="M897" s="27"/>
      <c r="N897" s="29"/>
      <c r="O897" s="56"/>
      <c r="P897" s="31">
        <f>12*7780000</f>
        <v>93360000</v>
      </c>
      <c r="Q897" s="31"/>
      <c r="R897" s="30"/>
      <c r="S897" s="32">
        <v>7780000</v>
      </c>
      <c r="T897" s="33"/>
      <c r="U897" s="334">
        <v>45425</v>
      </c>
      <c r="V897" s="334">
        <v>45789</v>
      </c>
      <c r="W897" s="27" t="s">
        <v>250</v>
      </c>
      <c r="X897" s="27"/>
      <c r="Y897" s="34">
        <f t="shared" ca="1" si="18"/>
        <v>46290</v>
      </c>
      <c r="Z897" s="35">
        <f t="shared" ca="1" si="19"/>
        <v>-501</v>
      </c>
      <c r="AA897" s="27">
        <f t="shared" si="20"/>
        <v>5</v>
      </c>
      <c r="AB897" s="27">
        <f t="shared" si="21"/>
        <v>2025</v>
      </c>
      <c r="AC897" s="28" t="s">
        <v>3619</v>
      </c>
      <c r="AD897" s="28" t="s">
        <v>3620</v>
      </c>
      <c r="AE897" s="27">
        <v>4500022942</v>
      </c>
      <c r="AF897" s="27" t="s">
        <v>339</v>
      </c>
      <c r="AG897" s="29" t="s">
        <v>3502</v>
      </c>
      <c r="AH897" s="28" t="s">
        <v>3592</v>
      </c>
      <c r="AI897" s="27"/>
      <c r="AJ897" s="27"/>
      <c r="AK897" s="27"/>
      <c r="AL897" s="27"/>
      <c r="AM897" s="27"/>
      <c r="AN897" s="27" t="s">
        <v>3621</v>
      </c>
      <c r="AO897" s="27" t="s">
        <v>3622</v>
      </c>
      <c r="AP897" s="27" t="s">
        <v>3623</v>
      </c>
      <c r="AQ897" s="27"/>
      <c r="AR897" s="504"/>
      <c r="AS897" s="332" t="s">
        <v>3506</v>
      </c>
      <c r="AT897" s="160"/>
    </row>
    <row r="898" spans="1:46" ht="21.75" hidden="1" customHeight="1">
      <c r="A898" s="331">
        <v>897</v>
      </c>
      <c r="B898" s="28" t="s">
        <v>71</v>
      </c>
      <c r="C898" s="28" t="s">
        <v>3624</v>
      </c>
      <c r="D898" s="443" t="s">
        <v>3498</v>
      </c>
      <c r="E898" s="361" t="str">
        <f t="shared" ref="E898:E961" ca="1" si="22">IF(Z898&lt;=0, "LOSS",IF(Z898&lt;=15, "CRITICAL",IF(Z898&lt;=30, "WARNING",IF(Z898&lt;60, "ATTENTION", "ON TRACK"))))</f>
        <v>LOSS</v>
      </c>
      <c r="F898" s="29"/>
      <c r="G898" s="28" t="s">
        <v>3625</v>
      </c>
      <c r="H898" s="29" t="s">
        <v>2748</v>
      </c>
      <c r="I898" s="29" t="s">
        <v>242</v>
      </c>
      <c r="J898" s="28" t="s">
        <v>84</v>
      </c>
      <c r="K898" s="28"/>
      <c r="L898" s="27"/>
      <c r="M898" s="27"/>
      <c r="N898" s="29"/>
      <c r="O898" s="56"/>
      <c r="P898" s="31">
        <v>64800000</v>
      </c>
      <c r="Q898" s="31"/>
      <c r="R898" s="30"/>
      <c r="S898" s="32">
        <v>5400000</v>
      </c>
      <c r="T898" s="33"/>
      <c r="U898" s="334">
        <v>45374</v>
      </c>
      <c r="V898" s="334">
        <v>45738</v>
      </c>
      <c r="W898" s="27" t="s">
        <v>250</v>
      </c>
      <c r="X898" s="27"/>
      <c r="Y898" s="34">
        <f t="shared" ca="1" si="18"/>
        <v>46290</v>
      </c>
      <c r="Z898" s="35">
        <f t="shared" ca="1" si="19"/>
        <v>-552</v>
      </c>
      <c r="AA898" s="27">
        <f t="shared" si="20"/>
        <v>3</v>
      </c>
      <c r="AB898" s="27">
        <f t="shared" si="21"/>
        <v>2025</v>
      </c>
      <c r="AC898" s="28" t="s">
        <v>3626</v>
      </c>
      <c r="AD898" s="28" t="s">
        <v>3627</v>
      </c>
      <c r="AE898" s="27">
        <v>4500022624</v>
      </c>
      <c r="AF898" s="27" t="s">
        <v>339</v>
      </c>
      <c r="AG898" s="29" t="s">
        <v>3502</v>
      </c>
      <c r="AH898" s="28" t="s">
        <v>3503</v>
      </c>
      <c r="AI898" s="27"/>
      <c r="AJ898" s="27"/>
      <c r="AK898" s="27"/>
      <c r="AL898" s="27" t="s">
        <v>3628</v>
      </c>
      <c r="AM898" s="27" t="s">
        <v>3629</v>
      </c>
      <c r="AN898" s="27" t="s">
        <v>3630</v>
      </c>
      <c r="AO898" s="27" t="s">
        <v>3631</v>
      </c>
      <c r="AP898" s="27" t="s">
        <v>3632</v>
      </c>
      <c r="AQ898" s="27"/>
      <c r="AR898" s="504"/>
      <c r="AS898" s="332" t="s">
        <v>3506</v>
      </c>
      <c r="AT898" s="160"/>
    </row>
    <row r="899" spans="1:46" ht="21.75" hidden="1" customHeight="1">
      <c r="A899" s="331">
        <v>898</v>
      </c>
      <c r="B899" s="28" t="s">
        <v>71</v>
      </c>
      <c r="C899" s="28" t="s">
        <v>3633</v>
      </c>
      <c r="D899" s="444" t="s">
        <v>3498</v>
      </c>
      <c r="E899" s="361" t="str">
        <f t="shared" ca="1" si="22"/>
        <v>LOSS</v>
      </c>
      <c r="F899" s="36" t="s">
        <v>115</v>
      </c>
      <c r="G899" s="28" t="s">
        <v>3634</v>
      </c>
      <c r="H899" s="29" t="s">
        <v>2748</v>
      </c>
      <c r="I899" s="29" t="s">
        <v>242</v>
      </c>
      <c r="J899" s="28" t="s">
        <v>3635</v>
      </c>
      <c r="K899" s="28"/>
      <c r="L899" s="27"/>
      <c r="M899" s="27"/>
      <c r="N899" s="29"/>
      <c r="O899" s="56"/>
      <c r="P899" s="31">
        <v>50873556</v>
      </c>
      <c r="Q899" s="31"/>
      <c r="R899" s="30"/>
      <c r="S899" s="32">
        <v>36000000</v>
      </c>
      <c r="T899" s="33"/>
      <c r="U899" s="334">
        <v>45196</v>
      </c>
      <c r="V899" s="334">
        <v>45561</v>
      </c>
      <c r="W899" s="27" t="s">
        <v>250</v>
      </c>
      <c r="X899" s="27"/>
      <c r="Y899" s="34">
        <f t="shared" ca="1" si="18"/>
        <v>46290</v>
      </c>
      <c r="Z899" s="35">
        <f t="shared" ca="1" si="19"/>
        <v>-729</v>
      </c>
      <c r="AA899" s="27">
        <f t="shared" si="20"/>
        <v>9</v>
      </c>
      <c r="AB899" s="27">
        <f t="shared" si="21"/>
        <v>2024</v>
      </c>
      <c r="AC899" s="28" t="s">
        <v>3636</v>
      </c>
      <c r="AD899" s="28">
        <v>1959</v>
      </c>
      <c r="AE899" s="27">
        <v>4500018825</v>
      </c>
      <c r="AF899" s="27" t="s">
        <v>339</v>
      </c>
      <c r="AG899" s="29" t="s">
        <v>3502</v>
      </c>
      <c r="AH899" s="28" t="s">
        <v>3503</v>
      </c>
      <c r="AI899" s="27"/>
      <c r="AJ899" s="27"/>
      <c r="AK899" s="27"/>
      <c r="AL899" s="27"/>
      <c r="AM899" s="27" t="s">
        <v>3637</v>
      </c>
      <c r="AN899" s="27" t="s">
        <v>3638</v>
      </c>
      <c r="AO899" s="27" t="s">
        <v>3639</v>
      </c>
      <c r="AP899" s="27"/>
      <c r="AQ899" s="27"/>
      <c r="AR899" s="504"/>
      <c r="AS899" s="332" t="s">
        <v>3506</v>
      </c>
      <c r="AT899" s="160"/>
    </row>
    <row r="900" spans="1:46" ht="21.75" hidden="1" customHeight="1">
      <c r="A900" s="331">
        <v>899</v>
      </c>
      <c r="B900" s="28" t="s">
        <v>71</v>
      </c>
      <c r="C900" s="28" t="s">
        <v>3640</v>
      </c>
      <c r="D900" s="443" t="s">
        <v>3498</v>
      </c>
      <c r="E900" s="361" t="str">
        <f t="shared" ca="1" si="22"/>
        <v>LOSS</v>
      </c>
      <c r="F900" s="29"/>
      <c r="G900" s="28" t="s">
        <v>3641</v>
      </c>
      <c r="H900" s="29" t="s">
        <v>2748</v>
      </c>
      <c r="I900" s="29" t="s">
        <v>242</v>
      </c>
      <c r="J900" s="28" t="s">
        <v>91</v>
      </c>
      <c r="K900" s="28"/>
      <c r="L900" s="27"/>
      <c r="M900" s="27"/>
      <c r="N900" s="29"/>
      <c r="O900" s="56"/>
      <c r="P900" s="31">
        <v>39000000</v>
      </c>
      <c r="Q900" s="31"/>
      <c r="R900" s="30"/>
      <c r="S900" s="32">
        <v>18000000</v>
      </c>
      <c r="T900" s="33"/>
      <c r="U900" s="334">
        <v>45370</v>
      </c>
      <c r="V900" s="334">
        <v>45734</v>
      </c>
      <c r="W900" s="27" t="s">
        <v>250</v>
      </c>
      <c r="X900" s="27"/>
      <c r="Y900" s="34">
        <f t="shared" ca="1" si="18"/>
        <v>46290</v>
      </c>
      <c r="Z900" s="35">
        <f t="shared" ca="1" si="19"/>
        <v>-556</v>
      </c>
      <c r="AA900" s="27">
        <f t="shared" si="20"/>
        <v>3</v>
      </c>
      <c r="AB900" s="27">
        <f t="shared" si="21"/>
        <v>2025</v>
      </c>
      <c r="AC900" s="28" t="s">
        <v>3642</v>
      </c>
      <c r="AD900" s="28"/>
      <c r="AE900" s="27">
        <v>4500022158</v>
      </c>
      <c r="AF900" s="27" t="s">
        <v>339</v>
      </c>
      <c r="AG900" s="29" t="s">
        <v>3502</v>
      </c>
      <c r="AH900" s="28" t="s">
        <v>3503</v>
      </c>
      <c r="AI900" s="27"/>
      <c r="AJ900" s="27"/>
      <c r="AK900" s="27" t="s">
        <v>3643</v>
      </c>
      <c r="AL900" s="27" t="s">
        <v>3644</v>
      </c>
      <c r="AM900" s="27" t="s">
        <v>3645</v>
      </c>
      <c r="AN900" s="27"/>
      <c r="AO900" s="27" t="s">
        <v>3646</v>
      </c>
      <c r="AP900" s="27" t="s">
        <v>3647</v>
      </c>
      <c r="AQ900" s="27"/>
      <c r="AR900" s="504"/>
      <c r="AS900" s="332" t="s">
        <v>3506</v>
      </c>
      <c r="AT900" s="160"/>
    </row>
    <row r="901" spans="1:46" ht="21.75" hidden="1" customHeight="1">
      <c r="A901" s="331">
        <v>900</v>
      </c>
      <c r="B901" s="28" t="s">
        <v>71</v>
      </c>
      <c r="C901" s="28" t="s">
        <v>684</v>
      </c>
      <c r="D901" s="444" t="s">
        <v>3498</v>
      </c>
      <c r="E901" s="361" t="str">
        <f t="shared" ca="1" si="22"/>
        <v>LOSS</v>
      </c>
      <c r="F901" s="29"/>
      <c r="G901" s="28" t="s">
        <v>3648</v>
      </c>
      <c r="H901" s="29" t="s">
        <v>2748</v>
      </c>
      <c r="I901" s="29" t="s">
        <v>346</v>
      </c>
      <c r="J901" s="28" t="s">
        <v>77</v>
      </c>
      <c r="K901" s="28"/>
      <c r="L901" s="27"/>
      <c r="M901" s="27"/>
      <c r="N901" s="29"/>
      <c r="O901" s="56"/>
      <c r="P901" s="31">
        <v>108000000</v>
      </c>
      <c r="Q901" s="31"/>
      <c r="R901" s="30"/>
      <c r="S901" s="32">
        <v>9000000</v>
      </c>
      <c r="T901" s="33"/>
      <c r="U901" s="334">
        <v>45360</v>
      </c>
      <c r="V901" s="334">
        <v>45724</v>
      </c>
      <c r="W901" s="27" t="s">
        <v>250</v>
      </c>
      <c r="X901" s="27"/>
      <c r="Y901" s="34">
        <f t="shared" ca="1" si="18"/>
        <v>46290</v>
      </c>
      <c r="Z901" s="35">
        <f t="shared" ca="1" si="19"/>
        <v>-566</v>
      </c>
      <c r="AA901" s="27">
        <f t="shared" si="20"/>
        <v>3</v>
      </c>
      <c r="AB901" s="27">
        <f t="shared" si="21"/>
        <v>2025</v>
      </c>
      <c r="AC901" s="28" t="s">
        <v>3649</v>
      </c>
      <c r="AD901" s="28" t="s">
        <v>3650</v>
      </c>
      <c r="AE901" s="27">
        <v>4500022623</v>
      </c>
      <c r="AF901" s="27" t="s">
        <v>339</v>
      </c>
      <c r="AG901" s="29" t="s">
        <v>3502</v>
      </c>
      <c r="AH901" s="28" t="s">
        <v>3503</v>
      </c>
      <c r="AI901" s="27"/>
      <c r="AJ901" s="27" t="s">
        <v>3651</v>
      </c>
      <c r="AK901" s="27" t="s">
        <v>3652</v>
      </c>
      <c r="AL901" s="27" t="s">
        <v>3653</v>
      </c>
      <c r="AM901" s="27" t="s">
        <v>3654</v>
      </c>
      <c r="AN901" s="27" t="s">
        <v>3655</v>
      </c>
      <c r="AO901" s="27" t="s">
        <v>3656</v>
      </c>
      <c r="AP901" s="27" t="s">
        <v>3657</v>
      </c>
      <c r="AQ901" s="27"/>
      <c r="AR901" s="504"/>
      <c r="AS901" s="332" t="s">
        <v>3506</v>
      </c>
      <c r="AT901" s="160"/>
    </row>
    <row r="902" spans="1:46" ht="21.75" hidden="1" customHeight="1">
      <c r="A902" s="331">
        <v>901</v>
      </c>
      <c r="B902" s="28" t="s">
        <v>71</v>
      </c>
      <c r="C902" s="28" t="s">
        <v>3658</v>
      </c>
      <c r="D902" s="443" t="s">
        <v>3498</v>
      </c>
      <c r="E902" s="361" t="str">
        <f t="shared" ca="1" si="22"/>
        <v>LOSS</v>
      </c>
      <c r="F902" s="29"/>
      <c r="G902" s="28" t="s">
        <v>3648</v>
      </c>
      <c r="H902" s="29" t="s">
        <v>2748</v>
      </c>
      <c r="I902" s="160" t="s">
        <v>346</v>
      </c>
      <c r="J902" s="28" t="s">
        <v>3659</v>
      </c>
      <c r="K902" s="28"/>
      <c r="L902" s="27"/>
      <c r="M902" s="27"/>
      <c r="N902" s="29"/>
      <c r="O902" s="56"/>
      <c r="P902" s="31">
        <v>928356000</v>
      </c>
      <c r="Q902" s="31"/>
      <c r="R902" s="30"/>
      <c r="S902" s="32">
        <v>156000000</v>
      </c>
      <c r="T902" s="33"/>
      <c r="U902" s="334">
        <v>45542</v>
      </c>
      <c r="V902" s="334">
        <v>45906</v>
      </c>
      <c r="W902" s="27" t="s">
        <v>250</v>
      </c>
      <c r="X902" s="27"/>
      <c r="Y902" s="34">
        <f t="shared" ca="1" si="18"/>
        <v>46290</v>
      </c>
      <c r="Z902" s="35">
        <f t="shared" ca="1" si="19"/>
        <v>-384</v>
      </c>
      <c r="AA902" s="27">
        <f t="shared" si="20"/>
        <v>9</v>
      </c>
      <c r="AB902" s="27">
        <f t="shared" si="21"/>
        <v>2025</v>
      </c>
      <c r="AC902" s="28" t="s">
        <v>3660</v>
      </c>
      <c r="AD902" s="28" t="s">
        <v>3661</v>
      </c>
      <c r="AE902" s="27">
        <v>4500023551</v>
      </c>
      <c r="AF902" s="27" t="s">
        <v>333</v>
      </c>
      <c r="AG902" s="29" t="s">
        <v>3502</v>
      </c>
      <c r="AH902" s="28" t="s">
        <v>3503</v>
      </c>
      <c r="AI902" s="27"/>
      <c r="AJ902" s="27" t="s">
        <v>3662</v>
      </c>
      <c r="AK902" s="27" t="s">
        <v>3663</v>
      </c>
      <c r="AL902" s="27" t="s">
        <v>3664</v>
      </c>
      <c r="AM902" s="27" t="s">
        <v>3665</v>
      </c>
      <c r="AN902" s="27" t="s">
        <v>3666</v>
      </c>
      <c r="AO902" s="27" t="s">
        <v>3667</v>
      </c>
      <c r="AP902" s="27" t="s">
        <v>3668</v>
      </c>
      <c r="AQ902" s="27"/>
      <c r="AR902" s="504"/>
      <c r="AS902" s="332" t="s">
        <v>3506</v>
      </c>
      <c r="AT902" s="160"/>
    </row>
    <row r="903" spans="1:46" ht="21.75" hidden="1" customHeight="1">
      <c r="A903" s="331">
        <v>902</v>
      </c>
      <c r="B903" s="28" t="s">
        <v>71</v>
      </c>
      <c r="C903" s="28" t="s">
        <v>3669</v>
      </c>
      <c r="D903" s="444" t="s">
        <v>3670</v>
      </c>
      <c r="E903" s="361" t="str">
        <f t="shared" ca="1" si="22"/>
        <v>LOSS</v>
      </c>
      <c r="F903" s="29"/>
      <c r="G903" s="28" t="s">
        <v>3671</v>
      </c>
      <c r="H903" s="29" t="s">
        <v>2748</v>
      </c>
      <c r="I903" s="29" t="s">
        <v>346</v>
      </c>
      <c r="J903" s="28" t="s">
        <v>916</v>
      </c>
      <c r="K903" s="28"/>
      <c r="L903" s="27"/>
      <c r="M903" s="27"/>
      <c r="N903" s="29"/>
      <c r="O903" s="56"/>
      <c r="P903" s="31">
        <v>28500000</v>
      </c>
      <c r="Q903" s="31"/>
      <c r="R903" s="27"/>
      <c r="S903" s="32">
        <v>18000000</v>
      </c>
      <c r="T903" s="33"/>
      <c r="U903" s="334">
        <v>44168</v>
      </c>
      <c r="V903" s="334">
        <v>44532</v>
      </c>
      <c r="W903" s="27" t="s">
        <v>245</v>
      </c>
      <c r="X903" s="27"/>
      <c r="Y903" s="34">
        <f t="shared" ca="1" si="18"/>
        <v>46290</v>
      </c>
      <c r="Z903" s="35">
        <f t="shared" ca="1" si="19"/>
        <v>-1758</v>
      </c>
      <c r="AA903" s="27">
        <f t="shared" si="20"/>
        <v>12</v>
      </c>
      <c r="AB903" s="27">
        <f t="shared" si="21"/>
        <v>2021</v>
      </c>
      <c r="AC903" s="28" t="s">
        <v>3672</v>
      </c>
      <c r="AD903" s="28" t="s">
        <v>3673</v>
      </c>
      <c r="AE903" s="27">
        <v>4500015482</v>
      </c>
      <c r="AF903" s="27" t="s">
        <v>339</v>
      </c>
      <c r="AG903" s="29" t="s">
        <v>3525</v>
      </c>
      <c r="AH903" s="28" t="s">
        <v>3503</v>
      </c>
      <c r="AI903" s="27">
        <v>164</v>
      </c>
      <c r="AJ903" s="27" t="s">
        <v>3674</v>
      </c>
      <c r="AK903" s="27" t="s">
        <v>3675</v>
      </c>
      <c r="AL903" s="27" t="s">
        <v>3676</v>
      </c>
      <c r="AM903" s="27" t="s">
        <v>3677</v>
      </c>
      <c r="AN903" s="27"/>
      <c r="AO903" s="27"/>
      <c r="AP903" s="27"/>
      <c r="AQ903" s="27"/>
      <c r="AR903" s="504"/>
      <c r="AS903" s="332" t="s">
        <v>3506</v>
      </c>
      <c r="AT903" s="160"/>
    </row>
    <row r="904" spans="1:46" ht="21.75" hidden="1" customHeight="1">
      <c r="A904" s="331">
        <v>903</v>
      </c>
      <c r="B904" s="28" t="s">
        <v>71</v>
      </c>
      <c r="C904" s="28" t="s">
        <v>3678</v>
      </c>
      <c r="D904" s="443" t="s">
        <v>3498</v>
      </c>
      <c r="E904" s="361" t="str">
        <f t="shared" ca="1" si="22"/>
        <v>LOSS</v>
      </c>
      <c r="F904" s="29"/>
      <c r="G904" s="28" t="s">
        <v>3671</v>
      </c>
      <c r="H904" s="29" t="s">
        <v>2748</v>
      </c>
      <c r="I904" s="29" t="s">
        <v>346</v>
      </c>
      <c r="J904" s="28" t="s">
        <v>985</v>
      </c>
      <c r="K904" s="28"/>
      <c r="L904" s="27"/>
      <c r="M904" s="27"/>
      <c r="N904" s="29"/>
      <c r="O904" s="56"/>
      <c r="P904" s="31">
        <v>60000000</v>
      </c>
      <c r="Q904" s="31"/>
      <c r="R904" s="30"/>
      <c r="S904" s="32">
        <v>18000000</v>
      </c>
      <c r="T904" s="33"/>
      <c r="U904" s="334">
        <v>45231</v>
      </c>
      <c r="V904" s="334">
        <v>45596</v>
      </c>
      <c r="W904" s="27" t="s">
        <v>250</v>
      </c>
      <c r="X904" s="27"/>
      <c r="Y904" s="34">
        <f t="shared" ca="1" si="18"/>
        <v>46290</v>
      </c>
      <c r="Z904" s="35">
        <f t="shared" ca="1" si="19"/>
        <v>-694</v>
      </c>
      <c r="AA904" s="27">
        <f t="shared" si="20"/>
        <v>10</v>
      </c>
      <c r="AB904" s="27">
        <f t="shared" si="21"/>
        <v>2024</v>
      </c>
      <c r="AC904" s="28" t="s">
        <v>3679</v>
      </c>
      <c r="AD904" s="28" t="s">
        <v>3680</v>
      </c>
      <c r="AE904" s="27">
        <v>4500021367</v>
      </c>
      <c r="AF904" s="27" t="s">
        <v>339</v>
      </c>
      <c r="AG904" s="29" t="s">
        <v>3502</v>
      </c>
      <c r="AH904" s="28" t="s">
        <v>3503</v>
      </c>
      <c r="AI904" s="27" t="s">
        <v>115</v>
      </c>
      <c r="AJ904" s="27" t="s">
        <v>3681</v>
      </c>
      <c r="AK904" s="27" t="s">
        <v>3682</v>
      </c>
      <c r="AL904" s="27" t="s">
        <v>3683</v>
      </c>
      <c r="AM904" s="27" t="s">
        <v>3684</v>
      </c>
      <c r="AN904" s="27" t="s">
        <v>3685</v>
      </c>
      <c r="AO904" s="27" t="s">
        <v>3686</v>
      </c>
      <c r="AP904" s="27"/>
      <c r="AQ904" s="27"/>
      <c r="AR904" s="504"/>
      <c r="AS904" s="332" t="s">
        <v>3506</v>
      </c>
      <c r="AT904" s="160"/>
    </row>
    <row r="905" spans="1:46" ht="21.75" hidden="1" customHeight="1">
      <c r="A905" s="331">
        <v>904</v>
      </c>
      <c r="B905" s="28" t="s">
        <v>71</v>
      </c>
      <c r="C905" s="28" t="s">
        <v>3687</v>
      </c>
      <c r="D905" s="444" t="s">
        <v>3509</v>
      </c>
      <c r="E905" s="361" t="str">
        <f t="shared" ca="1" si="22"/>
        <v>LOSS</v>
      </c>
      <c r="F905" s="29"/>
      <c r="G905" s="28" t="s">
        <v>3688</v>
      </c>
      <c r="H905" s="29" t="s">
        <v>2748</v>
      </c>
      <c r="I905" s="29" t="s">
        <v>346</v>
      </c>
      <c r="J905" s="28" t="s">
        <v>3689</v>
      </c>
      <c r="K905" s="28"/>
      <c r="L905" s="27"/>
      <c r="M905" s="27"/>
      <c r="N905" s="29"/>
      <c r="O905" s="56"/>
      <c r="P905" s="31">
        <v>20000000</v>
      </c>
      <c r="Q905" s="31"/>
      <c r="R905" s="27"/>
      <c r="S905" s="32">
        <v>18000000</v>
      </c>
      <c r="T905" s="33"/>
      <c r="U905" s="334">
        <v>44468</v>
      </c>
      <c r="V905" s="334">
        <v>44832</v>
      </c>
      <c r="W905" s="27" t="s">
        <v>245</v>
      </c>
      <c r="X905" s="27"/>
      <c r="Y905" s="34">
        <f t="shared" ca="1" si="18"/>
        <v>46290</v>
      </c>
      <c r="Z905" s="35">
        <f t="shared" ca="1" si="19"/>
        <v>-1458</v>
      </c>
      <c r="AA905" s="27">
        <f t="shared" si="20"/>
        <v>9</v>
      </c>
      <c r="AB905" s="27">
        <f t="shared" si="21"/>
        <v>2022</v>
      </c>
      <c r="AC905" s="28" t="s">
        <v>3690</v>
      </c>
      <c r="AD905" s="28" t="s">
        <v>3691</v>
      </c>
      <c r="AE905" s="27">
        <v>4500016491</v>
      </c>
      <c r="AF905" s="27" t="s">
        <v>339</v>
      </c>
      <c r="AG905" s="29" t="s">
        <v>3525</v>
      </c>
      <c r="AH905" s="28" t="s">
        <v>3503</v>
      </c>
      <c r="AI905" s="27"/>
      <c r="AJ905" s="27" t="s">
        <v>3692</v>
      </c>
      <c r="AK905" s="27" t="s">
        <v>3693</v>
      </c>
      <c r="AL905" s="27" t="s">
        <v>3694</v>
      </c>
      <c r="AM905" s="27" t="s">
        <v>3695</v>
      </c>
      <c r="AN905" s="27"/>
      <c r="AO905" s="27"/>
      <c r="AP905" s="27"/>
      <c r="AQ905" s="27"/>
      <c r="AR905" s="504"/>
      <c r="AS905" s="332" t="s">
        <v>3506</v>
      </c>
      <c r="AT905" s="160"/>
    </row>
    <row r="906" spans="1:46" ht="21.75" hidden="1" customHeight="1">
      <c r="A906" s="331">
        <v>905</v>
      </c>
      <c r="B906" s="28" t="s">
        <v>71</v>
      </c>
      <c r="C906" s="159" t="s">
        <v>2387</v>
      </c>
      <c r="D906" s="443" t="s">
        <v>3498</v>
      </c>
      <c r="E906" s="361" t="str">
        <f t="shared" ca="1" si="22"/>
        <v>LOSS</v>
      </c>
      <c r="F906" s="29"/>
      <c r="G906" s="28" t="s">
        <v>3696</v>
      </c>
      <c r="H906" s="29" t="s">
        <v>2748</v>
      </c>
      <c r="I906" s="29" t="s">
        <v>242</v>
      </c>
      <c r="J906" s="28" t="s">
        <v>2388</v>
      </c>
      <c r="K906" s="28"/>
      <c r="L906" s="27"/>
      <c r="M906" s="27"/>
      <c r="N906" s="29"/>
      <c r="O906" s="56"/>
      <c r="P906" s="31">
        <v>324000000</v>
      </c>
      <c r="Q906" s="31"/>
      <c r="R906" s="30"/>
      <c r="S906" s="32">
        <v>36000000</v>
      </c>
      <c r="T906" s="33"/>
      <c r="U906" s="334">
        <v>45225</v>
      </c>
      <c r="V906" s="334">
        <v>45590</v>
      </c>
      <c r="W906" s="27" t="s">
        <v>250</v>
      </c>
      <c r="X906" s="27"/>
      <c r="Y906" s="34">
        <f t="shared" ca="1" si="18"/>
        <v>46290</v>
      </c>
      <c r="Z906" s="35">
        <f t="shared" ca="1" si="19"/>
        <v>-700</v>
      </c>
      <c r="AA906" s="27">
        <f t="shared" si="20"/>
        <v>10</v>
      </c>
      <c r="AB906" s="27">
        <f t="shared" si="21"/>
        <v>2024</v>
      </c>
      <c r="AC906" s="28" t="s">
        <v>3697</v>
      </c>
      <c r="AD906" s="28" t="s">
        <v>3698</v>
      </c>
      <c r="AE906" s="27">
        <v>4500021694</v>
      </c>
      <c r="AF906" s="27" t="s">
        <v>339</v>
      </c>
      <c r="AG906" s="29" t="s">
        <v>3502</v>
      </c>
      <c r="AH906" s="28" t="s">
        <v>3503</v>
      </c>
      <c r="AI906" s="27"/>
      <c r="AJ906" s="27"/>
      <c r="AK906" s="27"/>
      <c r="AL906" s="27"/>
      <c r="AM906" s="27" t="s">
        <v>3699</v>
      </c>
      <c r="AN906" s="27" t="s">
        <v>3700</v>
      </c>
      <c r="AO906" s="27" t="s">
        <v>3701</v>
      </c>
      <c r="AP906" s="27"/>
      <c r="AQ906" s="27"/>
      <c r="AR906" s="504"/>
      <c r="AS906" s="332" t="s">
        <v>3506</v>
      </c>
      <c r="AT906" s="160"/>
    </row>
    <row r="907" spans="1:46" ht="21.75" hidden="1" customHeight="1">
      <c r="A907" s="331">
        <v>906</v>
      </c>
      <c r="B907" s="28" t="s">
        <v>71</v>
      </c>
      <c r="C907" s="28" t="s">
        <v>3702</v>
      </c>
      <c r="D907" s="444" t="s">
        <v>3498</v>
      </c>
      <c r="E907" s="361" t="str">
        <f t="shared" ca="1" si="22"/>
        <v>LOSS</v>
      </c>
      <c r="F907" s="29"/>
      <c r="G907" s="28" t="s">
        <v>3703</v>
      </c>
      <c r="H907" s="29" t="s">
        <v>2748</v>
      </c>
      <c r="I907" s="29" t="s">
        <v>242</v>
      </c>
      <c r="J907" s="28" t="s">
        <v>1968</v>
      </c>
      <c r="K907" s="28"/>
      <c r="L907" s="27"/>
      <c r="M907" s="27"/>
      <c r="N907" s="29"/>
      <c r="O907" s="56"/>
      <c r="P907" s="31">
        <f>12*1850000</f>
        <v>22200000</v>
      </c>
      <c r="Q907" s="31"/>
      <c r="R907" s="30"/>
      <c r="S907" s="32">
        <v>72000000</v>
      </c>
      <c r="T907" s="33"/>
      <c r="U907" s="334">
        <v>45261</v>
      </c>
      <c r="V907" s="334">
        <v>45626</v>
      </c>
      <c r="W907" s="27" t="s">
        <v>250</v>
      </c>
      <c r="X907" s="27"/>
      <c r="Y907" s="34">
        <f t="shared" ref="Y907:Y970" ca="1" si="23">TODAY()</f>
        <v>46290</v>
      </c>
      <c r="Z907" s="35">
        <f t="shared" ref="Z907:Z970" ca="1" si="24">V907-Y907</f>
        <v>-664</v>
      </c>
      <c r="AA907" s="27">
        <f t="shared" ref="AA907:AA970" si="25">MONTH(V907)</f>
        <v>11</v>
      </c>
      <c r="AB907" s="27">
        <f t="shared" ref="AB907:AB970" si="26">YEAR(V907)</f>
        <v>2024</v>
      </c>
      <c r="AC907" s="28" t="s">
        <v>3704</v>
      </c>
      <c r="AD907" s="28" t="s">
        <v>3705</v>
      </c>
      <c r="AE907" s="27">
        <v>4500021708</v>
      </c>
      <c r="AF907" s="27" t="s">
        <v>339</v>
      </c>
      <c r="AG907" s="29" t="s">
        <v>3502</v>
      </c>
      <c r="AH907" s="28" t="s">
        <v>3592</v>
      </c>
      <c r="AI907" s="27"/>
      <c r="AJ907" s="27"/>
      <c r="AK907" s="27"/>
      <c r="AL907" s="27"/>
      <c r="AM907" s="27"/>
      <c r="AN907" s="27" t="s">
        <v>3706</v>
      </c>
      <c r="AO907" s="27" t="s">
        <v>3707</v>
      </c>
      <c r="AP907" s="27"/>
      <c r="AQ907" s="27"/>
      <c r="AR907" s="504"/>
      <c r="AS907" s="332" t="s">
        <v>3506</v>
      </c>
      <c r="AT907" s="160"/>
    </row>
    <row r="908" spans="1:46" ht="21.75" hidden="1" customHeight="1">
      <c r="A908" s="331">
        <v>907</v>
      </c>
      <c r="B908" s="28" t="s">
        <v>71</v>
      </c>
      <c r="C908" s="28" t="s">
        <v>3589</v>
      </c>
      <c r="D908" s="443" t="s">
        <v>3708</v>
      </c>
      <c r="E908" s="361" t="str">
        <f t="shared" ca="1" si="22"/>
        <v>LOSS</v>
      </c>
      <c r="F908" s="29"/>
      <c r="G908" s="28" t="s">
        <v>3709</v>
      </c>
      <c r="H908" s="29" t="s">
        <v>2748</v>
      </c>
      <c r="I908" s="29" t="s">
        <v>242</v>
      </c>
      <c r="J908" s="28" t="s">
        <v>2288</v>
      </c>
      <c r="K908" s="28"/>
      <c r="L908" s="27"/>
      <c r="M908" s="27"/>
      <c r="N908" s="29"/>
      <c r="O908" s="56"/>
      <c r="P908" s="31">
        <v>60000000</v>
      </c>
      <c r="Q908" s="31"/>
      <c r="R908" s="27"/>
      <c r="S908" s="32">
        <v>18000000</v>
      </c>
      <c r="T908" s="33"/>
      <c r="U908" s="334">
        <v>45223</v>
      </c>
      <c r="V908" s="334">
        <v>45588</v>
      </c>
      <c r="W908" s="27" t="s">
        <v>250</v>
      </c>
      <c r="X908" s="27"/>
      <c r="Y908" s="34">
        <f t="shared" ca="1" si="23"/>
        <v>46290</v>
      </c>
      <c r="Z908" s="35">
        <f t="shared" ca="1" si="24"/>
        <v>-702</v>
      </c>
      <c r="AA908" s="27">
        <f t="shared" si="25"/>
        <v>10</v>
      </c>
      <c r="AB908" s="27">
        <f t="shared" si="26"/>
        <v>2024</v>
      </c>
      <c r="AC908" s="28" t="s">
        <v>3710</v>
      </c>
      <c r="AD908" s="28" t="s">
        <v>3711</v>
      </c>
      <c r="AE908" s="27">
        <v>4500021962</v>
      </c>
      <c r="AF908" s="27" t="s">
        <v>339</v>
      </c>
      <c r="AG908" s="29" t="s">
        <v>3502</v>
      </c>
      <c r="AH908" s="28" t="s">
        <v>3712</v>
      </c>
      <c r="AI908" s="27"/>
      <c r="AJ908" s="27"/>
      <c r="AK908" s="27" t="s">
        <v>3713</v>
      </c>
      <c r="AL908" s="27" t="s">
        <v>3714</v>
      </c>
      <c r="AM908" s="27"/>
      <c r="AN908" s="27" t="s">
        <v>3715</v>
      </c>
      <c r="AO908" s="27" t="s">
        <v>3716</v>
      </c>
      <c r="AP908" s="27"/>
      <c r="AQ908" s="27"/>
      <c r="AR908" s="504"/>
      <c r="AS908" s="332" t="s">
        <v>3506</v>
      </c>
      <c r="AT908" s="160"/>
    </row>
    <row r="909" spans="1:46" ht="21.75" hidden="1" customHeight="1">
      <c r="A909" s="331">
        <v>908</v>
      </c>
      <c r="B909" s="28" t="s">
        <v>71</v>
      </c>
      <c r="C909" s="28" t="s">
        <v>3589</v>
      </c>
      <c r="D909" s="444" t="s">
        <v>3498</v>
      </c>
      <c r="E909" s="361" t="str">
        <f t="shared" ca="1" si="22"/>
        <v>LOSS</v>
      </c>
      <c r="F909" s="29"/>
      <c r="G909" s="28" t="s">
        <v>3717</v>
      </c>
      <c r="H909" s="29" t="s">
        <v>2748</v>
      </c>
      <c r="I909" s="29" t="s">
        <v>242</v>
      </c>
      <c r="J909" s="28" t="s">
        <v>949</v>
      </c>
      <c r="K909" s="28"/>
      <c r="L909" s="27"/>
      <c r="M909" s="27"/>
      <c r="N909" s="29"/>
      <c r="O909" s="56"/>
      <c r="P909" s="31">
        <f>12*5000000</f>
        <v>60000000</v>
      </c>
      <c r="Q909" s="31"/>
      <c r="R909" s="27"/>
      <c r="S909" s="32">
        <v>18000000</v>
      </c>
      <c r="T909" s="33"/>
      <c r="U909" s="334">
        <v>44994</v>
      </c>
      <c r="V909" s="334">
        <v>45359</v>
      </c>
      <c r="W909" s="27" t="s">
        <v>245</v>
      </c>
      <c r="X909" s="27"/>
      <c r="Y909" s="34">
        <f t="shared" ca="1" si="23"/>
        <v>46290</v>
      </c>
      <c r="Z909" s="35">
        <f t="shared" ca="1" si="24"/>
        <v>-931</v>
      </c>
      <c r="AA909" s="27">
        <f t="shared" si="25"/>
        <v>3</v>
      </c>
      <c r="AB909" s="27">
        <f t="shared" si="26"/>
        <v>2024</v>
      </c>
      <c r="AC909" s="28" t="s">
        <v>3718</v>
      </c>
      <c r="AD909" s="28"/>
      <c r="AE909" s="27">
        <v>4500020437</v>
      </c>
      <c r="AF909" s="27" t="s">
        <v>339</v>
      </c>
      <c r="AG909" s="29" t="s">
        <v>3502</v>
      </c>
      <c r="AH909" s="28" t="s">
        <v>3712</v>
      </c>
      <c r="AI909" s="27"/>
      <c r="AJ909" s="27"/>
      <c r="AK909" s="27"/>
      <c r="AL909" s="27" t="s">
        <v>3719</v>
      </c>
      <c r="AM909" s="27" t="s">
        <v>3720</v>
      </c>
      <c r="AN909" s="27" t="s">
        <v>3721</v>
      </c>
      <c r="AO909" s="27" t="s">
        <v>3722</v>
      </c>
      <c r="AP909" s="27"/>
      <c r="AQ909" s="27"/>
      <c r="AR909" s="504"/>
      <c r="AS909" s="332" t="s">
        <v>3506</v>
      </c>
      <c r="AT909" s="160"/>
    </row>
    <row r="910" spans="1:46" ht="21.75" hidden="1" customHeight="1">
      <c r="A910" s="331">
        <v>909</v>
      </c>
      <c r="B910" s="28" t="s">
        <v>71</v>
      </c>
      <c r="C910" s="28" t="s">
        <v>3723</v>
      </c>
      <c r="D910" s="443" t="s">
        <v>3724</v>
      </c>
      <c r="E910" s="361" t="str">
        <f t="shared" ca="1" si="22"/>
        <v>LOSS</v>
      </c>
      <c r="F910" s="29"/>
      <c r="G910" s="28" t="s">
        <v>3725</v>
      </c>
      <c r="H910" s="29" t="s">
        <v>2748</v>
      </c>
      <c r="I910" s="29" t="s">
        <v>242</v>
      </c>
      <c r="J910" s="28" t="s">
        <v>1101</v>
      </c>
      <c r="K910" s="28"/>
      <c r="L910" s="27"/>
      <c r="M910" s="27"/>
      <c r="N910" s="29"/>
      <c r="O910" s="56"/>
      <c r="P910" s="31">
        <f>4500000*12</f>
        <v>54000000</v>
      </c>
      <c r="Q910" s="31"/>
      <c r="R910" s="30"/>
      <c r="S910" s="32">
        <v>36000000</v>
      </c>
      <c r="T910" s="33"/>
      <c r="U910" s="334">
        <v>45154</v>
      </c>
      <c r="V910" s="334">
        <v>45519</v>
      </c>
      <c r="W910" s="27" t="s">
        <v>250</v>
      </c>
      <c r="X910" s="27"/>
      <c r="Y910" s="34">
        <f t="shared" ca="1" si="23"/>
        <v>46290</v>
      </c>
      <c r="Z910" s="35">
        <f t="shared" ca="1" si="24"/>
        <v>-771</v>
      </c>
      <c r="AA910" s="27">
        <f t="shared" si="25"/>
        <v>8</v>
      </c>
      <c r="AB910" s="27">
        <f t="shared" si="26"/>
        <v>2024</v>
      </c>
      <c r="AC910" s="28" t="s">
        <v>3726</v>
      </c>
      <c r="AD910" s="28" t="s">
        <v>3727</v>
      </c>
      <c r="AE910" s="27">
        <v>4500020734</v>
      </c>
      <c r="AF910" s="27" t="s">
        <v>339</v>
      </c>
      <c r="AG910" s="29" t="s">
        <v>3502</v>
      </c>
      <c r="AH910" s="28" t="s">
        <v>3592</v>
      </c>
      <c r="AI910" s="27"/>
      <c r="AJ910" s="27"/>
      <c r="AK910" s="27" t="s">
        <v>3728</v>
      </c>
      <c r="AL910" s="27"/>
      <c r="AM910" s="27" t="s">
        <v>3729</v>
      </c>
      <c r="AN910" s="27" t="s">
        <v>3730</v>
      </c>
      <c r="AO910" s="27" t="s">
        <v>3731</v>
      </c>
      <c r="AP910" s="27"/>
      <c r="AQ910" s="27"/>
      <c r="AR910" s="504"/>
      <c r="AS910" s="332" t="s">
        <v>3506</v>
      </c>
      <c r="AT910" s="160"/>
    </row>
    <row r="911" spans="1:46" ht="21.75" hidden="1" customHeight="1">
      <c r="A911" s="331">
        <v>910</v>
      </c>
      <c r="B911" s="28" t="s">
        <v>71</v>
      </c>
      <c r="C911" s="28" t="s">
        <v>3723</v>
      </c>
      <c r="D911" s="444" t="s">
        <v>3724</v>
      </c>
      <c r="E911" s="361" t="str">
        <f t="shared" ca="1" si="22"/>
        <v>LOSS</v>
      </c>
      <c r="F911" s="29"/>
      <c r="G911" s="28" t="s">
        <v>3725</v>
      </c>
      <c r="H911" s="29" t="s">
        <v>2748</v>
      </c>
      <c r="I911" s="29" t="s">
        <v>242</v>
      </c>
      <c r="J911" s="28" t="s">
        <v>1101</v>
      </c>
      <c r="K911" s="28"/>
      <c r="L911" s="27"/>
      <c r="M911" s="27"/>
      <c r="N911" s="29"/>
      <c r="O911" s="56"/>
      <c r="P911" s="31">
        <f>4500000*12</f>
        <v>54000000</v>
      </c>
      <c r="Q911" s="31"/>
      <c r="R911" s="30"/>
      <c r="S911" s="32">
        <v>36000000</v>
      </c>
      <c r="T911" s="33"/>
      <c r="U911" s="334">
        <v>45520</v>
      </c>
      <c r="V911" s="334">
        <v>45884</v>
      </c>
      <c r="W911" s="27" t="s">
        <v>250</v>
      </c>
      <c r="X911" s="27"/>
      <c r="Y911" s="34">
        <f t="shared" ca="1" si="23"/>
        <v>46290</v>
      </c>
      <c r="Z911" s="35">
        <f t="shared" ca="1" si="24"/>
        <v>-406</v>
      </c>
      <c r="AA911" s="27">
        <f t="shared" si="25"/>
        <v>8</v>
      </c>
      <c r="AB911" s="27">
        <f t="shared" si="26"/>
        <v>2025</v>
      </c>
      <c r="AC911" s="28" t="s">
        <v>3727</v>
      </c>
      <c r="AD911" s="28" t="s">
        <v>3732</v>
      </c>
      <c r="AE911" s="27">
        <v>4500023416</v>
      </c>
      <c r="AF911" s="27" t="s">
        <v>333</v>
      </c>
      <c r="AG911" s="29" t="s">
        <v>3502</v>
      </c>
      <c r="AH911" s="28" t="s">
        <v>3592</v>
      </c>
      <c r="AI911" s="27"/>
      <c r="AJ911" s="27"/>
      <c r="AK911" s="27"/>
      <c r="AL911" s="27"/>
      <c r="AM911" s="27"/>
      <c r="AN911" s="27"/>
      <c r="AO911" s="27"/>
      <c r="AP911" s="27" t="s">
        <v>3733</v>
      </c>
      <c r="AQ911" s="27"/>
      <c r="AR911" s="504"/>
      <c r="AS911" s="332"/>
      <c r="AT911" s="160"/>
    </row>
    <row r="912" spans="1:46" ht="21.75" hidden="1" customHeight="1">
      <c r="A912" s="331">
        <v>911</v>
      </c>
      <c r="B912" s="28" t="s">
        <v>71</v>
      </c>
      <c r="C912" s="28" t="s">
        <v>3723</v>
      </c>
      <c r="D912" s="443" t="s">
        <v>3734</v>
      </c>
      <c r="E912" s="361" t="str">
        <f t="shared" ca="1" si="22"/>
        <v>LOSS</v>
      </c>
      <c r="F912" s="29"/>
      <c r="G912" s="28" t="s">
        <v>3725</v>
      </c>
      <c r="H912" s="29" t="s">
        <v>2748</v>
      </c>
      <c r="I912" s="29" t="s">
        <v>242</v>
      </c>
      <c r="J912" s="28" t="s">
        <v>83</v>
      </c>
      <c r="K912" s="28"/>
      <c r="L912" s="27"/>
      <c r="M912" s="27"/>
      <c r="N912" s="29"/>
      <c r="O912" s="56"/>
      <c r="P912" s="31">
        <v>84000000</v>
      </c>
      <c r="Q912" s="31"/>
      <c r="R912" s="30"/>
      <c r="S912" s="32">
        <v>36000000</v>
      </c>
      <c r="T912" s="33"/>
      <c r="U912" s="334">
        <v>45318</v>
      </c>
      <c r="V912" s="334">
        <v>45683</v>
      </c>
      <c r="W912" s="27" t="s">
        <v>250</v>
      </c>
      <c r="X912" s="27"/>
      <c r="Y912" s="34">
        <f t="shared" ca="1" si="23"/>
        <v>46290</v>
      </c>
      <c r="Z912" s="35">
        <f t="shared" ca="1" si="24"/>
        <v>-607</v>
      </c>
      <c r="AA912" s="27">
        <f t="shared" si="25"/>
        <v>1</v>
      </c>
      <c r="AB912" s="27">
        <f t="shared" si="26"/>
        <v>2025</v>
      </c>
      <c r="AC912" s="28" t="s">
        <v>3735</v>
      </c>
      <c r="AD912" s="28">
        <v>2579</v>
      </c>
      <c r="AE912" s="27">
        <v>4500022244</v>
      </c>
      <c r="AF912" s="27" t="s">
        <v>339</v>
      </c>
      <c r="AG912" s="29" t="s">
        <v>3502</v>
      </c>
      <c r="AH912" s="28" t="s">
        <v>3592</v>
      </c>
      <c r="AI912" s="27"/>
      <c r="AJ912" s="27"/>
      <c r="AK912" s="27"/>
      <c r="AL912" s="27" t="s">
        <v>3736</v>
      </c>
      <c r="AM912" s="27" t="s">
        <v>3737</v>
      </c>
      <c r="AN912" s="27" t="s">
        <v>3738</v>
      </c>
      <c r="AO912" s="27" t="s">
        <v>3739</v>
      </c>
      <c r="AP912" s="27" t="s">
        <v>3740</v>
      </c>
      <c r="AQ912" s="27"/>
      <c r="AR912" s="504"/>
      <c r="AS912" s="332" t="s">
        <v>3506</v>
      </c>
      <c r="AT912" s="160"/>
    </row>
    <row r="913" spans="1:46" ht="21.75" hidden="1" customHeight="1">
      <c r="A913" s="331">
        <v>912</v>
      </c>
      <c r="B913" s="28" t="s">
        <v>71</v>
      </c>
      <c r="C913" s="28" t="s">
        <v>3589</v>
      </c>
      <c r="D913" s="444" t="s">
        <v>3741</v>
      </c>
      <c r="E913" s="361" t="str">
        <f t="shared" ca="1" si="22"/>
        <v>LOSS</v>
      </c>
      <c r="F913" s="29"/>
      <c r="G913" s="28" t="s">
        <v>3742</v>
      </c>
      <c r="H913" s="29" t="s">
        <v>2748</v>
      </c>
      <c r="I913" s="29" t="s">
        <v>242</v>
      </c>
      <c r="J913" s="28" t="s">
        <v>3743</v>
      </c>
      <c r="K913" s="28"/>
      <c r="L913" s="27"/>
      <c r="M913" s="27"/>
      <c r="N913" s="29"/>
      <c r="O913" s="56"/>
      <c r="P913" s="31">
        <v>180000000</v>
      </c>
      <c r="Q913" s="31"/>
      <c r="R913" s="27"/>
      <c r="S913" s="32">
        <v>54000000</v>
      </c>
      <c r="T913" s="33"/>
      <c r="U913" s="334">
        <v>45143</v>
      </c>
      <c r="V913" s="334">
        <v>45508</v>
      </c>
      <c r="W913" s="27" t="s">
        <v>250</v>
      </c>
      <c r="X913" s="27"/>
      <c r="Y913" s="34">
        <f t="shared" ca="1" si="23"/>
        <v>46290</v>
      </c>
      <c r="Z913" s="35">
        <f t="shared" ca="1" si="24"/>
        <v>-782</v>
      </c>
      <c r="AA913" s="27">
        <f t="shared" si="25"/>
        <v>8</v>
      </c>
      <c r="AB913" s="27">
        <f t="shared" si="26"/>
        <v>2024</v>
      </c>
      <c r="AC913" s="28" t="s">
        <v>3744</v>
      </c>
      <c r="AD913" s="28" t="s">
        <v>3745</v>
      </c>
      <c r="AE913" s="27">
        <v>4500021185</v>
      </c>
      <c r="AF913" s="27" t="s">
        <v>339</v>
      </c>
      <c r="AG913" s="29" t="s">
        <v>3502</v>
      </c>
      <c r="AH913" s="28" t="s">
        <v>3746</v>
      </c>
      <c r="AI913" s="27"/>
      <c r="AJ913" s="27"/>
      <c r="AK913" s="27" t="s">
        <v>3747</v>
      </c>
      <c r="AL913" s="27" t="s">
        <v>3748</v>
      </c>
      <c r="AM913" s="27" t="s">
        <v>3749</v>
      </c>
      <c r="AN913" s="27" t="s">
        <v>3750</v>
      </c>
      <c r="AO913" s="27" t="s">
        <v>3751</v>
      </c>
      <c r="AP913" s="27"/>
      <c r="AQ913" s="27"/>
      <c r="AR913" s="504"/>
      <c r="AS913" s="332" t="s">
        <v>3506</v>
      </c>
      <c r="AT913" s="160"/>
    </row>
    <row r="914" spans="1:46" ht="21.75" hidden="1" customHeight="1">
      <c r="A914" s="331">
        <v>913</v>
      </c>
      <c r="B914" s="28" t="s">
        <v>71</v>
      </c>
      <c r="C914" s="28" t="s">
        <v>3752</v>
      </c>
      <c r="D914" s="443" t="s">
        <v>3498</v>
      </c>
      <c r="E914" s="361" t="str">
        <f t="shared" ca="1" si="22"/>
        <v>LOSS</v>
      </c>
      <c r="F914" s="29" t="s">
        <v>3753</v>
      </c>
      <c r="G914" s="28" t="s">
        <v>3754</v>
      </c>
      <c r="H914" s="29" t="s">
        <v>2748</v>
      </c>
      <c r="I914" s="29" t="s">
        <v>242</v>
      </c>
      <c r="J914" s="28" t="s">
        <v>87</v>
      </c>
      <c r="K914" s="28"/>
      <c r="L914" s="27"/>
      <c r="M914" s="27"/>
      <c r="N914" s="29"/>
      <c r="O914" s="56"/>
      <c r="P914" s="31">
        <v>54000000</v>
      </c>
      <c r="Q914" s="31"/>
      <c r="R914" s="30"/>
      <c r="S914" s="32">
        <v>18000000</v>
      </c>
      <c r="T914" s="33"/>
      <c r="U914" s="334">
        <v>45317</v>
      </c>
      <c r="V914" s="334">
        <v>45682</v>
      </c>
      <c r="W914" s="27" t="s">
        <v>250</v>
      </c>
      <c r="X914" s="27"/>
      <c r="Y914" s="34">
        <f t="shared" ca="1" si="23"/>
        <v>46290</v>
      </c>
      <c r="Z914" s="35">
        <f t="shared" ca="1" si="24"/>
        <v>-608</v>
      </c>
      <c r="AA914" s="27">
        <f t="shared" si="25"/>
        <v>1</v>
      </c>
      <c r="AB914" s="27">
        <f t="shared" si="26"/>
        <v>2025</v>
      </c>
      <c r="AC914" s="28">
        <v>17615</v>
      </c>
      <c r="AD914" s="28">
        <v>2452</v>
      </c>
      <c r="AE914" s="27">
        <v>4500022159</v>
      </c>
      <c r="AF914" s="27" t="s">
        <v>339</v>
      </c>
      <c r="AG914" s="29" t="s">
        <v>3502</v>
      </c>
      <c r="AH914" s="28" t="s">
        <v>3592</v>
      </c>
      <c r="AI914" s="27"/>
      <c r="AJ914" s="27"/>
      <c r="AK914" s="27"/>
      <c r="AL914" s="27"/>
      <c r="AM914" s="27"/>
      <c r="AN914" s="27" t="s">
        <v>3755</v>
      </c>
      <c r="AO914" s="27"/>
      <c r="AP914" s="27" t="s">
        <v>3756</v>
      </c>
      <c r="AQ914" s="27"/>
      <c r="AR914" s="504"/>
      <c r="AS914" s="332" t="s">
        <v>3506</v>
      </c>
      <c r="AT914" s="160"/>
    </row>
    <row r="915" spans="1:46" ht="21.75" hidden="1" customHeight="1">
      <c r="A915" s="331">
        <v>914</v>
      </c>
      <c r="B915" s="28" t="s">
        <v>71</v>
      </c>
      <c r="C915" s="28" t="s">
        <v>3757</v>
      </c>
      <c r="D915" s="444" t="s">
        <v>3498</v>
      </c>
      <c r="E915" s="361" t="str">
        <f t="shared" ca="1" si="22"/>
        <v>LOSS</v>
      </c>
      <c r="F915" s="29"/>
      <c r="G915" s="28" t="s">
        <v>3758</v>
      </c>
      <c r="H915" s="29" t="s">
        <v>2748</v>
      </c>
      <c r="I915" s="29" t="s">
        <v>242</v>
      </c>
      <c r="J915" s="28" t="s">
        <v>90</v>
      </c>
      <c r="K915" s="28"/>
      <c r="L915" s="27"/>
      <c r="M915" s="27"/>
      <c r="N915" s="29"/>
      <c r="O915" s="56"/>
      <c r="P915" s="31">
        <f>12*6000000</f>
        <v>72000000</v>
      </c>
      <c r="Q915" s="31"/>
      <c r="R915" s="30"/>
      <c r="S915" s="32">
        <v>36000000</v>
      </c>
      <c r="T915" s="33"/>
      <c r="U915" s="334">
        <v>45076</v>
      </c>
      <c r="V915" s="334">
        <v>45441</v>
      </c>
      <c r="W915" s="27" t="s">
        <v>250</v>
      </c>
      <c r="X915" s="27"/>
      <c r="Y915" s="34">
        <f t="shared" ca="1" si="23"/>
        <v>46290</v>
      </c>
      <c r="Z915" s="35">
        <f t="shared" ca="1" si="24"/>
        <v>-849</v>
      </c>
      <c r="AA915" s="27">
        <f t="shared" si="25"/>
        <v>5</v>
      </c>
      <c r="AB915" s="27">
        <f t="shared" si="26"/>
        <v>2024</v>
      </c>
      <c r="AC915" s="28" t="s">
        <v>3759</v>
      </c>
      <c r="AD915" s="28" t="s">
        <v>3760</v>
      </c>
      <c r="AE915" s="27">
        <v>4500020746</v>
      </c>
      <c r="AF915" s="27" t="s">
        <v>339</v>
      </c>
      <c r="AG915" s="29" t="s">
        <v>3502</v>
      </c>
      <c r="AH915" s="28" t="s">
        <v>3592</v>
      </c>
      <c r="AI915" s="27"/>
      <c r="AJ915" s="27"/>
      <c r="AK915" s="27"/>
      <c r="AL915" s="27"/>
      <c r="AM915" s="27"/>
      <c r="AN915" s="27" t="s">
        <v>3761</v>
      </c>
      <c r="AO915" s="27" t="s">
        <v>3762</v>
      </c>
      <c r="AP915" s="27"/>
      <c r="AQ915" s="27"/>
      <c r="AR915" s="504"/>
      <c r="AS915" s="332" t="s">
        <v>3506</v>
      </c>
      <c r="AT915" s="160"/>
    </row>
    <row r="916" spans="1:46" ht="21.75" hidden="1" customHeight="1">
      <c r="A916" s="331">
        <v>915</v>
      </c>
      <c r="B916" s="28" t="s">
        <v>71</v>
      </c>
      <c r="C916" s="28" t="s">
        <v>3757</v>
      </c>
      <c r="D916" s="443" t="s">
        <v>3498</v>
      </c>
      <c r="E916" s="361" t="str">
        <f t="shared" ca="1" si="22"/>
        <v>LOSS</v>
      </c>
      <c r="F916" s="29"/>
      <c r="G916" s="28" t="s">
        <v>3758</v>
      </c>
      <c r="H916" s="29" t="s">
        <v>2748</v>
      </c>
      <c r="I916" s="29" t="s">
        <v>242</v>
      </c>
      <c r="J916" s="28" t="s">
        <v>90</v>
      </c>
      <c r="K916" s="28"/>
      <c r="L916" s="27"/>
      <c r="M916" s="27"/>
      <c r="N916" s="29"/>
      <c r="O916" s="56"/>
      <c r="P916" s="31">
        <f>12*6000000</f>
        <v>72000000</v>
      </c>
      <c r="Q916" s="31"/>
      <c r="R916" s="30"/>
      <c r="S916" s="32">
        <v>36000000</v>
      </c>
      <c r="T916" s="33"/>
      <c r="U916" s="334">
        <v>45442</v>
      </c>
      <c r="V916" s="334">
        <v>45806</v>
      </c>
      <c r="W916" s="27" t="s">
        <v>250</v>
      </c>
      <c r="X916" s="27"/>
      <c r="Y916" s="34">
        <f t="shared" ca="1" si="23"/>
        <v>46290</v>
      </c>
      <c r="Z916" s="35">
        <f t="shared" ca="1" si="24"/>
        <v>-484</v>
      </c>
      <c r="AA916" s="27">
        <f t="shared" si="25"/>
        <v>5</v>
      </c>
      <c r="AB916" s="27">
        <f t="shared" si="26"/>
        <v>2025</v>
      </c>
      <c r="AC916" s="28"/>
      <c r="AD916" s="28" t="s">
        <v>3763</v>
      </c>
      <c r="AE916" s="27">
        <v>4500022698</v>
      </c>
      <c r="AF916" s="27" t="s">
        <v>339</v>
      </c>
      <c r="AG916" s="29" t="s">
        <v>3502</v>
      </c>
      <c r="AH916" s="28" t="s">
        <v>3592</v>
      </c>
      <c r="AI916" s="27"/>
      <c r="AJ916" s="27"/>
      <c r="AK916" s="27"/>
      <c r="AL916" s="27"/>
      <c r="AM916" s="27"/>
      <c r="AN916" s="27"/>
      <c r="AO916" s="27"/>
      <c r="AP916" s="27" t="s">
        <v>3764</v>
      </c>
      <c r="AQ916" s="27"/>
      <c r="AR916" s="504"/>
      <c r="AS916" s="332"/>
      <c r="AT916" s="160"/>
    </row>
    <row r="917" spans="1:46" ht="21.75" hidden="1" customHeight="1">
      <c r="A917" s="331">
        <v>916</v>
      </c>
      <c r="B917" s="28" t="s">
        <v>71</v>
      </c>
      <c r="C917" s="28" t="s">
        <v>3765</v>
      </c>
      <c r="D917" s="444" t="s">
        <v>3498</v>
      </c>
      <c r="E917" s="361" t="str">
        <f t="shared" ca="1" si="22"/>
        <v>LOSS</v>
      </c>
      <c r="F917" s="29"/>
      <c r="G917" s="28" t="s">
        <v>3766</v>
      </c>
      <c r="H917" s="29" t="s">
        <v>2748</v>
      </c>
      <c r="I917" s="29" t="s">
        <v>242</v>
      </c>
      <c r="J917" s="28" t="s">
        <v>2298</v>
      </c>
      <c r="K917" s="28"/>
      <c r="L917" s="27"/>
      <c r="M917" s="27"/>
      <c r="N917" s="29"/>
      <c r="O917" s="56"/>
      <c r="P917" s="31">
        <f>12*54975000</f>
        <v>659700000</v>
      </c>
      <c r="Q917" s="31"/>
      <c r="R917" s="30"/>
      <c r="S917" s="32">
        <v>18000000</v>
      </c>
      <c r="T917" s="33"/>
      <c r="U917" s="334">
        <v>45189</v>
      </c>
      <c r="V917" s="334">
        <v>45554</v>
      </c>
      <c r="W917" s="27" t="s">
        <v>250</v>
      </c>
      <c r="X917" s="27"/>
      <c r="Y917" s="34">
        <f t="shared" ca="1" si="23"/>
        <v>46290</v>
      </c>
      <c r="Z917" s="35">
        <f t="shared" ca="1" si="24"/>
        <v>-736</v>
      </c>
      <c r="AA917" s="27">
        <f t="shared" si="25"/>
        <v>9</v>
      </c>
      <c r="AB917" s="27">
        <f t="shared" si="26"/>
        <v>2024</v>
      </c>
      <c r="AC917" s="28" t="s">
        <v>3767</v>
      </c>
      <c r="AD917" s="28" t="s">
        <v>3768</v>
      </c>
      <c r="AE917" s="27">
        <v>4500021634</v>
      </c>
      <c r="AF917" s="27" t="s">
        <v>339</v>
      </c>
      <c r="AG917" s="29" t="s">
        <v>3502</v>
      </c>
      <c r="AH917" s="28" t="s">
        <v>3592</v>
      </c>
      <c r="AI917" s="27"/>
      <c r="AJ917" s="27"/>
      <c r="AK917" s="27"/>
      <c r="AL917" s="27"/>
      <c r="AM917" s="27"/>
      <c r="AN917" s="27" t="s">
        <v>3769</v>
      </c>
      <c r="AO917" s="27" t="s">
        <v>3770</v>
      </c>
      <c r="AP917" s="27"/>
      <c r="AQ917" s="27"/>
      <c r="AR917" s="504"/>
      <c r="AS917" s="332" t="s">
        <v>3506</v>
      </c>
      <c r="AT917" s="160"/>
    </row>
    <row r="918" spans="1:46" ht="21.75" hidden="1" customHeight="1">
      <c r="A918" s="331">
        <v>917</v>
      </c>
      <c r="B918" s="28" t="s">
        <v>71</v>
      </c>
      <c r="C918" s="28" t="s">
        <v>3771</v>
      </c>
      <c r="D918" s="443" t="s">
        <v>3498</v>
      </c>
      <c r="E918" s="361" t="str">
        <f t="shared" ca="1" si="22"/>
        <v>LOSS</v>
      </c>
      <c r="F918" s="29"/>
      <c r="G918" s="28" t="s">
        <v>3772</v>
      </c>
      <c r="H918" s="29" t="s">
        <v>2748</v>
      </c>
      <c r="I918" s="29" t="s">
        <v>242</v>
      </c>
      <c r="J918" s="28" t="s">
        <v>1132</v>
      </c>
      <c r="K918" s="28"/>
      <c r="L918" s="27"/>
      <c r="M918" s="27"/>
      <c r="N918" s="29"/>
      <c r="O918" s="56"/>
      <c r="P918" s="31">
        <v>38400000</v>
      </c>
      <c r="Q918" s="31"/>
      <c r="R918" s="27"/>
      <c r="S918" s="32">
        <v>18000000</v>
      </c>
      <c r="T918" s="33"/>
      <c r="U918" s="334">
        <v>44158</v>
      </c>
      <c r="V918" s="334">
        <v>44522</v>
      </c>
      <c r="W918" s="27" t="s">
        <v>245</v>
      </c>
      <c r="X918" s="27"/>
      <c r="Y918" s="34">
        <f t="shared" ca="1" si="23"/>
        <v>46290</v>
      </c>
      <c r="Z918" s="35">
        <f t="shared" ca="1" si="24"/>
        <v>-1768</v>
      </c>
      <c r="AA918" s="27">
        <f t="shared" si="25"/>
        <v>11</v>
      </c>
      <c r="AB918" s="27">
        <f t="shared" si="26"/>
        <v>2021</v>
      </c>
      <c r="AC918" s="28" t="s">
        <v>479</v>
      </c>
      <c r="AD918" s="28" t="s">
        <v>1133</v>
      </c>
      <c r="AE918" s="27">
        <v>4500015378</v>
      </c>
      <c r="AF918" s="27" t="s">
        <v>339</v>
      </c>
      <c r="AG918" s="29" t="s">
        <v>3525</v>
      </c>
      <c r="AH918" s="28" t="s">
        <v>3503</v>
      </c>
      <c r="AI918" s="27"/>
      <c r="AJ918" s="27"/>
      <c r="AK918" s="27"/>
      <c r="AL918" s="27" t="s">
        <v>3773</v>
      </c>
      <c r="AM918" s="27"/>
      <c r="AN918" s="27"/>
      <c r="AO918" s="27"/>
      <c r="AP918" s="27"/>
      <c r="AQ918" s="27"/>
      <c r="AR918" s="504"/>
      <c r="AS918" s="332" t="s">
        <v>3506</v>
      </c>
      <c r="AT918" s="160"/>
    </row>
    <row r="919" spans="1:46" ht="21.75" hidden="1" customHeight="1">
      <c r="A919" s="331">
        <v>918</v>
      </c>
      <c r="B919" s="28" t="s">
        <v>71</v>
      </c>
      <c r="C919" s="28" t="s">
        <v>3589</v>
      </c>
      <c r="D919" s="444" t="s">
        <v>3498</v>
      </c>
      <c r="E919" s="361" t="str">
        <f t="shared" ca="1" si="22"/>
        <v>LOSS</v>
      </c>
      <c r="F919" s="29"/>
      <c r="G919" s="28" t="s">
        <v>3774</v>
      </c>
      <c r="H919" s="29" t="s">
        <v>2748</v>
      </c>
      <c r="I919" s="29" t="s">
        <v>242</v>
      </c>
      <c r="J919" s="28" t="s">
        <v>1965</v>
      </c>
      <c r="K919" s="28"/>
      <c r="L919" s="27"/>
      <c r="M919" s="27"/>
      <c r="N919" s="29"/>
      <c r="O919" s="56"/>
      <c r="P919" s="31">
        <f>12*5500000</f>
        <v>66000000</v>
      </c>
      <c r="Q919" s="31"/>
      <c r="R919" s="27"/>
      <c r="S919" s="32">
        <v>18000000</v>
      </c>
      <c r="T919" s="33"/>
      <c r="U919" s="334">
        <v>45260</v>
      </c>
      <c r="V919" s="334">
        <v>45625</v>
      </c>
      <c r="W919" s="27" t="s">
        <v>250</v>
      </c>
      <c r="X919" s="27"/>
      <c r="Y919" s="34">
        <f t="shared" ca="1" si="23"/>
        <v>46290</v>
      </c>
      <c r="Z919" s="35">
        <f t="shared" ca="1" si="24"/>
        <v>-665</v>
      </c>
      <c r="AA919" s="27">
        <f t="shared" si="25"/>
        <v>11</v>
      </c>
      <c r="AB919" s="27">
        <f t="shared" si="26"/>
        <v>2024</v>
      </c>
      <c r="AC919" s="28" t="s">
        <v>3775</v>
      </c>
      <c r="AD919" s="28" t="s">
        <v>3776</v>
      </c>
      <c r="AE919" s="27">
        <v>4500021960</v>
      </c>
      <c r="AF919" s="27" t="s">
        <v>339</v>
      </c>
      <c r="AG919" s="29" t="s">
        <v>3502</v>
      </c>
      <c r="AH919" s="28" t="s">
        <v>3592</v>
      </c>
      <c r="AI919" s="27"/>
      <c r="AJ919" s="27"/>
      <c r="AK919" s="27"/>
      <c r="AL919" s="27"/>
      <c r="AM919" s="27"/>
      <c r="AN919" s="27" t="s">
        <v>3777</v>
      </c>
      <c r="AO919" s="27" t="s">
        <v>3778</v>
      </c>
      <c r="AP919" s="27"/>
      <c r="AQ919" s="27"/>
      <c r="AR919" s="504"/>
      <c r="AS919" s="332" t="s">
        <v>3506</v>
      </c>
      <c r="AT919" s="160"/>
    </row>
    <row r="920" spans="1:46" ht="21.75" hidden="1" customHeight="1">
      <c r="A920" s="331">
        <v>919</v>
      </c>
      <c r="B920" s="28" t="s">
        <v>71</v>
      </c>
      <c r="C920" s="28" t="s">
        <v>3779</v>
      </c>
      <c r="D920" s="443" t="s">
        <v>3509</v>
      </c>
      <c r="E920" s="361" t="str">
        <f t="shared" ca="1" si="22"/>
        <v>LOSS</v>
      </c>
      <c r="F920" s="29"/>
      <c r="G920" s="28" t="s">
        <v>3780</v>
      </c>
      <c r="H920" s="29" t="s">
        <v>2748</v>
      </c>
      <c r="I920" s="29" t="s">
        <v>346</v>
      </c>
      <c r="J920" s="28" t="s">
        <v>788</v>
      </c>
      <c r="K920" s="28"/>
      <c r="L920" s="27"/>
      <c r="M920" s="27"/>
      <c r="N920" s="29"/>
      <c r="O920" s="56"/>
      <c r="P920" s="31">
        <v>90000000</v>
      </c>
      <c r="Q920" s="31"/>
      <c r="R920" s="27"/>
      <c r="S920" s="32">
        <v>18000000</v>
      </c>
      <c r="T920" s="33"/>
      <c r="U920" s="334">
        <v>45057</v>
      </c>
      <c r="V920" s="334">
        <v>45422</v>
      </c>
      <c r="W920" s="27" t="s">
        <v>245</v>
      </c>
      <c r="X920" s="27"/>
      <c r="Y920" s="34">
        <f t="shared" ca="1" si="23"/>
        <v>46290</v>
      </c>
      <c r="Z920" s="35">
        <f t="shared" ca="1" si="24"/>
        <v>-868</v>
      </c>
      <c r="AA920" s="27">
        <f t="shared" si="25"/>
        <v>5</v>
      </c>
      <c r="AB920" s="27">
        <f t="shared" si="26"/>
        <v>2024</v>
      </c>
      <c r="AC920" s="28" t="s">
        <v>3781</v>
      </c>
      <c r="AD920" s="28" t="s">
        <v>3782</v>
      </c>
      <c r="AE920" s="27">
        <v>4500020436</v>
      </c>
      <c r="AF920" s="27" t="s">
        <v>339</v>
      </c>
      <c r="AG920" s="29" t="s">
        <v>3502</v>
      </c>
      <c r="AH920" s="28" t="s">
        <v>3503</v>
      </c>
      <c r="AI920" s="27">
        <v>75</v>
      </c>
      <c r="AJ920" s="27" t="s">
        <v>3783</v>
      </c>
      <c r="AK920" s="27" t="s">
        <v>3784</v>
      </c>
      <c r="AL920" s="27" t="s">
        <v>3785</v>
      </c>
      <c r="AM920" s="27" t="s">
        <v>3786</v>
      </c>
      <c r="AN920" s="27" t="s">
        <v>3787</v>
      </c>
      <c r="AO920" s="27" t="s">
        <v>3788</v>
      </c>
      <c r="AP920" s="27"/>
      <c r="AQ920" s="27"/>
      <c r="AR920" s="504"/>
      <c r="AS920" s="332" t="s">
        <v>3506</v>
      </c>
      <c r="AT920" s="160"/>
    </row>
    <row r="921" spans="1:46" ht="21.75" hidden="1" customHeight="1">
      <c r="A921" s="331">
        <v>920</v>
      </c>
      <c r="B921" s="28" t="s">
        <v>71</v>
      </c>
      <c r="C921" s="159" t="s">
        <v>3789</v>
      </c>
      <c r="D921" s="444" t="s">
        <v>3498</v>
      </c>
      <c r="E921" s="361" t="str">
        <f t="shared" ca="1" si="22"/>
        <v>LOSS</v>
      </c>
      <c r="F921" s="29" t="s">
        <v>3790</v>
      </c>
      <c r="G921" s="28" t="s">
        <v>3791</v>
      </c>
      <c r="H921" s="29" t="s">
        <v>2748</v>
      </c>
      <c r="I921" s="29" t="s">
        <v>242</v>
      </c>
      <c r="J921" s="28" t="s">
        <v>92</v>
      </c>
      <c r="K921" s="28"/>
      <c r="L921" s="27"/>
      <c r="M921" s="27"/>
      <c r="N921" s="29"/>
      <c r="O921" s="56"/>
      <c r="P921" s="31">
        <f>12*2847500</f>
        <v>34170000</v>
      </c>
      <c r="Q921" s="31"/>
      <c r="R921" s="30"/>
      <c r="S921" s="32">
        <v>2847500</v>
      </c>
      <c r="T921" s="33"/>
      <c r="U921" s="334">
        <v>45366</v>
      </c>
      <c r="V921" s="334">
        <v>45730</v>
      </c>
      <c r="W921" s="27" t="s">
        <v>250</v>
      </c>
      <c r="X921" s="27"/>
      <c r="Y921" s="34">
        <f t="shared" ca="1" si="23"/>
        <v>46290</v>
      </c>
      <c r="Z921" s="35">
        <f t="shared" ca="1" si="24"/>
        <v>-560</v>
      </c>
      <c r="AA921" s="27">
        <f t="shared" si="25"/>
        <v>3</v>
      </c>
      <c r="AB921" s="27">
        <f t="shared" si="26"/>
        <v>2025</v>
      </c>
      <c r="AC921" s="28" t="s">
        <v>479</v>
      </c>
      <c r="AD921" s="28" t="s">
        <v>3792</v>
      </c>
      <c r="AE921" s="27">
        <v>4500022626</v>
      </c>
      <c r="AF921" s="27" t="s">
        <v>339</v>
      </c>
      <c r="AG921" s="29" t="s">
        <v>3502</v>
      </c>
      <c r="AH921" s="28" t="s">
        <v>3592</v>
      </c>
      <c r="AI921" s="27"/>
      <c r="AJ921" s="27"/>
      <c r="AK921" s="27"/>
      <c r="AL921" s="27"/>
      <c r="AM921" s="27"/>
      <c r="AN921" s="27"/>
      <c r="AO921" s="27" t="s">
        <v>3793</v>
      </c>
      <c r="AP921" s="27" t="s">
        <v>3794</v>
      </c>
      <c r="AQ921" s="27"/>
      <c r="AR921" s="504"/>
      <c r="AS921" s="332" t="s">
        <v>3506</v>
      </c>
      <c r="AT921" s="160"/>
    </row>
    <row r="922" spans="1:46" ht="21.75" hidden="1" customHeight="1">
      <c r="A922" s="331">
        <v>921</v>
      </c>
      <c r="B922" s="28" t="s">
        <v>71</v>
      </c>
      <c r="C922" s="28" t="s">
        <v>3795</v>
      </c>
      <c r="D922" s="443" t="s">
        <v>3498</v>
      </c>
      <c r="E922" s="361" t="str">
        <f t="shared" ca="1" si="22"/>
        <v>LOSS</v>
      </c>
      <c r="F922" s="29"/>
      <c r="G922" s="28" t="s">
        <v>3796</v>
      </c>
      <c r="H922" s="29" t="s">
        <v>2748</v>
      </c>
      <c r="I922" s="29" t="s">
        <v>346</v>
      </c>
      <c r="J922" s="28" t="s">
        <v>3797</v>
      </c>
      <c r="K922" s="28"/>
      <c r="L922" s="27"/>
      <c r="M922" s="27"/>
      <c r="N922" s="29"/>
      <c r="O922" s="56"/>
      <c r="P922" s="31">
        <v>128600000</v>
      </c>
      <c r="Q922" s="31"/>
      <c r="R922" s="30"/>
      <c r="S922" s="32">
        <v>18000000</v>
      </c>
      <c r="T922" s="33"/>
      <c r="U922" s="334">
        <v>44723</v>
      </c>
      <c r="V922" s="334">
        <v>44926</v>
      </c>
      <c r="W922" s="27" t="s">
        <v>250</v>
      </c>
      <c r="X922" s="27"/>
      <c r="Y922" s="34">
        <f t="shared" ca="1" si="23"/>
        <v>46290</v>
      </c>
      <c r="Z922" s="35">
        <f t="shared" ca="1" si="24"/>
        <v>-1364</v>
      </c>
      <c r="AA922" s="27">
        <f t="shared" si="25"/>
        <v>12</v>
      </c>
      <c r="AB922" s="27">
        <f t="shared" si="26"/>
        <v>2022</v>
      </c>
      <c r="AC922" s="28" t="s">
        <v>3798</v>
      </c>
      <c r="AD922" s="28" t="s">
        <v>2673</v>
      </c>
      <c r="AE922" s="27">
        <v>4500018823</v>
      </c>
      <c r="AF922" s="27" t="s">
        <v>339</v>
      </c>
      <c r="AG922" s="29" t="s">
        <v>3502</v>
      </c>
      <c r="AH922" s="28" t="s">
        <v>3503</v>
      </c>
      <c r="AI922" s="27" t="s">
        <v>115</v>
      </c>
      <c r="AJ922" s="27" t="s">
        <v>3799</v>
      </c>
      <c r="AK922" s="27" t="s">
        <v>3800</v>
      </c>
      <c r="AL922" s="27" t="s">
        <v>3801</v>
      </c>
      <c r="AM922" s="27" t="s">
        <v>3802</v>
      </c>
      <c r="AN922" s="27" t="s">
        <v>3803</v>
      </c>
      <c r="AO922" s="27"/>
      <c r="AP922" s="27"/>
      <c r="AQ922" s="27"/>
      <c r="AR922" s="504"/>
      <c r="AS922" s="332" t="s">
        <v>3506</v>
      </c>
      <c r="AT922" s="160"/>
    </row>
    <row r="923" spans="1:46" ht="21.75" hidden="1" customHeight="1">
      <c r="A923" s="331">
        <v>922</v>
      </c>
      <c r="B923" s="28" t="s">
        <v>71</v>
      </c>
      <c r="C923" s="28" t="s">
        <v>3804</v>
      </c>
      <c r="D923" s="444" t="s">
        <v>3498</v>
      </c>
      <c r="E923" s="361" t="str">
        <f t="shared" ca="1" si="22"/>
        <v>LOSS</v>
      </c>
      <c r="F923" s="29"/>
      <c r="G923" s="28" t="s">
        <v>3805</v>
      </c>
      <c r="H923" s="29" t="s">
        <v>2748</v>
      </c>
      <c r="I923" s="29" t="s">
        <v>242</v>
      </c>
      <c r="J923" s="28" t="s">
        <v>86</v>
      </c>
      <c r="K923" s="28"/>
      <c r="L923" s="27"/>
      <c r="M923" s="27"/>
      <c r="N923" s="29"/>
      <c r="O923" s="56"/>
      <c r="P923" s="31">
        <v>39000000</v>
      </c>
      <c r="Q923" s="31"/>
      <c r="R923" s="30"/>
      <c r="S923" s="32">
        <v>18000000</v>
      </c>
      <c r="T923" s="33"/>
      <c r="U923" s="334">
        <v>45447</v>
      </c>
      <c r="V923" s="334">
        <v>45811</v>
      </c>
      <c r="W923" s="27" t="s">
        <v>250</v>
      </c>
      <c r="X923" s="27"/>
      <c r="Y923" s="34">
        <f t="shared" ca="1" si="23"/>
        <v>46290</v>
      </c>
      <c r="Z923" s="35">
        <f t="shared" ca="1" si="24"/>
        <v>-479</v>
      </c>
      <c r="AA923" s="27">
        <f t="shared" si="25"/>
        <v>6</v>
      </c>
      <c r="AB923" s="27">
        <f t="shared" si="26"/>
        <v>2025</v>
      </c>
      <c r="AC923" s="28" t="s">
        <v>3806</v>
      </c>
      <c r="AD923" s="28" t="s">
        <v>3807</v>
      </c>
      <c r="AE923" s="27">
        <v>4500022998</v>
      </c>
      <c r="AF923" s="27" t="s">
        <v>339</v>
      </c>
      <c r="AG923" s="29" t="s">
        <v>3502</v>
      </c>
      <c r="AH923" s="28" t="s">
        <v>3503</v>
      </c>
      <c r="AI923" s="27"/>
      <c r="AJ923" s="27"/>
      <c r="AK923" s="27"/>
      <c r="AL923" s="27"/>
      <c r="AM923" s="27" t="s">
        <v>3808</v>
      </c>
      <c r="AN923" s="27" t="s">
        <v>3809</v>
      </c>
      <c r="AO923" s="27" t="s">
        <v>3810</v>
      </c>
      <c r="AP923" s="27" t="s">
        <v>3811</v>
      </c>
      <c r="AQ923" s="27"/>
      <c r="AR923" s="504"/>
      <c r="AS923" s="332" t="s">
        <v>3506</v>
      </c>
      <c r="AT923" s="160"/>
    </row>
    <row r="924" spans="1:46" ht="21.75" hidden="1" customHeight="1">
      <c r="A924" s="331">
        <v>923</v>
      </c>
      <c r="B924" s="28" t="s">
        <v>71</v>
      </c>
      <c r="C924" s="28" t="s">
        <v>3779</v>
      </c>
      <c r="D924" s="443" t="s">
        <v>3509</v>
      </c>
      <c r="E924" s="361" t="str">
        <f t="shared" ca="1" si="22"/>
        <v>LOSS</v>
      </c>
      <c r="F924" s="29"/>
      <c r="G924" s="28" t="s">
        <v>3812</v>
      </c>
      <c r="H924" s="29" t="s">
        <v>2748</v>
      </c>
      <c r="I924" s="29" t="s">
        <v>346</v>
      </c>
      <c r="J924" s="28" t="s">
        <v>703</v>
      </c>
      <c r="K924" s="28"/>
      <c r="L924" s="27"/>
      <c r="M924" s="27"/>
      <c r="N924" s="29"/>
      <c r="O924" s="56"/>
      <c r="P924" s="31">
        <v>54000000</v>
      </c>
      <c r="Q924" s="31"/>
      <c r="R924" s="27"/>
      <c r="S924" s="32">
        <v>18000000</v>
      </c>
      <c r="T924" s="33"/>
      <c r="U924" s="334">
        <v>44029</v>
      </c>
      <c r="V924" s="334">
        <v>44393</v>
      </c>
      <c r="W924" s="27" t="s">
        <v>245</v>
      </c>
      <c r="X924" s="27"/>
      <c r="Y924" s="34">
        <f t="shared" ca="1" si="23"/>
        <v>46290</v>
      </c>
      <c r="Z924" s="35">
        <f t="shared" ca="1" si="24"/>
        <v>-1897</v>
      </c>
      <c r="AA924" s="27">
        <f t="shared" si="25"/>
        <v>7</v>
      </c>
      <c r="AB924" s="27">
        <f t="shared" si="26"/>
        <v>2021</v>
      </c>
      <c r="AC924" s="28" t="s">
        <v>3813</v>
      </c>
      <c r="AD924" s="28" t="s">
        <v>3814</v>
      </c>
      <c r="AE924" s="27">
        <v>4500014528</v>
      </c>
      <c r="AF924" s="27" t="s">
        <v>339</v>
      </c>
      <c r="AG924" s="29" t="s">
        <v>3525</v>
      </c>
      <c r="AH924" s="28" t="s">
        <v>3503</v>
      </c>
      <c r="AI924" s="27">
        <v>74</v>
      </c>
      <c r="AJ924" s="27" t="s">
        <v>3815</v>
      </c>
      <c r="AK924" s="27" t="s">
        <v>3816</v>
      </c>
      <c r="AL924" s="27" t="s">
        <v>3817</v>
      </c>
      <c r="AM924" s="27"/>
      <c r="AN924" s="27"/>
      <c r="AO924" s="27"/>
      <c r="AP924" s="27"/>
      <c r="AQ924" s="27"/>
      <c r="AR924" s="504"/>
      <c r="AS924" s="332" t="s">
        <v>3506</v>
      </c>
      <c r="AT924" s="160"/>
    </row>
    <row r="925" spans="1:46" ht="21.75" hidden="1" customHeight="1">
      <c r="A925" s="331">
        <v>924</v>
      </c>
      <c r="B925" s="28" t="s">
        <v>71</v>
      </c>
      <c r="C925" s="28" t="s">
        <v>1530</v>
      </c>
      <c r="D925" s="444" t="s">
        <v>3498</v>
      </c>
      <c r="E925" s="361" t="str">
        <f t="shared" ca="1" si="22"/>
        <v>LOSS</v>
      </c>
      <c r="F925" s="29"/>
      <c r="G925" s="28" t="s">
        <v>3818</v>
      </c>
      <c r="H925" s="29" t="s">
        <v>2748</v>
      </c>
      <c r="I925" s="29" t="s">
        <v>242</v>
      </c>
      <c r="J925" s="38" t="s">
        <v>73</v>
      </c>
      <c r="K925" s="28"/>
      <c r="L925" s="27"/>
      <c r="M925" s="27"/>
      <c r="N925" s="29"/>
      <c r="O925" s="56"/>
      <c r="P925" s="31">
        <v>1428000000</v>
      </c>
      <c r="Q925" s="31"/>
      <c r="R925" s="30"/>
      <c r="S925" s="32">
        <v>18000000</v>
      </c>
      <c r="T925" s="33"/>
      <c r="U925" s="334">
        <v>45432</v>
      </c>
      <c r="V925" s="334">
        <v>45796</v>
      </c>
      <c r="W925" s="27" t="s">
        <v>250</v>
      </c>
      <c r="X925" s="27"/>
      <c r="Y925" s="34">
        <f t="shared" ca="1" si="23"/>
        <v>46290</v>
      </c>
      <c r="Z925" s="35">
        <f t="shared" ca="1" si="24"/>
        <v>-494</v>
      </c>
      <c r="AA925" s="27">
        <f t="shared" si="25"/>
        <v>5</v>
      </c>
      <c r="AB925" s="27">
        <f t="shared" si="26"/>
        <v>2025</v>
      </c>
      <c r="AC925" s="28" t="s">
        <v>3819</v>
      </c>
      <c r="AD925" s="28" t="s">
        <v>3820</v>
      </c>
      <c r="AE925" s="27">
        <v>4500022926</v>
      </c>
      <c r="AF925" s="27" t="s">
        <v>339</v>
      </c>
      <c r="AG925" s="29" t="s">
        <v>3502</v>
      </c>
      <c r="AH925" s="28" t="s">
        <v>3503</v>
      </c>
      <c r="AI925" s="27"/>
      <c r="AJ925" s="27"/>
      <c r="AK925" s="27"/>
      <c r="AL925" s="27"/>
      <c r="AM925" s="27" t="s">
        <v>3821</v>
      </c>
      <c r="AN925" s="27"/>
      <c r="AO925" s="27" t="s">
        <v>3822</v>
      </c>
      <c r="AP925" s="27" t="s">
        <v>3823</v>
      </c>
      <c r="AQ925" s="27"/>
      <c r="AR925" s="504"/>
      <c r="AS925" s="332" t="s">
        <v>3506</v>
      </c>
      <c r="AT925" s="160"/>
    </row>
    <row r="926" spans="1:46" ht="21.75" hidden="1" customHeight="1">
      <c r="A926" s="331">
        <v>925</v>
      </c>
      <c r="B926" s="28" t="s">
        <v>71</v>
      </c>
      <c r="C926" s="28" t="s">
        <v>3824</v>
      </c>
      <c r="D926" s="443" t="s">
        <v>3498</v>
      </c>
      <c r="E926" s="361" t="str">
        <f t="shared" ca="1" si="22"/>
        <v>LOSS</v>
      </c>
      <c r="F926" s="29" t="s">
        <v>3825</v>
      </c>
      <c r="G926" s="28" t="s">
        <v>3826</v>
      </c>
      <c r="H926" s="29" t="s">
        <v>2748</v>
      </c>
      <c r="I926" s="29" t="s">
        <v>242</v>
      </c>
      <c r="J926" s="28" t="s">
        <v>82</v>
      </c>
      <c r="K926" s="28"/>
      <c r="L926" s="27"/>
      <c r="M926" s="27"/>
      <c r="N926" s="29"/>
      <c r="O926" s="56"/>
      <c r="P926" s="31">
        <v>155730480</v>
      </c>
      <c r="Q926" s="31"/>
      <c r="R926" s="30"/>
      <c r="S926" s="32">
        <v>18000000</v>
      </c>
      <c r="T926" s="33"/>
      <c r="U926" s="334">
        <v>45301</v>
      </c>
      <c r="V926" s="334">
        <v>45666</v>
      </c>
      <c r="W926" s="27" t="s">
        <v>250</v>
      </c>
      <c r="X926" s="27"/>
      <c r="Y926" s="34">
        <f t="shared" ca="1" si="23"/>
        <v>46290</v>
      </c>
      <c r="Z926" s="35">
        <f t="shared" ca="1" si="24"/>
        <v>-624</v>
      </c>
      <c r="AA926" s="27">
        <f t="shared" si="25"/>
        <v>1</v>
      </c>
      <c r="AB926" s="27">
        <f t="shared" si="26"/>
        <v>2025</v>
      </c>
      <c r="AC926" s="28" t="s">
        <v>3827</v>
      </c>
      <c r="AD926" s="28"/>
      <c r="AE926" s="27">
        <v>4500022157</v>
      </c>
      <c r="AF926" s="27" t="s">
        <v>339</v>
      </c>
      <c r="AG926" s="29" t="s">
        <v>3502</v>
      </c>
      <c r="AH926" s="28" t="s">
        <v>3503</v>
      </c>
      <c r="AI926" s="27"/>
      <c r="AJ926" s="27"/>
      <c r="AK926" s="27" t="s">
        <v>3828</v>
      </c>
      <c r="AL926" s="27" t="s">
        <v>3829</v>
      </c>
      <c r="AM926" s="27" t="s">
        <v>3830</v>
      </c>
      <c r="AN926" s="27" t="s">
        <v>3831</v>
      </c>
      <c r="AO926" s="27"/>
      <c r="AP926" s="27" t="s">
        <v>3832</v>
      </c>
      <c r="AQ926" s="27"/>
      <c r="AR926" s="504"/>
      <c r="AS926" s="332" t="s">
        <v>3506</v>
      </c>
      <c r="AT926" s="160"/>
    </row>
    <row r="927" spans="1:46" ht="21.75" hidden="1" customHeight="1">
      <c r="A927" s="331">
        <v>926</v>
      </c>
      <c r="B927" s="28" t="s">
        <v>71</v>
      </c>
      <c r="C927" s="28"/>
      <c r="D927" s="444" t="s">
        <v>3498</v>
      </c>
      <c r="E927" s="361" t="str">
        <f t="shared" ca="1" si="22"/>
        <v>LOSS</v>
      </c>
      <c r="F927" s="29"/>
      <c r="G927" s="28"/>
      <c r="H927" s="29" t="s">
        <v>2748</v>
      </c>
      <c r="I927" s="29" t="s">
        <v>242</v>
      </c>
      <c r="J927" s="28"/>
      <c r="K927" s="28"/>
      <c r="L927" s="27"/>
      <c r="M927" s="27"/>
      <c r="N927" s="29"/>
      <c r="O927" s="56"/>
      <c r="P927" s="31"/>
      <c r="Q927" s="31"/>
      <c r="R927" s="30"/>
      <c r="S927" s="32">
        <v>18000000</v>
      </c>
      <c r="T927" s="33"/>
      <c r="U927" s="334">
        <v>44866</v>
      </c>
      <c r="V927" s="334">
        <v>45230</v>
      </c>
      <c r="W927" s="27" t="s">
        <v>250</v>
      </c>
      <c r="X927" s="27"/>
      <c r="Y927" s="34">
        <f t="shared" ca="1" si="23"/>
        <v>46290</v>
      </c>
      <c r="Z927" s="35">
        <f t="shared" ca="1" si="24"/>
        <v>-1060</v>
      </c>
      <c r="AA927" s="27">
        <f t="shared" si="25"/>
        <v>10</v>
      </c>
      <c r="AB927" s="27">
        <f t="shared" si="26"/>
        <v>2023</v>
      </c>
      <c r="AC927" s="28" t="s">
        <v>479</v>
      </c>
      <c r="AD927" s="28" t="s">
        <v>2386</v>
      </c>
      <c r="AE927" s="27"/>
      <c r="AF927" s="27" t="s">
        <v>339</v>
      </c>
      <c r="AG927" s="29" t="s">
        <v>3502</v>
      </c>
      <c r="AH927" s="28" t="s">
        <v>3503</v>
      </c>
      <c r="AI927" s="27"/>
      <c r="AJ927" s="27"/>
      <c r="AK927" s="27"/>
      <c r="AL927" s="27"/>
      <c r="AM927" s="27"/>
      <c r="AN927" s="27"/>
      <c r="AO927" s="27"/>
      <c r="AP927" s="27"/>
      <c r="AQ927" s="27"/>
      <c r="AR927" s="504"/>
      <c r="AS927" s="332" t="s">
        <v>3506</v>
      </c>
      <c r="AT927" s="160"/>
    </row>
    <row r="928" spans="1:46" ht="21.75" hidden="1" customHeight="1">
      <c r="A928" s="331">
        <v>927</v>
      </c>
      <c r="B928" s="28" t="s">
        <v>71</v>
      </c>
      <c r="C928" s="28" t="s">
        <v>2451</v>
      </c>
      <c r="D928" s="443" t="s">
        <v>3498</v>
      </c>
      <c r="E928" s="361" t="str">
        <f t="shared" ca="1" si="22"/>
        <v>LOSS</v>
      </c>
      <c r="F928" s="29"/>
      <c r="G928" s="28" t="s">
        <v>3833</v>
      </c>
      <c r="H928" s="29" t="s">
        <v>2748</v>
      </c>
      <c r="I928" s="29" t="s">
        <v>242</v>
      </c>
      <c r="J928" s="28" t="s">
        <v>3834</v>
      </c>
      <c r="K928" s="28"/>
      <c r="L928" s="27"/>
      <c r="M928" s="27"/>
      <c r="N928" s="29"/>
      <c r="O928" s="56"/>
      <c r="P928" s="31">
        <f>12*5000000</f>
        <v>60000000</v>
      </c>
      <c r="Q928" s="31"/>
      <c r="R928" s="30"/>
      <c r="S928" s="32">
        <v>18000000</v>
      </c>
      <c r="T928" s="33"/>
      <c r="U928" s="334">
        <v>45493</v>
      </c>
      <c r="V928" s="334">
        <v>45857</v>
      </c>
      <c r="W928" s="27" t="s">
        <v>250</v>
      </c>
      <c r="X928" s="27"/>
      <c r="Y928" s="34">
        <f t="shared" ca="1" si="23"/>
        <v>46290</v>
      </c>
      <c r="Z928" s="35">
        <f t="shared" ca="1" si="24"/>
        <v>-433</v>
      </c>
      <c r="AA928" s="27">
        <f t="shared" si="25"/>
        <v>7</v>
      </c>
      <c r="AB928" s="27">
        <f t="shared" si="26"/>
        <v>2025</v>
      </c>
      <c r="AC928" s="28" t="s">
        <v>3835</v>
      </c>
      <c r="AD928" s="28" t="s">
        <v>3836</v>
      </c>
      <c r="AE928" s="27">
        <v>4500023491</v>
      </c>
      <c r="AF928" s="27" t="s">
        <v>333</v>
      </c>
      <c r="AG928" s="29" t="s">
        <v>3502</v>
      </c>
      <c r="AH928" s="28" t="s">
        <v>3503</v>
      </c>
      <c r="AI928" s="27"/>
      <c r="AJ928" s="27"/>
      <c r="AK928" s="27"/>
      <c r="AL928" s="27"/>
      <c r="AM928" s="27"/>
      <c r="AN928" s="27"/>
      <c r="AO928" s="27" t="s">
        <v>3837</v>
      </c>
      <c r="AP928" s="27" t="s">
        <v>3838</v>
      </c>
      <c r="AQ928" s="27"/>
      <c r="AR928" s="504"/>
      <c r="AS928" s="332" t="s">
        <v>3506</v>
      </c>
      <c r="AT928" s="160"/>
    </row>
    <row r="929" spans="1:46" ht="21.75" hidden="1" customHeight="1">
      <c r="A929" s="331">
        <v>928</v>
      </c>
      <c r="B929" s="28" t="s">
        <v>71</v>
      </c>
      <c r="C929" s="28" t="s">
        <v>3839</v>
      </c>
      <c r="D929" s="444" t="s">
        <v>3498</v>
      </c>
      <c r="E929" s="361" t="str">
        <f t="shared" ca="1" si="22"/>
        <v>LOSS</v>
      </c>
      <c r="F929" s="29"/>
      <c r="G929" s="28" t="s">
        <v>3833</v>
      </c>
      <c r="H929" s="29" t="s">
        <v>2748</v>
      </c>
      <c r="I929" s="29" t="s">
        <v>242</v>
      </c>
      <c r="J929" s="28" t="s">
        <v>76</v>
      </c>
      <c r="K929" s="28"/>
      <c r="L929" s="27"/>
      <c r="M929" s="27"/>
      <c r="N929" s="29"/>
      <c r="O929" s="56"/>
      <c r="P929" s="31">
        <f>12*8000000</f>
        <v>96000000</v>
      </c>
      <c r="Q929" s="31"/>
      <c r="R929" s="30"/>
      <c r="S929" s="32">
        <v>36000000</v>
      </c>
      <c r="T929" s="33"/>
      <c r="U929" s="334">
        <v>45162</v>
      </c>
      <c r="V929" s="334">
        <v>45527</v>
      </c>
      <c r="W929" s="27" t="s">
        <v>250</v>
      </c>
      <c r="X929" s="27"/>
      <c r="Y929" s="34">
        <f t="shared" ca="1" si="23"/>
        <v>46290</v>
      </c>
      <c r="Z929" s="35">
        <f t="shared" ca="1" si="24"/>
        <v>-763</v>
      </c>
      <c r="AA929" s="27">
        <f t="shared" si="25"/>
        <v>8</v>
      </c>
      <c r="AB929" s="27">
        <f t="shared" si="26"/>
        <v>2024</v>
      </c>
      <c r="AC929" s="28" t="s">
        <v>479</v>
      </c>
      <c r="AD929" s="28" t="s">
        <v>3840</v>
      </c>
      <c r="AE929" s="27">
        <v>4500021056</v>
      </c>
      <c r="AF929" s="27" t="s">
        <v>339</v>
      </c>
      <c r="AG929" s="29" t="s">
        <v>3502</v>
      </c>
      <c r="AH929" s="28" t="s">
        <v>3503</v>
      </c>
      <c r="AI929" s="27"/>
      <c r="AJ929" s="27"/>
      <c r="AK929" s="27"/>
      <c r="AL929" s="27"/>
      <c r="AM929" s="27"/>
      <c r="AN929" s="27"/>
      <c r="AO929" s="27" t="s">
        <v>3841</v>
      </c>
      <c r="AP929" s="27"/>
      <c r="AQ929" s="27"/>
      <c r="AR929" s="504"/>
      <c r="AS929" s="332" t="s">
        <v>3506</v>
      </c>
      <c r="AT929" s="160"/>
    </row>
    <row r="930" spans="1:46" ht="21.75" hidden="1" customHeight="1">
      <c r="A930" s="331">
        <v>929</v>
      </c>
      <c r="B930" s="28" t="s">
        <v>71</v>
      </c>
      <c r="C930" s="28" t="s">
        <v>3839</v>
      </c>
      <c r="D930" s="443" t="s">
        <v>3498</v>
      </c>
      <c r="E930" s="361" t="str">
        <f t="shared" ca="1" si="22"/>
        <v>LOSS</v>
      </c>
      <c r="F930" s="29"/>
      <c r="G930" s="28" t="s">
        <v>3833</v>
      </c>
      <c r="H930" s="29" t="s">
        <v>2748</v>
      </c>
      <c r="I930" s="29" t="s">
        <v>242</v>
      </c>
      <c r="J930" s="28" t="s">
        <v>76</v>
      </c>
      <c r="K930" s="28"/>
      <c r="L930" s="27"/>
      <c r="M930" s="27"/>
      <c r="N930" s="29"/>
      <c r="O930" s="56"/>
      <c r="P930" s="31">
        <f>12*8000000</f>
        <v>96000000</v>
      </c>
      <c r="Q930" s="31"/>
      <c r="R930" s="30"/>
      <c r="S930" s="32">
        <v>36000000</v>
      </c>
      <c r="T930" s="33"/>
      <c r="U930" s="334">
        <v>45528</v>
      </c>
      <c r="V930" s="334">
        <v>45892</v>
      </c>
      <c r="W930" s="27" t="s">
        <v>250</v>
      </c>
      <c r="X930" s="27"/>
      <c r="Y930" s="34">
        <f t="shared" ca="1" si="23"/>
        <v>46290</v>
      </c>
      <c r="Z930" s="35">
        <f t="shared" ca="1" si="24"/>
        <v>-398</v>
      </c>
      <c r="AA930" s="27">
        <f t="shared" si="25"/>
        <v>8</v>
      </c>
      <c r="AB930" s="27">
        <f t="shared" si="26"/>
        <v>2025</v>
      </c>
      <c r="AC930" s="28"/>
      <c r="AD930" s="28" t="s">
        <v>3842</v>
      </c>
      <c r="AE930" s="27">
        <v>4500023036</v>
      </c>
      <c r="AF930" s="27" t="s">
        <v>333</v>
      </c>
      <c r="AG930" s="29" t="s">
        <v>3502</v>
      </c>
      <c r="AH930" s="28" t="s">
        <v>3503</v>
      </c>
      <c r="AI930" s="27"/>
      <c r="AJ930" s="27"/>
      <c r="AK930" s="27"/>
      <c r="AL930" s="27"/>
      <c r="AM930" s="27"/>
      <c r="AN930" s="27"/>
      <c r="AO930" s="27"/>
      <c r="AP930" s="27" t="s">
        <v>3843</v>
      </c>
      <c r="AQ930" s="27"/>
      <c r="AR930" s="504"/>
      <c r="AS930" s="332"/>
      <c r="AT930" s="160"/>
    </row>
    <row r="931" spans="1:46" ht="21.75" hidden="1" customHeight="1">
      <c r="A931" s="331">
        <v>930</v>
      </c>
      <c r="B931" s="28" t="s">
        <v>71</v>
      </c>
      <c r="C931" s="28" t="s">
        <v>3497</v>
      </c>
      <c r="D931" s="444" t="s">
        <v>3498</v>
      </c>
      <c r="E931" s="361" t="str">
        <f t="shared" ca="1" si="22"/>
        <v>LOSS</v>
      </c>
      <c r="F931" s="29"/>
      <c r="G931" s="28" t="s">
        <v>3844</v>
      </c>
      <c r="H931" s="29" t="s">
        <v>2748</v>
      </c>
      <c r="I931" s="29" t="s">
        <v>242</v>
      </c>
      <c r="J931" s="28" t="s">
        <v>74</v>
      </c>
      <c r="K931" s="28"/>
      <c r="L931" s="27"/>
      <c r="M931" s="27"/>
      <c r="N931" s="29"/>
      <c r="O931" s="56"/>
      <c r="P931" s="43"/>
      <c r="Q931" s="43"/>
      <c r="R931" s="30"/>
      <c r="S931" s="32">
        <v>36000000</v>
      </c>
      <c r="T931" s="33"/>
      <c r="U931" s="334">
        <v>45139</v>
      </c>
      <c r="V931" s="334">
        <v>45504</v>
      </c>
      <c r="W931" s="27" t="s">
        <v>250</v>
      </c>
      <c r="X931" s="27"/>
      <c r="Y931" s="34">
        <f t="shared" ca="1" si="23"/>
        <v>46290</v>
      </c>
      <c r="Z931" s="35">
        <f t="shared" ca="1" si="24"/>
        <v>-786</v>
      </c>
      <c r="AA931" s="27">
        <f t="shared" si="25"/>
        <v>7</v>
      </c>
      <c r="AB931" s="27">
        <f t="shared" si="26"/>
        <v>2024</v>
      </c>
      <c r="AC931" s="28" t="s">
        <v>479</v>
      </c>
      <c r="AD931" s="28" t="s">
        <v>3845</v>
      </c>
      <c r="AE931" s="27">
        <v>4500020993</v>
      </c>
      <c r="AF931" s="27" t="s">
        <v>339</v>
      </c>
      <c r="AG931" s="29" t="s">
        <v>3502</v>
      </c>
      <c r="AH931" s="28" t="s">
        <v>3503</v>
      </c>
      <c r="AI931" s="27"/>
      <c r="AJ931" s="27"/>
      <c r="AK931" s="27"/>
      <c r="AL931" s="27"/>
      <c r="AM931" s="27"/>
      <c r="AN931" s="27"/>
      <c r="AO931" s="27" t="s">
        <v>3846</v>
      </c>
      <c r="AP931" s="27"/>
      <c r="AQ931" s="27"/>
      <c r="AR931" s="504"/>
      <c r="AS931" s="332" t="s">
        <v>3847</v>
      </c>
      <c r="AT931" s="160"/>
    </row>
    <row r="932" spans="1:46" ht="21.75" hidden="1" customHeight="1">
      <c r="A932" s="331">
        <v>931</v>
      </c>
      <c r="B932" s="28" t="s">
        <v>71</v>
      </c>
      <c r="C932" s="28" t="s">
        <v>3497</v>
      </c>
      <c r="D932" s="443" t="s">
        <v>3498</v>
      </c>
      <c r="E932" s="361" t="str">
        <f t="shared" ca="1" si="22"/>
        <v>LOSS</v>
      </c>
      <c r="F932" s="29"/>
      <c r="G932" s="28" t="s">
        <v>3844</v>
      </c>
      <c r="H932" s="29" t="s">
        <v>2748</v>
      </c>
      <c r="I932" s="29" t="s">
        <v>242</v>
      </c>
      <c r="J932" s="28" t="s">
        <v>74</v>
      </c>
      <c r="K932" s="28"/>
      <c r="L932" s="27"/>
      <c r="M932" s="27"/>
      <c r="N932" s="29"/>
      <c r="O932" s="56"/>
      <c r="P932" s="43"/>
      <c r="Q932" s="43"/>
      <c r="R932" s="30"/>
      <c r="S932" s="32">
        <v>36000000</v>
      </c>
      <c r="T932" s="33"/>
      <c r="U932" s="334">
        <v>45505</v>
      </c>
      <c r="V932" s="334">
        <v>45869</v>
      </c>
      <c r="W932" s="27" t="s">
        <v>250</v>
      </c>
      <c r="X932" s="27"/>
      <c r="Y932" s="34">
        <f t="shared" ca="1" si="23"/>
        <v>46290</v>
      </c>
      <c r="Z932" s="35">
        <f t="shared" ca="1" si="24"/>
        <v>-421</v>
      </c>
      <c r="AA932" s="27">
        <f t="shared" si="25"/>
        <v>7</v>
      </c>
      <c r="AB932" s="27">
        <f t="shared" si="26"/>
        <v>2025</v>
      </c>
      <c r="AC932" s="28"/>
      <c r="AD932" s="28" t="s">
        <v>3848</v>
      </c>
      <c r="AE932" s="27">
        <v>4500023228</v>
      </c>
      <c r="AF932" s="27" t="s">
        <v>333</v>
      </c>
      <c r="AG932" s="29" t="s">
        <v>3502</v>
      </c>
      <c r="AH932" s="28" t="s">
        <v>3503</v>
      </c>
      <c r="AI932" s="27"/>
      <c r="AJ932" s="27"/>
      <c r="AK932" s="27"/>
      <c r="AL932" s="27"/>
      <c r="AM932" s="27"/>
      <c r="AN932" s="27"/>
      <c r="AO932" s="27"/>
      <c r="AP932" s="27" t="s">
        <v>3849</v>
      </c>
      <c r="AQ932" s="27"/>
      <c r="AR932" s="504"/>
      <c r="AS932" s="332"/>
      <c r="AT932" s="160"/>
    </row>
    <row r="933" spans="1:46" ht="21.75" hidden="1" customHeight="1">
      <c r="A933" s="331">
        <v>932</v>
      </c>
      <c r="B933" s="28" t="s">
        <v>71</v>
      </c>
      <c r="C933" s="28" t="s">
        <v>1363</v>
      </c>
      <c r="D933" s="444" t="s">
        <v>3498</v>
      </c>
      <c r="E933" s="361" t="str">
        <f t="shared" ca="1" si="22"/>
        <v>LOSS</v>
      </c>
      <c r="F933" s="29"/>
      <c r="G933" s="28" t="s">
        <v>3850</v>
      </c>
      <c r="H933" s="29" t="s">
        <v>2748</v>
      </c>
      <c r="I933" s="29" t="s">
        <v>242</v>
      </c>
      <c r="J933" s="28" t="s">
        <v>75</v>
      </c>
      <c r="K933" s="28"/>
      <c r="L933" s="27"/>
      <c r="M933" s="27"/>
      <c r="N933" s="29"/>
      <c r="O933" s="56"/>
      <c r="P933" s="31">
        <f>35000000*12</f>
        <v>420000000</v>
      </c>
      <c r="Q933" s="31"/>
      <c r="R933" s="30"/>
      <c r="S933" s="32">
        <v>18000000</v>
      </c>
      <c r="T933" s="33"/>
      <c r="U933" s="334">
        <v>45116</v>
      </c>
      <c r="V933" s="334">
        <v>45481</v>
      </c>
      <c r="W933" s="27" t="s">
        <v>250</v>
      </c>
      <c r="X933" s="27"/>
      <c r="Y933" s="34">
        <f t="shared" ca="1" si="23"/>
        <v>46290</v>
      </c>
      <c r="Z933" s="35">
        <f t="shared" ca="1" si="24"/>
        <v>-809</v>
      </c>
      <c r="AA933" s="27">
        <f t="shared" si="25"/>
        <v>7</v>
      </c>
      <c r="AB933" s="27">
        <f t="shared" si="26"/>
        <v>2024</v>
      </c>
      <c r="AC933" s="28" t="s">
        <v>479</v>
      </c>
      <c r="AD933" s="28" t="s">
        <v>3851</v>
      </c>
      <c r="AE933" s="27">
        <v>4500021202</v>
      </c>
      <c r="AF933" s="27" t="s">
        <v>339</v>
      </c>
      <c r="AG933" s="29" t="s">
        <v>3502</v>
      </c>
      <c r="AH933" s="28" t="s">
        <v>3503</v>
      </c>
      <c r="AI933" s="27"/>
      <c r="AJ933" s="27"/>
      <c r="AK933" s="27"/>
      <c r="AL933" s="27"/>
      <c r="AM933" s="27"/>
      <c r="AN933" s="27"/>
      <c r="AO933" s="27" t="s">
        <v>3852</v>
      </c>
      <c r="AP933" s="27"/>
      <c r="AQ933" s="27"/>
      <c r="AR933" s="504"/>
      <c r="AS933" s="332" t="s">
        <v>3506</v>
      </c>
      <c r="AT933" s="160"/>
    </row>
    <row r="934" spans="1:46" ht="21.75" hidden="1" customHeight="1">
      <c r="A934" s="331">
        <v>933</v>
      </c>
      <c r="B934" s="28" t="s">
        <v>71</v>
      </c>
      <c r="C934" s="28" t="s">
        <v>1363</v>
      </c>
      <c r="D934" s="443" t="s">
        <v>3498</v>
      </c>
      <c r="E934" s="361" t="str">
        <f t="shared" ca="1" si="22"/>
        <v>LOSS</v>
      </c>
      <c r="F934" s="29"/>
      <c r="G934" s="28" t="s">
        <v>3850</v>
      </c>
      <c r="H934" s="29" t="s">
        <v>2748</v>
      </c>
      <c r="I934" s="29" t="s">
        <v>242</v>
      </c>
      <c r="J934" s="28" t="s">
        <v>75</v>
      </c>
      <c r="K934" s="28"/>
      <c r="L934" s="27"/>
      <c r="M934" s="27"/>
      <c r="N934" s="29"/>
      <c r="O934" s="56"/>
      <c r="P934" s="31">
        <f>35000000*12</f>
        <v>420000000</v>
      </c>
      <c r="Q934" s="31"/>
      <c r="R934" s="30"/>
      <c r="S934" s="32">
        <v>18000000</v>
      </c>
      <c r="T934" s="33"/>
      <c r="U934" s="334">
        <v>45482</v>
      </c>
      <c r="V934" s="334">
        <v>45846</v>
      </c>
      <c r="W934" s="27" t="s">
        <v>245</v>
      </c>
      <c r="X934" s="27"/>
      <c r="Y934" s="34">
        <f t="shared" ca="1" si="23"/>
        <v>46290</v>
      </c>
      <c r="Z934" s="35">
        <f t="shared" ca="1" si="24"/>
        <v>-444</v>
      </c>
      <c r="AA934" s="27">
        <f t="shared" si="25"/>
        <v>7</v>
      </c>
      <c r="AB934" s="27">
        <f t="shared" si="26"/>
        <v>2025</v>
      </c>
      <c r="AC934" s="28"/>
      <c r="AD934" s="28" t="s">
        <v>3853</v>
      </c>
      <c r="AE934" s="27">
        <v>4500023106</v>
      </c>
      <c r="AF934" s="27" t="s">
        <v>333</v>
      </c>
      <c r="AG934" s="29" t="s">
        <v>3502</v>
      </c>
      <c r="AH934" s="28" t="s">
        <v>3503</v>
      </c>
      <c r="AI934" s="27"/>
      <c r="AJ934" s="27"/>
      <c r="AK934" s="27"/>
      <c r="AL934" s="27"/>
      <c r="AM934" s="27"/>
      <c r="AN934" s="27"/>
      <c r="AO934" s="27"/>
      <c r="AP934" s="27" t="s">
        <v>3854</v>
      </c>
      <c r="AQ934" s="27"/>
      <c r="AR934" s="504"/>
      <c r="AS934" s="332"/>
      <c r="AT934" s="160"/>
    </row>
    <row r="935" spans="1:46" ht="21.75" hidden="1" customHeight="1">
      <c r="A935" s="331">
        <v>934</v>
      </c>
      <c r="B935" s="28" t="s">
        <v>71</v>
      </c>
      <c r="C935" s="28" t="s">
        <v>3855</v>
      </c>
      <c r="D935" s="444" t="s">
        <v>3498</v>
      </c>
      <c r="E935" s="361" t="str">
        <f t="shared" ca="1" si="22"/>
        <v>LOSS</v>
      </c>
      <c r="F935" s="29"/>
      <c r="G935" s="28" t="s">
        <v>3856</v>
      </c>
      <c r="H935" s="29" t="s">
        <v>2748</v>
      </c>
      <c r="I935" s="29" t="s">
        <v>242</v>
      </c>
      <c r="J935" s="28" t="s">
        <v>78</v>
      </c>
      <c r="K935" s="28"/>
      <c r="L935" s="27"/>
      <c r="M935" s="27"/>
      <c r="N935" s="29"/>
      <c r="O935" s="56"/>
      <c r="P935" s="31">
        <f>20000000*12</f>
        <v>240000000</v>
      </c>
      <c r="Q935" s="31"/>
      <c r="R935" s="30"/>
      <c r="S935" s="32">
        <v>36000000</v>
      </c>
      <c r="T935" s="33"/>
      <c r="U935" s="334">
        <v>45170</v>
      </c>
      <c r="V935" s="334">
        <v>45535</v>
      </c>
      <c r="W935" s="27" t="s">
        <v>250</v>
      </c>
      <c r="X935" s="27"/>
      <c r="Y935" s="34">
        <f t="shared" ca="1" si="23"/>
        <v>46290</v>
      </c>
      <c r="Z935" s="35">
        <f t="shared" ca="1" si="24"/>
        <v>-755</v>
      </c>
      <c r="AA935" s="27">
        <f t="shared" si="25"/>
        <v>8</v>
      </c>
      <c r="AB935" s="27">
        <f t="shared" si="26"/>
        <v>2024</v>
      </c>
      <c r="AC935" s="38" t="s">
        <v>115</v>
      </c>
      <c r="AD935" s="28" t="s">
        <v>3857</v>
      </c>
      <c r="AE935" s="27">
        <v>4500021707</v>
      </c>
      <c r="AF935" s="27" t="s">
        <v>339</v>
      </c>
      <c r="AG935" s="29" t="s">
        <v>3502</v>
      </c>
      <c r="AH935" s="28" t="s">
        <v>3503</v>
      </c>
      <c r="AI935" s="27"/>
      <c r="AJ935" s="27"/>
      <c r="AK935" s="27"/>
      <c r="AL935" s="27"/>
      <c r="AM935" s="27"/>
      <c r="AN935" s="27"/>
      <c r="AO935" s="27" t="s">
        <v>3858</v>
      </c>
      <c r="AP935" s="27"/>
      <c r="AQ935" s="27"/>
      <c r="AR935" s="504"/>
      <c r="AS935" s="332" t="s">
        <v>3506</v>
      </c>
      <c r="AT935" s="160"/>
    </row>
    <row r="936" spans="1:46" ht="21.75" hidden="1" customHeight="1">
      <c r="A936" s="331">
        <v>935</v>
      </c>
      <c r="B936" s="28" t="s">
        <v>71</v>
      </c>
      <c r="C936" s="28" t="s">
        <v>3855</v>
      </c>
      <c r="D936" s="443" t="s">
        <v>3498</v>
      </c>
      <c r="E936" s="361" t="str">
        <f t="shared" ca="1" si="22"/>
        <v>LOSS</v>
      </c>
      <c r="F936" s="29"/>
      <c r="G936" s="28" t="s">
        <v>3856</v>
      </c>
      <c r="H936" s="29" t="s">
        <v>2748</v>
      </c>
      <c r="I936" s="29" t="s">
        <v>242</v>
      </c>
      <c r="J936" s="28" t="s">
        <v>78</v>
      </c>
      <c r="K936" s="28"/>
      <c r="L936" s="27"/>
      <c r="M936" s="27"/>
      <c r="N936" s="29"/>
      <c r="O936" s="56"/>
      <c r="P936" s="31">
        <f>20000000*12</f>
        <v>240000000</v>
      </c>
      <c r="Q936" s="31"/>
      <c r="R936" s="30"/>
      <c r="S936" s="32">
        <v>36000000</v>
      </c>
      <c r="T936" s="33"/>
      <c r="U936" s="334">
        <v>45536</v>
      </c>
      <c r="V936" s="334">
        <v>45900</v>
      </c>
      <c r="W936" s="27" t="s">
        <v>250</v>
      </c>
      <c r="X936" s="27"/>
      <c r="Y936" s="34">
        <f t="shared" ca="1" si="23"/>
        <v>46290</v>
      </c>
      <c r="Z936" s="35">
        <f t="shared" ca="1" si="24"/>
        <v>-390</v>
      </c>
      <c r="AA936" s="27">
        <f t="shared" si="25"/>
        <v>8</v>
      </c>
      <c r="AB936" s="27">
        <f t="shared" si="26"/>
        <v>2025</v>
      </c>
      <c r="AC936" s="38"/>
      <c r="AD936" s="28" t="s">
        <v>3859</v>
      </c>
      <c r="AE936" s="27">
        <v>4500023104</v>
      </c>
      <c r="AF936" s="27" t="s">
        <v>333</v>
      </c>
      <c r="AG936" s="29" t="s">
        <v>3502</v>
      </c>
      <c r="AH936" s="28" t="s">
        <v>3503</v>
      </c>
      <c r="AI936" s="27"/>
      <c r="AJ936" s="27"/>
      <c r="AK936" s="27"/>
      <c r="AL936" s="27"/>
      <c r="AM936" s="27"/>
      <c r="AN936" s="27"/>
      <c r="AO936" s="27"/>
      <c r="AP936" s="27" t="s">
        <v>3860</v>
      </c>
      <c r="AQ936" s="27"/>
      <c r="AR936" s="504"/>
      <c r="AS936" s="332"/>
      <c r="AT936" s="160"/>
    </row>
    <row r="937" spans="1:46" ht="21.75" hidden="1" customHeight="1">
      <c r="A937" s="331">
        <v>936</v>
      </c>
      <c r="B937" s="28" t="s">
        <v>71</v>
      </c>
      <c r="C937" s="28" t="s">
        <v>3861</v>
      </c>
      <c r="D937" s="444" t="s">
        <v>3498</v>
      </c>
      <c r="E937" s="361" t="str">
        <f t="shared" ca="1" si="22"/>
        <v>LOSS</v>
      </c>
      <c r="F937" s="29" t="s">
        <v>3862</v>
      </c>
      <c r="G937" s="28" t="s">
        <v>3863</v>
      </c>
      <c r="H937" s="29" t="s">
        <v>2748</v>
      </c>
      <c r="I937" s="29" t="s">
        <v>242</v>
      </c>
      <c r="J937" s="28" t="s">
        <v>3864</v>
      </c>
      <c r="K937" s="28"/>
      <c r="L937" s="27"/>
      <c r="M937" s="27"/>
      <c r="N937" s="29"/>
      <c r="O937" s="56"/>
      <c r="P937" s="31">
        <v>69500000</v>
      </c>
      <c r="Q937" s="31"/>
      <c r="R937" s="30"/>
      <c r="S937" s="32">
        <v>36000000</v>
      </c>
      <c r="T937" s="33"/>
      <c r="U937" s="334">
        <v>45205</v>
      </c>
      <c r="V937" s="334">
        <v>45570</v>
      </c>
      <c r="W937" s="27" t="s">
        <v>250</v>
      </c>
      <c r="X937" s="27"/>
      <c r="Y937" s="34">
        <f t="shared" ca="1" si="23"/>
        <v>46290</v>
      </c>
      <c r="Z937" s="35">
        <f t="shared" ca="1" si="24"/>
        <v>-720</v>
      </c>
      <c r="AA937" s="27">
        <f t="shared" si="25"/>
        <v>10</v>
      </c>
      <c r="AB937" s="27">
        <f t="shared" si="26"/>
        <v>2024</v>
      </c>
      <c r="AC937" s="28" t="s">
        <v>479</v>
      </c>
      <c r="AD937" s="28" t="s">
        <v>3865</v>
      </c>
      <c r="AE937" s="27">
        <v>4500021509</v>
      </c>
      <c r="AF937" s="27" t="s">
        <v>339</v>
      </c>
      <c r="AG937" s="29" t="s">
        <v>3502</v>
      </c>
      <c r="AH937" s="28" t="s">
        <v>3503</v>
      </c>
      <c r="AI937" s="27"/>
      <c r="AJ937" s="27"/>
      <c r="AK937" s="27"/>
      <c r="AL937" s="27"/>
      <c r="AM937" s="27"/>
      <c r="AN937" s="27"/>
      <c r="AO937" s="27" t="s">
        <v>3866</v>
      </c>
      <c r="AP937" s="27"/>
      <c r="AQ937" s="27"/>
      <c r="AR937" s="504"/>
      <c r="AS937" s="332" t="s">
        <v>3506</v>
      </c>
      <c r="AT937" s="160"/>
    </row>
    <row r="938" spans="1:46" ht="21.75" hidden="1" customHeight="1">
      <c r="A938" s="331">
        <v>937</v>
      </c>
      <c r="B938" s="28" t="s">
        <v>71</v>
      </c>
      <c r="C938" s="28" t="s">
        <v>3867</v>
      </c>
      <c r="D938" s="443" t="s">
        <v>3498</v>
      </c>
      <c r="E938" s="361" t="str">
        <f t="shared" ca="1" si="22"/>
        <v>LOSS</v>
      </c>
      <c r="F938" s="29" t="s">
        <v>3868</v>
      </c>
      <c r="G938" s="28" t="s">
        <v>3869</v>
      </c>
      <c r="H938" s="29" t="s">
        <v>2748</v>
      </c>
      <c r="I938" s="29" t="s">
        <v>242</v>
      </c>
      <c r="J938" s="28" t="s">
        <v>3870</v>
      </c>
      <c r="K938" s="28"/>
      <c r="L938" s="27"/>
      <c r="M938" s="27"/>
      <c r="N938" s="29"/>
      <c r="O938" s="56"/>
      <c r="P938" s="31">
        <v>148800000</v>
      </c>
      <c r="Q938" s="31"/>
      <c r="R938" s="30"/>
      <c r="S938" s="32">
        <v>36000000</v>
      </c>
      <c r="T938" s="33"/>
      <c r="U938" s="334">
        <v>45238</v>
      </c>
      <c r="V938" s="334">
        <v>45603</v>
      </c>
      <c r="W938" s="27" t="s">
        <v>250</v>
      </c>
      <c r="X938" s="27"/>
      <c r="Y938" s="34">
        <f t="shared" ca="1" si="23"/>
        <v>46290</v>
      </c>
      <c r="Z938" s="35">
        <f t="shared" ca="1" si="24"/>
        <v>-687</v>
      </c>
      <c r="AA938" s="27">
        <f t="shared" si="25"/>
        <v>11</v>
      </c>
      <c r="AB938" s="27">
        <f t="shared" si="26"/>
        <v>2024</v>
      </c>
      <c r="AC938" s="28" t="s">
        <v>479</v>
      </c>
      <c r="AD938" s="28" t="s">
        <v>3871</v>
      </c>
      <c r="AE938" s="27">
        <v>4500021659</v>
      </c>
      <c r="AF938" s="27" t="s">
        <v>339</v>
      </c>
      <c r="AG938" s="29" t="s">
        <v>3502</v>
      </c>
      <c r="AH938" s="28" t="s">
        <v>3503</v>
      </c>
      <c r="AI938" s="27"/>
      <c r="AJ938" s="27"/>
      <c r="AK938" s="27"/>
      <c r="AL938" s="27"/>
      <c r="AM938" s="27"/>
      <c r="AN938" s="27"/>
      <c r="AO938" s="27" t="s">
        <v>3872</v>
      </c>
      <c r="AP938" s="27"/>
      <c r="AQ938" s="27"/>
      <c r="AR938" s="504"/>
      <c r="AS938" s="332" t="s">
        <v>3506</v>
      </c>
      <c r="AT938" s="160"/>
    </row>
    <row r="939" spans="1:46" ht="21.75" hidden="1" customHeight="1">
      <c r="A939" s="331">
        <v>938</v>
      </c>
      <c r="B939" s="28" t="s">
        <v>71</v>
      </c>
      <c r="C939" s="28" t="s">
        <v>3873</v>
      </c>
      <c r="D939" s="444" t="s">
        <v>3498</v>
      </c>
      <c r="E939" s="361" t="str">
        <f t="shared" ca="1" si="22"/>
        <v>LOSS</v>
      </c>
      <c r="F939" s="29" t="s">
        <v>3874</v>
      </c>
      <c r="G939" s="28" t="s">
        <v>3875</v>
      </c>
      <c r="H939" s="29" t="s">
        <v>2748</v>
      </c>
      <c r="I939" s="29" t="s">
        <v>242</v>
      </c>
      <c r="J939" s="28" t="s">
        <v>3876</v>
      </c>
      <c r="K939" s="28"/>
      <c r="L939" s="27"/>
      <c r="M939" s="27"/>
      <c r="N939" s="29"/>
      <c r="O939" s="56"/>
      <c r="P939" s="31">
        <f>12*5500000</f>
        <v>66000000</v>
      </c>
      <c r="Q939" s="31"/>
      <c r="R939" s="30"/>
      <c r="S939" s="32">
        <v>18000000</v>
      </c>
      <c r="T939" s="33"/>
      <c r="U939" s="334">
        <v>45257</v>
      </c>
      <c r="V939" s="334">
        <v>45622</v>
      </c>
      <c r="W939" s="27" t="s">
        <v>250</v>
      </c>
      <c r="X939" s="27"/>
      <c r="Y939" s="34">
        <f t="shared" ca="1" si="23"/>
        <v>46290</v>
      </c>
      <c r="Z939" s="35">
        <f t="shared" ca="1" si="24"/>
        <v>-668</v>
      </c>
      <c r="AA939" s="27">
        <f t="shared" si="25"/>
        <v>11</v>
      </c>
      <c r="AB939" s="27">
        <f t="shared" si="26"/>
        <v>2024</v>
      </c>
      <c r="AC939" s="28" t="s">
        <v>479</v>
      </c>
      <c r="AD939" s="28">
        <v>2159</v>
      </c>
      <c r="AE939" s="27">
        <v>4500021969</v>
      </c>
      <c r="AF939" s="27" t="s">
        <v>339</v>
      </c>
      <c r="AG939" s="29" t="s">
        <v>3502</v>
      </c>
      <c r="AH939" s="28" t="s">
        <v>3503</v>
      </c>
      <c r="AI939" s="27"/>
      <c r="AJ939" s="27"/>
      <c r="AK939" s="27"/>
      <c r="AL939" s="27"/>
      <c r="AM939" s="27"/>
      <c r="AN939" s="27"/>
      <c r="AO939" s="27" t="s">
        <v>3877</v>
      </c>
      <c r="AP939" s="27"/>
      <c r="AQ939" s="27"/>
      <c r="AR939" s="504"/>
      <c r="AS939" s="332" t="s">
        <v>3506</v>
      </c>
      <c r="AT939" s="160"/>
    </row>
    <row r="940" spans="1:46" ht="21.75" hidden="1" customHeight="1">
      <c r="A940" s="331">
        <v>939</v>
      </c>
      <c r="B940" s="28" t="s">
        <v>71</v>
      </c>
      <c r="C940" s="28" t="s">
        <v>3878</v>
      </c>
      <c r="D940" s="443" t="s">
        <v>3498</v>
      </c>
      <c r="E940" s="361" t="str">
        <f t="shared" ca="1" si="22"/>
        <v>LOSS</v>
      </c>
      <c r="F940" s="29" t="s">
        <v>3879</v>
      </c>
      <c r="G940" s="28" t="s">
        <v>3880</v>
      </c>
      <c r="H940" s="29" t="s">
        <v>2748</v>
      </c>
      <c r="I940" s="29" t="s">
        <v>242</v>
      </c>
      <c r="J940" s="28" t="s">
        <v>89</v>
      </c>
      <c r="K940" s="28"/>
      <c r="L940" s="27"/>
      <c r="M940" s="27"/>
      <c r="N940" s="29"/>
      <c r="O940" s="56"/>
      <c r="P940" s="31">
        <f>12*4500000</f>
        <v>54000000</v>
      </c>
      <c r="Q940" s="31"/>
      <c r="R940" s="30"/>
      <c r="S940" s="32">
        <v>18000000</v>
      </c>
      <c r="T940" s="33"/>
      <c r="U940" s="334">
        <v>45332</v>
      </c>
      <c r="V940" s="334">
        <v>45697</v>
      </c>
      <c r="W940" s="27" t="s">
        <v>250</v>
      </c>
      <c r="X940" s="27"/>
      <c r="Y940" s="34">
        <f t="shared" ca="1" si="23"/>
        <v>46290</v>
      </c>
      <c r="Z940" s="35">
        <f t="shared" ca="1" si="24"/>
        <v>-593</v>
      </c>
      <c r="AA940" s="27">
        <f t="shared" si="25"/>
        <v>2</v>
      </c>
      <c r="AB940" s="27">
        <f t="shared" si="26"/>
        <v>2025</v>
      </c>
      <c r="AC940" s="28" t="s">
        <v>3881</v>
      </c>
      <c r="AD940" s="28">
        <v>2736</v>
      </c>
      <c r="AE940" s="27">
        <v>4500022291</v>
      </c>
      <c r="AF940" s="27" t="s">
        <v>339</v>
      </c>
      <c r="AG940" s="29" t="s">
        <v>3502</v>
      </c>
      <c r="AH940" s="28" t="s">
        <v>3503</v>
      </c>
      <c r="AI940" s="27"/>
      <c r="AJ940" s="27"/>
      <c r="AK940" s="27"/>
      <c r="AL940" s="27"/>
      <c r="AM940" s="27"/>
      <c r="AN940" s="27"/>
      <c r="AO940" s="27"/>
      <c r="AP940" s="27" t="s">
        <v>3882</v>
      </c>
      <c r="AQ940" s="27"/>
      <c r="AR940" s="504"/>
      <c r="AS940" s="332" t="s">
        <v>3506</v>
      </c>
      <c r="AT940" s="160"/>
    </row>
    <row r="941" spans="1:46" ht="21.75" hidden="1" customHeight="1">
      <c r="A941" s="331">
        <v>940</v>
      </c>
      <c r="B941" s="28" t="s">
        <v>1396</v>
      </c>
      <c r="C941" s="28" t="s">
        <v>3883</v>
      </c>
      <c r="D941" s="437" t="s">
        <v>3884</v>
      </c>
      <c r="E941" s="361" t="str">
        <f t="shared" ca="1" si="22"/>
        <v>LOSS</v>
      </c>
      <c r="F941" s="29"/>
      <c r="G941" s="28" t="s">
        <v>3885</v>
      </c>
      <c r="H941" s="29" t="s">
        <v>2748</v>
      </c>
      <c r="I941" s="29" t="s">
        <v>242</v>
      </c>
      <c r="J941" s="28" t="s">
        <v>3886</v>
      </c>
      <c r="K941" s="28"/>
      <c r="L941" s="27"/>
      <c r="M941" s="27"/>
      <c r="N941" s="29"/>
      <c r="O941" s="56"/>
      <c r="P941" s="31">
        <f>12*23000000</f>
        <v>276000000</v>
      </c>
      <c r="Q941" s="31"/>
      <c r="R941" s="27"/>
      <c r="S941" s="32">
        <v>24000000</v>
      </c>
      <c r="T941" s="33"/>
      <c r="U941" s="334">
        <v>44643</v>
      </c>
      <c r="V941" s="334">
        <v>44642</v>
      </c>
      <c r="W941" s="27" t="s">
        <v>245</v>
      </c>
      <c r="X941" s="27"/>
      <c r="Y941" s="34">
        <f t="shared" ca="1" si="23"/>
        <v>46290</v>
      </c>
      <c r="Z941" s="35">
        <f t="shared" ca="1" si="24"/>
        <v>-1648</v>
      </c>
      <c r="AA941" s="27">
        <f t="shared" si="25"/>
        <v>3</v>
      </c>
      <c r="AB941" s="27">
        <f t="shared" si="26"/>
        <v>2022</v>
      </c>
      <c r="AC941" s="28" t="s">
        <v>479</v>
      </c>
      <c r="AD941" s="28" t="s">
        <v>2225</v>
      </c>
      <c r="AE941" s="27">
        <v>4500017808</v>
      </c>
      <c r="AF941" s="27" t="s">
        <v>339</v>
      </c>
      <c r="AG941" s="29" t="s">
        <v>3887</v>
      </c>
      <c r="AH941" s="28" t="s">
        <v>3888</v>
      </c>
      <c r="AI941" s="27"/>
      <c r="AJ941" s="27"/>
      <c r="AK941" s="27"/>
      <c r="AL941" s="27"/>
      <c r="AM941" s="27"/>
      <c r="AN941" s="27" t="s">
        <v>3889</v>
      </c>
      <c r="AO941" s="27"/>
      <c r="AP941" s="27"/>
      <c r="AQ941" s="27"/>
      <c r="AR941" s="504"/>
      <c r="AS941" s="332" t="s">
        <v>3890</v>
      </c>
      <c r="AT941" s="160"/>
    </row>
    <row r="942" spans="1:46" ht="21.75" hidden="1" customHeight="1">
      <c r="A942" s="331">
        <v>941</v>
      </c>
      <c r="B942" s="28" t="s">
        <v>97</v>
      </c>
      <c r="C942" s="28" t="s">
        <v>3891</v>
      </c>
      <c r="D942" s="438" t="s">
        <v>2363</v>
      </c>
      <c r="E942" s="361" t="str">
        <f t="shared" ca="1" si="22"/>
        <v>LOSS</v>
      </c>
      <c r="F942" s="29"/>
      <c r="G942" s="28" t="s">
        <v>3892</v>
      </c>
      <c r="H942" s="29" t="s">
        <v>2748</v>
      </c>
      <c r="I942" s="29" t="s">
        <v>242</v>
      </c>
      <c r="J942" s="28" t="s">
        <v>101</v>
      </c>
      <c r="K942" s="28"/>
      <c r="L942" s="27"/>
      <c r="M942" s="27"/>
      <c r="N942" s="29"/>
      <c r="O942" s="56"/>
      <c r="P942" s="31">
        <f>12*8500000</f>
        <v>102000000</v>
      </c>
      <c r="Q942" s="31"/>
      <c r="R942" s="27"/>
      <c r="S942" s="32">
        <v>24000000</v>
      </c>
      <c r="T942" s="33"/>
      <c r="U942" s="334">
        <v>45379</v>
      </c>
      <c r="V942" s="334">
        <v>45743</v>
      </c>
      <c r="W942" s="27" t="s">
        <v>250</v>
      </c>
      <c r="X942" s="27"/>
      <c r="Y942" s="34">
        <f t="shared" ca="1" si="23"/>
        <v>46290</v>
      </c>
      <c r="Z942" s="35">
        <f t="shared" ca="1" si="24"/>
        <v>-547</v>
      </c>
      <c r="AA942" s="27">
        <f t="shared" si="25"/>
        <v>3</v>
      </c>
      <c r="AB942" s="27">
        <f t="shared" si="26"/>
        <v>2025</v>
      </c>
      <c r="AC942" s="28" t="s">
        <v>3893</v>
      </c>
      <c r="AD942" s="28" t="s">
        <v>3894</v>
      </c>
      <c r="AE942" s="27">
        <v>4500022851</v>
      </c>
      <c r="AF942" s="27" t="s">
        <v>339</v>
      </c>
      <c r="AG942" s="29" t="s">
        <v>3887</v>
      </c>
      <c r="AH942" s="28" t="s">
        <v>3888</v>
      </c>
      <c r="AI942" s="27"/>
      <c r="AJ942" s="27"/>
      <c r="AK942" s="27"/>
      <c r="AL942" s="27"/>
      <c r="AM942" s="27"/>
      <c r="AN942" s="27"/>
      <c r="AO942" s="27" t="s">
        <v>3895</v>
      </c>
      <c r="AP942" s="27" t="s">
        <v>3896</v>
      </c>
      <c r="AQ942" s="27"/>
      <c r="AR942" s="504"/>
      <c r="AS942" s="332" t="s">
        <v>3897</v>
      </c>
      <c r="AT942" s="160"/>
    </row>
    <row r="943" spans="1:46" ht="21.75" hidden="1" customHeight="1">
      <c r="A943" s="331">
        <v>942</v>
      </c>
      <c r="B943" s="28" t="s">
        <v>97</v>
      </c>
      <c r="C943" s="28" t="s">
        <v>3898</v>
      </c>
      <c r="D943" s="437" t="s">
        <v>3899</v>
      </c>
      <c r="E943" s="361" t="str">
        <f t="shared" ca="1" si="22"/>
        <v>LOSS</v>
      </c>
      <c r="F943" s="29"/>
      <c r="G943" s="28" t="s">
        <v>3900</v>
      </c>
      <c r="H943" s="29" t="s">
        <v>2748</v>
      </c>
      <c r="I943" s="29" t="s">
        <v>242</v>
      </c>
      <c r="J943" s="28" t="s">
        <v>3901</v>
      </c>
      <c r="K943" s="28"/>
      <c r="L943" s="27"/>
      <c r="M943" s="27"/>
      <c r="N943" s="29"/>
      <c r="O943" s="56"/>
      <c r="P943" s="31">
        <v>66000000</v>
      </c>
      <c r="Q943" s="31"/>
      <c r="R943" s="29" t="s">
        <v>3902</v>
      </c>
      <c r="S943" s="32">
        <v>24000000</v>
      </c>
      <c r="T943" s="33"/>
      <c r="U943" s="334">
        <v>44610</v>
      </c>
      <c r="V943" s="334">
        <v>44974</v>
      </c>
      <c r="W943" s="27" t="s">
        <v>250</v>
      </c>
      <c r="X943" s="27"/>
      <c r="Y943" s="34">
        <f t="shared" ca="1" si="23"/>
        <v>46290</v>
      </c>
      <c r="Z943" s="35">
        <f t="shared" ca="1" si="24"/>
        <v>-1316</v>
      </c>
      <c r="AA943" s="27">
        <f t="shared" si="25"/>
        <v>2</v>
      </c>
      <c r="AB943" s="27">
        <f t="shared" si="26"/>
        <v>2023</v>
      </c>
      <c r="AC943" s="28" t="s">
        <v>3903</v>
      </c>
      <c r="AD943" s="28" t="s">
        <v>3904</v>
      </c>
      <c r="AE943" s="27"/>
      <c r="AF943" s="27" t="s">
        <v>339</v>
      </c>
      <c r="AG943" s="29" t="s">
        <v>3887</v>
      </c>
      <c r="AH943" s="28" t="s">
        <v>3888</v>
      </c>
      <c r="AI943" s="27"/>
      <c r="AJ943" s="27"/>
      <c r="AK943" s="27"/>
      <c r="AL943" s="27"/>
      <c r="AM943" s="27"/>
      <c r="AN943" s="27" t="s">
        <v>3905</v>
      </c>
      <c r="AO943" s="27"/>
      <c r="AP943" s="27"/>
      <c r="AQ943" s="27"/>
      <c r="AR943" s="504"/>
      <c r="AS943" s="332" t="s">
        <v>3906</v>
      </c>
      <c r="AT943" s="160"/>
    </row>
    <row r="944" spans="1:46" ht="21.75" hidden="1" customHeight="1">
      <c r="A944" s="331">
        <v>943</v>
      </c>
      <c r="B944" s="28" t="s">
        <v>97</v>
      </c>
      <c r="C944" s="28" t="s">
        <v>3898</v>
      </c>
      <c r="D944" s="438" t="s">
        <v>3899</v>
      </c>
      <c r="E944" s="361" t="str">
        <f t="shared" ca="1" si="22"/>
        <v>LOSS</v>
      </c>
      <c r="F944" s="29"/>
      <c r="G944" s="28" t="s">
        <v>3900</v>
      </c>
      <c r="H944" s="29" t="s">
        <v>2748</v>
      </c>
      <c r="I944" s="29" t="s">
        <v>242</v>
      </c>
      <c r="J944" s="28" t="s">
        <v>3901</v>
      </c>
      <c r="K944" s="28"/>
      <c r="L944" s="27"/>
      <c r="M944" s="27"/>
      <c r="N944" s="29"/>
      <c r="O944" s="56"/>
      <c r="P944" s="31">
        <v>66000000</v>
      </c>
      <c r="Q944" s="31"/>
      <c r="R944" s="27"/>
      <c r="S944" s="32">
        <v>24000000</v>
      </c>
      <c r="T944" s="33"/>
      <c r="U944" s="334">
        <v>44975</v>
      </c>
      <c r="V944" s="334">
        <v>45705</v>
      </c>
      <c r="W944" s="27" t="s">
        <v>17</v>
      </c>
      <c r="X944" s="27"/>
      <c r="Y944" s="34">
        <f t="shared" ca="1" si="23"/>
        <v>46290</v>
      </c>
      <c r="Z944" s="35">
        <f t="shared" ca="1" si="24"/>
        <v>-585</v>
      </c>
      <c r="AA944" s="27">
        <f t="shared" si="25"/>
        <v>2</v>
      </c>
      <c r="AB944" s="27">
        <f t="shared" si="26"/>
        <v>2025</v>
      </c>
      <c r="AC944" s="28"/>
      <c r="AD944" s="28"/>
      <c r="AE944" s="27"/>
      <c r="AF944" s="27"/>
      <c r="AG944" s="29"/>
      <c r="AH944" s="28"/>
      <c r="AI944" s="27"/>
      <c r="AJ944" s="27"/>
      <c r="AK944" s="27"/>
      <c r="AL944" s="27"/>
      <c r="AM944" s="27"/>
      <c r="AN944" s="27"/>
      <c r="AO944" s="27"/>
      <c r="AP944" s="27"/>
      <c r="AQ944" s="27"/>
      <c r="AR944" s="504"/>
      <c r="AS944" s="332"/>
      <c r="AT944" s="160"/>
    </row>
    <row r="945" spans="1:46" ht="21.75" hidden="1" customHeight="1">
      <c r="A945" s="331">
        <v>944</v>
      </c>
      <c r="B945" s="28" t="s">
        <v>97</v>
      </c>
      <c r="C945" s="28" t="s">
        <v>3907</v>
      </c>
      <c r="D945" s="437" t="s">
        <v>2363</v>
      </c>
      <c r="E945" s="361" t="str">
        <f t="shared" ca="1" si="22"/>
        <v>LOSS</v>
      </c>
      <c r="F945" s="29"/>
      <c r="G945" s="28" t="s">
        <v>3908</v>
      </c>
      <c r="H945" s="29" t="s">
        <v>2748</v>
      </c>
      <c r="I945" s="29" t="s">
        <v>346</v>
      </c>
      <c r="J945" s="28" t="s">
        <v>1125</v>
      </c>
      <c r="K945" s="28"/>
      <c r="L945" s="27"/>
      <c r="M945" s="27"/>
      <c r="N945" s="29"/>
      <c r="O945" s="56"/>
      <c r="P945" s="31">
        <v>84000000</v>
      </c>
      <c r="Q945" s="31"/>
      <c r="R945" s="29" t="s">
        <v>3909</v>
      </c>
      <c r="S945" s="32">
        <v>2000000</v>
      </c>
      <c r="T945" s="33"/>
      <c r="U945" s="334">
        <v>43927</v>
      </c>
      <c r="V945" s="334">
        <v>44291</v>
      </c>
      <c r="W945" s="27" t="s">
        <v>250</v>
      </c>
      <c r="X945" s="27"/>
      <c r="Y945" s="34">
        <f t="shared" ca="1" si="23"/>
        <v>46290</v>
      </c>
      <c r="Z945" s="35">
        <f t="shared" ca="1" si="24"/>
        <v>-1999</v>
      </c>
      <c r="AA945" s="27">
        <f t="shared" si="25"/>
        <v>4</v>
      </c>
      <c r="AB945" s="27">
        <f t="shared" si="26"/>
        <v>2021</v>
      </c>
      <c r="AC945" s="28" t="s">
        <v>3910</v>
      </c>
      <c r="AD945" s="28" t="s">
        <v>1126</v>
      </c>
      <c r="AE945" s="27">
        <v>4500014194</v>
      </c>
      <c r="AF945" s="27" t="s">
        <v>339</v>
      </c>
      <c r="AG945" s="29" t="s">
        <v>3887</v>
      </c>
      <c r="AH945" s="28" t="s">
        <v>3888</v>
      </c>
      <c r="AI945" s="27"/>
      <c r="AJ945" s="27"/>
      <c r="AK945" s="27" t="s">
        <v>3911</v>
      </c>
      <c r="AL945" s="27" t="s">
        <v>3912</v>
      </c>
      <c r="AM945" s="27"/>
      <c r="AN945" s="27"/>
      <c r="AO945" s="27"/>
      <c r="AP945" s="27"/>
      <c r="AQ945" s="27"/>
      <c r="AR945" s="504"/>
      <c r="AS945" s="332" t="s">
        <v>3906</v>
      </c>
      <c r="AT945" s="160"/>
    </row>
    <row r="946" spans="1:46" ht="21.75" hidden="1" customHeight="1">
      <c r="A946" s="331">
        <v>945</v>
      </c>
      <c r="B946" s="28" t="s">
        <v>97</v>
      </c>
      <c r="C946" s="28" t="s">
        <v>3913</v>
      </c>
      <c r="D946" s="438" t="s">
        <v>2363</v>
      </c>
      <c r="E946" s="361" t="str">
        <f t="shared" ca="1" si="22"/>
        <v>LOSS</v>
      </c>
      <c r="F946" s="29"/>
      <c r="G946" s="28" t="s">
        <v>3914</v>
      </c>
      <c r="H946" s="29" t="s">
        <v>2748</v>
      </c>
      <c r="I946" s="29" t="s">
        <v>346</v>
      </c>
      <c r="J946" s="28" t="s">
        <v>784</v>
      </c>
      <c r="K946" s="28"/>
      <c r="L946" s="27"/>
      <c r="M946" s="27"/>
      <c r="N946" s="29"/>
      <c r="O946" s="56"/>
      <c r="P946" s="31">
        <v>84000000</v>
      </c>
      <c r="Q946" s="31"/>
      <c r="R946" s="27"/>
      <c r="S946" s="32">
        <v>2000000</v>
      </c>
      <c r="T946" s="33"/>
      <c r="U946" s="334">
        <v>44306</v>
      </c>
      <c r="V946" s="334">
        <v>44670</v>
      </c>
      <c r="W946" s="27" t="s">
        <v>245</v>
      </c>
      <c r="X946" s="27"/>
      <c r="Y946" s="34">
        <f t="shared" ca="1" si="23"/>
        <v>46290</v>
      </c>
      <c r="Z946" s="35">
        <f t="shared" ca="1" si="24"/>
        <v>-1620</v>
      </c>
      <c r="AA946" s="27">
        <f t="shared" si="25"/>
        <v>4</v>
      </c>
      <c r="AB946" s="27">
        <f t="shared" si="26"/>
        <v>2022</v>
      </c>
      <c r="AC946" s="28" t="s">
        <v>3915</v>
      </c>
      <c r="AD946" s="28" t="s">
        <v>3916</v>
      </c>
      <c r="AE946" s="27">
        <v>4500016056</v>
      </c>
      <c r="AF946" s="27" t="s">
        <v>339</v>
      </c>
      <c r="AG946" s="29" t="s">
        <v>3887</v>
      </c>
      <c r="AH946" s="28" t="s">
        <v>3888</v>
      </c>
      <c r="AI946" s="27"/>
      <c r="AJ946" s="27" t="s">
        <v>2769</v>
      </c>
      <c r="AK946" s="27" t="s">
        <v>3917</v>
      </c>
      <c r="AL946" s="27" t="s">
        <v>3918</v>
      </c>
      <c r="AM946" s="27" t="s">
        <v>3919</v>
      </c>
      <c r="AN946" s="27"/>
      <c r="AO946" s="27"/>
      <c r="AP946" s="27"/>
      <c r="AQ946" s="27"/>
      <c r="AR946" s="504"/>
      <c r="AS946" s="332" t="s">
        <v>3920</v>
      </c>
      <c r="AT946" s="160"/>
    </row>
    <row r="947" spans="1:46" ht="21.75" hidden="1" customHeight="1">
      <c r="A947" s="331">
        <v>946</v>
      </c>
      <c r="B947" s="28" t="s">
        <v>97</v>
      </c>
      <c r="C947" s="28" t="s">
        <v>3921</v>
      </c>
      <c r="D947" s="437" t="s">
        <v>2363</v>
      </c>
      <c r="E947" s="361" t="str">
        <f t="shared" ca="1" si="22"/>
        <v>LOSS</v>
      </c>
      <c r="F947" s="29"/>
      <c r="G947" s="28" t="s">
        <v>3922</v>
      </c>
      <c r="H947" s="29" t="s">
        <v>2748</v>
      </c>
      <c r="I947" s="29" t="s">
        <v>346</v>
      </c>
      <c r="J947" s="40" t="s">
        <v>3923</v>
      </c>
      <c r="K947" s="28"/>
      <c r="L947" s="27"/>
      <c r="M947" s="27"/>
      <c r="N947" s="29"/>
      <c r="O947" s="56"/>
      <c r="P947" s="31">
        <v>610200000</v>
      </c>
      <c r="Q947" s="31"/>
      <c r="R947" s="27"/>
      <c r="S947" s="32">
        <v>6000000</v>
      </c>
      <c r="T947" s="33"/>
      <c r="U947" s="334">
        <v>44855</v>
      </c>
      <c r="V947" s="334">
        <v>45219</v>
      </c>
      <c r="W947" s="27" t="s">
        <v>250</v>
      </c>
      <c r="X947" s="27"/>
      <c r="Y947" s="34">
        <f t="shared" ca="1" si="23"/>
        <v>46290</v>
      </c>
      <c r="Z947" s="35">
        <f t="shared" ca="1" si="24"/>
        <v>-1071</v>
      </c>
      <c r="AA947" s="27">
        <f t="shared" si="25"/>
        <v>10</v>
      </c>
      <c r="AB947" s="27">
        <f t="shared" si="26"/>
        <v>2023</v>
      </c>
      <c r="AC947" s="40" t="s">
        <v>3924</v>
      </c>
      <c r="AD947" s="28" t="s">
        <v>1900</v>
      </c>
      <c r="AE947" s="27">
        <v>4500018642</v>
      </c>
      <c r="AF947" s="27" t="s">
        <v>339</v>
      </c>
      <c r="AG947" s="29" t="s">
        <v>3887</v>
      </c>
      <c r="AH947" s="28" t="s">
        <v>3888</v>
      </c>
      <c r="AI947" s="27">
        <v>119</v>
      </c>
      <c r="AJ947" s="27" t="s">
        <v>3925</v>
      </c>
      <c r="AK947" s="27" t="s">
        <v>3926</v>
      </c>
      <c r="AL947" s="27" t="s">
        <v>3927</v>
      </c>
      <c r="AM947" s="27" t="s">
        <v>3928</v>
      </c>
      <c r="AN947" s="27" t="s">
        <v>3929</v>
      </c>
      <c r="AO947" s="27"/>
      <c r="AP947" s="27"/>
      <c r="AQ947" s="27"/>
      <c r="AR947" s="504"/>
      <c r="AS947" s="332" t="s">
        <v>3930</v>
      </c>
      <c r="AT947" s="160"/>
    </row>
    <row r="948" spans="1:46" ht="21.75" hidden="1" customHeight="1">
      <c r="A948" s="331">
        <v>947</v>
      </c>
      <c r="B948" s="28" t="s">
        <v>97</v>
      </c>
      <c r="C948" s="28" t="s">
        <v>3921</v>
      </c>
      <c r="D948" s="438" t="s">
        <v>2363</v>
      </c>
      <c r="E948" s="361" t="str">
        <f t="shared" ca="1" si="22"/>
        <v>LOSS</v>
      </c>
      <c r="F948" s="29"/>
      <c r="G948" s="28" t="s">
        <v>3922</v>
      </c>
      <c r="H948" s="29" t="s">
        <v>2748</v>
      </c>
      <c r="I948" s="160" t="s">
        <v>346</v>
      </c>
      <c r="J948" s="40" t="s">
        <v>3923</v>
      </c>
      <c r="K948" s="28"/>
      <c r="L948" s="27"/>
      <c r="M948" s="27"/>
      <c r="N948" s="29"/>
      <c r="O948" s="56"/>
      <c r="P948" s="31">
        <v>153600000</v>
      </c>
      <c r="Q948" s="31"/>
      <c r="R948" s="27"/>
      <c r="S948" s="32">
        <v>6000000</v>
      </c>
      <c r="T948" s="33"/>
      <c r="U948" s="334">
        <v>45220</v>
      </c>
      <c r="V948" s="334">
        <v>45950</v>
      </c>
      <c r="W948" s="27" t="s">
        <v>17</v>
      </c>
      <c r="X948" s="27"/>
      <c r="Y948" s="34">
        <f t="shared" ca="1" si="23"/>
        <v>46290</v>
      </c>
      <c r="Z948" s="35">
        <f t="shared" ca="1" si="24"/>
        <v>-340</v>
      </c>
      <c r="AA948" s="27">
        <f t="shared" si="25"/>
        <v>10</v>
      </c>
      <c r="AB948" s="27">
        <f t="shared" si="26"/>
        <v>2025</v>
      </c>
      <c r="AC948" s="28"/>
      <c r="AD948" s="28" t="s">
        <v>3931</v>
      </c>
      <c r="AE948" s="27">
        <v>4500023246</v>
      </c>
      <c r="AF948" s="27" t="s">
        <v>333</v>
      </c>
      <c r="AG948" s="29" t="s">
        <v>3887</v>
      </c>
      <c r="AH948" s="28" t="s">
        <v>3932</v>
      </c>
      <c r="AI948" s="27"/>
      <c r="AJ948" s="27"/>
      <c r="AK948" s="27"/>
      <c r="AL948" s="27"/>
      <c r="AM948" s="27"/>
      <c r="AN948" s="27"/>
      <c r="AO948" s="27"/>
      <c r="AP948" s="27" t="s">
        <v>3933</v>
      </c>
      <c r="AQ948" s="27"/>
      <c r="AR948" s="504"/>
      <c r="AS948" s="332"/>
      <c r="AT948" s="160"/>
    </row>
    <row r="949" spans="1:46" ht="21.75" hidden="1" customHeight="1">
      <c r="A949" s="331">
        <v>948</v>
      </c>
      <c r="B949" s="28" t="s">
        <v>97</v>
      </c>
      <c r="C949" s="28" t="s">
        <v>3934</v>
      </c>
      <c r="D949" s="437" t="s">
        <v>2363</v>
      </c>
      <c r="E949" s="361" t="str">
        <f t="shared" ca="1" si="22"/>
        <v>LOSS</v>
      </c>
      <c r="F949" s="29"/>
      <c r="G949" s="28" t="s">
        <v>3935</v>
      </c>
      <c r="H949" s="29" t="s">
        <v>2748</v>
      </c>
      <c r="I949" s="29" t="s">
        <v>242</v>
      </c>
      <c r="J949" s="28" t="s">
        <v>98</v>
      </c>
      <c r="K949" s="28"/>
      <c r="L949" s="27"/>
      <c r="M949" s="27"/>
      <c r="N949" s="29"/>
      <c r="O949" s="56"/>
      <c r="P949" s="31">
        <v>240000000</v>
      </c>
      <c r="Q949" s="31"/>
      <c r="R949" s="27"/>
      <c r="S949" s="32">
        <v>2000000</v>
      </c>
      <c r="T949" s="33"/>
      <c r="U949" s="334">
        <v>45323</v>
      </c>
      <c r="V949" s="334">
        <v>45688</v>
      </c>
      <c r="W949" s="27" t="s">
        <v>17</v>
      </c>
      <c r="X949" s="27"/>
      <c r="Y949" s="34">
        <f t="shared" ca="1" si="23"/>
        <v>46290</v>
      </c>
      <c r="Z949" s="35">
        <f t="shared" ca="1" si="24"/>
        <v>-602</v>
      </c>
      <c r="AA949" s="27">
        <f t="shared" si="25"/>
        <v>1</v>
      </c>
      <c r="AB949" s="27">
        <f t="shared" si="26"/>
        <v>2025</v>
      </c>
      <c r="AC949" s="28" t="s">
        <v>3936</v>
      </c>
      <c r="AD949" s="28" t="s">
        <v>3937</v>
      </c>
      <c r="AE949" s="27">
        <v>4500022911</v>
      </c>
      <c r="AF949" s="27" t="s">
        <v>333</v>
      </c>
      <c r="AG949" s="29" t="s">
        <v>3887</v>
      </c>
      <c r="AH949" s="28" t="s">
        <v>3888</v>
      </c>
      <c r="AI949" s="27" t="s">
        <v>115</v>
      </c>
      <c r="AJ949" s="27" t="s">
        <v>3938</v>
      </c>
      <c r="AK949" s="27" t="s">
        <v>3939</v>
      </c>
      <c r="AL949" s="27" t="s">
        <v>3940</v>
      </c>
      <c r="AM949" s="27" t="s">
        <v>3941</v>
      </c>
      <c r="AN949" s="27"/>
      <c r="AO949" s="27" t="s">
        <v>3942</v>
      </c>
      <c r="AP949" s="27" t="s">
        <v>3943</v>
      </c>
      <c r="AQ949" s="27"/>
      <c r="AR949" s="504"/>
      <c r="AS949" s="332" t="s">
        <v>3944</v>
      </c>
      <c r="AT949" s="160"/>
    </row>
    <row r="950" spans="1:46" ht="21.75" hidden="1" customHeight="1">
      <c r="A950" s="331">
        <v>949</v>
      </c>
      <c r="B950" s="28" t="s">
        <v>97</v>
      </c>
      <c r="C950" s="28" t="s">
        <v>3945</v>
      </c>
      <c r="D950" s="438" t="s">
        <v>3946</v>
      </c>
      <c r="E950" s="361" t="str">
        <f t="shared" ca="1" si="22"/>
        <v>LOSS</v>
      </c>
      <c r="F950" s="29"/>
      <c r="G950" s="28" t="s">
        <v>3947</v>
      </c>
      <c r="H950" s="29" t="s">
        <v>2748</v>
      </c>
      <c r="I950" s="29" t="s">
        <v>242</v>
      </c>
      <c r="J950" s="28" t="s">
        <v>2533</v>
      </c>
      <c r="K950" s="28"/>
      <c r="L950" s="27"/>
      <c r="M950" s="27"/>
      <c r="N950" s="29"/>
      <c r="O950" s="56"/>
      <c r="P950" s="31">
        <v>72000000</v>
      </c>
      <c r="Q950" s="31"/>
      <c r="R950" s="27" t="s">
        <v>3948</v>
      </c>
      <c r="S950" s="32">
        <v>12000000</v>
      </c>
      <c r="T950" s="33"/>
      <c r="U950" s="334">
        <v>44602</v>
      </c>
      <c r="V950" s="334">
        <v>44966</v>
      </c>
      <c r="W950" s="27" t="s">
        <v>245</v>
      </c>
      <c r="X950" s="27"/>
      <c r="Y950" s="34">
        <f t="shared" ca="1" si="23"/>
        <v>46290</v>
      </c>
      <c r="Z950" s="35">
        <f t="shared" ca="1" si="24"/>
        <v>-1324</v>
      </c>
      <c r="AA950" s="27">
        <f t="shared" si="25"/>
        <v>2</v>
      </c>
      <c r="AB950" s="27">
        <f t="shared" si="26"/>
        <v>2023</v>
      </c>
      <c r="AC950" s="28" t="s">
        <v>479</v>
      </c>
      <c r="AD950" s="28" t="s">
        <v>2534</v>
      </c>
      <c r="AE950" s="27">
        <v>4500017633</v>
      </c>
      <c r="AF950" s="27" t="s">
        <v>339</v>
      </c>
      <c r="AG950" s="29" t="s">
        <v>3887</v>
      </c>
      <c r="AH950" s="28" t="s">
        <v>3888</v>
      </c>
      <c r="AI950" s="27"/>
      <c r="AJ950" s="27"/>
      <c r="AK950" s="27"/>
      <c r="AL950" s="27"/>
      <c r="AM950" s="27"/>
      <c r="AN950" s="27" t="s">
        <v>3949</v>
      </c>
      <c r="AO950" s="27"/>
      <c r="AP950" s="27"/>
      <c r="AQ950" s="27"/>
      <c r="AR950" s="504"/>
      <c r="AS950" s="332" t="s">
        <v>3906</v>
      </c>
      <c r="AT950" s="160"/>
    </row>
    <row r="951" spans="1:46" ht="21.75" hidden="1" customHeight="1">
      <c r="A951" s="331">
        <v>950</v>
      </c>
      <c r="B951" s="28" t="s">
        <v>97</v>
      </c>
      <c r="C951" s="28" t="s">
        <v>2803</v>
      </c>
      <c r="D951" s="437" t="s">
        <v>2363</v>
      </c>
      <c r="E951" s="361" t="str">
        <f t="shared" ca="1" si="22"/>
        <v>LOSS</v>
      </c>
      <c r="F951" s="29"/>
      <c r="G951" s="28" t="s">
        <v>3950</v>
      </c>
      <c r="H951" s="29" t="s">
        <v>2748</v>
      </c>
      <c r="I951" s="29" t="s">
        <v>242</v>
      </c>
      <c r="J951" s="28" t="s">
        <v>3951</v>
      </c>
      <c r="K951" s="28"/>
      <c r="L951" s="27"/>
      <c r="M951" s="27"/>
      <c r="N951" s="29"/>
      <c r="O951" s="56"/>
      <c r="P951" s="31">
        <v>42000000</v>
      </c>
      <c r="Q951" s="31"/>
      <c r="R951" s="27"/>
      <c r="S951" s="32">
        <v>6000000</v>
      </c>
      <c r="T951" s="33"/>
      <c r="U951" s="334">
        <v>44866</v>
      </c>
      <c r="V951" s="334">
        <v>45230</v>
      </c>
      <c r="W951" s="27" t="s">
        <v>250</v>
      </c>
      <c r="X951" s="27"/>
      <c r="Y951" s="34">
        <f t="shared" ca="1" si="23"/>
        <v>46290</v>
      </c>
      <c r="Z951" s="35">
        <f t="shared" ca="1" si="24"/>
        <v>-1060</v>
      </c>
      <c r="AA951" s="27">
        <f t="shared" si="25"/>
        <v>10</v>
      </c>
      <c r="AB951" s="27">
        <f t="shared" si="26"/>
        <v>2023</v>
      </c>
      <c r="AC951" s="28" t="s">
        <v>3952</v>
      </c>
      <c r="AD951" s="28" t="s">
        <v>3953</v>
      </c>
      <c r="AE951" s="27"/>
      <c r="AF951" s="27" t="s">
        <v>339</v>
      </c>
      <c r="AG951" s="29" t="s">
        <v>3887</v>
      </c>
      <c r="AH951" s="28" t="s">
        <v>3888</v>
      </c>
      <c r="AI951" s="27"/>
      <c r="AJ951" s="27" t="s">
        <v>3954</v>
      </c>
      <c r="AK951" s="27"/>
      <c r="AL951" s="27" t="s">
        <v>3955</v>
      </c>
      <c r="AM951" s="27"/>
      <c r="AN951" s="27"/>
      <c r="AO951" s="27"/>
      <c r="AP951" s="27"/>
      <c r="AQ951" s="27"/>
      <c r="AR951" s="504"/>
      <c r="AS951" s="332" t="s">
        <v>3906</v>
      </c>
      <c r="AT951" s="160"/>
    </row>
    <row r="952" spans="1:46" ht="21.75" hidden="1" customHeight="1">
      <c r="A952" s="331">
        <v>951</v>
      </c>
      <c r="B952" s="28" t="s">
        <v>97</v>
      </c>
      <c r="C952" s="28" t="s">
        <v>3956</v>
      </c>
      <c r="D952" s="438" t="s">
        <v>3946</v>
      </c>
      <c r="E952" s="361" t="str">
        <f t="shared" ca="1" si="22"/>
        <v>LOSS</v>
      </c>
      <c r="F952" s="29"/>
      <c r="G952" s="28" t="s">
        <v>2365</v>
      </c>
      <c r="H952" s="29" t="s">
        <v>2748</v>
      </c>
      <c r="I952" s="29" t="s">
        <v>242</v>
      </c>
      <c r="J952" s="28" t="s">
        <v>99</v>
      </c>
      <c r="K952" s="28"/>
      <c r="L952" s="27"/>
      <c r="M952" s="27"/>
      <c r="N952" s="29"/>
      <c r="O952" s="56"/>
      <c r="P952" s="31">
        <v>143400000</v>
      </c>
      <c r="Q952" s="31"/>
      <c r="R952" s="27"/>
      <c r="S952" s="32">
        <v>12000000</v>
      </c>
      <c r="T952" s="33"/>
      <c r="U952" s="334">
        <v>44696</v>
      </c>
      <c r="V952" s="334">
        <v>45060</v>
      </c>
      <c r="W952" s="27" t="s">
        <v>250</v>
      </c>
      <c r="X952" s="27"/>
      <c r="Y952" s="34">
        <f t="shared" ca="1" si="23"/>
        <v>46290</v>
      </c>
      <c r="Z952" s="35">
        <f t="shared" ca="1" si="24"/>
        <v>-1230</v>
      </c>
      <c r="AA952" s="27">
        <f t="shared" si="25"/>
        <v>5</v>
      </c>
      <c r="AB952" s="27">
        <f t="shared" si="26"/>
        <v>2023</v>
      </c>
      <c r="AC952" s="28" t="s">
        <v>3957</v>
      </c>
      <c r="AD952" s="28" t="s">
        <v>2366</v>
      </c>
      <c r="AE952" s="27">
        <v>4500018096</v>
      </c>
      <c r="AF952" s="27" t="s">
        <v>339</v>
      </c>
      <c r="AG952" s="29" t="s">
        <v>3887</v>
      </c>
      <c r="AH952" s="28" t="s">
        <v>3888</v>
      </c>
      <c r="AI952" s="27"/>
      <c r="AJ952" s="27"/>
      <c r="AK952" s="27" t="s">
        <v>3958</v>
      </c>
      <c r="AL952" s="27" t="s">
        <v>3959</v>
      </c>
      <c r="AM952" s="27" t="s">
        <v>3960</v>
      </c>
      <c r="AN952" s="27" t="s">
        <v>3961</v>
      </c>
      <c r="AO952" s="27"/>
      <c r="AP952" s="27"/>
      <c r="AQ952" s="27"/>
      <c r="AR952" s="504"/>
      <c r="AS952" s="332" t="s">
        <v>3906</v>
      </c>
      <c r="AT952" s="160"/>
    </row>
    <row r="953" spans="1:46" ht="21.75" hidden="1" customHeight="1">
      <c r="A953" s="331">
        <v>952</v>
      </c>
      <c r="B953" s="28" t="s">
        <v>97</v>
      </c>
      <c r="C953" s="28" t="s">
        <v>3956</v>
      </c>
      <c r="D953" s="437" t="s">
        <v>3946</v>
      </c>
      <c r="E953" s="361" t="str">
        <f t="shared" ca="1" si="22"/>
        <v>LOSS</v>
      </c>
      <c r="F953" s="29"/>
      <c r="G953" s="28" t="s">
        <v>2365</v>
      </c>
      <c r="H953" s="29" t="s">
        <v>2748</v>
      </c>
      <c r="I953" s="29" t="s">
        <v>242</v>
      </c>
      <c r="J953" s="28" t="s">
        <v>99</v>
      </c>
      <c r="K953" s="28"/>
      <c r="L953" s="27"/>
      <c r="M953" s="27"/>
      <c r="N953" s="29"/>
      <c r="O953" s="56"/>
      <c r="P953" s="31">
        <v>143400000</v>
      </c>
      <c r="Q953" s="31"/>
      <c r="R953" s="27"/>
      <c r="S953" s="32">
        <v>12000000</v>
      </c>
      <c r="T953" s="33"/>
      <c r="U953" s="334">
        <v>45061</v>
      </c>
      <c r="V953" s="334">
        <v>45426</v>
      </c>
      <c r="W953" s="27" t="s">
        <v>250</v>
      </c>
      <c r="X953" s="27"/>
      <c r="Y953" s="34">
        <f t="shared" ca="1" si="23"/>
        <v>46290</v>
      </c>
      <c r="Z953" s="35">
        <f t="shared" ca="1" si="24"/>
        <v>-864</v>
      </c>
      <c r="AA953" s="27">
        <f t="shared" si="25"/>
        <v>5</v>
      </c>
      <c r="AB953" s="27">
        <f t="shared" si="26"/>
        <v>2024</v>
      </c>
      <c r="AC953" s="28"/>
      <c r="AD953" s="28" t="s">
        <v>2458</v>
      </c>
      <c r="AE953" s="27">
        <v>4500023013</v>
      </c>
      <c r="AF953" s="27" t="s">
        <v>333</v>
      </c>
      <c r="AG953" s="29" t="s">
        <v>3887</v>
      </c>
      <c r="AH953" s="28" t="s">
        <v>3932</v>
      </c>
      <c r="AI953" s="27"/>
      <c r="AJ953" s="27"/>
      <c r="AK953" s="27"/>
      <c r="AL953" s="27"/>
      <c r="AM953" s="27"/>
      <c r="AN953" s="27"/>
      <c r="AO953" s="27"/>
      <c r="AP953" s="27"/>
      <c r="AQ953" s="27"/>
      <c r="AR953" s="504"/>
      <c r="AS953" s="332"/>
      <c r="AT953" s="160"/>
    </row>
    <row r="954" spans="1:46" ht="21.75" hidden="1" customHeight="1">
      <c r="A954" s="331">
        <v>953</v>
      </c>
      <c r="B954" s="28" t="s">
        <v>97</v>
      </c>
      <c r="C954" s="28" t="s">
        <v>3956</v>
      </c>
      <c r="D954" s="438" t="s">
        <v>3946</v>
      </c>
      <c r="E954" s="361" t="str">
        <f t="shared" ca="1" si="22"/>
        <v>LOSS</v>
      </c>
      <c r="F954" s="29"/>
      <c r="G954" s="28" t="s">
        <v>2365</v>
      </c>
      <c r="H954" s="29" t="s">
        <v>2748</v>
      </c>
      <c r="I954" s="29" t="s">
        <v>242</v>
      </c>
      <c r="J954" s="28" t="s">
        <v>99</v>
      </c>
      <c r="K954" s="28"/>
      <c r="L954" s="27"/>
      <c r="M954" s="27"/>
      <c r="N954" s="29"/>
      <c r="O954" s="56"/>
      <c r="P954" s="31">
        <v>143400000</v>
      </c>
      <c r="Q954" s="31"/>
      <c r="R954" s="27"/>
      <c r="S954" s="32">
        <v>12000000</v>
      </c>
      <c r="T954" s="33"/>
      <c r="U954" s="334">
        <v>45427</v>
      </c>
      <c r="V954" s="334">
        <v>45791</v>
      </c>
      <c r="W954" s="27" t="s">
        <v>250</v>
      </c>
      <c r="X954" s="27"/>
      <c r="Y954" s="34">
        <f t="shared" ca="1" si="23"/>
        <v>46290</v>
      </c>
      <c r="Z954" s="35">
        <f t="shared" ca="1" si="24"/>
        <v>-499</v>
      </c>
      <c r="AA954" s="27">
        <f t="shared" si="25"/>
        <v>5</v>
      </c>
      <c r="AB954" s="27">
        <f t="shared" si="26"/>
        <v>2025</v>
      </c>
      <c r="AC954" s="28"/>
      <c r="AD954" s="28"/>
      <c r="AE954" s="27"/>
      <c r="AF954" s="27" t="s">
        <v>333</v>
      </c>
      <c r="AG954" s="29" t="s">
        <v>3887</v>
      </c>
      <c r="AH954" s="28" t="s">
        <v>3962</v>
      </c>
      <c r="AI954" s="27"/>
      <c r="AJ954" s="27"/>
      <c r="AK954" s="27"/>
      <c r="AL954" s="27"/>
      <c r="AM954" s="27"/>
      <c r="AN954" s="27"/>
      <c r="AO954" s="27" t="s">
        <v>2459</v>
      </c>
      <c r="AP954" s="27"/>
      <c r="AQ954" s="27"/>
      <c r="AR954" s="504"/>
      <c r="AS954" s="332"/>
      <c r="AT954" s="160"/>
    </row>
    <row r="955" spans="1:46" ht="21.75" hidden="1" customHeight="1">
      <c r="A955" s="331">
        <v>954</v>
      </c>
      <c r="B955" s="28" t="s">
        <v>97</v>
      </c>
      <c r="C955" s="28" t="s">
        <v>3963</v>
      </c>
      <c r="D955" s="437" t="s">
        <v>2363</v>
      </c>
      <c r="E955" s="361" t="str">
        <f t="shared" ca="1" si="22"/>
        <v>LOSS</v>
      </c>
      <c r="F955" s="29"/>
      <c r="G955" s="28" t="s">
        <v>3964</v>
      </c>
      <c r="H955" s="29" t="s">
        <v>2748</v>
      </c>
      <c r="I955" s="29" t="s">
        <v>346</v>
      </c>
      <c r="J955" s="28" t="s">
        <v>992</v>
      </c>
      <c r="K955" s="28"/>
      <c r="L955" s="27"/>
      <c r="M955" s="27"/>
      <c r="N955" s="29"/>
      <c r="O955" s="56"/>
      <c r="P955" s="31">
        <v>222000000</v>
      </c>
      <c r="Q955" s="31"/>
      <c r="R955" s="27"/>
      <c r="S955" s="32">
        <v>2000000</v>
      </c>
      <c r="T955" s="33"/>
      <c r="U955" s="334">
        <v>44927</v>
      </c>
      <c r="V955" s="334">
        <v>45291</v>
      </c>
      <c r="W955" s="27" t="s">
        <v>250</v>
      </c>
      <c r="X955" s="27"/>
      <c r="Y955" s="34">
        <f t="shared" ca="1" si="23"/>
        <v>46290</v>
      </c>
      <c r="Z955" s="35">
        <f t="shared" ca="1" si="24"/>
        <v>-999</v>
      </c>
      <c r="AA955" s="27">
        <f t="shared" si="25"/>
        <v>12</v>
      </c>
      <c r="AB955" s="27">
        <f t="shared" si="26"/>
        <v>2023</v>
      </c>
      <c r="AC955" s="28" t="s">
        <v>3965</v>
      </c>
      <c r="AD955" s="28" t="s">
        <v>3966</v>
      </c>
      <c r="AE955" s="27">
        <v>4500019550</v>
      </c>
      <c r="AF955" s="27" t="s">
        <v>339</v>
      </c>
      <c r="AG955" s="29" t="s">
        <v>3887</v>
      </c>
      <c r="AH955" s="28" t="s">
        <v>3888</v>
      </c>
      <c r="AI955" s="27"/>
      <c r="AJ955" s="27" t="s">
        <v>3967</v>
      </c>
      <c r="AK955" s="27" t="s">
        <v>3968</v>
      </c>
      <c r="AL955" s="27" t="s">
        <v>3969</v>
      </c>
      <c r="AM955" s="27" t="s">
        <v>3970</v>
      </c>
      <c r="AN955" s="27" t="s">
        <v>3971</v>
      </c>
      <c r="AO955" s="27" t="s">
        <v>3972</v>
      </c>
      <c r="AP955" s="27"/>
      <c r="AQ955" s="27"/>
      <c r="AR955" s="504"/>
      <c r="AS955" s="332" t="s">
        <v>3906</v>
      </c>
      <c r="AT955" s="160"/>
    </row>
    <row r="956" spans="1:46" ht="21.75" hidden="1" customHeight="1">
      <c r="A956" s="331">
        <v>955</v>
      </c>
      <c r="B956" s="28" t="s">
        <v>97</v>
      </c>
      <c r="C956" s="28" t="s">
        <v>3973</v>
      </c>
      <c r="D956" s="438" t="s">
        <v>3946</v>
      </c>
      <c r="E956" s="361" t="str">
        <f t="shared" ca="1" si="22"/>
        <v>LOSS</v>
      </c>
      <c r="F956" s="29"/>
      <c r="G956" s="28" t="s">
        <v>3964</v>
      </c>
      <c r="H956" s="29" t="s">
        <v>2748</v>
      </c>
      <c r="I956" s="29" t="s">
        <v>346</v>
      </c>
      <c r="J956" s="28" t="s">
        <v>3974</v>
      </c>
      <c r="K956" s="28"/>
      <c r="L956" s="27"/>
      <c r="M956" s="27"/>
      <c r="N956" s="29"/>
      <c r="O956" s="56"/>
      <c r="P956" s="31">
        <v>276000000</v>
      </c>
      <c r="Q956" s="31"/>
      <c r="R956" s="27"/>
      <c r="S956" s="32">
        <v>2000000</v>
      </c>
      <c r="T956" s="33"/>
      <c r="U956" s="334">
        <v>44621</v>
      </c>
      <c r="V956" s="334">
        <v>44985</v>
      </c>
      <c r="W956" s="27" t="s">
        <v>250</v>
      </c>
      <c r="X956" s="27"/>
      <c r="Y956" s="34">
        <f t="shared" ca="1" si="23"/>
        <v>46290</v>
      </c>
      <c r="Z956" s="35">
        <f t="shared" ca="1" si="24"/>
        <v>-1305</v>
      </c>
      <c r="AA956" s="27">
        <f t="shared" si="25"/>
        <v>2</v>
      </c>
      <c r="AB956" s="27">
        <f t="shared" si="26"/>
        <v>2023</v>
      </c>
      <c r="AC956" s="28" t="s">
        <v>3975</v>
      </c>
      <c r="AD956" s="28" t="s">
        <v>3976</v>
      </c>
      <c r="AE956" s="27">
        <v>4500019958</v>
      </c>
      <c r="AF956" s="27" t="s">
        <v>339</v>
      </c>
      <c r="AG956" s="29" t="s">
        <v>3887</v>
      </c>
      <c r="AH956" s="28" t="s">
        <v>3888</v>
      </c>
      <c r="AI956" s="27">
        <v>58</v>
      </c>
      <c r="AJ956" s="27" t="s">
        <v>3977</v>
      </c>
      <c r="AK956" s="27" t="s">
        <v>3978</v>
      </c>
      <c r="AL956" s="27" t="s">
        <v>3979</v>
      </c>
      <c r="AM956" s="27" t="s">
        <v>3980</v>
      </c>
      <c r="AN956" s="27"/>
      <c r="AO956" s="27"/>
      <c r="AP956" s="27"/>
      <c r="AQ956" s="27"/>
      <c r="AR956" s="504"/>
      <c r="AS956" s="332" t="s">
        <v>3906</v>
      </c>
      <c r="AT956" s="160"/>
    </row>
    <row r="957" spans="1:46" ht="21.75" hidden="1" customHeight="1">
      <c r="A957" s="331">
        <v>956</v>
      </c>
      <c r="B957" s="28" t="s">
        <v>97</v>
      </c>
      <c r="C957" s="28" t="s">
        <v>858</v>
      </c>
      <c r="D957" s="437" t="s">
        <v>2363</v>
      </c>
      <c r="E957" s="361" t="str">
        <f t="shared" ca="1" si="22"/>
        <v>LOSS</v>
      </c>
      <c r="F957" s="29"/>
      <c r="G957" s="28" t="s">
        <v>3964</v>
      </c>
      <c r="H957" s="29" t="s">
        <v>2748</v>
      </c>
      <c r="I957" s="29" t="s">
        <v>242</v>
      </c>
      <c r="J957" s="28" t="s">
        <v>860</v>
      </c>
      <c r="K957" s="28"/>
      <c r="L957" s="27"/>
      <c r="M957" s="27"/>
      <c r="N957" s="29"/>
      <c r="O957" s="56"/>
      <c r="P957" s="31">
        <v>240000000</v>
      </c>
      <c r="Q957" s="31"/>
      <c r="R957" s="27"/>
      <c r="S957" s="32">
        <v>2000000</v>
      </c>
      <c r="T957" s="33"/>
      <c r="U957" s="334">
        <v>44927</v>
      </c>
      <c r="V957" s="334">
        <v>45657</v>
      </c>
      <c r="W957" s="27" t="s">
        <v>17</v>
      </c>
      <c r="X957" s="27"/>
      <c r="Y957" s="34">
        <f t="shared" ca="1" si="23"/>
        <v>46290</v>
      </c>
      <c r="Z957" s="35">
        <f t="shared" ca="1" si="24"/>
        <v>-633</v>
      </c>
      <c r="AA957" s="27">
        <f t="shared" si="25"/>
        <v>12</v>
      </c>
      <c r="AB957" s="27">
        <f t="shared" si="26"/>
        <v>2024</v>
      </c>
      <c r="AC957" s="28" t="s">
        <v>3981</v>
      </c>
      <c r="AD957" s="28" t="s">
        <v>3982</v>
      </c>
      <c r="AE957" s="27">
        <v>4500019924</v>
      </c>
      <c r="AF957" s="27" t="s">
        <v>339</v>
      </c>
      <c r="AG957" s="29" t="s">
        <v>3887</v>
      </c>
      <c r="AH957" s="28" t="s">
        <v>3888</v>
      </c>
      <c r="AI957" s="27"/>
      <c r="AJ957" s="27" t="s">
        <v>3983</v>
      </c>
      <c r="AK957" s="27"/>
      <c r="AL957" s="27" t="s">
        <v>3984</v>
      </c>
      <c r="AM957" s="27" t="s">
        <v>3985</v>
      </c>
      <c r="AN957" s="27"/>
      <c r="AO957" s="27" t="s">
        <v>3986</v>
      </c>
      <c r="AP957" s="27"/>
      <c r="AQ957" s="27"/>
      <c r="AR957" s="504"/>
      <c r="AS957" s="332"/>
      <c r="AT957" s="160"/>
    </row>
    <row r="958" spans="1:46" ht="21.75" hidden="1" customHeight="1">
      <c r="A958" s="331">
        <v>957</v>
      </c>
      <c r="B958" s="28" t="s">
        <v>97</v>
      </c>
      <c r="C958" s="28" t="s">
        <v>1549</v>
      </c>
      <c r="D958" s="438" t="s">
        <v>2363</v>
      </c>
      <c r="E958" s="361" t="str">
        <f t="shared" ca="1" si="22"/>
        <v>LOSS</v>
      </c>
      <c r="F958" s="29"/>
      <c r="G958" s="28" t="s">
        <v>3987</v>
      </c>
      <c r="H958" s="29" t="s">
        <v>2748</v>
      </c>
      <c r="I958" s="29" t="s">
        <v>242</v>
      </c>
      <c r="J958" s="28" t="s">
        <v>2463</v>
      </c>
      <c r="K958" s="28"/>
      <c r="L958" s="27"/>
      <c r="M958" s="27"/>
      <c r="N958" s="29"/>
      <c r="O958" s="56"/>
      <c r="P958" s="31">
        <v>66000000</v>
      </c>
      <c r="Q958" s="31"/>
      <c r="R958" s="27"/>
      <c r="S958" s="32">
        <v>24000000</v>
      </c>
      <c r="T958" s="33"/>
      <c r="U958" s="334">
        <v>44582</v>
      </c>
      <c r="V958" s="334">
        <v>44946</v>
      </c>
      <c r="W958" s="27" t="s">
        <v>245</v>
      </c>
      <c r="X958" s="27"/>
      <c r="Y958" s="34">
        <f t="shared" ca="1" si="23"/>
        <v>46290</v>
      </c>
      <c r="Z958" s="35">
        <f t="shared" ca="1" si="24"/>
        <v>-1344</v>
      </c>
      <c r="AA958" s="27">
        <f t="shared" si="25"/>
        <v>1</v>
      </c>
      <c r="AB958" s="27">
        <f t="shared" si="26"/>
        <v>2023</v>
      </c>
      <c r="AC958" s="28" t="s">
        <v>479</v>
      </c>
      <c r="AD958" s="28" t="s">
        <v>3988</v>
      </c>
      <c r="AE958" s="27">
        <v>4500017503</v>
      </c>
      <c r="AF958" s="27" t="s">
        <v>339</v>
      </c>
      <c r="AG958" s="29" t="s">
        <v>3887</v>
      </c>
      <c r="AH958" s="28" t="s">
        <v>3888</v>
      </c>
      <c r="AI958" s="27"/>
      <c r="AJ958" s="27"/>
      <c r="AK958" s="27"/>
      <c r="AL958" s="27"/>
      <c r="AM958" s="27"/>
      <c r="AN958" s="27" t="s">
        <v>3989</v>
      </c>
      <c r="AO958" s="27"/>
      <c r="AP958" s="27"/>
      <c r="AQ958" s="27"/>
      <c r="AR958" s="504"/>
      <c r="AS958" s="332" t="s">
        <v>3990</v>
      </c>
      <c r="AT958" s="160"/>
    </row>
    <row r="959" spans="1:46" ht="21.75" hidden="1" customHeight="1">
      <c r="A959" s="331">
        <v>958</v>
      </c>
      <c r="B959" s="28" t="s">
        <v>97</v>
      </c>
      <c r="C959" s="28" t="s">
        <v>3898</v>
      </c>
      <c r="D959" s="437" t="s">
        <v>2363</v>
      </c>
      <c r="E959" s="361" t="str">
        <f t="shared" ca="1" si="22"/>
        <v>LOSS</v>
      </c>
      <c r="F959" s="29"/>
      <c r="G959" s="28" t="s">
        <v>3991</v>
      </c>
      <c r="H959" s="29" t="s">
        <v>2748</v>
      </c>
      <c r="I959" s="29" t="s">
        <v>242</v>
      </c>
      <c r="J959" s="28" t="s">
        <v>942</v>
      </c>
      <c r="K959" s="28"/>
      <c r="L959" s="27"/>
      <c r="M959" s="27"/>
      <c r="N959" s="29"/>
      <c r="O959" s="56"/>
      <c r="P959" s="31">
        <v>63360000</v>
      </c>
      <c r="Q959" s="31"/>
      <c r="R959" s="27"/>
      <c r="S959" s="32">
        <v>25000000</v>
      </c>
      <c r="T959" s="33"/>
      <c r="U959" s="334">
        <v>43894</v>
      </c>
      <c r="V959" s="334">
        <v>44258</v>
      </c>
      <c r="W959" s="27" t="s">
        <v>250</v>
      </c>
      <c r="X959" s="27"/>
      <c r="Y959" s="34">
        <f t="shared" ca="1" si="23"/>
        <v>46290</v>
      </c>
      <c r="Z959" s="35">
        <f t="shared" ca="1" si="24"/>
        <v>-2032</v>
      </c>
      <c r="AA959" s="27">
        <f t="shared" si="25"/>
        <v>3</v>
      </c>
      <c r="AB959" s="27">
        <f t="shared" si="26"/>
        <v>2021</v>
      </c>
      <c r="AC959" s="28" t="s">
        <v>479</v>
      </c>
      <c r="AD959" s="28" t="s">
        <v>943</v>
      </c>
      <c r="AE959" s="27">
        <v>4500014024</v>
      </c>
      <c r="AF959" s="27" t="s">
        <v>339</v>
      </c>
      <c r="AG959" s="29" t="s">
        <v>3887</v>
      </c>
      <c r="AH959" s="28" t="s">
        <v>3888</v>
      </c>
      <c r="AI959" s="27"/>
      <c r="AJ959" s="27"/>
      <c r="AK959" s="27"/>
      <c r="AL959" s="27" t="s">
        <v>3992</v>
      </c>
      <c r="AM959" s="27"/>
      <c r="AN959" s="27"/>
      <c r="AO959" s="27"/>
      <c r="AP959" s="27"/>
      <c r="AQ959" s="27"/>
      <c r="AR959" s="504"/>
      <c r="AS959" s="332"/>
      <c r="AT959" s="160"/>
    </row>
    <row r="960" spans="1:46" ht="21.75" hidden="1" customHeight="1">
      <c r="A960" s="331">
        <v>959</v>
      </c>
      <c r="B960" s="28" t="s">
        <v>97</v>
      </c>
      <c r="C960" s="28" t="s">
        <v>3993</v>
      </c>
      <c r="D960" s="438" t="s">
        <v>2363</v>
      </c>
      <c r="E960" s="361" t="str">
        <f t="shared" ca="1" si="22"/>
        <v>LOSS</v>
      </c>
      <c r="F960" s="29"/>
      <c r="G960" s="28" t="s">
        <v>3994</v>
      </c>
      <c r="H960" s="29" t="s">
        <v>2748</v>
      </c>
      <c r="I960" s="29" t="s">
        <v>242</v>
      </c>
      <c r="J960" s="28" t="s">
        <v>3995</v>
      </c>
      <c r="K960" s="28"/>
      <c r="L960" s="27"/>
      <c r="M960" s="27"/>
      <c r="N960" s="29"/>
      <c r="O960" s="56"/>
      <c r="P960" s="31">
        <f>12*1727273</f>
        <v>20727276</v>
      </c>
      <c r="Q960" s="31"/>
      <c r="R960" s="27"/>
      <c r="S960" s="32">
        <v>24000000</v>
      </c>
      <c r="T960" s="33"/>
      <c r="U960" s="334">
        <v>45002</v>
      </c>
      <c r="V960" s="334">
        <v>45367</v>
      </c>
      <c r="W960" s="27" t="s">
        <v>17</v>
      </c>
      <c r="X960" s="27" t="s">
        <v>306</v>
      </c>
      <c r="Y960" s="34">
        <f t="shared" ca="1" si="23"/>
        <v>46290</v>
      </c>
      <c r="Z960" s="35">
        <f t="shared" ca="1" si="24"/>
        <v>-923</v>
      </c>
      <c r="AA960" s="27">
        <f t="shared" si="25"/>
        <v>3</v>
      </c>
      <c r="AB960" s="27">
        <f t="shared" si="26"/>
        <v>2024</v>
      </c>
      <c r="AC960" s="28" t="s">
        <v>479</v>
      </c>
      <c r="AD960" s="28" t="s">
        <v>3996</v>
      </c>
      <c r="AE960" s="27">
        <v>4500020243</v>
      </c>
      <c r="AF960" s="27" t="s">
        <v>339</v>
      </c>
      <c r="AG960" s="29" t="s">
        <v>3887</v>
      </c>
      <c r="AH960" s="28" t="s">
        <v>3888</v>
      </c>
      <c r="AI960" s="27"/>
      <c r="AJ960" s="27"/>
      <c r="AK960" s="27"/>
      <c r="AL960" s="27"/>
      <c r="AM960" s="27"/>
      <c r="AN960" s="27"/>
      <c r="AO960" s="27" t="s">
        <v>3997</v>
      </c>
      <c r="AP960" s="27"/>
      <c r="AQ960" s="27"/>
      <c r="AR960" s="504"/>
      <c r="AS960" s="332" t="s">
        <v>3897</v>
      </c>
      <c r="AT960" s="160"/>
    </row>
    <row r="961" spans="1:46" ht="21.75" hidden="1" customHeight="1">
      <c r="A961" s="331">
        <v>960</v>
      </c>
      <c r="B961" s="28" t="s">
        <v>97</v>
      </c>
      <c r="C961" s="28" t="s">
        <v>1549</v>
      </c>
      <c r="D961" s="437" t="s">
        <v>3884</v>
      </c>
      <c r="E961" s="361" t="str">
        <f t="shared" ca="1" si="22"/>
        <v>LOSS</v>
      </c>
      <c r="F961" s="29"/>
      <c r="G961" s="28" t="s">
        <v>3998</v>
      </c>
      <c r="H961" s="29" t="s">
        <v>2748</v>
      </c>
      <c r="I961" s="29" t="s">
        <v>242</v>
      </c>
      <c r="J961" s="28" t="s">
        <v>3999</v>
      </c>
      <c r="K961" s="28"/>
      <c r="L961" s="27"/>
      <c r="M961" s="27"/>
      <c r="N961" s="29"/>
      <c r="O961" s="56"/>
      <c r="P961" s="31">
        <f>12*5500000</f>
        <v>66000000</v>
      </c>
      <c r="Q961" s="31"/>
      <c r="R961" s="27"/>
      <c r="S961" s="32">
        <v>24000000</v>
      </c>
      <c r="T961" s="33"/>
      <c r="U961" s="334">
        <v>44866</v>
      </c>
      <c r="V961" s="334">
        <v>45230</v>
      </c>
      <c r="W961" s="27" t="s">
        <v>245</v>
      </c>
      <c r="X961" s="27"/>
      <c r="Y961" s="34">
        <f t="shared" ca="1" si="23"/>
        <v>46290</v>
      </c>
      <c r="Z961" s="35">
        <f t="shared" ca="1" si="24"/>
        <v>-1060</v>
      </c>
      <c r="AA961" s="27">
        <f t="shared" si="25"/>
        <v>10</v>
      </c>
      <c r="AB961" s="27">
        <f t="shared" si="26"/>
        <v>2023</v>
      </c>
      <c r="AC961" s="28" t="s">
        <v>479</v>
      </c>
      <c r="AD961" s="28" t="s">
        <v>2070</v>
      </c>
      <c r="AE961" s="27">
        <v>4500019287</v>
      </c>
      <c r="AF961" s="27" t="s">
        <v>339</v>
      </c>
      <c r="AG961" s="29" t="s">
        <v>3887</v>
      </c>
      <c r="AH961" s="28" t="s">
        <v>3888</v>
      </c>
      <c r="AI961" s="27"/>
      <c r="AJ961" s="27"/>
      <c r="AK961" s="27"/>
      <c r="AL961" s="27"/>
      <c r="AM961" s="27"/>
      <c r="AN961" s="27" t="s">
        <v>4000</v>
      </c>
      <c r="AO961" s="27"/>
      <c r="AP961" s="27"/>
      <c r="AQ961" s="27"/>
      <c r="AR961" s="504"/>
      <c r="AS961" s="332" t="s">
        <v>4001</v>
      </c>
      <c r="AT961" s="160"/>
    </row>
    <row r="962" spans="1:46" ht="21.75" hidden="1" customHeight="1">
      <c r="A962" s="331">
        <v>961</v>
      </c>
      <c r="B962" s="28" t="s">
        <v>97</v>
      </c>
      <c r="C962" s="28" t="s">
        <v>4002</v>
      </c>
      <c r="D962" s="438" t="s">
        <v>2363</v>
      </c>
      <c r="E962" s="361" t="str">
        <f t="shared" ref="E962:E1025" ca="1" si="27">IF(Z962&lt;=0, "LOSS",IF(Z962&lt;=15, "CRITICAL",IF(Z962&lt;=30, "WARNING",IF(Z962&lt;60, "ATTENTION", "ON TRACK"))))</f>
        <v>LOSS</v>
      </c>
      <c r="F962" s="29"/>
      <c r="G962" s="28" t="s">
        <v>4003</v>
      </c>
      <c r="H962" s="29" t="s">
        <v>2748</v>
      </c>
      <c r="I962" s="29" t="s">
        <v>242</v>
      </c>
      <c r="J962" s="40" t="s">
        <v>4004</v>
      </c>
      <c r="K962" s="28"/>
      <c r="L962" s="27"/>
      <c r="M962" s="27"/>
      <c r="N962" s="29"/>
      <c r="O962" s="56"/>
      <c r="P962" s="31">
        <f>2743600*12</f>
        <v>32923200</v>
      </c>
      <c r="Q962" s="31"/>
      <c r="R962" s="27"/>
      <c r="S962" s="32">
        <v>6000000</v>
      </c>
      <c r="T962" s="33"/>
      <c r="U962" s="334">
        <v>44501</v>
      </c>
      <c r="V962" s="334">
        <v>44865</v>
      </c>
      <c r="W962" s="27" t="s">
        <v>250</v>
      </c>
      <c r="X962" s="27"/>
      <c r="Y962" s="34">
        <f t="shared" ca="1" si="23"/>
        <v>46290</v>
      </c>
      <c r="Z962" s="35">
        <f t="shared" ca="1" si="24"/>
        <v>-1425</v>
      </c>
      <c r="AA962" s="27">
        <f t="shared" si="25"/>
        <v>10</v>
      </c>
      <c r="AB962" s="27">
        <f t="shared" si="26"/>
        <v>2022</v>
      </c>
      <c r="AC962" s="28" t="s">
        <v>479</v>
      </c>
      <c r="AD962" s="28" t="s">
        <v>4005</v>
      </c>
      <c r="AE962" s="27">
        <v>4500019436</v>
      </c>
      <c r="AF962" s="27" t="s">
        <v>339</v>
      </c>
      <c r="AG962" s="29" t="s">
        <v>3887</v>
      </c>
      <c r="AH962" s="28" t="s">
        <v>3888</v>
      </c>
      <c r="AI962" s="27"/>
      <c r="AJ962" s="27" t="s">
        <v>4006</v>
      </c>
      <c r="AK962" s="27"/>
      <c r="AL962" s="27"/>
      <c r="AM962" s="27"/>
      <c r="AN962" s="27"/>
      <c r="AO962" s="27"/>
      <c r="AP962" s="27"/>
      <c r="AQ962" s="27"/>
      <c r="AR962" s="504"/>
      <c r="AS962" s="332" t="s">
        <v>3906</v>
      </c>
      <c r="AT962" s="160"/>
    </row>
    <row r="963" spans="1:46" ht="21.75" hidden="1" customHeight="1">
      <c r="A963" s="331">
        <v>962</v>
      </c>
      <c r="B963" s="28" t="s">
        <v>97</v>
      </c>
      <c r="C963" s="28" t="s">
        <v>4002</v>
      </c>
      <c r="D963" s="437" t="s">
        <v>2363</v>
      </c>
      <c r="E963" s="361" t="str">
        <f t="shared" ca="1" si="27"/>
        <v>LOSS</v>
      </c>
      <c r="F963" s="29"/>
      <c r="G963" s="28" t="s">
        <v>4003</v>
      </c>
      <c r="H963" s="29" t="s">
        <v>2748</v>
      </c>
      <c r="I963" s="29" t="s">
        <v>242</v>
      </c>
      <c r="J963" s="40" t="s">
        <v>4004</v>
      </c>
      <c r="K963" s="28"/>
      <c r="L963" s="27"/>
      <c r="M963" s="27"/>
      <c r="N963" s="29"/>
      <c r="O963" s="56"/>
      <c r="P963" s="31">
        <f>126000000/3</f>
        <v>42000000</v>
      </c>
      <c r="Q963" s="31"/>
      <c r="R963" s="27"/>
      <c r="S963" s="32">
        <v>6000000</v>
      </c>
      <c r="T963" s="33"/>
      <c r="U963" s="334">
        <v>44866</v>
      </c>
      <c r="V963" s="334">
        <v>45961</v>
      </c>
      <c r="W963" s="27" t="s">
        <v>250</v>
      </c>
      <c r="X963" s="27"/>
      <c r="Y963" s="34">
        <f t="shared" ca="1" si="23"/>
        <v>46290</v>
      </c>
      <c r="Z963" s="35">
        <f t="shared" ca="1" si="24"/>
        <v>-329</v>
      </c>
      <c r="AA963" s="27">
        <f t="shared" si="25"/>
        <v>10</v>
      </c>
      <c r="AB963" s="27">
        <f t="shared" si="26"/>
        <v>2025</v>
      </c>
      <c r="AC963" s="28"/>
      <c r="AD963" s="28" t="s">
        <v>4007</v>
      </c>
      <c r="AE963" s="27">
        <v>4500023248</v>
      </c>
      <c r="AF963" s="27" t="s">
        <v>333</v>
      </c>
      <c r="AG963" s="29" t="s">
        <v>3887</v>
      </c>
      <c r="AH963" s="28" t="s">
        <v>3888</v>
      </c>
      <c r="AI963" s="27"/>
      <c r="AJ963" s="27"/>
      <c r="AK963" s="27"/>
      <c r="AL963" s="27"/>
      <c r="AM963" s="27"/>
      <c r="AN963" s="27"/>
      <c r="AO963" s="27"/>
      <c r="AP963" s="27" t="s">
        <v>4008</v>
      </c>
      <c r="AQ963" s="27"/>
      <c r="AR963" s="504"/>
      <c r="AS963" s="332"/>
      <c r="AT963" s="160"/>
    </row>
    <row r="964" spans="1:46" ht="21.75" hidden="1" customHeight="1">
      <c r="A964" s="331">
        <v>963</v>
      </c>
      <c r="B964" s="28" t="s">
        <v>97</v>
      </c>
      <c r="C964" s="28" t="s">
        <v>4009</v>
      </c>
      <c r="D964" s="438" t="s">
        <v>2363</v>
      </c>
      <c r="E964" s="361" t="str">
        <f t="shared" ca="1" si="27"/>
        <v>LOSS</v>
      </c>
      <c r="F964" s="29"/>
      <c r="G964" s="28" t="s">
        <v>4010</v>
      </c>
      <c r="H964" s="29" t="s">
        <v>2748</v>
      </c>
      <c r="I964" s="29" t="s">
        <v>242</v>
      </c>
      <c r="J964" s="28" t="s">
        <v>102</v>
      </c>
      <c r="K964" s="28"/>
      <c r="L964" s="27"/>
      <c r="M964" s="27"/>
      <c r="N964" s="29"/>
      <c r="O964" s="56"/>
      <c r="P964" s="31">
        <f>8000000*12</f>
        <v>96000000</v>
      </c>
      <c r="Q964" s="31"/>
      <c r="R964" s="27"/>
      <c r="S964" s="32">
        <v>24000000</v>
      </c>
      <c r="T964" s="33"/>
      <c r="U964" s="334">
        <v>45366</v>
      </c>
      <c r="V964" s="334">
        <v>45730</v>
      </c>
      <c r="W964" s="27" t="s">
        <v>17</v>
      </c>
      <c r="X964" s="27"/>
      <c r="Y964" s="34">
        <f t="shared" ca="1" si="23"/>
        <v>46290</v>
      </c>
      <c r="Z964" s="35">
        <f t="shared" ca="1" si="24"/>
        <v>-560</v>
      </c>
      <c r="AA964" s="27">
        <f t="shared" si="25"/>
        <v>3</v>
      </c>
      <c r="AB964" s="27">
        <f t="shared" si="26"/>
        <v>2025</v>
      </c>
      <c r="AC964" s="28" t="s">
        <v>4011</v>
      </c>
      <c r="AD964" s="28" t="s">
        <v>4012</v>
      </c>
      <c r="AE964" s="27">
        <v>4500022685</v>
      </c>
      <c r="AF964" s="27" t="s">
        <v>339</v>
      </c>
      <c r="AG964" s="29" t="s">
        <v>3887</v>
      </c>
      <c r="AH964" s="28" t="s">
        <v>3888</v>
      </c>
      <c r="AI964" s="27"/>
      <c r="AJ964" s="27"/>
      <c r="AK964" s="27"/>
      <c r="AL964" s="27"/>
      <c r="AM964" s="27"/>
      <c r="AN964" s="27"/>
      <c r="AO964" s="27" t="s">
        <v>4013</v>
      </c>
      <c r="AP964" s="27" t="s">
        <v>4014</v>
      </c>
      <c r="AQ964" s="27"/>
      <c r="AR964" s="504"/>
      <c r="AS964" s="332" t="s">
        <v>3897</v>
      </c>
      <c r="AT964" s="160"/>
    </row>
    <row r="965" spans="1:46" ht="21.75" hidden="1" customHeight="1">
      <c r="A965" s="331">
        <v>964</v>
      </c>
      <c r="B965" s="28" t="s">
        <v>97</v>
      </c>
      <c r="C965" s="28" t="s">
        <v>4015</v>
      </c>
      <c r="D965" s="437" t="s">
        <v>3946</v>
      </c>
      <c r="E965" s="361" t="str">
        <f t="shared" ca="1" si="27"/>
        <v>LOSS</v>
      </c>
      <c r="F965" s="29"/>
      <c r="G965" s="28" t="s">
        <v>4016</v>
      </c>
      <c r="H965" s="29" t="s">
        <v>2748</v>
      </c>
      <c r="I965" s="29" t="s">
        <v>346</v>
      </c>
      <c r="J965" s="28" t="s">
        <v>818</v>
      </c>
      <c r="K965" s="28"/>
      <c r="L965" s="27"/>
      <c r="M965" s="27"/>
      <c r="N965" s="29"/>
      <c r="O965" s="56"/>
      <c r="P965" s="31">
        <v>66000000</v>
      </c>
      <c r="Q965" s="31"/>
      <c r="R965" s="27"/>
      <c r="S965" s="32">
        <v>12000000</v>
      </c>
      <c r="T965" s="33"/>
      <c r="U965" s="334">
        <v>44276</v>
      </c>
      <c r="V965" s="334">
        <v>45005</v>
      </c>
      <c r="W965" s="27" t="s">
        <v>250</v>
      </c>
      <c r="X965" s="27"/>
      <c r="Y965" s="34">
        <f t="shared" ca="1" si="23"/>
        <v>46290</v>
      </c>
      <c r="Z965" s="35">
        <f t="shared" ca="1" si="24"/>
        <v>-1285</v>
      </c>
      <c r="AA965" s="27">
        <f t="shared" si="25"/>
        <v>3</v>
      </c>
      <c r="AB965" s="27">
        <f t="shared" si="26"/>
        <v>2023</v>
      </c>
      <c r="AC965" s="28" t="s">
        <v>4017</v>
      </c>
      <c r="AD965" s="28" t="s">
        <v>4018</v>
      </c>
      <c r="AE965" s="27">
        <v>4500017891</v>
      </c>
      <c r="AF965" s="27" t="s">
        <v>339</v>
      </c>
      <c r="AG965" s="29" t="s">
        <v>3887</v>
      </c>
      <c r="AH965" s="28" t="s">
        <v>3888</v>
      </c>
      <c r="AI965" s="27"/>
      <c r="AJ965" s="27"/>
      <c r="AK965" s="27" t="s">
        <v>4019</v>
      </c>
      <c r="AL965" s="27" t="s">
        <v>4020</v>
      </c>
      <c r="AM965" s="27"/>
      <c r="AN965" s="27" t="s">
        <v>4021</v>
      </c>
      <c r="AO965" s="27"/>
      <c r="AP965" s="27"/>
      <c r="AQ965" s="27"/>
      <c r="AR965" s="504"/>
      <c r="AS965" s="332"/>
      <c r="AT965" s="160"/>
    </row>
    <row r="966" spans="1:46" ht="21.75" hidden="1" customHeight="1">
      <c r="A966" s="331">
        <v>965</v>
      </c>
      <c r="B966" s="28" t="s">
        <v>97</v>
      </c>
      <c r="C966" s="28" t="s">
        <v>4009</v>
      </c>
      <c r="D966" s="438" t="s">
        <v>2363</v>
      </c>
      <c r="E966" s="361" t="str">
        <f t="shared" ca="1" si="27"/>
        <v>LOSS</v>
      </c>
      <c r="F966" s="29"/>
      <c r="G966" s="28" t="s">
        <v>4022</v>
      </c>
      <c r="H966" s="29" t="s">
        <v>2748</v>
      </c>
      <c r="I966" s="29" t="s">
        <v>242</v>
      </c>
      <c r="J966" s="28" t="s">
        <v>4023</v>
      </c>
      <c r="K966" s="28"/>
      <c r="L966" s="27"/>
      <c r="M966" s="27"/>
      <c r="N966" s="29"/>
      <c r="O966" s="56"/>
      <c r="P966" s="31">
        <v>24000000</v>
      </c>
      <c r="Q966" s="31"/>
      <c r="R966" s="30"/>
      <c r="S966" s="32">
        <v>24000000</v>
      </c>
      <c r="T966" s="33"/>
      <c r="U966" s="334">
        <v>44559</v>
      </c>
      <c r="V966" s="334">
        <v>44923</v>
      </c>
      <c r="W966" s="27" t="s">
        <v>250</v>
      </c>
      <c r="X966" s="27"/>
      <c r="Y966" s="34">
        <f t="shared" ca="1" si="23"/>
        <v>46290</v>
      </c>
      <c r="Z966" s="35">
        <f t="shared" ca="1" si="24"/>
        <v>-1367</v>
      </c>
      <c r="AA966" s="27">
        <f t="shared" si="25"/>
        <v>12</v>
      </c>
      <c r="AB966" s="27">
        <f t="shared" si="26"/>
        <v>2022</v>
      </c>
      <c r="AC966" s="28" t="s">
        <v>479</v>
      </c>
      <c r="AD966" s="28" t="s">
        <v>4024</v>
      </c>
      <c r="AE966" s="27">
        <v>4500017371</v>
      </c>
      <c r="AF966" s="27" t="s">
        <v>339</v>
      </c>
      <c r="AG966" s="29" t="s">
        <v>3887</v>
      </c>
      <c r="AH966" s="28" t="s">
        <v>3888</v>
      </c>
      <c r="AI966" s="27"/>
      <c r="AJ966" s="27"/>
      <c r="AK966" s="27"/>
      <c r="AL966" s="27"/>
      <c r="AM966" s="27" t="s">
        <v>4025</v>
      </c>
      <c r="AN966" s="27"/>
      <c r="AO966" s="27"/>
      <c r="AP966" s="27"/>
      <c r="AQ966" s="27"/>
      <c r="AR966" s="504"/>
      <c r="AS966" s="332" t="s">
        <v>4026</v>
      </c>
      <c r="AT966" s="160"/>
    </row>
    <row r="967" spans="1:46" ht="21.75" hidden="1" customHeight="1">
      <c r="A967" s="331">
        <v>966</v>
      </c>
      <c r="B967" s="28" t="s">
        <v>97</v>
      </c>
      <c r="C967" s="28" t="s">
        <v>3898</v>
      </c>
      <c r="D967" s="437" t="s">
        <v>2363</v>
      </c>
      <c r="E967" s="361" t="str">
        <f t="shared" ca="1" si="27"/>
        <v>LOSS</v>
      </c>
      <c r="F967" s="29"/>
      <c r="G967" s="28" t="s">
        <v>4027</v>
      </c>
      <c r="H967" s="29" t="s">
        <v>2748</v>
      </c>
      <c r="I967" s="29" t="s">
        <v>242</v>
      </c>
      <c r="J967" s="28" t="s">
        <v>942</v>
      </c>
      <c r="K967" s="28"/>
      <c r="L967" s="27"/>
      <c r="M967" s="27"/>
      <c r="N967" s="29"/>
      <c r="O967" s="56"/>
      <c r="P967" s="31">
        <v>63360000</v>
      </c>
      <c r="Q967" s="31"/>
      <c r="R967" s="27"/>
      <c r="S967" s="32">
        <v>24000000</v>
      </c>
      <c r="T967" s="33"/>
      <c r="U967" s="334">
        <v>43894</v>
      </c>
      <c r="V967" s="334">
        <v>44258</v>
      </c>
      <c r="W967" s="27" t="s">
        <v>250</v>
      </c>
      <c r="X967" s="27"/>
      <c r="Y967" s="34">
        <f t="shared" ca="1" si="23"/>
        <v>46290</v>
      </c>
      <c r="Z967" s="35">
        <f t="shared" ca="1" si="24"/>
        <v>-2032</v>
      </c>
      <c r="AA967" s="27">
        <f t="shared" si="25"/>
        <v>3</v>
      </c>
      <c r="AB967" s="27">
        <f t="shared" si="26"/>
        <v>2021</v>
      </c>
      <c r="AC967" s="28" t="s">
        <v>479</v>
      </c>
      <c r="AD967" s="28" t="s">
        <v>943</v>
      </c>
      <c r="AE967" s="27">
        <v>4500014024</v>
      </c>
      <c r="AF967" s="27" t="s">
        <v>339</v>
      </c>
      <c r="AG967" s="29" t="s">
        <v>3887</v>
      </c>
      <c r="AH967" s="28" t="s">
        <v>3888</v>
      </c>
      <c r="AI967" s="27"/>
      <c r="AJ967" s="27"/>
      <c r="AK967" s="27"/>
      <c r="AL967" s="27" t="s">
        <v>3992</v>
      </c>
      <c r="AM967" s="27"/>
      <c r="AN967" s="27"/>
      <c r="AO967" s="27"/>
      <c r="AP967" s="27"/>
      <c r="AQ967" s="27"/>
      <c r="AR967" s="504"/>
      <c r="AS967" s="332" t="s">
        <v>4028</v>
      </c>
      <c r="AT967" s="160"/>
    </row>
    <row r="968" spans="1:46" ht="21.75" hidden="1" customHeight="1">
      <c r="A968" s="331">
        <v>967</v>
      </c>
      <c r="B968" s="28" t="s">
        <v>97</v>
      </c>
      <c r="C968" s="28" t="s">
        <v>4029</v>
      </c>
      <c r="D968" s="438" t="s">
        <v>2363</v>
      </c>
      <c r="E968" s="361" t="str">
        <f t="shared" ca="1" si="27"/>
        <v>LOSS</v>
      </c>
      <c r="F968" s="29"/>
      <c r="G968" s="28" t="s">
        <v>4030</v>
      </c>
      <c r="H968" s="29" t="s">
        <v>2748</v>
      </c>
      <c r="I968" s="29" t="s">
        <v>346</v>
      </c>
      <c r="J968" s="28" t="s">
        <v>4031</v>
      </c>
      <c r="K968" s="28"/>
      <c r="L968" s="27"/>
      <c r="M968" s="27"/>
      <c r="N968" s="29"/>
      <c r="O968" s="56"/>
      <c r="P968" s="31">
        <v>270000000</v>
      </c>
      <c r="Q968" s="31"/>
      <c r="R968" s="27"/>
      <c r="S968" s="32">
        <v>4000000</v>
      </c>
      <c r="T968" s="33"/>
      <c r="U968" s="334">
        <v>43534</v>
      </c>
      <c r="V968" s="334">
        <v>43899</v>
      </c>
      <c r="W968" s="27" t="s">
        <v>250</v>
      </c>
      <c r="X968" s="27"/>
      <c r="Y968" s="34">
        <f t="shared" ca="1" si="23"/>
        <v>46290</v>
      </c>
      <c r="Z968" s="35">
        <f t="shared" ca="1" si="24"/>
        <v>-2391</v>
      </c>
      <c r="AA968" s="27">
        <f t="shared" si="25"/>
        <v>3</v>
      </c>
      <c r="AB968" s="27">
        <f t="shared" si="26"/>
        <v>2020</v>
      </c>
      <c r="AC968" s="28" t="s">
        <v>4032</v>
      </c>
      <c r="AD968" s="28" t="s">
        <v>4033</v>
      </c>
      <c r="AE968" s="27">
        <v>4500012732</v>
      </c>
      <c r="AF968" s="27" t="s">
        <v>339</v>
      </c>
      <c r="AG968" s="29" t="s">
        <v>3887</v>
      </c>
      <c r="AH968" s="28" t="s">
        <v>3888</v>
      </c>
      <c r="AI968" s="27"/>
      <c r="AJ968" s="27" t="s">
        <v>4034</v>
      </c>
      <c r="AK968" s="27" t="s">
        <v>4035</v>
      </c>
      <c r="AL968" s="27"/>
      <c r="AM968" s="27"/>
      <c r="AN968" s="27"/>
      <c r="AO968" s="27"/>
      <c r="AP968" s="27"/>
      <c r="AQ968" s="27"/>
      <c r="AR968" s="504"/>
      <c r="AS968" s="332" t="s">
        <v>4036</v>
      </c>
      <c r="AT968" s="160"/>
    </row>
    <row r="969" spans="1:46" ht="21.75" hidden="1" customHeight="1">
      <c r="A969" s="331">
        <v>968</v>
      </c>
      <c r="B969" s="28" t="s">
        <v>97</v>
      </c>
      <c r="C969" s="28"/>
      <c r="D969" s="437" t="s">
        <v>3899</v>
      </c>
      <c r="E969" s="361" t="str">
        <f t="shared" ca="1" si="27"/>
        <v>LOSS</v>
      </c>
      <c r="F969" s="29"/>
      <c r="G969" s="28" t="s">
        <v>4037</v>
      </c>
      <c r="H969" s="29" t="s">
        <v>2748</v>
      </c>
      <c r="I969" s="29" t="s">
        <v>242</v>
      </c>
      <c r="J969" s="28" t="s">
        <v>814</v>
      </c>
      <c r="K969" s="28"/>
      <c r="L969" s="27"/>
      <c r="M969" s="27"/>
      <c r="N969" s="29"/>
      <c r="O969" s="56"/>
      <c r="P969" s="31">
        <v>138000000</v>
      </c>
      <c r="Q969" s="31"/>
      <c r="R969" s="27"/>
      <c r="S969" s="32">
        <v>6000000</v>
      </c>
      <c r="T969" s="33"/>
      <c r="U969" s="334">
        <v>44268</v>
      </c>
      <c r="V969" s="334">
        <v>44632</v>
      </c>
      <c r="W969" s="27" t="s">
        <v>245</v>
      </c>
      <c r="X969" s="27"/>
      <c r="Y969" s="34">
        <f t="shared" ca="1" si="23"/>
        <v>46290</v>
      </c>
      <c r="Z969" s="35">
        <f t="shared" ca="1" si="24"/>
        <v>-1658</v>
      </c>
      <c r="AA969" s="27">
        <f t="shared" si="25"/>
        <v>3</v>
      </c>
      <c r="AB969" s="27">
        <f t="shared" si="26"/>
        <v>2022</v>
      </c>
      <c r="AC969" s="28" t="s">
        <v>4038</v>
      </c>
      <c r="AD969" s="28" t="s">
        <v>4039</v>
      </c>
      <c r="AE969" s="27">
        <v>4500015823</v>
      </c>
      <c r="AF969" s="27" t="s">
        <v>339</v>
      </c>
      <c r="AG969" s="29" t="s">
        <v>3887</v>
      </c>
      <c r="AH969" s="28" t="s">
        <v>3888</v>
      </c>
      <c r="AI969" s="27"/>
      <c r="AJ969" s="27"/>
      <c r="AK969" s="27" t="s">
        <v>4040</v>
      </c>
      <c r="AL969" s="27" t="s">
        <v>4041</v>
      </c>
      <c r="AM969" s="27" t="s">
        <v>4042</v>
      </c>
      <c r="AN969" s="27"/>
      <c r="AO969" s="27"/>
      <c r="AP969" s="27"/>
      <c r="AQ969" s="27"/>
      <c r="AR969" s="504"/>
      <c r="AS969" s="332"/>
      <c r="AT969" s="160"/>
    </row>
    <row r="970" spans="1:46" ht="21.75" hidden="1" customHeight="1">
      <c r="A970" s="331">
        <v>969</v>
      </c>
      <c r="B970" s="28" t="s">
        <v>97</v>
      </c>
      <c r="C970" s="28" t="s">
        <v>4043</v>
      </c>
      <c r="D970" s="438" t="s">
        <v>2363</v>
      </c>
      <c r="E970" s="361" t="str">
        <f t="shared" ca="1" si="27"/>
        <v>LOSS</v>
      </c>
      <c r="F970" s="29"/>
      <c r="G970" s="28" t="s">
        <v>4044</v>
      </c>
      <c r="H970" s="29" t="s">
        <v>2748</v>
      </c>
      <c r="I970" s="29" t="s">
        <v>242</v>
      </c>
      <c r="J970" s="28" t="s">
        <v>4045</v>
      </c>
      <c r="K970" s="28"/>
      <c r="L970" s="27"/>
      <c r="M970" s="27"/>
      <c r="N970" s="29"/>
      <c r="O970" s="56"/>
      <c r="P970" s="31">
        <v>200000000</v>
      </c>
      <c r="Q970" s="31"/>
      <c r="R970" s="27"/>
      <c r="S970" s="32">
        <v>12000000</v>
      </c>
      <c r="T970" s="33"/>
      <c r="U970" s="334">
        <v>44592</v>
      </c>
      <c r="V970" s="334">
        <v>44956</v>
      </c>
      <c r="W970" s="27" t="s">
        <v>245</v>
      </c>
      <c r="X970" s="27"/>
      <c r="Y970" s="34">
        <f t="shared" ca="1" si="23"/>
        <v>46290</v>
      </c>
      <c r="Z970" s="35">
        <f t="shared" ca="1" si="24"/>
        <v>-1334</v>
      </c>
      <c r="AA970" s="27">
        <f t="shared" si="25"/>
        <v>1</v>
      </c>
      <c r="AB970" s="27">
        <f t="shared" si="26"/>
        <v>2023</v>
      </c>
      <c r="AC970" s="28" t="s">
        <v>4046</v>
      </c>
      <c r="AD970" s="28" t="s">
        <v>4047</v>
      </c>
      <c r="AE970" s="27">
        <v>4500017693</v>
      </c>
      <c r="AF970" s="27" t="s">
        <v>339</v>
      </c>
      <c r="AG970" s="29" t="s">
        <v>3887</v>
      </c>
      <c r="AH970" s="28" t="s">
        <v>3888</v>
      </c>
      <c r="AI970" s="27"/>
      <c r="AJ970" s="27"/>
      <c r="AK970" s="27"/>
      <c r="AL970" s="27" t="s">
        <v>4048</v>
      </c>
      <c r="AM970" s="27" t="s">
        <v>4049</v>
      </c>
      <c r="AN970" s="27" t="s">
        <v>4050</v>
      </c>
      <c r="AO970" s="27"/>
      <c r="AP970" s="27"/>
      <c r="AQ970" s="27"/>
      <c r="AR970" s="504"/>
      <c r="AS970" s="332"/>
      <c r="AT970" s="160"/>
    </row>
    <row r="971" spans="1:46" ht="21.75" hidden="1" customHeight="1">
      <c r="A971" s="331">
        <v>970</v>
      </c>
      <c r="B971" s="28" t="s">
        <v>97</v>
      </c>
      <c r="C971" s="28" t="s">
        <v>4051</v>
      </c>
      <c r="D971" s="437" t="s">
        <v>2363</v>
      </c>
      <c r="E971" s="361" t="str">
        <f t="shared" ca="1" si="27"/>
        <v>LOSS</v>
      </c>
      <c r="F971" s="29"/>
      <c r="G971" s="28" t="s">
        <v>4052</v>
      </c>
      <c r="H971" s="29" t="s">
        <v>2748</v>
      </c>
      <c r="I971" s="29" t="s">
        <v>242</v>
      </c>
      <c r="J971" s="28" t="s">
        <v>100</v>
      </c>
      <c r="K971" s="28"/>
      <c r="L971" s="27"/>
      <c r="M971" s="27"/>
      <c r="N971" s="29"/>
      <c r="O971" s="56"/>
      <c r="P971" s="31">
        <v>108000000</v>
      </c>
      <c r="Q971" s="31"/>
      <c r="R971" s="27"/>
      <c r="S971" s="32">
        <v>24000000</v>
      </c>
      <c r="T971" s="33"/>
      <c r="U971" s="334">
        <v>45318</v>
      </c>
      <c r="V971" s="334">
        <v>45683</v>
      </c>
      <c r="W971" s="27" t="s">
        <v>250</v>
      </c>
      <c r="X971" s="27"/>
      <c r="Y971" s="34">
        <f t="shared" ref="Y971:Y1034" ca="1" si="28">TODAY()</f>
        <v>46290</v>
      </c>
      <c r="Z971" s="35">
        <f t="shared" ref="Z971:Z1027" ca="1" si="29">V971-Y971</f>
        <v>-607</v>
      </c>
      <c r="AA971" s="27">
        <f t="shared" ref="AA971:AA1027" si="30">MONTH(V971)</f>
        <v>1</v>
      </c>
      <c r="AB971" s="27">
        <f t="shared" ref="AB971:AB1027" si="31">YEAR(V971)</f>
        <v>2025</v>
      </c>
      <c r="AC971" s="28" t="s">
        <v>4053</v>
      </c>
      <c r="AD971" s="28" t="s">
        <v>4054</v>
      </c>
      <c r="AE971" s="27">
        <v>4500022793</v>
      </c>
      <c r="AF971" s="27" t="s">
        <v>339</v>
      </c>
      <c r="AG971" s="29" t="s">
        <v>3887</v>
      </c>
      <c r="AH971" s="28" t="s">
        <v>3888</v>
      </c>
      <c r="AI971" s="27"/>
      <c r="AJ971" s="27"/>
      <c r="AK971" s="27"/>
      <c r="AL971" s="27"/>
      <c r="AM971" s="27"/>
      <c r="AN971" s="27" t="s">
        <v>4055</v>
      </c>
      <c r="AO971" s="27"/>
      <c r="AP971" s="27" t="s">
        <v>4056</v>
      </c>
      <c r="AQ971" s="27"/>
      <c r="AR971" s="504"/>
      <c r="AS971" s="332" t="s">
        <v>3990</v>
      </c>
      <c r="AT971" s="160"/>
    </row>
    <row r="972" spans="1:46" ht="21.75" hidden="1" customHeight="1">
      <c r="A972" s="331">
        <v>971</v>
      </c>
      <c r="B972" s="28" t="s">
        <v>97</v>
      </c>
      <c r="C972" s="28" t="s">
        <v>4057</v>
      </c>
      <c r="D972" s="438" t="s">
        <v>2363</v>
      </c>
      <c r="E972" s="361" t="str">
        <f t="shared" ca="1" si="27"/>
        <v>LOSS</v>
      </c>
      <c r="F972" s="29"/>
      <c r="G972" s="28" t="s">
        <v>4058</v>
      </c>
      <c r="H972" s="29" t="s">
        <v>2748</v>
      </c>
      <c r="I972" s="29" t="s">
        <v>242</v>
      </c>
      <c r="J972" s="28" t="s">
        <v>4059</v>
      </c>
      <c r="K972" s="28"/>
      <c r="L972" s="27"/>
      <c r="M972" s="27"/>
      <c r="N972" s="29"/>
      <c r="O972" s="56"/>
      <c r="P972" s="31">
        <f>12*19000000</f>
        <v>228000000</v>
      </c>
      <c r="Q972" s="31"/>
      <c r="R972" s="30"/>
      <c r="S972" s="32">
        <v>48000000</v>
      </c>
      <c r="T972" s="33"/>
      <c r="U972" s="334">
        <v>45178</v>
      </c>
      <c r="V972" s="334">
        <v>45513</v>
      </c>
      <c r="W972" s="27" t="s">
        <v>17</v>
      </c>
      <c r="X972" s="27"/>
      <c r="Y972" s="34">
        <f t="shared" ca="1" si="28"/>
        <v>46290</v>
      </c>
      <c r="Z972" s="35">
        <f t="shared" ca="1" si="29"/>
        <v>-777</v>
      </c>
      <c r="AA972" s="27">
        <f t="shared" si="30"/>
        <v>8</v>
      </c>
      <c r="AB972" s="27">
        <f t="shared" si="31"/>
        <v>2024</v>
      </c>
      <c r="AC972" s="28" t="s">
        <v>479</v>
      </c>
      <c r="AD972" s="28" t="s">
        <v>4060</v>
      </c>
      <c r="AE972" s="27">
        <v>4500021318</v>
      </c>
      <c r="AF972" s="27" t="s">
        <v>339</v>
      </c>
      <c r="AG972" s="29" t="s">
        <v>4061</v>
      </c>
      <c r="AH972" s="28" t="s">
        <v>3888</v>
      </c>
      <c r="AI972" s="27"/>
      <c r="AJ972" s="27"/>
      <c r="AK972" s="27"/>
      <c r="AL972" s="27"/>
      <c r="AM972" s="27"/>
      <c r="AN972" s="27"/>
      <c r="AO972" s="27" t="s">
        <v>4062</v>
      </c>
      <c r="AP972" s="27"/>
      <c r="AQ972" s="27"/>
      <c r="AR972" s="504"/>
      <c r="AS972" s="332" t="s">
        <v>4063</v>
      </c>
      <c r="AT972" s="160"/>
    </row>
    <row r="973" spans="1:46" ht="21.75" hidden="1" customHeight="1">
      <c r="A973" s="331">
        <v>972</v>
      </c>
      <c r="B973" s="28" t="s">
        <v>97</v>
      </c>
      <c r="C973" s="28" t="s">
        <v>1866</v>
      </c>
      <c r="D973" s="437" t="s">
        <v>2363</v>
      </c>
      <c r="E973" s="361" t="str">
        <f t="shared" ca="1" si="27"/>
        <v>LOSS</v>
      </c>
      <c r="F973" s="29"/>
      <c r="G973" s="28" t="s">
        <v>4064</v>
      </c>
      <c r="H973" s="29" t="s">
        <v>2748</v>
      </c>
      <c r="I973" s="29" t="s">
        <v>242</v>
      </c>
      <c r="J973" s="28" t="s">
        <v>4065</v>
      </c>
      <c r="K973" s="28"/>
      <c r="L973" s="27"/>
      <c r="M973" s="27"/>
      <c r="N973" s="29"/>
      <c r="O973" s="56"/>
      <c r="P973" s="31">
        <f>12*4300000</f>
        <v>51600000</v>
      </c>
      <c r="Q973" s="31"/>
      <c r="R973" s="30"/>
      <c r="S973" s="32">
        <v>12000000</v>
      </c>
      <c r="T973" s="33"/>
      <c r="U973" s="334">
        <v>45182</v>
      </c>
      <c r="V973" s="334">
        <v>45635</v>
      </c>
      <c r="W973" s="27" t="s">
        <v>250</v>
      </c>
      <c r="X973" s="27"/>
      <c r="Y973" s="34">
        <f t="shared" ca="1" si="28"/>
        <v>46290</v>
      </c>
      <c r="Z973" s="35">
        <f t="shared" ca="1" si="29"/>
        <v>-655</v>
      </c>
      <c r="AA973" s="27">
        <f t="shared" si="30"/>
        <v>12</v>
      </c>
      <c r="AB973" s="27">
        <f t="shared" si="31"/>
        <v>2024</v>
      </c>
      <c r="AC973" s="28" t="s">
        <v>479</v>
      </c>
      <c r="AD973" s="28" t="s">
        <v>4066</v>
      </c>
      <c r="AE973" s="27">
        <v>4500021319</v>
      </c>
      <c r="AF973" s="27" t="s">
        <v>339</v>
      </c>
      <c r="AG973" s="29" t="s">
        <v>3887</v>
      </c>
      <c r="AH973" s="28" t="s">
        <v>3888</v>
      </c>
      <c r="AI973" s="27"/>
      <c r="AJ973" s="27"/>
      <c r="AK973" s="27"/>
      <c r="AL973" s="27"/>
      <c r="AM973" s="27"/>
      <c r="AN973" s="27"/>
      <c r="AO973" s="27" t="s">
        <v>4067</v>
      </c>
      <c r="AP973" s="27"/>
      <c r="AQ973" s="27"/>
      <c r="AR973" s="504"/>
      <c r="AS973" s="332" t="s">
        <v>4068</v>
      </c>
      <c r="AT973" s="160"/>
    </row>
    <row r="974" spans="1:46" ht="21.75" hidden="1" customHeight="1">
      <c r="A974" s="331">
        <v>973</v>
      </c>
      <c r="B974" s="28" t="s">
        <v>4069</v>
      </c>
      <c r="C974" s="28" t="s">
        <v>4070</v>
      </c>
      <c r="D974" s="159" t="s">
        <v>4071</v>
      </c>
      <c r="E974" s="361" t="str">
        <f t="shared" ca="1" si="27"/>
        <v>LOSS</v>
      </c>
      <c r="F974" s="36" t="s">
        <v>115</v>
      </c>
      <c r="G974" s="28" t="s">
        <v>4072</v>
      </c>
      <c r="H974" s="29" t="s">
        <v>2748</v>
      </c>
      <c r="I974" s="29" t="s">
        <v>242</v>
      </c>
      <c r="J974" s="28" t="s">
        <v>2074</v>
      </c>
      <c r="K974" s="28"/>
      <c r="L974" s="27"/>
      <c r="M974" s="27"/>
      <c r="N974" s="29"/>
      <c r="O974" s="56"/>
      <c r="P974" s="31">
        <f>12*2545455</f>
        <v>30545460</v>
      </c>
      <c r="Q974" s="31"/>
      <c r="R974" s="30"/>
      <c r="S974" s="32">
        <v>5540000</v>
      </c>
      <c r="T974" s="33"/>
      <c r="U974" s="334">
        <v>45230</v>
      </c>
      <c r="V974" s="334">
        <v>45595</v>
      </c>
      <c r="W974" s="27" t="s">
        <v>250</v>
      </c>
      <c r="X974" s="27"/>
      <c r="Y974" s="34">
        <f t="shared" ca="1" si="28"/>
        <v>46290</v>
      </c>
      <c r="Z974" s="35">
        <f t="shared" ca="1" si="29"/>
        <v>-695</v>
      </c>
      <c r="AA974" s="27">
        <f t="shared" si="30"/>
        <v>10</v>
      </c>
      <c r="AB974" s="27">
        <f t="shared" si="31"/>
        <v>2024</v>
      </c>
      <c r="AC974" s="28" t="s">
        <v>4073</v>
      </c>
      <c r="AD974" s="28">
        <v>1679</v>
      </c>
      <c r="AE974" s="27">
        <v>4500022148</v>
      </c>
      <c r="AF974" s="27" t="s">
        <v>339</v>
      </c>
      <c r="AG974" s="29"/>
      <c r="AH974" s="28"/>
      <c r="AI974" s="27"/>
      <c r="AJ974" s="27"/>
      <c r="AK974" s="27"/>
      <c r="AL974" s="27"/>
      <c r="AM974" s="27"/>
      <c r="AN974" s="27" t="s">
        <v>4074</v>
      </c>
      <c r="AO974" s="27"/>
      <c r="AP974" s="27" t="s">
        <v>4075</v>
      </c>
      <c r="AQ974" s="27"/>
      <c r="AR974" s="504"/>
      <c r="AS974" s="332" t="s">
        <v>4076</v>
      </c>
      <c r="AT974" s="160"/>
    </row>
    <row r="975" spans="1:46" ht="21.75" hidden="1" customHeight="1">
      <c r="A975" s="331">
        <v>974</v>
      </c>
      <c r="B975" s="28" t="s">
        <v>4069</v>
      </c>
      <c r="C975" s="28" t="s">
        <v>4077</v>
      </c>
      <c r="D975" s="159" t="s">
        <v>4071</v>
      </c>
      <c r="E975" s="361" t="str">
        <f t="shared" ca="1" si="27"/>
        <v>LOSS</v>
      </c>
      <c r="F975" s="36" t="s">
        <v>115</v>
      </c>
      <c r="G975" s="28" t="s">
        <v>4078</v>
      </c>
      <c r="H975" s="29" t="s">
        <v>2748</v>
      </c>
      <c r="I975" s="29" t="s">
        <v>242</v>
      </c>
      <c r="J975" s="28" t="s">
        <v>2092</v>
      </c>
      <c r="K975" s="28"/>
      <c r="L975" s="27"/>
      <c r="M975" s="27"/>
      <c r="N975" s="29"/>
      <c r="O975" s="56"/>
      <c r="P975" s="31">
        <f>12*4000000</f>
        <v>48000000</v>
      </c>
      <c r="Q975" s="31"/>
      <c r="R975" s="30"/>
      <c r="S975" s="32">
        <v>5540000</v>
      </c>
      <c r="T975" s="33"/>
      <c r="U975" s="334">
        <v>45219</v>
      </c>
      <c r="V975" s="334">
        <v>45584</v>
      </c>
      <c r="W975" s="27" t="s">
        <v>250</v>
      </c>
      <c r="X975" s="27"/>
      <c r="Y975" s="34">
        <f t="shared" ca="1" si="28"/>
        <v>46290</v>
      </c>
      <c r="Z975" s="35">
        <f t="shared" ca="1" si="29"/>
        <v>-706</v>
      </c>
      <c r="AA975" s="27">
        <f t="shared" si="30"/>
        <v>10</v>
      </c>
      <c r="AB975" s="27">
        <f t="shared" si="31"/>
        <v>2024</v>
      </c>
      <c r="AC975" s="28" t="s">
        <v>4079</v>
      </c>
      <c r="AD975" s="28">
        <v>1680</v>
      </c>
      <c r="AE975" s="27">
        <v>4500022147</v>
      </c>
      <c r="AF975" s="27" t="s">
        <v>339</v>
      </c>
      <c r="AG975" s="29"/>
      <c r="AH975" s="28"/>
      <c r="AI975" s="27"/>
      <c r="AJ975" s="27"/>
      <c r="AK975" s="27"/>
      <c r="AL975" s="27"/>
      <c r="AM975" s="27"/>
      <c r="AN975" s="27" t="s">
        <v>4080</v>
      </c>
      <c r="AO975" s="27"/>
      <c r="AP975" s="27" t="s">
        <v>4081</v>
      </c>
      <c r="AQ975" s="27"/>
      <c r="AR975" s="504"/>
      <c r="AS975" s="332" t="s">
        <v>4076</v>
      </c>
      <c r="AT975" s="160"/>
    </row>
    <row r="976" spans="1:46" ht="21.75" hidden="1" customHeight="1">
      <c r="A976" s="331">
        <v>975</v>
      </c>
      <c r="B976" s="28" t="s">
        <v>4069</v>
      </c>
      <c r="C976" s="28" t="s">
        <v>4077</v>
      </c>
      <c r="D976" s="159" t="s">
        <v>4071</v>
      </c>
      <c r="E976" s="361" t="str">
        <f t="shared" ca="1" si="27"/>
        <v>LOSS</v>
      </c>
      <c r="F976" s="29"/>
      <c r="G976" s="28" t="s">
        <v>4082</v>
      </c>
      <c r="H976" s="29" t="s">
        <v>2748</v>
      </c>
      <c r="I976" s="29" t="s">
        <v>242</v>
      </c>
      <c r="J976" s="28" t="s">
        <v>2346</v>
      </c>
      <c r="K976" s="28"/>
      <c r="L976" s="27"/>
      <c r="M976" s="27"/>
      <c r="N976" s="29"/>
      <c r="O976" s="56"/>
      <c r="P976" s="31">
        <f>12*4000000</f>
        <v>48000000</v>
      </c>
      <c r="Q976" s="31"/>
      <c r="R976" s="30"/>
      <c r="S976" s="32">
        <v>5040000</v>
      </c>
      <c r="T976" s="33"/>
      <c r="U976" s="334">
        <v>45134</v>
      </c>
      <c r="V976" s="334">
        <v>45499</v>
      </c>
      <c r="W976" s="27" t="s">
        <v>250</v>
      </c>
      <c r="X976" s="27"/>
      <c r="Y976" s="34">
        <f t="shared" ca="1" si="28"/>
        <v>46290</v>
      </c>
      <c r="Z976" s="35">
        <f t="shared" ca="1" si="29"/>
        <v>-791</v>
      </c>
      <c r="AA976" s="27">
        <f t="shared" si="30"/>
        <v>7</v>
      </c>
      <c r="AB976" s="27">
        <f t="shared" si="31"/>
        <v>2024</v>
      </c>
      <c r="AC976" s="28" t="s">
        <v>4083</v>
      </c>
      <c r="AD976" s="28">
        <v>2667</v>
      </c>
      <c r="AE976" s="27">
        <v>4500022316</v>
      </c>
      <c r="AF976" s="27" t="s">
        <v>339</v>
      </c>
      <c r="AG976" s="29"/>
      <c r="AH976" s="28"/>
      <c r="AI976" s="27"/>
      <c r="AJ976" s="27"/>
      <c r="AK976" s="27"/>
      <c r="AL976" s="27"/>
      <c r="AM976" s="27"/>
      <c r="AN976" s="27" t="s">
        <v>4084</v>
      </c>
      <c r="AO976" s="27"/>
      <c r="AP976" s="27" t="s">
        <v>4085</v>
      </c>
      <c r="AQ976" s="27"/>
      <c r="AR976" s="504"/>
      <c r="AS976" s="332" t="s">
        <v>4076</v>
      </c>
      <c r="AT976" s="160"/>
    </row>
    <row r="977" spans="1:46" ht="21.75" hidden="1" customHeight="1">
      <c r="A977" s="331">
        <v>976</v>
      </c>
      <c r="B977" s="28" t="s">
        <v>4069</v>
      </c>
      <c r="C977" s="28" t="s">
        <v>4086</v>
      </c>
      <c r="D977" s="159" t="s">
        <v>4071</v>
      </c>
      <c r="E977" s="361" t="str">
        <f t="shared" ca="1" si="27"/>
        <v>LOSS</v>
      </c>
      <c r="F977" s="29" t="s">
        <v>4087</v>
      </c>
      <c r="G977" s="28" t="s">
        <v>4087</v>
      </c>
      <c r="H977" s="29" t="s">
        <v>2748</v>
      </c>
      <c r="I977" s="160" t="s">
        <v>346</v>
      </c>
      <c r="J977" s="28" t="s">
        <v>4088</v>
      </c>
      <c r="K977" s="28"/>
      <c r="L977" s="27"/>
      <c r="M977" s="27"/>
      <c r="N977" s="29"/>
      <c r="O977" s="56"/>
      <c r="P977" s="31">
        <v>60000000</v>
      </c>
      <c r="Q977" s="31"/>
      <c r="R977" s="27"/>
      <c r="S977" s="32">
        <v>8000000</v>
      </c>
      <c r="T977" s="33"/>
      <c r="U977" s="334">
        <v>45231</v>
      </c>
      <c r="V977" s="334">
        <v>45596</v>
      </c>
      <c r="W977" s="27" t="s">
        <v>250</v>
      </c>
      <c r="X977" s="27"/>
      <c r="Y977" s="34">
        <f t="shared" ca="1" si="28"/>
        <v>46290</v>
      </c>
      <c r="Z977" s="35">
        <f t="shared" ca="1" si="29"/>
        <v>-694</v>
      </c>
      <c r="AA977" s="27">
        <f t="shared" si="30"/>
        <v>10</v>
      </c>
      <c r="AB977" s="27">
        <f t="shared" si="31"/>
        <v>2024</v>
      </c>
      <c r="AC977" s="28" t="s">
        <v>4089</v>
      </c>
      <c r="AD977" s="28">
        <v>2161</v>
      </c>
      <c r="AE977" s="27">
        <v>4500022146</v>
      </c>
      <c r="AF977" s="27" t="s">
        <v>339</v>
      </c>
      <c r="AG977" s="29" t="s">
        <v>4090</v>
      </c>
      <c r="AH977" s="28" t="s">
        <v>4091</v>
      </c>
      <c r="AI977" s="27"/>
      <c r="AJ977" s="27" t="s">
        <v>4092</v>
      </c>
      <c r="AK977" s="27"/>
      <c r="AL977" s="27" t="s">
        <v>4093</v>
      </c>
      <c r="AM977" s="27"/>
      <c r="AN977" s="27" t="s">
        <v>4094</v>
      </c>
      <c r="AO977" s="27" t="s">
        <v>4095</v>
      </c>
      <c r="AP977" s="27" t="s">
        <v>4096</v>
      </c>
      <c r="AQ977" s="27"/>
      <c r="AR977" s="504"/>
      <c r="AS977" s="333" t="s">
        <v>115</v>
      </c>
      <c r="AT977" s="160"/>
    </row>
    <row r="978" spans="1:46" ht="21.75" hidden="1" customHeight="1">
      <c r="A978" s="331">
        <v>977</v>
      </c>
      <c r="B978" s="28" t="s">
        <v>4097</v>
      </c>
      <c r="C978" s="28" t="s">
        <v>555</v>
      </c>
      <c r="D978" s="443" t="s">
        <v>4098</v>
      </c>
      <c r="E978" s="361" t="str">
        <f t="shared" ca="1" si="27"/>
        <v>LOSS</v>
      </c>
      <c r="F978" s="29"/>
      <c r="G978" s="28" t="s">
        <v>4099</v>
      </c>
      <c r="H978" s="29" t="s">
        <v>2748</v>
      </c>
      <c r="I978" s="29" t="s">
        <v>346</v>
      </c>
      <c r="J978" s="28" t="s">
        <v>4100</v>
      </c>
      <c r="K978" s="28"/>
      <c r="L978" s="27"/>
      <c r="M978" s="27"/>
      <c r="N978" s="29"/>
      <c r="O978" s="56"/>
      <c r="P978" s="31">
        <v>60000000</v>
      </c>
      <c r="Q978" s="31"/>
      <c r="R978" s="27"/>
      <c r="S978" s="32">
        <v>24500000</v>
      </c>
      <c r="T978" s="33"/>
      <c r="U978" s="334">
        <v>44479</v>
      </c>
      <c r="V978" s="334">
        <v>44843</v>
      </c>
      <c r="W978" s="27" t="s">
        <v>245</v>
      </c>
      <c r="X978" s="27"/>
      <c r="Y978" s="34">
        <f t="shared" ca="1" si="28"/>
        <v>46290</v>
      </c>
      <c r="Z978" s="35">
        <f t="shared" ca="1" si="29"/>
        <v>-1447</v>
      </c>
      <c r="AA978" s="27">
        <f t="shared" si="30"/>
        <v>10</v>
      </c>
      <c r="AB978" s="27">
        <f t="shared" si="31"/>
        <v>2022</v>
      </c>
      <c r="AC978" s="46" t="s">
        <v>4101</v>
      </c>
      <c r="AD978" s="46" t="s">
        <v>4102</v>
      </c>
      <c r="AE978" s="47" t="s">
        <v>4103</v>
      </c>
      <c r="AF978" s="27" t="s">
        <v>339</v>
      </c>
      <c r="AG978" s="29" t="s">
        <v>4104</v>
      </c>
      <c r="AH978" s="28" t="s">
        <v>4105</v>
      </c>
      <c r="AI978" s="27">
        <v>110</v>
      </c>
      <c r="AJ978" s="27" t="s">
        <v>4106</v>
      </c>
      <c r="AK978" s="27" t="s">
        <v>4107</v>
      </c>
      <c r="AL978" s="27" t="s">
        <v>4108</v>
      </c>
      <c r="AM978" s="27" t="s">
        <v>4109</v>
      </c>
      <c r="AN978" s="27"/>
      <c r="AO978" s="27"/>
      <c r="AP978" s="27"/>
      <c r="AQ978" s="27"/>
      <c r="AR978" s="504"/>
      <c r="AS978" s="332" t="s">
        <v>4110</v>
      </c>
      <c r="AT978" s="160"/>
    </row>
    <row r="979" spans="1:46" ht="21.75" hidden="1" customHeight="1">
      <c r="A979" s="331">
        <v>978</v>
      </c>
      <c r="B979" s="28" t="s">
        <v>4111</v>
      </c>
      <c r="C979" s="28" t="s">
        <v>4112</v>
      </c>
      <c r="D979" s="444" t="s">
        <v>4113</v>
      </c>
      <c r="E979" s="361" t="str">
        <f t="shared" ca="1" si="27"/>
        <v>LOSS</v>
      </c>
      <c r="F979" s="29"/>
      <c r="G979" s="28" t="s">
        <v>4114</v>
      </c>
      <c r="H979" s="29" t="s">
        <v>2748</v>
      </c>
      <c r="I979" s="160" t="s">
        <v>346</v>
      </c>
      <c r="J979" s="28" t="s">
        <v>4115</v>
      </c>
      <c r="K979" s="28"/>
      <c r="L979" s="27"/>
      <c r="M979" s="27"/>
      <c r="N979" s="29"/>
      <c r="O979" s="56"/>
      <c r="P979" s="31">
        <v>60000000</v>
      </c>
      <c r="Q979" s="31"/>
      <c r="R979" s="27"/>
      <c r="S979" s="32">
        <v>25000000</v>
      </c>
      <c r="T979" s="33"/>
      <c r="U979" s="334">
        <v>45550</v>
      </c>
      <c r="V979" s="334">
        <v>45914</v>
      </c>
      <c r="W979" s="27" t="s">
        <v>250</v>
      </c>
      <c r="X979" s="27"/>
      <c r="Y979" s="34">
        <f t="shared" ca="1" si="28"/>
        <v>46290</v>
      </c>
      <c r="Z979" s="35">
        <f t="shared" ca="1" si="29"/>
        <v>-376</v>
      </c>
      <c r="AA979" s="27">
        <f t="shared" si="30"/>
        <v>9</v>
      </c>
      <c r="AB979" s="27">
        <f t="shared" si="31"/>
        <v>2025</v>
      </c>
      <c r="AC979" s="28" t="s">
        <v>4116</v>
      </c>
      <c r="AD979" s="28" t="s">
        <v>4117</v>
      </c>
      <c r="AE979" s="27">
        <v>4500023594</v>
      </c>
      <c r="AF979" s="27" t="s">
        <v>333</v>
      </c>
      <c r="AG979" s="29"/>
      <c r="AH979" s="28"/>
      <c r="AI979" s="27"/>
      <c r="AJ979" s="27"/>
      <c r="AK979" s="27"/>
      <c r="AL979" s="27" t="s">
        <v>4118</v>
      </c>
      <c r="AM979" s="27"/>
      <c r="AN979" s="27"/>
      <c r="AO979" s="27" t="s">
        <v>4119</v>
      </c>
      <c r="AP979" s="27" t="s">
        <v>4120</v>
      </c>
      <c r="AQ979" s="27"/>
      <c r="AR979" s="504"/>
      <c r="AS979" s="332" t="s">
        <v>4121</v>
      </c>
      <c r="AT979" s="160"/>
    </row>
    <row r="980" spans="1:46" ht="21.75" hidden="1" customHeight="1">
      <c r="A980" s="331">
        <v>979</v>
      </c>
      <c r="B980" s="28" t="s">
        <v>103</v>
      </c>
      <c r="C980" s="28" t="s">
        <v>4070</v>
      </c>
      <c r="D980" s="438" t="s">
        <v>4122</v>
      </c>
      <c r="E980" s="361" t="str">
        <f t="shared" ca="1" si="27"/>
        <v>LOSS</v>
      </c>
      <c r="F980" s="29"/>
      <c r="G980" s="28" t="s">
        <v>4123</v>
      </c>
      <c r="H980" s="29" t="s">
        <v>2748</v>
      </c>
      <c r="I980" s="160" t="s">
        <v>346</v>
      </c>
      <c r="J980" s="28" t="s">
        <v>107</v>
      </c>
      <c r="K980" s="28"/>
      <c r="L980" s="27"/>
      <c r="M980" s="27"/>
      <c r="N980" s="29"/>
      <c r="O980" s="56"/>
      <c r="P980" s="31">
        <f>12*3818182</f>
        <v>45818184</v>
      </c>
      <c r="Q980" s="31"/>
      <c r="R980" s="27"/>
      <c r="S980" s="32">
        <v>5100300</v>
      </c>
      <c r="T980" s="33"/>
      <c r="U980" s="334">
        <v>45534</v>
      </c>
      <c r="V980" s="334">
        <v>45898</v>
      </c>
      <c r="W980" s="27" t="s">
        <v>250</v>
      </c>
      <c r="X980" s="27"/>
      <c r="Y980" s="34">
        <f t="shared" ca="1" si="28"/>
        <v>46290</v>
      </c>
      <c r="Z980" s="35">
        <f t="shared" ca="1" si="29"/>
        <v>-392</v>
      </c>
      <c r="AA980" s="27">
        <f t="shared" si="30"/>
        <v>8</v>
      </c>
      <c r="AB980" s="27">
        <f t="shared" si="31"/>
        <v>2025</v>
      </c>
      <c r="AC980" s="28" t="s">
        <v>4124</v>
      </c>
      <c r="AD980" s="28" t="s">
        <v>4125</v>
      </c>
      <c r="AE980" s="27">
        <v>4500022947</v>
      </c>
      <c r="AF980" s="27" t="s">
        <v>333</v>
      </c>
      <c r="AG980" s="29"/>
      <c r="AH980" s="28"/>
      <c r="AI980" s="27"/>
      <c r="AJ980" s="27"/>
      <c r="AK980" s="27"/>
      <c r="AL980" s="27"/>
      <c r="AM980" s="27"/>
      <c r="AN980" s="27" t="s">
        <v>4126</v>
      </c>
      <c r="AO980" s="27" t="s">
        <v>4127</v>
      </c>
      <c r="AP980" s="27" t="s">
        <v>4128</v>
      </c>
      <c r="AQ980" s="27"/>
      <c r="AR980" s="504"/>
      <c r="AS980" s="332" t="s">
        <v>4129</v>
      </c>
      <c r="AT980" s="160"/>
    </row>
    <row r="981" spans="1:46" ht="21.75" hidden="1" customHeight="1">
      <c r="A981" s="331">
        <v>980</v>
      </c>
      <c r="B981" s="28" t="s">
        <v>103</v>
      </c>
      <c r="C981" s="28" t="s">
        <v>4130</v>
      </c>
      <c r="D981" s="437" t="s">
        <v>4131</v>
      </c>
      <c r="E981" s="361" t="str">
        <f t="shared" ca="1" si="27"/>
        <v>LOSS</v>
      </c>
      <c r="F981" s="29"/>
      <c r="G981" s="28" t="s">
        <v>4132</v>
      </c>
      <c r="H981" s="29" t="s">
        <v>2748</v>
      </c>
      <c r="I981" s="29" t="s">
        <v>346</v>
      </c>
      <c r="J981" s="28" t="s">
        <v>4133</v>
      </c>
      <c r="K981" s="28"/>
      <c r="L981" s="27"/>
      <c r="M981" s="27"/>
      <c r="N981" s="29"/>
      <c r="O981" s="56"/>
      <c r="P981" s="31"/>
      <c r="Q981" s="31"/>
      <c r="R981" s="27"/>
      <c r="S981" s="32">
        <v>12000000</v>
      </c>
      <c r="T981" s="33"/>
      <c r="U981" s="334">
        <v>44792</v>
      </c>
      <c r="V981" s="334">
        <v>45156</v>
      </c>
      <c r="W981" s="27" t="s">
        <v>245</v>
      </c>
      <c r="X981" s="27"/>
      <c r="Y981" s="34">
        <f t="shared" ca="1" si="28"/>
        <v>46290</v>
      </c>
      <c r="Z981" s="35">
        <f t="shared" ca="1" si="29"/>
        <v>-1134</v>
      </c>
      <c r="AA981" s="27">
        <f t="shared" si="30"/>
        <v>8</v>
      </c>
      <c r="AB981" s="27">
        <f t="shared" si="31"/>
        <v>2023</v>
      </c>
      <c r="AC981" s="28" t="s">
        <v>4134</v>
      </c>
      <c r="AD981" s="28" t="s">
        <v>4135</v>
      </c>
      <c r="AE981" s="27">
        <v>4500018462</v>
      </c>
      <c r="AF981" s="27" t="s">
        <v>339</v>
      </c>
      <c r="AG981" s="29" t="s">
        <v>4136</v>
      </c>
      <c r="AH981" s="28" t="s">
        <v>4137</v>
      </c>
      <c r="AI981" s="27"/>
      <c r="AJ981" s="27"/>
      <c r="AK981" s="27"/>
      <c r="AL981" s="27" t="s">
        <v>4138</v>
      </c>
      <c r="AM981" s="27" t="s">
        <v>4139</v>
      </c>
      <c r="AN981" s="27" t="s">
        <v>4140</v>
      </c>
      <c r="AO981" s="27"/>
      <c r="AP981" s="27"/>
      <c r="AQ981" s="27"/>
      <c r="AR981" s="504"/>
      <c r="AS981" s="332" t="s">
        <v>4141</v>
      </c>
      <c r="AT981" s="160"/>
    </row>
    <row r="982" spans="1:46" ht="21.75" hidden="1" customHeight="1">
      <c r="A982" s="331">
        <v>981</v>
      </c>
      <c r="B982" s="28" t="s">
        <v>103</v>
      </c>
      <c r="C982" s="28" t="s">
        <v>2728</v>
      </c>
      <c r="D982" s="438" t="s">
        <v>4122</v>
      </c>
      <c r="E982" s="361" t="str">
        <f t="shared" ca="1" si="27"/>
        <v>LOSS</v>
      </c>
      <c r="F982" s="29"/>
      <c r="G982" s="28" t="s">
        <v>4122</v>
      </c>
      <c r="H982" s="29" t="s">
        <v>2748</v>
      </c>
      <c r="I982" s="29" t="s">
        <v>346</v>
      </c>
      <c r="J982" s="28" t="s">
        <v>557</v>
      </c>
      <c r="K982" s="28"/>
      <c r="L982" s="27"/>
      <c r="M982" s="27"/>
      <c r="N982" s="29"/>
      <c r="O982" s="56"/>
      <c r="P982" s="31">
        <v>54000000</v>
      </c>
      <c r="Q982" s="31"/>
      <c r="R982" s="27"/>
      <c r="S982" s="32">
        <v>37500000</v>
      </c>
      <c r="T982" s="33"/>
      <c r="U982" s="334">
        <v>44800</v>
      </c>
      <c r="V982" s="334">
        <v>45164</v>
      </c>
      <c r="W982" s="27" t="s">
        <v>250</v>
      </c>
      <c r="X982" s="27"/>
      <c r="Y982" s="34">
        <f t="shared" ca="1" si="28"/>
        <v>46290</v>
      </c>
      <c r="Z982" s="35">
        <f t="shared" ca="1" si="29"/>
        <v>-1126</v>
      </c>
      <c r="AA982" s="27">
        <f t="shared" si="30"/>
        <v>8</v>
      </c>
      <c r="AB982" s="27">
        <f t="shared" si="31"/>
        <v>2023</v>
      </c>
      <c r="AC982" s="28" t="s">
        <v>4142</v>
      </c>
      <c r="AD982" s="28" t="s">
        <v>4143</v>
      </c>
      <c r="AE982" s="27">
        <v>4500018257</v>
      </c>
      <c r="AF982" s="27" t="s">
        <v>339</v>
      </c>
      <c r="AG982" s="29" t="s">
        <v>4136</v>
      </c>
      <c r="AH982" s="28" t="s">
        <v>4137</v>
      </c>
      <c r="AI982" s="27">
        <v>66</v>
      </c>
      <c r="AJ982" s="27" t="s">
        <v>4144</v>
      </c>
      <c r="AK982" s="27" t="s">
        <v>4145</v>
      </c>
      <c r="AL982" s="27" t="s">
        <v>4146</v>
      </c>
      <c r="AM982" s="27" t="s">
        <v>4147</v>
      </c>
      <c r="AN982" s="27" t="s">
        <v>4148</v>
      </c>
      <c r="AO982" s="27"/>
      <c r="AP982" s="27"/>
      <c r="AQ982" s="27"/>
      <c r="AR982" s="504"/>
      <c r="AS982" s="332" t="s">
        <v>4149</v>
      </c>
      <c r="AT982" s="160"/>
    </row>
    <row r="983" spans="1:46" ht="21.75" hidden="1" customHeight="1">
      <c r="A983" s="331">
        <v>982</v>
      </c>
      <c r="B983" s="28" t="s">
        <v>103</v>
      </c>
      <c r="C983" s="28" t="s">
        <v>349</v>
      </c>
      <c r="D983" s="437" t="s">
        <v>4131</v>
      </c>
      <c r="E983" s="361" t="str">
        <f t="shared" ca="1" si="27"/>
        <v>LOSS</v>
      </c>
      <c r="F983" s="29"/>
      <c r="G983" s="28" t="s">
        <v>4150</v>
      </c>
      <c r="H983" s="29" t="s">
        <v>2748</v>
      </c>
      <c r="I983" s="29" t="s">
        <v>346</v>
      </c>
      <c r="J983" s="28" t="s">
        <v>104</v>
      </c>
      <c r="K983" s="28"/>
      <c r="L983" s="27"/>
      <c r="M983" s="27"/>
      <c r="N983" s="29"/>
      <c r="O983" s="56"/>
      <c r="P983" s="31">
        <v>36000000</v>
      </c>
      <c r="Q983" s="31"/>
      <c r="R983" s="27"/>
      <c r="S983" s="32">
        <v>11250000</v>
      </c>
      <c r="T983" s="33"/>
      <c r="U983" s="334">
        <v>45394</v>
      </c>
      <c r="V983" s="334">
        <v>45758</v>
      </c>
      <c r="W983" s="27" t="s">
        <v>250</v>
      </c>
      <c r="X983" s="27"/>
      <c r="Y983" s="34">
        <f t="shared" ca="1" si="28"/>
        <v>46290</v>
      </c>
      <c r="Z983" s="35">
        <f t="shared" ca="1" si="29"/>
        <v>-532</v>
      </c>
      <c r="AA983" s="27">
        <f t="shared" si="30"/>
        <v>4</v>
      </c>
      <c r="AB983" s="27">
        <f t="shared" si="31"/>
        <v>2025</v>
      </c>
      <c r="AC983" s="28" t="s">
        <v>4151</v>
      </c>
      <c r="AD983" s="28">
        <v>3091</v>
      </c>
      <c r="AE983" s="27">
        <v>4500022562</v>
      </c>
      <c r="AF983" s="27" t="s">
        <v>339</v>
      </c>
      <c r="AG983" s="29" t="s">
        <v>4136</v>
      </c>
      <c r="AH983" s="28" t="s">
        <v>4137</v>
      </c>
      <c r="AI983" s="27"/>
      <c r="AJ983" s="27">
        <v>148</v>
      </c>
      <c r="AK983" s="27" t="s">
        <v>4152</v>
      </c>
      <c r="AL983" s="27" t="s">
        <v>4153</v>
      </c>
      <c r="AM983" s="27" t="s">
        <v>4154</v>
      </c>
      <c r="AN983" s="27" t="s">
        <v>4155</v>
      </c>
      <c r="AO983" s="27" t="s">
        <v>4156</v>
      </c>
      <c r="AP983" s="27" t="s">
        <v>4157</v>
      </c>
      <c r="AQ983" s="27"/>
      <c r="AR983" s="504"/>
      <c r="AS983" s="332" t="s">
        <v>4158</v>
      </c>
      <c r="AT983" s="160"/>
    </row>
    <row r="984" spans="1:46" ht="21.75" hidden="1" customHeight="1">
      <c r="A984" s="331">
        <v>983</v>
      </c>
      <c r="B984" s="28" t="s">
        <v>103</v>
      </c>
      <c r="C984" s="28" t="s">
        <v>4159</v>
      </c>
      <c r="D984" s="438" t="s">
        <v>4131</v>
      </c>
      <c r="E984" s="361" t="str">
        <f t="shared" ca="1" si="27"/>
        <v>LOSS</v>
      </c>
      <c r="F984" s="29"/>
      <c r="G984" s="28" t="s">
        <v>4160</v>
      </c>
      <c r="H984" s="29" t="s">
        <v>2748</v>
      </c>
      <c r="I984" s="29" t="s">
        <v>346</v>
      </c>
      <c r="J984" s="28" t="s">
        <v>105</v>
      </c>
      <c r="K984" s="28"/>
      <c r="L984" s="27"/>
      <c r="M984" s="27"/>
      <c r="N984" s="29"/>
      <c r="O984" s="56"/>
      <c r="P984" s="31">
        <v>54000000</v>
      </c>
      <c r="Q984" s="31"/>
      <c r="R984" s="27"/>
      <c r="S984" s="32">
        <v>15480000</v>
      </c>
      <c r="T984" s="33"/>
      <c r="U984" s="334">
        <v>45318</v>
      </c>
      <c r="V984" s="334">
        <v>45683</v>
      </c>
      <c r="W984" s="27" t="s">
        <v>250</v>
      </c>
      <c r="X984" s="27"/>
      <c r="Y984" s="34">
        <f t="shared" ca="1" si="28"/>
        <v>46290</v>
      </c>
      <c r="Z984" s="35">
        <f t="shared" ca="1" si="29"/>
        <v>-607</v>
      </c>
      <c r="AA984" s="27">
        <f t="shared" si="30"/>
        <v>1</v>
      </c>
      <c r="AB984" s="27">
        <f t="shared" si="31"/>
        <v>2025</v>
      </c>
      <c r="AC984" s="28" t="s">
        <v>4161</v>
      </c>
      <c r="AD984" s="28">
        <v>2573</v>
      </c>
      <c r="AE984" s="27">
        <v>4500022247</v>
      </c>
      <c r="AF984" s="27" t="s">
        <v>339</v>
      </c>
      <c r="AG984" s="29" t="s">
        <v>4136</v>
      </c>
      <c r="AH984" s="28" t="s">
        <v>4137</v>
      </c>
      <c r="AI984" s="27"/>
      <c r="AJ984" s="27"/>
      <c r="AK984" s="27"/>
      <c r="AL984" s="27" t="s">
        <v>4162</v>
      </c>
      <c r="AM984" s="27" t="s">
        <v>4163</v>
      </c>
      <c r="AN984" s="27" t="s">
        <v>4164</v>
      </c>
      <c r="AO984" s="27" t="s">
        <v>4165</v>
      </c>
      <c r="AP984" s="27" t="s">
        <v>4166</v>
      </c>
      <c r="AQ984" s="27"/>
      <c r="AR984" s="504"/>
      <c r="AS984" s="332" t="s">
        <v>4167</v>
      </c>
      <c r="AT984" s="160"/>
    </row>
    <row r="985" spans="1:46" ht="21.75" hidden="1" customHeight="1">
      <c r="A985" s="331">
        <v>984</v>
      </c>
      <c r="B985" s="28" t="s">
        <v>103</v>
      </c>
      <c r="C985" s="28" t="s">
        <v>4168</v>
      </c>
      <c r="D985" s="437" t="s">
        <v>4122</v>
      </c>
      <c r="E985" s="361" t="str">
        <f t="shared" ca="1" si="27"/>
        <v>LOSS</v>
      </c>
      <c r="F985" s="29"/>
      <c r="G985" s="28" t="s">
        <v>4169</v>
      </c>
      <c r="H985" s="29" t="s">
        <v>2748</v>
      </c>
      <c r="I985" s="29" t="s">
        <v>346</v>
      </c>
      <c r="J985" s="28" t="s">
        <v>106</v>
      </c>
      <c r="K985" s="28"/>
      <c r="L985" s="27"/>
      <c r="M985" s="27"/>
      <c r="N985" s="29"/>
      <c r="O985" s="56"/>
      <c r="P985" s="31">
        <f>12*3300000</f>
        <v>39600000</v>
      </c>
      <c r="Q985" s="31"/>
      <c r="R985" s="27"/>
      <c r="S985" s="32">
        <v>31500000</v>
      </c>
      <c r="T985" s="33"/>
      <c r="U985" s="334">
        <v>45383</v>
      </c>
      <c r="V985" s="334">
        <v>45747</v>
      </c>
      <c r="W985" s="27" t="s">
        <v>250</v>
      </c>
      <c r="X985" s="27"/>
      <c r="Y985" s="34">
        <f t="shared" ca="1" si="28"/>
        <v>46290</v>
      </c>
      <c r="Z985" s="35">
        <f t="shared" ca="1" si="29"/>
        <v>-543</v>
      </c>
      <c r="AA985" s="27">
        <f t="shared" si="30"/>
        <v>3</v>
      </c>
      <c r="AB985" s="27">
        <f t="shared" si="31"/>
        <v>2025</v>
      </c>
      <c r="AC985" s="28" t="s">
        <v>4170</v>
      </c>
      <c r="AD985" s="28">
        <v>2849</v>
      </c>
      <c r="AE985" s="27">
        <v>4500022472</v>
      </c>
      <c r="AF985" s="27" t="s">
        <v>339</v>
      </c>
      <c r="AG985" s="29" t="s">
        <v>4171</v>
      </c>
      <c r="AH985" s="28"/>
      <c r="AI985" s="27"/>
      <c r="AJ985" s="27"/>
      <c r="AK985" s="27"/>
      <c r="AL985" s="27"/>
      <c r="AM985" s="27"/>
      <c r="AN985" s="27" t="s">
        <v>4172</v>
      </c>
      <c r="AO985" s="27" t="s">
        <v>4173</v>
      </c>
      <c r="AP985" s="27" t="s">
        <v>4174</v>
      </c>
      <c r="AQ985" s="27"/>
      <c r="AR985" s="504"/>
      <c r="AS985" s="332"/>
      <c r="AT985" s="160"/>
    </row>
    <row r="986" spans="1:46" ht="21.75" hidden="1" customHeight="1">
      <c r="A986" s="331">
        <v>985</v>
      </c>
      <c r="B986" s="28" t="s">
        <v>103</v>
      </c>
      <c r="C986" s="28" t="s">
        <v>4175</v>
      </c>
      <c r="D986" s="438" t="s">
        <v>4122</v>
      </c>
      <c r="E986" s="361" t="str">
        <f t="shared" ca="1" si="27"/>
        <v>LOSS</v>
      </c>
      <c r="F986" s="29" t="s">
        <v>115</v>
      </c>
      <c r="G986" s="28" t="s">
        <v>4176</v>
      </c>
      <c r="H986" s="29" t="s">
        <v>2748</v>
      </c>
      <c r="I986" s="29" t="s">
        <v>346</v>
      </c>
      <c r="J986" s="28" t="s">
        <v>4177</v>
      </c>
      <c r="K986" s="28"/>
      <c r="L986" s="27"/>
      <c r="M986" s="27"/>
      <c r="N986" s="29"/>
      <c r="O986" s="56"/>
      <c r="P986" s="31">
        <v>8036892000</v>
      </c>
      <c r="Q986" s="31"/>
      <c r="R986" s="27"/>
      <c r="S986" s="32">
        <v>38700000</v>
      </c>
      <c r="T986" s="33"/>
      <c r="U986" s="334">
        <v>45261</v>
      </c>
      <c r="V986" s="334">
        <v>45626</v>
      </c>
      <c r="W986" s="27" t="s">
        <v>250</v>
      </c>
      <c r="X986" s="27"/>
      <c r="Y986" s="34">
        <f t="shared" ca="1" si="28"/>
        <v>46290</v>
      </c>
      <c r="Z986" s="35">
        <f t="shared" ca="1" si="29"/>
        <v>-664</v>
      </c>
      <c r="AA986" s="27">
        <f t="shared" si="30"/>
        <v>11</v>
      </c>
      <c r="AB986" s="27">
        <f t="shared" si="31"/>
        <v>2024</v>
      </c>
      <c r="AC986" s="28" t="s">
        <v>479</v>
      </c>
      <c r="AD986" s="28" t="s">
        <v>4178</v>
      </c>
      <c r="AE986" s="27">
        <v>4500021830</v>
      </c>
      <c r="AF986" s="27" t="s">
        <v>333</v>
      </c>
      <c r="AG986" s="29" t="s">
        <v>4179</v>
      </c>
      <c r="AH986" s="28" t="s">
        <v>4180</v>
      </c>
      <c r="AI986" s="27"/>
      <c r="AJ986" s="27"/>
      <c r="AK986" s="27"/>
      <c r="AL986" s="27"/>
      <c r="AM986" s="27"/>
      <c r="AN986" s="27"/>
      <c r="AO986" s="27" t="s">
        <v>4181</v>
      </c>
      <c r="AP986" s="27"/>
      <c r="AQ986" s="27"/>
      <c r="AR986" s="504"/>
      <c r="AS986" s="332" t="s">
        <v>4182</v>
      </c>
      <c r="AT986" s="160"/>
    </row>
    <row r="987" spans="1:46" ht="21.75" hidden="1" customHeight="1">
      <c r="A987" s="331">
        <v>986</v>
      </c>
      <c r="B987" s="28" t="s">
        <v>103</v>
      </c>
      <c r="C987" s="28" t="s">
        <v>4183</v>
      </c>
      <c r="D987" s="437" t="s">
        <v>4122</v>
      </c>
      <c r="E987" s="361" t="str">
        <f t="shared" ca="1" si="27"/>
        <v>LOSS</v>
      </c>
      <c r="F987" s="29" t="s">
        <v>115</v>
      </c>
      <c r="G987" s="28" t="s">
        <v>4184</v>
      </c>
      <c r="H987" s="29" t="s">
        <v>2748</v>
      </c>
      <c r="I987" s="29" t="s">
        <v>346</v>
      </c>
      <c r="J987" s="28" t="s">
        <v>4185</v>
      </c>
      <c r="K987" s="28"/>
      <c r="L987" s="27"/>
      <c r="M987" s="27"/>
      <c r="N987" s="29"/>
      <c r="O987" s="56"/>
      <c r="P987" s="31">
        <v>8036892000</v>
      </c>
      <c r="Q987" s="31"/>
      <c r="R987" s="27"/>
      <c r="S987" s="32">
        <v>25200000</v>
      </c>
      <c r="T987" s="33"/>
      <c r="U987" s="334">
        <v>45261</v>
      </c>
      <c r="V987" s="334">
        <v>45626</v>
      </c>
      <c r="W987" s="27" t="s">
        <v>250</v>
      </c>
      <c r="X987" s="27"/>
      <c r="Y987" s="34">
        <f t="shared" ca="1" si="28"/>
        <v>46290</v>
      </c>
      <c r="Z987" s="35">
        <f t="shared" ca="1" si="29"/>
        <v>-664</v>
      </c>
      <c r="AA987" s="27">
        <f t="shared" si="30"/>
        <v>11</v>
      </c>
      <c r="AB987" s="27">
        <f t="shared" si="31"/>
        <v>2024</v>
      </c>
      <c r="AC987" s="28" t="s">
        <v>479</v>
      </c>
      <c r="AD987" s="28" t="s">
        <v>4186</v>
      </c>
      <c r="AE987" s="27">
        <v>4500021829</v>
      </c>
      <c r="AF987" s="27" t="s">
        <v>333</v>
      </c>
      <c r="AG987" s="29" t="s">
        <v>4179</v>
      </c>
      <c r="AH987" s="28" t="s">
        <v>4180</v>
      </c>
      <c r="AI987" s="27"/>
      <c r="AJ987" s="27"/>
      <c r="AK987" s="27"/>
      <c r="AL987" s="27"/>
      <c r="AM987" s="27"/>
      <c r="AN987" s="27"/>
      <c r="AO987" s="27" t="s">
        <v>4187</v>
      </c>
      <c r="AP987" s="27"/>
      <c r="AQ987" s="27"/>
      <c r="AR987" s="504"/>
      <c r="AS987" s="332" t="s">
        <v>4188</v>
      </c>
      <c r="AT987" s="160"/>
    </row>
    <row r="988" spans="1:46" ht="21.75" hidden="1" customHeight="1">
      <c r="A988" s="331">
        <v>987</v>
      </c>
      <c r="B988" s="28" t="s">
        <v>103</v>
      </c>
      <c r="C988" s="28" t="s">
        <v>4189</v>
      </c>
      <c r="D988" s="438" t="s">
        <v>4122</v>
      </c>
      <c r="E988" s="361" t="str">
        <f t="shared" ca="1" si="27"/>
        <v>LOSS</v>
      </c>
      <c r="F988" s="29" t="s">
        <v>115</v>
      </c>
      <c r="G988" s="28" t="s">
        <v>4190</v>
      </c>
      <c r="H988" s="29" t="s">
        <v>2748</v>
      </c>
      <c r="I988" s="29" t="s">
        <v>346</v>
      </c>
      <c r="J988" s="28" t="s">
        <v>4191</v>
      </c>
      <c r="K988" s="28"/>
      <c r="L988" s="27"/>
      <c r="M988" s="27"/>
      <c r="N988" s="29"/>
      <c r="O988" s="56"/>
      <c r="P988" s="31">
        <v>8036892000</v>
      </c>
      <c r="Q988" s="31"/>
      <c r="R988" s="27"/>
      <c r="S988" s="32">
        <v>27000000</v>
      </c>
      <c r="T988" s="33"/>
      <c r="U988" s="334">
        <v>45261</v>
      </c>
      <c r="V988" s="334">
        <v>45626</v>
      </c>
      <c r="W988" s="27" t="s">
        <v>250</v>
      </c>
      <c r="X988" s="27"/>
      <c r="Y988" s="34">
        <f t="shared" ca="1" si="28"/>
        <v>46290</v>
      </c>
      <c r="Z988" s="35">
        <f t="shared" ca="1" si="29"/>
        <v>-664</v>
      </c>
      <c r="AA988" s="27">
        <f t="shared" si="30"/>
        <v>11</v>
      </c>
      <c r="AB988" s="27">
        <f t="shared" si="31"/>
        <v>2024</v>
      </c>
      <c r="AC988" s="28" t="s">
        <v>479</v>
      </c>
      <c r="AD988" s="28" t="s">
        <v>4192</v>
      </c>
      <c r="AE988" s="27">
        <v>4500021850</v>
      </c>
      <c r="AF988" s="27" t="s">
        <v>333</v>
      </c>
      <c r="AG988" s="29" t="s">
        <v>4179</v>
      </c>
      <c r="AH988" s="28" t="s">
        <v>4180</v>
      </c>
      <c r="AI988" s="27"/>
      <c r="AJ988" s="27"/>
      <c r="AK988" s="27"/>
      <c r="AL988" s="27"/>
      <c r="AM988" s="27"/>
      <c r="AN988" s="27"/>
      <c r="AO988" s="27" t="s">
        <v>4193</v>
      </c>
      <c r="AP988" s="27"/>
      <c r="AQ988" s="27"/>
      <c r="AR988" s="504"/>
      <c r="AS988" s="332" t="s">
        <v>4194</v>
      </c>
      <c r="AT988" s="160"/>
    </row>
    <row r="989" spans="1:46" ht="21.75" hidden="1" customHeight="1">
      <c r="A989" s="331">
        <v>988</v>
      </c>
      <c r="B989" s="28" t="s">
        <v>103</v>
      </c>
      <c r="C989" s="28" t="s">
        <v>4195</v>
      </c>
      <c r="D989" s="437" t="s">
        <v>4122</v>
      </c>
      <c r="E989" s="361" t="str">
        <f t="shared" ca="1" si="27"/>
        <v>LOSS</v>
      </c>
      <c r="F989" s="29" t="s">
        <v>4196</v>
      </c>
      <c r="G989" s="28" t="s">
        <v>4197</v>
      </c>
      <c r="H989" s="29" t="s">
        <v>2748</v>
      </c>
      <c r="I989" s="29" t="s">
        <v>346</v>
      </c>
      <c r="J989" s="28" t="s">
        <v>4198</v>
      </c>
      <c r="K989" s="28"/>
      <c r="L989" s="27"/>
      <c r="M989" s="27"/>
      <c r="N989" s="29"/>
      <c r="O989" s="56"/>
      <c r="P989" s="31">
        <v>77272724</v>
      </c>
      <c r="Q989" s="31"/>
      <c r="R989" s="27"/>
      <c r="S989" s="32">
        <v>46530000</v>
      </c>
      <c r="T989" s="33"/>
      <c r="U989" s="334">
        <v>45261</v>
      </c>
      <c r="V989" s="334">
        <v>45626</v>
      </c>
      <c r="W989" s="27" t="s">
        <v>250</v>
      </c>
      <c r="X989" s="27"/>
      <c r="Y989" s="34">
        <f t="shared" ca="1" si="28"/>
        <v>46290</v>
      </c>
      <c r="Z989" s="35">
        <f t="shared" ca="1" si="29"/>
        <v>-664</v>
      </c>
      <c r="AA989" s="27">
        <f t="shared" si="30"/>
        <v>11</v>
      </c>
      <c r="AB989" s="27">
        <f t="shared" si="31"/>
        <v>2024</v>
      </c>
      <c r="AC989" s="28" t="s">
        <v>479</v>
      </c>
      <c r="AD989" s="28" t="s">
        <v>4199</v>
      </c>
      <c r="AE989" s="27">
        <v>4500021685</v>
      </c>
      <c r="AF989" s="27" t="s">
        <v>339</v>
      </c>
      <c r="AG989" s="29" t="s">
        <v>4179</v>
      </c>
      <c r="AH989" s="28" t="s">
        <v>4180</v>
      </c>
      <c r="AI989" s="27"/>
      <c r="AJ989" s="27"/>
      <c r="AK989" s="27"/>
      <c r="AL989" s="27"/>
      <c r="AM989" s="27"/>
      <c r="AN989" s="27"/>
      <c r="AO989" s="27" t="s">
        <v>4200</v>
      </c>
      <c r="AP989" s="27"/>
      <c r="AQ989" s="27"/>
      <c r="AR989" s="504"/>
      <c r="AS989" s="332" t="s">
        <v>4201</v>
      </c>
      <c r="AT989" s="160"/>
    </row>
    <row r="990" spans="1:46" ht="21.75" hidden="1" customHeight="1">
      <c r="A990" s="331">
        <v>989</v>
      </c>
      <c r="B990" s="28" t="s">
        <v>4202</v>
      </c>
      <c r="C990" s="28" t="s">
        <v>571</v>
      </c>
      <c r="D990" s="438" t="s">
        <v>4203</v>
      </c>
      <c r="E990" s="361" t="str">
        <f t="shared" ca="1" si="27"/>
        <v>LOSS</v>
      </c>
      <c r="F990" s="29"/>
      <c r="G990" s="28" t="s">
        <v>4204</v>
      </c>
      <c r="H990" s="29" t="s">
        <v>2748</v>
      </c>
      <c r="I990" s="29" t="s">
        <v>242</v>
      </c>
      <c r="J990" s="28" t="s">
        <v>4205</v>
      </c>
      <c r="K990" s="28"/>
      <c r="L990" s="27"/>
      <c r="M990" s="27"/>
      <c r="N990" s="29"/>
      <c r="O990" s="56"/>
      <c r="P990" s="31">
        <f>12*4500000</f>
        <v>54000000</v>
      </c>
      <c r="Q990" s="31"/>
      <c r="R990" s="30"/>
      <c r="S990" s="32">
        <v>24000000</v>
      </c>
      <c r="T990" s="33"/>
      <c r="U990" s="334">
        <v>45290</v>
      </c>
      <c r="V990" s="334">
        <v>45655</v>
      </c>
      <c r="W990" s="27" t="s">
        <v>250</v>
      </c>
      <c r="X990" s="27"/>
      <c r="Y990" s="34">
        <f t="shared" ca="1" si="28"/>
        <v>46290</v>
      </c>
      <c r="Z990" s="35">
        <f t="shared" ca="1" si="29"/>
        <v>-635</v>
      </c>
      <c r="AA990" s="27">
        <f t="shared" si="30"/>
        <v>12</v>
      </c>
      <c r="AB990" s="27">
        <f t="shared" si="31"/>
        <v>2024</v>
      </c>
      <c r="AC990" s="28" t="s">
        <v>4206</v>
      </c>
      <c r="AD990" s="28" t="s">
        <v>4207</v>
      </c>
      <c r="AE990" s="27">
        <v>4500021746</v>
      </c>
      <c r="AF990" s="27" t="s">
        <v>333</v>
      </c>
      <c r="AG990" s="29"/>
      <c r="AH990" s="28"/>
      <c r="AI990" s="27"/>
      <c r="AJ990" s="27"/>
      <c r="AK990" s="27"/>
      <c r="AL990" s="27"/>
      <c r="AM990" s="27"/>
      <c r="AN990" s="27" t="s">
        <v>4208</v>
      </c>
      <c r="AO990" s="27" t="s">
        <v>4209</v>
      </c>
      <c r="AP990" s="27"/>
      <c r="AQ990" s="27"/>
      <c r="AR990" s="504"/>
      <c r="AS990" s="332" t="s">
        <v>3506</v>
      </c>
      <c r="AT990" s="160"/>
    </row>
    <row r="991" spans="1:46" ht="21.75" hidden="1" customHeight="1">
      <c r="A991" s="331">
        <v>990</v>
      </c>
      <c r="B991" s="28" t="s">
        <v>4202</v>
      </c>
      <c r="C991" s="40" t="s">
        <v>4210</v>
      </c>
      <c r="D991" s="437" t="s">
        <v>4211</v>
      </c>
      <c r="E991" s="361" t="str">
        <f t="shared" ca="1" si="27"/>
        <v>LOSS</v>
      </c>
      <c r="F991" s="29"/>
      <c r="G991" s="28" t="s">
        <v>4212</v>
      </c>
      <c r="H991" s="29" t="s">
        <v>2748</v>
      </c>
      <c r="I991" s="29" t="s">
        <v>242</v>
      </c>
      <c r="J991" s="28" t="s">
        <v>134</v>
      </c>
      <c r="K991" s="28"/>
      <c r="L991" s="27"/>
      <c r="M991" s="27"/>
      <c r="N991" s="29"/>
      <c r="O991" s="56"/>
      <c r="P991" s="31">
        <f>12*5454445</f>
        <v>65453340</v>
      </c>
      <c r="Q991" s="31"/>
      <c r="R991" s="30"/>
      <c r="S991" s="32">
        <v>24000000</v>
      </c>
      <c r="T991" s="33"/>
      <c r="U991" s="334">
        <v>45282</v>
      </c>
      <c r="V991" s="334">
        <v>45647</v>
      </c>
      <c r="W991" s="27" t="s">
        <v>250</v>
      </c>
      <c r="X991" s="27"/>
      <c r="Y991" s="34">
        <f t="shared" ca="1" si="28"/>
        <v>46290</v>
      </c>
      <c r="Z991" s="35">
        <f t="shared" ca="1" si="29"/>
        <v>-643</v>
      </c>
      <c r="AA991" s="27">
        <f t="shared" si="30"/>
        <v>12</v>
      </c>
      <c r="AB991" s="27">
        <f t="shared" si="31"/>
        <v>2024</v>
      </c>
      <c r="AC991" s="28" t="s">
        <v>4213</v>
      </c>
      <c r="AD991" s="28" t="s">
        <v>4214</v>
      </c>
      <c r="AE991" s="27">
        <v>4500021747</v>
      </c>
      <c r="AF991" s="27" t="s">
        <v>333</v>
      </c>
      <c r="AG991" s="29"/>
      <c r="AH991" s="28"/>
      <c r="AI991" s="27"/>
      <c r="AJ991" s="27"/>
      <c r="AK991" s="27"/>
      <c r="AL991" s="27"/>
      <c r="AM991" s="27"/>
      <c r="AN991" s="27" t="s">
        <v>4215</v>
      </c>
      <c r="AO991" s="27" t="s">
        <v>4216</v>
      </c>
      <c r="AP991" s="27"/>
      <c r="AQ991" s="27"/>
      <c r="AR991" s="504"/>
      <c r="AS991" s="332" t="s">
        <v>4217</v>
      </c>
      <c r="AT991" s="160"/>
    </row>
    <row r="992" spans="1:46" ht="21.75" hidden="1" customHeight="1">
      <c r="A992" s="331">
        <v>991</v>
      </c>
      <c r="B992" s="28" t="s">
        <v>4218</v>
      </c>
      <c r="C992" s="28" t="s">
        <v>4219</v>
      </c>
      <c r="D992" s="438" t="s">
        <v>4220</v>
      </c>
      <c r="E992" s="361" t="str">
        <f t="shared" ca="1" si="27"/>
        <v>LOSS</v>
      </c>
      <c r="F992" s="29"/>
      <c r="G992" s="28" t="s">
        <v>4221</v>
      </c>
      <c r="H992" s="29" t="s">
        <v>2748</v>
      </c>
      <c r="I992" s="29" t="s">
        <v>346</v>
      </c>
      <c r="J992" s="28" t="s">
        <v>1018</v>
      </c>
      <c r="K992" s="28"/>
      <c r="L992" s="27"/>
      <c r="M992" s="27"/>
      <c r="N992" s="29"/>
      <c r="O992" s="56"/>
      <c r="P992" s="31">
        <v>48000000</v>
      </c>
      <c r="Q992" s="31"/>
      <c r="R992" s="27"/>
      <c r="S992" s="32">
        <v>36000000</v>
      </c>
      <c r="T992" s="33"/>
      <c r="U992" s="334">
        <v>44378</v>
      </c>
      <c r="V992" s="334">
        <v>44742</v>
      </c>
      <c r="W992" s="27" t="s">
        <v>245</v>
      </c>
      <c r="X992" s="27"/>
      <c r="Y992" s="34">
        <f t="shared" ca="1" si="28"/>
        <v>46290</v>
      </c>
      <c r="Z992" s="35">
        <f t="shared" ca="1" si="29"/>
        <v>-1548</v>
      </c>
      <c r="AA992" s="27">
        <f t="shared" si="30"/>
        <v>6</v>
      </c>
      <c r="AB992" s="27">
        <f t="shared" si="31"/>
        <v>2022</v>
      </c>
      <c r="AC992" s="28" t="s">
        <v>4222</v>
      </c>
      <c r="AD992" s="28" t="s">
        <v>4223</v>
      </c>
      <c r="AE992" s="27">
        <v>4500016524</v>
      </c>
      <c r="AF992" s="27" t="s">
        <v>339</v>
      </c>
      <c r="AG992" s="29" t="s">
        <v>4224</v>
      </c>
      <c r="AH992" s="28" t="s">
        <v>4225</v>
      </c>
      <c r="AI992" s="27"/>
      <c r="AJ992" s="27"/>
      <c r="AK992" s="27"/>
      <c r="AL992" s="27" t="s">
        <v>4226</v>
      </c>
      <c r="AM992" s="27" t="s">
        <v>4227</v>
      </c>
      <c r="AN992" s="27"/>
      <c r="AO992" s="27"/>
      <c r="AP992" s="27"/>
      <c r="AQ992" s="27"/>
      <c r="AR992" s="504"/>
      <c r="AS992" s="332" t="s">
        <v>4228</v>
      </c>
      <c r="AT992" s="160"/>
    </row>
    <row r="993" spans="1:46" ht="21.75" hidden="1" customHeight="1">
      <c r="A993" s="331">
        <v>992</v>
      </c>
      <c r="B993" s="28" t="s">
        <v>4218</v>
      </c>
      <c r="C993" s="28" t="s">
        <v>4229</v>
      </c>
      <c r="D993" s="437" t="s">
        <v>4220</v>
      </c>
      <c r="E993" s="361" t="str">
        <f t="shared" ca="1" si="27"/>
        <v>LOSS</v>
      </c>
      <c r="F993" s="29"/>
      <c r="G993" s="28" t="s">
        <v>4230</v>
      </c>
      <c r="H993" s="29" t="s">
        <v>2748</v>
      </c>
      <c r="I993" s="29" t="s">
        <v>346</v>
      </c>
      <c r="J993" s="28" t="s">
        <v>4231</v>
      </c>
      <c r="K993" s="28"/>
      <c r="L993" s="27"/>
      <c r="M993" s="27"/>
      <c r="N993" s="29"/>
      <c r="O993" s="56"/>
      <c r="P993" s="31">
        <v>538800000</v>
      </c>
      <c r="Q993" s="31"/>
      <c r="R993" s="27"/>
      <c r="S993" s="32">
        <v>60000000</v>
      </c>
      <c r="T993" s="33"/>
      <c r="U993" s="334">
        <v>43941</v>
      </c>
      <c r="V993" s="334">
        <v>44305</v>
      </c>
      <c r="W993" s="27" t="s">
        <v>245</v>
      </c>
      <c r="X993" s="27"/>
      <c r="Y993" s="34">
        <f t="shared" ca="1" si="28"/>
        <v>46290</v>
      </c>
      <c r="Z993" s="35">
        <f t="shared" ca="1" si="29"/>
        <v>-1985</v>
      </c>
      <c r="AA993" s="27">
        <f t="shared" si="30"/>
        <v>4</v>
      </c>
      <c r="AB993" s="27">
        <f t="shared" si="31"/>
        <v>2021</v>
      </c>
      <c r="AC993" s="28" t="s">
        <v>4232</v>
      </c>
      <c r="AD993" s="28" t="s">
        <v>960</v>
      </c>
      <c r="AE993" s="27">
        <v>4500014155</v>
      </c>
      <c r="AF993" s="27" t="s">
        <v>339</v>
      </c>
      <c r="AG993" s="29" t="s">
        <v>4224</v>
      </c>
      <c r="AH993" s="28" t="s">
        <v>4225</v>
      </c>
      <c r="AI993" s="27"/>
      <c r="AJ993" s="27" t="s">
        <v>4233</v>
      </c>
      <c r="AK993" s="27" t="s">
        <v>4234</v>
      </c>
      <c r="AL993" s="27" t="s">
        <v>4235</v>
      </c>
      <c r="AM993" s="27"/>
      <c r="AN993" s="27"/>
      <c r="AO993" s="27"/>
      <c r="AP993" s="27"/>
      <c r="AQ993" s="27"/>
      <c r="AR993" s="504"/>
      <c r="AS993" s="332" t="s">
        <v>4236</v>
      </c>
      <c r="AT993" s="160"/>
    </row>
    <row r="994" spans="1:46" ht="21.75" hidden="1" customHeight="1">
      <c r="A994" s="331">
        <v>993</v>
      </c>
      <c r="B994" s="28" t="s">
        <v>1592</v>
      </c>
      <c r="C994" s="28" t="s">
        <v>4237</v>
      </c>
      <c r="D994" s="438" t="s">
        <v>4238</v>
      </c>
      <c r="E994" s="361" t="str">
        <f t="shared" ca="1" si="27"/>
        <v>LOSS</v>
      </c>
      <c r="F994" s="29"/>
      <c r="G994" s="28" t="s">
        <v>4239</v>
      </c>
      <c r="H994" s="29" t="s">
        <v>2748</v>
      </c>
      <c r="I994" s="160" t="s">
        <v>346</v>
      </c>
      <c r="J994" s="28" t="s">
        <v>4240</v>
      </c>
      <c r="K994" s="28"/>
      <c r="L994" s="27"/>
      <c r="M994" s="27"/>
      <c r="N994" s="29"/>
      <c r="O994" s="56"/>
      <c r="P994" s="31">
        <v>234000000</v>
      </c>
      <c r="Q994" s="31"/>
      <c r="R994" s="27"/>
      <c r="S994" s="32">
        <v>70000000</v>
      </c>
      <c r="T994" s="33"/>
      <c r="U994" s="334">
        <v>45194</v>
      </c>
      <c r="V994" s="334">
        <v>45559</v>
      </c>
      <c r="W994" s="27" t="s">
        <v>250</v>
      </c>
      <c r="X994" s="27"/>
      <c r="Y994" s="34">
        <f t="shared" ca="1" si="28"/>
        <v>46290</v>
      </c>
      <c r="Z994" s="35">
        <f t="shared" ca="1" si="29"/>
        <v>-731</v>
      </c>
      <c r="AA994" s="27">
        <f t="shared" si="30"/>
        <v>9</v>
      </c>
      <c r="AB994" s="27">
        <f t="shared" si="31"/>
        <v>2024</v>
      </c>
      <c r="AC994" s="28" t="s">
        <v>4241</v>
      </c>
      <c r="AD994" s="28" t="s">
        <v>4242</v>
      </c>
      <c r="AE994" s="27">
        <v>4500020905</v>
      </c>
      <c r="AF994" s="27" t="s">
        <v>339</v>
      </c>
      <c r="AG994" s="29" t="s">
        <v>4243</v>
      </c>
      <c r="AH994" s="28" t="s">
        <v>4244</v>
      </c>
      <c r="AI994" s="27"/>
      <c r="AJ994" s="27"/>
      <c r="AK994" s="27" t="s">
        <v>4245</v>
      </c>
      <c r="AL994" s="27" t="s">
        <v>4246</v>
      </c>
      <c r="AM994" s="27" t="s">
        <v>4247</v>
      </c>
      <c r="AN994" s="27" t="s">
        <v>4248</v>
      </c>
      <c r="AO994" s="27" t="s">
        <v>4249</v>
      </c>
      <c r="AP994" s="27"/>
      <c r="AQ994" s="27"/>
      <c r="AR994" s="504"/>
      <c r="AS994" s="332" t="s">
        <v>4250</v>
      </c>
      <c r="AT994" s="160"/>
    </row>
    <row r="995" spans="1:46" ht="21.75" hidden="1" customHeight="1">
      <c r="A995" s="331">
        <v>994</v>
      </c>
      <c r="B995" s="28" t="s">
        <v>4251</v>
      </c>
      <c r="C995" s="28" t="s">
        <v>4252</v>
      </c>
      <c r="D995" s="437" t="s">
        <v>4253</v>
      </c>
      <c r="E995" s="361" t="str">
        <f t="shared" ca="1" si="27"/>
        <v>LOSS</v>
      </c>
      <c r="F995" s="29"/>
      <c r="G995" s="28" t="s">
        <v>4254</v>
      </c>
      <c r="H995" s="29" t="s">
        <v>2748</v>
      </c>
      <c r="I995" s="29" t="s">
        <v>346</v>
      </c>
      <c r="J995" s="28" t="s">
        <v>4255</v>
      </c>
      <c r="K995" s="28"/>
      <c r="L995" s="27"/>
      <c r="M995" s="27"/>
      <c r="N995" s="29"/>
      <c r="O995" s="56"/>
      <c r="P995" s="31">
        <f>12*9000000</f>
        <v>108000000</v>
      </c>
      <c r="Q995" s="31"/>
      <c r="R995" s="27"/>
      <c r="S995" s="32">
        <v>189000000</v>
      </c>
      <c r="T995" s="33"/>
      <c r="U995" s="334">
        <v>44713</v>
      </c>
      <c r="V995" s="334">
        <v>45808</v>
      </c>
      <c r="W995" s="27" t="s">
        <v>250</v>
      </c>
      <c r="X995" s="27"/>
      <c r="Y995" s="34">
        <f t="shared" ca="1" si="28"/>
        <v>46290</v>
      </c>
      <c r="Z995" s="35">
        <f t="shared" ca="1" si="29"/>
        <v>-482</v>
      </c>
      <c r="AA995" s="27">
        <f t="shared" si="30"/>
        <v>5</v>
      </c>
      <c r="AB995" s="27">
        <f t="shared" si="31"/>
        <v>2025</v>
      </c>
      <c r="AC995" s="28" t="s">
        <v>479</v>
      </c>
      <c r="AD995" s="28" t="s">
        <v>4256</v>
      </c>
      <c r="AE995" s="27">
        <v>4500018200</v>
      </c>
      <c r="AF995" s="27" t="s">
        <v>333</v>
      </c>
      <c r="AG995" s="29"/>
      <c r="AH995" s="28"/>
      <c r="AI995" s="27"/>
      <c r="AJ995" s="27"/>
      <c r="AK995" s="27"/>
      <c r="AL995" s="27"/>
      <c r="AM995" s="27"/>
      <c r="AN995" s="27" t="s">
        <v>4257</v>
      </c>
      <c r="AO995" s="27"/>
      <c r="AP995" s="27"/>
      <c r="AQ995" s="27"/>
      <c r="AR995" s="504"/>
      <c r="AS995" s="332" t="s">
        <v>4258</v>
      </c>
      <c r="AT995" s="160"/>
    </row>
    <row r="996" spans="1:46" ht="21.75" hidden="1" customHeight="1">
      <c r="A996" s="331">
        <v>995</v>
      </c>
      <c r="B996" s="28" t="s">
        <v>4259</v>
      </c>
      <c r="C996" s="28" t="s">
        <v>4260</v>
      </c>
      <c r="D996" s="438" t="s">
        <v>4261</v>
      </c>
      <c r="E996" s="361" t="str">
        <f t="shared" ca="1" si="27"/>
        <v>LOSS</v>
      </c>
      <c r="F996" s="29"/>
      <c r="G996" s="28" t="s">
        <v>4262</v>
      </c>
      <c r="H996" s="29" t="s">
        <v>2748</v>
      </c>
      <c r="I996" s="29" t="s">
        <v>346</v>
      </c>
      <c r="J996" s="28" t="s">
        <v>4263</v>
      </c>
      <c r="K996" s="28"/>
      <c r="L996" s="27"/>
      <c r="M996" s="27"/>
      <c r="N996" s="29"/>
      <c r="O996" s="56"/>
      <c r="P996" s="31">
        <v>180000000</v>
      </c>
      <c r="Q996" s="31"/>
      <c r="R996" s="27"/>
      <c r="S996" s="32">
        <v>180000000</v>
      </c>
      <c r="T996" s="33"/>
      <c r="U996" s="334">
        <v>44578</v>
      </c>
      <c r="V996" s="334">
        <v>45673</v>
      </c>
      <c r="W996" s="27" t="s">
        <v>245</v>
      </c>
      <c r="X996" s="27"/>
      <c r="Y996" s="34">
        <f t="shared" ca="1" si="28"/>
        <v>46290</v>
      </c>
      <c r="Z996" s="35">
        <f t="shared" ca="1" si="29"/>
        <v>-617</v>
      </c>
      <c r="AA996" s="27">
        <f t="shared" si="30"/>
        <v>1</v>
      </c>
      <c r="AB996" s="27">
        <f t="shared" si="31"/>
        <v>2025</v>
      </c>
      <c r="AC996" s="28" t="s">
        <v>479</v>
      </c>
      <c r="AD996" s="28" t="s">
        <v>4264</v>
      </c>
      <c r="AE996" s="27">
        <v>4500017485</v>
      </c>
      <c r="AF996" s="27" t="s">
        <v>339</v>
      </c>
      <c r="AG996" s="29"/>
      <c r="AH996" s="28"/>
      <c r="AI996" s="27"/>
      <c r="AJ996" s="27"/>
      <c r="AK996" s="27"/>
      <c r="AL996" s="27"/>
      <c r="AM996" s="27"/>
      <c r="AN996" s="27" t="s">
        <v>4265</v>
      </c>
      <c r="AO996" s="27"/>
      <c r="AP996" s="27"/>
      <c r="AQ996" s="27"/>
      <c r="AR996" s="504"/>
      <c r="AS996" s="332" t="s">
        <v>4266</v>
      </c>
      <c r="AT996" s="160"/>
    </row>
    <row r="997" spans="1:46" ht="21.75" hidden="1" customHeight="1">
      <c r="A997" s="331">
        <v>996</v>
      </c>
      <c r="B997" s="159" t="s">
        <v>2121</v>
      </c>
      <c r="C997" s="28" t="s">
        <v>4267</v>
      </c>
      <c r="D997" s="444" t="s">
        <v>4268</v>
      </c>
      <c r="E997" s="361" t="str">
        <f t="shared" ca="1" si="27"/>
        <v>LOSS</v>
      </c>
      <c r="F997" s="29"/>
      <c r="G997" s="28" t="s">
        <v>4269</v>
      </c>
      <c r="H997" s="29" t="s">
        <v>2748</v>
      </c>
      <c r="I997" s="160" t="s">
        <v>346</v>
      </c>
      <c r="J997" s="28" t="s">
        <v>4270</v>
      </c>
      <c r="K997" s="28"/>
      <c r="L997" s="27"/>
      <c r="M997" s="27"/>
      <c r="N997" s="29"/>
      <c r="O997" s="56"/>
      <c r="P997" s="31">
        <v>198000000</v>
      </c>
      <c r="Q997" s="31"/>
      <c r="R997" s="27"/>
      <c r="S997" s="32">
        <v>180000000</v>
      </c>
      <c r="T997" s="33"/>
      <c r="U997" s="334">
        <v>45139</v>
      </c>
      <c r="V997" s="334">
        <v>45869</v>
      </c>
      <c r="W997" s="27" t="s">
        <v>250</v>
      </c>
      <c r="X997" s="27"/>
      <c r="Y997" s="34">
        <f t="shared" ca="1" si="28"/>
        <v>46290</v>
      </c>
      <c r="Z997" s="35">
        <f t="shared" ca="1" si="29"/>
        <v>-421</v>
      </c>
      <c r="AA997" s="27">
        <f t="shared" si="30"/>
        <v>7</v>
      </c>
      <c r="AB997" s="27">
        <f t="shared" si="31"/>
        <v>2025</v>
      </c>
      <c r="AC997" s="46" t="s">
        <v>4271</v>
      </c>
      <c r="AD997" s="46" t="s">
        <v>4272</v>
      </c>
      <c r="AE997" s="47" t="s">
        <v>4273</v>
      </c>
      <c r="AF997" s="27" t="s">
        <v>339</v>
      </c>
      <c r="AG997" s="29" t="s">
        <v>4274</v>
      </c>
      <c r="AH997" s="28" t="s">
        <v>4275</v>
      </c>
      <c r="AI997" s="27"/>
      <c r="AJ997" s="27"/>
      <c r="AK997" s="27" t="s">
        <v>4276</v>
      </c>
      <c r="AL997" s="27"/>
      <c r="AM997" s="27" t="s">
        <v>4277</v>
      </c>
      <c r="AN997" s="27" t="s">
        <v>4278</v>
      </c>
      <c r="AO997" s="27" t="s">
        <v>4279</v>
      </c>
      <c r="AP997" s="27"/>
      <c r="AQ997" s="27"/>
      <c r="AR997" s="504"/>
      <c r="AS997" s="332" t="s">
        <v>4280</v>
      </c>
      <c r="AT997" s="160"/>
    </row>
    <row r="998" spans="1:46" ht="21.75" hidden="1" customHeight="1">
      <c r="A998" s="331">
        <v>997</v>
      </c>
      <c r="B998" s="28" t="s">
        <v>966</v>
      </c>
      <c r="C998" s="28" t="s">
        <v>4281</v>
      </c>
      <c r="D998" s="438" t="s">
        <v>4282</v>
      </c>
      <c r="E998" s="361" t="str">
        <f t="shared" ca="1" si="27"/>
        <v>LOSS</v>
      </c>
      <c r="F998" s="29"/>
      <c r="G998" s="28" t="s">
        <v>4283</v>
      </c>
      <c r="H998" s="29" t="s">
        <v>2748</v>
      </c>
      <c r="I998" s="29" t="s">
        <v>346</v>
      </c>
      <c r="J998" s="28" t="s">
        <v>4284</v>
      </c>
      <c r="K998" s="28"/>
      <c r="L998" s="27"/>
      <c r="M998" s="27"/>
      <c r="N998" s="29"/>
      <c r="O998" s="56"/>
      <c r="P998" s="31">
        <v>103800000</v>
      </c>
      <c r="Q998" s="31"/>
      <c r="R998" s="27"/>
      <c r="S998" s="32">
        <v>15000000</v>
      </c>
      <c r="T998" s="33"/>
      <c r="U998" s="334">
        <v>43976</v>
      </c>
      <c r="V998" s="334">
        <v>44340</v>
      </c>
      <c r="W998" s="27" t="s">
        <v>245</v>
      </c>
      <c r="X998" s="27"/>
      <c r="Y998" s="34">
        <f t="shared" ca="1" si="28"/>
        <v>46290</v>
      </c>
      <c r="Z998" s="35">
        <f t="shared" ca="1" si="29"/>
        <v>-1950</v>
      </c>
      <c r="AA998" s="27">
        <f t="shared" si="30"/>
        <v>5</v>
      </c>
      <c r="AB998" s="27">
        <f t="shared" si="31"/>
        <v>2021</v>
      </c>
      <c r="AC998" s="28" t="s">
        <v>4285</v>
      </c>
      <c r="AD998" s="28">
        <v>13395</v>
      </c>
      <c r="AE998" s="27">
        <v>4500014396</v>
      </c>
      <c r="AF998" s="27" t="s">
        <v>339</v>
      </c>
      <c r="AG998" s="29" t="s">
        <v>4286</v>
      </c>
      <c r="AH998" s="28"/>
      <c r="AI998" s="27">
        <v>56</v>
      </c>
      <c r="AJ998" s="27" t="s">
        <v>4287</v>
      </c>
      <c r="AK998" s="27" t="s">
        <v>4288</v>
      </c>
      <c r="AL998" s="27" t="s">
        <v>4289</v>
      </c>
      <c r="AM998" s="27"/>
      <c r="AN998" s="27"/>
      <c r="AO998" s="27"/>
      <c r="AP998" s="27"/>
      <c r="AQ998" s="27"/>
      <c r="AR998" s="504"/>
      <c r="AS998" s="333" t="s">
        <v>115</v>
      </c>
      <c r="AT998" s="160"/>
    </row>
    <row r="999" spans="1:46" ht="21.75" hidden="1" customHeight="1">
      <c r="A999" s="331">
        <v>998</v>
      </c>
      <c r="B999" s="28" t="s">
        <v>966</v>
      </c>
      <c r="C999" s="28" t="s">
        <v>4290</v>
      </c>
      <c r="D999" s="437" t="s">
        <v>4282</v>
      </c>
      <c r="E999" s="361" t="str">
        <f t="shared" ca="1" si="27"/>
        <v>LOSS</v>
      </c>
      <c r="F999" s="36" t="s">
        <v>115</v>
      </c>
      <c r="G999" s="28" t="s">
        <v>4291</v>
      </c>
      <c r="H999" s="29" t="s">
        <v>2748</v>
      </c>
      <c r="I999" s="29" t="s">
        <v>346</v>
      </c>
      <c r="J999" s="28" t="s">
        <v>4292</v>
      </c>
      <c r="K999" s="28"/>
      <c r="L999" s="27"/>
      <c r="M999" s="27"/>
      <c r="N999" s="29"/>
      <c r="O999" s="56"/>
      <c r="P999" s="31">
        <v>42000000</v>
      </c>
      <c r="Q999" s="31"/>
      <c r="R999" s="27"/>
      <c r="S999" s="32">
        <v>15000000</v>
      </c>
      <c r="T999" s="33"/>
      <c r="U999" s="334">
        <v>45232</v>
      </c>
      <c r="V999" s="334">
        <v>45597</v>
      </c>
      <c r="W999" s="27" t="s">
        <v>250</v>
      </c>
      <c r="X999" s="27"/>
      <c r="Y999" s="34">
        <f t="shared" ca="1" si="28"/>
        <v>46290</v>
      </c>
      <c r="Z999" s="35">
        <f t="shared" ca="1" si="29"/>
        <v>-693</v>
      </c>
      <c r="AA999" s="27">
        <f t="shared" si="30"/>
        <v>11</v>
      </c>
      <c r="AB999" s="27">
        <f t="shared" si="31"/>
        <v>2024</v>
      </c>
      <c r="AC999" s="28" t="s">
        <v>4293</v>
      </c>
      <c r="AD999" s="28">
        <v>1953</v>
      </c>
      <c r="AE999" s="27">
        <v>45000221000</v>
      </c>
      <c r="AF999" s="27" t="s">
        <v>339</v>
      </c>
      <c r="AG999" s="29" t="s">
        <v>4286</v>
      </c>
      <c r="AH999" s="28"/>
      <c r="AI999" s="27"/>
      <c r="AJ999" s="27"/>
      <c r="AK999" s="27" t="s">
        <v>4294</v>
      </c>
      <c r="AL999" s="27" t="s">
        <v>4295</v>
      </c>
      <c r="AM999" s="27" t="s">
        <v>4296</v>
      </c>
      <c r="AN999" s="27" t="s">
        <v>4297</v>
      </c>
      <c r="AO999" s="27"/>
      <c r="AP999" s="27" t="s">
        <v>4298</v>
      </c>
      <c r="AQ999" s="27"/>
      <c r="AR999" s="504"/>
      <c r="AS999" s="333" t="s">
        <v>115</v>
      </c>
      <c r="AT999" s="160"/>
    </row>
    <row r="1000" spans="1:46" ht="21.75" hidden="1" customHeight="1">
      <c r="A1000" s="331">
        <v>999</v>
      </c>
      <c r="B1000" s="28" t="s">
        <v>4299</v>
      </c>
      <c r="C1000" s="28" t="s">
        <v>4300</v>
      </c>
      <c r="D1000" s="438" t="s">
        <v>4301</v>
      </c>
      <c r="E1000" s="361" t="str">
        <f t="shared" ca="1" si="27"/>
        <v>LOSS</v>
      </c>
      <c r="F1000" s="29"/>
      <c r="G1000" s="28" t="s">
        <v>4302</v>
      </c>
      <c r="H1000" s="29" t="s">
        <v>2748</v>
      </c>
      <c r="I1000" s="160" t="s">
        <v>346</v>
      </c>
      <c r="J1000" s="28" t="s">
        <v>2608</v>
      </c>
      <c r="K1000" s="28"/>
      <c r="L1000" s="27"/>
      <c r="M1000" s="27"/>
      <c r="N1000" s="29"/>
      <c r="O1000" s="56"/>
      <c r="P1000" s="31">
        <f>12*350000</f>
        <v>4200000</v>
      </c>
      <c r="Q1000" s="31"/>
      <c r="R1000" s="27"/>
      <c r="S1000" s="32">
        <v>24000000</v>
      </c>
      <c r="T1000" s="33"/>
      <c r="U1000" s="334">
        <v>45143</v>
      </c>
      <c r="V1000" s="334">
        <v>45508</v>
      </c>
      <c r="W1000" s="27" t="s">
        <v>250</v>
      </c>
      <c r="X1000" s="27"/>
      <c r="Y1000" s="34">
        <f t="shared" ca="1" si="28"/>
        <v>46290</v>
      </c>
      <c r="Z1000" s="35">
        <f t="shared" ca="1" si="29"/>
        <v>-782</v>
      </c>
      <c r="AA1000" s="27">
        <f t="shared" si="30"/>
        <v>8</v>
      </c>
      <c r="AB1000" s="27">
        <f t="shared" si="31"/>
        <v>2024</v>
      </c>
      <c r="AC1000" s="28" t="s">
        <v>4303</v>
      </c>
      <c r="AD1000" s="28" t="s">
        <v>4304</v>
      </c>
      <c r="AE1000" s="27">
        <v>4500021426</v>
      </c>
      <c r="AF1000" s="27" t="s">
        <v>339</v>
      </c>
      <c r="AG1000" s="29" t="s">
        <v>4305</v>
      </c>
      <c r="AH1000" s="28" t="s">
        <v>4306</v>
      </c>
      <c r="AI1000" s="27"/>
      <c r="AJ1000" s="27"/>
      <c r="AK1000" s="27"/>
      <c r="AL1000" s="27"/>
      <c r="AM1000" s="27"/>
      <c r="AN1000" s="27" t="s">
        <v>4307</v>
      </c>
      <c r="AO1000" s="27" t="s">
        <v>4308</v>
      </c>
      <c r="AP1000" s="27"/>
      <c r="AQ1000" s="27"/>
      <c r="AR1000" s="504"/>
      <c r="AS1000" s="332" t="s">
        <v>4309</v>
      </c>
      <c r="AT1000" s="160"/>
    </row>
    <row r="1001" spans="1:46" ht="21.75" hidden="1" customHeight="1">
      <c r="A1001" s="331">
        <v>1000</v>
      </c>
      <c r="B1001" s="361" t="s">
        <v>1081</v>
      </c>
      <c r="C1001" s="28" t="s">
        <v>4310</v>
      </c>
      <c r="D1001" s="437" t="s">
        <v>4311</v>
      </c>
      <c r="E1001" s="361" t="str">
        <f t="shared" ca="1" si="27"/>
        <v>LOSS</v>
      </c>
      <c r="F1001" s="29"/>
      <c r="G1001" s="28" t="s">
        <v>4312</v>
      </c>
      <c r="H1001" s="29" t="s">
        <v>2748</v>
      </c>
      <c r="I1001" s="361" t="s">
        <v>346</v>
      </c>
      <c r="J1001" s="28" t="s">
        <v>109</v>
      </c>
      <c r="K1001" s="28"/>
      <c r="L1001" s="27"/>
      <c r="M1001" s="27"/>
      <c r="N1001" s="29"/>
      <c r="O1001" s="56"/>
      <c r="P1001" s="31">
        <v>360000000</v>
      </c>
      <c r="Q1001" s="31"/>
      <c r="R1001" s="27"/>
      <c r="S1001" s="32">
        <v>25106760</v>
      </c>
      <c r="T1001" s="33"/>
      <c r="U1001" s="334">
        <v>45128</v>
      </c>
      <c r="V1001" s="334">
        <v>45493</v>
      </c>
      <c r="W1001" s="27" t="s">
        <v>250</v>
      </c>
      <c r="X1001" s="27"/>
      <c r="Y1001" s="34">
        <f t="shared" ca="1" si="28"/>
        <v>46290</v>
      </c>
      <c r="Z1001" s="35">
        <f t="shared" ca="1" si="29"/>
        <v>-797</v>
      </c>
      <c r="AA1001" s="27">
        <f t="shared" si="30"/>
        <v>7</v>
      </c>
      <c r="AB1001" s="27">
        <f t="shared" si="31"/>
        <v>2024</v>
      </c>
      <c r="AC1001" s="28" t="s">
        <v>4313</v>
      </c>
      <c r="AD1001" s="28"/>
      <c r="AE1001" s="27">
        <v>4500020938</v>
      </c>
      <c r="AF1001" s="27" t="s">
        <v>339</v>
      </c>
      <c r="AG1001" s="29" t="s">
        <v>4314</v>
      </c>
      <c r="AH1001" s="28" t="s">
        <v>4315</v>
      </c>
      <c r="AI1001" s="27">
        <v>83</v>
      </c>
      <c r="AJ1001" s="27" t="s">
        <v>4316</v>
      </c>
      <c r="AK1001" s="27" t="s">
        <v>4317</v>
      </c>
      <c r="AL1001" s="27" t="s">
        <v>4318</v>
      </c>
      <c r="AM1001" s="27" t="s">
        <v>4319</v>
      </c>
      <c r="AN1001" s="27" t="s">
        <v>4320</v>
      </c>
      <c r="AO1001" s="27" t="s">
        <v>4321</v>
      </c>
      <c r="AP1001" s="27"/>
      <c r="AQ1001" s="27"/>
      <c r="AR1001" s="504"/>
      <c r="AS1001" s="332" t="s">
        <v>4322</v>
      </c>
      <c r="AT1001" s="160"/>
    </row>
    <row r="1002" spans="1:46" ht="21.75" hidden="1" customHeight="1">
      <c r="A1002" s="331">
        <v>1001</v>
      </c>
      <c r="B1002" s="28" t="s">
        <v>110</v>
      </c>
      <c r="C1002" s="28" t="s">
        <v>1825</v>
      </c>
      <c r="D1002" s="443" t="s">
        <v>4323</v>
      </c>
      <c r="E1002" s="361" t="str">
        <f t="shared" ca="1" si="27"/>
        <v>LOSS</v>
      </c>
      <c r="F1002" s="29" t="s">
        <v>4324</v>
      </c>
      <c r="G1002" s="28" t="s">
        <v>4325</v>
      </c>
      <c r="H1002" s="29" t="s">
        <v>2748</v>
      </c>
      <c r="I1002" s="29" t="s">
        <v>346</v>
      </c>
      <c r="J1002" s="28" t="s">
        <v>111</v>
      </c>
      <c r="K1002" s="28"/>
      <c r="L1002" s="27"/>
      <c r="M1002" s="27"/>
      <c r="N1002" s="29"/>
      <c r="O1002" s="56"/>
      <c r="P1002" s="31">
        <v>615500000</v>
      </c>
      <c r="Q1002" s="31"/>
      <c r="R1002" s="27"/>
      <c r="S1002" s="32">
        <v>56997993</v>
      </c>
      <c r="T1002" s="33"/>
      <c r="U1002" s="334">
        <v>45293</v>
      </c>
      <c r="V1002" s="334">
        <v>45658</v>
      </c>
      <c r="W1002" s="27" t="s">
        <v>250</v>
      </c>
      <c r="X1002" s="27"/>
      <c r="Y1002" s="34">
        <f t="shared" ca="1" si="28"/>
        <v>46290</v>
      </c>
      <c r="Z1002" s="35">
        <f t="shared" ca="1" si="29"/>
        <v>-632</v>
      </c>
      <c r="AA1002" s="27">
        <f t="shared" si="30"/>
        <v>1</v>
      </c>
      <c r="AB1002" s="27">
        <f t="shared" si="31"/>
        <v>2025</v>
      </c>
      <c r="AC1002" s="28" t="s">
        <v>4326</v>
      </c>
      <c r="AD1002" s="28">
        <v>2459</v>
      </c>
      <c r="AE1002" s="27">
        <v>4500022171</v>
      </c>
      <c r="AF1002" s="27" t="s">
        <v>339</v>
      </c>
      <c r="AG1002" s="29" t="s">
        <v>4327</v>
      </c>
      <c r="AH1002" s="28" t="s">
        <v>4328</v>
      </c>
      <c r="AI1002" s="27"/>
      <c r="AJ1002" s="27">
        <v>171</v>
      </c>
      <c r="AK1002" s="27" t="s">
        <v>4329</v>
      </c>
      <c r="AL1002" s="27" t="s">
        <v>4330</v>
      </c>
      <c r="AM1002" s="27" t="s">
        <v>4331</v>
      </c>
      <c r="AN1002" s="27" t="s">
        <v>4332</v>
      </c>
      <c r="AO1002" s="27" t="s">
        <v>4333</v>
      </c>
      <c r="AP1002" s="27" t="s">
        <v>4334</v>
      </c>
      <c r="AQ1002" s="27"/>
      <c r="AR1002" s="504"/>
      <c r="AS1002" s="332"/>
      <c r="AT1002" s="160"/>
    </row>
    <row r="1003" spans="1:46" ht="21.75" hidden="1" customHeight="1">
      <c r="A1003" s="331">
        <v>1002</v>
      </c>
      <c r="B1003" s="28" t="s">
        <v>708</v>
      </c>
      <c r="C1003" s="28" t="s">
        <v>709</v>
      </c>
      <c r="D1003" s="437" t="s">
        <v>4335</v>
      </c>
      <c r="E1003" s="361" t="str">
        <f t="shared" ca="1" si="27"/>
        <v>LOSS</v>
      </c>
      <c r="F1003" s="29"/>
      <c r="G1003" s="28" t="s">
        <v>4336</v>
      </c>
      <c r="H1003" s="29" t="s">
        <v>2748</v>
      </c>
      <c r="I1003" s="29" t="s">
        <v>346</v>
      </c>
      <c r="J1003" s="28" t="s">
        <v>711</v>
      </c>
      <c r="K1003" s="28"/>
      <c r="L1003" s="27"/>
      <c r="M1003" s="27"/>
      <c r="N1003" s="29"/>
      <c r="O1003" s="56"/>
      <c r="P1003" s="31">
        <v>60000000</v>
      </c>
      <c r="Q1003" s="31"/>
      <c r="R1003" s="27"/>
      <c r="S1003" s="32">
        <v>6957500</v>
      </c>
      <c r="T1003" s="33"/>
      <c r="U1003" s="334">
        <v>44466</v>
      </c>
      <c r="V1003" s="334">
        <v>44830</v>
      </c>
      <c r="W1003" s="27" t="s">
        <v>245</v>
      </c>
      <c r="X1003" s="27"/>
      <c r="Y1003" s="34">
        <f t="shared" ca="1" si="28"/>
        <v>46290</v>
      </c>
      <c r="Z1003" s="35">
        <f t="shared" ca="1" si="29"/>
        <v>-1460</v>
      </c>
      <c r="AA1003" s="27">
        <f t="shared" si="30"/>
        <v>9</v>
      </c>
      <c r="AB1003" s="27">
        <f t="shared" si="31"/>
        <v>2022</v>
      </c>
      <c r="AC1003" s="46" t="s">
        <v>4337</v>
      </c>
      <c r="AD1003" s="46" t="s">
        <v>4338</v>
      </c>
      <c r="AE1003" s="47" t="s">
        <v>4339</v>
      </c>
      <c r="AF1003" s="27" t="s">
        <v>339</v>
      </c>
      <c r="AG1003" s="29" t="s">
        <v>4340</v>
      </c>
      <c r="AH1003" s="28" t="s">
        <v>4341</v>
      </c>
      <c r="AI1003" s="27">
        <v>100</v>
      </c>
      <c r="AJ1003" s="27" t="s">
        <v>4342</v>
      </c>
      <c r="AK1003" s="27" t="s">
        <v>4343</v>
      </c>
      <c r="AL1003" s="27" t="s">
        <v>4344</v>
      </c>
      <c r="AM1003" s="27" t="s">
        <v>4345</v>
      </c>
      <c r="AN1003" s="27"/>
      <c r="AO1003" s="27"/>
      <c r="AP1003" s="27"/>
      <c r="AQ1003" s="27"/>
      <c r="AR1003" s="504"/>
      <c r="AS1003" s="332" t="s">
        <v>4346</v>
      </c>
      <c r="AT1003" s="160"/>
    </row>
    <row r="1004" spans="1:46" ht="21.75" hidden="1" customHeight="1">
      <c r="A1004" s="331">
        <v>1003</v>
      </c>
      <c r="B1004" s="28" t="s">
        <v>708</v>
      </c>
      <c r="C1004" s="28" t="s">
        <v>4347</v>
      </c>
      <c r="D1004" s="438" t="s">
        <v>4335</v>
      </c>
      <c r="E1004" s="361" t="str">
        <f t="shared" ca="1" si="27"/>
        <v>LOSS</v>
      </c>
      <c r="F1004" s="29"/>
      <c r="G1004" s="28" t="s">
        <v>4348</v>
      </c>
      <c r="H1004" s="29" t="s">
        <v>2748</v>
      </c>
      <c r="I1004" s="29" t="s">
        <v>346</v>
      </c>
      <c r="J1004" s="28" t="s">
        <v>2586</v>
      </c>
      <c r="K1004" s="28"/>
      <c r="L1004" s="27"/>
      <c r="M1004" s="27"/>
      <c r="N1004" s="29"/>
      <c r="O1004" s="56"/>
      <c r="P1004" s="31">
        <f>12*7125000</f>
        <v>85500000</v>
      </c>
      <c r="Q1004" s="31"/>
      <c r="R1004" s="27"/>
      <c r="S1004" s="32">
        <v>7000000</v>
      </c>
      <c r="T1004" s="33"/>
      <c r="U1004" s="334">
        <v>45078</v>
      </c>
      <c r="V1004" s="334">
        <v>45443</v>
      </c>
      <c r="W1004" s="27" t="s">
        <v>245</v>
      </c>
      <c r="X1004" s="27"/>
      <c r="Y1004" s="34">
        <f t="shared" ca="1" si="28"/>
        <v>46290</v>
      </c>
      <c r="Z1004" s="35">
        <f t="shared" ca="1" si="29"/>
        <v>-847</v>
      </c>
      <c r="AA1004" s="27">
        <f t="shared" si="30"/>
        <v>5</v>
      </c>
      <c r="AB1004" s="27">
        <f t="shared" si="31"/>
        <v>2024</v>
      </c>
      <c r="AC1004" s="28" t="s">
        <v>4349</v>
      </c>
      <c r="AD1004" s="28" t="s">
        <v>4350</v>
      </c>
      <c r="AE1004" s="27">
        <v>4500020827</v>
      </c>
      <c r="AF1004" s="27" t="s">
        <v>339</v>
      </c>
      <c r="AG1004" s="29" t="s">
        <v>4340</v>
      </c>
      <c r="AH1004" s="28" t="s">
        <v>4341</v>
      </c>
      <c r="AI1004" s="27"/>
      <c r="AJ1004" s="27"/>
      <c r="AK1004" s="27"/>
      <c r="AL1004" s="27"/>
      <c r="AM1004" s="27"/>
      <c r="AN1004" s="27" t="s">
        <v>4351</v>
      </c>
      <c r="AO1004" s="27" t="s">
        <v>4352</v>
      </c>
      <c r="AP1004" s="27"/>
      <c r="AQ1004" s="27"/>
      <c r="AR1004" s="504"/>
      <c r="AS1004" s="332" t="s">
        <v>4353</v>
      </c>
      <c r="AT1004" s="160"/>
    </row>
    <row r="1005" spans="1:46" ht="21.75" hidden="1" customHeight="1">
      <c r="A1005" s="331">
        <v>1004</v>
      </c>
      <c r="B1005" s="159" t="s">
        <v>1537</v>
      </c>
      <c r="C1005" s="28" t="s">
        <v>4354</v>
      </c>
      <c r="D1005" s="437" t="s">
        <v>4355</v>
      </c>
      <c r="E1005" s="361" t="str">
        <f t="shared" ca="1" si="27"/>
        <v>LOSS</v>
      </c>
      <c r="F1005" s="29"/>
      <c r="G1005" s="28" t="s">
        <v>4356</v>
      </c>
      <c r="H1005" s="29" t="s">
        <v>2748</v>
      </c>
      <c r="I1005" s="29" t="s">
        <v>346</v>
      </c>
      <c r="J1005" s="28" t="s">
        <v>4357</v>
      </c>
      <c r="K1005" s="28"/>
      <c r="L1005" s="27"/>
      <c r="M1005" s="27"/>
      <c r="N1005" s="29"/>
      <c r="O1005" s="56"/>
      <c r="P1005" s="31">
        <v>62500000</v>
      </c>
      <c r="Q1005" s="31"/>
      <c r="R1005" s="27"/>
      <c r="S1005" s="32">
        <v>90000000</v>
      </c>
      <c r="T1005" s="33"/>
      <c r="U1005" s="334">
        <v>44650</v>
      </c>
      <c r="V1005" s="334">
        <v>45014</v>
      </c>
      <c r="W1005" s="27" t="s">
        <v>245</v>
      </c>
      <c r="X1005" s="27"/>
      <c r="Y1005" s="34">
        <f t="shared" ca="1" si="28"/>
        <v>46290</v>
      </c>
      <c r="Z1005" s="35">
        <f t="shared" ca="1" si="29"/>
        <v>-1276</v>
      </c>
      <c r="AA1005" s="27">
        <f t="shared" si="30"/>
        <v>3</v>
      </c>
      <c r="AB1005" s="27">
        <f t="shared" si="31"/>
        <v>2023</v>
      </c>
      <c r="AC1005" s="28" t="s">
        <v>4358</v>
      </c>
      <c r="AD1005" s="28" t="s">
        <v>2560</v>
      </c>
      <c r="AE1005" s="27">
        <v>4500017801</v>
      </c>
      <c r="AF1005" s="27" t="s">
        <v>339</v>
      </c>
      <c r="AG1005" s="29" t="s">
        <v>4359</v>
      </c>
      <c r="AH1005" s="28" t="s">
        <v>4360</v>
      </c>
      <c r="AI1005" s="27"/>
      <c r="AJ1005" s="27" t="s">
        <v>4361</v>
      </c>
      <c r="AK1005" s="27" t="s">
        <v>4362</v>
      </c>
      <c r="AL1005" s="27" t="s">
        <v>4363</v>
      </c>
      <c r="AM1005" s="27" t="s">
        <v>4364</v>
      </c>
      <c r="AN1005" s="27" t="s">
        <v>4365</v>
      </c>
      <c r="AO1005" s="27"/>
      <c r="AP1005" s="27"/>
      <c r="AQ1005" s="27"/>
      <c r="AR1005" s="504"/>
      <c r="AS1005" s="332" t="s">
        <v>4366</v>
      </c>
      <c r="AT1005" s="160"/>
    </row>
    <row r="1006" spans="1:46" ht="21.75" hidden="1" customHeight="1">
      <c r="A1006" s="331">
        <v>1005</v>
      </c>
      <c r="B1006" s="159" t="s">
        <v>1537</v>
      </c>
      <c r="C1006" s="28" t="s">
        <v>4367</v>
      </c>
      <c r="D1006" s="438" t="s">
        <v>4355</v>
      </c>
      <c r="E1006" s="361" t="str">
        <f t="shared" ca="1" si="27"/>
        <v>LOSS</v>
      </c>
      <c r="F1006" s="29"/>
      <c r="G1006" s="28" t="s">
        <v>4356</v>
      </c>
      <c r="H1006" s="29" t="s">
        <v>2748</v>
      </c>
      <c r="I1006" s="29" t="s">
        <v>346</v>
      </c>
      <c r="J1006" s="28" t="s">
        <v>4368</v>
      </c>
      <c r="K1006" s="28"/>
      <c r="L1006" s="27"/>
      <c r="M1006" s="27"/>
      <c r="N1006" s="29"/>
      <c r="O1006" s="56"/>
      <c r="P1006" s="31">
        <f>12*120000000</f>
        <v>1440000000</v>
      </c>
      <c r="Q1006" s="31"/>
      <c r="R1006" s="30"/>
      <c r="S1006" s="32">
        <v>125000000</v>
      </c>
      <c r="T1006" s="33"/>
      <c r="U1006" s="334">
        <v>45015</v>
      </c>
      <c r="V1006" s="334">
        <v>45745</v>
      </c>
      <c r="W1006" s="27" t="s">
        <v>250</v>
      </c>
      <c r="X1006" s="27"/>
      <c r="Y1006" s="34">
        <f t="shared" ca="1" si="28"/>
        <v>46290</v>
      </c>
      <c r="Z1006" s="35">
        <f t="shared" ca="1" si="29"/>
        <v>-545</v>
      </c>
      <c r="AA1006" s="27">
        <f t="shared" si="30"/>
        <v>3</v>
      </c>
      <c r="AB1006" s="27">
        <f t="shared" si="31"/>
        <v>2025</v>
      </c>
      <c r="AC1006" s="28" t="s">
        <v>479</v>
      </c>
      <c r="AD1006" s="28" t="s">
        <v>4369</v>
      </c>
      <c r="AE1006" s="27">
        <v>4500020015</v>
      </c>
      <c r="AF1006" s="27" t="s">
        <v>339</v>
      </c>
      <c r="AG1006" s="29" t="s">
        <v>4359</v>
      </c>
      <c r="AH1006" s="28" t="s">
        <v>4360</v>
      </c>
      <c r="AI1006" s="27"/>
      <c r="AJ1006" s="27"/>
      <c r="AK1006" s="27"/>
      <c r="AL1006" s="27"/>
      <c r="AM1006" s="27"/>
      <c r="AN1006" s="27"/>
      <c r="AO1006" s="27" t="s">
        <v>4370</v>
      </c>
      <c r="AP1006" s="27"/>
      <c r="AQ1006" s="27"/>
      <c r="AR1006" s="504"/>
      <c r="AS1006" s="332" t="s">
        <v>4371</v>
      </c>
      <c r="AT1006" s="160"/>
    </row>
    <row r="1007" spans="1:46" ht="21.75" hidden="1" customHeight="1">
      <c r="A1007" s="331">
        <v>1006</v>
      </c>
      <c r="B1007" s="28" t="s">
        <v>4372</v>
      </c>
      <c r="C1007" s="28" t="s">
        <v>4373</v>
      </c>
      <c r="D1007" s="437" t="s">
        <v>4374</v>
      </c>
      <c r="E1007" s="361" t="str">
        <f t="shared" ca="1" si="27"/>
        <v>LOSS</v>
      </c>
      <c r="F1007" s="29"/>
      <c r="G1007" s="28" t="s">
        <v>4375</v>
      </c>
      <c r="H1007" s="29" t="s">
        <v>2748</v>
      </c>
      <c r="I1007" s="29" t="s">
        <v>346</v>
      </c>
      <c r="J1007" s="28" t="s">
        <v>4376</v>
      </c>
      <c r="K1007" s="28"/>
      <c r="L1007" s="27"/>
      <c r="M1007" s="27"/>
      <c r="N1007" s="29"/>
      <c r="O1007" s="56"/>
      <c r="P1007" s="31">
        <v>94800000</v>
      </c>
      <c r="Q1007" s="31"/>
      <c r="R1007" s="27"/>
      <c r="S1007" s="32">
        <v>28500000</v>
      </c>
      <c r="T1007" s="33"/>
      <c r="U1007" s="334">
        <v>44461</v>
      </c>
      <c r="V1007" s="334">
        <v>44825</v>
      </c>
      <c r="W1007" s="27" t="s">
        <v>250</v>
      </c>
      <c r="X1007" s="27"/>
      <c r="Y1007" s="34">
        <f t="shared" ca="1" si="28"/>
        <v>46290</v>
      </c>
      <c r="Z1007" s="35">
        <f t="shared" ca="1" si="29"/>
        <v>-1465</v>
      </c>
      <c r="AA1007" s="27">
        <f t="shared" si="30"/>
        <v>9</v>
      </c>
      <c r="AB1007" s="27">
        <f t="shared" si="31"/>
        <v>2022</v>
      </c>
      <c r="AC1007" s="28" t="s">
        <v>4377</v>
      </c>
      <c r="AD1007" s="28" t="s">
        <v>4378</v>
      </c>
      <c r="AE1007" s="27">
        <v>4500016827</v>
      </c>
      <c r="AF1007" s="27" t="s">
        <v>339</v>
      </c>
      <c r="AG1007" s="29" t="s">
        <v>4379</v>
      </c>
      <c r="AH1007" s="28" t="s">
        <v>4380</v>
      </c>
      <c r="AI1007" s="27">
        <v>101</v>
      </c>
      <c r="AJ1007" s="27" t="s">
        <v>4381</v>
      </c>
      <c r="AK1007" s="27" t="s">
        <v>4382</v>
      </c>
      <c r="AL1007" s="27" t="s">
        <v>4383</v>
      </c>
      <c r="AM1007" s="27" t="s">
        <v>4384</v>
      </c>
      <c r="AN1007" s="27"/>
      <c r="AO1007" s="27"/>
      <c r="AP1007" s="27"/>
      <c r="AQ1007" s="27"/>
      <c r="AR1007" s="504"/>
      <c r="AS1007" s="332" t="s">
        <v>4385</v>
      </c>
      <c r="AT1007" s="160"/>
    </row>
    <row r="1008" spans="1:46" ht="21.75" hidden="1" customHeight="1">
      <c r="A1008" s="331">
        <v>1007</v>
      </c>
      <c r="B1008" s="28" t="s">
        <v>112</v>
      </c>
      <c r="C1008" s="28" t="s">
        <v>4386</v>
      </c>
      <c r="D1008" s="438" t="s">
        <v>1451</v>
      </c>
      <c r="E1008" s="361" t="str">
        <f t="shared" ca="1" si="27"/>
        <v>LOSS</v>
      </c>
      <c r="F1008" s="29"/>
      <c r="G1008" s="28" t="s">
        <v>4387</v>
      </c>
      <c r="H1008" s="29" t="s">
        <v>2748</v>
      </c>
      <c r="I1008" s="29" t="s">
        <v>346</v>
      </c>
      <c r="J1008" s="28" t="s">
        <v>113</v>
      </c>
      <c r="K1008" s="28"/>
      <c r="L1008" s="27"/>
      <c r="M1008" s="27"/>
      <c r="N1008" s="29"/>
      <c r="O1008" s="56"/>
      <c r="P1008" s="31">
        <v>80400000</v>
      </c>
      <c r="Q1008" s="31"/>
      <c r="R1008" s="27"/>
      <c r="S1008" s="32">
        <v>9350000</v>
      </c>
      <c r="T1008" s="33"/>
      <c r="U1008" s="334">
        <v>45323</v>
      </c>
      <c r="V1008" s="334">
        <v>45688</v>
      </c>
      <c r="W1008" s="27" t="s">
        <v>250</v>
      </c>
      <c r="X1008" s="27"/>
      <c r="Y1008" s="34">
        <f t="shared" ca="1" si="28"/>
        <v>46290</v>
      </c>
      <c r="Z1008" s="35">
        <f t="shared" ca="1" si="29"/>
        <v>-602</v>
      </c>
      <c r="AA1008" s="27">
        <f t="shared" si="30"/>
        <v>1</v>
      </c>
      <c r="AB1008" s="27">
        <f t="shared" si="31"/>
        <v>2025</v>
      </c>
      <c r="AC1008" s="28" t="s">
        <v>4388</v>
      </c>
      <c r="AD1008" s="28">
        <v>2449</v>
      </c>
      <c r="AE1008" s="27">
        <v>4500022205</v>
      </c>
      <c r="AF1008" s="27" t="s">
        <v>339</v>
      </c>
      <c r="AG1008" s="29" t="s">
        <v>4389</v>
      </c>
      <c r="AH1008" s="28" t="s">
        <v>4390</v>
      </c>
      <c r="AI1008" s="27"/>
      <c r="AJ1008" s="27"/>
      <c r="AK1008" s="27"/>
      <c r="AL1008" s="27"/>
      <c r="AM1008" s="27" t="s">
        <v>4391</v>
      </c>
      <c r="AN1008" s="27" t="s">
        <v>4392</v>
      </c>
      <c r="AO1008" s="27" t="s">
        <v>4393</v>
      </c>
      <c r="AP1008" s="27" t="s">
        <v>4394</v>
      </c>
      <c r="AQ1008" s="27"/>
      <c r="AR1008" s="504"/>
      <c r="AS1008" s="332"/>
      <c r="AT1008" s="160"/>
    </row>
    <row r="1009" spans="1:46" ht="21.75" hidden="1" customHeight="1">
      <c r="A1009" s="331">
        <v>1008</v>
      </c>
      <c r="B1009" s="28" t="s">
        <v>4395</v>
      </c>
      <c r="C1009" s="28" t="s">
        <v>4396</v>
      </c>
      <c r="D1009" s="437" t="s">
        <v>4397</v>
      </c>
      <c r="E1009" s="361" t="str">
        <f t="shared" ca="1" si="27"/>
        <v>LOSS</v>
      </c>
      <c r="F1009" s="29"/>
      <c r="G1009" s="28" t="s">
        <v>4398</v>
      </c>
      <c r="H1009" s="29" t="s">
        <v>2748</v>
      </c>
      <c r="I1009" s="29" t="s">
        <v>346</v>
      </c>
      <c r="J1009" s="28" t="s">
        <v>4399</v>
      </c>
      <c r="K1009" s="28"/>
      <c r="L1009" s="27"/>
      <c r="M1009" s="27"/>
      <c r="N1009" s="29"/>
      <c r="O1009" s="56"/>
      <c r="P1009" s="31">
        <v>26700000</v>
      </c>
      <c r="Q1009" s="31"/>
      <c r="R1009" s="27"/>
      <c r="S1009" s="32">
        <v>8250000</v>
      </c>
      <c r="T1009" s="33"/>
      <c r="U1009" s="334">
        <v>43560</v>
      </c>
      <c r="V1009" s="334">
        <v>43925</v>
      </c>
      <c r="W1009" s="27" t="s">
        <v>250</v>
      </c>
      <c r="X1009" s="27"/>
      <c r="Y1009" s="34">
        <f t="shared" ca="1" si="28"/>
        <v>46290</v>
      </c>
      <c r="Z1009" s="35">
        <f t="shared" ca="1" si="29"/>
        <v>-2365</v>
      </c>
      <c r="AA1009" s="27">
        <f t="shared" si="30"/>
        <v>4</v>
      </c>
      <c r="AB1009" s="27">
        <f t="shared" si="31"/>
        <v>2020</v>
      </c>
      <c r="AC1009" s="28" t="s">
        <v>4400</v>
      </c>
      <c r="AD1009" s="28" t="s">
        <v>4401</v>
      </c>
      <c r="AE1009" s="27">
        <v>4500012662</v>
      </c>
      <c r="AF1009" s="27" t="s">
        <v>339</v>
      </c>
      <c r="AG1009" s="29" t="s">
        <v>4402</v>
      </c>
      <c r="AH1009" s="28"/>
      <c r="AI1009" s="27"/>
      <c r="AJ1009" s="27" t="s">
        <v>4403</v>
      </c>
      <c r="AK1009" s="27" t="s">
        <v>4404</v>
      </c>
      <c r="AL1009" s="27"/>
      <c r="AM1009" s="27"/>
      <c r="AN1009" s="27"/>
      <c r="AO1009" s="27"/>
      <c r="AP1009" s="27"/>
      <c r="AQ1009" s="27"/>
      <c r="AR1009" s="504"/>
      <c r="AS1009" s="332"/>
      <c r="AT1009" s="160"/>
    </row>
    <row r="1010" spans="1:46" ht="21.75" hidden="1" customHeight="1">
      <c r="A1010" s="331">
        <v>1009</v>
      </c>
      <c r="B1010" s="28" t="s">
        <v>4405</v>
      </c>
      <c r="C1010" s="28" t="s">
        <v>4406</v>
      </c>
      <c r="D1010" s="438" t="s">
        <v>4407</v>
      </c>
      <c r="E1010" s="361" t="str">
        <f t="shared" ca="1" si="27"/>
        <v>LOSS</v>
      </c>
      <c r="F1010" s="29"/>
      <c r="G1010" s="28" t="s">
        <v>4408</v>
      </c>
      <c r="H1010" s="29" t="s">
        <v>2748</v>
      </c>
      <c r="I1010" s="29" t="s">
        <v>346</v>
      </c>
      <c r="J1010" s="28" t="s">
        <v>4409</v>
      </c>
      <c r="K1010" s="28"/>
      <c r="L1010" s="27"/>
      <c r="M1010" s="27"/>
      <c r="N1010" s="29"/>
      <c r="O1010" s="56"/>
      <c r="P1010" s="31">
        <v>49032000</v>
      </c>
      <c r="Q1010" s="31"/>
      <c r="R1010" s="27"/>
      <c r="S1010" s="32">
        <v>33000000</v>
      </c>
      <c r="T1010" s="33"/>
      <c r="U1010" s="334">
        <v>43952</v>
      </c>
      <c r="V1010" s="334">
        <v>44316</v>
      </c>
      <c r="W1010" s="27" t="s">
        <v>245</v>
      </c>
      <c r="X1010" s="27"/>
      <c r="Y1010" s="34">
        <f t="shared" ca="1" si="28"/>
        <v>46290</v>
      </c>
      <c r="Z1010" s="35">
        <f t="shared" ca="1" si="29"/>
        <v>-1974</v>
      </c>
      <c r="AA1010" s="27">
        <f t="shared" si="30"/>
        <v>4</v>
      </c>
      <c r="AB1010" s="27">
        <f t="shared" si="31"/>
        <v>2021</v>
      </c>
      <c r="AC1010" s="28" t="s">
        <v>4410</v>
      </c>
      <c r="AD1010" s="28" t="s">
        <v>965</v>
      </c>
      <c r="AE1010" s="27">
        <v>4500014608</v>
      </c>
      <c r="AF1010" s="27" t="s">
        <v>339</v>
      </c>
      <c r="AG1010" s="29" t="s">
        <v>4411</v>
      </c>
      <c r="AH1010" s="28" t="s">
        <v>4412</v>
      </c>
      <c r="AI1010" s="27">
        <v>25</v>
      </c>
      <c r="AJ1010" s="27" t="s">
        <v>4413</v>
      </c>
      <c r="AK1010" s="27" t="s">
        <v>4414</v>
      </c>
      <c r="AL1010" s="27" t="s">
        <v>4415</v>
      </c>
      <c r="AM1010" s="27"/>
      <c r="AN1010" s="27"/>
      <c r="AO1010" s="27"/>
      <c r="AP1010" s="27"/>
      <c r="AQ1010" s="27"/>
      <c r="AR1010" s="504"/>
      <c r="AS1010" s="332" t="s">
        <v>4416</v>
      </c>
      <c r="AT1010" s="160"/>
    </row>
    <row r="1011" spans="1:46" ht="21.75" hidden="1" customHeight="1">
      <c r="A1011" s="331">
        <v>1010</v>
      </c>
      <c r="B1011" s="28" t="s">
        <v>125</v>
      </c>
      <c r="C1011" s="28" t="s">
        <v>4417</v>
      </c>
      <c r="D1011" s="437" t="s">
        <v>4418</v>
      </c>
      <c r="E1011" s="361" t="str">
        <f t="shared" ca="1" si="27"/>
        <v>LOSS</v>
      </c>
      <c r="F1011" s="29"/>
      <c r="G1011" s="28" t="s">
        <v>4419</v>
      </c>
      <c r="H1011" s="29" t="s">
        <v>2748</v>
      </c>
      <c r="I1011" s="160" t="s">
        <v>346</v>
      </c>
      <c r="J1011" s="28" t="s">
        <v>126</v>
      </c>
      <c r="K1011" s="28"/>
      <c r="L1011" s="27"/>
      <c r="M1011" s="27"/>
      <c r="N1011" s="29"/>
      <c r="O1011" s="56"/>
      <c r="P1011" s="31">
        <f>118000000*12</f>
        <v>1416000000</v>
      </c>
      <c r="Q1011" s="31"/>
      <c r="R1011" s="27"/>
      <c r="S1011" s="32">
        <v>72000000</v>
      </c>
      <c r="T1011" s="33"/>
      <c r="U1011" s="334">
        <v>45484</v>
      </c>
      <c r="V1011" s="334">
        <v>46213</v>
      </c>
      <c r="W1011" s="27" t="s">
        <v>17</v>
      </c>
      <c r="X1011" s="27"/>
      <c r="Y1011" s="34">
        <f t="shared" ca="1" si="28"/>
        <v>46290</v>
      </c>
      <c r="Z1011" s="35">
        <f t="shared" ca="1" si="29"/>
        <v>-77</v>
      </c>
      <c r="AA1011" s="27">
        <f t="shared" si="30"/>
        <v>7</v>
      </c>
      <c r="AB1011" s="27">
        <f t="shared" si="31"/>
        <v>2026</v>
      </c>
      <c r="AC1011" s="28" t="s">
        <v>3371</v>
      </c>
      <c r="AD1011" s="28" t="s">
        <v>4420</v>
      </c>
      <c r="AE1011" s="27">
        <v>4500022945</v>
      </c>
      <c r="AF1011" s="27" t="s">
        <v>339</v>
      </c>
      <c r="AG1011" s="29" t="s">
        <v>4421</v>
      </c>
      <c r="AH1011" s="28" t="s">
        <v>4422</v>
      </c>
      <c r="AI1011" s="27"/>
      <c r="AJ1011" s="27"/>
      <c r="AK1011" s="27"/>
      <c r="AL1011" s="27"/>
      <c r="AM1011" s="27"/>
      <c r="AN1011" s="27"/>
      <c r="AO1011" s="27"/>
      <c r="AP1011" s="27" t="s">
        <v>4423</v>
      </c>
      <c r="AQ1011" s="27"/>
      <c r="AR1011" s="504"/>
      <c r="AS1011" s="332"/>
      <c r="AT1011" s="160"/>
    </row>
    <row r="1012" spans="1:46" ht="21.75" hidden="1" customHeight="1">
      <c r="A1012" s="331">
        <v>1011</v>
      </c>
      <c r="B1012" s="28" t="s">
        <v>114</v>
      </c>
      <c r="C1012" s="28" t="s">
        <v>115</v>
      </c>
      <c r="D1012" s="443" t="s">
        <v>335</v>
      </c>
      <c r="E1012" s="361" t="str">
        <f t="shared" ca="1" si="27"/>
        <v>LOSS</v>
      </c>
      <c r="F1012" s="29"/>
      <c r="G1012" s="28" t="s">
        <v>115</v>
      </c>
      <c r="H1012" s="29" t="s">
        <v>2748</v>
      </c>
      <c r="I1012" s="29" t="s">
        <v>346</v>
      </c>
      <c r="J1012" s="40" t="s">
        <v>4424</v>
      </c>
      <c r="K1012" s="28"/>
      <c r="L1012" s="27"/>
      <c r="M1012" s="27"/>
      <c r="N1012" s="29"/>
      <c r="O1012" s="56"/>
      <c r="P1012" s="31" t="s">
        <v>115</v>
      </c>
      <c r="Q1012" s="31"/>
      <c r="R1012" s="27"/>
      <c r="S1012" s="32">
        <v>168000000</v>
      </c>
      <c r="T1012" s="33"/>
      <c r="U1012" s="334">
        <v>44930</v>
      </c>
      <c r="V1012" s="334">
        <v>45294</v>
      </c>
      <c r="W1012" s="27" t="s">
        <v>250</v>
      </c>
      <c r="X1012" s="27"/>
      <c r="Y1012" s="34">
        <f t="shared" ca="1" si="28"/>
        <v>46290</v>
      </c>
      <c r="Z1012" s="35">
        <f t="shared" ca="1" si="29"/>
        <v>-996</v>
      </c>
      <c r="AA1012" s="27">
        <f t="shared" si="30"/>
        <v>1</v>
      </c>
      <c r="AB1012" s="27">
        <f t="shared" si="31"/>
        <v>2024</v>
      </c>
      <c r="AC1012" s="28" t="s">
        <v>4425</v>
      </c>
      <c r="AD1012" s="28" t="s">
        <v>4426</v>
      </c>
      <c r="AE1012" s="27">
        <v>4500019952</v>
      </c>
      <c r="AF1012" s="27" t="s">
        <v>339</v>
      </c>
      <c r="AG1012" s="29" t="s">
        <v>4427</v>
      </c>
      <c r="AH1012" s="28"/>
      <c r="AI1012" s="27"/>
      <c r="AJ1012" s="27"/>
      <c r="AK1012" s="27"/>
      <c r="AL1012" s="27"/>
      <c r="AM1012" s="27" t="s">
        <v>4428</v>
      </c>
      <c r="AN1012" s="27" t="s">
        <v>4429</v>
      </c>
      <c r="AO1012" s="27" t="s">
        <v>4430</v>
      </c>
      <c r="AP1012" s="27"/>
      <c r="AQ1012" s="27"/>
      <c r="AR1012" s="504"/>
      <c r="AS1012" s="332"/>
      <c r="AT1012" s="160"/>
    </row>
    <row r="1013" spans="1:46" ht="21.75" hidden="1" customHeight="1">
      <c r="A1013" s="331">
        <v>1012</v>
      </c>
      <c r="B1013" s="28" t="s">
        <v>114</v>
      </c>
      <c r="C1013" s="28" t="s">
        <v>4431</v>
      </c>
      <c r="D1013" s="444" t="s">
        <v>335</v>
      </c>
      <c r="E1013" s="361" t="str">
        <f t="shared" ca="1" si="27"/>
        <v>LOSS</v>
      </c>
      <c r="F1013" s="29"/>
      <c r="G1013" s="28" t="s">
        <v>4432</v>
      </c>
      <c r="H1013" s="29" t="s">
        <v>2748</v>
      </c>
      <c r="I1013" s="29" t="s">
        <v>242</v>
      </c>
      <c r="J1013" s="28" t="s">
        <v>115</v>
      </c>
      <c r="K1013" s="28"/>
      <c r="L1013" s="27"/>
      <c r="M1013" s="27"/>
      <c r="N1013" s="29"/>
      <c r="O1013" s="56"/>
      <c r="P1013" s="31">
        <v>2500800000</v>
      </c>
      <c r="Q1013" s="31"/>
      <c r="R1013" s="27"/>
      <c r="S1013" s="32">
        <v>624000000</v>
      </c>
      <c r="T1013" s="33"/>
      <c r="U1013" s="334">
        <v>45017</v>
      </c>
      <c r="V1013" s="334">
        <v>45382</v>
      </c>
      <c r="W1013" s="27" t="s">
        <v>250</v>
      </c>
      <c r="X1013" s="27"/>
      <c r="Y1013" s="34">
        <f t="shared" ca="1" si="28"/>
        <v>46290</v>
      </c>
      <c r="Z1013" s="35">
        <f t="shared" ca="1" si="29"/>
        <v>-908</v>
      </c>
      <c r="AA1013" s="27">
        <f t="shared" si="30"/>
        <v>3</v>
      </c>
      <c r="AB1013" s="27">
        <f t="shared" si="31"/>
        <v>2024</v>
      </c>
      <c r="AC1013" s="28" t="s">
        <v>4433</v>
      </c>
      <c r="AD1013" s="28" t="s">
        <v>4434</v>
      </c>
      <c r="AE1013" s="27">
        <v>4500021016</v>
      </c>
      <c r="AF1013" s="27" t="s">
        <v>339</v>
      </c>
      <c r="AG1013" s="29" t="s">
        <v>4427</v>
      </c>
      <c r="AH1013" s="28"/>
      <c r="AI1013" s="27"/>
      <c r="AJ1013" s="27"/>
      <c r="AK1013" s="27"/>
      <c r="AL1013" s="27"/>
      <c r="AM1013" s="27" t="s">
        <v>4435</v>
      </c>
      <c r="AN1013" s="27" t="s">
        <v>4436</v>
      </c>
      <c r="AO1013" s="27" t="s">
        <v>4437</v>
      </c>
      <c r="AP1013" s="27"/>
      <c r="AQ1013" s="27"/>
      <c r="AR1013" s="504"/>
      <c r="AS1013" s="332" t="s">
        <v>4438</v>
      </c>
      <c r="AT1013" s="160"/>
    </row>
    <row r="1014" spans="1:46" ht="21.75" hidden="1" customHeight="1">
      <c r="A1014" s="331">
        <v>1013</v>
      </c>
      <c r="B1014" s="28" t="s">
        <v>114</v>
      </c>
      <c r="C1014" s="38" t="s">
        <v>4439</v>
      </c>
      <c r="D1014" s="443" t="s">
        <v>335</v>
      </c>
      <c r="E1014" s="361" t="str">
        <f t="shared" ca="1" si="27"/>
        <v>LOSS</v>
      </c>
      <c r="F1014" s="29"/>
      <c r="G1014" s="28" t="s">
        <v>4440</v>
      </c>
      <c r="H1014" s="29" t="s">
        <v>2748</v>
      </c>
      <c r="I1014" s="29" t="s">
        <v>242</v>
      </c>
      <c r="J1014" s="38" t="s">
        <v>115</v>
      </c>
      <c r="K1014" s="38"/>
      <c r="L1014" s="48"/>
      <c r="M1014" s="48"/>
      <c r="N1014" s="36"/>
      <c r="O1014" s="196"/>
      <c r="P1014" s="43">
        <v>38961601326</v>
      </c>
      <c r="Q1014" s="43"/>
      <c r="R1014" s="48"/>
      <c r="S1014" s="32">
        <v>316000000</v>
      </c>
      <c r="T1014" s="33"/>
      <c r="U1014" s="334">
        <v>45292</v>
      </c>
      <c r="V1014" s="334">
        <v>45657</v>
      </c>
      <c r="W1014" s="27" t="s">
        <v>250</v>
      </c>
      <c r="X1014" s="27"/>
      <c r="Y1014" s="34">
        <f t="shared" ca="1" si="28"/>
        <v>46290</v>
      </c>
      <c r="Z1014" s="35">
        <f t="shared" ca="1" si="29"/>
        <v>-633</v>
      </c>
      <c r="AA1014" s="27">
        <f t="shared" si="30"/>
        <v>12</v>
      </c>
      <c r="AB1014" s="27">
        <f t="shared" si="31"/>
        <v>2024</v>
      </c>
      <c r="AC1014" s="28" t="s">
        <v>479</v>
      </c>
      <c r="AD1014" s="28" t="s">
        <v>4441</v>
      </c>
      <c r="AE1014" s="27">
        <v>4500022774</v>
      </c>
      <c r="AF1014" s="27" t="s">
        <v>339</v>
      </c>
      <c r="AG1014" s="29" t="s">
        <v>4427</v>
      </c>
      <c r="AH1014" s="28"/>
      <c r="AI1014" s="27"/>
      <c r="AJ1014" s="27"/>
      <c r="AK1014" s="27"/>
      <c r="AL1014" s="27"/>
      <c r="AM1014" s="27"/>
      <c r="AN1014" s="27" t="s">
        <v>4442</v>
      </c>
      <c r="AO1014" s="27"/>
      <c r="AP1014" s="27" t="s">
        <v>4443</v>
      </c>
      <c r="AQ1014" s="27"/>
      <c r="AR1014" s="504"/>
      <c r="AS1014" s="332" t="s">
        <v>4444</v>
      </c>
      <c r="AT1014" s="160"/>
    </row>
    <row r="1015" spans="1:46" ht="21.75" hidden="1" customHeight="1">
      <c r="A1015" s="331">
        <v>1014</v>
      </c>
      <c r="B1015" s="28" t="s">
        <v>114</v>
      </c>
      <c r="C1015" s="28" t="s">
        <v>4445</v>
      </c>
      <c r="D1015" s="444" t="s">
        <v>335</v>
      </c>
      <c r="E1015" s="361" t="str">
        <f t="shared" ca="1" si="27"/>
        <v>LOSS</v>
      </c>
      <c r="F1015" s="29"/>
      <c r="G1015" s="28" t="s">
        <v>4446</v>
      </c>
      <c r="H1015" s="29" t="s">
        <v>2748</v>
      </c>
      <c r="I1015" s="29" t="s">
        <v>346</v>
      </c>
      <c r="J1015" s="28" t="s">
        <v>4447</v>
      </c>
      <c r="K1015" s="28"/>
      <c r="L1015" s="27"/>
      <c r="M1015" s="27"/>
      <c r="N1015" s="29"/>
      <c r="O1015" s="56"/>
      <c r="P1015" s="31">
        <v>315000000</v>
      </c>
      <c r="Q1015" s="31"/>
      <c r="R1015" s="27"/>
      <c r="S1015" s="32">
        <v>119700000</v>
      </c>
      <c r="T1015" s="33"/>
      <c r="U1015" s="334">
        <v>45231</v>
      </c>
      <c r="V1015" s="334">
        <v>45596</v>
      </c>
      <c r="W1015" s="27" t="s">
        <v>250</v>
      </c>
      <c r="X1015" s="27"/>
      <c r="Y1015" s="34">
        <f t="shared" ca="1" si="28"/>
        <v>46290</v>
      </c>
      <c r="Z1015" s="35">
        <f t="shared" ca="1" si="29"/>
        <v>-694</v>
      </c>
      <c r="AA1015" s="27">
        <f t="shared" si="30"/>
        <v>10</v>
      </c>
      <c r="AB1015" s="27">
        <f t="shared" si="31"/>
        <v>2024</v>
      </c>
      <c r="AC1015" s="28" t="s">
        <v>4448</v>
      </c>
      <c r="AD1015" s="28" t="s">
        <v>4449</v>
      </c>
      <c r="AE1015" s="27">
        <v>4500021750</v>
      </c>
      <c r="AF1015" s="27" t="s">
        <v>339</v>
      </c>
      <c r="AG1015" s="29" t="s">
        <v>4427</v>
      </c>
      <c r="AH1015" s="28" t="s">
        <v>4450</v>
      </c>
      <c r="AI1015" s="27"/>
      <c r="AJ1015" s="27" t="s">
        <v>4451</v>
      </c>
      <c r="AK1015" s="27" t="s">
        <v>4452</v>
      </c>
      <c r="AL1015" s="27" t="s">
        <v>4453</v>
      </c>
      <c r="AM1015" s="27" t="s">
        <v>4454</v>
      </c>
      <c r="AN1015" s="27" t="s">
        <v>4455</v>
      </c>
      <c r="AO1015" s="27" t="s">
        <v>4456</v>
      </c>
      <c r="AP1015" s="27"/>
      <c r="AQ1015" s="27"/>
      <c r="AR1015" s="504"/>
      <c r="AS1015" s="332" t="s">
        <v>4457</v>
      </c>
      <c r="AT1015" s="160"/>
    </row>
    <row r="1016" spans="1:46" ht="21.75" hidden="1" customHeight="1">
      <c r="A1016" s="331">
        <v>1015</v>
      </c>
      <c r="B1016" s="28" t="s">
        <v>114</v>
      </c>
      <c r="C1016" s="38" t="s">
        <v>115</v>
      </c>
      <c r="D1016" s="443" t="s">
        <v>335</v>
      </c>
      <c r="E1016" s="361" t="str">
        <f t="shared" ca="1" si="27"/>
        <v>LOSS</v>
      </c>
      <c r="F1016" s="29"/>
      <c r="G1016" s="28" t="s">
        <v>4446</v>
      </c>
      <c r="H1016" s="29" t="s">
        <v>2748</v>
      </c>
      <c r="I1016" s="29" t="s">
        <v>346</v>
      </c>
      <c r="J1016" s="38" t="s">
        <v>115</v>
      </c>
      <c r="K1016" s="38"/>
      <c r="L1016" s="48"/>
      <c r="M1016" s="48"/>
      <c r="N1016" s="36"/>
      <c r="O1016" s="196"/>
      <c r="P1016" s="31"/>
      <c r="Q1016" s="31"/>
      <c r="R1016" s="48"/>
      <c r="S1016" s="32">
        <v>142500000</v>
      </c>
      <c r="T1016" s="33"/>
      <c r="U1016" s="334">
        <v>45219</v>
      </c>
      <c r="V1016" s="334">
        <v>45584</v>
      </c>
      <c r="W1016" s="27" t="s">
        <v>250</v>
      </c>
      <c r="X1016" s="27"/>
      <c r="Y1016" s="34">
        <f t="shared" ca="1" si="28"/>
        <v>46290</v>
      </c>
      <c r="Z1016" s="35">
        <f t="shared" ca="1" si="29"/>
        <v>-706</v>
      </c>
      <c r="AA1016" s="27">
        <f t="shared" si="30"/>
        <v>10</v>
      </c>
      <c r="AB1016" s="27">
        <f t="shared" si="31"/>
        <v>2024</v>
      </c>
      <c r="AC1016" s="28" t="s">
        <v>4458</v>
      </c>
      <c r="AD1016" s="28" t="s">
        <v>4459</v>
      </c>
      <c r="AE1016" s="27">
        <v>4500021743</v>
      </c>
      <c r="AF1016" s="27" t="s">
        <v>339</v>
      </c>
      <c r="AG1016" s="29" t="s">
        <v>4427</v>
      </c>
      <c r="AH1016" s="28"/>
      <c r="AI1016" s="27"/>
      <c r="AJ1016" s="27"/>
      <c r="AK1016" s="27"/>
      <c r="AL1016" s="27"/>
      <c r="AM1016" s="27"/>
      <c r="AN1016" s="27" t="s">
        <v>4460</v>
      </c>
      <c r="AO1016" s="27" t="s">
        <v>4461</v>
      </c>
      <c r="AP1016" s="27"/>
      <c r="AQ1016" s="27"/>
      <c r="AR1016" s="504"/>
      <c r="AS1016" s="332" t="s">
        <v>4462</v>
      </c>
      <c r="AT1016" s="160"/>
    </row>
    <row r="1017" spans="1:46" ht="21.75" hidden="1" customHeight="1">
      <c r="A1017" s="331">
        <v>1016</v>
      </c>
      <c r="B1017" s="28" t="s">
        <v>114</v>
      </c>
      <c r="C1017" s="28" t="s">
        <v>4463</v>
      </c>
      <c r="D1017" s="444" t="s">
        <v>335</v>
      </c>
      <c r="E1017" s="361" t="str">
        <f t="shared" ca="1" si="27"/>
        <v>LOSS</v>
      </c>
      <c r="F1017" s="29"/>
      <c r="G1017" s="28" t="s">
        <v>4464</v>
      </c>
      <c r="H1017" s="29" t="s">
        <v>2748</v>
      </c>
      <c r="I1017" s="29" t="s">
        <v>346</v>
      </c>
      <c r="J1017" s="38" t="s">
        <v>115</v>
      </c>
      <c r="K1017" s="28"/>
      <c r="L1017" s="27"/>
      <c r="M1017" s="27"/>
      <c r="N1017" s="29"/>
      <c r="O1017" s="56"/>
      <c r="P1017" s="31">
        <v>33789600000</v>
      </c>
      <c r="Q1017" s="31"/>
      <c r="R1017" s="27"/>
      <c r="S1017" s="32">
        <v>119700000</v>
      </c>
      <c r="T1017" s="33"/>
      <c r="U1017" s="334">
        <v>45382</v>
      </c>
      <c r="V1017" s="334">
        <v>45746</v>
      </c>
      <c r="W1017" s="27" t="s">
        <v>250</v>
      </c>
      <c r="X1017" s="27"/>
      <c r="Y1017" s="34">
        <f t="shared" ca="1" si="28"/>
        <v>46290</v>
      </c>
      <c r="Z1017" s="35">
        <f t="shared" ca="1" si="29"/>
        <v>-544</v>
      </c>
      <c r="AA1017" s="27">
        <f t="shared" si="30"/>
        <v>3</v>
      </c>
      <c r="AB1017" s="27">
        <f t="shared" si="31"/>
        <v>2025</v>
      </c>
      <c r="AC1017" s="28" t="s">
        <v>4465</v>
      </c>
      <c r="AD1017" s="28" t="s">
        <v>4466</v>
      </c>
      <c r="AE1017" s="27">
        <v>4500022668</v>
      </c>
      <c r="AF1017" s="27" t="s">
        <v>339</v>
      </c>
      <c r="AG1017" s="29" t="s">
        <v>4427</v>
      </c>
      <c r="AH1017" s="28"/>
      <c r="AI1017" s="27"/>
      <c r="AJ1017" s="27"/>
      <c r="AK1017" s="27"/>
      <c r="AL1017" s="27"/>
      <c r="AM1017" s="27"/>
      <c r="AN1017" s="27"/>
      <c r="AO1017" s="27" t="s">
        <v>4467</v>
      </c>
      <c r="AP1017" s="27" t="s">
        <v>4468</v>
      </c>
      <c r="AQ1017" s="27"/>
      <c r="AR1017" s="504"/>
      <c r="AS1017" s="332" t="s">
        <v>4469</v>
      </c>
      <c r="AT1017" s="160"/>
    </row>
    <row r="1018" spans="1:46" ht="21.75" hidden="1" customHeight="1">
      <c r="A1018" s="331">
        <v>1017</v>
      </c>
      <c r="B1018" s="28" t="s">
        <v>114</v>
      </c>
      <c r="C1018" s="28" t="s">
        <v>4470</v>
      </c>
      <c r="D1018" s="443" t="s">
        <v>335</v>
      </c>
      <c r="E1018" s="361" t="str">
        <f t="shared" ca="1" si="27"/>
        <v>LOSS</v>
      </c>
      <c r="F1018" s="29"/>
      <c r="G1018" s="28"/>
      <c r="H1018" s="29" t="s">
        <v>2748</v>
      </c>
      <c r="I1018" s="29" t="s">
        <v>346</v>
      </c>
      <c r="J1018" s="28" t="s">
        <v>115</v>
      </c>
      <c r="K1018" s="28"/>
      <c r="L1018" s="27"/>
      <c r="M1018" s="27"/>
      <c r="N1018" s="29"/>
      <c r="O1018" s="56"/>
      <c r="P1018" s="31" t="s">
        <v>115</v>
      </c>
      <c r="Q1018" s="31"/>
      <c r="R1018" s="27"/>
      <c r="S1018" s="32">
        <v>119700000</v>
      </c>
      <c r="T1018" s="33"/>
      <c r="U1018" s="334">
        <v>45274</v>
      </c>
      <c r="V1018" s="334">
        <v>45639</v>
      </c>
      <c r="W1018" s="27" t="s">
        <v>250</v>
      </c>
      <c r="X1018" s="27"/>
      <c r="Y1018" s="34">
        <f t="shared" ca="1" si="28"/>
        <v>46290</v>
      </c>
      <c r="Z1018" s="35">
        <f t="shared" ca="1" si="29"/>
        <v>-651</v>
      </c>
      <c r="AA1018" s="27">
        <f t="shared" si="30"/>
        <v>12</v>
      </c>
      <c r="AB1018" s="27">
        <f t="shared" si="31"/>
        <v>2024</v>
      </c>
      <c r="AC1018" s="28" t="s">
        <v>4471</v>
      </c>
      <c r="AD1018" s="28" t="s">
        <v>4472</v>
      </c>
      <c r="AE1018" s="27">
        <v>4500021742</v>
      </c>
      <c r="AF1018" s="27" t="s">
        <v>339</v>
      </c>
      <c r="AG1018" s="29" t="s">
        <v>4427</v>
      </c>
      <c r="AH1018" s="28"/>
      <c r="AI1018" s="27"/>
      <c r="AJ1018" s="27"/>
      <c r="AK1018" s="27"/>
      <c r="AL1018" s="27"/>
      <c r="AM1018" s="27" t="s">
        <v>4473</v>
      </c>
      <c r="AN1018" s="27" t="s">
        <v>4474</v>
      </c>
      <c r="AO1018" s="27" t="s">
        <v>4475</v>
      </c>
      <c r="AP1018" s="27"/>
      <c r="AQ1018" s="27"/>
      <c r="AR1018" s="504"/>
      <c r="AS1018" s="332"/>
      <c r="AT1018" s="160"/>
    </row>
    <row r="1019" spans="1:46" ht="21.75" hidden="1" customHeight="1">
      <c r="A1019" s="331">
        <v>1018</v>
      </c>
      <c r="B1019" s="28" t="s">
        <v>119</v>
      </c>
      <c r="C1019" s="28" t="s">
        <v>4476</v>
      </c>
      <c r="D1019" s="437" t="s">
        <v>452</v>
      </c>
      <c r="E1019" s="361" t="str">
        <f t="shared" ca="1" si="27"/>
        <v>LOSS</v>
      </c>
      <c r="F1019" s="29" t="s">
        <v>453</v>
      </c>
      <c r="G1019" s="28" t="s">
        <v>454</v>
      </c>
      <c r="H1019" s="29" t="s">
        <v>2748</v>
      </c>
      <c r="I1019" s="29" t="s">
        <v>346</v>
      </c>
      <c r="J1019" s="28" t="s">
        <v>121</v>
      </c>
      <c r="K1019" s="28"/>
      <c r="L1019" s="27"/>
      <c r="M1019" s="27"/>
      <c r="N1019" s="29"/>
      <c r="O1019" s="56"/>
      <c r="P1019" s="31">
        <v>36000000</v>
      </c>
      <c r="Q1019" s="31"/>
      <c r="R1019" s="27"/>
      <c r="S1019" s="32">
        <v>2500000</v>
      </c>
      <c r="T1019" s="33"/>
      <c r="U1019" s="334">
        <v>45309</v>
      </c>
      <c r="V1019" s="334">
        <v>45674</v>
      </c>
      <c r="W1019" s="27" t="s">
        <v>250</v>
      </c>
      <c r="X1019" s="27"/>
      <c r="Y1019" s="34">
        <f t="shared" ca="1" si="28"/>
        <v>46290</v>
      </c>
      <c r="Z1019" s="35">
        <f t="shared" ca="1" si="29"/>
        <v>-616</v>
      </c>
      <c r="AA1019" s="27">
        <f t="shared" si="30"/>
        <v>1</v>
      </c>
      <c r="AB1019" s="27">
        <f t="shared" si="31"/>
        <v>2025</v>
      </c>
      <c r="AC1019" s="28" t="s">
        <v>4477</v>
      </c>
      <c r="AD1019" s="28">
        <v>2450</v>
      </c>
      <c r="AE1019" s="27">
        <v>4500022160</v>
      </c>
      <c r="AF1019" s="27" t="s">
        <v>339</v>
      </c>
      <c r="AG1019" s="29" t="s">
        <v>4478</v>
      </c>
      <c r="AH1019" s="28" t="s">
        <v>4479</v>
      </c>
      <c r="AI1019" s="27"/>
      <c r="AJ1019" s="27"/>
      <c r="AK1019" s="27" t="s">
        <v>4480</v>
      </c>
      <c r="AL1019" s="27"/>
      <c r="AM1019" s="27" t="s">
        <v>4481</v>
      </c>
      <c r="AN1019" s="27"/>
      <c r="AO1019" s="27" t="s">
        <v>4482</v>
      </c>
      <c r="AP1019" s="27" t="s">
        <v>4483</v>
      </c>
      <c r="AQ1019" s="27"/>
      <c r="AR1019" s="504"/>
      <c r="AS1019" s="332" t="s">
        <v>4484</v>
      </c>
      <c r="AT1019" s="160"/>
    </row>
    <row r="1020" spans="1:46" ht="21.75" hidden="1" customHeight="1">
      <c r="A1020" s="331">
        <v>1019</v>
      </c>
      <c r="B1020" s="28" t="s">
        <v>119</v>
      </c>
      <c r="C1020" s="28" t="s">
        <v>4485</v>
      </c>
      <c r="D1020" s="438" t="s">
        <v>4486</v>
      </c>
      <c r="E1020" s="361" t="str">
        <f t="shared" ca="1" si="27"/>
        <v>LOSS</v>
      </c>
      <c r="F1020" s="29"/>
      <c r="G1020" s="28" t="s">
        <v>4487</v>
      </c>
      <c r="H1020" s="29" t="s">
        <v>2748</v>
      </c>
      <c r="I1020" s="29" t="s">
        <v>346</v>
      </c>
      <c r="J1020" s="28" t="s">
        <v>4488</v>
      </c>
      <c r="K1020" s="28"/>
      <c r="L1020" s="27"/>
      <c r="M1020" s="27"/>
      <c r="N1020" s="29"/>
      <c r="O1020" s="56"/>
      <c r="P1020" s="31">
        <f>12*5200000</f>
        <v>62400000</v>
      </c>
      <c r="Q1020" s="31"/>
      <c r="R1020" s="30"/>
      <c r="S1020" s="32">
        <v>12000000</v>
      </c>
      <c r="T1020" s="33"/>
      <c r="U1020" s="334">
        <v>45206</v>
      </c>
      <c r="V1020" s="334">
        <v>45571</v>
      </c>
      <c r="W1020" s="27" t="s">
        <v>250</v>
      </c>
      <c r="X1020" s="27"/>
      <c r="Y1020" s="34">
        <f t="shared" ca="1" si="28"/>
        <v>46290</v>
      </c>
      <c r="Z1020" s="35">
        <f t="shared" ca="1" si="29"/>
        <v>-719</v>
      </c>
      <c r="AA1020" s="27">
        <f t="shared" si="30"/>
        <v>10</v>
      </c>
      <c r="AB1020" s="27">
        <f t="shared" si="31"/>
        <v>2024</v>
      </c>
      <c r="AC1020" s="28" t="s">
        <v>4489</v>
      </c>
      <c r="AD1020" s="28" t="s">
        <v>4490</v>
      </c>
      <c r="AE1020" s="27">
        <v>4500021841</v>
      </c>
      <c r="AF1020" s="27" t="s">
        <v>339</v>
      </c>
      <c r="AG1020" s="29" t="s">
        <v>4478</v>
      </c>
      <c r="AH1020" s="28" t="s">
        <v>4479</v>
      </c>
      <c r="AI1020" s="27"/>
      <c r="AJ1020" s="27"/>
      <c r="AK1020" s="27"/>
      <c r="AL1020" s="27"/>
      <c r="AM1020" s="27"/>
      <c r="AN1020" s="27" t="s">
        <v>4491</v>
      </c>
      <c r="AO1020" s="27" t="s">
        <v>4492</v>
      </c>
      <c r="AP1020" s="27"/>
      <c r="AQ1020" s="27"/>
      <c r="AR1020" s="504"/>
      <c r="AS1020" s="332" t="s">
        <v>4493</v>
      </c>
      <c r="AT1020" s="160"/>
    </row>
    <row r="1021" spans="1:46" ht="21.75" hidden="1" customHeight="1">
      <c r="A1021" s="331">
        <v>1020</v>
      </c>
      <c r="B1021" s="28" t="s">
        <v>119</v>
      </c>
      <c r="C1021" s="28" t="s">
        <v>4494</v>
      </c>
      <c r="D1021" s="437" t="s">
        <v>4486</v>
      </c>
      <c r="E1021" s="361" t="str">
        <f t="shared" ca="1" si="27"/>
        <v>LOSS</v>
      </c>
      <c r="F1021" s="29"/>
      <c r="G1021" s="28" t="s">
        <v>4495</v>
      </c>
      <c r="H1021" s="29" t="s">
        <v>2748</v>
      </c>
      <c r="I1021" s="29" t="s">
        <v>346</v>
      </c>
      <c r="J1021" s="28" t="s">
        <v>2895</v>
      </c>
      <c r="K1021" s="28"/>
      <c r="L1021" s="27"/>
      <c r="M1021" s="27"/>
      <c r="N1021" s="29"/>
      <c r="O1021" s="56"/>
      <c r="P1021" s="31">
        <v>36000000</v>
      </c>
      <c r="Q1021" s="31"/>
      <c r="R1021" s="27"/>
      <c r="S1021" s="32">
        <v>2500000</v>
      </c>
      <c r="T1021" s="33"/>
      <c r="U1021" s="334">
        <v>44720</v>
      </c>
      <c r="V1021" s="334">
        <v>45084</v>
      </c>
      <c r="W1021" s="27" t="s">
        <v>245</v>
      </c>
      <c r="X1021" s="27"/>
      <c r="Y1021" s="34">
        <f t="shared" ca="1" si="28"/>
        <v>46290</v>
      </c>
      <c r="Z1021" s="35">
        <f t="shared" ca="1" si="29"/>
        <v>-1206</v>
      </c>
      <c r="AA1021" s="27">
        <f t="shared" si="30"/>
        <v>6</v>
      </c>
      <c r="AB1021" s="27">
        <f t="shared" si="31"/>
        <v>2023</v>
      </c>
      <c r="AC1021" s="28" t="s">
        <v>4496</v>
      </c>
      <c r="AD1021" s="28" t="s">
        <v>1997</v>
      </c>
      <c r="AE1021" s="27">
        <v>4500018645</v>
      </c>
      <c r="AF1021" s="27" t="s">
        <v>339</v>
      </c>
      <c r="AG1021" s="29" t="s">
        <v>4478</v>
      </c>
      <c r="AH1021" s="28" t="s">
        <v>4479</v>
      </c>
      <c r="AI1021" s="27"/>
      <c r="AJ1021" s="27"/>
      <c r="AK1021" s="27"/>
      <c r="AL1021" s="27" t="s">
        <v>4497</v>
      </c>
      <c r="AM1021" s="27"/>
      <c r="AN1021" s="27" t="s">
        <v>4498</v>
      </c>
      <c r="AO1021" s="27"/>
      <c r="AP1021" s="27"/>
      <c r="AQ1021" s="27"/>
      <c r="AR1021" s="504"/>
      <c r="AS1021" s="332" t="s">
        <v>4499</v>
      </c>
      <c r="AT1021" s="160"/>
    </row>
    <row r="1022" spans="1:46" ht="21.75" hidden="1" customHeight="1">
      <c r="A1022" s="331">
        <v>1021</v>
      </c>
      <c r="B1022" s="28" t="s">
        <v>119</v>
      </c>
      <c r="C1022" s="28" t="s">
        <v>4500</v>
      </c>
      <c r="D1022" s="438" t="s">
        <v>4486</v>
      </c>
      <c r="E1022" s="361" t="str">
        <f t="shared" ca="1" si="27"/>
        <v>LOSS</v>
      </c>
      <c r="F1022" s="29"/>
      <c r="G1022" s="28" t="s">
        <v>4501</v>
      </c>
      <c r="H1022" s="29" t="s">
        <v>2748</v>
      </c>
      <c r="I1022" s="29" t="s">
        <v>346</v>
      </c>
      <c r="J1022" s="28" t="s">
        <v>954</v>
      </c>
      <c r="K1022" s="28"/>
      <c r="L1022" s="27"/>
      <c r="M1022" s="27"/>
      <c r="N1022" s="29"/>
      <c r="O1022" s="56"/>
      <c r="P1022" s="31">
        <v>30000000</v>
      </c>
      <c r="Q1022" s="31"/>
      <c r="R1022" s="27"/>
      <c r="S1022" s="32">
        <v>2000000</v>
      </c>
      <c r="T1022" s="33"/>
      <c r="U1022" s="334">
        <v>44612</v>
      </c>
      <c r="V1022" s="334">
        <v>44976</v>
      </c>
      <c r="W1022" s="27" t="s">
        <v>245</v>
      </c>
      <c r="X1022" s="27"/>
      <c r="Y1022" s="34">
        <f t="shared" ca="1" si="28"/>
        <v>46290</v>
      </c>
      <c r="Z1022" s="35">
        <f t="shared" ca="1" si="29"/>
        <v>-1314</v>
      </c>
      <c r="AA1022" s="27">
        <f t="shared" si="30"/>
        <v>2</v>
      </c>
      <c r="AB1022" s="27">
        <f t="shared" si="31"/>
        <v>2023</v>
      </c>
      <c r="AC1022" s="28" t="s">
        <v>4502</v>
      </c>
      <c r="AD1022" s="28" t="s">
        <v>2108</v>
      </c>
      <c r="AE1022" s="27">
        <v>4500018934</v>
      </c>
      <c r="AF1022" s="27" t="s">
        <v>339</v>
      </c>
      <c r="AG1022" s="29" t="s">
        <v>4478</v>
      </c>
      <c r="AH1022" s="28" t="s">
        <v>4479</v>
      </c>
      <c r="AI1022" s="27"/>
      <c r="AJ1022" s="27"/>
      <c r="AK1022" s="27" t="s">
        <v>4503</v>
      </c>
      <c r="AL1022" s="27" t="s">
        <v>4504</v>
      </c>
      <c r="AM1022" s="27" t="s">
        <v>4505</v>
      </c>
      <c r="AN1022" s="27" t="s">
        <v>4506</v>
      </c>
      <c r="AO1022" s="27"/>
      <c r="AP1022" s="27"/>
      <c r="AQ1022" s="27"/>
      <c r="AR1022" s="504"/>
      <c r="AS1022" s="332" t="s">
        <v>4507</v>
      </c>
      <c r="AT1022" s="160"/>
    </row>
    <row r="1023" spans="1:46" ht="21.75" hidden="1" customHeight="1">
      <c r="A1023" s="331">
        <v>1022</v>
      </c>
      <c r="B1023" s="28" t="s">
        <v>119</v>
      </c>
      <c r="C1023" s="28" t="s">
        <v>1308</v>
      </c>
      <c r="D1023" s="437" t="s">
        <v>4486</v>
      </c>
      <c r="E1023" s="361" t="str">
        <f t="shared" ca="1" si="27"/>
        <v>LOSS</v>
      </c>
      <c r="F1023" s="29"/>
      <c r="G1023" s="28" t="s">
        <v>4508</v>
      </c>
      <c r="H1023" s="29" t="s">
        <v>2748</v>
      </c>
      <c r="I1023" s="29" t="s">
        <v>346</v>
      </c>
      <c r="J1023" s="28" t="s">
        <v>4509</v>
      </c>
      <c r="K1023" s="28"/>
      <c r="L1023" s="27"/>
      <c r="M1023" s="27"/>
      <c r="N1023" s="29"/>
      <c r="O1023" s="56"/>
      <c r="P1023" s="31">
        <v>30000000</v>
      </c>
      <c r="Q1023" s="31"/>
      <c r="R1023" s="27"/>
      <c r="S1023" s="32">
        <v>2500000</v>
      </c>
      <c r="T1023" s="33"/>
      <c r="U1023" s="334">
        <v>43601</v>
      </c>
      <c r="V1023" s="334">
        <v>43966</v>
      </c>
      <c r="W1023" s="27" t="s">
        <v>245</v>
      </c>
      <c r="X1023" s="27"/>
      <c r="Y1023" s="34">
        <f t="shared" ca="1" si="28"/>
        <v>46290</v>
      </c>
      <c r="Z1023" s="35">
        <f t="shared" ca="1" si="29"/>
        <v>-2324</v>
      </c>
      <c r="AA1023" s="27">
        <f t="shared" si="30"/>
        <v>5</v>
      </c>
      <c r="AB1023" s="27">
        <f t="shared" si="31"/>
        <v>2020</v>
      </c>
      <c r="AC1023" s="28" t="s">
        <v>4510</v>
      </c>
      <c r="AD1023" s="28" t="s">
        <v>4511</v>
      </c>
      <c r="AE1023" s="27">
        <v>4500012779</v>
      </c>
      <c r="AF1023" s="27" t="s">
        <v>339</v>
      </c>
      <c r="AG1023" s="29" t="s">
        <v>4478</v>
      </c>
      <c r="AH1023" s="28" t="s">
        <v>4479</v>
      </c>
      <c r="AI1023" s="27"/>
      <c r="AJ1023" s="27" t="s">
        <v>4512</v>
      </c>
      <c r="AK1023" s="27" t="s">
        <v>4513</v>
      </c>
      <c r="AL1023" s="27"/>
      <c r="AM1023" s="27"/>
      <c r="AN1023" s="27"/>
      <c r="AO1023" s="27"/>
      <c r="AP1023" s="27"/>
      <c r="AQ1023" s="27"/>
      <c r="AR1023" s="504"/>
      <c r="AS1023" s="332" t="s">
        <v>4514</v>
      </c>
      <c r="AT1023" s="160"/>
    </row>
    <row r="1024" spans="1:46" ht="21.75" hidden="1" customHeight="1">
      <c r="A1024" s="331">
        <v>1023</v>
      </c>
      <c r="B1024" s="28" t="s">
        <v>119</v>
      </c>
      <c r="C1024" s="28" t="s">
        <v>4515</v>
      </c>
      <c r="D1024" s="438" t="s">
        <v>4486</v>
      </c>
      <c r="E1024" s="361" t="str">
        <f t="shared" ca="1" si="27"/>
        <v>LOSS</v>
      </c>
      <c r="F1024" s="29"/>
      <c r="G1024" s="28" t="s">
        <v>4516</v>
      </c>
      <c r="H1024" s="29" t="s">
        <v>2748</v>
      </c>
      <c r="I1024" s="29" t="s">
        <v>346</v>
      </c>
      <c r="J1024" s="28" t="s">
        <v>4517</v>
      </c>
      <c r="K1024" s="28"/>
      <c r="L1024" s="27"/>
      <c r="M1024" s="27"/>
      <c r="N1024" s="29"/>
      <c r="O1024" s="56"/>
      <c r="P1024" s="31">
        <v>84000000</v>
      </c>
      <c r="Q1024" s="31"/>
      <c r="R1024" s="27"/>
      <c r="S1024" s="32">
        <v>2500000</v>
      </c>
      <c r="T1024" s="33"/>
      <c r="U1024" s="334">
        <v>44884</v>
      </c>
      <c r="V1024" s="334">
        <v>45248</v>
      </c>
      <c r="W1024" s="27" t="s">
        <v>250</v>
      </c>
      <c r="X1024" s="27"/>
      <c r="Y1024" s="34">
        <f t="shared" ca="1" si="28"/>
        <v>46290</v>
      </c>
      <c r="Z1024" s="35">
        <f t="shared" ca="1" si="29"/>
        <v>-1042</v>
      </c>
      <c r="AA1024" s="27">
        <f t="shared" si="30"/>
        <v>11</v>
      </c>
      <c r="AB1024" s="27">
        <f t="shared" si="31"/>
        <v>2023</v>
      </c>
      <c r="AC1024" s="28" t="s">
        <v>4518</v>
      </c>
      <c r="AD1024" s="28" t="s">
        <v>4519</v>
      </c>
      <c r="AE1024" s="27">
        <v>4500019400</v>
      </c>
      <c r="AF1024" s="27" t="s">
        <v>339</v>
      </c>
      <c r="AG1024" s="29" t="s">
        <v>4478</v>
      </c>
      <c r="AH1024" s="28" t="s">
        <v>4479</v>
      </c>
      <c r="AI1024" s="27">
        <v>165</v>
      </c>
      <c r="AJ1024" s="27" t="s">
        <v>4520</v>
      </c>
      <c r="AK1024" s="27" t="s">
        <v>4521</v>
      </c>
      <c r="AL1024" s="27" t="s">
        <v>4522</v>
      </c>
      <c r="AM1024" s="27" t="s">
        <v>4523</v>
      </c>
      <c r="AN1024" s="27" t="s">
        <v>4524</v>
      </c>
      <c r="AO1024" s="27"/>
      <c r="AP1024" s="27"/>
      <c r="AQ1024" s="27"/>
      <c r="AR1024" s="504"/>
      <c r="AS1024" s="332" t="s">
        <v>4525</v>
      </c>
      <c r="AT1024" s="160"/>
    </row>
    <row r="1025" spans="1:46" ht="21.75" hidden="1" customHeight="1">
      <c r="A1025" s="331">
        <v>1024</v>
      </c>
      <c r="B1025" s="28" t="s">
        <v>119</v>
      </c>
      <c r="C1025" s="28" t="s">
        <v>1020</v>
      </c>
      <c r="D1025" s="437" t="s">
        <v>4486</v>
      </c>
      <c r="E1025" s="361" t="str">
        <f t="shared" ca="1" si="27"/>
        <v>LOSS</v>
      </c>
      <c r="F1025" s="29"/>
      <c r="G1025" s="28" t="s">
        <v>4526</v>
      </c>
      <c r="H1025" s="29" t="s">
        <v>2748</v>
      </c>
      <c r="I1025" s="29" t="s">
        <v>346</v>
      </c>
      <c r="J1025" s="28" t="s">
        <v>4527</v>
      </c>
      <c r="K1025" s="28"/>
      <c r="L1025" s="27"/>
      <c r="M1025" s="27"/>
      <c r="N1025" s="29"/>
      <c r="O1025" s="56"/>
      <c r="P1025" s="31">
        <v>98400000</v>
      </c>
      <c r="Q1025" s="31"/>
      <c r="R1025" s="27"/>
      <c r="S1025" s="32">
        <v>2500000</v>
      </c>
      <c r="T1025" s="33"/>
      <c r="U1025" s="334">
        <v>44228</v>
      </c>
      <c r="V1025" s="334">
        <v>44592</v>
      </c>
      <c r="W1025" s="27" t="s">
        <v>245</v>
      </c>
      <c r="X1025" s="27"/>
      <c r="Y1025" s="34">
        <f t="shared" ca="1" si="28"/>
        <v>46290</v>
      </c>
      <c r="Z1025" s="35">
        <f t="shared" ca="1" si="29"/>
        <v>-1698</v>
      </c>
      <c r="AA1025" s="27">
        <f t="shared" si="30"/>
        <v>1</v>
      </c>
      <c r="AB1025" s="27">
        <f t="shared" si="31"/>
        <v>2022</v>
      </c>
      <c r="AC1025" s="28" t="s">
        <v>4528</v>
      </c>
      <c r="AD1025" s="28" t="s">
        <v>4529</v>
      </c>
      <c r="AE1025" s="27">
        <v>4500018688</v>
      </c>
      <c r="AF1025" s="27" t="s">
        <v>339</v>
      </c>
      <c r="AG1025" s="29" t="s">
        <v>4478</v>
      </c>
      <c r="AH1025" s="28" t="s">
        <v>4479</v>
      </c>
      <c r="AI1025" s="27"/>
      <c r="AJ1025" s="27" t="s">
        <v>4530</v>
      </c>
      <c r="AK1025" s="27" t="s">
        <v>4531</v>
      </c>
      <c r="AL1025" s="27"/>
      <c r="AM1025" s="27" t="s">
        <v>4532</v>
      </c>
      <c r="AN1025" s="27"/>
      <c r="AO1025" s="27"/>
      <c r="AP1025" s="27"/>
      <c r="AQ1025" s="27"/>
      <c r="AR1025" s="504"/>
      <c r="AS1025" s="332" t="s">
        <v>4533</v>
      </c>
      <c r="AT1025" s="160"/>
    </row>
    <row r="1026" spans="1:46" ht="21.75" hidden="1" customHeight="1">
      <c r="A1026" s="331">
        <v>1025</v>
      </c>
      <c r="B1026" s="28" t="s">
        <v>119</v>
      </c>
      <c r="C1026" s="28" t="s">
        <v>4534</v>
      </c>
      <c r="D1026" s="438" t="s">
        <v>4486</v>
      </c>
      <c r="E1026" s="361" t="str">
        <f t="shared" ref="E1026:E1089" ca="1" si="32">IF(Z1026&lt;=0, "LOSS",IF(Z1026&lt;=15, "CRITICAL",IF(Z1026&lt;=30, "WARNING",IF(Z1026&lt;60, "ATTENTION", "ON TRACK"))))</f>
        <v>LOSS</v>
      </c>
      <c r="F1026" s="29"/>
      <c r="G1026" s="28" t="s">
        <v>4535</v>
      </c>
      <c r="H1026" s="29" t="s">
        <v>2748</v>
      </c>
      <c r="I1026" s="29" t="s">
        <v>346</v>
      </c>
      <c r="J1026" s="28" t="s">
        <v>2119</v>
      </c>
      <c r="K1026" s="28"/>
      <c r="L1026" s="27"/>
      <c r="M1026" s="27"/>
      <c r="N1026" s="29"/>
      <c r="O1026" s="56"/>
      <c r="P1026" s="31">
        <v>28800000</v>
      </c>
      <c r="Q1026" s="31"/>
      <c r="R1026" s="27"/>
      <c r="S1026" s="32">
        <v>2500000</v>
      </c>
      <c r="T1026" s="33"/>
      <c r="U1026" s="334">
        <v>43949</v>
      </c>
      <c r="V1026" s="334">
        <v>44678</v>
      </c>
      <c r="W1026" s="27" t="s">
        <v>245</v>
      </c>
      <c r="X1026" s="27"/>
      <c r="Y1026" s="34">
        <f t="shared" ca="1" si="28"/>
        <v>46290</v>
      </c>
      <c r="Z1026" s="35">
        <f t="shared" ca="1" si="29"/>
        <v>-1612</v>
      </c>
      <c r="AA1026" s="27">
        <f t="shared" si="30"/>
        <v>4</v>
      </c>
      <c r="AB1026" s="27">
        <f t="shared" si="31"/>
        <v>2022</v>
      </c>
      <c r="AC1026" s="28" t="s">
        <v>4536</v>
      </c>
      <c r="AD1026" s="28" t="s">
        <v>2120</v>
      </c>
      <c r="AE1026" s="27">
        <v>4500018685</v>
      </c>
      <c r="AF1026" s="27" t="s">
        <v>339</v>
      </c>
      <c r="AG1026" s="29" t="s">
        <v>4478</v>
      </c>
      <c r="AH1026" s="28" t="s">
        <v>4479</v>
      </c>
      <c r="AI1026" s="27">
        <v>160</v>
      </c>
      <c r="AJ1026" s="27" t="s">
        <v>4537</v>
      </c>
      <c r="AK1026" s="27" t="s">
        <v>4538</v>
      </c>
      <c r="AL1026" s="27"/>
      <c r="AM1026" s="27" t="s">
        <v>4539</v>
      </c>
      <c r="AN1026" s="27"/>
      <c r="AO1026" s="27"/>
      <c r="AP1026" s="27"/>
      <c r="AQ1026" s="27"/>
      <c r="AR1026" s="504"/>
      <c r="AS1026" s="332" t="s">
        <v>4533</v>
      </c>
      <c r="AT1026" s="160"/>
    </row>
    <row r="1027" spans="1:46" ht="21.75" hidden="1" customHeight="1">
      <c r="A1027" s="331">
        <v>1026</v>
      </c>
      <c r="B1027" s="28" t="s">
        <v>119</v>
      </c>
      <c r="C1027" s="28" t="s">
        <v>4540</v>
      </c>
      <c r="D1027" s="437" t="s">
        <v>4486</v>
      </c>
      <c r="E1027" s="361" t="str">
        <f t="shared" ca="1" si="32"/>
        <v>LOSS</v>
      </c>
      <c r="F1027" s="29"/>
      <c r="G1027" s="28" t="s">
        <v>4541</v>
      </c>
      <c r="H1027" s="29" t="s">
        <v>2748</v>
      </c>
      <c r="I1027" s="29" t="s">
        <v>346</v>
      </c>
      <c r="J1027" s="28" t="s">
        <v>1456</v>
      </c>
      <c r="K1027" s="28"/>
      <c r="L1027" s="27"/>
      <c r="M1027" s="27"/>
      <c r="N1027" s="29"/>
      <c r="O1027" s="56"/>
      <c r="P1027" s="31">
        <v>32400000</v>
      </c>
      <c r="Q1027" s="31"/>
      <c r="R1027" s="27"/>
      <c r="S1027" s="32">
        <v>2500000</v>
      </c>
      <c r="T1027" s="33"/>
      <c r="U1027" s="334">
        <v>44289</v>
      </c>
      <c r="V1027" s="334">
        <v>44653</v>
      </c>
      <c r="W1027" s="27" t="s">
        <v>245</v>
      </c>
      <c r="X1027" s="27"/>
      <c r="Y1027" s="34">
        <f t="shared" ca="1" si="28"/>
        <v>46290</v>
      </c>
      <c r="Z1027" s="35">
        <f t="shared" ca="1" si="29"/>
        <v>-1637</v>
      </c>
      <c r="AA1027" s="27">
        <f t="shared" si="30"/>
        <v>4</v>
      </c>
      <c r="AB1027" s="27">
        <f t="shared" si="31"/>
        <v>2022</v>
      </c>
      <c r="AC1027" s="28" t="s">
        <v>4542</v>
      </c>
      <c r="AD1027" s="28" t="s">
        <v>1457</v>
      </c>
      <c r="AE1027" s="27">
        <v>4500016185</v>
      </c>
      <c r="AF1027" s="27" t="s">
        <v>339</v>
      </c>
      <c r="AG1027" s="29" t="s">
        <v>4478</v>
      </c>
      <c r="AH1027" s="28" t="s">
        <v>4479</v>
      </c>
      <c r="AI1027" s="27"/>
      <c r="AJ1027" s="27" t="s">
        <v>4543</v>
      </c>
      <c r="AK1027" s="27" t="s">
        <v>4544</v>
      </c>
      <c r="AL1027" s="27"/>
      <c r="AM1027" s="27" t="s">
        <v>4545</v>
      </c>
      <c r="AN1027" s="27"/>
      <c r="AO1027" s="27"/>
      <c r="AP1027" s="27"/>
      <c r="AQ1027" s="27"/>
      <c r="AR1027" s="504"/>
      <c r="AS1027" s="332" t="s">
        <v>4546</v>
      </c>
      <c r="AT1027" s="160"/>
    </row>
    <row r="1028" spans="1:46" ht="21.75" hidden="1" customHeight="1">
      <c r="A1028" s="331">
        <v>1027</v>
      </c>
      <c r="B1028" s="28" t="s">
        <v>450</v>
      </c>
      <c r="C1028" s="28" t="s">
        <v>684</v>
      </c>
      <c r="D1028" s="438" t="s">
        <v>4486</v>
      </c>
      <c r="E1028" s="361" t="str">
        <f t="shared" si="32"/>
        <v>LOSS</v>
      </c>
      <c r="F1028" s="29"/>
      <c r="G1028" s="49" t="s">
        <v>4541</v>
      </c>
      <c r="H1028" s="50" t="s">
        <v>2748</v>
      </c>
      <c r="I1028" s="29" t="s">
        <v>346</v>
      </c>
      <c r="J1028" s="28" t="s">
        <v>118</v>
      </c>
      <c r="K1028" s="28">
        <v>72000000</v>
      </c>
      <c r="L1028" s="27"/>
      <c r="M1028" s="27"/>
      <c r="N1028" s="29"/>
      <c r="O1028" s="56"/>
      <c r="P1028" s="31"/>
      <c r="Q1028" s="31"/>
      <c r="R1028" s="27"/>
      <c r="S1028" s="32"/>
      <c r="T1028" s="33"/>
      <c r="U1028" s="349"/>
      <c r="V1028" s="349"/>
      <c r="W1028" s="27" t="s">
        <v>250</v>
      </c>
      <c r="X1028" s="27"/>
      <c r="Y1028" s="34">
        <f t="shared" ca="1" si="28"/>
        <v>46290</v>
      </c>
      <c r="Z1028" s="264"/>
      <c r="AA1028" s="27"/>
      <c r="AB1028" s="27"/>
      <c r="AC1028" s="28"/>
      <c r="AD1028" s="28" t="s">
        <v>4547</v>
      </c>
      <c r="AE1028" s="27">
        <v>4500018609</v>
      </c>
      <c r="AF1028" s="27"/>
      <c r="AG1028" s="29"/>
      <c r="AH1028" s="28"/>
      <c r="AI1028" s="27"/>
      <c r="AJ1028" s="27"/>
      <c r="AK1028" s="27"/>
      <c r="AL1028" s="27"/>
      <c r="AM1028" s="27"/>
      <c r="AN1028" s="27"/>
      <c r="AO1028" s="27"/>
      <c r="AP1028" s="27"/>
      <c r="AQ1028" s="27"/>
      <c r="AR1028" s="504"/>
      <c r="AS1028" s="332"/>
      <c r="AT1028" s="160"/>
    </row>
    <row r="1029" spans="1:46" ht="21.75" hidden="1" customHeight="1">
      <c r="A1029" s="331">
        <v>1028</v>
      </c>
      <c r="B1029" s="28" t="s">
        <v>119</v>
      </c>
      <c r="C1029" s="28" t="s">
        <v>1533</v>
      </c>
      <c r="D1029" s="437" t="s">
        <v>4486</v>
      </c>
      <c r="E1029" s="361" t="str">
        <f t="shared" ca="1" si="32"/>
        <v>LOSS</v>
      </c>
      <c r="F1029" s="29"/>
      <c r="G1029" s="28" t="s">
        <v>4541</v>
      </c>
      <c r="H1029" s="29" t="s">
        <v>2748</v>
      </c>
      <c r="I1029" s="29" t="s">
        <v>346</v>
      </c>
      <c r="J1029" s="28" t="s">
        <v>118</v>
      </c>
      <c r="K1029" s="28"/>
      <c r="L1029" s="27"/>
      <c r="M1029" s="27"/>
      <c r="N1029" s="29"/>
      <c r="O1029" s="56"/>
      <c r="P1029" s="31">
        <v>72000000</v>
      </c>
      <c r="Q1029" s="31"/>
      <c r="R1029" s="27"/>
      <c r="S1029" s="32">
        <v>2500000</v>
      </c>
      <c r="T1029" s="33"/>
      <c r="U1029" s="334">
        <v>45396</v>
      </c>
      <c r="V1029" s="334">
        <v>45760</v>
      </c>
      <c r="W1029" s="27" t="s">
        <v>250</v>
      </c>
      <c r="X1029" s="27"/>
      <c r="Y1029" s="34">
        <f t="shared" ca="1" si="28"/>
        <v>46290</v>
      </c>
      <c r="Z1029" s="35">
        <f t="shared" ref="Z1029:Z1092" ca="1" si="33">V1029-Y1029</f>
        <v>-530</v>
      </c>
      <c r="AA1029" s="27">
        <f t="shared" ref="AA1029:AA1092" si="34">MONTH(V1029)</f>
        <v>4</v>
      </c>
      <c r="AB1029" s="27">
        <f t="shared" ref="AB1029:AB1092" si="35">YEAR(V1029)</f>
        <v>2025</v>
      </c>
      <c r="AC1029" s="28" t="s">
        <v>4548</v>
      </c>
      <c r="AD1029" s="28" t="s">
        <v>4549</v>
      </c>
      <c r="AE1029" s="27">
        <v>4500022686</v>
      </c>
      <c r="AF1029" s="27" t="s">
        <v>339</v>
      </c>
      <c r="AG1029" s="29" t="s">
        <v>4478</v>
      </c>
      <c r="AH1029" s="28" t="s">
        <v>4479</v>
      </c>
      <c r="AI1029" s="27"/>
      <c r="AJ1029" s="27" t="s">
        <v>4550</v>
      </c>
      <c r="AK1029" s="27" t="s">
        <v>4551</v>
      </c>
      <c r="AL1029" s="27" t="s">
        <v>4552</v>
      </c>
      <c r="AM1029" s="27"/>
      <c r="AN1029" s="27" t="s">
        <v>4553</v>
      </c>
      <c r="AO1029" s="27" t="s">
        <v>4554</v>
      </c>
      <c r="AP1029" s="27" t="s">
        <v>4555</v>
      </c>
      <c r="AQ1029" s="27"/>
      <c r="AR1029" s="504"/>
      <c r="AS1029" s="332" t="s">
        <v>4556</v>
      </c>
      <c r="AT1029" s="160"/>
    </row>
    <row r="1030" spans="1:46" ht="21.75" hidden="1" customHeight="1">
      <c r="A1030" s="331">
        <v>1029</v>
      </c>
      <c r="B1030" s="28" t="s">
        <v>119</v>
      </c>
      <c r="C1030" s="28" t="s">
        <v>4557</v>
      </c>
      <c r="D1030" s="438" t="s">
        <v>4486</v>
      </c>
      <c r="E1030" s="361" t="str">
        <f t="shared" ca="1" si="32"/>
        <v>LOSS</v>
      </c>
      <c r="F1030" s="29"/>
      <c r="G1030" s="28" t="s">
        <v>4541</v>
      </c>
      <c r="H1030" s="29" t="s">
        <v>2748</v>
      </c>
      <c r="I1030" s="29" t="s">
        <v>346</v>
      </c>
      <c r="J1030" s="28" t="s">
        <v>4558</v>
      </c>
      <c r="K1030" s="28"/>
      <c r="L1030" s="27"/>
      <c r="M1030" s="27"/>
      <c r="N1030" s="29"/>
      <c r="O1030" s="56"/>
      <c r="P1030" s="31">
        <v>36000000</v>
      </c>
      <c r="Q1030" s="31"/>
      <c r="R1030" s="27"/>
      <c r="S1030" s="32">
        <v>2500000</v>
      </c>
      <c r="T1030" s="33"/>
      <c r="U1030" s="334">
        <v>43579</v>
      </c>
      <c r="V1030" s="334">
        <v>43944</v>
      </c>
      <c r="W1030" s="27" t="s">
        <v>245</v>
      </c>
      <c r="X1030" s="27"/>
      <c r="Y1030" s="34">
        <f t="shared" ca="1" si="28"/>
        <v>46290</v>
      </c>
      <c r="Z1030" s="35">
        <f t="shared" ca="1" si="33"/>
        <v>-2346</v>
      </c>
      <c r="AA1030" s="27">
        <f t="shared" si="34"/>
        <v>4</v>
      </c>
      <c r="AB1030" s="27">
        <f t="shared" si="35"/>
        <v>2020</v>
      </c>
      <c r="AC1030" s="28" t="s">
        <v>4559</v>
      </c>
      <c r="AD1030" s="28" t="s">
        <v>4560</v>
      </c>
      <c r="AE1030" s="27">
        <v>4500013309</v>
      </c>
      <c r="AF1030" s="27" t="s">
        <v>339</v>
      </c>
      <c r="AG1030" s="29" t="s">
        <v>4478</v>
      </c>
      <c r="AH1030" s="28" t="s">
        <v>4479</v>
      </c>
      <c r="AI1030" s="27"/>
      <c r="AJ1030" s="27"/>
      <c r="AK1030" s="27" t="s">
        <v>4561</v>
      </c>
      <c r="AL1030" s="27"/>
      <c r="AM1030" s="27"/>
      <c r="AN1030" s="27"/>
      <c r="AO1030" s="27"/>
      <c r="AP1030" s="27"/>
      <c r="AQ1030" s="27"/>
      <c r="AR1030" s="504"/>
      <c r="AS1030" s="332" t="s">
        <v>4556</v>
      </c>
      <c r="AT1030" s="160"/>
    </row>
    <row r="1031" spans="1:46" ht="21.75" hidden="1" customHeight="1">
      <c r="A1031" s="331">
        <v>1030</v>
      </c>
      <c r="B1031" s="28" t="s">
        <v>119</v>
      </c>
      <c r="C1031" s="28" t="s">
        <v>4562</v>
      </c>
      <c r="D1031" s="437" t="s">
        <v>4486</v>
      </c>
      <c r="E1031" s="361" t="str">
        <f t="shared" ca="1" si="32"/>
        <v>LOSS</v>
      </c>
      <c r="F1031" s="29"/>
      <c r="G1031" s="28" t="s">
        <v>4541</v>
      </c>
      <c r="H1031" s="29" t="s">
        <v>2748</v>
      </c>
      <c r="I1031" s="29" t="s">
        <v>346</v>
      </c>
      <c r="J1031" s="28" t="s">
        <v>1989</v>
      </c>
      <c r="K1031" s="28"/>
      <c r="L1031" s="27"/>
      <c r="M1031" s="27"/>
      <c r="N1031" s="29"/>
      <c r="O1031" s="56"/>
      <c r="P1031" s="31">
        <v>48000000</v>
      </c>
      <c r="Q1031" s="31"/>
      <c r="R1031" s="27"/>
      <c r="S1031" s="32">
        <v>2500000</v>
      </c>
      <c r="T1031" s="33"/>
      <c r="U1031" s="334">
        <v>43578</v>
      </c>
      <c r="V1031" s="334">
        <v>43943</v>
      </c>
      <c r="W1031" s="27" t="s">
        <v>245</v>
      </c>
      <c r="X1031" s="27"/>
      <c r="Y1031" s="34">
        <f t="shared" ca="1" si="28"/>
        <v>46290</v>
      </c>
      <c r="Z1031" s="35">
        <f t="shared" ca="1" si="33"/>
        <v>-2347</v>
      </c>
      <c r="AA1031" s="27">
        <f t="shared" si="34"/>
        <v>4</v>
      </c>
      <c r="AB1031" s="27">
        <f t="shared" si="35"/>
        <v>2020</v>
      </c>
      <c r="AC1031" s="28" t="s">
        <v>4563</v>
      </c>
      <c r="AD1031" s="28" t="s">
        <v>1990</v>
      </c>
      <c r="AE1031" s="27">
        <v>4500018929</v>
      </c>
      <c r="AF1031" s="27" t="s">
        <v>339</v>
      </c>
      <c r="AG1031" s="29" t="s">
        <v>4478</v>
      </c>
      <c r="AH1031" s="28" t="s">
        <v>4479</v>
      </c>
      <c r="AI1031" s="27"/>
      <c r="AJ1031" s="27"/>
      <c r="AK1031" s="27"/>
      <c r="AL1031" s="27"/>
      <c r="AM1031" s="27"/>
      <c r="AN1031" s="27" t="s">
        <v>4564</v>
      </c>
      <c r="AO1031" s="27"/>
      <c r="AP1031" s="27"/>
      <c r="AQ1031" s="27"/>
      <c r="AR1031" s="504"/>
      <c r="AS1031" s="332" t="s">
        <v>4565</v>
      </c>
      <c r="AT1031" s="160"/>
    </row>
    <row r="1032" spans="1:46" ht="21.75" hidden="1" customHeight="1">
      <c r="A1032" s="331">
        <v>1031</v>
      </c>
      <c r="B1032" s="28" t="s">
        <v>119</v>
      </c>
      <c r="C1032" s="28" t="s">
        <v>1754</v>
      </c>
      <c r="D1032" s="438" t="s">
        <v>4486</v>
      </c>
      <c r="E1032" s="361" t="str">
        <f t="shared" ca="1" si="32"/>
        <v>LOSS</v>
      </c>
      <c r="F1032" s="29"/>
      <c r="G1032" s="28" t="s">
        <v>4541</v>
      </c>
      <c r="H1032" s="29" t="s">
        <v>2748</v>
      </c>
      <c r="I1032" s="29" t="s">
        <v>346</v>
      </c>
      <c r="J1032" s="28" t="s">
        <v>4566</v>
      </c>
      <c r="K1032" s="28"/>
      <c r="L1032" s="27"/>
      <c r="M1032" s="27"/>
      <c r="N1032" s="29"/>
      <c r="O1032" s="56"/>
      <c r="P1032" s="31"/>
      <c r="Q1032" s="31"/>
      <c r="R1032" s="27"/>
      <c r="S1032" s="32">
        <v>2500000</v>
      </c>
      <c r="T1032" s="33"/>
      <c r="U1032" s="334">
        <v>44607</v>
      </c>
      <c r="V1032" s="334">
        <v>44971</v>
      </c>
      <c r="W1032" s="27" t="s">
        <v>245</v>
      </c>
      <c r="X1032" s="27"/>
      <c r="Y1032" s="34">
        <f t="shared" ca="1" si="28"/>
        <v>46290</v>
      </c>
      <c r="Z1032" s="35">
        <f t="shared" ca="1" si="33"/>
        <v>-1319</v>
      </c>
      <c r="AA1032" s="27">
        <f t="shared" si="34"/>
        <v>2</v>
      </c>
      <c r="AB1032" s="27">
        <f t="shared" si="35"/>
        <v>2023</v>
      </c>
      <c r="AC1032" s="28" t="s">
        <v>4567</v>
      </c>
      <c r="AD1032" s="28" t="s">
        <v>4568</v>
      </c>
      <c r="AE1032" s="27">
        <v>4500018935</v>
      </c>
      <c r="AF1032" s="27" t="s">
        <v>339</v>
      </c>
      <c r="AG1032" s="29" t="s">
        <v>4478</v>
      </c>
      <c r="AH1032" s="28" t="s">
        <v>4479</v>
      </c>
      <c r="AI1032" s="27"/>
      <c r="AJ1032" s="27"/>
      <c r="AK1032" s="27"/>
      <c r="AL1032" s="27" t="s">
        <v>4569</v>
      </c>
      <c r="AM1032" s="27" t="s">
        <v>4570</v>
      </c>
      <c r="AN1032" s="27" t="s">
        <v>4571</v>
      </c>
      <c r="AO1032" s="27"/>
      <c r="AP1032" s="27"/>
      <c r="AQ1032" s="27"/>
      <c r="AR1032" s="504"/>
      <c r="AS1032" s="332"/>
      <c r="AT1032" s="160"/>
    </row>
    <row r="1033" spans="1:46" ht="21.75" hidden="1" customHeight="1">
      <c r="A1033" s="331">
        <v>1032</v>
      </c>
      <c r="B1033" s="28" t="s">
        <v>119</v>
      </c>
      <c r="C1033" s="28" t="s">
        <v>4572</v>
      </c>
      <c r="D1033" s="437" t="s">
        <v>4486</v>
      </c>
      <c r="E1033" s="361" t="str">
        <f t="shared" ca="1" si="32"/>
        <v>LOSS</v>
      </c>
      <c r="F1033" s="29" t="s">
        <v>3774</v>
      </c>
      <c r="G1033" s="28" t="s">
        <v>4573</v>
      </c>
      <c r="H1033" s="29" t="s">
        <v>2748</v>
      </c>
      <c r="I1033" s="29" t="s">
        <v>346</v>
      </c>
      <c r="J1033" s="28" t="s">
        <v>124</v>
      </c>
      <c r="K1033" s="28"/>
      <c r="L1033" s="27"/>
      <c r="M1033" s="27"/>
      <c r="N1033" s="29"/>
      <c r="O1033" s="56"/>
      <c r="P1033" s="31">
        <f>12*4100000</f>
        <v>49200000</v>
      </c>
      <c r="Q1033" s="31"/>
      <c r="R1033" s="30"/>
      <c r="S1033" s="32">
        <v>12000000</v>
      </c>
      <c r="T1033" s="33"/>
      <c r="U1033" s="334">
        <v>45374</v>
      </c>
      <c r="V1033" s="334">
        <v>45738</v>
      </c>
      <c r="W1033" s="27" t="s">
        <v>250</v>
      </c>
      <c r="X1033" s="27"/>
      <c r="Y1033" s="34">
        <f t="shared" ca="1" si="28"/>
        <v>46290</v>
      </c>
      <c r="Z1033" s="35">
        <f t="shared" ca="1" si="33"/>
        <v>-552</v>
      </c>
      <c r="AA1033" s="27">
        <f t="shared" si="34"/>
        <v>3</v>
      </c>
      <c r="AB1033" s="27">
        <f t="shared" si="35"/>
        <v>2025</v>
      </c>
      <c r="AC1033" s="28" t="s">
        <v>4574</v>
      </c>
      <c r="AD1033" s="28">
        <v>2461</v>
      </c>
      <c r="AE1033" s="27">
        <v>4500022253</v>
      </c>
      <c r="AF1033" s="27" t="s">
        <v>339</v>
      </c>
      <c r="AG1033" s="29" t="s">
        <v>4478</v>
      </c>
      <c r="AH1033" s="28" t="s">
        <v>4479</v>
      </c>
      <c r="AI1033" s="27"/>
      <c r="AJ1033" s="27"/>
      <c r="AK1033" s="27"/>
      <c r="AL1033" s="27"/>
      <c r="AM1033" s="27"/>
      <c r="AN1033" s="27"/>
      <c r="AO1033" s="27" t="s">
        <v>4575</v>
      </c>
      <c r="AP1033" s="27" t="s">
        <v>4576</v>
      </c>
      <c r="AQ1033" s="27"/>
      <c r="AR1033" s="504"/>
      <c r="AS1033" s="332" t="s">
        <v>4577</v>
      </c>
      <c r="AT1033" s="160"/>
    </row>
    <row r="1034" spans="1:46" ht="21.75" hidden="1" customHeight="1">
      <c r="A1034" s="331">
        <v>1033</v>
      </c>
      <c r="B1034" s="28" t="s">
        <v>119</v>
      </c>
      <c r="C1034" s="28" t="s">
        <v>4578</v>
      </c>
      <c r="D1034" s="438" t="s">
        <v>4486</v>
      </c>
      <c r="E1034" s="361" t="str">
        <f t="shared" ca="1" si="32"/>
        <v>LOSS</v>
      </c>
      <c r="F1034" s="29"/>
      <c r="G1034" s="28" t="s">
        <v>4579</v>
      </c>
      <c r="H1034" s="29" t="s">
        <v>2748</v>
      </c>
      <c r="I1034" s="29" t="s">
        <v>346</v>
      </c>
      <c r="J1034" s="28" t="s">
        <v>4580</v>
      </c>
      <c r="K1034" s="28"/>
      <c r="L1034" s="27"/>
      <c r="M1034" s="27"/>
      <c r="N1034" s="29"/>
      <c r="O1034" s="56"/>
      <c r="P1034" s="31">
        <v>42000000</v>
      </c>
      <c r="Q1034" s="31"/>
      <c r="R1034" s="27"/>
      <c r="S1034" s="32">
        <v>3500000</v>
      </c>
      <c r="T1034" s="33"/>
      <c r="U1034" s="334">
        <v>44827</v>
      </c>
      <c r="V1034" s="334">
        <v>45191</v>
      </c>
      <c r="W1034" s="27" t="s">
        <v>245</v>
      </c>
      <c r="X1034" s="27"/>
      <c r="Y1034" s="34">
        <f t="shared" ca="1" si="28"/>
        <v>46290</v>
      </c>
      <c r="Z1034" s="35">
        <f t="shared" ca="1" si="33"/>
        <v>-1099</v>
      </c>
      <c r="AA1034" s="27">
        <f t="shared" si="34"/>
        <v>9</v>
      </c>
      <c r="AB1034" s="27">
        <f t="shared" si="35"/>
        <v>2023</v>
      </c>
      <c r="AC1034" s="28" t="s">
        <v>4581</v>
      </c>
      <c r="AD1034" s="28" t="s">
        <v>4582</v>
      </c>
      <c r="AE1034" s="27">
        <v>4500018971</v>
      </c>
      <c r="AF1034" s="27" t="s">
        <v>339</v>
      </c>
      <c r="AG1034" s="29" t="s">
        <v>4478</v>
      </c>
      <c r="AH1034" s="28" t="s">
        <v>4479</v>
      </c>
      <c r="AI1034" s="27">
        <v>155</v>
      </c>
      <c r="AJ1034" s="27" t="s">
        <v>4583</v>
      </c>
      <c r="AK1034" s="27" t="s">
        <v>4584</v>
      </c>
      <c r="AL1034" s="27" t="s">
        <v>4585</v>
      </c>
      <c r="AM1034" s="27" t="s">
        <v>4586</v>
      </c>
      <c r="AN1034" s="27" t="s">
        <v>4587</v>
      </c>
      <c r="AO1034" s="27"/>
      <c r="AP1034" s="27"/>
      <c r="AQ1034" s="27"/>
      <c r="AR1034" s="504"/>
      <c r="AS1034" s="332" t="s">
        <v>4588</v>
      </c>
      <c r="AT1034" s="160"/>
    </row>
    <row r="1035" spans="1:46" ht="21.75" hidden="1" customHeight="1">
      <c r="A1035" s="331">
        <v>1034</v>
      </c>
      <c r="B1035" s="28" t="s">
        <v>119</v>
      </c>
      <c r="C1035" s="159" t="s">
        <v>889</v>
      </c>
      <c r="D1035" s="437" t="s">
        <v>452</v>
      </c>
      <c r="E1035" s="361" t="str">
        <f t="shared" ca="1" si="32"/>
        <v>LOSS</v>
      </c>
      <c r="F1035" s="29"/>
      <c r="G1035" s="28" t="s">
        <v>4589</v>
      </c>
      <c r="H1035" s="29" t="s">
        <v>2748</v>
      </c>
      <c r="I1035" s="160" t="s">
        <v>242</v>
      </c>
      <c r="J1035" s="28" t="s">
        <v>4590</v>
      </c>
      <c r="K1035" s="28"/>
      <c r="L1035" s="27"/>
      <c r="M1035" s="27"/>
      <c r="N1035" s="29"/>
      <c r="O1035" s="56"/>
      <c r="P1035" s="31">
        <v>36288000</v>
      </c>
      <c r="Q1035" s="31"/>
      <c r="R1035" s="27"/>
      <c r="S1035" s="32">
        <v>2500000</v>
      </c>
      <c r="T1035" s="33"/>
      <c r="U1035" s="334">
        <v>45037</v>
      </c>
      <c r="V1035" s="334">
        <v>45402</v>
      </c>
      <c r="W1035" s="27" t="s">
        <v>250</v>
      </c>
      <c r="X1035" s="27" t="s">
        <v>306</v>
      </c>
      <c r="Y1035" s="34">
        <f t="shared" ref="Y1035:Y1098" ca="1" si="36">TODAY()</f>
        <v>46290</v>
      </c>
      <c r="Z1035" s="35">
        <f t="shared" ca="1" si="33"/>
        <v>-888</v>
      </c>
      <c r="AA1035" s="27">
        <f t="shared" si="34"/>
        <v>4</v>
      </c>
      <c r="AB1035" s="27">
        <f t="shared" si="35"/>
        <v>2024</v>
      </c>
      <c r="AC1035" s="28" t="s">
        <v>4591</v>
      </c>
      <c r="AD1035" s="28" t="s">
        <v>4592</v>
      </c>
      <c r="AE1035" s="27">
        <v>4500020428</v>
      </c>
      <c r="AF1035" s="27" t="s">
        <v>339</v>
      </c>
      <c r="AG1035" s="29" t="s">
        <v>4478</v>
      </c>
      <c r="AH1035" s="28" t="s">
        <v>4479</v>
      </c>
      <c r="AI1035" s="27">
        <v>149</v>
      </c>
      <c r="AJ1035" s="27" t="s">
        <v>4593</v>
      </c>
      <c r="AK1035" s="27" t="s">
        <v>4594</v>
      </c>
      <c r="AL1035" s="27" t="s">
        <v>4595</v>
      </c>
      <c r="AM1035" s="27" t="s">
        <v>4596</v>
      </c>
      <c r="AN1035" s="27" t="s">
        <v>4597</v>
      </c>
      <c r="AO1035" s="27"/>
      <c r="AP1035" s="27"/>
      <c r="AQ1035" s="27"/>
      <c r="AR1035" s="504"/>
      <c r="AS1035" s="332"/>
      <c r="AT1035" s="160"/>
    </row>
    <row r="1036" spans="1:46" ht="21.75" hidden="1" customHeight="1">
      <c r="A1036" s="331">
        <v>1035</v>
      </c>
      <c r="B1036" s="28" t="s">
        <v>119</v>
      </c>
      <c r="C1036" s="28" t="s">
        <v>1308</v>
      </c>
      <c r="D1036" s="438" t="s">
        <v>4486</v>
      </c>
      <c r="E1036" s="361" t="str">
        <f t="shared" ca="1" si="32"/>
        <v>LOSS</v>
      </c>
      <c r="F1036" s="29"/>
      <c r="G1036" s="28" t="s">
        <v>4598</v>
      </c>
      <c r="H1036" s="29" t="s">
        <v>2748</v>
      </c>
      <c r="I1036" s="29" t="s">
        <v>346</v>
      </c>
      <c r="J1036" s="28" t="s">
        <v>700</v>
      </c>
      <c r="K1036" s="28"/>
      <c r="L1036" s="27"/>
      <c r="M1036" s="27"/>
      <c r="N1036" s="29"/>
      <c r="O1036" s="56"/>
      <c r="P1036" s="31">
        <v>27000000</v>
      </c>
      <c r="Q1036" s="31"/>
      <c r="R1036" s="27"/>
      <c r="S1036" s="32">
        <v>2500000</v>
      </c>
      <c r="T1036" s="33"/>
      <c r="U1036" s="334">
        <v>44258</v>
      </c>
      <c r="V1036" s="334">
        <v>44622</v>
      </c>
      <c r="W1036" s="27" t="s">
        <v>250</v>
      </c>
      <c r="X1036" s="27"/>
      <c r="Y1036" s="34">
        <f t="shared" ca="1" si="36"/>
        <v>46290</v>
      </c>
      <c r="Z1036" s="35">
        <f t="shared" ca="1" si="33"/>
        <v>-1668</v>
      </c>
      <c r="AA1036" s="27">
        <f t="shared" si="34"/>
        <v>3</v>
      </c>
      <c r="AB1036" s="27">
        <f t="shared" si="35"/>
        <v>2022</v>
      </c>
      <c r="AC1036" s="28" t="s">
        <v>4599</v>
      </c>
      <c r="AD1036" s="28" t="s">
        <v>1890</v>
      </c>
      <c r="AE1036" s="27">
        <v>4500018687</v>
      </c>
      <c r="AF1036" s="27" t="s">
        <v>339</v>
      </c>
      <c r="AG1036" s="29" t="s">
        <v>4478</v>
      </c>
      <c r="AH1036" s="28" t="s">
        <v>4479</v>
      </c>
      <c r="AI1036" s="27" t="s">
        <v>115</v>
      </c>
      <c r="AJ1036" s="27" t="s">
        <v>4600</v>
      </c>
      <c r="AK1036" s="27" t="s">
        <v>4601</v>
      </c>
      <c r="AL1036" s="27" t="s">
        <v>4602</v>
      </c>
      <c r="AM1036" s="27"/>
      <c r="AN1036" s="27" t="s">
        <v>4603</v>
      </c>
      <c r="AO1036" s="27"/>
      <c r="AP1036" s="27"/>
      <c r="AQ1036" s="27"/>
      <c r="AR1036" s="504"/>
      <c r="AS1036" s="332" t="s">
        <v>4533</v>
      </c>
      <c r="AT1036" s="160"/>
    </row>
    <row r="1037" spans="1:46" ht="21.75" hidden="1" customHeight="1">
      <c r="A1037" s="331">
        <v>1036</v>
      </c>
      <c r="B1037" s="28" t="s">
        <v>119</v>
      </c>
      <c r="C1037" s="28" t="s">
        <v>688</v>
      </c>
      <c r="D1037" s="437" t="s">
        <v>4486</v>
      </c>
      <c r="E1037" s="361" t="str">
        <f t="shared" ca="1" si="32"/>
        <v>LOSS</v>
      </c>
      <c r="F1037" s="29"/>
      <c r="G1037" s="28" t="s">
        <v>4604</v>
      </c>
      <c r="H1037" s="29" t="s">
        <v>2748</v>
      </c>
      <c r="I1037" s="29" t="s">
        <v>346</v>
      </c>
      <c r="J1037" s="28" t="s">
        <v>4605</v>
      </c>
      <c r="K1037" s="28"/>
      <c r="L1037" s="27"/>
      <c r="M1037" s="27"/>
      <c r="N1037" s="29"/>
      <c r="O1037" s="56"/>
      <c r="P1037" s="31">
        <v>54000000</v>
      </c>
      <c r="Q1037" s="31"/>
      <c r="R1037" s="27"/>
      <c r="S1037" s="32">
        <v>2500000</v>
      </c>
      <c r="T1037" s="33"/>
      <c r="U1037" s="334">
        <v>43942</v>
      </c>
      <c r="V1037" s="334">
        <v>44306</v>
      </c>
      <c r="W1037" s="27" t="s">
        <v>245</v>
      </c>
      <c r="X1037" s="27"/>
      <c r="Y1037" s="34">
        <f t="shared" ca="1" si="36"/>
        <v>46290</v>
      </c>
      <c r="Z1037" s="35">
        <f t="shared" ca="1" si="33"/>
        <v>-1984</v>
      </c>
      <c r="AA1037" s="27">
        <f t="shared" si="34"/>
        <v>4</v>
      </c>
      <c r="AB1037" s="27">
        <f t="shared" si="35"/>
        <v>2021</v>
      </c>
      <c r="AC1037" s="28" t="s">
        <v>4606</v>
      </c>
      <c r="AD1037" s="28" t="s">
        <v>691</v>
      </c>
      <c r="AE1037" s="27">
        <v>4500014193</v>
      </c>
      <c r="AF1037" s="27" t="s">
        <v>339</v>
      </c>
      <c r="AG1037" s="29" t="s">
        <v>4478</v>
      </c>
      <c r="AH1037" s="28" t="s">
        <v>4479</v>
      </c>
      <c r="AI1037" s="27">
        <v>179</v>
      </c>
      <c r="AJ1037" s="27" t="s">
        <v>4607</v>
      </c>
      <c r="AK1037" s="27" t="s">
        <v>4608</v>
      </c>
      <c r="AL1037" s="27" t="s">
        <v>4609</v>
      </c>
      <c r="AM1037" s="27"/>
      <c r="AN1037" s="27"/>
      <c r="AO1037" s="27"/>
      <c r="AP1037" s="27"/>
      <c r="AQ1037" s="27"/>
      <c r="AR1037" s="504"/>
      <c r="AS1037" s="332"/>
      <c r="AT1037" s="160"/>
    </row>
    <row r="1038" spans="1:46" ht="21.75" hidden="1" customHeight="1">
      <c r="A1038" s="331">
        <v>1037</v>
      </c>
      <c r="B1038" s="28" t="s">
        <v>119</v>
      </c>
      <c r="C1038" s="28" t="s">
        <v>4610</v>
      </c>
      <c r="D1038" s="438" t="s">
        <v>4486</v>
      </c>
      <c r="E1038" s="361" t="str">
        <f t="shared" ca="1" si="32"/>
        <v>LOSS</v>
      </c>
      <c r="F1038" s="29" t="s">
        <v>3774</v>
      </c>
      <c r="G1038" s="28" t="s">
        <v>4611</v>
      </c>
      <c r="H1038" s="29" t="s">
        <v>2748</v>
      </c>
      <c r="I1038" s="29" t="s">
        <v>346</v>
      </c>
      <c r="J1038" s="28" t="s">
        <v>123</v>
      </c>
      <c r="K1038" s="28"/>
      <c r="L1038" s="27"/>
      <c r="M1038" s="27"/>
      <c r="N1038" s="29"/>
      <c r="O1038" s="56"/>
      <c r="P1038" s="31">
        <f>12*2272727</f>
        <v>27272724</v>
      </c>
      <c r="Q1038" s="31"/>
      <c r="R1038" s="30"/>
      <c r="S1038" s="32">
        <v>12000000</v>
      </c>
      <c r="T1038" s="33"/>
      <c r="U1038" s="334">
        <v>45374</v>
      </c>
      <c r="V1038" s="334">
        <v>45738</v>
      </c>
      <c r="W1038" s="27" t="s">
        <v>250</v>
      </c>
      <c r="X1038" s="27"/>
      <c r="Y1038" s="34">
        <f t="shared" ca="1" si="36"/>
        <v>46290</v>
      </c>
      <c r="Z1038" s="35">
        <f t="shared" ca="1" si="33"/>
        <v>-552</v>
      </c>
      <c r="AA1038" s="27">
        <f t="shared" si="34"/>
        <v>3</v>
      </c>
      <c r="AB1038" s="27">
        <f t="shared" si="35"/>
        <v>2025</v>
      </c>
      <c r="AC1038" s="28" t="s">
        <v>4612</v>
      </c>
      <c r="AD1038" s="28">
        <v>2465</v>
      </c>
      <c r="AE1038" s="27">
        <v>4500022252</v>
      </c>
      <c r="AF1038" s="27" t="s">
        <v>339</v>
      </c>
      <c r="AG1038" s="29" t="s">
        <v>4478</v>
      </c>
      <c r="AH1038" s="28" t="s">
        <v>4479</v>
      </c>
      <c r="AI1038" s="27"/>
      <c r="AJ1038" s="27"/>
      <c r="AK1038" s="27"/>
      <c r="AL1038" s="27"/>
      <c r="AM1038" s="27"/>
      <c r="AN1038" s="27"/>
      <c r="AO1038" s="27" t="s">
        <v>4613</v>
      </c>
      <c r="AP1038" s="27" t="s">
        <v>4614</v>
      </c>
      <c r="AQ1038" s="27"/>
      <c r="AR1038" s="504"/>
      <c r="AS1038" s="332" t="s">
        <v>4615</v>
      </c>
      <c r="AT1038" s="160"/>
    </row>
    <row r="1039" spans="1:46" ht="21.75" hidden="1" customHeight="1">
      <c r="A1039" s="331">
        <v>1038</v>
      </c>
      <c r="B1039" s="28" t="s">
        <v>119</v>
      </c>
      <c r="C1039" s="28" t="s">
        <v>4616</v>
      </c>
      <c r="D1039" s="437" t="s">
        <v>4486</v>
      </c>
      <c r="E1039" s="361" t="str">
        <f t="shared" ca="1" si="32"/>
        <v>LOSS</v>
      </c>
      <c r="F1039" s="29"/>
      <c r="G1039" s="28" t="s">
        <v>4617</v>
      </c>
      <c r="H1039" s="29" t="s">
        <v>2748</v>
      </c>
      <c r="I1039" s="29" t="s">
        <v>346</v>
      </c>
      <c r="J1039" s="28" t="s">
        <v>4618</v>
      </c>
      <c r="K1039" s="28"/>
      <c r="L1039" s="27"/>
      <c r="M1039" s="27"/>
      <c r="N1039" s="29"/>
      <c r="O1039" s="56"/>
      <c r="P1039" s="31">
        <v>607200000</v>
      </c>
      <c r="Q1039" s="31"/>
      <c r="R1039" s="27"/>
      <c r="S1039" s="32">
        <v>2000000</v>
      </c>
      <c r="T1039" s="33"/>
      <c r="U1039" s="334">
        <v>44326</v>
      </c>
      <c r="V1039" s="334">
        <v>44690</v>
      </c>
      <c r="W1039" s="27" t="s">
        <v>250</v>
      </c>
      <c r="X1039" s="27"/>
      <c r="Y1039" s="34">
        <f t="shared" ca="1" si="36"/>
        <v>46290</v>
      </c>
      <c r="Z1039" s="35">
        <f t="shared" ca="1" si="33"/>
        <v>-1600</v>
      </c>
      <c r="AA1039" s="27">
        <f t="shared" si="34"/>
        <v>5</v>
      </c>
      <c r="AB1039" s="27">
        <f t="shared" si="35"/>
        <v>2022</v>
      </c>
      <c r="AC1039" s="28" t="s">
        <v>4619</v>
      </c>
      <c r="AD1039" s="28"/>
      <c r="AE1039" s="27">
        <v>4500020527</v>
      </c>
      <c r="AF1039" s="27" t="s">
        <v>339</v>
      </c>
      <c r="AG1039" s="29" t="s">
        <v>4478</v>
      </c>
      <c r="AH1039" s="28" t="s">
        <v>4620</v>
      </c>
      <c r="AI1039" s="27"/>
      <c r="AJ1039" s="27"/>
      <c r="AK1039" s="27" t="s">
        <v>4621</v>
      </c>
      <c r="AL1039" s="27" t="s">
        <v>4622</v>
      </c>
      <c r="AM1039" s="27" t="s">
        <v>4623</v>
      </c>
      <c r="AN1039" s="27"/>
      <c r="AO1039" s="27"/>
      <c r="AP1039" s="27"/>
      <c r="AQ1039" s="27"/>
      <c r="AR1039" s="504"/>
      <c r="AS1039" s="332"/>
      <c r="AT1039" s="160"/>
    </row>
    <row r="1040" spans="1:46" ht="21.75" hidden="1" customHeight="1">
      <c r="A1040" s="331">
        <v>1039</v>
      </c>
      <c r="B1040" s="28" t="s">
        <v>119</v>
      </c>
      <c r="C1040" s="28" t="s">
        <v>4624</v>
      </c>
      <c r="D1040" s="438" t="s">
        <v>4486</v>
      </c>
      <c r="E1040" s="361" t="str">
        <f t="shared" ca="1" si="32"/>
        <v>LOSS</v>
      </c>
      <c r="F1040" s="29"/>
      <c r="G1040" s="28" t="s">
        <v>4625</v>
      </c>
      <c r="H1040" s="29" t="s">
        <v>2748</v>
      </c>
      <c r="I1040" s="29" t="s">
        <v>346</v>
      </c>
      <c r="J1040" s="28" t="s">
        <v>4626</v>
      </c>
      <c r="K1040" s="28"/>
      <c r="L1040" s="27"/>
      <c r="M1040" s="27"/>
      <c r="N1040" s="29"/>
      <c r="O1040" s="56"/>
      <c r="P1040" s="31">
        <v>39600000</v>
      </c>
      <c r="Q1040" s="31"/>
      <c r="R1040" s="27"/>
      <c r="S1040" s="32">
        <v>12000000</v>
      </c>
      <c r="T1040" s="33"/>
      <c r="U1040" s="334">
        <v>45091</v>
      </c>
      <c r="V1040" s="334">
        <v>45456</v>
      </c>
      <c r="W1040" s="27" t="s">
        <v>245</v>
      </c>
      <c r="X1040" s="27"/>
      <c r="Y1040" s="34">
        <f t="shared" ca="1" si="36"/>
        <v>46290</v>
      </c>
      <c r="Z1040" s="35">
        <f t="shared" ca="1" si="33"/>
        <v>-834</v>
      </c>
      <c r="AA1040" s="27">
        <f t="shared" si="34"/>
        <v>6</v>
      </c>
      <c r="AB1040" s="27">
        <f t="shared" si="35"/>
        <v>2024</v>
      </c>
      <c r="AC1040" s="28" t="s">
        <v>4627</v>
      </c>
      <c r="AD1040" s="28" t="s">
        <v>4628</v>
      </c>
      <c r="AE1040" s="27">
        <v>4500020956</v>
      </c>
      <c r="AF1040" s="27" t="s">
        <v>339</v>
      </c>
      <c r="AG1040" s="29" t="s">
        <v>4478</v>
      </c>
      <c r="AH1040" s="28" t="s">
        <v>4479</v>
      </c>
      <c r="AI1040" s="27"/>
      <c r="AJ1040" s="27"/>
      <c r="AK1040" s="27"/>
      <c r="AL1040" s="27"/>
      <c r="AM1040" s="27" t="s">
        <v>4629</v>
      </c>
      <c r="AN1040" s="27" t="s">
        <v>4630</v>
      </c>
      <c r="AO1040" s="27" t="s">
        <v>4631</v>
      </c>
      <c r="AP1040" s="27"/>
      <c r="AQ1040" s="27"/>
      <c r="AR1040" s="504"/>
      <c r="AS1040" s="332" t="s">
        <v>4632</v>
      </c>
      <c r="AT1040" s="160"/>
    </row>
    <row r="1041" spans="1:46" ht="21.75" hidden="1" customHeight="1">
      <c r="A1041" s="331">
        <v>1040</v>
      </c>
      <c r="B1041" s="28" t="s">
        <v>119</v>
      </c>
      <c r="C1041" s="28" t="s">
        <v>4633</v>
      </c>
      <c r="D1041" s="437" t="s">
        <v>4486</v>
      </c>
      <c r="E1041" s="361" t="str">
        <f t="shared" ca="1" si="32"/>
        <v>LOSS</v>
      </c>
      <c r="F1041" s="29"/>
      <c r="G1041" s="28" t="s">
        <v>4634</v>
      </c>
      <c r="H1041" s="29" t="s">
        <v>2748</v>
      </c>
      <c r="I1041" s="29" t="s">
        <v>346</v>
      </c>
      <c r="J1041" s="28" t="s">
        <v>4635</v>
      </c>
      <c r="K1041" s="28"/>
      <c r="L1041" s="27"/>
      <c r="M1041" s="27"/>
      <c r="N1041" s="29"/>
      <c r="O1041" s="56"/>
      <c r="P1041" s="31">
        <v>27600000</v>
      </c>
      <c r="Q1041" s="31"/>
      <c r="R1041" s="27"/>
      <c r="S1041" s="32">
        <v>18000000</v>
      </c>
      <c r="T1041" s="33"/>
      <c r="U1041" s="334">
        <v>43617</v>
      </c>
      <c r="V1041" s="334">
        <v>43982</v>
      </c>
      <c r="W1041" s="27" t="s">
        <v>250</v>
      </c>
      <c r="X1041" s="27"/>
      <c r="Y1041" s="34">
        <f t="shared" ca="1" si="36"/>
        <v>46290</v>
      </c>
      <c r="Z1041" s="35">
        <f t="shared" ca="1" si="33"/>
        <v>-2308</v>
      </c>
      <c r="AA1041" s="27">
        <f t="shared" si="34"/>
        <v>5</v>
      </c>
      <c r="AB1041" s="27">
        <f t="shared" si="35"/>
        <v>2020</v>
      </c>
      <c r="AC1041" s="28" t="s">
        <v>479</v>
      </c>
      <c r="AD1041" s="28" t="s">
        <v>4636</v>
      </c>
      <c r="AE1041" s="27">
        <v>4500012833</v>
      </c>
      <c r="AF1041" s="27" t="s">
        <v>339</v>
      </c>
      <c r="AG1041" s="29" t="s">
        <v>4478</v>
      </c>
      <c r="AH1041" s="28" t="s">
        <v>4637</v>
      </c>
      <c r="AI1041" s="27"/>
      <c r="AJ1041" s="27"/>
      <c r="AK1041" s="27" t="s">
        <v>4638</v>
      </c>
      <c r="AL1041" s="27"/>
      <c r="AM1041" s="27"/>
      <c r="AN1041" s="27"/>
      <c r="AO1041" s="27"/>
      <c r="AP1041" s="27"/>
      <c r="AQ1041" s="27"/>
      <c r="AR1041" s="504"/>
      <c r="AS1041" s="332"/>
      <c r="AT1041" s="160"/>
    </row>
    <row r="1042" spans="1:46" ht="21.75" hidden="1" customHeight="1">
      <c r="A1042" s="331">
        <v>1041</v>
      </c>
      <c r="B1042" s="28" t="s">
        <v>119</v>
      </c>
      <c r="C1042" s="28" t="s">
        <v>596</v>
      </c>
      <c r="D1042" s="438" t="s">
        <v>4486</v>
      </c>
      <c r="E1042" s="361" t="str">
        <f t="shared" ca="1" si="32"/>
        <v>LOSS</v>
      </c>
      <c r="F1042" s="29"/>
      <c r="G1042" s="28" t="s">
        <v>4639</v>
      </c>
      <c r="H1042" s="29" t="s">
        <v>2748</v>
      </c>
      <c r="I1042" s="29" t="s">
        <v>346</v>
      </c>
      <c r="J1042" s="28" t="s">
        <v>122</v>
      </c>
      <c r="K1042" s="28"/>
      <c r="L1042" s="27"/>
      <c r="M1042" s="27"/>
      <c r="N1042" s="29"/>
      <c r="O1042" s="56"/>
      <c r="P1042" s="31">
        <v>64800000</v>
      </c>
      <c r="Q1042" s="31"/>
      <c r="R1042" s="30"/>
      <c r="S1042" s="32">
        <v>12000000</v>
      </c>
      <c r="T1042" s="33"/>
      <c r="U1042" s="334">
        <v>45420</v>
      </c>
      <c r="V1042" s="334">
        <v>45784</v>
      </c>
      <c r="W1042" s="27" t="s">
        <v>250</v>
      </c>
      <c r="X1042" s="27"/>
      <c r="Y1042" s="34">
        <f t="shared" ca="1" si="36"/>
        <v>46290</v>
      </c>
      <c r="Z1042" s="35">
        <f t="shared" ca="1" si="33"/>
        <v>-506</v>
      </c>
      <c r="AA1042" s="27">
        <f t="shared" si="34"/>
        <v>5</v>
      </c>
      <c r="AB1042" s="27">
        <f t="shared" si="35"/>
        <v>2025</v>
      </c>
      <c r="AC1042" s="28" t="s">
        <v>4640</v>
      </c>
      <c r="AD1042" s="28" t="s">
        <v>4641</v>
      </c>
      <c r="AE1042" s="27">
        <v>4500022664</v>
      </c>
      <c r="AF1042" s="27" t="s">
        <v>339</v>
      </c>
      <c r="AG1042" s="29" t="s">
        <v>4478</v>
      </c>
      <c r="AH1042" s="28"/>
      <c r="AI1042" s="27"/>
      <c r="AJ1042" s="27"/>
      <c r="AK1042" s="27"/>
      <c r="AL1042" s="27" t="s">
        <v>4642</v>
      </c>
      <c r="AM1042" s="27"/>
      <c r="AN1042" s="27" t="s">
        <v>4643</v>
      </c>
      <c r="AO1042" s="27" t="s">
        <v>4644</v>
      </c>
      <c r="AP1042" s="27"/>
      <c r="AQ1042" s="27"/>
      <c r="AR1042" s="504"/>
      <c r="AS1042" s="332" t="s">
        <v>4645</v>
      </c>
      <c r="AT1042" s="160"/>
    </row>
    <row r="1043" spans="1:46" ht="21.75" hidden="1" customHeight="1">
      <c r="A1043" s="331">
        <v>1042</v>
      </c>
      <c r="B1043" s="28" t="s">
        <v>119</v>
      </c>
      <c r="C1043" s="159" t="s">
        <v>889</v>
      </c>
      <c r="D1043" s="437" t="s">
        <v>452</v>
      </c>
      <c r="E1043" s="361" t="str">
        <f t="shared" ca="1" si="32"/>
        <v>LOSS</v>
      </c>
      <c r="F1043" s="29"/>
      <c r="G1043" s="28" t="s">
        <v>4646</v>
      </c>
      <c r="H1043" s="29" t="s">
        <v>2748</v>
      </c>
      <c r="I1043" s="29" t="s">
        <v>346</v>
      </c>
      <c r="J1043" s="28" t="s">
        <v>120</v>
      </c>
      <c r="K1043" s="28"/>
      <c r="L1043" s="27"/>
      <c r="M1043" s="27"/>
      <c r="N1043" s="29"/>
      <c r="O1043" s="56"/>
      <c r="P1043" s="31">
        <f>12*2500000</f>
        <v>30000000</v>
      </c>
      <c r="Q1043" s="31"/>
      <c r="R1043" s="30"/>
      <c r="S1043" s="32">
        <v>12000000</v>
      </c>
      <c r="T1043" s="33"/>
      <c r="U1043" s="334">
        <v>45332</v>
      </c>
      <c r="V1043" s="334">
        <v>45697</v>
      </c>
      <c r="W1043" s="27" t="s">
        <v>250</v>
      </c>
      <c r="X1043" s="27"/>
      <c r="Y1043" s="34">
        <f t="shared" ca="1" si="36"/>
        <v>46290</v>
      </c>
      <c r="Z1043" s="35">
        <f t="shared" ca="1" si="33"/>
        <v>-593</v>
      </c>
      <c r="AA1043" s="27">
        <f t="shared" si="34"/>
        <v>2</v>
      </c>
      <c r="AB1043" s="27">
        <f t="shared" si="35"/>
        <v>2025</v>
      </c>
      <c r="AC1043" s="28" t="s">
        <v>4647</v>
      </c>
      <c r="AD1043" s="28">
        <v>2473</v>
      </c>
      <c r="AE1043" s="27">
        <v>4500022246</v>
      </c>
      <c r="AF1043" s="27" t="s">
        <v>339</v>
      </c>
      <c r="AG1043" s="29" t="s">
        <v>4478</v>
      </c>
      <c r="AH1043" s="28" t="s">
        <v>4479</v>
      </c>
      <c r="AI1043" s="27"/>
      <c r="AJ1043" s="27"/>
      <c r="AK1043" s="27"/>
      <c r="AL1043" s="27"/>
      <c r="AM1043" s="27"/>
      <c r="AN1043" s="27"/>
      <c r="AO1043" s="27" t="s">
        <v>4648</v>
      </c>
      <c r="AP1043" s="27" t="s">
        <v>4649</v>
      </c>
      <c r="AQ1043" s="27"/>
      <c r="AR1043" s="504"/>
      <c r="AS1043" s="332" t="s">
        <v>4577</v>
      </c>
      <c r="AT1043" s="160"/>
    </row>
    <row r="1044" spans="1:46" ht="21.75" hidden="1" customHeight="1">
      <c r="A1044" s="331">
        <v>1043</v>
      </c>
      <c r="B1044" s="28" t="s">
        <v>119</v>
      </c>
      <c r="C1044" s="28" t="s">
        <v>2493</v>
      </c>
      <c r="D1044" s="438" t="s">
        <v>4486</v>
      </c>
      <c r="E1044" s="361" t="str">
        <f t="shared" ca="1" si="32"/>
        <v>LOSS</v>
      </c>
      <c r="F1044" s="29"/>
      <c r="G1044" s="28" t="s">
        <v>4650</v>
      </c>
      <c r="H1044" s="29" t="s">
        <v>2748</v>
      </c>
      <c r="I1044" s="29" t="s">
        <v>346</v>
      </c>
      <c r="J1044" s="28" t="s">
        <v>698</v>
      </c>
      <c r="K1044" s="28"/>
      <c r="L1044" s="27"/>
      <c r="M1044" s="27"/>
      <c r="N1044" s="29"/>
      <c r="O1044" s="56"/>
      <c r="P1044" s="31">
        <v>66000000</v>
      </c>
      <c r="Q1044" s="31"/>
      <c r="R1044" s="27"/>
      <c r="S1044" s="32">
        <v>3500000</v>
      </c>
      <c r="T1044" s="33"/>
      <c r="U1044" s="334">
        <v>44562</v>
      </c>
      <c r="V1044" s="334">
        <v>44926</v>
      </c>
      <c r="W1044" s="27" t="s">
        <v>245</v>
      </c>
      <c r="X1044" s="27"/>
      <c r="Y1044" s="34">
        <f t="shared" ca="1" si="36"/>
        <v>46290</v>
      </c>
      <c r="Z1044" s="35">
        <f t="shared" ca="1" si="33"/>
        <v>-1364</v>
      </c>
      <c r="AA1044" s="27">
        <f t="shared" si="34"/>
        <v>12</v>
      </c>
      <c r="AB1044" s="27">
        <f t="shared" si="35"/>
        <v>2022</v>
      </c>
      <c r="AC1044" s="28" t="s">
        <v>4651</v>
      </c>
      <c r="AD1044" s="28" t="s">
        <v>4652</v>
      </c>
      <c r="AE1044" s="27">
        <v>4500017132</v>
      </c>
      <c r="AF1044" s="27" t="s">
        <v>339</v>
      </c>
      <c r="AG1044" s="29" t="s">
        <v>4478</v>
      </c>
      <c r="AH1044" s="28" t="s">
        <v>4653</v>
      </c>
      <c r="AI1044" s="27"/>
      <c r="AJ1044" s="27"/>
      <c r="AK1044" s="27" t="s">
        <v>4654</v>
      </c>
      <c r="AL1044" s="27" t="s">
        <v>4655</v>
      </c>
      <c r="AM1044" s="27"/>
      <c r="AN1044" s="27" t="s">
        <v>4656</v>
      </c>
      <c r="AO1044" s="27"/>
      <c r="AP1044" s="27"/>
      <c r="AQ1044" s="27"/>
      <c r="AR1044" s="504"/>
      <c r="AS1044" s="332" t="s">
        <v>4657</v>
      </c>
      <c r="AT1044" s="160"/>
    </row>
    <row r="1045" spans="1:46" ht="21.75" hidden="1" customHeight="1">
      <c r="A1045" s="331">
        <v>1044</v>
      </c>
      <c r="B1045" s="28" t="s">
        <v>119</v>
      </c>
      <c r="C1045" s="28" t="s">
        <v>1996</v>
      </c>
      <c r="D1045" s="437" t="s">
        <v>4486</v>
      </c>
      <c r="E1045" s="361" t="str">
        <f t="shared" ca="1" si="32"/>
        <v>LOSS</v>
      </c>
      <c r="F1045" s="29"/>
      <c r="G1045" s="28" t="s">
        <v>4658</v>
      </c>
      <c r="H1045" s="29" t="s">
        <v>2748</v>
      </c>
      <c r="I1045" s="29" t="s">
        <v>346</v>
      </c>
      <c r="J1045" s="28" t="s">
        <v>1309</v>
      </c>
      <c r="K1045" s="28"/>
      <c r="L1045" s="27"/>
      <c r="M1045" s="27"/>
      <c r="N1045" s="29"/>
      <c r="O1045" s="56"/>
      <c r="P1045" s="31">
        <v>48000000</v>
      </c>
      <c r="Q1045" s="31"/>
      <c r="R1045" s="27"/>
      <c r="S1045" s="32">
        <v>12000000</v>
      </c>
      <c r="T1045" s="33"/>
      <c r="U1045" s="334">
        <v>44782</v>
      </c>
      <c r="V1045" s="334">
        <v>45146</v>
      </c>
      <c r="W1045" s="27" t="s">
        <v>250</v>
      </c>
      <c r="X1045" s="27"/>
      <c r="Y1045" s="34">
        <f t="shared" ca="1" si="36"/>
        <v>46290</v>
      </c>
      <c r="Z1045" s="35">
        <f t="shared" ca="1" si="33"/>
        <v>-1144</v>
      </c>
      <c r="AA1045" s="27">
        <f t="shared" si="34"/>
        <v>8</v>
      </c>
      <c r="AB1045" s="27">
        <f t="shared" si="35"/>
        <v>2023</v>
      </c>
      <c r="AC1045" s="28" t="s">
        <v>4659</v>
      </c>
      <c r="AD1045" s="28" t="s">
        <v>4660</v>
      </c>
      <c r="AE1045" s="27">
        <v>4500022072</v>
      </c>
      <c r="AF1045" s="27" t="s">
        <v>339</v>
      </c>
      <c r="AG1045" s="29" t="s">
        <v>4478</v>
      </c>
      <c r="AH1045" s="28" t="s">
        <v>4479</v>
      </c>
      <c r="AI1045" s="27"/>
      <c r="AJ1045" s="27"/>
      <c r="AK1045" s="27"/>
      <c r="AL1045" s="27"/>
      <c r="AM1045" s="27"/>
      <c r="AN1045" s="27" t="s">
        <v>4661</v>
      </c>
      <c r="AO1045" s="27"/>
      <c r="AP1045" s="27"/>
      <c r="AQ1045" s="27"/>
      <c r="AR1045" s="504"/>
      <c r="AS1045" s="332"/>
      <c r="AT1045" s="160"/>
    </row>
    <row r="1046" spans="1:46" ht="21.75" hidden="1" customHeight="1">
      <c r="A1046" s="331">
        <v>1045</v>
      </c>
      <c r="B1046" s="28" t="s">
        <v>119</v>
      </c>
      <c r="C1046" s="28" t="s">
        <v>4662</v>
      </c>
      <c r="D1046" s="438" t="s">
        <v>4486</v>
      </c>
      <c r="E1046" s="361" t="str">
        <f t="shared" ca="1" si="32"/>
        <v>LOSS</v>
      </c>
      <c r="F1046" s="29"/>
      <c r="G1046" s="28" t="s">
        <v>4663</v>
      </c>
      <c r="H1046" s="29" t="s">
        <v>2748</v>
      </c>
      <c r="I1046" s="160" t="s">
        <v>346</v>
      </c>
      <c r="J1046" s="28" t="s">
        <v>4664</v>
      </c>
      <c r="K1046" s="28"/>
      <c r="L1046" s="27"/>
      <c r="M1046" s="27"/>
      <c r="N1046" s="29"/>
      <c r="O1046" s="56"/>
      <c r="P1046" s="31">
        <f>12*5600000</f>
        <v>67200000</v>
      </c>
      <c r="Q1046" s="31"/>
      <c r="R1046" s="30"/>
      <c r="S1046" s="32">
        <v>12000000</v>
      </c>
      <c r="T1046" s="33"/>
      <c r="U1046" s="334">
        <v>45519</v>
      </c>
      <c r="V1046" s="334">
        <v>45883</v>
      </c>
      <c r="W1046" s="27" t="s">
        <v>250</v>
      </c>
      <c r="X1046" s="27"/>
      <c r="Y1046" s="34">
        <f t="shared" ca="1" si="36"/>
        <v>46290</v>
      </c>
      <c r="Z1046" s="35">
        <f t="shared" ca="1" si="33"/>
        <v>-407</v>
      </c>
      <c r="AA1046" s="27">
        <f t="shared" si="34"/>
        <v>8</v>
      </c>
      <c r="AB1046" s="27">
        <f t="shared" si="35"/>
        <v>2025</v>
      </c>
      <c r="AC1046" s="28" t="s">
        <v>4665</v>
      </c>
      <c r="AD1046" s="28" t="s">
        <v>4666</v>
      </c>
      <c r="AE1046" s="27">
        <v>4500023505</v>
      </c>
      <c r="AF1046" s="27" t="s">
        <v>333</v>
      </c>
      <c r="AG1046" s="29" t="s">
        <v>4478</v>
      </c>
      <c r="AH1046" s="28" t="s">
        <v>4479</v>
      </c>
      <c r="AI1046" s="27"/>
      <c r="AJ1046" s="27"/>
      <c r="AK1046" s="27"/>
      <c r="AL1046" s="27"/>
      <c r="AM1046" s="27"/>
      <c r="AN1046" s="27"/>
      <c r="AO1046" s="27" t="s">
        <v>4667</v>
      </c>
      <c r="AP1046" s="27" t="s">
        <v>4668</v>
      </c>
      <c r="AQ1046" s="27"/>
      <c r="AR1046" s="504"/>
      <c r="AS1046" s="332" t="s">
        <v>4669</v>
      </c>
      <c r="AT1046" s="160"/>
    </row>
    <row r="1047" spans="1:46" ht="21.75" hidden="1" customHeight="1">
      <c r="A1047" s="331">
        <v>1046</v>
      </c>
      <c r="B1047" s="28" t="s">
        <v>321</v>
      </c>
      <c r="C1047" s="28" t="s">
        <v>4670</v>
      </c>
      <c r="D1047" s="444" t="s">
        <v>4671</v>
      </c>
      <c r="E1047" s="361" t="str">
        <f t="shared" ca="1" si="32"/>
        <v>LOSS</v>
      </c>
      <c r="F1047" s="29"/>
      <c r="G1047" s="28" t="s">
        <v>4672</v>
      </c>
      <c r="H1047" s="29" t="s">
        <v>2748</v>
      </c>
      <c r="I1047" s="29" t="s">
        <v>346</v>
      </c>
      <c r="J1047" s="28" t="s">
        <v>4673</v>
      </c>
      <c r="K1047" s="28"/>
      <c r="L1047" s="27"/>
      <c r="M1047" s="27"/>
      <c r="N1047" s="29"/>
      <c r="O1047" s="56"/>
      <c r="P1047" s="31">
        <v>71280000</v>
      </c>
      <c r="Q1047" s="31"/>
      <c r="R1047" s="27"/>
      <c r="S1047" s="32">
        <v>4800000</v>
      </c>
      <c r="T1047" s="33"/>
      <c r="U1047" s="334">
        <v>43770</v>
      </c>
      <c r="V1047" s="334">
        <v>44135</v>
      </c>
      <c r="W1047" s="27" t="s">
        <v>250</v>
      </c>
      <c r="X1047" s="27"/>
      <c r="Y1047" s="34">
        <f t="shared" ca="1" si="36"/>
        <v>46290</v>
      </c>
      <c r="Z1047" s="35">
        <f t="shared" ca="1" si="33"/>
        <v>-2155</v>
      </c>
      <c r="AA1047" s="27">
        <f t="shared" si="34"/>
        <v>10</v>
      </c>
      <c r="AB1047" s="27">
        <f t="shared" si="35"/>
        <v>2020</v>
      </c>
      <c r="AC1047" s="28" t="s">
        <v>4674</v>
      </c>
      <c r="AD1047" s="28" t="s">
        <v>4675</v>
      </c>
      <c r="AE1047" s="27">
        <v>4500013414</v>
      </c>
      <c r="AF1047" s="27" t="s">
        <v>339</v>
      </c>
      <c r="AG1047" s="29" t="s">
        <v>4676</v>
      </c>
      <c r="AH1047" s="28" t="s">
        <v>4677</v>
      </c>
      <c r="AI1047" s="27"/>
      <c r="AJ1047" s="27" t="s">
        <v>4678</v>
      </c>
      <c r="AK1047" s="27" t="s">
        <v>4679</v>
      </c>
      <c r="AL1047" s="27"/>
      <c r="AM1047" s="27"/>
      <c r="AN1047" s="27"/>
      <c r="AO1047" s="27"/>
      <c r="AP1047" s="27"/>
      <c r="AQ1047" s="27"/>
      <c r="AR1047" s="504"/>
      <c r="AS1047" s="332" t="s">
        <v>4680</v>
      </c>
      <c r="AT1047" s="160"/>
    </row>
    <row r="1048" spans="1:46" ht="21.75" hidden="1" customHeight="1">
      <c r="A1048" s="331">
        <v>1047</v>
      </c>
      <c r="B1048" s="28" t="s">
        <v>321</v>
      </c>
      <c r="C1048" s="28" t="s">
        <v>1869</v>
      </c>
      <c r="D1048" s="443" t="s">
        <v>4671</v>
      </c>
      <c r="E1048" s="361" t="str">
        <f t="shared" ca="1" si="32"/>
        <v>LOSS</v>
      </c>
      <c r="F1048" s="29"/>
      <c r="G1048" s="28" t="s">
        <v>4681</v>
      </c>
      <c r="H1048" s="29" t="s">
        <v>2748</v>
      </c>
      <c r="I1048" s="29" t="s">
        <v>346</v>
      </c>
      <c r="J1048" s="28" t="s">
        <v>4682</v>
      </c>
      <c r="K1048" s="28"/>
      <c r="L1048" s="27"/>
      <c r="M1048" s="27"/>
      <c r="N1048" s="29"/>
      <c r="O1048" s="56"/>
      <c r="P1048" s="31">
        <v>31200000</v>
      </c>
      <c r="Q1048" s="31"/>
      <c r="R1048" s="27"/>
      <c r="S1048" s="32">
        <v>7200000</v>
      </c>
      <c r="T1048" s="33"/>
      <c r="U1048" s="334">
        <v>43800</v>
      </c>
      <c r="V1048" s="334">
        <v>44165</v>
      </c>
      <c r="W1048" s="27" t="s">
        <v>250</v>
      </c>
      <c r="X1048" s="27"/>
      <c r="Y1048" s="34">
        <f t="shared" ca="1" si="36"/>
        <v>46290</v>
      </c>
      <c r="Z1048" s="35">
        <f t="shared" ca="1" si="33"/>
        <v>-2125</v>
      </c>
      <c r="AA1048" s="27">
        <f t="shared" si="34"/>
        <v>11</v>
      </c>
      <c r="AB1048" s="27">
        <f t="shared" si="35"/>
        <v>2020</v>
      </c>
      <c r="AC1048" s="28" t="s">
        <v>4683</v>
      </c>
      <c r="AD1048" s="28" t="s">
        <v>4684</v>
      </c>
      <c r="AE1048" s="27">
        <v>4500013654</v>
      </c>
      <c r="AF1048" s="27" t="s">
        <v>339</v>
      </c>
      <c r="AG1048" s="29" t="s">
        <v>4676</v>
      </c>
      <c r="AH1048" s="28" t="s">
        <v>4677</v>
      </c>
      <c r="AI1048" s="27"/>
      <c r="AJ1048" s="27" t="s">
        <v>4685</v>
      </c>
      <c r="AK1048" s="27" t="s">
        <v>4686</v>
      </c>
      <c r="AL1048" s="27"/>
      <c r="AM1048" s="27"/>
      <c r="AN1048" s="27"/>
      <c r="AO1048" s="27"/>
      <c r="AP1048" s="27"/>
      <c r="AQ1048" s="27"/>
      <c r="AR1048" s="504"/>
      <c r="AS1048" s="332" t="s">
        <v>4687</v>
      </c>
      <c r="AT1048" s="160"/>
    </row>
    <row r="1049" spans="1:46" ht="21.75" hidden="1" customHeight="1">
      <c r="A1049" s="331">
        <v>1048</v>
      </c>
      <c r="B1049" s="28" t="s">
        <v>321</v>
      </c>
      <c r="C1049" s="28" t="s">
        <v>4688</v>
      </c>
      <c r="D1049" s="437" t="s">
        <v>323</v>
      </c>
      <c r="E1049" s="361" t="str">
        <f t="shared" ca="1" si="32"/>
        <v>LOSS</v>
      </c>
      <c r="F1049" s="29"/>
      <c r="G1049" s="28" t="s">
        <v>4689</v>
      </c>
      <c r="H1049" s="29" t="s">
        <v>2748</v>
      </c>
      <c r="I1049" s="29" t="s">
        <v>242</v>
      </c>
      <c r="J1049" s="28" t="s">
        <v>1168</v>
      </c>
      <c r="K1049" s="28"/>
      <c r="L1049" s="27"/>
      <c r="M1049" s="27"/>
      <c r="N1049" s="29"/>
      <c r="O1049" s="56"/>
      <c r="P1049" s="31">
        <f>204000000/2</f>
        <v>102000000</v>
      </c>
      <c r="Q1049" s="31"/>
      <c r="R1049" s="27"/>
      <c r="S1049" s="32">
        <v>27700000</v>
      </c>
      <c r="T1049" s="33"/>
      <c r="U1049" s="334">
        <v>44958</v>
      </c>
      <c r="V1049" s="334">
        <v>45688</v>
      </c>
      <c r="W1049" s="27" t="s">
        <v>250</v>
      </c>
      <c r="X1049" s="27"/>
      <c r="Y1049" s="34">
        <f t="shared" ca="1" si="36"/>
        <v>46290</v>
      </c>
      <c r="Z1049" s="35">
        <f t="shared" ca="1" si="33"/>
        <v>-602</v>
      </c>
      <c r="AA1049" s="27">
        <f t="shared" si="34"/>
        <v>1</v>
      </c>
      <c r="AB1049" s="27">
        <f t="shared" si="35"/>
        <v>2025</v>
      </c>
      <c r="AC1049" s="28" t="s">
        <v>4690</v>
      </c>
      <c r="AD1049" s="28" t="s">
        <v>4691</v>
      </c>
      <c r="AE1049" s="27"/>
      <c r="AF1049" s="27" t="s">
        <v>339</v>
      </c>
      <c r="AG1049" s="29" t="s">
        <v>4692</v>
      </c>
      <c r="AH1049" s="28" t="s">
        <v>4693</v>
      </c>
      <c r="AI1049" s="27"/>
      <c r="AJ1049" s="27"/>
      <c r="AK1049" s="27"/>
      <c r="AL1049" s="27"/>
      <c r="AM1049" s="27" t="s">
        <v>4694</v>
      </c>
      <c r="AN1049" s="27"/>
      <c r="AO1049" s="27"/>
      <c r="AP1049" s="27"/>
      <c r="AQ1049" s="27"/>
      <c r="AR1049" s="504"/>
      <c r="AS1049" s="332"/>
      <c r="AT1049" s="160"/>
    </row>
    <row r="1050" spans="1:46" ht="21.75" hidden="1" customHeight="1">
      <c r="A1050" s="331">
        <v>1049</v>
      </c>
      <c r="B1050" s="28" t="s">
        <v>321</v>
      </c>
      <c r="C1050" s="28" t="s">
        <v>1915</v>
      </c>
      <c r="D1050" s="438" t="s">
        <v>323</v>
      </c>
      <c r="E1050" s="361" t="str">
        <f t="shared" ca="1" si="32"/>
        <v>LOSS</v>
      </c>
      <c r="F1050" s="29"/>
      <c r="G1050" s="28" t="s">
        <v>4695</v>
      </c>
      <c r="H1050" s="29" t="s">
        <v>2748</v>
      </c>
      <c r="I1050" s="29" t="s">
        <v>242</v>
      </c>
      <c r="J1050" s="28" t="s">
        <v>4696</v>
      </c>
      <c r="K1050" s="28"/>
      <c r="L1050" s="27"/>
      <c r="M1050" s="27"/>
      <c r="N1050" s="29"/>
      <c r="O1050" s="56"/>
      <c r="P1050" s="31">
        <f>12*2400000</f>
        <v>28800000</v>
      </c>
      <c r="Q1050" s="31"/>
      <c r="R1050" s="27"/>
      <c r="S1050" s="32">
        <v>27700000</v>
      </c>
      <c r="T1050" s="33"/>
      <c r="U1050" s="335">
        <v>44569</v>
      </c>
      <c r="V1050" s="335">
        <v>45664</v>
      </c>
      <c r="W1050" s="27" t="s">
        <v>250</v>
      </c>
      <c r="X1050" s="27"/>
      <c r="Y1050" s="34">
        <f t="shared" ca="1" si="36"/>
        <v>46290</v>
      </c>
      <c r="Z1050" s="35">
        <f t="shared" ca="1" si="33"/>
        <v>-626</v>
      </c>
      <c r="AA1050" s="27">
        <f t="shared" si="34"/>
        <v>1</v>
      </c>
      <c r="AB1050" s="27">
        <f t="shared" si="35"/>
        <v>2025</v>
      </c>
      <c r="AC1050" s="28" t="s">
        <v>4697</v>
      </c>
      <c r="AD1050" s="28" t="s">
        <v>4698</v>
      </c>
      <c r="AE1050" s="27"/>
      <c r="AF1050" s="27" t="s">
        <v>339</v>
      </c>
      <c r="AG1050" s="29"/>
      <c r="AH1050" s="28"/>
      <c r="AI1050" s="27"/>
      <c r="AJ1050" s="27"/>
      <c r="AK1050" s="27"/>
      <c r="AL1050" s="27"/>
      <c r="AM1050" s="27" t="s">
        <v>4699</v>
      </c>
      <c r="AN1050" s="27"/>
      <c r="AO1050" s="27"/>
      <c r="AP1050" s="27"/>
      <c r="AQ1050" s="27"/>
      <c r="AR1050" s="504"/>
      <c r="AS1050" s="332"/>
      <c r="AT1050" s="160"/>
    </row>
    <row r="1051" spans="1:46" ht="21.75" hidden="1" customHeight="1">
      <c r="A1051" s="331">
        <v>1050</v>
      </c>
      <c r="B1051" s="28" t="s">
        <v>127</v>
      </c>
      <c r="C1051" s="28" t="s">
        <v>4700</v>
      </c>
      <c r="D1051" s="437" t="s">
        <v>4701</v>
      </c>
      <c r="E1051" s="361" t="str">
        <f t="shared" ca="1" si="32"/>
        <v>LOSS</v>
      </c>
      <c r="F1051" s="29"/>
      <c r="G1051" s="28" t="s">
        <v>4702</v>
      </c>
      <c r="H1051" s="29" t="s">
        <v>2748</v>
      </c>
      <c r="I1051" s="29" t="s">
        <v>346</v>
      </c>
      <c r="J1051" s="28" t="s">
        <v>4703</v>
      </c>
      <c r="K1051" s="28"/>
      <c r="L1051" s="27"/>
      <c r="M1051" s="27"/>
      <c r="N1051" s="29"/>
      <c r="O1051" s="56"/>
      <c r="P1051" s="31">
        <v>60000000</v>
      </c>
      <c r="Q1051" s="31"/>
      <c r="R1051" s="27"/>
      <c r="S1051" s="32">
        <v>18000000</v>
      </c>
      <c r="T1051" s="33"/>
      <c r="U1051" s="334">
        <v>43598</v>
      </c>
      <c r="V1051" s="334">
        <v>43963</v>
      </c>
      <c r="W1051" s="27" t="s">
        <v>245</v>
      </c>
      <c r="X1051" s="27"/>
      <c r="Y1051" s="34">
        <f t="shared" ca="1" si="36"/>
        <v>46290</v>
      </c>
      <c r="Z1051" s="35">
        <f t="shared" ca="1" si="33"/>
        <v>-2327</v>
      </c>
      <c r="AA1051" s="27">
        <f t="shared" si="34"/>
        <v>5</v>
      </c>
      <c r="AB1051" s="27">
        <f t="shared" si="35"/>
        <v>2020</v>
      </c>
      <c r="AC1051" s="28" t="s">
        <v>479</v>
      </c>
      <c r="AD1051" s="28" t="s">
        <v>4704</v>
      </c>
      <c r="AE1051" s="27">
        <v>4500012815</v>
      </c>
      <c r="AF1051" s="27" t="s">
        <v>339</v>
      </c>
      <c r="AG1051" s="29"/>
      <c r="AH1051" s="28"/>
      <c r="AI1051" s="27"/>
      <c r="AJ1051" s="27"/>
      <c r="AK1051" s="27" t="s">
        <v>4705</v>
      </c>
      <c r="AL1051" s="27"/>
      <c r="AM1051" s="27"/>
      <c r="AN1051" s="27"/>
      <c r="AO1051" s="27"/>
      <c r="AP1051" s="27"/>
      <c r="AQ1051" s="27"/>
      <c r="AR1051" s="504"/>
      <c r="AS1051" s="332"/>
      <c r="AT1051" s="160"/>
    </row>
    <row r="1052" spans="1:46" ht="21.75" hidden="1" customHeight="1">
      <c r="A1052" s="331">
        <v>1051</v>
      </c>
      <c r="B1052" s="28" t="s">
        <v>127</v>
      </c>
      <c r="C1052" s="28" t="s">
        <v>2689</v>
      </c>
      <c r="D1052" s="438" t="s">
        <v>4706</v>
      </c>
      <c r="E1052" s="361" t="str">
        <f t="shared" ca="1" si="32"/>
        <v>LOSS</v>
      </c>
      <c r="F1052" s="29"/>
      <c r="G1052" s="28" t="s">
        <v>4707</v>
      </c>
      <c r="H1052" s="29" t="s">
        <v>2748</v>
      </c>
      <c r="I1052" s="29" t="s">
        <v>242</v>
      </c>
      <c r="J1052" s="28" t="s">
        <v>128</v>
      </c>
      <c r="K1052" s="28"/>
      <c r="L1052" s="27"/>
      <c r="M1052" s="27"/>
      <c r="N1052" s="29"/>
      <c r="O1052" s="56"/>
      <c r="P1052" s="31">
        <f>12*1236000</f>
        <v>14832000</v>
      </c>
      <c r="Q1052" s="31"/>
      <c r="R1052" s="27"/>
      <c r="S1052" s="32">
        <v>13000000</v>
      </c>
      <c r="T1052" s="33"/>
      <c r="U1052" s="334">
        <v>45388</v>
      </c>
      <c r="V1052" s="334">
        <v>45752</v>
      </c>
      <c r="W1052" s="27" t="s">
        <v>250</v>
      </c>
      <c r="X1052" s="27"/>
      <c r="Y1052" s="34">
        <f t="shared" ca="1" si="36"/>
        <v>46290</v>
      </c>
      <c r="Z1052" s="35">
        <f t="shared" ca="1" si="33"/>
        <v>-538</v>
      </c>
      <c r="AA1052" s="27">
        <f t="shared" si="34"/>
        <v>4</v>
      </c>
      <c r="AB1052" s="27">
        <f t="shared" si="35"/>
        <v>2025</v>
      </c>
      <c r="AC1052" s="28" t="s">
        <v>4708</v>
      </c>
      <c r="AD1052" s="28" t="s">
        <v>4709</v>
      </c>
      <c r="AE1052" s="27">
        <v>4500022956</v>
      </c>
      <c r="AF1052" s="27" t="s">
        <v>339</v>
      </c>
      <c r="AG1052" s="29"/>
      <c r="AH1052" s="28"/>
      <c r="AI1052" s="27"/>
      <c r="AJ1052" s="27"/>
      <c r="AK1052" s="27"/>
      <c r="AL1052" s="27"/>
      <c r="AM1052" s="27"/>
      <c r="AN1052" s="27" t="s">
        <v>4710</v>
      </c>
      <c r="AO1052" s="27" t="s">
        <v>4711</v>
      </c>
      <c r="AP1052" s="27" t="s">
        <v>4712</v>
      </c>
      <c r="AQ1052" s="27"/>
      <c r="AR1052" s="504"/>
      <c r="AS1052" s="332" t="s">
        <v>4713</v>
      </c>
      <c r="AT1052" s="160"/>
    </row>
    <row r="1053" spans="1:46" ht="21.75" hidden="1" customHeight="1">
      <c r="A1053" s="331">
        <v>1052</v>
      </c>
      <c r="B1053" s="28" t="s">
        <v>1160</v>
      </c>
      <c r="C1053" s="28" t="s">
        <v>4714</v>
      </c>
      <c r="D1053" s="437" t="s">
        <v>4715</v>
      </c>
      <c r="E1053" s="361" t="str">
        <f t="shared" ca="1" si="32"/>
        <v>LOSS</v>
      </c>
      <c r="F1053" s="29"/>
      <c r="G1053" s="28" t="s">
        <v>4716</v>
      </c>
      <c r="H1053" s="29" t="s">
        <v>2748</v>
      </c>
      <c r="I1053" s="29" t="s">
        <v>242</v>
      </c>
      <c r="J1053" s="28" t="s">
        <v>4717</v>
      </c>
      <c r="K1053" s="28"/>
      <c r="L1053" s="27"/>
      <c r="M1053" s="27"/>
      <c r="N1053" s="29"/>
      <c r="O1053" s="56"/>
      <c r="P1053" s="31">
        <v>36000000</v>
      </c>
      <c r="Q1053" s="31"/>
      <c r="R1053" s="27"/>
      <c r="S1053" s="32">
        <v>7260000</v>
      </c>
      <c r="T1053" s="33"/>
      <c r="U1053" s="334">
        <v>45222</v>
      </c>
      <c r="V1053" s="334">
        <v>45587</v>
      </c>
      <c r="W1053" s="27" t="s">
        <v>250</v>
      </c>
      <c r="X1053" s="27"/>
      <c r="Y1053" s="34">
        <f t="shared" ca="1" si="36"/>
        <v>46290</v>
      </c>
      <c r="Z1053" s="35">
        <f t="shared" ca="1" si="33"/>
        <v>-703</v>
      </c>
      <c r="AA1053" s="27">
        <f t="shared" si="34"/>
        <v>10</v>
      </c>
      <c r="AB1053" s="27">
        <f t="shared" si="35"/>
        <v>2024</v>
      </c>
      <c r="AC1053" s="28" t="s">
        <v>4718</v>
      </c>
      <c r="AD1053" s="28">
        <v>1912</v>
      </c>
      <c r="AE1053" s="27">
        <v>4500021648</v>
      </c>
      <c r="AF1053" s="27" t="s">
        <v>339</v>
      </c>
      <c r="AG1053" s="29"/>
      <c r="AH1053" s="28"/>
      <c r="AI1053" s="27"/>
      <c r="AJ1053" s="27"/>
      <c r="AK1053" s="27"/>
      <c r="AL1053" s="27" t="s">
        <v>4719</v>
      </c>
      <c r="AM1053" s="27" t="s">
        <v>4720</v>
      </c>
      <c r="AN1053" s="27" t="s">
        <v>4721</v>
      </c>
      <c r="AO1053" s="27" t="s">
        <v>4722</v>
      </c>
      <c r="AP1053" s="27"/>
      <c r="AQ1053" s="27"/>
      <c r="AR1053" s="504"/>
      <c r="AS1053" s="332"/>
      <c r="AT1053" s="160"/>
    </row>
    <row r="1054" spans="1:46" ht="21.75" hidden="1" customHeight="1">
      <c r="A1054" s="331">
        <v>1053</v>
      </c>
      <c r="B1054" s="28" t="s">
        <v>1160</v>
      </c>
      <c r="C1054" s="28" t="s">
        <v>2714</v>
      </c>
      <c r="D1054" s="438" t="s">
        <v>4715</v>
      </c>
      <c r="E1054" s="361" t="str">
        <f t="shared" ca="1" si="32"/>
        <v>LOSS</v>
      </c>
      <c r="F1054" s="29"/>
      <c r="G1054" s="38" t="s">
        <v>115</v>
      </c>
      <c r="H1054" s="29" t="s">
        <v>2748</v>
      </c>
      <c r="I1054" s="29" t="s">
        <v>242</v>
      </c>
      <c r="J1054" s="28" t="s">
        <v>4723</v>
      </c>
      <c r="K1054" s="28"/>
      <c r="L1054" s="27"/>
      <c r="M1054" s="27"/>
      <c r="N1054" s="29"/>
      <c r="O1054" s="56"/>
      <c r="P1054" s="31">
        <v>54000000</v>
      </c>
      <c r="Q1054" s="31"/>
      <c r="R1054" s="27"/>
      <c r="S1054" s="32">
        <v>18150000</v>
      </c>
      <c r="T1054" s="33"/>
      <c r="U1054" s="334">
        <v>45227</v>
      </c>
      <c r="V1054" s="334">
        <v>45592</v>
      </c>
      <c r="W1054" s="27" t="s">
        <v>250</v>
      </c>
      <c r="X1054" s="27"/>
      <c r="Y1054" s="34">
        <f t="shared" ca="1" si="36"/>
        <v>46290</v>
      </c>
      <c r="Z1054" s="35">
        <f t="shared" ca="1" si="33"/>
        <v>-698</v>
      </c>
      <c r="AA1054" s="27">
        <f t="shared" si="34"/>
        <v>10</v>
      </c>
      <c r="AB1054" s="27">
        <f t="shared" si="35"/>
        <v>2024</v>
      </c>
      <c r="AC1054" s="28" t="s">
        <v>4724</v>
      </c>
      <c r="AD1054" s="28">
        <v>2114</v>
      </c>
      <c r="AE1054" s="27">
        <v>4500022066</v>
      </c>
      <c r="AF1054" s="27" t="s">
        <v>339</v>
      </c>
      <c r="AG1054" s="29"/>
      <c r="AH1054" s="28"/>
      <c r="AI1054" s="27"/>
      <c r="AJ1054" s="27"/>
      <c r="AK1054" s="27" t="s">
        <v>4725</v>
      </c>
      <c r="AL1054" s="27" t="s">
        <v>4726</v>
      </c>
      <c r="AM1054" s="27" t="s">
        <v>4727</v>
      </c>
      <c r="AN1054" s="27" t="s">
        <v>4728</v>
      </c>
      <c r="AO1054" s="27"/>
      <c r="AP1054" s="27"/>
      <c r="AQ1054" s="27"/>
      <c r="AR1054" s="504"/>
      <c r="AS1054" s="332"/>
      <c r="AT1054" s="160"/>
    </row>
    <row r="1055" spans="1:46" ht="21.75" hidden="1" customHeight="1">
      <c r="A1055" s="331">
        <v>1054</v>
      </c>
      <c r="B1055" s="28" t="s">
        <v>1160</v>
      </c>
      <c r="C1055" s="28" t="s">
        <v>4729</v>
      </c>
      <c r="D1055" s="437" t="s">
        <v>4730</v>
      </c>
      <c r="E1055" s="361" t="str">
        <f t="shared" ca="1" si="32"/>
        <v>LOSS</v>
      </c>
      <c r="F1055" s="29"/>
      <c r="G1055" s="28"/>
      <c r="H1055" s="29" t="s">
        <v>2748</v>
      </c>
      <c r="I1055" s="29" t="s">
        <v>242</v>
      </c>
      <c r="J1055" s="28" t="s">
        <v>4731</v>
      </c>
      <c r="K1055" s="28"/>
      <c r="L1055" s="27"/>
      <c r="M1055" s="27"/>
      <c r="N1055" s="29"/>
      <c r="O1055" s="56"/>
      <c r="P1055" s="31">
        <v>36000000</v>
      </c>
      <c r="Q1055" s="31"/>
      <c r="R1055" s="27"/>
      <c r="S1055" s="32">
        <v>7260000</v>
      </c>
      <c r="T1055" s="33"/>
      <c r="U1055" s="334">
        <v>44872</v>
      </c>
      <c r="V1055" s="334">
        <v>45236</v>
      </c>
      <c r="W1055" s="27" t="s">
        <v>245</v>
      </c>
      <c r="X1055" s="27"/>
      <c r="Y1055" s="34">
        <f t="shared" ca="1" si="36"/>
        <v>46290</v>
      </c>
      <c r="Z1055" s="35">
        <f t="shared" ca="1" si="33"/>
        <v>-1054</v>
      </c>
      <c r="AA1055" s="27">
        <f t="shared" si="34"/>
        <v>11</v>
      </c>
      <c r="AB1055" s="27">
        <f t="shared" si="35"/>
        <v>2023</v>
      </c>
      <c r="AC1055" s="28" t="s">
        <v>4732</v>
      </c>
      <c r="AD1055" s="28">
        <v>20546</v>
      </c>
      <c r="AE1055" s="27">
        <v>4500019560</v>
      </c>
      <c r="AF1055" s="27" t="s">
        <v>339</v>
      </c>
      <c r="AG1055" s="29"/>
      <c r="AH1055" s="28"/>
      <c r="AI1055" s="27"/>
      <c r="AJ1055" s="27"/>
      <c r="AK1055" s="27"/>
      <c r="AL1055" s="27" t="s">
        <v>4733</v>
      </c>
      <c r="AM1055" s="27" t="s">
        <v>4734</v>
      </c>
      <c r="AN1055" s="27" t="s">
        <v>4735</v>
      </c>
      <c r="AO1055" s="27"/>
      <c r="AP1055" s="27"/>
      <c r="AQ1055" s="27"/>
      <c r="AR1055" s="504"/>
      <c r="AS1055" s="332"/>
      <c r="AT1055" s="160"/>
    </row>
    <row r="1056" spans="1:46" ht="21.75" hidden="1" customHeight="1">
      <c r="A1056" s="331">
        <v>1055</v>
      </c>
      <c r="B1056" s="28" t="s">
        <v>1160</v>
      </c>
      <c r="C1056" s="28" t="s">
        <v>2209</v>
      </c>
      <c r="D1056" s="438" t="s">
        <v>4715</v>
      </c>
      <c r="E1056" s="361" t="str">
        <f t="shared" ca="1" si="32"/>
        <v>LOSS</v>
      </c>
      <c r="F1056" s="28"/>
      <c r="G1056" s="28" t="s">
        <v>4736</v>
      </c>
      <c r="H1056" s="28" t="s">
        <v>261</v>
      </c>
      <c r="I1056" s="361" t="s">
        <v>243</v>
      </c>
      <c r="J1056" s="28" t="s">
        <v>4737</v>
      </c>
      <c r="K1056" s="38" t="s">
        <v>4738</v>
      </c>
      <c r="L1056" s="51">
        <v>0.995</v>
      </c>
      <c r="M1056" s="27" t="s">
        <v>353</v>
      </c>
      <c r="N1056" s="29" t="s">
        <v>417</v>
      </c>
      <c r="O1056" s="56"/>
      <c r="P1056" s="52">
        <v>36000000</v>
      </c>
      <c r="Q1056" s="52"/>
      <c r="R1056" s="27"/>
      <c r="S1056" s="32">
        <v>7260000</v>
      </c>
      <c r="T1056" s="33"/>
      <c r="U1056" s="334">
        <v>44969</v>
      </c>
      <c r="V1056" s="334">
        <v>45333</v>
      </c>
      <c r="W1056" s="27" t="s">
        <v>245</v>
      </c>
      <c r="X1056" s="27"/>
      <c r="Y1056" s="34">
        <f t="shared" ca="1" si="36"/>
        <v>46290</v>
      </c>
      <c r="Z1056" s="35">
        <f t="shared" ca="1" si="33"/>
        <v>-957</v>
      </c>
      <c r="AA1056" s="27">
        <f t="shared" si="34"/>
        <v>2</v>
      </c>
      <c r="AB1056" s="27">
        <f t="shared" si="35"/>
        <v>2024</v>
      </c>
      <c r="AC1056" s="28">
        <v>4500017728</v>
      </c>
      <c r="AD1056" s="28">
        <v>21059</v>
      </c>
      <c r="AE1056" s="27">
        <v>4500019930</v>
      </c>
      <c r="AF1056" s="27" t="s">
        <v>471</v>
      </c>
      <c r="AG1056" s="29"/>
      <c r="AH1056" s="29"/>
      <c r="AI1056" s="27"/>
      <c r="AJ1056" s="27"/>
      <c r="AK1056" s="27"/>
      <c r="AL1056" s="27"/>
      <c r="AM1056" s="27"/>
      <c r="AN1056" s="27"/>
      <c r="AO1056" s="27">
        <v>17</v>
      </c>
      <c r="AP1056" s="27"/>
      <c r="AQ1056" s="27"/>
      <c r="AR1056" s="504"/>
      <c r="AS1056" s="332" t="s">
        <v>4739</v>
      </c>
      <c r="AT1056" s="160"/>
    </row>
    <row r="1057" spans="1:46" ht="21.75" hidden="1" customHeight="1">
      <c r="A1057" s="331">
        <v>1056</v>
      </c>
      <c r="B1057" s="28" t="s">
        <v>1160</v>
      </c>
      <c r="C1057" s="28" t="s">
        <v>1252</v>
      </c>
      <c r="D1057" s="437" t="s">
        <v>4715</v>
      </c>
      <c r="E1057" s="361" t="str">
        <f t="shared" ca="1" si="32"/>
        <v>LOSS</v>
      </c>
      <c r="F1057" s="28"/>
      <c r="G1057" s="28" t="s">
        <v>4740</v>
      </c>
      <c r="H1057" s="28" t="s">
        <v>261</v>
      </c>
      <c r="I1057" s="361" t="s">
        <v>243</v>
      </c>
      <c r="J1057" s="28" t="s">
        <v>1163</v>
      </c>
      <c r="K1057" s="38" t="s">
        <v>4741</v>
      </c>
      <c r="L1057" s="53">
        <v>0.995</v>
      </c>
      <c r="M1057" s="27" t="s">
        <v>353</v>
      </c>
      <c r="N1057" s="29" t="s">
        <v>417</v>
      </c>
      <c r="O1057" s="56"/>
      <c r="P1057" s="52">
        <f>3000000*12</f>
        <v>36000000</v>
      </c>
      <c r="Q1057" s="52"/>
      <c r="R1057" s="27"/>
      <c r="S1057" s="32">
        <f>605000*12</f>
        <v>7260000</v>
      </c>
      <c r="T1057" s="33"/>
      <c r="U1057" s="334">
        <v>45157</v>
      </c>
      <c r="V1057" s="334">
        <v>45522</v>
      </c>
      <c r="W1057" s="27" t="s">
        <v>250</v>
      </c>
      <c r="X1057" s="27"/>
      <c r="Y1057" s="34">
        <f t="shared" ca="1" si="36"/>
        <v>46290</v>
      </c>
      <c r="Z1057" s="35">
        <f t="shared" ca="1" si="33"/>
        <v>-768</v>
      </c>
      <c r="AA1057" s="27">
        <f t="shared" si="34"/>
        <v>8</v>
      </c>
      <c r="AB1057" s="27">
        <f t="shared" si="35"/>
        <v>2024</v>
      </c>
      <c r="AC1057" s="28" t="s">
        <v>4742</v>
      </c>
      <c r="AD1057" s="28" t="s">
        <v>4743</v>
      </c>
      <c r="AE1057" s="27">
        <v>4500021051</v>
      </c>
      <c r="AF1057" s="27" t="s">
        <v>471</v>
      </c>
      <c r="AG1057" s="29" t="s">
        <v>4744</v>
      </c>
      <c r="AH1057" s="29" t="s">
        <v>4745</v>
      </c>
      <c r="AI1057" s="27"/>
      <c r="AJ1057" s="27"/>
      <c r="AK1057" s="27"/>
      <c r="AL1057" s="27"/>
      <c r="AM1057" s="27"/>
      <c r="AN1057" s="27"/>
      <c r="AO1057" s="27">
        <v>203</v>
      </c>
      <c r="AP1057" s="27"/>
      <c r="AQ1057" s="27"/>
      <c r="AR1057" s="504"/>
      <c r="AS1057" s="332"/>
      <c r="AT1057" s="160"/>
    </row>
    <row r="1058" spans="1:46" ht="21.75" hidden="1" customHeight="1">
      <c r="A1058" s="331">
        <v>1057</v>
      </c>
      <c r="B1058" s="28" t="s">
        <v>1160</v>
      </c>
      <c r="C1058" s="28" t="s">
        <v>383</v>
      </c>
      <c r="D1058" s="438" t="s">
        <v>4715</v>
      </c>
      <c r="E1058" s="361" t="str">
        <f t="shared" ca="1" si="32"/>
        <v>LOSS</v>
      </c>
      <c r="F1058" s="28"/>
      <c r="G1058" s="28" t="s">
        <v>4746</v>
      </c>
      <c r="H1058" s="28" t="s">
        <v>261</v>
      </c>
      <c r="I1058" s="361" t="s">
        <v>243</v>
      </c>
      <c r="J1058" s="28" t="s">
        <v>4747</v>
      </c>
      <c r="K1058" s="38" t="s">
        <v>4748</v>
      </c>
      <c r="L1058" s="53" t="s">
        <v>4749</v>
      </c>
      <c r="M1058" s="27" t="s">
        <v>353</v>
      </c>
      <c r="N1058" s="29" t="s">
        <v>4750</v>
      </c>
      <c r="O1058" s="56"/>
      <c r="P1058" s="52">
        <v>42000000</v>
      </c>
      <c r="Q1058" s="52"/>
      <c r="R1058" s="56"/>
      <c r="S1058" s="32">
        <v>10890000</v>
      </c>
      <c r="T1058" s="33"/>
      <c r="U1058" s="334">
        <v>45200</v>
      </c>
      <c r="V1058" s="334">
        <v>45565</v>
      </c>
      <c r="W1058" s="27" t="s">
        <v>250</v>
      </c>
      <c r="X1058" s="27"/>
      <c r="Y1058" s="34">
        <f t="shared" ca="1" si="36"/>
        <v>46290</v>
      </c>
      <c r="Z1058" s="35">
        <f t="shared" ca="1" si="33"/>
        <v>-725</v>
      </c>
      <c r="AA1058" s="27">
        <f t="shared" si="34"/>
        <v>9</v>
      </c>
      <c r="AB1058" s="27">
        <f t="shared" si="35"/>
        <v>2024</v>
      </c>
      <c r="AC1058" s="28">
        <v>4500018646</v>
      </c>
      <c r="AD1058" s="28" t="s">
        <v>4751</v>
      </c>
      <c r="AE1058" s="27">
        <v>4500021326</v>
      </c>
      <c r="AF1058" s="27" t="s">
        <v>471</v>
      </c>
      <c r="AG1058" s="29" t="s">
        <v>4744</v>
      </c>
      <c r="AH1058" s="29" t="s">
        <v>4745</v>
      </c>
      <c r="AI1058" s="27"/>
      <c r="AJ1058" s="27"/>
      <c r="AK1058" s="27"/>
      <c r="AL1058" s="27"/>
      <c r="AM1058" s="27"/>
      <c r="AN1058" s="27"/>
      <c r="AO1058" s="27">
        <v>284</v>
      </c>
      <c r="AP1058" s="27"/>
      <c r="AQ1058" s="27"/>
      <c r="AR1058" s="504"/>
      <c r="AS1058" s="332"/>
      <c r="AT1058" s="160"/>
    </row>
    <row r="1059" spans="1:46" ht="21.75" hidden="1" customHeight="1">
      <c r="A1059" s="331">
        <v>1058</v>
      </c>
      <c r="B1059" s="28" t="s">
        <v>348</v>
      </c>
      <c r="C1059" s="28" t="s">
        <v>4752</v>
      </c>
      <c r="D1059" s="437" t="s">
        <v>4753</v>
      </c>
      <c r="E1059" s="361" t="str">
        <f t="shared" ca="1" si="32"/>
        <v>LOSS</v>
      </c>
      <c r="F1059" s="29" t="s">
        <v>4754</v>
      </c>
      <c r="G1059" s="28" t="s">
        <v>4755</v>
      </c>
      <c r="H1059" s="29" t="s">
        <v>2748</v>
      </c>
      <c r="I1059" s="29" t="s">
        <v>242</v>
      </c>
      <c r="J1059" s="28" t="s">
        <v>2255</v>
      </c>
      <c r="K1059" s="28"/>
      <c r="L1059" s="27"/>
      <c r="M1059" s="27"/>
      <c r="N1059" s="29"/>
      <c r="O1059" s="56"/>
      <c r="P1059" s="31">
        <f>12*2750000</f>
        <v>33000000</v>
      </c>
      <c r="Q1059" s="31"/>
      <c r="R1059" s="27"/>
      <c r="S1059" s="32">
        <v>10028172</v>
      </c>
      <c r="T1059" s="33"/>
      <c r="U1059" s="334">
        <v>44728</v>
      </c>
      <c r="V1059" s="334">
        <v>45092</v>
      </c>
      <c r="W1059" s="27" t="s">
        <v>250</v>
      </c>
      <c r="X1059" s="27"/>
      <c r="Y1059" s="34">
        <f t="shared" ca="1" si="36"/>
        <v>46290</v>
      </c>
      <c r="Z1059" s="35">
        <f t="shared" ca="1" si="33"/>
        <v>-1198</v>
      </c>
      <c r="AA1059" s="27">
        <f t="shared" si="34"/>
        <v>6</v>
      </c>
      <c r="AB1059" s="27">
        <f t="shared" si="35"/>
        <v>2023</v>
      </c>
      <c r="AC1059" s="28" t="s">
        <v>479</v>
      </c>
      <c r="AD1059" s="28" t="s">
        <v>2256</v>
      </c>
      <c r="AE1059" s="27">
        <v>4500017900</v>
      </c>
      <c r="AF1059" s="27" t="s">
        <v>339</v>
      </c>
      <c r="AG1059" s="29" t="s">
        <v>4756</v>
      </c>
      <c r="AH1059" s="28"/>
      <c r="AI1059" s="27"/>
      <c r="AJ1059" s="27"/>
      <c r="AK1059" s="27"/>
      <c r="AL1059" s="27"/>
      <c r="AM1059" s="27"/>
      <c r="AN1059" s="27" t="s">
        <v>4757</v>
      </c>
      <c r="AO1059" s="27"/>
      <c r="AP1059" s="27"/>
      <c r="AQ1059" s="27"/>
      <c r="AR1059" s="504"/>
      <c r="AS1059" s="332"/>
      <c r="AT1059" s="160"/>
    </row>
    <row r="1060" spans="1:46" ht="21.75" hidden="1" customHeight="1">
      <c r="A1060" s="331">
        <v>1059</v>
      </c>
      <c r="B1060" s="28" t="s">
        <v>348</v>
      </c>
      <c r="C1060" s="28" t="s">
        <v>4752</v>
      </c>
      <c r="D1060" s="438" t="s">
        <v>4753</v>
      </c>
      <c r="E1060" s="361" t="str">
        <f t="shared" ca="1" si="32"/>
        <v>LOSS</v>
      </c>
      <c r="F1060" s="29" t="s">
        <v>4754</v>
      </c>
      <c r="G1060" s="28" t="s">
        <v>4755</v>
      </c>
      <c r="H1060" s="29" t="s">
        <v>2748</v>
      </c>
      <c r="I1060" s="29" t="s">
        <v>242</v>
      </c>
      <c r="J1060" s="28" t="s">
        <v>2255</v>
      </c>
      <c r="K1060" s="28"/>
      <c r="L1060" s="27"/>
      <c r="M1060" s="27"/>
      <c r="N1060" s="29"/>
      <c r="O1060" s="56"/>
      <c r="P1060" s="31">
        <f>2750000*2</f>
        <v>5500000</v>
      </c>
      <c r="Q1060" s="31"/>
      <c r="R1060" s="27"/>
      <c r="S1060" s="32">
        <f>835681*2</f>
        <v>1671362</v>
      </c>
      <c r="T1060" s="33"/>
      <c r="U1060" s="334">
        <v>45231</v>
      </c>
      <c r="V1060" s="334">
        <v>45291</v>
      </c>
      <c r="W1060" s="27" t="s">
        <v>250</v>
      </c>
      <c r="X1060" s="27"/>
      <c r="Y1060" s="34">
        <f t="shared" ca="1" si="36"/>
        <v>46290</v>
      </c>
      <c r="Z1060" s="35">
        <f t="shared" ca="1" si="33"/>
        <v>-999</v>
      </c>
      <c r="AA1060" s="27">
        <f t="shared" si="34"/>
        <v>12</v>
      </c>
      <c r="AB1060" s="27">
        <f t="shared" si="35"/>
        <v>2023</v>
      </c>
      <c r="AC1060" s="28"/>
      <c r="AD1060" s="28"/>
      <c r="AE1060" s="27"/>
      <c r="AF1060" s="27"/>
      <c r="AG1060" s="29"/>
      <c r="AH1060" s="28"/>
      <c r="AI1060" s="27"/>
      <c r="AJ1060" s="27"/>
      <c r="AK1060" s="27"/>
      <c r="AL1060" s="27"/>
      <c r="AM1060" s="27"/>
      <c r="AN1060" s="27"/>
      <c r="AO1060" s="27"/>
      <c r="AP1060" s="27"/>
      <c r="AQ1060" s="27"/>
      <c r="AR1060" s="504"/>
      <c r="AS1060" s="332"/>
      <c r="AT1060" s="160"/>
    </row>
    <row r="1061" spans="1:46" ht="21.75" hidden="1" customHeight="1">
      <c r="A1061" s="331">
        <v>1060</v>
      </c>
      <c r="B1061" s="28" t="s">
        <v>348</v>
      </c>
      <c r="C1061" s="28" t="s">
        <v>4752</v>
      </c>
      <c r="D1061" s="437" t="s">
        <v>4753</v>
      </c>
      <c r="E1061" s="361" t="str">
        <f t="shared" ca="1" si="32"/>
        <v>LOSS</v>
      </c>
      <c r="F1061" s="29" t="s">
        <v>4754</v>
      </c>
      <c r="G1061" s="28" t="s">
        <v>4755</v>
      </c>
      <c r="H1061" s="29" t="s">
        <v>2748</v>
      </c>
      <c r="I1061" s="29" t="s">
        <v>242</v>
      </c>
      <c r="J1061" s="28" t="s">
        <v>2255</v>
      </c>
      <c r="K1061" s="28"/>
      <c r="L1061" s="27"/>
      <c r="M1061" s="27"/>
      <c r="N1061" s="29"/>
      <c r="O1061" s="56"/>
      <c r="P1061" s="31">
        <f>2750000*12</f>
        <v>33000000</v>
      </c>
      <c r="Q1061" s="31"/>
      <c r="R1061" s="27"/>
      <c r="S1061" s="32">
        <f>1031397*12</f>
        <v>12376764</v>
      </c>
      <c r="T1061" s="33"/>
      <c r="U1061" s="334">
        <v>45292</v>
      </c>
      <c r="V1061" s="334">
        <v>45657</v>
      </c>
      <c r="W1061" s="27" t="s">
        <v>250</v>
      </c>
      <c r="X1061" s="27"/>
      <c r="Y1061" s="34">
        <f t="shared" ca="1" si="36"/>
        <v>46290</v>
      </c>
      <c r="Z1061" s="35">
        <f t="shared" ca="1" si="33"/>
        <v>-633</v>
      </c>
      <c r="AA1061" s="27">
        <f t="shared" si="34"/>
        <v>12</v>
      </c>
      <c r="AB1061" s="27">
        <f t="shared" si="35"/>
        <v>2024</v>
      </c>
      <c r="AC1061" s="28"/>
      <c r="AD1061" s="28"/>
      <c r="AE1061" s="27"/>
      <c r="AF1061" s="27"/>
      <c r="AG1061" s="29"/>
      <c r="AH1061" s="28"/>
      <c r="AI1061" s="27"/>
      <c r="AJ1061" s="27"/>
      <c r="AK1061" s="27"/>
      <c r="AL1061" s="27"/>
      <c r="AM1061" s="27"/>
      <c r="AN1061" s="27"/>
      <c r="AO1061" s="27"/>
      <c r="AP1061" s="27"/>
      <c r="AQ1061" s="27"/>
      <c r="AR1061" s="504"/>
      <c r="AS1061" s="332"/>
      <c r="AT1061" s="160"/>
    </row>
    <row r="1062" spans="1:46" ht="21.75" hidden="1" customHeight="1">
      <c r="A1062" s="331">
        <v>1061</v>
      </c>
      <c r="B1062" s="28" t="s">
        <v>348</v>
      </c>
      <c r="C1062" s="28" t="s">
        <v>4758</v>
      </c>
      <c r="D1062" s="438" t="s">
        <v>4753</v>
      </c>
      <c r="E1062" s="361" t="str">
        <f t="shared" ca="1" si="32"/>
        <v>LOSS</v>
      </c>
      <c r="F1062" s="29" t="s">
        <v>115</v>
      </c>
      <c r="G1062" s="28" t="s">
        <v>4759</v>
      </c>
      <c r="H1062" s="29" t="s">
        <v>2748</v>
      </c>
      <c r="I1062" s="29" t="s">
        <v>242</v>
      </c>
      <c r="J1062" s="28" t="s">
        <v>4760</v>
      </c>
      <c r="K1062" s="28"/>
      <c r="L1062" s="27"/>
      <c r="M1062" s="27"/>
      <c r="N1062" s="29"/>
      <c r="O1062" s="56"/>
      <c r="P1062" s="31">
        <f>12*10000000</f>
        <v>120000000</v>
      </c>
      <c r="Q1062" s="31"/>
      <c r="R1062" s="27"/>
      <c r="S1062" s="32">
        <v>44049312</v>
      </c>
      <c r="T1062" s="33"/>
      <c r="U1062" s="334">
        <v>44732</v>
      </c>
      <c r="V1062" s="334">
        <v>45096</v>
      </c>
      <c r="W1062" s="27" t="s">
        <v>250</v>
      </c>
      <c r="X1062" s="27"/>
      <c r="Y1062" s="34">
        <f t="shared" ca="1" si="36"/>
        <v>46290</v>
      </c>
      <c r="Z1062" s="35">
        <f t="shared" ca="1" si="33"/>
        <v>-1194</v>
      </c>
      <c r="AA1062" s="27">
        <f t="shared" si="34"/>
        <v>6</v>
      </c>
      <c r="AB1062" s="27">
        <f t="shared" si="35"/>
        <v>2023</v>
      </c>
      <c r="AC1062" s="28" t="s">
        <v>479</v>
      </c>
      <c r="AD1062" s="28" t="s">
        <v>4761</v>
      </c>
      <c r="AE1062" s="27">
        <v>4500018290</v>
      </c>
      <c r="AF1062" s="27" t="s">
        <v>339</v>
      </c>
      <c r="AG1062" s="29" t="s">
        <v>4756</v>
      </c>
      <c r="AH1062" s="28"/>
      <c r="AI1062" s="27"/>
      <c r="AJ1062" s="27"/>
      <c r="AK1062" s="27"/>
      <c r="AL1062" s="27"/>
      <c r="AM1062" s="27"/>
      <c r="AN1062" s="27" t="s">
        <v>4762</v>
      </c>
      <c r="AO1062" s="27"/>
      <c r="AP1062" s="27"/>
      <c r="AQ1062" s="27"/>
      <c r="AR1062" s="504"/>
      <c r="AS1062" s="332"/>
      <c r="AT1062" s="160"/>
    </row>
    <row r="1063" spans="1:46" ht="21.75" hidden="1" customHeight="1">
      <c r="A1063" s="331">
        <v>1062</v>
      </c>
      <c r="B1063" s="28" t="s">
        <v>348</v>
      </c>
      <c r="C1063" s="28" t="s">
        <v>4758</v>
      </c>
      <c r="D1063" s="437" t="s">
        <v>4753</v>
      </c>
      <c r="E1063" s="361" t="str">
        <f t="shared" ca="1" si="32"/>
        <v>LOSS</v>
      </c>
      <c r="F1063" s="29"/>
      <c r="G1063" s="28" t="s">
        <v>4759</v>
      </c>
      <c r="H1063" s="29" t="s">
        <v>2748</v>
      </c>
      <c r="I1063" s="29" t="s">
        <v>242</v>
      </c>
      <c r="J1063" s="28" t="s">
        <v>4760</v>
      </c>
      <c r="K1063" s="28"/>
      <c r="L1063" s="27"/>
      <c r="M1063" s="27"/>
      <c r="N1063" s="29"/>
      <c r="O1063" s="56"/>
      <c r="P1063" s="31">
        <v>20000000</v>
      </c>
      <c r="Q1063" s="31"/>
      <c r="R1063" s="27"/>
      <c r="S1063" s="32">
        <f>3670776*2</f>
        <v>7341552</v>
      </c>
      <c r="T1063" s="33"/>
      <c r="U1063" s="334">
        <v>45231</v>
      </c>
      <c r="V1063" s="334">
        <v>45291</v>
      </c>
      <c r="W1063" s="27" t="s">
        <v>250</v>
      </c>
      <c r="X1063" s="27"/>
      <c r="Y1063" s="34">
        <f t="shared" ca="1" si="36"/>
        <v>46290</v>
      </c>
      <c r="Z1063" s="35">
        <f t="shared" ca="1" si="33"/>
        <v>-999</v>
      </c>
      <c r="AA1063" s="27">
        <f t="shared" si="34"/>
        <v>12</v>
      </c>
      <c r="AB1063" s="27">
        <f t="shared" si="35"/>
        <v>2023</v>
      </c>
      <c r="AC1063" s="28"/>
      <c r="AD1063" s="28"/>
      <c r="AE1063" s="27"/>
      <c r="AF1063" s="27"/>
      <c r="AG1063" s="29"/>
      <c r="AH1063" s="28"/>
      <c r="AI1063" s="27"/>
      <c r="AJ1063" s="27"/>
      <c r="AK1063" s="27"/>
      <c r="AL1063" s="27"/>
      <c r="AM1063" s="27"/>
      <c r="AN1063" s="27"/>
      <c r="AO1063" s="27"/>
      <c r="AP1063" s="27"/>
      <c r="AQ1063" s="27"/>
      <c r="AR1063" s="504"/>
      <c r="AS1063" s="332"/>
      <c r="AT1063" s="160"/>
    </row>
    <row r="1064" spans="1:46" ht="21.75" hidden="1" customHeight="1">
      <c r="A1064" s="331">
        <v>1063</v>
      </c>
      <c r="B1064" s="28" t="s">
        <v>348</v>
      </c>
      <c r="C1064" s="28" t="s">
        <v>4758</v>
      </c>
      <c r="D1064" s="438" t="s">
        <v>4753</v>
      </c>
      <c r="E1064" s="361" t="str">
        <f t="shared" ca="1" si="32"/>
        <v>LOSS</v>
      </c>
      <c r="F1064" s="29"/>
      <c r="G1064" s="28" t="s">
        <v>4759</v>
      </c>
      <c r="H1064" s="29" t="s">
        <v>2748</v>
      </c>
      <c r="I1064" s="29" t="s">
        <v>242</v>
      </c>
      <c r="J1064" s="28" t="s">
        <v>4760</v>
      </c>
      <c r="K1064" s="28"/>
      <c r="L1064" s="27"/>
      <c r="M1064" s="27"/>
      <c r="N1064" s="29"/>
      <c r="O1064" s="56"/>
      <c r="P1064" s="31">
        <f>10000000*12</f>
        <v>120000000</v>
      </c>
      <c r="Q1064" s="31"/>
      <c r="R1064" s="27"/>
      <c r="S1064" s="32">
        <f>4203698*12</f>
        <v>50444376</v>
      </c>
      <c r="T1064" s="33"/>
      <c r="U1064" s="334">
        <v>45292</v>
      </c>
      <c r="V1064" s="334">
        <v>45657</v>
      </c>
      <c r="W1064" s="27" t="s">
        <v>17</v>
      </c>
      <c r="X1064" s="27"/>
      <c r="Y1064" s="34">
        <f t="shared" ca="1" si="36"/>
        <v>46290</v>
      </c>
      <c r="Z1064" s="35">
        <f t="shared" ca="1" si="33"/>
        <v>-633</v>
      </c>
      <c r="AA1064" s="27">
        <f t="shared" si="34"/>
        <v>12</v>
      </c>
      <c r="AB1064" s="27">
        <f t="shared" si="35"/>
        <v>2024</v>
      </c>
      <c r="AC1064" s="28"/>
      <c r="AD1064" s="28"/>
      <c r="AE1064" s="27"/>
      <c r="AF1064" s="27"/>
      <c r="AG1064" s="29"/>
      <c r="AH1064" s="28"/>
      <c r="AI1064" s="27"/>
      <c r="AJ1064" s="27"/>
      <c r="AK1064" s="27"/>
      <c r="AL1064" s="27"/>
      <c r="AM1064" s="27"/>
      <c r="AN1064" s="27"/>
      <c r="AO1064" s="27"/>
      <c r="AP1064" s="27"/>
      <c r="AQ1064" s="27"/>
      <c r="AR1064" s="504"/>
      <c r="AS1064" s="332"/>
      <c r="AT1064" s="160"/>
    </row>
    <row r="1065" spans="1:46" ht="21.75" hidden="1" customHeight="1">
      <c r="A1065" s="331">
        <v>1064</v>
      </c>
      <c r="B1065" s="28" t="s">
        <v>348</v>
      </c>
      <c r="C1065" s="28" t="s">
        <v>4610</v>
      </c>
      <c r="D1065" s="437" t="s">
        <v>4753</v>
      </c>
      <c r="E1065" s="361" t="str">
        <f t="shared" ca="1" si="32"/>
        <v>LOSS</v>
      </c>
      <c r="F1065" s="29" t="s">
        <v>115</v>
      </c>
      <c r="G1065" s="28" t="s">
        <v>4611</v>
      </c>
      <c r="H1065" s="29" t="s">
        <v>2748</v>
      </c>
      <c r="I1065" s="29" t="s">
        <v>242</v>
      </c>
      <c r="J1065" s="28" t="s">
        <v>123</v>
      </c>
      <c r="K1065" s="28"/>
      <c r="L1065" s="27"/>
      <c r="M1065" s="27"/>
      <c r="N1065" s="29"/>
      <c r="O1065" s="56"/>
      <c r="P1065" s="31">
        <f>12*2272727</f>
        <v>27272724</v>
      </c>
      <c r="Q1065" s="31"/>
      <c r="R1065" s="27"/>
      <c r="S1065" s="32">
        <v>6878389</v>
      </c>
      <c r="T1065" s="33"/>
      <c r="U1065" s="334">
        <v>45015</v>
      </c>
      <c r="V1065" s="334">
        <v>45199</v>
      </c>
      <c r="W1065" s="27" t="s">
        <v>250</v>
      </c>
      <c r="X1065" s="27"/>
      <c r="Y1065" s="34">
        <f t="shared" ca="1" si="36"/>
        <v>46290</v>
      </c>
      <c r="Z1065" s="35">
        <f t="shared" ca="1" si="33"/>
        <v>-1091</v>
      </c>
      <c r="AA1065" s="27">
        <f t="shared" si="34"/>
        <v>9</v>
      </c>
      <c r="AB1065" s="27">
        <f t="shared" si="35"/>
        <v>2023</v>
      </c>
      <c r="AC1065" s="28" t="s">
        <v>479</v>
      </c>
      <c r="AD1065" s="28" t="s">
        <v>4763</v>
      </c>
      <c r="AE1065" s="27">
        <v>4500020360</v>
      </c>
      <c r="AF1065" s="27" t="s">
        <v>339</v>
      </c>
      <c r="AG1065" s="29" t="s">
        <v>4756</v>
      </c>
      <c r="AH1065" s="28"/>
      <c r="AI1065" s="27"/>
      <c r="AJ1065" s="27"/>
      <c r="AK1065" s="27"/>
      <c r="AL1065" s="27"/>
      <c r="AM1065" s="27"/>
      <c r="AN1065" s="27"/>
      <c r="AO1065" s="27" t="s">
        <v>4764</v>
      </c>
      <c r="AP1065" s="27"/>
      <c r="AQ1065" s="27"/>
      <c r="AR1065" s="504"/>
      <c r="AS1065" s="332"/>
      <c r="AT1065" s="160"/>
    </row>
    <row r="1066" spans="1:46" ht="21.75" hidden="1" customHeight="1">
      <c r="A1066" s="331">
        <v>1065</v>
      </c>
      <c r="B1066" s="28" t="s">
        <v>348</v>
      </c>
      <c r="C1066" s="28" t="s">
        <v>4765</v>
      </c>
      <c r="D1066" s="438" t="s">
        <v>4753</v>
      </c>
      <c r="E1066" s="361" t="str">
        <f t="shared" ca="1" si="32"/>
        <v>LOSS</v>
      </c>
      <c r="F1066" s="28" t="s">
        <v>4766</v>
      </c>
      <c r="G1066" s="28" t="s">
        <v>4767</v>
      </c>
      <c r="H1066" s="29" t="s">
        <v>2748</v>
      </c>
      <c r="I1066" s="29" t="s">
        <v>242</v>
      </c>
      <c r="J1066" s="28" t="s">
        <v>4768</v>
      </c>
      <c r="K1066" s="28"/>
      <c r="L1066" s="27"/>
      <c r="M1066" s="27"/>
      <c r="N1066" s="29"/>
      <c r="O1066" s="56"/>
      <c r="P1066" s="31">
        <v>93600000</v>
      </c>
      <c r="Q1066" s="31"/>
      <c r="R1066" s="27"/>
      <c r="S1066" s="32">
        <v>79425018</v>
      </c>
      <c r="T1066" s="33"/>
      <c r="U1066" s="334">
        <v>44369</v>
      </c>
      <c r="V1066" s="334">
        <v>44429</v>
      </c>
      <c r="W1066" s="27" t="s">
        <v>250</v>
      </c>
      <c r="X1066" s="27"/>
      <c r="Y1066" s="34">
        <f t="shared" ca="1" si="36"/>
        <v>46290</v>
      </c>
      <c r="Z1066" s="35">
        <f t="shared" ca="1" si="33"/>
        <v>-1861</v>
      </c>
      <c r="AA1066" s="27">
        <f t="shared" si="34"/>
        <v>8</v>
      </c>
      <c r="AB1066" s="27">
        <f t="shared" si="35"/>
        <v>2021</v>
      </c>
      <c r="AC1066" s="28" t="s">
        <v>479</v>
      </c>
      <c r="AD1066" s="28" t="s">
        <v>1307</v>
      </c>
      <c r="AE1066" s="27">
        <v>4500016356</v>
      </c>
      <c r="AF1066" s="27" t="s">
        <v>339</v>
      </c>
      <c r="AG1066" s="29" t="s">
        <v>4756</v>
      </c>
      <c r="AH1066" s="28"/>
      <c r="AI1066" s="27"/>
      <c r="AJ1066" s="27"/>
      <c r="AK1066" s="27"/>
      <c r="AL1066" s="27"/>
      <c r="AM1066" s="27" t="s">
        <v>4769</v>
      </c>
      <c r="AN1066" s="27"/>
      <c r="AO1066" s="27"/>
      <c r="AP1066" s="27"/>
      <c r="AQ1066" s="27"/>
      <c r="AR1066" s="504"/>
      <c r="AS1066" s="332"/>
      <c r="AT1066" s="160"/>
    </row>
    <row r="1067" spans="1:46" ht="21.75" hidden="1" customHeight="1">
      <c r="A1067" s="331">
        <v>1066</v>
      </c>
      <c r="B1067" s="28" t="s">
        <v>348</v>
      </c>
      <c r="C1067" s="28" t="s">
        <v>4765</v>
      </c>
      <c r="D1067" s="437" t="s">
        <v>4753</v>
      </c>
      <c r="E1067" s="361" t="str">
        <f t="shared" ca="1" si="32"/>
        <v>LOSS</v>
      </c>
      <c r="F1067" s="28" t="s">
        <v>4766</v>
      </c>
      <c r="G1067" s="28" t="s">
        <v>4767</v>
      </c>
      <c r="H1067" s="29" t="s">
        <v>2748</v>
      </c>
      <c r="I1067" s="29" t="s">
        <v>242</v>
      </c>
      <c r="J1067" s="28" t="s">
        <v>4768</v>
      </c>
      <c r="K1067" s="28"/>
      <c r="L1067" s="27"/>
      <c r="M1067" s="27"/>
      <c r="N1067" s="29"/>
      <c r="O1067" s="56"/>
      <c r="P1067" s="31">
        <f>58000000*2</f>
        <v>116000000</v>
      </c>
      <c r="Q1067" s="31"/>
      <c r="R1067" s="27"/>
      <c r="S1067" s="32">
        <f>13757818*2</f>
        <v>27515636</v>
      </c>
      <c r="T1067" s="33"/>
      <c r="U1067" s="334">
        <v>45231</v>
      </c>
      <c r="V1067" s="334">
        <v>45291</v>
      </c>
      <c r="W1067" s="27" t="s">
        <v>250</v>
      </c>
      <c r="X1067" s="27"/>
      <c r="Y1067" s="34">
        <f t="shared" ca="1" si="36"/>
        <v>46290</v>
      </c>
      <c r="Z1067" s="35">
        <f t="shared" ca="1" si="33"/>
        <v>-999</v>
      </c>
      <c r="AA1067" s="27">
        <f t="shared" si="34"/>
        <v>12</v>
      </c>
      <c r="AB1067" s="27">
        <f t="shared" si="35"/>
        <v>2023</v>
      </c>
      <c r="AC1067" s="28"/>
      <c r="AD1067" s="28"/>
      <c r="AE1067" s="27"/>
      <c r="AF1067" s="27"/>
      <c r="AG1067" s="29"/>
      <c r="AH1067" s="28"/>
      <c r="AI1067" s="27"/>
      <c r="AJ1067" s="27"/>
      <c r="AK1067" s="27"/>
      <c r="AL1067" s="27"/>
      <c r="AM1067" s="27"/>
      <c r="AN1067" s="27"/>
      <c r="AO1067" s="27"/>
      <c r="AP1067" s="27"/>
      <c r="AQ1067" s="27"/>
      <c r="AR1067" s="504"/>
      <c r="AS1067" s="332"/>
      <c r="AT1067" s="160"/>
    </row>
    <row r="1068" spans="1:46" ht="21.75" hidden="1" customHeight="1">
      <c r="A1068" s="331">
        <v>1067</v>
      </c>
      <c r="B1068" s="28" t="s">
        <v>348</v>
      </c>
      <c r="C1068" s="28" t="s">
        <v>4765</v>
      </c>
      <c r="D1068" s="438" t="s">
        <v>4753</v>
      </c>
      <c r="E1068" s="361" t="str">
        <f t="shared" ca="1" si="32"/>
        <v>LOSS</v>
      </c>
      <c r="F1068" s="28" t="s">
        <v>4766</v>
      </c>
      <c r="G1068" s="28" t="s">
        <v>4767</v>
      </c>
      <c r="H1068" s="29" t="s">
        <v>2748</v>
      </c>
      <c r="I1068" s="29" t="s">
        <v>242</v>
      </c>
      <c r="J1068" s="28" t="s">
        <v>4768</v>
      </c>
      <c r="K1068" s="28"/>
      <c r="L1068" s="27"/>
      <c r="M1068" s="27"/>
      <c r="N1068" s="29"/>
      <c r="O1068" s="56"/>
      <c r="P1068" s="31">
        <f>58000000*12</f>
        <v>696000000</v>
      </c>
      <c r="Q1068" s="31"/>
      <c r="R1068" s="27"/>
      <c r="S1068" s="32">
        <f>14251241*12</f>
        <v>171014892</v>
      </c>
      <c r="T1068" s="33"/>
      <c r="U1068" s="334">
        <v>45292</v>
      </c>
      <c r="V1068" s="334">
        <v>45657</v>
      </c>
      <c r="W1068" s="27" t="s">
        <v>17</v>
      </c>
      <c r="X1068" s="27"/>
      <c r="Y1068" s="34">
        <f t="shared" ca="1" si="36"/>
        <v>46290</v>
      </c>
      <c r="Z1068" s="35">
        <f t="shared" ca="1" si="33"/>
        <v>-633</v>
      </c>
      <c r="AA1068" s="27">
        <f t="shared" si="34"/>
        <v>12</v>
      </c>
      <c r="AB1068" s="27">
        <f t="shared" si="35"/>
        <v>2024</v>
      </c>
      <c r="AC1068" s="28"/>
      <c r="AD1068" s="28"/>
      <c r="AE1068" s="27"/>
      <c r="AF1068" s="27"/>
      <c r="AG1068" s="29"/>
      <c r="AH1068" s="28"/>
      <c r="AI1068" s="27"/>
      <c r="AJ1068" s="27"/>
      <c r="AK1068" s="27"/>
      <c r="AL1068" s="27"/>
      <c r="AM1068" s="27"/>
      <c r="AN1068" s="27"/>
      <c r="AO1068" s="27"/>
      <c r="AP1068" s="27"/>
      <c r="AQ1068" s="27"/>
      <c r="AR1068" s="504"/>
      <c r="AS1068" s="332"/>
      <c r="AT1068" s="160"/>
    </row>
    <row r="1069" spans="1:46" ht="21.75" hidden="1" customHeight="1">
      <c r="A1069" s="331">
        <v>1068</v>
      </c>
      <c r="B1069" s="28" t="s">
        <v>348</v>
      </c>
      <c r="C1069" s="28" t="s">
        <v>4770</v>
      </c>
      <c r="D1069" s="437" t="s">
        <v>4753</v>
      </c>
      <c r="E1069" s="361" t="str">
        <f t="shared" ca="1" si="32"/>
        <v>LOSS</v>
      </c>
      <c r="F1069" s="29" t="s">
        <v>115</v>
      </c>
      <c r="G1069" s="28" t="s">
        <v>4771</v>
      </c>
      <c r="H1069" s="29" t="s">
        <v>2748</v>
      </c>
      <c r="I1069" s="29" t="s">
        <v>242</v>
      </c>
      <c r="J1069" s="28" t="s">
        <v>1210</v>
      </c>
      <c r="K1069" s="28"/>
      <c r="L1069" s="27"/>
      <c r="M1069" s="27"/>
      <c r="N1069" s="29"/>
      <c r="O1069" s="56"/>
      <c r="P1069" s="31">
        <v>84000000</v>
      </c>
      <c r="Q1069" s="31"/>
      <c r="R1069" s="27"/>
      <c r="S1069" s="32">
        <v>26970084</v>
      </c>
      <c r="T1069" s="33"/>
      <c r="U1069" s="334">
        <v>44382</v>
      </c>
      <c r="V1069" s="334">
        <v>44746</v>
      </c>
      <c r="W1069" s="27" t="s">
        <v>250</v>
      </c>
      <c r="X1069" s="27"/>
      <c r="Y1069" s="34">
        <f t="shared" ca="1" si="36"/>
        <v>46290</v>
      </c>
      <c r="Z1069" s="35">
        <f t="shared" ca="1" si="33"/>
        <v>-1544</v>
      </c>
      <c r="AA1069" s="27">
        <f t="shared" si="34"/>
        <v>7</v>
      </c>
      <c r="AB1069" s="27">
        <f t="shared" si="35"/>
        <v>2022</v>
      </c>
      <c r="AC1069" s="28" t="s">
        <v>479</v>
      </c>
      <c r="AD1069" s="28" t="s">
        <v>1211</v>
      </c>
      <c r="AE1069" s="27">
        <v>4500016365</v>
      </c>
      <c r="AF1069" s="27" t="s">
        <v>339</v>
      </c>
      <c r="AG1069" s="29" t="s">
        <v>4756</v>
      </c>
      <c r="AH1069" s="28"/>
      <c r="AI1069" s="27"/>
      <c r="AJ1069" s="27"/>
      <c r="AK1069" s="27"/>
      <c r="AL1069" s="27"/>
      <c r="AM1069" s="27" t="s">
        <v>4772</v>
      </c>
      <c r="AN1069" s="27"/>
      <c r="AO1069" s="27"/>
      <c r="AP1069" s="27"/>
      <c r="AQ1069" s="27"/>
      <c r="AR1069" s="504"/>
      <c r="AS1069" s="332"/>
      <c r="AT1069" s="160"/>
    </row>
    <row r="1070" spans="1:46" ht="21.75" hidden="1" customHeight="1">
      <c r="A1070" s="331">
        <v>1069</v>
      </c>
      <c r="B1070" s="28" t="s">
        <v>348</v>
      </c>
      <c r="C1070" s="28" t="s">
        <v>1774</v>
      </c>
      <c r="D1070" s="438" t="s">
        <v>4753</v>
      </c>
      <c r="E1070" s="361" t="str">
        <f t="shared" ca="1" si="32"/>
        <v>LOSS</v>
      </c>
      <c r="F1070" s="29" t="s">
        <v>115</v>
      </c>
      <c r="G1070" s="28" t="s">
        <v>4773</v>
      </c>
      <c r="H1070" s="29" t="s">
        <v>2748</v>
      </c>
      <c r="I1070" s="29" t="s">
        <v>242</v>
      </c>
      <c r="J1070" s="28" t="s">
        <v>1775</v>
      </c>
      <c r="K1070" s="28"/>
      <c r="L1070" s="27"/>
      <c r="M1070" s="27"/>
      <c r="N1070" s="29"/>
      <c r="O1070" s="56"/>
      <c r="P1070" s="31">
        <v>60000000</v>
      </c>
      <c r="Q1070" s="31"/>
      <c r="R1070" s="27"/>
      <c r="S1070" s="32">
        <v>39458424</v>
      </c>
      <c r="T1070" s="33"/>
      <c r="U1070" s="334">
        <v>44291</v>
      </c>
      <c r="V1070" s="334">
        <v>44655</v>
      </c>
      <c r="W1070" s="27" t="s">
        <v>250</v>
      </c>
      <c r="X1070" s="27"/>
      <c r="Y1070" s="34">
        <f t="shared" ca="1" si="36"/>
        <v>46290</v>
      </c>
      <c r="Z1070" s="35">
        <f t="shared" ca="1" si="33"/>
        <v>-1635</v>
      </c>
      <c r="AA1070" s="27">
        <f t="shared" si="34"/>
        <v>4</v>
      </c>
      <c r="AB1070" s="27">
        <f t="shared" si="35"/>
        <v>2022</v>
      </c>
      <c r="AC1070" s="28" t="s">
        <v>479</v>
      </c>
      <c r="AD1070" s="28" t="s">
        <v>1776</v>
      </c>
      <c r="AE1070" s="27">
        <v>4500016007</v>
      </c>
      <c r="AF1070" s="27" t="s">
        <v>339</v>
      </c>
      <c r="AG1070" s="29" t="s">
        <v>4756</v>
      </c>
      <c r="AH1070" s="28"/>
      <c r="AI1070" s="27"/>
      <c r="AJ1070" s="27"/>
      <c r="AK1070" s="27"/>
      <c r="AL1070" s="27"/>
      <c r="AM1070" s="27" t="s">
        <v>4774</v>
      </c>
      <c r="AN1070" s="27"/>
      <c r="AO1070" s="27"/>
      <c r="AP1070" s="27"/>
      <c r="AQ1070" s="27"/>
      <c r="AR1070" s="504"/>
      <c r="AS1070" s="332"/>
      <c r="AT1070" s="160"/>
    </row>
    <row r="1071" spans="1:46" ht="21.75" hidden="1" customHeight="1">
      <c r="A1071" s="331">
        <v>1070</v>
      </c>
      <c r="B1071" s="28" t="s">
        <v>348</v>
      </c>
      <c r="C1071" s="28" t="s">
        <v>4775</v>
      </c>
      <c r="D1071" s="437" t="s">
        <v>4753</v>
      </c>
      <c r="E1071" s="361" t="str">
        <f t="shared" ca="1" si="32"/>
        <v>LOSS</v>
      </c>
      <c r="F1071" s="29" t="s">
        <v>115</v>
      </c>
      <c r="G1071" s="28" t="s">
        <v>4776</v>
      </c>
      <c r="H1071" s="29" t="s">
        <v>2748</v>
      </c>
      <c r="I1071" s="29" t="s">
        <v>242</v>
      </c>
      <c r="J1071" s="28" t="s">
        <v>4777</v>
      </c>
      <c r="K1071" s="28"/>
      <c r="L1071" s="27"/>
      <c r="M1071" s="27"/>
      <c r="N1071" s="29"/>
      <c r="O1071" s="56"/>
      <c r="P1071" s="31">
        <f>12*28000000</f>
        <v>336000000</v>
      </c>
      <c r="Q1071" s="31"/>
      <c r="R1071" s="27"/>
      <c r="S1071" s="32">
        <v>54744737</v>
      </c>
      <c r="T1071" s="33"/>
      <c r="U1071" s="334">
        <v>44982</v>
      </c>
      <c r="V1071" s="334">
        <v>45199</v>
      </c>
      <c r="W1071" s="27" t="s">
        <v>250</v>
      </c>
      <c r="X1071" s="27"/>
      <c r="Y1071" s="34">
        <f t="shared" ca="1" si="36"/>
        <v>46290</v>
      </c>
      <c r="Z1071" s="35">
        <f t="shared" ca="1" si="33"/>
        <v>-1091</v>
      </c>
      <c r="AA1071" s="27">
        <f t="shared" si="34"/>
        <v>9</v>
      </c>
      <c r="AB1071" s="27">
        <f t="shared" si="35"/>
        <v>2023</v>
      </c>
      <c r="AC1071" s="28" t="s">
        <v>479</v>
      </c>
      <c r="AD1071" s="28" t="s">
        <v>4778</v>
      </c>
      <c r="AE1071" s="27">
        <v>4500019948</v>
      </c>
      <c r="AF1071" s="27" t="s">
        <v>339</v>
      </c>
      <c r="AG1071" s="29" t="s">
        <v>4756</v>
      </c>
      <c r="AH1071" s="28"/>
      <c r="AI1071" s="27"/>
      <c r="AJ1071" s="27"/>
      <c r="AK1071" s="27"/>
      <c r="AL1071" s="27"/>
      <c r="AM1071" s="27"/>
      <c r="AN1071" s="27"/>
      <c r="AO1071" s="27" t="s">
        <v>4779</v>
      </c>
      <c r="AP1071" s="27"/>
      <c r="AQ1071" s="27"/>
      <c r="AR1071" s="504"/>
      <c r="AS1071" s="332"/>
      <c r="AT1071" s="160"/>
    </row>
    <row r="1072" spans="1:46" ht="21.75" hidden="1" customHeight="1">
      <c r="A1072" s="331">
        <v>1071</v>
      </c>
      <c r="B1072" s="28" t="s">
        <v>348</v>
      </c>
      <c r="C1072" s="28" t="s">
        <v>4775</v>
      </c>
      <c r="D1072" s="438" t="s">
        <v>4753</v>
      </c>
      <c r="E1072" s="361" t="str">
        <f t="shared" ca="1" si="32"/>
        <v>LOSS</v>
      </c>
      <c r="F1072" s="29"/>
      <c r="G1072" s="28" t="s">
        <v>4776</v>
      </c>
      <c r="H1072" s="29" t="s">
        <v>2748</v>
      </c>
      <c r="I1072" s="29" t="s">
        <v>242</v>
      </c>
      <c r="J1072" s="28" t="s">
        <v>4777</v>
      </c>
      <c r="K1072" s="28"/>
      <c r="L1072" s="27"/>
      <c r="M1072" s="27"/>
      <c r="N1072" s="29"/>
      <c r="O1072" s="56"/>
      <c r="P1072" s="31">
        <f>28000000*2</f>
        <v>56000000</v>
      </c>
      <c r="Q1072" s="31"/>
      <c r="R1072" s="27"/>
      <c r="S1072" s="32">
        <f>6655086*2</f>
        <v>13310172</v>
      </c>
      <c r="T1072" s="33"/>
      <c r="U1072" s="334">
        <v>45231</v>
      </c>
      <c r="V1072" s="334">
        <v>45291</v>
      </c>
      <c r="W1072" s="27" t="s">
        <v>250</v>
      </c>
      <c r="X1072" s="27"/>
      <c r="Y1072" s="34">
        <f t="shared" ca="1" si="36"/>
        <v>46290</v>
      </c>
      <c r="Z1072" s="35">
        <f t="shared" ca="1" si="33"/>
        <v>-999</v>
      </c>
      <c r="AA1072" s="27">
        <f t="shared" si="34"/>
        <v>12</v>
      </c>
      <c r="AB1072" s="27">
        <f t="shared" si="35"/>
        <v>2023</v>
      </c>
      <c r="AC1072" s="28"/>
      <c r="AD1072" s="28"/>
      <c r="AE1072" s="27"/>
      <c r="AF1072" s="27"/>
      <c r="AG1072" s="29"/>
      <c r="AH1072" s="28"/>
      <c r="AI1072" s="27"/>
      <c r="AJ1072" s="27"/>
      <c r="AK1072" s="27"/>
      <c r="AL1072" s="27"/>
      <c r="AM1072" s="27"/>
      <c r="AN1072" s="27"/>
      <c r="AO1072" s="27"/>
      <c r="AP1072" s="27"/>
      <c r="AQ1072" s="27"/>
      <c r="AR1072" s="504"/>
      <c r="AS1072" s="332"/>
      <c r="AT1072" s="160"/>
    </row>
    <row r="1073" spans="1:46" ht="21.75" hidden="1" customHeight="1">
      <c r="A1073" s="331">
        <v>1072</v>
      </c>
      <c r="B1073" s="28" t="s">
        <v>348</v>
      </c>
      <c r="C1073" s="28" t="s">
        <v>4775</v>
      </c>
      <c r="D1073" s="437" t="s">
        <v>4753</v>
      </c>
      <c r="E1073" s="361" t="str">
        <f t="shared" ca="1" si="32"/>
        <v>LOSS</v>
      </c>
      <c r="F1073" s="29"/>
      <c r="G1073" s="28" t="s">
        <v>4776</v>
      </c>
      <c r="H1073" s="29" t="s">
        <v>2748</v>
      </c>
      <c r="I1073" s="29" t="s">
        <v>242</v>
      </c>
      <c r="J1073" s="28" t="s">
        <v>4777</v>
      </c>
      <c r="K1073" s="28"/>
      <c r="L1073" s="27"/>
      <c r="M1073" s="27"/>
      <c r="N1073" s="29"/>
      <c r="O1073" s="56"/>
      <c r="P1073" s="31">
        <f>28000000*12</f>
        <v>336000000</v>
      </c>
      <c r="Q1073" s="31"/>
      <c r="R1073" s="27"/>
      <c r="S1073" s="32">
        <f>7114577*12</f>
        <v>85374924</v>
      </c>
      <c r="T1073" s="33"/>
      <c r="U1073" s="334">
        <v>45292</v>
      </c>
      <c r="V1073" s="334">
        <v>45657</v>
      </c>
      <c r="W1073" s="27" t="s">
        <v>17</v>
      </c>
      <c r="X1073" s="27"/>
      <c r="Y1073" s="34">
        <f t="shared" ca="1" si="36"/>
        <v>46290</v>
      </c>
      <c r="Z1073" s="35">
        <f t="shared" ca="1" si="33"/>
        <v>-633</v>
      </c>
      <c r="AA1073" s="27">
        <f t="shared" si="34"/>
        <v>12</v>
      </c>
      <c r="AB1073" s="27">
        <f t="shared" si="35"/>
        <v>2024</v>
      </c>
      <c r="AC1073" s="28"/>
      <c r="AD1073" s="28"/>
      <c r="AE1073" s="27"/>
      <c r="AF1073" s="27"/>
      <c r="AG1073" s="29"/>
      <c r="AH1073" s="28"/>
      <c r="AI1073" s="27"/>
      <c r="AJ1073" s="27"/>
      <c r="AK1073" s="27"/>
      <c r="AL1073" s="27"/>
      <c r="AM1073" s="27"/>
      <c r="AN1073" s="27"/>
      <c r="AO1073" s="27"/>
      <c r="AP1073" s="27"/>
      <c r="AQ1073" s="27"/>
      <c r="AR1073" s="504"/>
      <c r="AS1073" s="332"/>
      <c r="AT1073" s="160"/>
    </row>
    <row r="1074" spans="1:46" ht="21.75" hidden="1" customHeight="1">
      <c r="A1074" s="331">
        <v>1073</v>
      </c>
      <c r="B1074" s="28" t="s">
        <v>348</v>
      </c>
      <c r="C1074" s="28" t="s">
        <v>2719</v>
      </c>
      <c r="D1074" s="438" t="s">
        <v>4753</v>
      </c>
      <c r="E1074" s="361" t="str">
        <f t="shared" ca="1" si="32"/>
        <v>LOSS</v>
      </c>
      <c r="F1074" s="29" t="s">
        <v>115</v>
      </c>
      <c r="G1074" s="28" t="s">
        <v>4780</v>
      </c>
      <c r="H1074" s="29" t="s">
        <v>2748</v>
      </c>
      <c r="I1074" s="29" t="s">
        <v>242</v>
      </c>
      <c r="J1074" s="28" t="s">
        <v>2720</v>
      </c>
      <c r="K1074" s="28"/>
      <c r="L1074" s="27"/>
      <c r="M1074" s="27"/>
      <c r="N1074" s="29"/>
      <c r="O1074" s="56"/>
      <c r="P1074" s="31">
        <f>12*5500000</f>
        <v>66000000</v>
      </c>
      <c r="Q1074" s="31"/>
      <c r="R1074" s="27"/>
      <c r="S1074" s="32">
        <v>13132726</v>
      </c>
      <c r="T1074" s="33"/>
      <c r="U1074" s="334">
        <v>44917</v>
      </c>
      <c r="V1074" s="334">
        <v>45199</v>
      </c>
      <c r="W1074" s="27" t="s">
        <v>250</v>
      </c>
      <c r="X1074" s="27"/>
      <c r="Y1074" s="34">
        <f t="shared" ca="1" si="36"/>
        <v>46290</v>
      </c>
      <c r="Z1074" s="35">
        <f t="shared" ca="1" si="33"/>
        <v>-1091</v>
      </c>
      <c r="AA1074" s="27">
        <f t="shared" si="34"/>
        <v>9</v>
      </c>
      <c r="AB1074" s="27">
        <f t="shared" si="35"/>
        <v>2023</v>
      </c>
      <c r="AC1074" s="28" t="s">
        <v>479</v>
      </c>
      <c r="AD1074" s="28" t="s">
        <v>4781</v>
      </c>
      <c r="AE1074" s="27">
        <v>4500019509</v>
      </c>
      <c r="AF1074" s="27" t="s">
        <v>339</v>
      </c>
      <c r="AG1074" s="29" t="s">
        <v>4756</v>
      </c>
      <c r="AH1074" s="28"/>
      <c r="AI1074" s="27"/>
      <c r="AJ1074" s="27"/>
      <c r="AK1074" s="27"/>
      <c r="AL1074" s="27"/>
      <c r="AM1074" s="27"/>
      <c r="AN1074" s="27" t="s">
        <v>4782</v>
      </c>
      <c r="AO1074" s="27"/>
      <c r="AP1074" s="27"/>
      <c r="AQ1074" s="27"/>
      <c r="AR1074" s="504"/>
      <c r="AS1074" s="332"/>
      <c r="AT1074" s="160"/>
    </row>
    <row r="1075" spans="1:46" ht="21.75" hidden="1" customHeight="1">
      <c r="A1075" s="331">
        <v>1074</v>
      </c>
      <c r="B1075" s="28" t="s">
        <v>348</v>
      </c>
      <c r="C1075" s="28" t="s">
        <v>4783</v>
      </c>
      <c r="D1075" s="437" t="s">
        <v>4753</v>
      </c>
      <c r="E1075" s="361" t="str">
        <f t="shared" ca="1" si="32"/>
        <v>LOSS</v>
      </c>
      <c r="F1075" s="29" t="s">
        <v>115</v>
      </c>
      <c r="G1075" s="28" t="s">
        <v>4784</v>
      </c>
      <c r="H1075" s="29" t="s">
        <v>2748</v>
      </c>
      <c r="I1075" s="29" t="s">
        <v>242</v>
      </c>
      <c r="J1075" s="28" t="s">
        <v>4785</v>
      </c>
      <c r="K1075" s="28"/>
      <c r="L1075" s="27"/>
      <c r="M1075" s="27"/>
      <c r="N1075" s="29"/>
      <c r="O1075" s="56"/>
      <c r="P1075" s="31">
        <f>12*10000000</f>
        <v>120000000</v>
      </c>
      <c r="Q1075" s="31"/>
      <c r="R1075" s="27"/>
      <c r="S1075" s="32">
        <v>7961520</v>
      </c>
      <c r="T1075" s="33"/>
      <c r="U1075" s="334">
        <v>45046</v>
      </c>
      <c r="V1075" s="334">
        <v>45199</v>
      </c>
      <c r="W1075" s="27" t="s">
        <v>250</v>
      </c>
      <c r="X1075" s="27"/>
      <c r="Y1075" s="34">
        <f t="shared" ca="1" si="36"/>
        <v>46290</v>
      </c>
      <c r="Z1075" s="35">
        <f t="shared" ca="1" si="33"/>
        <v>-1091</v>
      </c>
      <c r="AA1075" s="27">
        <f t="shared" si="34"/>
        <v>9</v>
      </c>
      <c r="AB1075" s="27">
        <f t="shared" si="35"/>
        <v>2023</v>
      </c>
      <c r="AC1075" s="28" t="s">
        <v>479</v>
      </c>
      <c r="AD1075" s="28" t="s">
        <v>4786</v>
      </c>
      <c r="AE1075" s="27">
        <v>4500020506</v>
      </c>
      <c r="AF1075" s="27" t="s">
        <v>339</v>
      </c>
      <c r="AG1075" s="29" t="s">
        <v>4756</v>
      </c>
      <c r="AH1075" s="28"/>
      <c r="AI1075" s="27"/>
      <c r="AJ1075" s="27"/>
      <c r="AK1075" s="27"/>
      <c r="AL1075" s="27"/>
      <c r="AM1075" s="27"/>
      <c r="AN1075" s="27"/>
      <c r="AO1075" s="27" t="s">
        <v>4787</v>
      </c>
      <c r="AP1075" s="27"/>
      <c r="AQ1075" s="27"/>
      <c r="AR1075" s="504"/>
      <c r="AS1075" s="332"/>
      <c r="AT1075" s="160"/>
    </row>
    <row r="1076" spans="1:46" ht="21.75" hidden="1" customHeight="1">
      <c r="A1076" s="331">
        <v>1075</v>
      </c>
      <c r="B1076" s="28" t="s">
        <v>348</v>
      </c>
      <c r="C1076" s="28" t="s">
        <v>4783</v>
      </c>
      <c r="D1076" s="438" t="s">
        <v>4753</v>
      </c>
      <c r="E1076" s="361" t="str">
        <f t="shared" ca="1" si="32"/>
        <v>LOSS</v>
      </c>
      <c r="F1076" s="29"/>
      <c r="G1076" s="28" t="s">
        <v>4784</v>
      </c>
      <c r="H1076" s="29" t="s">
        <v>2748</v>
      </c>
      <c r="I1076" s="29" t="s">
        <v>242</v>
      </c>
      <c r="J1076" s="28" t="s">
        <v>4785</v>
      </c>
      <c r="K1076" s="28"/>
      <c r="L1076" s="27"/>
      <c r="M1076" s="27"/>
      <c r="N1076" s="29"/>
      <c r="O1076" s="56"/>
      <c r="P1076" s="31">
        <f>10000000*2</f>
        <v>20000000</v>
      </c>
      <c r="Q1076" s="31"/>
      <c r="R1076" s="27"/>
      <c r="S1076" s="32">
        <f>2178621*2</f>
        <v>4357242</v>
      </c>
      <c r="T1076" s="33"/>
      <c r="U1076" s="334">
        <v>45231</v>
      </c>
      <c r="V1076" s="334">
        <v>45291</v>
      </c>
      <c r="W1076" s="27" t="s">
        <v>250</v>
      </c>
      <c r="X1076" s="27"/>
      <c r="Y1076" s="34">
        <f t="shared" ca="1" si="36"/>
        <v>46290</v>
      </c>
      <c r="Z1076" s="35">
        <f t="shared" ca="1" si="33"/>
        <v>-999</v>
      </c>
      <c r="AA1076" s="27">
        <f t="shared" si="34"/>
        <v>12</v>
      </c>
      <c r="AB1076" s="27">
        <f t="shared" si="35"/>
        <v>2023</v>
      </c>
      <c r="AC1076" s="28"/>
      <c r="AD1076" s="28"/>
      <c r="AE1076" s="27"/>
      <c r="AF1076" s="27"/>
      <c r="AG1076" s="29"/>
      <c r="AH1076" s="28"/>
      <c r="AI1076" s="27"/>
      <c r="AJ1076" s="27"/>
      <c r="AK1076" s="27"/>
      <c r="AL1076" s="27"/>
      <c r="AM1076" s="27"/>
      <c r="AN1076" s="27"/>
      <c r="AO1076" s="27"/>
      <c r="AP1076" s="27"/>
      <c r="AQ1076" s="27"/>
      <c r="AR1076" s="504"/>
      <c r="AS1076" s="332"/>
      <c r="AT1076" s="160"/>
    </row>
    <row r="1077" spans="1:46" ht="21.75" hidden="1" customHeight="1">
      <c r="A1077" s="331">
        <v>1076</v>
      </c>
      <c r="B1077" s="28" t="s">
        <v>348</v>
      </c>
      <c r="C1077" s="28" t="s">
        <v>4783</v>
      </c>
      <c r="D1077" s="437" t="s">
        <v>4753</v>
      </c>
      <c r="E1077" s="361" t="str">
        <f t="shared" ca="1" si="32"/>
        <v>LOSS</v>
      </c>
      <c r="F1077" s="29"/>
      <c r="G1077" s="28" t="s">
        <v>4784</v>
      </c>
      <c r="H1077" s="29" t="s">
        <v>2748</v>
      </c>
      <c r="I1077" s="29" t="s">
        <v>242</v>
      </c>
      <c r="J1077" s="28" t="s">
        <v>4785</v>
      </c>
      <c r="K1077" s="28"/>
      <c r="L1077" s="27"/>
      <c r="M1077" s="27"/>
      <c r="N1077" s="29"/>
      <c r="O1077" s="56"/>
      <c r="P1077" s="31">
        <f>10000000*12</f>
        <v>120000000</v>
      </c>
      <c r="Q1077" s="31"/>
      <c r="R1077" s="27"/>
      <c r="S1077" s="32">
        <f>2544690*12</f>
        <v>30536280</v>
      </c>
      <c r="T1077" s="33"/>
      <c r="U1077" s="334">
        <v>45292</v>
      </c>
      <c r="V1077" s="334">
        <v>45657</v>
      </c>
      <c r="W1077" s="27" t="s">
        <v>17</v>
      </c>
      <c r="X1077" s="27"/>
      <c r="Y1077" s="34">
        <f t="shared" ca="1" si="36"/>
        <v>46290</v>
      </c>
      <c r="Z1077" s="35">
        <f t="shared" ca="1" si="33"/>
        <v>-633</v>
      </c>
      <c r="AA1077" s="27">
        <f t="shared" si="34"/>
        <v>12</v>
      </c>
      <c r="AB1077" s="27">
        <f t="shared" si="35"/>
        <v>2024</v>
      </c>
      <c r="AC1077" s="28"/>
      <c r="AD1077" s="28"/>
      <c r="AE1077" s="27"/>
      <c r="AF1077" s="27"/>
      <c r="AG1077" s="29"/>
      <c r="AH1077" s="28"/>
      <c r="AI1077" s="27"/>
      <c r="AJ1077" s="27"/>
      <c r="AK1077" s="27"/>
      <c r="AL1077" s="27"/>
      <c r="AM1077" s="27"/>
      <c r="AN1077" s="27"/>
      <c r="AO1077" s="27"/>
      <c r="AP1077" s="27"/>
      <c r="AQ1077" s="27"/>
      <c r="AR1077" s="504"/>
      <c r="AS1077" s="332"/>
      <c r="AT1077" s="160"/>
    </row>
    <row r="1078" spans="1:46" ht="21.75" hidden="1" customHeight="1">
      <c r="A1078" s="331">
        <v>1077</v>
      </c>
      <c r="B1078" s="28" t="s">
        <v>348</v>
      </c>
      <c r="C1078" s="28" t="s">
        <v>2233</v>
      </c>
      <c r="D1078" s="438" t="s">
        <v>4753</v>
      </c>
      <c r="E1078" s="361" t="str">
        <f t="shared" ca="1" si="32"/>
        <v>LOSS</v>
      </c>
      <c r="F1078" s="29" t="s">
        <v>115</v>
      </c>
      <c r="G1078" s="28" t="s">
        <v>4788</v>
      </c>
      <c r="H1078" s="29" t="s">
        <v>2748</v>
      </c>
      <c r="I1078" s="29" t="s">
        <v>242</v>
      </c>
      <c r="J1078" s="28" t="s">
        <v>2234</v>
      </c>
      <c r="K1078" s="28"/>
      <c r="L1078" s="27"/>
      <c r="M1078" s="27"/>
      <c r="N1078" s="29"/>
      <c r="O1078" s="56"/>
      <c r="P1078" s="31">
        <f>12*3200000</f>
        <v>38400000</v>
      </c>
      <c r="Q1078" s="31"/>
      <c r="R1078" s="27"/>
      <c r="S1078" s="32">
        <v>11359668</v>
      </c>
      <c r="T1078" s="33"/>
      <c r="U1078" s="334">
        <v>44652</v>
      </c>
      <c r="V1078" s="334">
        <v>45016</v>
      </c>
      <c r="W1078" s="27" t="s">
        <v>250</v>
      </c>
      <c r="X1078" s="27"/>
      <c r="Y1078" s="34">
        <f t="shared" ca="1" si="36"/>
        <v>46290</v>
      </c>
      <c r="Z1078" s="35">
        <f t="shared" ca="1" si="33"/>
        <v>-1274</v>
      </c>
      <c r="AA1078" s="27">
        <f t="shared" si="34"/>
        <v>3</v>
      </c>
      <c r="AB1078" s="27">
        <f t="shared" si="35"/>
        <v>2023</v>
      </c>
      <c r="AC1078" s="28" t="s">
        <v>479</v>
      </c>
      <c r="AD1078" s="28" t="s">
        <v>2235</v>
      </c>
      <c r="AE1078" s="27">
        <v>4500017820</v>
      </c>
      <c r="AF1078" s="27" t="s">
        <v>339</v>
      </c>
      <c r="AG1078" s="29" t="s">
        <v>4756</v>
      </c>
      <c r="AH1078" s="28"/>
      <c r="AI1078" s="27"/>
      <c r="AJ1078" s="27"/>
      <c r="AK1078" s="27"/>
      <c r="AL1078" s="27"/>
      <c r="AM1078" s="27"/>
      <c r="AN1078" s="27" t="s">
        <v>4789</v>
      </c>
      <c r="AO1078" s="27"/>
      <c r="AP1078" s="27"/>
      <c r="AQ1078" s="27"/>
      <c r="AR1078" s="504"/>
      <c r="AS1078" s="332"/>
      <c r="AT1078" s="160"/>
    </row>
    <row r="1079" spans="1:46" ht="21.75" hidden="1" customHeight="1">
      <c r="A1079" s="331">
        <v>1078</v>
      </c>
      <c r="B1079" s="28" t="s">
        <v>348</v>
      </c>
      <c r="C1079" s="28" t="s">
        <v>4790</v>
      </c>
      <c r="D1079" s="437" t="s">
        <v>4753</v>
      </c>
      <c r="E1079" s="361" t="str">
        <f t="shared" ca="1" si="32"/>
        <v>LOSS</v>
      </c>
      <c r="F1079" s="29" t="s">
        <v>115</v>
      </c>
      <c r="G1079" s="28" t="s">
        <v>4791</v>
      </c>
      <c r="H1079" s="29" t="s">
        <v>2748</v>
      </c>
      <c r="I1079" s="29" t="s">
        <v>242</v>
      </c>
      <c r="J1079" s="28" t="s">
        <v>4792</v>
      </c>
      <c r="K1079" s="28"/>
      <c r="L1079" s="27"/>
      <c r="M1079" s="27"/>
      <c r="N1079" s="29"/>
      <c r="O1079" s="56"/>
      <c r="P1079" s="31">
        <f>12*18500000</f>
        <v>222000000</v>
      </c>
      <c r="Q1079" s="31"/>
      <c r="R1079" s="27"/>
      <c r="S1079" s="32">
        <v>26613126</v>
      </c>
      <c r="T1079" s="33"/>
      <c r="U1079" s="334">
        <v>44979</v>
      </c>
      <c r="V1079" s="334">
        <v>45199</v>
      </c>
      <c r="W1079" s="27" t="s">
        <v>250</v>
      </c>
      <c r="X1079" s="27"/>
      <c r="Y1079" s="34">
        <f t="shared" ca="1" si="36"/>
        <v>46290</v>
      </c>
      <c r="Z1079" s="35">
        <f t="shared" ca="1" si="33"/>
        <v>-1091</v>
      </c>
      <c r="AA1079" s="27">
        <f t="shared" si="34"/>
        <v>9</v>
      </c>
      <c r="AB1079" s="27">
        <f t="shared" si="35"/>
        <v>2023</v>
      </c>
      <c r="AC1079" s="28" t="s">
        <v>479</v>
      </c>
      <c r="AD1079" s="28" t="s">
        <v>4793</v>
      </c>
      <c r="AE1079" s="27">
        <v>4500019923</v>
      </c>
      <c r="AF1079" s="27" t="s">
        <v>339</v>
      </c>
      <c r="AG1079" s="29" t="s">
        <v>4756</v>
      </c>
      <c r="AH1079" s="28"/>
      <c r="AI1079" s="27"/>
      <c r="AJ1079" s="27"/>
      <c r="AK1079" s="27"/>
      <c r="AL1079" s="27"/>
      <c r="AM1079" s="27"/>
      <c r="AN1079" s="27"/>
      <c r="AO1079" s="27" t="s">
        <v>4794</v>
      </c>
      <c r="AP1079" s="27"/>
      <c r="AQ1079" s="27"/>
      <c r="AR1079" s="504"/>
      <c r="AS1079" s="332"/>
      <c r="AT1079" s="160"/>
    </row>
    <row r="1080" spans="1:46" ht="21.75" hidden="1" customHeight="1">
      <c r="A1080" s="331">
        <v>1079</v>
      </c>
      <c r="B1080" s="28" t="s">
        <v>348</v>
      </c>
      <c r="C1080" s="28" t="s">
        <v>4790</v>
      </c>
      <c r="D1080" s="438" t="s">
        <v>4753</v>
      </c>
      <c r="E1080" s="361" t="str">
        <f t="shared" ca="1" si="32"/>
        <v>LOSS</v>
      </c>
      <c r="F1080" s="29"/>
      <c r="G1080" s="28" t="s">
        <v>4791</v>
      </c>
      <c r="H1080" s="29" t="s">
        <v>2748</v>
      </c>
      <c r="I1080" s="29" t="s">
        <v>242</v>
      </c>
      <c r="J1080" s="28" t="s">
        <v>4792</v>
      </c>
      <c r="K1080" s="28"/>
      <c r="L1080" s="27"/>
      <c r="M1080" s="27"/>
      <c r="N1080" s="29"/>
      <c r="O1080" s="56"/>
      <c r="P1080" s="31">
        <f>18500000*2</f>
        <v>37000000</v>
      </c>
      <c r="Q1080" s="31"/>
      <c r="R1080" s="27"/>
      <c r="S1080" s="32">
        <f>3670776*2</f>
        <v>7341552</v>
      </c>
      <c r="T1080" s="33"/>
      <c r="U1080" s="334">
        <v>45231</v>
      </c>
      <c r="V1080" s="334">
        <v>45291</v>
      </c>
      <c r="W1080" s="27" t="s">
        <v>250</v>
      </c>
      <c r="X1080" s="27"/>
      <c r="Y1080" s="34">
        <f t="shared" ca="1" si="36"/>
        <v>46290</v>
      </c>
      <c r="Z1080" s="35">
        <f t="shared" ca="1" si="33"/>
        <v>-999</v>
      </c>
      <c r="AA1080" s="27">
        <f t="shared" si="34"/>
        <v>12</v>
      </c>
      <c r="AB1080" s="27">
        <f t="shared" si="35"/>
        <v>2023</v>
      </c>
      <c r="AC1080" s="28"/>
      <c r="AD1080" s="28"/>
      <c r="AE1080" s="27"/>
      <c r="AF1080" s="27"/>
      <c r="AG1080" s="29"/>
      <c r="AH1080" s="28"/>
      <c r="AI1080" s="27"/>
      <c r="AJ1080" s="27"/>
      <c r="AK1080" s="27"/>
      <c r="AL1080" s="27"/>
      <c r="AM1080" s="27"/>
      <c r="AN1080" s="27"/>
      <c r="AO1080" s="27"/>
      <c r="AP1080" s="27"/>
      <c r="AQ1080" s="27"/>
      <c r="AR1080" s="504"/>
      <c r="AS1080" s="332"/>
      <c r="AT1080" s="160"/>
    </row>
    <row r="1081" spans="1:46" ht="21.75" hidden="1" customHeight="1">
      <c r="A1081" s="331">
        <v>1080</v>
      </c>
      <c r="B1081" s="28" t="s">
        <v>348</v>
      </c>
      <c r="C1081" s="28" t="s">
        <v>4790</v>
      </c>
      <c r="D1081" s="437" t="s">
        <v>4753</v>
      </c>
      <c r="E1081" s="361" t="str">
        <f t="shared" ca="1" si="32"/>
        <v>LOSS</v>
      </c>
      <c r="F1081" s="29"/>
      <c r="G1081" s="28" t="s">
        <v>4791</v>
      </c>
      <c r="H1081" s="29" t="s">
        <v>2748</v>
      </c>
      <c r="I1081" s="29" t="s">
        <v>242</v>
      </c>
      <c r="J1081" s="28" t="s">
        <v>4792</v>
      </c>
      <c r="K1081" s="28"/>
      <c r="L1081" s="27"/>
      <c r="M1081" s="27"/>
      <c r="N1081" s="29"/>
      <c r="O1081" s="56"/>
      <c r="P1081" s="31">
        <f>18500000*12</f>
        <v>222000000</v>
      </c>
      <c r="Q1081" s="31"/>
      <c r="R1081" s="27"/>
      <c r="S1081" s="32">
        <f>4203698*12</f>
        <v>50444376</v>
      </c>
      <c r="T1081" s="33"/>
      <c r="U1081" s="334">
        <v>45292</v>
      </c>
      <c r="V1081" s="334">
        <v>45657</v>
      </c>
      <c r="W1081" s="27" t="s">
        <v>17</v>
      </c>
      <c r="X1081" s="27"/>
      <c r="Y1081" s="34">
        <f t="shared" ca="1" si="36"/>
        <v>46290</v>
      </c>
      <c r="Z1081" s="35">
        <f t="shared" ca="1" si="33"/>
        <v>-633</v>
      </c>
      <c r="AA1081" s="27">
        <f t="shared" si="34"/>
        <v>12</v>
      </c>
      <c r="AB1081" s="27">
        <f t="shared" si="35"/>
        <v>2024</v>
      </c>
      <c r="AC1081" s="28"/>
      <c r="AD1081" s="28"/>
      <c r="AE1081" s="27"/>
      <c r="AF1081" s="27"/>
      <c r="AG1081" s="29"/>
      <c r="AH1081" s="28"/>
      <c r="AI1081" s="27"/>
      <c r="AJ1081" s="27"/>
      <c r="AK1081" s="27"/>
      <c r="AL1081" s="27"/>
      <c r="AM1081" s="27"/>
      <c r="AN1081" s="27"/>
      <c r="AO1081" s="27"/>
      <c r="AP1081" s="27"/>
      <c r="AQ1081" s="27"/>
      <c r="AR1081" s="504"/>
      <c r="AS1081" s="332"/>
      <c r="AT1081" s="160"/>
    </row>
    <row r="1082" spans="1:46" ht="21.75" hidden="1" customHeight="1">
      <c r="A1082" s="331">
        <v>1081</v>
      </c>
      <c r="B1082" s="28" t="s">
        <v>348</v>
      </c>
      <c r="C1082" s="28" t="s">
        <v>4795</v>
      </c>
      <c r="D1082" s="438" t="s">
        <v>4753</v>
      </c>
      <c r="E1082" s="361" t="str">
        <f t="shared" ca="1" si="32"/>
        <v>LOSS</v>
      </c>
      <c r="F1082" s="29" t="s">
        <v>115</v>
      </c>
      <c r="G1082" s="28" t="s">
        <v>4796</v>
      </c>
      <c r="H1082" s="29" t="s">
        <v>2748</v>
      </c>
      <c r="I1082" s="29" t="s">
        <v>242</v>
      </c>
      <c r="J1082" s="28" t="s">
        <v>4797</v>
      </c>
      <c r="K1082" s="28"/>
      <c r="L1082" s="27"/>
      <c r="M1082" s="27"/>
      <c r="N1082" s="29"/>
      <c r="O1082" s="56"/>
      <c r="P1082" s="31">
        <f>12*6600000</f>
        <v>79200000</v>
      </c>
      <c r="Q1082" s="31"/>
      <c r="R1082" s="27"/>
      <c r="S1082" s="32">
        <v>13871484</v>
      </c>
      <c r="T1082" s="33"/>
      <c r="U1082" s="334">
        <v>45029</v>
      </c>
      <c r="V1082" s="334">
        <v>45199</v>
      </c>
      <c r="W1082" s="27" t="s">
        <v>250</v>
      </c>
      <c r="X1082" s="27"/>
      <c r="Y1082" s="34">
        <f t="shared" ca="1" si="36"/>
        <v>46290</v>
      </c>
      <c r="Z1082" s="35">
        <f t="shared" ca="1" si="33"/>
        <v>-1091</v>
      </c>
      <c r="AA1082" s="27">
        <f t="shared" si="34"/>
        <v>9</v>
      </c>
      <c r="AB1082" s="27">
        <f t="shared" si="35"/>
        <v>2023</v>
      </c>
      <c r="AC1082" s="28" t="s">
        <v>479</v>
      </c>
      <c r="AD1082" s="28" t="s">
        <v>4798</v>
      </c>
      <c r="AE1082" s="27">
        <v>4500020555</v>
      </c>
      <c r="AF1082" s="27" t="s">
        <v>339</v>
      </c>
      <c r="AG1082" s="29" t="s">
        <v>4756</v>
      </c>
      <c r="AH1082" s="28"/>
      <c r="AI1082" s="27"/>
      <c r="AJ1082" s="27"/>
      <c r="AK1082" s="27"/>
      <c r="AL1082" s="27"/>
      <c r="AM1082" s="27"/>
      <c r="AN1082" s="27"/>
      <c r="AO1082" s="27" t="s">
        <v>4799</v>
      </c>
      <c r="AP1082" s="27"/>
      <c r="AQ1082" s="27"/>
      <c r="AR1082" s="504"/>
      <c r="AS1082" s="332"/>
      <c r="AT1082" s="160"/>
    </row>
    <row r="1083" spans="1:46" ht="21.75" hidden="1" customHeight="1">
      <c r="A1083" s="331">
        <v>1082</v>
      </c>
      <c r="B1083" s="28" t="s">
        <v>348</v>
      </c>
      <c r="C1083" s="28" t="s">
        <v>4795</v>
      </c>
      <c r="D1083" s="437" t="s">
        <v>4753</v>
      </c>
      <c r="E1083" s="361" t="str">
        <f t="shared" ca="1" si="32"/>
        <v>LOSS</v>
      </c>
      <c r="F1083" s="29" t="s">
        <v>115</v>
      </c>
      <c r="G1083" s="28" t="s">
        <v>4800</v>
      </c>
      <c r="H1083" s="29" t="s">
        <v>2748</v>
      </c>
      <c r="I1083" s="29" t="s">
        <v>242</v>
      </c>
      <c r="J1083" s="40" t="s">
        <v>4801</v>
      </c>
      <c r="K1083" s="28"/>
      <c r="L1083" s="27"/>
      <c r="M1083" s="27"/>
      <c r="N1083" s="29"/>
      <c r="O1083" s="56"/>
      <c r="P1083" s="31">
        <v>127200000</v>
      </c>
      <c r="Q1083" s="31"/>
      <c r="R1083" s="27"/>
      <c r="S1083" s="32">
        <v>70679256</v>
      </c>
      <c r="T1083" s="33"/>
      <c r="U1083" s="334">
        <v>44181</v>
      </c>
      <c r="V1083" s="334">
        <v>44545</v>
      </c>
      <c r="W1083" s="27" t="s">
        <v>250</v>
      </c>
      <c r="X1083" s="27"/>
      <c r="Y1083" s="34">
        <f t="shared" ca="1" si="36"/>
        <v>46290</v>
      </c>
      <c r="Z1083" s="35">
        <f t="shared" ca="1" si="33"/>
        <v>-1745</v>
      </c>
      <c r="AA1083" s="27">
        <f t="shared" si="34"/>
        <v>12</v>
      </c>
      <c r="AB1083" s="27">
        <f t="shared" si="35"/>
        <v>2021</v>
      </c>
      <c r="AC1083" s="28" t="s">
        <v>479</v>
      </c>
      <c r="AD1083" s="28" t="s">
        <v>4802</v>
      </c>
      <c r="AE1083" s="27">
        <v>4500015594</v>
      </c>
      <c r="AF1083" s="27" t="s">
        <v>339</v>
      </c>
      <c r="AG1083" s="29" t="s">
        <v>4756</v>
      </c>
      <c r="AH1083" s="28"/>
      <c r="AI1083" s="27"/>
      <c r="AJ1083" s="27"/>
      <c r="AK1083" s="27"/>
      <c r="AL1083" s="27" t="s">
        <v>4803</v>
      </c>
      <c r="AM1083" s="27"/>
      <c r="AN1083" s="27"/>
      <c r="AO1083" s="27"/>
      <c r="AP1083" s="27"/>
      <c r="AQ1083" s="27"/>
      <c r="AR1083" s="504"/>
      <c r="AS1083" s="332"/>
      <c r="AT1083" s="160"/>
    </row>
    <row r="1084" spans="1:46" ht="21.75" hidden="1" customHeight="1">
      <c r="A1084" s="331">
        <v>1083</v>
      </c>
      <c r="B1084" s="28" t="s">
        <v>348</v>
      </c>
      <c r="C1084" s="28" t="s">
        <v>4795</v>
      </c>
      <c r="D1084" s="438" t="s">
        <v>4753</v>
      </c>
      <c r="E1084" s="361" t="str">
        <f t="shared" ca="1" si="32"/>
        <v>LOSS</v>
      </c>
      <c r="F1084" s="29" t="s">
        <v>115</v>
      </c>
      <c r="G1084" s="28" t="s">
        <v>4804</v>
      </c>
      <c r="H1084" s="29" t="s">
        <v>2748</v>
      </c>
      <c r="I1084" s="29" t="s">
        <v>242</v>
      </c>
      <c r="J1084" s="28" t="s">
        <v>1742</v>
      </c>
      <c r="K1084" s="28"/>
      <c r="L1084" s="27"/>
      <c r="M1084" s="27"/>
      <c r="N1084" s="29"/>
      <c r="O1084" s="56"/>
      <c r="P1084" s="31">
        <v>55200000</v>
      </c>
      <c r="Q1084" s="31"/>
      <c r="R1084" s="27"/>
      <c r="S1084" s="32">
        <v>2410252</v>
      </c>
      <c r="T1084" s="33"/>
      <c r="U1084" s="334">
        <v>44448</v>
      </c>
      <c r="V1084" s="334">
        <v>44469</v>
      </c>
      <c r="W1084" s="27" t="s">
        <v>250</v>
      </c>
      <c r="X1084" s="27"/>
      <c r="Y1084" s="34">
        <f t="shared" ca="1" si="36"/>
        <v>46290</v>
      </c>
      <c r="Z1084" s="35">
        <f t="shared" ca="1" si="33"/>
        <v>-1821</v>
      </c>
      <c r="AA1084" s="27">
        <f t="shared" si="34"/>
        <v>9</v>
      </c>
      <c r="AB1084" s="27">
        <f t="shared" si="35"/>
        <v>2021</v>
      </c>
      <c r="AC1084" s="28" t="s">
        <v>479</v>
      </c>
      <c r="AD1084" s="28" t="s">
        <v>1743</v>
      </c>
      <c r="AE1084" s="27">
        <v>4500016697</v>
      </c>
      <c r="AF1084" s="27" t="s">
        <v>339</v>
      </c>
      <c r="AG1084" s="29" t="s">
        <v>4756</v>
      </c>
      <c r="AH1084" s="28"/>
      <c r="AI1084" s="27"/>
      <c r="AJ1084" s="27"/>
      <c r="AK1084" s="27"/>
      <c r="AL1084" s="27"/>
      <c r="AM1084" s="27" t="s">
        <v>4805</v>
      </c>
      <c r="AN1084" s="27"/>
      <c r="AO1084" s="27"/>
      <c r="AP1084" s="27"/>
      <c r="AQ1084" s="27"/>
      <c r="AR1084" s="504"/>
      <c r="AS1084" s="332"/>
      <c r="AT1084" s="160"/>
    </row>
    <row r="1085" spans="1:46" ht="21.75" hidden="1" customHeight="1">
      <c r="A1085" s="331">
        <v>1084</v>
      </c>
      <c r="B1085" s="28" t="s">
        <v>348</v>
      </c>
      <c r="C1085" s="28" t="s">
        <v>4806</v>
      </c>
      <c r="D1085" s="437" t="s">
        <v>4753</v>
      </c>
      <c r="E1085" s="361" t="str">
        <f t="shared" ca="1" si="32"/>
        <v>LOSS</v>
      </c>
      <c r="F1085" s="29" t="s">
        <v>115</v>
      </c>
      <c r="G1085" s="28" t="s">
        <v>4807</v>
      </c>
      <c r="H1085" s="29" t="s">
        <v>2748</v>
      </c>
      <c r="I1085" s="29" t="s">
        <v>242</v>
      </c>
      <c r="J1085" s="28" t="s">
        <v>1244</v>
      </c>
      <c r="K1085" s="28"/>
      <c r="L1085" s="27"/>
      <c r="M1085" s="27"/>
      <c r="N1085" s="29"/>
      <c r="O1085" s="56"/>
      <c r="P1085" s="31">
        <v>108000000</v>
      </c>
      <c r="Q1085" s="31"/>
      <c r="R1085" s="27"/>
      <c r="S1085" s="32">
        <v>95055799</v>
      </c>
      <c r="T1085" s="33"/>
      <c r="U1085" s="334">
        <v>44495</v>
      </c>
      <c r="V1085" s="334">
        <v>44834</v>
      </c>
      <c r="W1085" s="27" t="s">
        <v>250</v>
      </c>
      <c r="X1085" s="27"/>
      <c r="Y1085" s="34">
        <f t="shared" ca="1" si="36"/>
        <v>46290</v>
      </c>
      <c r="Z1085" s="35">
        <f t="shared" ca="1" si="33"/>
        <v>-1456</v>
      </c>
      <c r="AA1085" s="27">
        <f t="shared" si="34"/>
        <v>9</v>
      </c>
      <c r="AB1085" s="27">
        <f t="shared" si="35"/>
        <v>2022</v>
      </c>
      <c r="AC1085" s="28" t="s">
        <v>479</v>
      </c>
      <c r="AD1085" s="28" t="s">
        <v>1245</v>
      </c>
      <c r="AE1085" s="27">
        <v>4500016810</v>
      </c>
      <c r="AF1085" s="27" t="s">
        <v>339</v>
      </c>
      <c r="AG1085" s="29" t="s">
        <v>4756</v>
      </c>
      <c r="AH1085" s="28"/>
      <c r="AI1085" s="27"/>
      <c r="AJ1085" s="27"/>
      <c r="AK1085" s="27"/>
      <c r="AL1085" s="27"/>
      <c r="AM1085" s="27" t="s">
        <v>4808</v>
      </c>
      <c r="AN1085" s="27"/>
      <c r="AO1085" s="27"/>
      <c r="AP1085" s="27"/>
      <c r="AQ1085" s="27"/>
      <c r="AR1085" s="504"/>
      <c r="AS1085" s="332"/>
      <c r="AT1085" s="160"/>
    </row>
    <row r="1086" spans="1:46" ht="21.75" hidden="1" customHeight="1">
      <c r="A1086" s="331">
        <v>1085</v>
      </c>
      <c r="B1086" s="28" t="s">
        <v>348</v>
      </c>
      <c r="C1086" s="28" t="s">
        <v>4806</v>
      </c>
      <c r="D1086" s="438" t="s">
        <v>4753</v>
      </c>
      <c r="E1086" s="361" t="str">
        <f t="shared" ca="1" si="32"/>
        <v>LOSS</v>
      </c>
      <c r="F1086" s="29"/>
      <c r="G1086" s="28" t="s">
        <v>4807</v>
      </c>
      <c r="H1086" s="29" t="s">
        <v>2748</v>
      </c>
      <c r="I1086" s="29" t="s">
        <v>242</v>
      </c>
      <c r="J1086" s="28" t="s">
        <v>1244</v>
      </c>
      <c r="K1086" s="28"/>
      <c r="L1086" s="27"/>
      <c r="M1086" s="27"/>
      <c r="N1086" s="29"/>
      <c r="O1086" s="56"/>
      <c r="P1086" s="31">
        <f>9000000*2</f>
        <v>18000000</v>
      </c>
      <c r="Q1086" s="31"/>
      <c r="R1086" s="27"/>
      <c r="S1086" s="32">
        <f>2477052</f>
        <v>2477052</v>
      </c>
      <c r="T1086" s="33"/>
      <c r="U1086" s="334">
        <v>45231</v>
      </c>
      <c r="V1086" s="334">
        <v>45291</v>
      </c>
      <c r="W1086" s="27" t="s">
        <v>250</v>
      </c>
      <c r="X1086" s="27"/>
      <c r="Y1086" s="34">
        <f t="shared" ca="1" si="36"/>
        <v>46290</v>
      </c>
      <c r="Z1086" s="35">
        <f t="shared" ca="1" si="33"/>
        <v>-999</v>
      </c>
      <c r="AA1086" s="27">
        <f t="shared" si="34"/>
        <v>12</v>
      </c>
      <c r="AB1086" s="27">
        <f t="shared" si="35"/>
        <v>2023</v>
      </c>
      <c r="AC1086" s="28"/>
      <c r="AD1086" s="28"/>
      <c r="AE1086" s="27"/>
      <c r="AF1086" s="27"/>
      <c r="AG1086" s="29"/>
      <c r="AH1086" s="28"/>
      <c r="AI1086" s="27"/>
      <c r="AJ1086" s="27"/>
      <c r="AK1086" s="27"/>
      <c r="AL1086" s="27"/>
      <c r="AM1086" s="27"/>
      <c r="AN1086" s="27"/>
      <c r="AO1086" s="27"/>
      <c r="AP1086" s="27"/>
      <c r="AQ1086" s="27"/>
      <c r="AR1086" s="504"/>
      <c r="AS1086" s="332"/>
      <c r="AT1086" s="160"/>
    </row>
    <row r="1087" spans="1:46" ht="21.75" hidden="1" customHeight="1">
      <c r="A1087" s="331">
        <v>1086</v>
      </c>
      <c r="B1087" s="28" t="s">
        <v>348</v>
      </c>
      <c r="C1087" s="28" t="s">
        <v>4806</v>
      </c>
      <c r="D1087" s="437" t="s">
        <v>4753</v>
      </c>
      <c r="E1087" s="361" t="str">
        <f t="shared" ca="1" si="32"/>
        <v>LOSS</v>
      </c>
      <c r="F1087" s="29"/>
      <c r="G1087" s="28" t="s">
        <v>4807</v>
      </c>
      <c r="H1087" s="29" t="s">
        <v>2748</v>
      </c>
      <c r="I1087" s="29" t="s">
        <v>242</v>
      </c>
      <c r="J1087" s="28" t="s">
        <v>1244</v>
      </c>
      <c r="K1087" s="28"/>
      <c r="L1087" s="27"/>
      <c r="M1087" s="27"/>
      <c r="N1087" s="29"/>
      <c r="O1087" s="56"/>
      <c r="P1087" s="31">
        <f>9000000*12</f>
        <v>108000000</v>
      </c>
      <c r="Q1087" s="31"/>
      <c r="R1087" s="27"/>
      <c r="S1087" s="32">
        <f>3065699*12</f>
        <v>36788388</v>
      </c>
      <c r="T1087" s="33"/>
      <c r="U1087" s="334">
        <v>45292</v>
      </c>
      <c r="V1087" s="334">
        <v>45657</v>
      </c>
      <c r="W1087" s="27" t="s">
        <v>17</v>
      </c>
      <c r="X1087" s="27"/>
      <c r="Y1087" s="34">
        <f t="shared" ca="1" si="36"/>
        <v>46290</v>
      </c>
      <c r="Z1087" s="35">
        <f t="shared" ca="1" si="33"/>
        <v>-633</v>
      </c>
      <c r="AA1087" s="27">
        <f t="shared" si="34"/>
        <v>12</v>
      </c>
      <c r="AB1087" s="27">
        <f t="shared" si="35"/>
        <v>2024</v>
      </c>
      <c r="AC1087" s="28"/>
      <c r="AD1087" s="28"/>
      <c r="AE1087" s="27"/>
      <c r="AF1087" s="27"/>
      <c r="AG1087" s="29"/>
      <c r="AH1087" s="28"/>
      <c r="AI1087" s="27"/>
      <c r="AJ1087" s="27"/>
      <c r="AK1087" s="27"/>
      <c r="AL1087" s="27"/>
      <c r="AM1087" s="27"/>
      <c r="AN1087" s="27"/>
      <c r="AO1087" s="27"/>
      <c r="AP1087" s="27"/>
      <c r="AQ1087" s="27"/>
      <c r="AR1087" s="504"/>
      <c r="AS1087" s="332"/>
      <c r="AT1087" s="160"/>
    </row>
    <row r="1088" spans="1:46" ht="21.75" hidden="1" customHeight="1">
      <c r="A1088" s="331">
        <v>1087</v>
      </c>
      <c r="B1088" s="28" t="s">
        <v>348</v>
      </c>
      <c r="C1088" s="28" t="s">
        <v>4809</v>
      </c>
      <c r="D1088" s="438" t="s">
        <v>4753</v>
      </c>
      <c r="E1088" s="361" t="str">
        <f t="shared" ca="1" si="32"/>
        <v>LOSS</v>
      </c>
      <c r="F1088" s="29" t="s">
        <v>115</v>
      </c>
      <c r="G1088" s="28" t="s">
        <v>4810</v>
      </c>
      <c r="H1088" s="29" t="s">
        <v>2748</v>
      </c>
      <c r="I1088" s="29" t="s">
        <v>242</v>
      </c>
      <c r="J1088" s="28" t="s">
        <v>2431</v>
      </c>
      <c r="K1088" s="28"/>
      <c r="L1088" s="27"/>
      <c r="M1088" s="27"/>
      <c r="N1088" s="29"/>
      <c r="O1088" s="56"/>
      <c r="P1088" s="31">
        <f>12*7500000</f>
        <v>90000000</v>
      </c>
      <c r="Q1088" s="31"/>
      <c r="R1088" s="27"/>
      <c r="S1088" s="32">
        <v>16292118</v>
      </c>
      <c r="T1088" s="33"/>
      <c r="U1088" s="334">
        <v>44887</v>
      </c>
      <c r="V1088" s="334">
        <v>45199</v>
      </c>
      <c r="W1088" s="27" t="s">
        <v>250</v>
      </c>
      <c r="X1088" s="27"/>
      <c r="Y1088" s="34">
        <f t="shared" ca="1" si="36"/>
        <v>46290</v>
      </c>
      <c r="Z1088" s="35">
        <f t="shared" ca="1" si="33"/>
        <v>-1091</v>
      </c>
      <c r="AA1088" s="27">
        <f t="shared" si="34"/>
        <v>9</v>
      </c>
      <c r="AB1088" s="27">
        <f t="shared" si="35"/>
        <v>2023</v>
      </c>
      <c r="AC1088" s="28" t="s">
        <v>479</v>
      </c>
      <c r="AD1088" s="28" t="s">
        <v>2432</v>
      </c>
      <c r="AE1088" s="27">
        <v>4500019453</v>
      </c>
      <c r="AF1088" s="27" t="s">
        <v>339</v>
      </c>
      <c r="AG1088" s="29" t="s">
        <v>4756</v>
      </c>
      <c r="AH1088" s="28"/>
      <c r="AI1088" s="27"/>
      <c r="AJ1088" s="27"/>
      <c r="AK1088" s="27"/>
      <c r="AL1088" s="27"/>
      <c r="AM1088" s="27"/>
      <c r="AN1088" s="27" t="s">
        <v>4811</v>
      </c>
      <c r="AO1088" s="27"/>
      <c r="AP1088" s="27"/>
      <c r="AQ1088" s="27"/>
      <c r="AR1088" s="504"/>
      <c r="AS1088" s="332"/>
      <c r="AT1088" s="160"/>
    </row>
    <row r="1089" spans="1:46" ht="21.75" hidden="1" customHeight="1">
      <c r="A1089" s="331">
        <v>1088</v>
      </c>
      <c r="B1089" s="28" t="s">
        <v>348</v>
      </c>
      <c r="C1089" s="28" t="s">
        <v>3891</v>
      </c>
      <c r="D1089" s="437" t="s">
        <v>4753</v>
      </c>
      <c r="E1089" s="361" t="str">
        <f t="shared" ca="1" si="32"/>
        <v>LOSS</v>
      </c>
      <c r="F1089" s="29" t="s">
        <v>115</v>
      </c>
      <c r="G1089" s="28" t="s">
        <v>4812</v>
      </c>
      <c r="H1089" s="29" t="s">
        <v>2748</v>
      </c>
      <c r="I1089" s="29" t="s">
        <v>242</v>
      </c>
      <c r="J1089" s="28" t="s">
        <v>1844</v>
      </c>
      <c r="K1089" s="28"/>
      <c r="L1089" s="27"/>
      <c r="M1089" s="27"/>
      <c r="N1089" s="29"/>
      <c r="O1089" s="56"/>
      <c r="P1089" s="31">
        <v>36000000</v>
      </c>
      <c r="Q1089" s="31"/>
      <c r="R1089" s="27"/>
      <c r="S1089" s="32">
        <v>8194881</v>
      </c>
      <c r="T1089" s="33"/>
      <c r="U1089" s="334">
        <v>44477</v>
      </c>
      <c r="V1089" s="334">
        <v>44834</v>
      </c>
      <c r="W1089" s="27" t="s">
        <v>250</v>
      </c>
      <c r="X1089" s="27"/>
      <c r="Y1089" s="34">
        <f t="shared" ca="1" si="36"/>
        <v>46290</v>
      </c>
      <c r="Z1089" s="35">
        <f t="shared" ca="1" si="33"/>
        <v>-1456</v>
      </c>
      <c r="AA1089" s="27">
        <f t="shared" si="34"/>
        <v>9</v>
      </c>
      <c r="AB1089" s="27">
        <f t="shared" si="35"/>
        <v>2022</v>
      </c>
      <c r="AC1089" s="28" t="s">
        <v>479</v>
      </c>
      <c r="AD1089" s="28" t="s">
        <v>1845</v>
      </c>
      <c r="AE1089" s="27">
        <v>4500016592</v>
      </c>
      <c r="AF1089" s="27" t="s">
        <v>339</v>
      </c>
      <c r="AG1089" s="29" t="s">
        <v>4756</v>
      </c>
      <c r="AH1089" s="28"/>
      <c r="AI1089" s="27"/>
      <c r="AJ1089" s="27"/>
      <c r="AK1089" s="27"/>
      <c r="AL1089" s="27"/>
      <c r="AM1089" s="27" t="s">
        <v>4813</v>
      </c>
      <c r="AN1089" s="27"/>
      <c r="AO1089" s="27"/>
      <c r="AP1089" s="27"/>
      <c r="AQ1089" s="27"/>
      <c r="AR1089" s="504"/>
      <c r="AS1089" s="332"/>
      <c r="AT1089" s="160"/>
    </row>
    <row r="1090" spans="1:46" ht="21.75" hidden="1" customHeight="1">
      <c r="A1090" s="331">
        <v>1089</v>
      </c>
      <c r="B1090" s="28" t="s">
        <v>348</v>
      </c>
      <c r="C1090" s="28" t="s">
        <v>4814</v>
      </c>
      <c r="D1090" s="438" t="s">
        <v>4753</v>
      </c>
      <c r="E1090" s="361" t="str">
        <f t="shared" ref="E1090:E1153" ca="1" si="37">IF(Z1090&lt;=0, "LOSS",IF(Z1090&lt;=15, "CRITICAL",IF(Z1090&lt;=30, "WARNING",IF(Z1090&lt;60, "ATTENTION", "ON TRACK"))))</f>
        <v>LOSS</v>
      </c>
      <c r="F1090" s="29" t="s">
        <v>4815</v>
      </c>
      <c r="G1090" s="28" t="s">
        <v>4816</v>
      </c>
      <c r="H1090" s="29" t="s">
        <v>2748</v>
      </c>
      <c r="I1090" s="29" t="s">
        <v>242</v>
      </c>
      <c r="J1090" s="28" t="s">
        <v>2518</v>
      </c>
      <c r="K1090" s="28"/>
      <c r="L1090" s="27"/>
      <c r="M1090" s="27"/>
      <c r="N1090" s="29"/>
      <c r="O1090" s="56"/>
      <c r="P1090" s="31">
        <f>12*1800000</f>
        <v>21600000</v>
      </c>
      <c r="Q1090" s="31"/>
      <c r="R1090" s="27"/>
      <c r="S1090" s="32">
        <v>12714168</v>
      </c>
      <c r="T1090" s="33"/>
      <c r="U1090" s="334">
        <v>44621</v>
      </c>
      <c r="V1090" s="334">
        <v>44985</v>
      </c>
      <c r="W1090" s="27" t="s">
        <v>250</v>
      </c>
      <c r="X1090" s="27"/>
      <c r="Y1090" s="34">
        <f t="shared" ca="1" si="36"/>
        <v>46290</v>
      </c>
      <c r="Z1090" s="35">
        <f t="shared" ca="1" si="33"/>
        <v>-1305</v>
      </c>
      <c r="AA1090" s="27">
        <f t="shared" si="34"/>
        <v>2</v>
      </c>
      <c r="AB1090" s="27">
        <f t="shared" si="35"/>
        <v>2023</v>
      </c>
      <c r="AC1090" s="28" t="s">
        <v>3371</v>
      </c>
      <c r="AD1090" s="28" t="s">
        <v>2519</v>
      </c>
      <c r="AE1090" s="27">
        <v>4500017658</v>
      </c>
      <c r="AF1090" s="27" t="s">
        <v>339</v>
      </c>
      <c r="AG1090" s="29" t="s">
        <v>4756</v>
      </c>
      <c r="AH1090" s="28"/>
      <c r="AI1090" s="27"/>
      <c r="AJ1090" s="27"/>
      <c r="AK1090" s="27"/>
      <c r="AL1090" s="27"/>
      <c r="AM1090" s="27"/>
      <c r="AN1090" s="27" t="s">
        <v>4817</v>
      </c>
      <c r="AO1090" s="27"/>
      <c r="AP1090" s="27"/>
      <c r="AQ1090" s="27"/>
      <c r="AR1090" s="504"/>
      <c r="AS1090" s="332"/>
      <c r="AT1090" s="160"/>
    </row>
    <row r="1091" spans="1:46" ht="21.75" hidden="1" customHeight="1">
      <c r="A1091" s="331">
        <v>1090</v>
      </c>
      <c r="B1091" s="28" t="s">
        <v>348</v>
      </c>
      <c r="C1091" s="28" t="s">
        <v>4814</v>
      </c>
      <c r="D1091" s="437" t="s">
        <v>4753</v>
      </c>
      <c r="E1091" s="361" t="str">
        <f t="shared" ca="1" si="37"/>
        <v>LOSS</v>
      </c>
      <c r="F1091" s="29" t="s">
        <v>4815</v>
      </c>
      <c r="G1091" s="28" t="s">
        <v>4816</v>
      </c>
      <c r="H1091" s="29" t="s">
        <v>2748</v>
      </c>
      <c r="I1091" s="29" t="s">
        <v>242</v>
      </c>
      <c r="J1091" s="28" t="s">
        <v>2518</v>
      </c>
      <c r="K1091" s="28"/>
      <c r="L1091" s="27"/>
      <c r="M1091" s="27"/>
      <c r="N1091" s="29"/>
      <c r="O1091" s="56"/>
      <c r="P1091" s="31">
        <f>1800000*2</f>
        <v>3600000</v>
      </c>
      <c r="Q1091" s="31"/>
      <c r="R1091" s="27"/>
      <c r="S1091" s="32">
        <f>1283328*2</f>
        <v>2566656</v>
      </c>
      <c r="T1091" s="33"/>
      <c r="U1091" s="334">
        <v>45231</v>
      </c>
      <c r="V1091" s="334">
        <v>45291</v>
      </c>
      <c r="W1091" s="27" t="s">
        <v>250</v>
      </c>
      <c r="X1091" s="27"/>
      <c r="Y1091" s="34">
        <f t="shared" ca="1" si="36"/>
        <v>46290</v>
      </c>
      <c r="Z1091" s="35">
        <f t="shared" ca="1" si="33"/>
        <v>-999</v>
      </c>
      <c r="AA1091" s="27">
        <f t="shared" si="34"/>
        <v>12</v>
      </c>
      <c r="AB1091" s="27">
        <f t="shared" si="35"/>
        <v>2023</v>
      </c>
      <c r="AC1091" s="28"/>
      <c r="AD1091" s="28"/>
      <c r="AE1091" s="27"/>
      <c r="AF1091" s="27"/>
      <c r="AG1091" s="29"/>
      <c r="AH1091" s="28"/>
      <c r="AI1091" s="27"/>
      <c r="AJ1091" s="27"/>
      <c r="AK1091" s="27"/>
      <c r="AL1091" s="27"/>
      <c r="AM1091" s="27"/>
      <c r="AN1091" s="27"/>
      <c r="AO1091" s="27"/>
      <c r="AP1091" s="27"/>
      <c r="AQ1091" s="27"/>
      <c r="AR1091" s="504"/>
      <c r="AS1091" s="332"/>
      <c r="AT1091" s="160"/>
    </row>
    <row r="1092" spans="1:46" ht="21.75" hidden="1" customHeight="1">
      <c r="A1092" s="331">
        <v>1091</v>
      </c>
      <c r="B1092" s="28" t="s">
        <v>348</v>
      </c>
      <c r="C1092" s="28" t="s">
        <v>4814</v>
      </c>
      <c r="D1092" s="438" t="s">
        <v>4753</v>
      </c>
      <c r="E1092" s="361" t="str">
        <f t="shared" ca="1" si="37"/>
        <v>LOSS</v>
      </c>
      <c r="F1092" s="29" t="s">
        <v>4815</v>
      </c>
      <c r="G1092" s="28" t="s">
        <v>4816</v>
      </c>
      <c r="H1092" s="29" t="s">
        <v>2748</v>
      </c>
      <c r="I1092" s="29" t="s">
        <v>242</v>
      </c>
      <c r="J1092" s="28" t="s">
        <v>2518</v>
      </c>
      <c r="K1092" s="28"/>
      <c r="L1092" s="27"/>
      <c r="M1092" s="27"/>
      <c r="N1092" s="29"/>
      <c r="O1092" s="56"/>
      <c r="P1092" s="31">
        <f>1800000*12</f>
        <v>21600000</v>
      </c>
      <c r="Q1092" s="31"/>
      <c r="R1092" s="27"/>
      <c r="S1092" s="32">
        <f>1456662*12</f>
        <v>17479944</v>
      </c>
      <c r="T1092" s="33"/>
      <c r="U1092" s="334">
        <v>45292</v>
      </c>
      <c r="V1092" s="334">
        <v>45657</v>
      </c>
      <c r="W1092" s="27" t="s">
        <v>17</v>
      </c>
      <c r="X1092" s="27"/>
      <c r="Y1092" s="34">
        <f t="shared" ca="1" si="36"/>
        <v>46290</v>
      </c>
      <c r="Z1092" s="35">
        <f t="shared" ca="1" si="33"/>
        <v>-633</v>
      </c>
      <c r="AA1092" s="27">
        <f t="shared" si="34"/>
        <v>12</v>
      </c>
      <c r="AB1092" s="27">
        <f t="shared" si="35"/>
        <v>2024</v>
      </c>
      <c r="AC1092" s="28"/>
      <c r="AD1092" s="28"/>
      <c r="AE1092" s="27"/>
      <c r="AF1092" s="27"/>
      <c r="AG1092" s="29"/>
      <c r="AH1092" s="28"/>
      <c r="AI1092" s="27"/>
      <c r="AJ1092" s="27"/>
      <c r="AK1092" s="27"/>
      <c r="AL1092" s="27"/>
      <c r="AM1092" s="27"/>
      <c r="AN1092" s="27"/>
      <c r="AO1092" s="27"/>
      <c r="AP1092" s="27"/>
      <c r="AQ1092" s="27"/>
      <c r="AR1092" s="504"/>
      <c r="AS1092" s="332"/>
      <c r="AT1092" s="160"/>
    </row>
    <row r="1093" spans="1:46" ht="21.75" hidden="1" customHeight="1">
      <c r="A1093" s="331">
        <v>1092</v>
      </c>
      <c r="B1093" s="28" t="s">
        <v>348</v>
      </c>
      <c r="C1093" s="28" t="s">
        <v>4818</v>
      </c>
      <c r="D1093" s="437" t="s">
        <v>4753</v>
      </c>
      <c r="E1093" s="361" t="str">
        <f t="shared" ca="1" si="37"/>
        <v>LOSS</v>
      </c>
      <c r="F1093" s="29" t="s">
        <v>115</v>
      </c>
      <c r="G1093" s="28" t="s">
        <v>4819</v>
      </c>
      <c r="H1093" s="29" t="s">
        <v>2748</v>
      </c>
      <c r="I1093" s="29" t="s">
        <v>242</v>
      </c>
      <c r="J1093" s="28" t="s">
        <v>2040</v>
      </c>
      <c r="K1093" s="28"/>
      <c r="L1093" s="27"/>
      <c r="M1093" s="27"/>
      <c r="N1093" s="29"/>
      <c r="O1093" s="56"/>
      <c r="P1093" s="31">
        <f>12*19000000</f>
        <v>228000000</v>
      </c>
      <c r="Q1093" s="31"/>
      <c r="R1093" s="27"/>
      <c r="S1093" s="32">
        <v>79861032</v>
      </c>
      <c r="T1093" s="33"/>
      <c r="U1093" s="334">
        <v>44782</v>
      </c>
      <c r="V1093" s="334">
        <v>45146</v>
      </c>
      <c r="W1093" s="27" t="s">
        <v>250</v>
      </c>
      <c r="X1093" s="27"/>
      <c r="Y1093" s="34">
        <f t="shared" ca="1" si="36"/>
        <v>46290</v>
      </c>
      <c r="Z1093" s="35">
        <f t="shared" ref="Z1093:Z1156" ca="1" si="38">V1093-Y1093</f>
        <v>-1144</v>
      </c>
      <c r="AA1093" s="27">
        <f t="shared" ref="AA1093:AA1156" si="39">MONTH(V1093)</f>
        <v>8</v>
      </c>
      <c r="AB1093" s="27">
        <f t="shared" ref="AB1093:AB1156" si="40">YEAR(V1093)</f>
        <v>2023</v>
      </c>
      <c r="AC1093" s="28" t="s">
        <v>479</v>
      </c>
      <c r="AD1093" s="28" t="s">
        <v>2041</v>
      </c>
      <c r="AE1093" s="27">
        <v>4500018571</v>
      </c>
      <c r="AF1093" s="27" t="s">
        <v>339</v>
      </c>
      <c r="AG1093" s="29" t="s">
        <v>4756</v>
      </c>
      <c r="AH1093" s="28"/>
      <c r="AI1093" s="27"/>
      <c r="AJ1093" s="27"/>
      <c r="AK1093" s="27"/>
      <c r="AL1093" s="27"/>
      <c r="AM1093" s="27"/>
      <c r="AN1093" s="27" t="s">
        <v>4820</v>
      </c>
      <c r="AO1093" s="27"/>
      <c r="AP1093" s="27"/>
      <c r="AQ1093" s="27"/>
      <c r="AR1093" s="504"/>
      <c r="AS1093" s="332"/>
      <c r="AT1093" s="160"/>
    </row>
    <row r="1094" spans="1:46" ht="21.75" hidden="1" customHeight="1">
      <c r="A1094" s="331">
        <v>1093</v>
      </c>
      <c r="B1094" s="28" t="s">
        <v>348</v>
      </c>
      <c r="C1094" s="28" t="s">
        <v>4818</v>
      </c>
      <c r="D1094" s="438" t="s">
        <v>4753</v>
      </c>
      <c r="E1094" s="361" t="str">
        <f t="shared" ca="1" si="37"/>
        <v>LOSS</v>
      </c>
      <c r="F1094" s="29"/>
      <c r="G1094" s="28" t="s">
        <v>4819</v>
      </c>
      <c r="H1094" s="29" t="s">
        <v>2748</v>
      </c>
      <c r="I1094" s="29" t="s">
        <v>242</v>
      </c>
      <c r="J1094" s="28" t="s">
        <v>2040</v>
      </c>
      <c r="K1094" s="28"/>
      <c r="L1094" s="27"/>
      <c r="M1094" s="27"/>
      <c r="N1094" s="29"/>
      <c r="O1094" s="56"/>
      <c r="P1094" s="31">
        <v>38000000</v>
      </c>
      <c r="Q1094" s="31"/>
      <c r="R1094" s="27"/>
      <c r="S1094" s="32">
        <f>6655086*2</f>
        <v>13310172</v>
      </c>
      <c r="T1094" s="33"/>
      <c r="U1094" s="334">
        <v>45231</v>
      </c>
      <c r="V1094" s="334">
        <v>45291</v>
      </c>
      <c r="W1094" s="27" t="s">
        <v>250</v>
      </c>
      <c r="X1094" s="27"/>
      <c r="Y1094" s="34">
        <f t="shared" ca="1" si="36"/>
        <v>46290</v>
      </c>
      <c r="Z1094" s="35">
        <f t="shared" ca="1" si="38"/>
        <v>-999</v>
      </c>
      <c r="AA1094" s="27">
        <f t="shared" si="39"/>
        <v>12</v>
      </c>
      <c r="AB1094" s="27">
        <f t="shared" si="40"/>
        <v>2023</v>
      </c>
      <c r="AC1094" s="28"/>
      <c r="AD1094" s="28"/>
      <c r="AE1094" s="27"/>
      <c r="AF1094" s="27"/>
      <c r="AG1094" s="29"/>
      <c r="AH1094" s="28"/>
      <c r="AI1094" s="27"/>
      <c r="AJ1094" s="27"/>
      <c r="AK1094" s="27"/>
      <c r="AL1094" s="27"/>
      <c r="AM1094" s="27"/>
      <c r="AN1094" s="27"/>
      <c r="AO1094" s="27"/>
      <c r="AP1094" s="27"/>
      <c r="AQ1094" s="27"/>
      <c r="AR1094" s="504"/>
      <c r="AS1094" s="332"/>
      <c r="AT1094" s="160"/>
    </row>
    <row r="1095" spans="1:46" ht="21.75" hidden="1" customHeight="1">
      <c r="A1095" s="331">
        <v>1094</v>
      </c>
      <c r="B1095" s="28" t="s">
        <v>348</v>
      </c>
      <c r="C1095" s="28" t="s">
        <v>4818</v>
      </c>
      <c r="D1095" s="437" t="s">
        <v>4753</v>
      </c>
      <c r="E1095" s="361" t="str">
        <f t="shared" ca="1" si="37"/>
        <v>LOSS</v>
      </c>
      <c r="F1095" s="29"/>
      <c r="G1095" s="28" t="s">
        <v>4819</v>
      </c>
      <c r="H1095" s="29" t="s">
        <v>2748</v>
      </c>
      <c r="I1095" s="29" t="s">
        <v>242</v>
      </c>
      <c r="J1095" s="28" t="s">
        <v>2040</v>
      </c>
      <c r="K1095" s="28"/>
      <c r="L1095" s="27"/>
      <c r="M1095" s="27"/>
      <c r="N1095" s="29"/>
      <c r="O1095" s="56"/>
      <c r="P1095" s="31">
        <f>19000000*12</f>
        <v>228000000</v>
      </c>
      <c r="Q1095" s="31"/>
      <c r="R1095" s="27"/>
      <c r="S1095" s="32">
        <f>7114577*12</f>
        <v>85374924</v>
      </c>
      <c r="T1095" s="33"/>
      <c r="U1095" s="334">
        <v>45292</v>
      </c>
      <c r="V1095" s="334">
        <v>45657</v>
      </c>
      <c r="W1095" s="27" t="s">
        <v>17</v>
      </c>
      <c r="X1095" s="27"/>
      <c r="Y1095" s="34">
        <f t="shared" ca="1" si="36"/>
        <v>46290</v>
      </c>
      <c r="Z1095" s="35">
        <f t="shared" ca="1" si="38"/>
        <v>-633</v>
      </c>
      <c r="AA1095" s="27">
        <f t="shared" si="39"/>
        <v>12</v>
      </c>
      <c r="AB1095" s="27">
        <f t="shared" si="40"/>
        <v>2024</v>
      </c>
      <c r="AC1095" s="28"/>
      <c r="AD1095" s="28"/>
      <c r="AE1095" s="27"/>
      <c r="AF1095" s="27"/>
      <c r="AG1095" s="29"/>
      <c r="AH1095" s="28"/>
      <c r="AI1095" s="27"/>
      <c r="AJ1095" s="27"/>
      <c r="AK1095" s="27"/>
      <c r="AL1095" s="27"/>
      <c r="AM1095" s="27"/>
      <c r="AN1095" s="27"/>
      <c r="AO1095" s="27"/>
      <c r="AP1095" s="27"/>
      <c r="AQ1095" s="27"/>
      <c r="AR1095" s="504"/>
      <c r="AS1095" s="332"/>
      <c r="AT1095" s="160"/>
    </row>
    <row r="1096" spans="1:46" ht="21.75" hidden="1" customHeight="1">
      <c r="A1096" s="331">
        <v>1095</v>
      </c>
      <c r="B1096" s="28" t="s">
        <v>348</v>
      </c>
      <c r="C1096" s="28" t="s">
        <v>4821</v>
      </c>
      <c r="D1096" s="438" t="s">
        <v>4753</v>
      </c>
      <c r="E1096" s="361" t="str">
        <f t="shared" ca="1" si="37"/>
        <v>LOSS</v>
      </c>
      <c r="F1096" s="29" t="s">
        <v>115</v>
      </c>
      <c r="G1096" s="28" t="s">
        <v>4822</v>
      </c>
      <c r="H1096" s="29" t="s">
        <v>2748</v>
      </c>
      <c r="I1096" s="29" t="s">
        <v>242</v>
      </c>
      <c r="J1096" s="28" t="s">
        <v>4823</v>
      </c>
      <c r="K1096" s="28"/>
      <c r="L1096" s="27"/>
      <c r="M1096" s="27"/>
      <c r="N1096" s="29"/>
      <c r="O1096" s="56"/>
      <c r="P1096" s="31">
        <v>38400000</v>
      </c>
      <c r="Q1096" s="31"/>
      <c r="R1096" s="27"/>
      <c r="S1096" s="32">
        <v>13609344</v>
      </c>
      <c r="T1096" s="33"/>
      <c r="U1096" s="334">
        <v>44181</v>
      </c>
      <c r="V1096" s="334">
        <v>44545</v>
      </c>
      <c r="W1096" s="27" t="s">
        <v>250</v>
      </c>
      <c r="X1096" s="27"/>
      <c r="Y1096" s="34">
        <f t="shared" ca="1" si="36"/>
        <v>46290</v>
      </c>
      <c r="Z1096" s="35">
        <f t="shared" ca="1" si="38"/>
        <v>-1745</v>
      </c>
      <c r="AA1096" s="27">
        <f t="shared" si="39"/>
        <v>12</v>
      </c>
      <c r="AB1096" s="27">
        <f t="shared" si="40"/>
        <v>2021</v>
      </c>
      <c r="AC1096" s="28" t="s">
        <v>479</v>
      </c>
      <c r="AD1096" s="28" t="s">
        <v>4824</v>
      </c>
      <c r="AE1096" s="27">
        <v>4500015520</v>
      </c>
      <c r="AF1096" s="27" t="s">
        <v>339</v>
      </c>
      <c r="AG1096" s="29" t="s">
        <v>4756</v>
      </c>
      <c r="AH1096" s="28"/>
      <c r="AI1096" s="27"/>
      <c r="AJ1096" s="27"/>
      <c r="AK1096" s="27"/>
      <c r="AL1096" s="27" t="s">
        <v>4825</v>
      </c>
      <c r="AM1096" s="27"/>
      <c r="AN1096" s="27"/>
      <c r="AO1096" s="27"/>
      <c r="AP1096" s="27"/>
      <c r="AQ1096" s="27"/>
      <c r="AR1096" s="504"/>
      <c r="AS1096" s="332"/>
      <c r="AT1096" s="160"/>
    </row>
    <row r="1097" spans="1:46" ht="21.75" hidden="1" customHeight="1">
      <c r="A1097" s="331">
        <v>1096</v>
      </c>
      <c r="B1097" s="28" t="s">
        <v>348</v>
      </c>
      <c r="C1097" s="28" t="s">
        <v>4826</v>
      </c>
      <c r="D1097" s="437" t="s">
        <v>4753</v>
      </c>
      <c r="E1097" s="361" t="str">
        <f t="shared" ca="1" si="37"/>
        <v>LOSS</v>
      </c>
      <c r="F1097" s="29" t="s">
        <v>115</v>
      </c>
      <c r="G1097" s="28" t="s">
        <v>4827</v>
      </c>
      <c r="H1097" s="29" t="s">
        <v>2748</v>
      </c>
      <c r="I1097" s="29" t="s">
        <v>242</v>
      </c>
      <c r="J1097" s="28" t="s">
        <v>1936</v>
      </c>
      <c r="K1097" s="28"/>
      <c r="L1097" s="27"/>
      <c r="M1097" s="27"/>
      <c r="N1097" s="29"/>
      <c r="O1097" s="56"/>
      <c r="P1097" s="31">
        <f>12*2750000</f>
        <v>33000000</v>
      </c>
      <c r="Q1097" s="31"/>
      <c r="R1097" s="27"/>
      <c r="S1097" s="32">
        <v>15399936</v>
      </c>
      <c r="T1097" s="33"/>
      <c r="U1097" s="334">
        <v>44792</v>
      </c>
      <c r="V1097" s="334">
        <v>45156</v>
      </c>
      <c r="W1097" s="27" t="s">
        <v>250</v>
      </c>
      <c r="X1097" s="27"/>
      <c r="Y1097" s="34">
        <f t="shared" ca="1" si="36"/>
        <v>46290</v>
      </c>
      <c r="Z1097" s="35">
        <f t="shared" ca="1" si="38"/>
        <v>-1134</v>
      </c>
      <c r="AA1097" s="27">
        <f t="shared" si="39"/>
        <v>8</v>
      </c>
      <c r="AB1097" s="27">
        <f t="shared" si="40"/>
        <v>2023</v>
      </c>
      <c r="AC1097" s="28" t="s">
        <v>479</v>
      </c>
      <c r="AD1097" s="28" t="s">
        <v>1937</v>
      </c>
      <c r="AE1097" s="27">
        <v>4500018167</v>
      </c>
      <c r="AF1097" s="27" t="s">
        <v>339</v>
      </c>
      <c r="AG1097" s="29" t="s">
        <v>4756</v>
      </c>
      <c r="AH1097" s="28"/>
      <c r="AI1097" s="27"/>
      <c r="AJ1097" s="27"/>
      <c r="AK1097" s="27"/>
      <c r="AL1097" s="27"/>
      <c r="AM1097" s="27"/>
      <c r="AN1097" s="27" t="s">
        <v>4828</v>
      </c>
      <c r="AO1097" s="27"/>
      <c r="AP1097" s="27"/>
      <c r="AQ1097" s="27"/>
      <c r="AR1097" s="504"/>
      <c r="AS1097" s="332"/>
      <c r="AT1097" s="160"/>
    </row>
    <row r="1098" spans="1:46" ht="21.75" hidden="1" customHeight="1">
      <c r="A1098" s="331">
        <v>1097</v>
      </c>
      <c r="B1098" s="28" t="s">
        <v>348</v>
      </c>
      <c r="C1098" s="28" t="s">
        <v>4829</v>
      </c>
      <c r="D1098" s="438" t="s">
        <v>4753</v>
      </c>
      <c r="E1098" s="361" t="str">
        <f t="shared" ca="1" si="37"/>
        <v>LOSS</v>
      </c>
      <c r="F1098" s="29" t="s">
        <v>115</v>
      </c>
      <c r="G1098" s="28" t="s">
        <v>4830</v>
      </c>
      <c r="H1098" s="29" t="s">
        <v>2748</v>
      </c>
      <c r="I1098" s="29" t="s">
        <v>242</v>
      </c>
      <c r="J1098" s="28" t="s">
        <v>4831</v>
      </c>
      <c r="K1098" s="28"/>
      <c r="L1098" s="27"/>
      <c r="M1098" s="27"/>
      <c r="N1098" s="29"/>
      <c r="O1098" s="56"/>
      <c r="P1098" s="31">
        <v>72000000</v>
      </c>
      <c r="Q1098" s="31"/>
      <c r="R1098" s="27"/>
      <c r="S1098" s="32">
        <v>44049312</v>
      </c>
      <c r="T1098" s="33"/>
      <c r="U1098" s="334">
        <v>44180</v>
      </c>
      <c r="V1098" s="334">
        <v>44544</v>
      </c>
      <c r="W1098" s="27" t="s">
        <v>250</v>
      </c>
      <c r="X1098" s="27"/>
      <c r="Y1098" s="34">
        <f t="shared" ca="1" si="36"/>
        <v>46290</v>
      </c>
      <c r="Z1098" s="35">
        <f t="shared" ca="1" si="38"/>
        <v>-1746</v>
      </c>
      <c r="AA1098" s="27">
        <f t="shared" si="39"/>
        <v>12</v>
      </c>
      <c r="AB1098" s="27">
        <f t="shared" si="40"/>
        <v>2021</v>
      </c>
      <c r="AC1098" s="28" t="s">
        <v>479</v>
      </c>
      <c r="AD1098" s="28" t="s">
        <v>4832</v>
      </c>
      <c r="AE1098" s="27">
        <v>4500015510</v>
      </c>
      <c r="AF1098" s="27" t="s">
        <v>339</v>
      </c>
      <c r="AG1098" s="29" t="s">
        <v>4756</v>
      </c>
      <c r="AH1098" s="28"/>
      <c r="AI1098" s="27"/>
      <c r="AJ1098" s="27"/>
      <c r="AK1098" s="27"/>
      <c r="AL1098" s="27" t="s">
        <v>4833</v>
      </c>
      <c r="AM1098" s="27"/>
      <c r="AN1098" s="27"/>
      <c r="AO1098" s="27"/>
      <c r="AP1098" s="27"/>
      <c r="AQ1098" s="27"/>
      <c r="AR1098" s="504"/>
      <c r="AS1098" s="332"/>
      <c r="AT1098" s="160"/>
    </row>
    <row r="1099" spans="1:46" ht="21.75" hidden="1" customHeight="1">
      <c r="A1099" s="331">
        <v>1098</v>
      </c>
      <c r="B1099" s="28" t="s">
        <v>348</v>
      </c>
      <c r="C1099" s="28" t="s">
        <v>4834</v>
      </c>
      <c r="D1099" s="437" t="s">
        <v>4753</v>
      </c>
      <c r="E1099" s="361" t="str">
        <f t="shared" ca="1" si="37"/>
        <v>LOSS</v>
      </c>
      <c r="F1099" s="29" t="s">
        <v>115</v>
      </c>
      <c r="G1099" s="28" t="s">
        <v>4830</v>
      </c>
      <c r="H1099" s="29" t="s">
        <v>2748</v>
      </c>
      <c r="I1099" s="29" t="s">
        <v>242</v>
      </c>
      <c r="J1099" s="28" t="s">
        <v>1627</v>
      </c>
      <c r="K1099" s="28"/>
      <c r="L1099" s="27"/>
      <c r="M1099" s="27"/>
      <c r="N1099" s="29"/>
      <c r="O1099" s="56"/>
      <c r="P1099" s="31">
        <v>231600000</v>
      </c>
      <c r="Q1099" s="31"/>
      <c r="R1099" s="27"/>
      <c r="S1099" s="32">
        <v>115672752</v>
      </c>
      <c r="T1099" s="33"/>
      <c r="U1099" s="334">
        <v>44273</v>
      </c>
      <c r="V1099" s="334">
        <v>44637</v>
      </c>
      <c r="W1099" s="27" t="s">
        <v>250</v>
      </c>
      <c r="X1099" s="27"/>
      <c r="Y1099" s="34">
        <f t="shared" ref="Y1099:Y1162" ca="1" si="41">TODAY()</f>
        <v>46290</v>
      </c>
      <c r="Z1099" s="35">
        <f t="shared" ca="1" si="38"/>
        <v>-1653</v>
      </c>
      <c r="AA1099" s="27">
        <f t="shared" si="39"/>
        <v>3</v>
      </c>
      <c r="AB1099" s="27">
        <f t="shared" si="40"/>
        <v>2022</v>
      </c>
      <c r="AC1099" s="28" t="s">
        <v>479</v>
      </c>
      <c r="AD1099" s="28" t="s">
        <v>1628</v>
      </c>
      <c r="AE1099" s="27">
        <v>4500015961</v>
      </c>
      <c r="AF1099" s="27" t="s">
        <v>339</v>
      </c>
      <c r="AG1099" s="29" t="s">
        <v>4756</v>
      </c>
      <c r="AH1099" s="28"/>
      <c r="AI1099" s="27"/>
      <c r="AJ1099" s="27"/>
      <c r="AK1099" s="27"/>
      <c r="AL1099" s="27"/>
      <c r="AM1099" s="27" t="s">
        <v>4835</v>
      </c>
      <c r="AN1099" s="27"/>
      <c r="AO1099" s="27"/>
      <c r="AP1099" s="27"/>
      <c r="AQ1099" s="27"/>
      <c r="AR1099" s="504"/>
      <c r="AS1099" s="332"/>
      <c r="AT1099" s="160"/>
    </row>
    <row r="1100" spans="1:46" ht="21.75" hidden="1" customHeight="1">
      <c r="A1100" s="331">
        <v>1099</v>
      </c>
      <c r="B1100" s="28" t="s">
        <v>348</v>
      </c>
      <c r="C1100" s="28" t="s">
        <v>4836</v>
      </c>
      <c r="D1100" s="438" t="s">
        <v>4753</v>
      </c>
      <c r="E1100" s="361" t="str">
        <f t="shared" ca="1" si="37"/>
        <v>LOSS</v>
      </c>
      <c r="F1100" s="29" t="s">
        <v>115</v>
      </c>
      <c r="G1100" s="28" t="s">
        <v>4837</v>
      </c>
      <c r="H1100" s="29" t="s">
        <v>2748</v>
      </c>
      <c r="I1100" s="29" t="s">
        <v>242</v>
      </c>
      <c r="J1100" s="28" t="s">
        <v>4838</v>
      </c>
      <c r="K1100" s="28"/>
      <c r="L1100" s="27"/>
      <c r="M1100" s="27"/>
      <c r="N1100" s="29"/>
      <c r="O1100" s="56"/>
      <c r="P1100" s="31">
        <f>12*3900000</f>
        <v>46800000</v>
      </c>
      <c r="Q1100" s="31"/>
      <c r="R1100" s="27"/>
      <c r="S1100" s="32">
        <v>26143452</v>
      </c>
      <c r="T1100" s="33"/>
      <c r="U1100" s="334">
        <v>44869</v>
      </c>
      <c r="V1100" s="334">
        <v>45233</v>
      </c>
      <c r="W1100" s="27" t="s">
        <v>250</v>
      </c>
      <c r="X1100" s="27"/>
      <c r="Y1100" s="34">
        <f t="shared" ca="1" si="41"/>
        <v>46290</v>
      </c>
      <c r="Z1100" s="35">
        <f t="shared" ca="1" si="38"/>
        <v>-1057</v>
      </c>
      <c r="AA1100" s="27">
        <f t="shared" si="39"/>
        <v>11</v>
      </c>
      <c r="AB1100" s="27">
        <f t="shared" si="40"/>
        <v>2023</v>
      </c>
      <c r="AC1100" s="28" t="s">
        <v>479</v>
      </c>
      <c r="AD1100" s="28" t="s">
        <v>2090</v>
      </c>
      <c r="AE1100" s="27">
        <v>4500019286</v>
      </c>
      <c r="AF1100" s="27" t="s">
        <v>339</v>
      </c>
      <c r="AG1100" s="29" t="s">
        <v>4756</v>
      </c>
      <c r="AH1100" s="28"/>
      <c r="AI1100" s="27"/>
      <c r="AJ1100" s="27"/>
      <c r="AK1100" s="27"/>
      <c r="AL1100" s="27"/>
      <c r="AM1100" s="27"/>
      <c r="AN1100" s="27" t="s">
        <v>4839</v>
      </c>
      <c r="AO1100" s="27"/>
      <c r="AP1100" s="27"/>
      <c r="AQ1100" s="27"/>
      <c r="AR1100" s="504"/>
      <c r="AS1100" s="332"/>
      <c r="AT1100" s="160"/>
    </row>
    <row r="1101" spans="1:46" ht="21.75" hidden="1" customHeight="1">
      <c r="A1101" s="331">
        <v>1100</v>
      </c>
      <c r="B1101" s="28" t="s">
        <v>348</v>
      </c>
      <c r="C1101" s="28" t="s">
        <v>4836</v>
      </c>
      <c r="D1101" s="437" t="s">
        <v>4753</v>
      </c>
      <c r="E1101" s="361" t="str">
        <f t="shared" ca="1" si="37"/>
        <v>LOSS</v>
      </c>
      <c r="F1101" s="29"/>
      <c r="G1101" s="28" t="s">
        <v>4837</v>
      </c>
      <c r="H1101" s="29" t="s">
        <v>2748</v>
      </c>
      <c r="I1101" s="29" t="s">
        <v>242</v>
      </c>
      <c r="J1101" s="28" t="s">
        <v>4838</v>
      </c>
      <c r="K1101" s="28"/>
      <c r="L1101" s="27"/>
      <c r="M1101" s="27"/>
      <c r="N1101" s="29"/>
      <c r="O1101" s="56"/>
      <c r="P1101" s="31">
        <v>4357242</v>
      </c>
      <c r="Q1101" s="31"/>
      <c r="R1101" s="27"/>
      <c r="S1101" s="32">
        <f>3900000*2</f>
        <v>7800000</v>
      </c>
      <c r="T1101" s="33"/>
      <c r="U1101" s="334">
        <v>45231</v>
      </c>
      <c r="V1101" s="334">
        <v>45291</v>
      </c>
      <c r="W1101" s="27" t="s">
        <v>250</v>
      </c>
      <c r="X1101" s="27"/>
      <c r="Y1101" s="34">
        <f t="shared" ca="1" si="41"/>
        <v>46290</v>
      </c>
      <c r="Z1101" s="35">
        <f t="shared" ca="1" si="38"/>
        <v>-999</v>
      </c>
      <c r="AA1101" s="27">
        <f t="shared" si="39"/>
        <v>12</v>
      </c>
      <c r="AB1101" s="27">
        <f t="shared" si="40"/>
        <v>2023</v>
      </c>
      <c r="AC1101" s="28"/>
      <c r="AD1101" s="28"/>
      <c r="AE1101" s="27"/>
      <c r="AF1101" s="27"/>
      <c r="AG1101" s="29"/>
      <c r="AH1101" s="28"/>
      <c r="AI1101" s="27"/>
      <c r="AJ1101" s="27"/>
      <c r="AK1101" s="27"/>
      <c r="AL1101" s="27"/>
      <c r="AM1101" s="27"/>
      <c r="AN1101" s="27"/>
      <c r="AO1101" s="27"/>
      <c r="AP1101" s="27"/>
      <c r="AQ1101" s="27"/>
      <c r="AR1101" s="504"/>
      <c r="AS1101" s="332"/>
      <c r="AT1101" s="160"/>
    </row>
    <row r="1102" spans="1:46" ht="21.75" hidden="1" customHeight="1">
      <c r="A1102" s="331">
        <v>1101</v>
      </c>
      <c r="B1102" s="28" t="s">
        <v>348</v>
      </c>
      <c r="C1102" s="28" t="s">
        <v>4836</v>
      </c>
      <c r="D1102" s="438" t="s">
        <v>4753</v>
      </c>
      <c r="E1102" s="361" t="str">
        <f t="shared" ca="1" si="37"/>
        <v>LOSS</v>
      </c>
      <c r="F1102" s="29"/>
      <c r="G1102" s="28" t="s">
        <v>4837</v>
      </c>
      <c r="H1102" s="29" t="s">
        <v>2748</v>
      </c>
      <c r="I1102" s="29" t="s">
        <v>242</v>
      </c>
      <c r="J1102" s="28" t="s">
        <v>4838</v>
      </c>
      <c r="K1102" s="28"/>
      <c r="L1102" s="27"/>
      <c r="M1102" s="27"/>
      <c r="N1102" s="29"/>
      <c r="O1102" s="56"/>
      <c r="P1102" s="31">
        <f>3900000*12</f>
        <v>46800000</v>
      </c>
      <c r="Q1102" s="31"/>
      <c r="R1102" s="27"/>
      <c r="S1102" s="32">
        <f>2544690*12</f>
        <v>30536280</v>
      </c>
      <c r="T1102" s="33"/>
      <c r="U1102" s="334">
        <v>45292</v>
      </c>
      <c r="V1102" s="334">
        <v>45657</v>
      </c>
      <c r="W1102" s="27" t="s">
        <v>17</v>
      </c>
      <c r="X1102" s="27"/>
      <c r="Y1102" s="34">
        <f t="shared" ca="1" si="41"/>
        <v>46290</v>
      </c>
      <c r="Z1102" s="35">
        <f t="shared" ca="1" si="38"/>
        <v>-633</v>
      </c>
      <c r="AA1102" s="27">
        <f t="shared" si="39"/>
        <v>12</v>
      </c>
      <c r="AB1102" s="27">
        <f t="shared" si="40"/>
        <v>2024</v>
      </c>
      <c r="AC1102" s="28"/>
      <c r="AD1102" s="28"/>
      <c r="AE1102" s="27"/>
      <c r="AF1102" s="27"/>
      <c r="AG1102" s="29"/>
      <c r="AH1102" s="28"/>
      <c r="AI1102" s="27"/>
      <c r="AJ1102" s="27"/>
      <c r="AK1102" s="27"/>
      <c r="AL1102" s="27"/>
      <c r="AM1102" s="27"/>
      <c r="AN1102" s="27"/>
      <c r="AO1102" s="27"/>
      <c r="AP1102" s="27"/>
      <c r="AQ1102" s="27"/>
      <c r="AR1102" s="504"/>
      <c r="AS1102" s="332"/>
      <c r="AT1102" s="160"/>
    </row>
    <row r="1103" spans="1:46" ht="21.75" hidden="1" customHeight="1">
      <c r="A1103" s="331">
        <v>1102</v>
      </c>
      <c r="B1103" s="28" t="s">
        <v>348</v>
      </c>
      <c r="C1103" s="28" t="s">
        <v>4840</v>
      </c>
      <c r="D1103" s="437" t="s">
        <v>4753</v>
      </c>
      <c r="E1103" s="361" t="str">
        <f t="shared" ca="1" si="37"/>
        <v>LOSS</v>
      </c>
      <c r="F1103" s="29" t="s">
        <v>115</v>
      </c>
      <c r="G1103" s="28" t="s">
        <v>4841</v>
      </c>
      <c r="H1103" s="29" t="s">
        <v>2748</v>
      </c>
      <c r="I1103" s="29" t="s">
        <v>242</v>
      </c>
      <c r="J1103" s="28" t="s">
        <v>2221</v>
      </c>
      <c r="K1103" s="28"/>
      <c r="L1103" s="27"/>
      <c r="M1103" s="27"/>
      <c r="N1103" s="29"/>
      <c r="O1103" s="56"/>
      <c r="P1103" s="31">
        <f>12*2490000</f>
        <v>29880000</v>
      </c>
      <c r="Q1103" s="31"/>
      <c r="R1103" s="27"/>
      <c r="S1103" s="32">
        <v>15399936</v>
      </c>
      <c r="T1103" s="33"/>
      <c r="U1103" s="334">
        <v>44643</v>
      </c>
      <c r="V1103" s="334">
        <v>45007</v>
      </c>
      <c r="W1103" s="27" t="s">
        <v>250</v>
      </c>
      <c r="X1103" s="27"/>
      <c r="Y1103" s="34">
        <f t="shared" ca="1" si="41"/>
        <v>46290</v>
      </c>
      <c r="Z1103" s="35">
        <f t="shared" ca="1" si="38"/>
        <v>-1283</v>
      </c>
      <c r="AA1103" s="27">
        <f t="shared" si="39"/>
        <v>3</v>
      </c>
      <c r="AB1103" s="27">
        <f t="shared" si="40"/>
        <v>2023</v>
      </c>
      <c r="AC1103" s="28" t="s">
        <v>479</v>
      </c>
      <c r="AD1103" s="28" t="s">
        <v>2222</v>
      </c>
      <c r="AE1103" s="27">
        <v>4500017834</v>
      </c>
      <c r="AF1103" s="27" t="s">
        <v>339</v>
      </c>
      <c r="AG1103" s="29" t="s">
        <v>4756</v>
      </c>
      <c r="AH1103" s="28"/>
      <c r="AI1103" s="27"/>
      <c r="AJ1103" s="27"/>
      <c r="AK1103" s="27"/>
      <c r="AL1103" s="27"/>
      <c r="AM1103" s="27"/>
      <c r="AN1103" s="27" t="s">
        <v>4842</v>
      </c>
      <c r="AO1103" s="27"/>
      <c r="AP1103" s="27"/>
      <c r="AQ1103" s="27"/>
      <c r="AR1103" s="504"/>
      <c r="AS1103" s="332"/>
      <c r="AT1103" s="160"/>
    </row>
    <row r="1104" spans="1:46" ht="21.75" hidden="1" customHeight="1">
      <c r="A1104" s="331">
        <v>1103</v>
      </c>
      <c r="B1104" s="28" t="s">
        <v>348</v>
      </c>
      <c r="C1104" s="28" t="s">
        <v>4840</v>
      </c>
      <c r="D1104" s="438" t="s">
        <v>4753</v>
      </c>
      <c r="E1104" s="361" t="str">
        <f t="shared" ca="1" si="37"/>
        <v>LOSS</v>
      </c>
      <c r="F1104" s="29"/>
      <c r="G1104" s="28" t="s">
        <v>4841</v>
      </c>
      <c r="H1104" s="29" t="s">
        <v>2748</v>
      </c>
      <c r="I1104" s="29" t="s">
        <v>242</v>
      </c>
      <c r="J1104" s="28" t="s">
        <v>2221</v>
      </c>
      <c r="K1104" s="28"/>
      <c r="L1104" s="27"/>
      <c r="M1104" s="27"/>
      <c r="N1104" s="29"/>
      <c r="O1104" s="56"/>
      <c r="P1104" s="31">
        <v>4980000</v>
      </c>
      <c r="Q1104" s="31"/>
      <c r="R1104" s="27"/>
      <c r="S1104" s="32">
        <f>1283328*2</f>
        <v>2566656</v>
      </c>
      <c r="T1104" s="33"/>
      <c r="U1104" s="334">
        <v>45231</v>
      </c>
      <c r="V1104" s="334">
        <v>45291</v>
      </c>
      <c r="W1104" s="27" t="s">
        <v>250</v>
      </c>
      <c r="X1104" s="27"/>
      <c r="Y1104" s="34">
        <f t="shared" ca="1" si="41"/>
        <v>46290</v>
      </c>
      <c r="Z1104" s="35">
        <f t="shared" ca="1" si="38"/>
        <v>-999</v>
      </c>
      <c r="AA1104" s="27">
        <f t="shared" si="39"/>
        <v>12</v>
      </c>
      <c r="AB1104" s="27">
        <f t="shared" si="40"/>
        <v>2023</v>
      </c>
      <c r="AC1104" s="28"/>
      <c r="AD1104" s="28"/>
      <c r="AE1104" s="27"/>
      <c r="AF1104" s="27"/>
      <c r="AG1104" s="29"/>
      <c r="AH1104" s="28"/>
      <c r="AI1104" s="27"/>
      <c r="AJ1104" s="27"/>
      <c r="AK1104" s="27"/>
      <c r="AL1104" s="27"/>
      <c r="AM1104" s="27"/>
      <c r="AN1104" s="27"/>
      <c r="AO1104" s="27"/>
      <c r="AP1104" s="27"/>
      <c r="AQ1104" s="27"/>
      <c r="AR1104" s="504"/>
      <c r="AS1104" s="332"/>
      <c r="AT1104" s="160"/>
    </row>
    <row r="1105" spans="1:46" ht="21.75" hidden="1" customHeight="1">
      <c r="A1105" s="331">
        <v>1104</v>
      </c>
      <c r="B1105" s="28" t="s">
        <v>348</v>
      </c>
      <c r="C1105" s="28" t="s">
        <v>4840</v>
      </c>
      <c r="D1105" s="437" t="s">
        <v>4753</v>
      </c>
      <c r="E1105" s="361" t="str">
        <f t="shared" ca="1" si="37"/>
        <v>LOSS</v>
      </c>
      <c r="F1105" s="29"/>
      <c r="G1105" s="28" t="s">
        <v>4841</v>
      </c>
      <c r="H1105" s="29" t="s">
        <v>2748</v>
      </c>
      <c r="I1105" s="29" t="s">
        <v>242</v>
      </c>
      <c r="J1105" s="28" t="s">
        <v>2221</v>
      </c>
      <c r="K1105" s="28"/>
      <c r="L1105" s="27"/>
      <c r="M1105" s="27"/>
      <c r="N1105" s="29"/>
      <c r="O1105" s="56"/>
      <c r="P1105" s="31">
        <f>2490000*12</f>
        <v>29880000</v>
      </c>
      <c r="Q1105" s="31"/>
      <c r="R1105" s="27"/>
      <c r="S1105" s="32">
        <f>1456662*12</f>
        <v>17479944</v>
      </c>
      <c r="T1105" s="33"/>
      <c r="U1105" s="334">
        <v>45292</v>
      </c>
      <c r="V1105" s="334">
        <v>45657</v>
      </c>
      <c r="W1105" s="27" t="s">
        <v>17</v>
      </c>
      <c r="X1105" s="27"/>
      <c r="Y1105" s="34">
        <f t="shared" ca="1" si="41"/>
        <v>46290</v>
      </c>
      <c r="Z1105" s="35">
        <f t="shared" ca="1" si="38"/>
        <v>-633</v>
      </c>
      <c r="AA1105" s="27">
        <f t="shared" si="39"/>
        <v>12</v>
      </c>
      <c r="AB1105" s="27">
        <f t="shared" si="40"/>
        <v>2024</v>
      </c>
      <c r="AC1105" s="28"/>
      <c r="AD1105" s="28"/>
      <c r="AE1105" s="27"/>
      <c r="AF1105" s="27"/>
      <c r="AG1105" s="29"/>
      <c r="AH1105" s="28"/>
      <c r="AI1105" s="27"/>
      <c r="AJ1105" s="27"/>
      <c r="AK1105" s="27"/>
      <c r="AL1105" s="27"/>
      <c r="AM1105" s="27"/>
      <c r="AN1105" s="27"/>
      <c r="AO1105" s="27"/>
      <c r="AP1105" s="27"/>
      <c r="AQ1105" s="27"/>
      <c r="AR1105" s="504"/>
      <c r="AS1105" s="332"/>
      <c r="AT1105" s="160"/>
    </row>
    <row r="1106" spans="1:46" ht="21.75" hidden="1" customHeight="1">
      <c r="A1106" s="331">
        <v>1105</v>
      </c>
      <c r="B1106" s="28" t="s">
        <v>348</v>
      </c>
      <c r="C1106" s="28" t="s">
        <v>4840</v>
      </c>
      <c r="D1106" s="438" t="s">
        <v>4753</v>
      </c>
      <c r="E1106" s="361" t="str">
        <f t="shared" ca="1" si="37"/>
        <v>LOSS</v>
      </c>
      <c r="F1106" s="29" t="s">
        <v>115</v>
      </c>
      <c r="G1106" s="28" t="s">
        <v>4843</v>
      </c>
      <c r="H1106" s="29" t="s">
        <v>2748</v>
      </c>
      <c r="I1106" s="29" t="s">
        <v>242</v>
      </c>
      <c r="J1106" s="28" t="s">
        <v>2218</v>
      </c>
      <c r="K1106" s="28"/>
      <c r="L1106" s="27"/>
      <c r="M1106" s="27"/>
      <c r="N1106" s="29"/>
      <c r="O1106" s="56"/>
      <c r="P1106" s="31">
        <f>12*2490000</f>
        <v>29880000</v>
      </c>
      <c r="Q1106" s="31"/>
      <c r="R1106" s="27"/>
      <c r="S1106" s="32">
        <v>15399936</v>
      </c>
      <c r="T1106" s="33"/>
      <c r="U1106" s="334">
        <v>44650</v>
      </c>
      <c r="V1106" s="334">
        <v>45014</v>
      </c>
      <c r="W1106" s="27" t="s">
        <v>250</v>
      </c>
      <c r="X1106" s="27"/>
      <c r="Y1106" s="34">
        <f t="shared" ca="1" si="41"/>
        <v>46290</v>
      </c>
      <c r="Z1106" s="35">
        <f t="shared" ca="1" si="38"/>
        <v>-1276</v>
      </c>
      <c r="AA1106" s="27">
        <f t="shared" si="39"/>
        <v>3</v>
      </c>
      <c r="AB1106" s="27">
        <f t="shared" si="40"/>
        <v>2023</v>
      </c>
      <c r="AC1106" s="28" t="s">
        <v>479</v>
      </c>
      <c r="AD1106" s="28" t="s">
        <v>2219</v>
      </c>
      <c r="AE1106" s="27">
        <v>4500017836</v>
      </c>
      <c r="AF1106" s="27" t="s">
        <v>339</v>
      </c>
      <c r="AG1106" s="29" t="s">
        <v>4756</v>
      </c>
      <c r="AH1106" s="28"/>
      <c r="AI1106" s="27"/>
      <c r="AJ1106" s="27"/>
      <c r="AK1106" s="27"/>
      <c r="AL1106" s="27"/>
      <c r="AM1106" s="27"/>
      <c r="AN1106" s="27" t="s">
        <v>4844</v>
      </c>
      <c r="AO1106" s="27"/>
      <c r="AP1106" s="27"/>
      <c r="AQ1106" s="27"/>
      <c r="AR1106" s="504"/>
      <c r="AS1106" s="332"/>
      <c r="AT1106" s="160"/>
    </row>
    <row r="1107" spans="1:46" ht="21.75" hidden="1" customHeight="1">
      <c r="A1107" s="331">
        <v>1106</v>
      </c>
      <c r="B1107" s="28" t="s">
        <v>348</v>
      </c>
      <c r="C1107" s="28" t="s">
        <v>4840</v>
      </c>
      <c r="D1107" s="437" t="s">
        <v>4753</v>
      </c>
      <c r="E1107" s="361" t="str">
        <f t="shared" ca="1" si="37"/>
        <v>LOSS</v>
      </c>
      <c r="F1107" s="29"/>
      <c r="G1107" s="28" t="s">
        <v>4843</v>
      </c>
      <c r="H1107" s="29" t="s">
        <v>2748</v>
      </c>
      <c r="I1107" s="29" t="s">
        <v>242</v>
      </c>
      <c r="J1107" s="28" t="s">
        <v>2218</v>
      </c>
      <c r="K1107" s="28"/>
      <c r="L1107" s="27"/>
      <c r="M1107" s="27"/>
      <c r="N1107" s="29"/>
      <c r="O1107" s="56"/>
      <c r="P1107" s="31">
        <f>2490000*2</f>
        <v>4980000</v>
      </c>
      <c r="Q1107" s="31"/>
      <c r="R1107" s="27"/>
      <c r="S1107" s="32">
        <f>1283328*2</f>
        <v>2566656</v>
      </c>
      <c r="T1107" s="33"/>
      <c r="U1107" s="334">
        <v>45231</v>
      </c>
      <c r="V1107" s="334">
        <v>45291</v>
      </c>
      <c r="W1107" s="27" t="s">
        <v>250</v>
      </c>
      <c r="X1107" s="27"/>
      <c r="Y1107" s="34">
        <f t="shared" ca="1" si="41"/>
        <v>46290</v>
      </c>
      <c r="Z1107" s="35">
        <f t="shared" ca="1" si="38"/>
        <v>-999</v>
      </c>
      <c r="AA1107" s="27">
        <f t="shared" si="39"/>
        <v>12</v>
      </c>
      <c r="AB1107" s="27">
        <f t="shared" si="40"/>
        <v>2023</v>
      </c>
      <c r="AC1107" s="28"/>
      <c r="AD1107" s="28"/>
      <c r="AE1107" s="27"/>
      <c r="AF1107" s="27"/>
      <c r="AG1107" s="29"/>
      <c r="AH1107" s="28"/>
      <c r="AI1107" s="27"/>
      <c r="AJ1107" s="27"/>
      <c r="AK1107" s="27"/>
      <c r="AL1107" s="27"/>
      <c r="AM1107" s="27"/>
      <c r="AN1107" s="27"/>
      <c r="AO1107" s="27"/>
      <c r="AP1107" s="27"/>
      <c r="AQ1107" s="27"/>
      <c r="AR1107" s="504"/>
      <c r="AS1107" s="332"/>
      <c r="AT1107" s="160"/>
    </row>
    <row r="1108" spans="1:46" ht="21.75" hidden="1" customHeight="1">
      <c r="A1108" s="331">
        <v>1107</v>
      </c>
      <c r="B1108" s="28" t="s">
        <v>348</v>
      </c>
      <c r="C1108" s="28" t="s">
        <v>4840</v>
      </c>
      <c r="D1108" s="438" t="s">
        <v>4753</v>
      </c>
      <c r="E1108" s="361" t="str">
        <f t="shared" ca="1" si="37"/>
        <v>LOSS</v>
      </c>
      <c r="F1108" s="29"/>
      <c r="G1108" s="28" t="s">
        <v>4843</v>
      </c>
      <c r="H1108" s="29" t="s">
        <v>2748</v>
      </c>
      <c r="I1108" s="29" t="s">
        <v>242</v>
      </c>
      <c r="J1108" s="28" t="s">
        <v>2218</v>
      </c>
      <c r="K1108" s="28"/>
      <c r="L1108" s="27"/>
      <c r="M1108" s="27"/>
      <c r="N1108" s="29"/>
      <c r="O1108" s="56"/>
      <c r="P1108" s="31">
        <f>2490000*12</f>
        <v>29880000</v>
      </c>
      <c r="Q1108" s="31"/>
      <c r="R1108" s="27"/>
      <c r="S1108" s="32">
        <f>1456662*12</f>
        <v>17479944</v>
      </c>
      <c r="T1108" s="33"/>
      <c r="U1108" s="334">
        <v>45292</v>
      </c>
      <c r="V1108" s="334">
        <v>45657</v>
      </c>
      <c r="W1108" s="27" t="s">
        <v>17</v>
      </c>
      <c r="X1108" s="27"/>
      <c r="Y1108" s="34">
        <f t="shared" ca="1" si="41"/>
        <v>46290</v>
      </c>
      <c r="Z1108" s="35">
        <f t="shared" ca="1" si="38"/>
        <v>-633</v>
      </c>
      <c r="AA1108" s="27">
        <f t="shared" si="39"/>
        <v>12</v>
      </c>
      <c r="AB1108" s="27">
        <f t="shared" si="40"/>
        <v>2024</v>
      </c>
      <c r="AC1108" s="28"/>
      <c r="AD1108" s="28"/>
      <c r="AE1108" s="27"/>
      <c r="AF1108" s="27"/>
      <c r="AG1108" s="29"/>
      <c r="AH1108" s="28"/>
      <c r="AI1108" s="27"/>
      <c r="AJ1108" s="27"/>
      <c r="AK1108" s="27"/>
      <c r="AL1108" s="27"/>
      <c r="AM1108" s="27"/>
      <c r="AN1108" s="27"/>
      <c r="AO1108" s="27"/>
      <c r="AP1108" s="27"/>
      <c r="AQ1108" s="27"/>
      <c r="AR1108" s="504"/>
      <c r="AS1108" s="332"/>
      <c r="AT1108" s="160"/>
    </row>
    <row r="1109" spans="1:46" ht="21.75" hidden="1" customHeight="1">
      <c r="A1109" s="331">
        <v>1108</v>
      </c>
      <c r="B1109" s="28" t="s">
        <v>348</v>
      </c>
      <c r="C1109" s="28" t="s">
        <v>4845</v>
      </c>
      <c r="D1109" s="437" t="s">
        <v>4753</v>
      </c>
      <c r="E1109" s="361" t="str">
        <f t="shared" ca="1" si="37"/>
        <v>LOSS</v>
      </c>
      <c r="F1109" s="29" t="s">
        <v>4846</v>
      </c>
      <c r="G1109" s="28" t="s">
        <v>4847</v>
      </c>
      <c r="H1109" s="29" t="s">
        <v>2748</v>
      </c>
      <c r="I1109" s="29" t="s">
        <v>242</v>
      </c>
      <c r="J1109" s="28" t="s">
        <v>2572</v>
      </c>
      <c r="K1109" s="28"/>
      <c r="L1109" s="27"/>
      <c r="M1109" s="27"/>
      <c r="N1109" s="29"/>
      <c r="O1109" s="56"/>
      <c r="P1109" s="31">
        <f>12*4000000</f>
        <v>48000000</v>
      </c>
      <c r="Q1109" s="31"/>
      <c r="R1109" s="27"/>
      <c r="S1109" s="32">
        <v>26143452</v>
      </c>
      <c r="T1109" s="33"/>
      <c r="U1109" s="334">
        <v>44768</v>
      </c>
      <c r="V1109" s="334">
        <v>45132</v>
      </c>
      <c r="W1109" s="27" t="s">
        <v>250</v>
      </c>
      <c r="X1109" s="27"/>
      <c r="Y1109" s="34">
        <f t="shared" ca="1" si="41"/>
        <v>46290</v>
      </c>
      <c r="Z1109" s="35">
        <f t="shared" ca="1" si="38"/>
        <v>-1158</v>
      </c>
      <c r="AA1109" s="27">
        <f t="shared" si="39"/>
        <v>7</v>
      </c>
      <c r="AB1109" s="27">
        <f t="shared" si="40"/>
        <v>2023</v>
      </c>
      <c r="AC1109" s="28" t="s">
        <v>479</v>
      </c>
      <c r="AD1109" s="28" t="s">
        <v>4848</v>
      </c>
      <c r="AE1109" s="27">
        <v>4500018458</v>
      </c>
      <c r="AF1109" s="27" t="s">
        <v>339</v>
      </c>
      <c r="AG1109" s="29" t="s">
        <v>4756</v>
      </c>
      <c r="AH1109" s="28"/>
      <c r="AI1109" s="27"/>
      <c r="AJ1109" s="27"/>
      <c r="AK1109" s="27"/>
      <c r="AL1109" s="27"/>
      <c r="AM1109" s="27"/>
      <c r="AN1109" s="27" t="s">
        <v>4849</v>
      </c>
      <c r="AO1109" s="27"/>
      <c r="AP1109" s="27"/>
      <c r="AQ1109" s="27"/>
      <c r="AR1109" s="504"/>
      <c r="AS1109" s="332"/>
      <c r="AT1109" s="160"/>
    </row>
    <row r="1110" spans="1:46" ht="21.75" hidden="1" customHeight="1">
      <c r="A1110" s="331">
        <v>1109</v>
      </c>
      <c r="B1110" s="28" t="s">
        <v>348</v>
      </c>
      <c r="C1110" s="28" t="s">
        <v>4845</v>
      </c>
      <c r="D1110" s="438" t="s">
        <v>4753</v>
      </c>
      <c r="E1110" s="361" t="str">
        <f t="shared" ca="1" si="37"/>
        <v>LOSS</v>
      </c>
      <c r="F1110" s="29" t="s">
        <v>4846</v>
      </c>
      <c r="G1110" s="28" t="s">
        <v>4847</v>
      </c>
      <c r="H1110" s="29" t="s">
        <v>2748</v>
      </c>
      <c r="I1110" s="29" t="s">
        <v>242</v>
      </c>
      <c r="J1110" s="28" t="s">
        <v>2572</v>
      </c>
      <c r="K1110" s="28"/>
      <c r="L1110" s="27"/>
      <c r="M1110" s="27"/>
      <c r="N1110" s="29"/>
      <c r="O1110" s="56"/>
      <c r="P1110" s="31">
        <f>4000000*2</f>
        <v>8000000</v>
      </c>
      <c r="Q1110" s="31"/>
      <c r="R1110" s="27"/>
      <c r="S1110" s="32">
        <f>2178621*2</f>
        <v>4357242</v>
      </c>
      <c r="T1110" s="33"/>
      <c r="U1110" s="334">
        <v>45231</v>
      </c>
      <c r="V1110" s="334">
        <v>45291</v>
      </c>
      <c r="W1110" s="27" t="s">
        <v>250</v>
      </c>
      <c r="X1110" s="27"/>
      <c r="Y1110" s="34">
        <f t="shared" ca="1" si="41"/>
        <v>46290</v>
      </c>
      <c r="Z1110" s="35">
        <f t="shared" ca="1" si="38"/>
        <v>-999</v>
      </c>
      <c r="AA1110" s="27">
        <f t="shared" si="39"/>
        <v>12</v>
      </c>
      <c r="AB1110" s="27">
        <f t="shared" si="40"/>
        <v>2023</v>
      </c>
      <c r="AC1110" s="28"/>
      <c r="AD1110" s="28"/>
      <c r="AE1110" s="27"/>
      <c r="AF1110" s="27"/>
      <c r="AG1110" s="29"/>
      <c r="AH1110" s="28"/>
      <c r="AI1110" s="27"/>
      <c r="AJ1110" s="27"/>
      <c r="AK1110" s="27"/>
      <c r="AL1110" s="27"/>
      <c r="AM1110" s="27"/>
      <c r="AN1110" s="27"/>
      <c r="AO1110" s="27"/>
      <c r="AP1110" s="27"/>
      <c r="AQ1110" s="27"/>
      <c r="AR1110" s="504"/>
      <c r="AS1110" s="332"/>
      <c r="AT1110" s="160"/>
    </row>
    <row r="1111" spans="1:46" ht="21.75" hidden="1" customHeight="1">
      <c r="A1111" s="331">
        <v>1110</v>
      </c>
      <c r="B1111" s="28" t="s">
        <v>348</v>
      </c>
      <c r="C1111" s="28" t="s">
        <v>4845</v>
      </c>
      <c r="D1111" s="437" t="s">
        <v>4753</v>
      </c>
      <c r="E1111" s="361" t="str">
        <f t="shared" ca="1" si="37"/>
        <v>LOSS</v>
      </c>
      <c r="F1111" s="29" t="s">
        <v>4846</v>
      </c>
      <c r="G1111" s="28" t="s">
        <v>4847</v>
      </c>
      <c r="H1111" s="29" t="s">
        <v>2748</v>
      </c>
      <c r="I1111" s="29" t="s">
        <v>242</v>
      </c>
      <c r="J1111" s="28" t="s">
        <v>2572</v>
      </c>
      <c r="K1111" s="28"/>
      <c r="L1111" s="27"/>
      <c r="M1111" s="27"/>
      <c r="N1111" s="29"/>
      <c r="O1111" s="56"/>
      <c r="P1111" s="31">
        <f>4000000*12</f>
        <v>48000000</v>
      </c>
      <c r="Q1111" s="31"/>
      <c r="R1111" s="27"/>
      <c r="S1111" s="32">
        <f>2546990*12</f>
        <v>30563880</v>
      </c>
      <c r="T1111" s="33"/>
      <c r="U1111" s="334">
        <v>45292</v>
      </c>
      <c r="V1111" s="334">
        <v>45657</v>
      </c>
      <c r="W1111" s="27" t="s">
        <v>17</v>
      </c>
      <c r="X1111" s="27"/>
      <c r="Y1111" s="34">
        <f t="shared" ca="1" si="41"/>
        <v>46290</v>
      </c>
      <c r="Z1111" s="35">
        <f t="shared" ca="1" si="38"/>
        <v>-633</v>
      </c>
      <c r="AA1111" s="27">
        <f t="shared" si="39"/>
        <v>12</v>
      </c>
      <c r="AB1111" s="27">
        <f t="shared" si="40"/>
        <v>2024</v>
      </c>
      <c r="AC1111" s="28"/>
      <c r="AD1111" s="28"/>
      <c r="AE1111" s="27"/>
      <c r="AF1111" s="27"/>
      <c r="AG1111" s="29"/>
      <c r="AH1111" s="28"/>
      <c r="AI1111" s="27"/>
      <c r="AJ1111" s="27"/>
      <c r="AK1111" s="27"/>
      <c r="AL1111" s="27"/>
      <c r="AM1111" s="27"/>
      <c r="AN1111" s="27"/>
      <c r="AO1111" s="27"/>
      <c r="AP1111" s="27"/>
      <c r="AQ1111" s="27"/>
      <c r="AR1111" s="504"/>
      <c r="AS1111" s="332"/>
      <c r="AT1111" s="160"/>
    </row>
    <row r="1112" spans="1:46" ht="21.75" hidden="1" customHeight="1">
      <c r="A1112" s="331">
        <v>1111</v>
      </c>
      <c r="B1112" s="28" t="s">
        <v>348</v>
      </c>
      <c r="C1112" s="28" t="s">
        <v>4850</v>
      </c>
      <c r="D1112" s="438" t="s">
        <v>4753</v>
      </c>
      <c r="E1112" s="361" t="str">
        <f t="shared" ca="1" si="37"/>
        <v>LOSS</v>
      </c>
      <c r="F1112" s="29" t="s">
        <v>115</v>
      </c>
      <c r="G1112" s="28" t="s">
        <v>4851</v>
      </c>
      <c r="H1112" s="29" t="s">
        <v>2748</v>
      </c>
      <c r="I1112" s="29" t="s">
        <v>242</v>
      </c>
      <c r="J1112" s="28" t="s">
        <v>4852</v>
      </c>
      <c r="K1112" s="28"/>
      <c r="L1112" s="27"/>
      <c r="M1112" s="27"/>
      <c r="N1112" s="29"/>
      <c r="O1112" s="56"/>
      <c r="P1112" s="31">
        <f>12*8500000</f>
        <v>102000000</v>
      </c>
      <c r="Q1112" s="31"/>
      <c r="R1112" s="27"/>
      <c r="S1112" s="32">
        <v>6735428</v>
      </c>
      <c r="T1112" s="33"/>
      <c r="U1112" s="334">
        <v>44991</v>
      </c>
      <c r="V1112" s="334">
        <v>45199</v>
      </c>
      <c r="W1112" s="27" t="s">
        <v>250</v>
      </c>
      <c r="X1112" s="27"/>
      <c r="Y1112" s="34">
        <f t="shared" ca="1" si="41"/>
        <v>46290</v>
      </c>
      <c r="Z1112" s="35">
        <f t="shared" ca="1" si="38"/>
        <v>-1091</v>
      </c>
      <c r="AA1112" s="27">
        <f t="shared" si="39"/>
        <v>9</v>
      </c>
      <c r="AB1112" s="27">
        <f t="shared" si="40"/>
        <v>2023</v>
      </c>
      <c r="AC1112" s="28" t="s">
        <v>479</v>
      </c>
      <c r="AD1112" s="28" t="s">
        <v>4853</v>
      </c>
      <c r="AE1112" s="27">
        <v>4500020165</v>
      </c>
      <c r="AF1112" s="27" t="s">
        <v>339</v>
      </c>
      <c r="AG1112" s="29" t="s">
        <v>4756</v>
      </c>
      <c r="AH1112" s="28"/>
      <c r="AI1112" s="27"/>
      <c r="AJ1112" s="27"/>
      <c r="AK1112" s="27"/>
      <c r="AL1112" s="27"/>
      <c r="AM1112" s="27"/>
      <c r="AN1112" s="27"/>
      <c r="AO1112" s="27" t="s">
        <v>4854</v>
      </c>
      <c r="AP1112" s="27"/>
      <c r="AQ1112" s="27"/>
      <c r="AR1112" s="504"/>
      <c r="AS1112" s="332"/>
      <c r="AT1112" s="160"/>
    </row>
    <row r="1113" spans="1:46" ht="21.75" hidden="1" customHeight="1">
      <c r="A1113" s="331">
        <v>1112</v>
      </c>
      <c r="B1113" s="28" t="s">
        <v>348</v>
      </c>
      <c r="C1113" s="28" t="s">
        <v>4850</v>
      </c>
      <c r="D1113" s="437" t="s">
        <v>4753</v>
      </c>
      <c r="E1113" s="361" t="str">
        <f t="shared" ca="1" si="37"/>
        <v>LOSS</v>
      </c>
      <c r="F1113" s="29"/>
      <c r="G1113" s="28" t="s">
        <v>4851</v>
      </c>
      <c r="H1113" s="29" t="s">
        <v>2748</v>
      </c>
      <c r="I1113" s="29" t="s">
        <v>242</v>
      </c>
      <c r="J1113" s="28" t="s">
        <v>4852</v>
      </c>
      <c r="K1113" s="28"/>
      <c r="L1113" s="27"/>
      <c r="M1113" s="27"/>
      <c r="N1113" s="29"/>
      <c r="O1113" s="56"/>
      <c r="P1113" s="31">
        <f>8500000*2</f>
        <v>17000000</v>
      </c>
      <c r="Q1113" s="31"/>
      <c r="R1113" s="27"/>
      <c r="S1113" s="32">
        <f>984897*2</f>
        <v>1969794</v>
      </c>
      <c r="T1113" s="33"/>
      <c r="U1113" s="334">
        <v>45231</v>
      </c>
      <c r="V1113" s="334">
        <v>45291</v>
      </c>
      <c r="W1113" s="27" t="s">
        <v>250</v>
      </c>
      <c r="X1113" s="27"/>
      <c r="Y1113" s="34">
        <f t="shared" ca="1" si="41"/>
        <v>46290</v>
      </c>
      <c r="Z1113" s="35">
        <f t="shared" ca="1" si="38"/>
        <v>-999</v>
      </c>
      <c r="AA1113" s="27">
        <f t="shared" si="39"/>
        <v>12</v>
      </c>
      <c r="AB1113" s="27">
        <f t="shared" si="40"/>
        <v>2023</v>
      </c>
      <c r="AC1113" s="28"/>
      <c r="AD1113" s="28"/>
      <c r="AE1113" s="27"/>
      <c r="AF1113" s="27"/>
      <c r="AG1113" s="29"/>
      <c r="AH1113" s="28"/>
      <c r="AI1113" s="27"/>
      <c r="AJ1113" s="27"/>
      <c r="AK1113" s="27"/>
      <c r="AL1113" s="27"/>
      <c r="AM1113" s="27"/>
      <c r="AN1113" s="27"/>
      <c r="AO1113" s="27"/>
      <c r="AP1113" s="27"/>
      <c r="AQ1113" s="27"/>
      <c r="AR1113" s="504"/>
      <c r="AS1113" s="332"/>
      <c r="AT1113" s="160"/>
    </row>
    <row r="1114" spans="1:46" ht="21.75" hidden="1" customHeight="1">
      <c r="A1114" s="331">
        <v>1113</v>
      </c>
      <c r="B1114" s="28" t="s">
        <v>348</v>
      </c>
      <c r="C1114" s="28" t="s">
        <v>4850</v>
      </c>
      <c r="D1114" s="438" t="s">
        <v>4753</v>
      </c>
      <c r="E1114" s="361" t="str">
        <f t="shared" ca="1" si="37"/>
        <v>LOSS</v>
      </c>
      <c r="F1114" s="29"/>
      <c r="G1114" s="28" t="s">
        <v>4851</v>
      </c>
      <c r="H1114" s="29" t="s">
        <v>2748</v>
      </c>
      <c r="I1114" s="29" t="s">
        <v>242</v>
      </c>
      <c r="J1114" s="28" t="s">
        <v>4855</v>
      </c>
      <c r="K1114" s="28"/>
      <c r="L1114" s="27"/>
      <c r="M1114" s="27"/>
      <c r="N1114" s="29"/>
      <c r="O1114" s="56"/>
      <c r="P1114" s="31">
        <f>8500000*12</f>
        <v>102000000</v>
      </c>
      <c r="Q1114" s="31"/>
      <c r="R1114" s="27"/>
      <c r="S1114" s="32">
        <f>1173152*12</f>
        <v>14077824</v>
      </c>
      <c r="T1114" s="33"/>
      <c r="U1114" s="334">
        <v>45292</v>
      </c>
      <c r="V1114" s="334">
        <v>45657</v>
      </c>
      <c r="W1114" s="27" t="s">
        <v>17</v>
      </c>
      <c r="X1114" s="27"/>
      <c r="Y1114" s="34">
        <f t="shared" ca="1" si="41"/>
        <v>46290</v>
      </c>
      <c r="Z1114" s="35">
        <f t="shared" ca="1" si="38"/>
        <v>-633</v>
      </c>
      <c r="AA1114" s="27">
        <f t="shared" si="39"/>
        <v>12</v>
      </c>
      <c r="AB1114" s="27">
        <f t="shared" si="40"/>
        <v>2024</v>
      </c>
      <c r="AC1114" s="28"/>
      <c r="AD1114" s="28"/>
      <c r="AE1114" s="27"/>
      <c r="AF1114" s="27"/>
      <c r="AG1114" s="29"/>
      <c r="AH1114" s="28"/>
      <c r="AI1114" s="27"/>
      <c r="AJ1114" s="27"/>
      <c r="AK1114" s="27"/>
      <c r="AL1114" s="27"/>
      <c r="AM1114" s="27"/>
      <c r="AN1114" s="27"/>
      <c r="AO1114" s="27"/>
      <c r="AP1114" s="27"/>
      <c r="AQ1114" s="27"/>
      <c r="AR1114" s="504"/>
      <c r="AS1114" s="332"/>
      <c r="AT1114" s="160"/>
    </row>
    <row r="1115" spans="1:46" ht="21.75" hidden="1" customHeight="1">
      <c r="A1115" s="331">
        <v>1114</v>
      </c>
      <c r="B1115" s="28" t="s">
        <v>348</v>
      </c>
      <c r="C1115" s="28" t="s">
        <v>4856</v>
      </c>
      <c r="D1115" s="437" t="s">
        <v>4753</v>
      </c>
      <c r="E1115" s="361" t="str">
        <f t="shared" ca="1" si="37"/>
        <v>LOSS</v>
      </c>
      <c r="F1115" s="29" t="s">
        <v>115</v>
      </c>
      <c r="G1115" s="28" t="s">
        <v>4857</v>
      </c>
      <c r="H1115" s="29" t="s">
        <v>2748</v>
      </c>
      <c r="I1115" s="29" t="s">
        <v>242</v>
      </c>
      <c r="J1115" s="28" t="s">
        <v>1278</v>
      </c>
      <c r="K1115" s="28"/>
      <c r="L1115" s="27"/>
      <c r="M1115" s="27"/>
      <c r="N1115" s="29"/>
      <c r="O1115" s="56"/>
      <c r="P1115" s="31">
        <v>67200000</v>
      </c>
      <c r="Q1115" s="31"/>
      <c r="R1115" s="27"/>
      <c r="S1115" s="32">
        <v>26143452</v>
      </c>
      <c r="T1115" s="33"/>
      <c r="U1115" s="334">
        <v>44252</v>
      </c>
      <c r="V1115" s="334">
        <v>44616</v>
      </c>
      <c r="W1115" s="27" t="s">
        <v>250</v>
      </c>
      <c r="X1115" s="27"/>
      <c r="Y1115" s="34">
        <f t="shared" ca="1" si="41"/>
        <v>46290</v>
      </c>
      <c r="Z1115" s="35">
        <f t="shared" ca="1" si="38"/>
        <v>-1674</v>
      </c>
      <c r="AA1115" s="27">
        <f t="shared" si="39"/>
        <v>2</v>
      </c>
      <c r="AB1115" s="27">
        <f t="shared" si="40"/>
        <v>2022</v>
      </c>
      <c r="AC1115" s="28" t="s">
        <v>479</v>
      </c>
      <c r="AD1115" s="28" t="s">
        <v>1279</v>
      </c>
      <c r="AE1115" s="27">
        <v>4500015859</v>
      </c>
      <c r="AF1115" s="27" t="s">
        <v>339</v>
      </c>
      <c r="AG1115" s="29" t="s">
        <v>4756</v>
      </c>
      <c r="AH1115" s="28"/>
      <c r="AI1115" s="27"/>
      <c r="AJ1115" s="27"/>
      <c r="AK1115" s="27"/>
      <c r="AL1115" s="27"/>
      <c r="AM1115" s="27" t="s">
        <v>4858</v>
      </c>
      <c r="AN1115" s="27"/>
      <c r="AO1115" s="27"/>
      <c r="AP1115" s="27"/>
      <c r="AQ1115" s="27"/>
      <c r="AR1115" s="504"/>
      <c r="AS1115" s="332"/>
      <c r="AT1115" s="160"/>
    </row>
    <row r="1116" spans="1:46" ht="21.75" hidden="1" customHeight="1">
      <c r="A1116" s="331">
        <v>1115</v>
      </c>
      <c r="B1116" s="28" t="s">
        <v>348</v>
      </c>
      <c r="C1116" s="28" t="s">
        <v>4856</v>
      </c>
      <c r="D1116" s="438" t="s">
        <v>4753</v>
      </c>
      <c r="E1116" s="361" t="str">
        <f t="shared" ca="1" si="37"/>
        <v>LOSS</v>
      </c>
      <c r="F1116" s="29"/>
      <c r="G1116" s="28" t="s">
        <v>4857</v>
      </c>
      <c r="H1116" s="29" t="s">
        <v>2748</v>
      </c>
      <c r="I1116" s="29" t="s">
        <v>242</v>
      </c>
      <c r="J1116" s="28" t="s">
        <v>1278</v>
      </c>
      <c r="K1116" s="28"/>
      <c r="L1116" s="27"/>
      <c r="M1116" s="27"/>
      <c r="N1116" s="29"/>
      <c r="O1116" s="56"/>
      <c r="P1116" s="31">
        <f>5600000*2</f>
        <v>11200000</v>
      </c>
      <c r="Q1116" s="31"/>
      <c r="R1116" s="27"/>
      <c r="S1116" s="32">
        <f>2178621*2</f>
        <v>4357242</v>
      </c>
      <c r="T1116" s="33"/>
      <c r="U1116" s="334">
        <v>45231</v>
      </c>
      <c r="V1116" s="334">
        <v>45291</v>
      </c>
      <c r="W1116" s="27" t="s">
        <v>250</v>
      </c>
      <c r="X1116" s="27"/>
      <c r="Y1116" s="34">
        <f t="shared" ca="1" si="41"/>
        <v>46290</v>
      </c>
      <c r="Z1116" s="35">
        <f t="shared" ca="1" si="38"/>
        <v>-999</v>
      </c>
      <c r="AA1116" s="27">
        <f t="shared" si="39"/>
        <v>12</v>
      </c>
      <c r="AB1116" s="27">
        <f t="shared" si="40"/>
        <v>2023</v>
      </c>
      <c r="AC1116" s="28"/>
      <c r="AD1116" s="28"/>
      <c r="AE1116" s="27"/>
      <c r="AF1116" s="27"/>
      <c r="AG1116" s="29"/>
      <c r="AH1116" s="28"/>
      <c r="AI1116" s="27"/>
      <c r="AJ1116" s="27"/>
      <c r="AK1116" s="27"/>
      <c r="AL1116" s="27"/>
      <c r="AM1116" s="27"/>
      <c r="AN1116" s="27"/>
      <c r="AO1116" s="27"/>
      <c r="AP1116" s="27"/>
      <c r="AQ1116" s="27"/>
      <c r="AR1116" s="504"/>
      <c r="AS1116" s="332"/>
      <c r="AT1116" s="160"/>
    </row>
    <row r="1117" spans="1:46" ht="21.75" hidden="1" customHeight="1">
      <c r="A1117" s="331">
        <v>1116</v>
      </c>
      <c r="B1117" s="28" t="s">
        <v>348</v>
      </c>
      <c r="C1117" s="28" t="s">
        <v>4856</v>
      </c>
      <c r="D1117" s="437" t="s">
        <v>4753</v>
      </c>
      <c r="E1117" s="361" t="str">
        <f t="shared" ca="1" si="37"/>
        <v>LOSS</v>
      </c>
      <c r="F1117" s="29"/>
      <c r="G1117" s="28" t="s">
        <v>4857</v>
      </c>
      <c r="H1117" s="29" t="s">
        <v>2748</v>
      </c>
      <c r="I1117" s="29" t="s">
        <v>242</v>
      </c>
      <c r="J1117" s="28" t="s">
        <v>1278</v>
      </c>
      <c r="K1117" s="28"/>
      <c r="L1117" s="27"/>
      <c r="M1117" s="27"/>
      <c r="N1117" s="29"/>
      <c r="O1117" s="56"/>
      <c r="P1117" s="31">
        <f>5600000*12</f>
        <v>67200000</v>
      </c>
      <c r="Q1117" s="31"/>
      <c r="R1117" s="27"/>
      <c r="S1117" s="32">
        <f>2544690*12</f>
        <v>30536280</v>
      </c>
      <c r="T1117" s="33"/>
      <c r="U1117" s="334">
        <v>45292</v>
      </c>
      <c r="V1117" s="334">
        <v>45657</v>
      </c>
      <c r="W1117" s="27" t="s">
        <v>17</v>
      </c>
      <c r="X1117" s="27"/>
      <c r="Y1117" s="34">
        <f t="shared" ca="1" si="41"/>
        <v>46290</v>
      </c>
      <c r="Z1117" s="35">
        <f t="shared" ca="1" si="38"/>
        <v>-633</v>
      </c>
      <c r="AA1117" s="27">
        <f t="shared" si="39"/>
        <v>12</v>
      </c>
      <c r="AB1117" s="27">
        <f t="shared" si="40"/>
        <v>2024</v>
      </c>
      <c r="AC1117" s="28"/>
      <c r="AD1117" s="28"/>
      <c r="AE1117" s="27"/>
      <c r="AF1117" s="27"/>
      <c r="AG1117" s="29"/>
      <c r="AH1117" s="28"/>
      <c r="AI1117" s="27"/>
      <c r="AJ1117" s="27"/>
      <c r="AK1117" s="27"/>
      <c r="AL1117" s="27"/>
      <c r="AM1117" s="27"/>
      <c r="AN1117" s="27"/>
      <c r="AO1117" s="27"/>
      <c r="AP1117" s="27"/>
      <c r="AQ1117" s="27"/>
      <c r="AR1117" s="504"/>
      <c r="AS1117" s="332"/>
      <c r="AT1117" s="160"/>
    </row>
    <row r="1118" spans="1:46" ht="21.75" hidden="1" customHeight="1">
      <c r="A1118" s="331">
        <v>1117</v>
      </c>
      <c r="B1118" s="28" t="s">
        <v>348</v>
      </c>
      <c r="C1118" s="28" t="s">
        <v>4859</v>
      </c>
      <c r="D1118" s="438" t="s">
        <v>4753</v>
      </c>
      <c r="E1118" s="361" t="str">
        <f t="shared" ca="1" si="37"/>
        <v>LOSS</v>
      </c>
      <c r="F1118" s="29" t="s">
        <v>115</v>
      </c>
      <c r="G1118" s="28" t="s">
        <v>4860</v>
      </c>
      <c r="H1118" s="29" t="s">
        <v>2748</v>
      </c>
      <c r="I1118" s="29" t="s">
        <v>242</v>
      </c>
      <c r="J1118" s="28" t="s">
        <v>1272</v>
      </c>
      <c r="K1118" s="28"/>
      <c r="L1118" s="27"/>
      <c r="M1118" s="27"/>
      <c r="N1118" s="29"/>
      <c r="O1118" s="56"/>
      <c r="P1118" s="31">
        <v>44400000</v>
      </c>
      <c r="Q1118" s="31"/>
      <c r="R1118" s="27"/>
      <c r="S1118" s="32">
        <v>18981108</v>
      </c>
      <c r="T1118" s="33"/>
      <c r="U1118" s="334">
        <v>44258</v>
      </c>
      <c r="V1118" s="334">
        <v>44622</v>
      </c>
      <c r="W1118" s="27" t="s">
        <v>250</v>
      </c>
      <c r="X1118" s="27"/>
      <c r="Y1118" s="34">
        <f t="shared" ca="1" si="41"/>
        <v>46290</v>
      </c>
      <c r="Z1118" s="35">
        <f t="shared" ca="1" si="38"/>
        <v>-1668</v>
      </c>
      <c r="AA1118" s="27">
        <f t="shared" si="39"/>
        <v>3</v>
      </c>
      <c r="AB1118" s="27">
        <f t="shared" si="40"/>
        <v>2022</v>
      </c>
      <c r="AC1118" s="28" t="s">
        <v>479</v>
      </c>
      <c r="AD1118" s="28" t="s">
        <v>1273</v>
      </c>
      <c r="AE1118" s="27">
        <v>4500015860</v>
      </c>
      <c r="AF1118" s="27" t="s">
        <v>339</v>
      </c>
      <c r="AG1118" s="29" t="s">
        <v>4756</v>
      </c>
      <c r="AH1118" s="28"/>
      <c r="AI1118" s="27"/>
      <c r="AJ1118" s="27"/>
      <c r="AK1118" s="27"/>
      <c r="AL1118" s="27"/>
      <c r="AM1118" s="27" t="s">
        <v>4861</v>
      </c>
      <c r="AN1118" s="27"/>
      <c r="AO1118" s="27"/>
      <c r="AP1118" s="27"/>
      <c r="AQ1118" s="27"/>
      <c r="AR1118" s="504"/>
      <c r="AS1118" s="332"/>
      <c r="AT1118" s="160"/>
    </row>
    <row r="1119" spans="1:46" ht="21.75" hidden="1" customHeight="1">
      <c r="A1119" s="331">
        <v>1118</v>
      </c>
      <c r="B1119" s="28" t="s">
        <v>348</v>
      </c>
      <c r="C1119" s="40" t="s">
        <v>4862</v>
      </c>
      <c r="D1119" s="437" t="s">
        <v>4753</v>
      </c>
      <c r="E1119" s="361" t="str">
        <f t="shared" ca="1" si="37"/>
        <v>LOSS</v>
      </c>
      <c r="F1119" s="29" t="s">
        <v>115</v>
      </c>
      <c r="G1119" s="28" t="s">
        <v>4863</v>
      </c>
      <c r="H1119" s="29" t="s">
        <v>2748</v>
      </c>
      <c r="I1119" s="29" t="s">
        <v>242</v>
      </c>
      <c r="J1119" s="28" t="s">
        <v>4864</v>
      </c>
      <c r="K1119" s="28"/>
      <c r="L1119" s="27"/>
      <c r="M1119" s="27"/>
      <c r="N1119" s="29"/>
      <c r="O1119" s="56"/>
      <c r="P1119" s="31">
        <v>51020949600</v>
      </c>
      <c r="Q1119" s="31"/>
      <c r="R1119" s="27"/>
      <c r="S1119" s="32">
        <v>2208578544</v>
      </c>
      <c r="T1119" s="33"/>
      <c r="U1119" s="334">
        <v>44835</v>
      </c>
      <c r="V1119" s="334">
        <v>45199</v>
      </c>
      <c r="W1119" s="27" t="s">
        <v>250</v>
      </c>
      <c r="X1119" s="27"/>
      <c r="Y1119" s="34">
        <f t="shared" ca="1" si="41"/>
        <v>46290</v>
      </c>
      <c r="Z1119" s="35">
        <f t="shared" ca="1" si="38"/>
        <v>-1091</v>
      </c>
      <c r="AA1119" s="27">
        <f t="shared" si="39"/>
        <v>9</v>
      </c>
      <c r="AB1119" s="27">
        <f t="shared" si="40"/>
        <v>2023</v>
      </c>
      <c r="AC1119" s="28" t="s">
        <v>4865</v>
      </c>
      <c r="AD1119" s="28" t="s">
        <v>2710</v>
      </c>
      <c r="AE1119" s="27">
        <v>4500019523</v>
      </c>
      <c r="AF1119" s="27" t="s">
        <v>339</v>
      </c>
      <c r="AG1119" s="29" t="s">
        <v>4756</v>
      </c>
      <c r="AH1119" s="28"/>
      <c r="AI1119" s="27"/>
      <c r="AJ1119" s="27"/>
      <c r="AK1119" s="27"/>
      <c r="AL1119" s="27"/>
      <c r="AM1119" s="27" t="s">
        <v>4866</v>
      </c>
      <c r="AN1119" s="27" t="s">
        <v>4867</v>
      </c>
      <c r="AO1119" s="27" t="s">
        <v>4868</v>
      </c>
      <c r="AP1119" s="27"/>
      <c r="AQ1119" s="27"/>
      <c r="AR1119" s="504"/>
      <c r="AS1119" s="332"/>
      <c r="AT1119" s="160"/>
    </row>
    <row r="1120" spans="1:46" ht="21.75" hidden="1" customHeight="1">
      <c r="A1120" s="331">
        <v>1119</v>
      </c>
      <c r="B1120" s="28" t="s">
        <v>348</v>
      </c>
      <c r="C1120" s="28" t="s">
        <v>1562</v>
      </c>
      <c r="D1120" s="438" t="s">
        <v>4753</v>
      </c>
      <c r="E1120" s="361" t="str">
        <f t="shared" ca="1" si="37"/>
        <v>LOSS</v>
      </c>
      <c r="F1120" s="29" t="s">
        <v>115</v>
      </c>
      <c r="G1120" s="28" t="s">
        <v>115</v>
      </c>
      <c r="H1120" s="29" t="s">
        <v>2748</v>
      </c>
      <c r="I1120" s="29" t="s">
        <v>242</v>
      </c>
      <c r="J1120" s="28" t="s">
        <v>115</v>
      </c>
      <c r="K1120" s="28"/>
      <c r="L1120" s="27"/>
      <c r="M1120" s="27"/>
      <c r="N1120" s="29"/>
      <c r="O1120" s="56"/>
      <c r="P1120" s="31">
        <v>36000000</v>
      </c>
      <c r="Q1120" s="31"/>
      <c r="R1120" s="27"/>
      <c r="S1120" s="32">
        <v>60001748</v>
      </c>
      <c r="T1120" s="33"/>
      <c r="U1120" s="334">
        <v>44239</v>
      </c>
      <c r="V1120" s="334">
        <v>44603</v>
      </c>
      <c r="W1120" s="27" t="s">
        <v>250</v>
      </c>
      <c r="X1120" s="27"/>
      <c r="Y1120" s="34">
        <f t="shared" ca="1" si="41"/>
        <v>46290</v>
      </c>
      <c r="Z1120" s="35">
        <f t="shared" ca="1" si="38"/>
        <v>-1687</v>
      </c>
      <c r="AA1120" s="27">
        <f t="shared" si="39"/>
        <v>2</v>
      </c>
      <c r="AB1120" s="27">
        <f t="shared" si="40"/>
        <v>2022</v>
      </c>
      <c r="AC1120" s="28" t="s">
        <v>479</v>
      </c>
      <c r="AD1120" s="28" t="s">
        <v>1565</v>
      </c>
      <c r="AE1120" s="27">
        <v>4500015777</v>
      </c>
      <c r="AF1120" s="27" t="s">
        <v>339</v>
      </c>
      <c r="AG1120" s="29" t="s">
        <v>4756</v>
      </c>
      <c r="AH1120" s="28"/>
      <c r="AI1120" s="27"/>
      <c r="AJ1120" s="27"/>
      <c r="AK1120" s="27"/>
      <c r="AL1120" s="27"/>
      <c r="AM1120" s="27" t="s">
        <v>4869</v>
      </c>
      <c r="AN1120" s="27"/>
      <c r="AO1120" s="27"/>
      <c r="AP1120" s="27"/>
      <c r="AQ1120" s="27"/>
      <c r="AR1120" s="504"/>
      <c r="AS1120" s="332"/>
      <c r="AT1120" s="160"/>
    </row>
    <row r="1121" spans="1:46" ht="21.75" hidden="1" customHeight="1">
      <c r="A1121" s="331">
        <v>1120</v>
      </c>
      <c r="B1121" s="28" t="s">
        <v>348</v>
      </c>
      <c r="C1121" s="28" t="s">
        <v>4795</v>
      </c>
      <c r="D1121" s="437" t="s">
        <v>4753</v>
      </c>
      <c r="E1121" s="361" t="str">
        <f t="shared" ca="1" si="37"/>
        <v>LOSS</v>
      </c>
      <c r="F1121" s="29" t="s">
        <v>115</v>
      </c>
      <c r="G1121" s="28" t="s">
        <v>4870</v>
      </c>
      <c r="H1121" s="29" t="s">
        <v>2748</v>
      </c>
      <c r="I1121" s="29" t="s">
        <v>242</v>
      </c>
      <c r="J1121" s="28" t="s">
        <v>1624</v>
      </c>
      <c r="K1121" s="28"/>
      <c r="L1121" s="27"/>
      <c r="M1121" s="27"/>
      <c r="N1121" s="29"/>
      <c r="O1121" s="56"/>
      <c r="P1121" s="31">
        <v>30000000</v>
      </c>
      <c r="Q1121" s="31"/>
      <c r="R1121" s="27"/>
      <c r="S1121" s="32">
        <v>23848008</v>
      </c>
      <c r="T1121" s="33"/>
      <c r="U1121" s="334">
        <v>44319</v>
      </c>
      <c r="V1121" s="334">
        <v>44683</v>
      </c>
      <c r="W1121" s="27" t="s">
        <v>250</v>
      </c>
      <c r="X1121" s="27"/>
      <c r="Y1121" s="34">
        <f t="shared" ca="1" si="41"/>
        <v>46290</v>
      </c>
      <c r="Z1121" s="35">
        <f t="shared" ca="1" si="38"/>
        <v>-1607</v>
      </c>
      <c r="AA1121" s="27">
        <f t="shared" si="39"/>
        <v>5</v>
      </c>
      <c r="AB1121" s="27">
        <f t="shared" si="40"/>
        <v>2022</v>
      </c>
      <c r="AC1121" s="28" t="s">
        <v>479</v>
      </c>
      <c r="AD1121" s="28" t="s">
        <v>1625</v>
      </c>
      <c r="AE1121" s="27">
        <v>4500016417</v>
      </c>
      <c r="AF1121" s="27" t="s">
        <v>339</v>
      </c>
      <c r="AG1121" s="29" t="s">
        <v>4756</v>
      </c>
      <c r="AH1121" s="28"/>
      <c r="AI1121" s="27"/>
      <c r="AJ1121" s="27"/>
      <c r="AK1121" s="27"/>
      <c r="AL1121" s="27"/>
      <c r="AM1121" s="27" t="s">
        <v>4871</v>
      </c>
      <c r="AN1121" s="27"/>
      <c r="AO1121" s="27"/>
      <c r="AP1121" s="27"/>
      <c r="AQ1121" s="27"/>
      <c r="AR1121" s="504"/>
      <c r="AS1121" s="332"/>
      <c r="AT1121" s="160"/>
    </row>
    <row r="1122" spans="1:46" ht="21.75" hidden="1" customHeight="1">
      <c r="A1122" s="331">
        <v>1121</v>
      </c>
      <c r="B1122" s="28" t="s">
        <v>348</v>
      </c>
      <c r="C1122" s="28" t="s">
        <v>4872</v>
      </c>
      <c r="D1122" s="438" t="s">
        <v>4753</v>
      </c>
      <c r="E1122" s="361" t="str">
        <f t="shared" ca="1" si="37"/>
        <v>LOSS</v>
      </c>
      <c r="F1122" s="29" t="s">
        <v>115</v>
      </c>
      <c r="G1122" s="28" t="s">
        <v>4873</v>
      </c>
      <c r="H1122" s="29" t="s">
        <v>2748</v>
      </c>
      <c r="I1122" s="29" t="s">
        <v>242</v>
      </c>
      <c r="J1122" s="28" t="s">
        <v>1218</v>
      </c>
      <c r="K1122" s="28"/>
      <c r="L1122" s="27"/>
      <c r="M1122" s="27"/>
      <c r="N1122" s="29"/>
      <c r="O1122" s="56"/>
      <c r="P1122" s="31">
        <v>60000000</v>
      </c>
      <c r="Q1122" s="31"/>
      <c r="R1122" s="27"/>
      <c r="S1122" s="32">
        <v>39458424</v>
      </c>
      <c r="T1122" s="33"/>
      <c r="U1122" s="334">
        <v>44343</v>
      </c>
      <c r="V1122" s="334">
        <v>44707</v>
      </c>
      <c r="W1122" s="27" t="s">
        <v>250</v>
      </c>
      <c r="X1122" s="27"/>
      <c r="Y1122" s="34">
        <f t="shared" ca="1" si="41"/>
        <v>46290</v>
      </c>
      <c r="Z1122" s="35">
        <f t="shared" ca="1" si="38"/>
        <v>-1583</v>
      </c>
      <c r="AA1122" s="27">
        <f t="shared" si="39"/>
        <v>5</v>
      </c>
      <c r="AB1122" s="27">
        <f t="shared" si="40"/>
        <v>2022</v>
      </c>
      <c r="AC1122" s="28" t="s">
        <v>479</v>
      </c>
      <c r="AD1122" s="28" t="s">
        <v>4874</v>
      </c>
      <c r="AE1122" s="27">
        <v>4500016354</v>
      </c>
      <c r="AF1122" s="27" t="s">
        <v>339</v>
      </c>
      <c r="AG1122" s="29" t="s">
        <v>4756</v>
      </c>
      <c r="AH1122" s="28"/>
      <c r="AI1122" s="27"/>
      <c r="AJ1122" s="27"/>
      <c r="AK1122" s="27"/>
      <c r="AL1122" s="27"/>
      <c r="AM1122" s="27" t="s">
        <v>4875</v>
      </c>
      <c r="AN1122" s="27"/>
      <c r="AO1122" s="27"/>
      <c r="AP1122" s="27"/>
      <c r="AQ1122" s="27"/>
      <c r="AR1122" s="504"/>
      <c r="AS1122" s="332"/>
      <c r="AT1122" s="160"/>
    </row>
    <row r="1123" spans="1:46" ht="21.75" hidden="1" customHeight="1">
      <c r="A1123" s="331">
        <v>1122</v>
      </c>
      <c r="B1123" s="28" t="s">
        <v>348</v>
      </c>
      <c r="C1123" s="28" t="s">
        <v>4876</v>
      </c>
      <c r="D1123" s="437" t="s">
        <v>4753</v>
      </c>
      <c r="E1123" s="361" t="str">
        <f t="shared" ca="1" si="37"/>
        <v>LOSS</v>
      </c>
      <c r="F1123" s="29" t="s">
        <v>115</v>
      </c>
      <c r="G1123" s="28" t="s">
        <v>4877</v>
      </c>
      <c r="H1123" s="29" t="s">
        <v>2748</v>
      </c>
      <c r="I1123" s="29" t="s">
        <v>242</v>
      </c>
      <c r="J1123" s="28" t="s">
        <v>1312</v>
      </c>
      <c r="K1123" s="28"/>
      <c r="L1123" s="27"/>
      <c r="M1123" s="27"/>
      <c r="N1123" s="29"/>
      <c r="O1123" s="56"/>
      <c r="P1123" s="31">
        <v>36000000</v>
      </c>
      <c r="Q1123" s="31"/>
      <c r="R1123" s="27"/>
      <c r="S1123" s="32">
        <v>15399936</v>
      </c>
      <c r="T1123" s="33"/>
      <c r="U1123" s="334">
        <v>44343</v>
      </c>
      <c r="V1123" s="334">
        <v>44707</v>
      </c>
      <c r="W1123" s="27" t="s">
        <v>250</v>
      </c>
      <c r="X1123" s="27"/>
      <c r="Y1123" s="34">
        <f t="shared" ca="1" si="41"/>
        <v>46290</v>
      </c>
      <c r="Z1123" s="35">
        <f t="shared" ca="1" si="38"/>
        <v>-1583</v>
      </c>
      <c r="AA1123" s="27">
        <f t="shared" si="39"/>
        <v>5</v>
      </c>
      <c r="AB1123" s="27">
        <f t="shared" si="40"/>
        <v>2022</v>
      </c>
      <c r="AC1123" s="28" t="s">
        <v>479</v>
      </c>
      <c r="AD1123" s="28" t="s">
        <v>1313</v>
      </c>
      <c r="AE1123" s="27">
        <v>4500016355</v>
      </c>
      <c r="AF1123" s="27" t="s">
        <v>339</v>
      </c>
      <c r="AG1123" s="29" t="s">
        <v>4756</v>
      </c>
      <c r="AH1123" s="28"/>
      <c r="AI1123" s="27"/>
      <c r="AJ1123" s="27"/>
      <c r="AK1123" s="27"/>
      <c r="AL1123" s="27"/>
      <c r="AM1123" s="27" t="s">
        <v>4878</v>
      </c>
      <c r="AN1123" s="27"/>
      <c r="AO1123" s="27"/>
      <c r="AP1123" s="27"/>
      <c r="AQ1123" s="27"/>
      <c r="AR1123" s="504"/>
      <c r="AS1123" s="332"/>
      <c r="AT1123" s="160"/>
    </row>
    <row r="1124" spans="1:46" ht="21.75" hidden="1" customHeight="1">
      <c r="A1124" s="331">
        <v>1123</v>
      </c>
      <c r="B1124" s="28" t="s">
        <v>348</v>
      </c>
      <c r="C1124" s="28" t="s">
        <v>4534</v>
      </c>
      <c r="D1124" s="438" t="s">
        <v>4753</v>
      </c>
      <c r="E1124" s="361" t="str">
        <f t="shared" ca="1" si="37"/>
        <v>LOSS</v>
      </c>
      <c r="F1124" s="29" t="s">
        <v>115</v>
      </c>
      <c r="G1124" s="28" t="s">
        <v>115</v>
      </c>
      <c r="H1124" s="29" t="s">
        <v>2748</v>
      </c>
      <c r="I1124" s="29" t="s">
        <v>242</v>
      </c>
      <c r="J1124" s="28" t="s">
        <v>4879</v>
      </c>
      <c r="K1124" s="28"/>
      <c r="L1124" s="27"/>
      <c r="M1124" s="27"/>
      <c r="N1124" s="29"/>
      <c r="O1124" s="56"/>
      <c r="P1124" s="31">
        <v>90000000</v>
      </c>
      <c r="Q1124" s="31"/>
      <c r="R1124" s="27"/>
      <c r="S1124" s="32">
        <v>6168860</v>
      </c>
      <c r="T1124" s="33"/>
      <c r="U1124" s="334">
        <v>44351</v>
      </c>
      <c r="V1124" s="334">
        <v>44469</v>
      </c>
      <c r="W1124" s="27" t="s">
        <v>250</v>
      </c>
      <c r="X1124" s="27"/>
      <c r="Y1124" s="34">
        <f t="shared" ca="1" si="41"/>
        <v>46290</v>
      </c>
      <c r="Z1124" s="35">
        <f t="shared" ca="1" si="38"/>
        <v>-1821</v>
      </c>
      <c r="AA1124" s="27">
        <f t="shared" si="39"/>
        <v>9</v>
      </c>
      <c r="AB1124" s="27">
        <f t="shared" si="40"/>
        <v>2021</v>
      </c>
      <c r="AC1124" s="28" t="s">
        <v>479</v>
      </c>
      <c r="AD1124" s="28" t="s">
        <v>4880</v>
      </c>
      <c r="AE1124" s="27">
        <v>4500016199</v>
      </c>
      <c r="AF1124" s="27" t="s">
        <v>339</v>
      </c>
      <c r="AG1124" s="29" t="s">
        <v>4756</v>
      </c>
      <c r="AH1124" s="28"/>
      <c r="AI1124" s="27"/>
      <c r="AJ1124" s="27"/>
      <c r="AK1124" s="27"/>
      <c r="AL1124" s="27"/>
      <c r="AM1124" s="27" t="s">
        <v>4881</v>
      </c>
      <c r="AN1124" s="27"/>
      <c r="AO1124" s="27"/>
      <c r="AP1124" s="27"/>
      <c r="AQ1124" s="27"/>
      <c r="AR1124" s="504"/>
      <c r="AS1124" s="332"/>
      <c r="AT1124" s="160"/>
    </row>
    <row r="1125" spans="1:46" ht="21.75" hidden="1" customHeight="1">
      <c r="A1125" s="331">
        <v>1124</v>
      </c>
      <c r="B1125" s="28" t="s">
        <v>348</v>
      </c>
      <c r="C1125" s="418" t="s">
        <v>4882</v>
      </c>
      <c r="D1125" s="437" t="s">
        <v>4753</v>
      </c>
      <c r="E1125" s="361" t="str">
        <f t="shared" ca="1" si="37"/>
        <v>LOSS</v>
      </c>
      <c r="F1125" s="29" t="s">
        <v>115</v>
      </c>
      <c r="G1125" s="28" t="s">
        <v>4883</v>
      </c>
      <c r="H1125" s="29" t="s">
        <v>2748</v>
      </c>
      <c r="I1125" s="29" t="s">
        <v>242</v>
      </c>
      <c r="J1125" s="28" t="s">
        <v>4884</v>
      </c>
      <c r="K1125" s="28"/>
      <c r="L1125" s="27"/>
      <c r="M1125" s="27"/>
      <c r="N1125" s="29"/>
      <c r="O1125" s="56"/>
      <c r="P1125" s="31">
        <f>12*6000000</f>
        <v>72000000</v>
      </c>
      <c r="Q1125" s="31"/>
      <c r="R1125" s="27"/>
      <c r="S1125" s="32">
        <v>10587899</v>
      </c>
      <c r="T1125" s="33"/>
      <c r="U1125" s="334">
        <v>45061</v>
      </c>
      <c r="V1125" s="334">
        <v>45199</v>
      </c>
      <c r="W1125" s="27" t="s">
        <v>250</v>
      </c>
      <c r="X1125" s="27"/>
      <c r="Y1125" s="34">
        <f t="shared" ca="1" si="41"/>
        <v>46290</v>
      </c>
      <c r="Z1125" s="35">
        <f t="shared" ca="1" si="38"/>
        <v>-1091</v>
      </c>
      <c r="AA1125" s="27">
        <f t="shared" si="39"/>
        <v>9</v>
      </c>
      <c r="AB1125" s="27">
        <f t="shared" si="40"/>
        <v>2023</v>
      </c>
      <c r="AC1125" s="28" t="s">
        <v>479</v>
      </c>
      <c r="AD1125" s="28" t="s">
        <v>4885</v>
      </c>
      <c r="AE1125" s="27">
        <v>4500020496</v>
      </c>
      <c r="AF1125" s="27" t="s">
        <v>339</v>
      </c>
      <c r="AG1125" s="29" t="s">
        <v>4061</v>
      </c>
      <c r="AH1125" s="28"/>
      <c r="AI1125" s="27"/>
      <c r="AJ1125" s="27"/>
      <c r="AK1125" s="27"/>
      <c r="AL1125" s="27"/>
      <c r="AM1125" s="27"/>
      <c r="AN1125" s="27"/>
      <c r="AO1125" s="27" t="s">
        <v>4886</v>
      </c>
      <c r="AP1125" s="27"/>
      <c r="AQ1125" s="27"/>
      <c r="AR1125" s="504"/>
      <c r="AS1125" s="332"/>
      <c r="AT1125" s="160"/>
    </row>
    <row r="1126" spans="1:46" ht="21.75" hidden="1" customHeight="1">
      <c r="A1126" s="331">
        <v>1125</v>
      </c>
      <c r="B1126" s="28" t="s">
        <v>348</v>
      </c>
      <c r="C1126" s="28" t="s">
        <v>4887</v>
      </c>
      <c r="D1126" s="438" t="s">
        <v>4753</v>
      </c>
      <c r="E1126" s="361" t="str">
        <f t="shared" ca="1" si="37"/>
        <v>LOSS</v>
      </c>
      <c r="F1126" s="29" t="s">
        <v>115</v>
      </c>
      <c r="G1126" s="28" t="s">
        <v>4888</v>
      </c>
      <c r="H1126" s="29" t="s">
        <v>2748</v>
      </c>
      <c r="I1126" s="29" t="s">
        <v>242</v>
      </c>
      <c r="J1126" s="28" t="s">
        <v>4889</v>
      </c>
      <c r="K1126" s="28"/>
      <c r="L1126" s="27"/>
      <c r="M1126" s="27"/>
      <c r="N1126" s="29"/>
      <c r="O1126" s="56"/>
      <c r="P1126" s="31">
        <f>12*28000000</f>
        <v>336000000</v>
      </c>
      <c r="Q1126" s="31"/>
      <c r="R1126" s="27"/>
      <c r="S1126" s="32">
        <v>11910521</v>
      </c>
      <c r="T1126" s="33"/>
      <c r="U1126" s="334">
        <v>45033</v>
      </c>
      <c r="V1126" s="334">
        <v>45199</v>
      </c>
      <c r="W1126" s="27" t="s">
        <v>250</v>
      </c>
      <c r="X1126" s="27"/>
      <c r="Y1126" s="34">
        <f t="shared" ca="1" si="41"/>
        <v>46290</v>
      </c>
      <c r="Z1126" s="35">
        <f t="shared" ca="1" si="38"/>
        <v>-1091</v>
      </c>
      <c r="AA1126" s="27">
        <f t="shared" si="39"/>
        <v>9</v>
      </c>
      <c r="AB1126" s="27">
        <f t="shared" si="40"/>
        <v>2023</v>
      </c>
      <c r="AC1126" s="28" t="s">
        <v>479</v>
      </c>
      <c r="AD1126" s="28" t="s">
        <v>4890</v>
      </c>
      <c r="AE1126" s="27">
        <v>4500020493</v>
      </c>
      <c r="AF1126" s="27" t="s">
        <v>339</v>
      </c>
      <c r="AG1126" s="29" t="s">
        <v>4061</v>
      </c>
      <c r="AH1126" s="28"/>
      <c r="AI1126" s="27"/>
      <c r="AJ1126" s="27"/>
      <c r="AK1126" s="27"/>
      <c r="AL1126" s="27"/>
      <c r="AM1126" s="27"/>
      <c r="AN1126" s="27"/>
      <c r="AO1126" s="27" t="s">
        <v>4891</v>
      </c>
      <c r="AP1126" s="27"/>
      <c r="AQ1126" s="27"/>
      <c r="AR1126" s="504"/>
      <c r="AS1126" s="332"/>
      <c r="AT1126" s="160"/>
    </row>
    <row r="1127" spans="1:46" ht="21.75" hidden="1" customHeight="1">
      <c r="A1127" s="331">
        <v>1126</v>
      </c>
      <c r="B1127" s="28" t="s">
        <v>348</v>
      </c>
      <c r="C1127" s="28" t="s">
        <v>4887</v>
      </c>
      <c r="D1127" s="437" t="s">
        <v>4753</v>
      </c>
      <c r="E1127" s="361" t="str">
        <f t="shared" ca="1" si="37"/>
        <v>LOSS</v>
      </c>
      <c r="F1127" s="29"/>
      <c r="G1127" s="28" t="s">
        <v>4888</v>
      </c>
      <c r="H1127" s="29" t="s">
        <v>2748</v>
      </c>
      <c r="I1127" s="29" t="s">
        <v>242</v>
      </c>
      <c r="J1127" s="28" t="s">
        <v>4889</v>
      </c>
      <c r="K1127" s="28"/>
      <c r="L1127" s="27"/>
      <c r="M1127" s="27"/>
      <c r="N1127" s="29"/>
      <c r="O1127" s="56"/>
      <c r="P1127" s="31">
        <f>3800000*2</f>
        <v>7600000</v>
      </c>
      <c r="Q1127" s="31"/>
      <c r="R1127" s="27"/>
      <c r="S1127" s="32">
        <f>2178621*2</f>
        <v>4357242</v>
      </c>
      <c r="T1127" s="33"/>
      <c r="U1127" s="334">
        <v>45231</v>
      </c>
      <c r="V1127" s="334">
        <v>45291</v>
      </c>
      <c r="W1127" s="27" t="s">
        <v>250</v>
      </c>
      <c r="X1127" s="27"/>
      <c r="Y1127" s="34">
        <f t="shared" ca="1" si="41"/>
        <v>46290</v>
      </c>
      <c r="Z1127" s="35">
        <f t="shared" ca="1" si="38"/>
        <v>-999</v>
      </c>
      <c r="AA1127" s="27">
        <f t="shared" si="39"/>
        <v>12</v>
      </c>
      <c r="AB1127" s="27">
        <f t="shared" si="40"/>
        <v>2023</v>
      </c>
      <c r="AC1127" s="28"/>
      <c r="AD1127" s="28"/>
      <c r="AE1127" s="27"/>
      <c r="AF1127" s="27"/>
      <c r="AG1127" s="29"/>
      <c r="AH1127" s="28"/>
      <c r="AI1127" s="27"/>
      <c r="AJ1127" s="27"/>
      <c r="AK1127" s="27"/>
      <c r="AL1127" s="27"/>
      <c r="AM1127" s="27"/>
      <c r="AN1127" s="27"/>
      <c r="AO1127" s="27"/>
      <c r="AP1127" s="27"/>
      <c r="AQ1127" s="27"/>
      <c r="AR1127" s="504"/>
      <c r="AS1127" s="332"/>
      <c r="AT1127" s="160"/>
    </row>
    <row r="1128" spans="1:46" ht="21.75" hidden="1" customHeight="1">
      <c r="A1128" s="331">
        <v>1127</v>
      </c>
      <c r="B1128" s="28" t="s">
        <v>348</v>
      </c>
      <c r="C1128" s="28" t="s">
        <v>4887</v>
      </c>
      <c r="D1128" s="438" t="s">
        <v>4753</v>
      </c>
      <c r="E1128" s="361" t="str">
        <f t="shared" ca="1" si="37"/>
        <v>LOSS</v>
      </c>
      <c r="F1128" s="29"/>
      <c r="G1128" s="28" t="s">
        <v>4888</v>
      </c>
      <c r="H1128" s="29" t="s">
        <v>2748</v>
      </c>
      <c r="I1128" s="29" t="s">
        <v>242</v>
      </c>
      <c r="J1128" s="28" t="s">
        <v>4889</v>
      </c>
      <c r="K1128" s="28"/>
      <c r="L1128" s="27"/>
      <c r="M1128" s="27"/>
      <c r="N1128" s="29"/>
      <c r="O1128" s="56"/>
      <c r="P1128" s="31">
        <f>3800000*12</f>
        <v>45600000</v>
      </c>
      <c r="Q1128" s="31"/>
      <c r="R1128" s="27"/>
      <c r="S1128" s="32">
        <f>2544690*12</f>
        <v>30536280</v>
      </c>
      <c r="T1128" s="33"/>
      <c r="U1128" s="334">
        <v>45292</v>
      </c>
      <c r="V1128" s="334">
        <v>45657</v>
      </c>
      <c r="W1128" s="27" t="s">
        <v>17</v>
      </c>
      <c r="X1128" s="27"/>
      <c r="Y1128" s="34">
        <f t="shared" ca="1" si="41"/>
        <v>46290</v>
      </c>
      <c r="Z1128" s="35">
        <f t="shared" ca="1" si="38"/>
        <v>-633</v>
      </c>
      <c r="AA1128" s="27">
        <f t="shared" si="39"/>
        <v>12</v>
      </c>
      <c r="AB1128" s="27">
        <f t="shared" si="40"/>
        <v>2024</v>
      </c>
      <c r="AC1128" s="28"/>
      <c r="AD1128" s="28"/>
      <c r="AE1128" s="27"/>
      <c r="AF1128" s="27"/>
      <c r="AG1128" s="29"/>
      <c r="AH1128" s="28"/>
      <c r="AI1128" s="27"/>
      <c r="AJ1128" s="27"/>
      <c r="AK1128" s="27"/>
      <c r="AL1128" s="27"/>
      <c r="AM1128" s="27"/>
      <c r="AN1128" s="27"/>
      <c r="AO1128" s="27"/>
      <c r="AP1128" s="27"/>
      <c r="AQ1128" s="27"/>
      <c r="AR1128" s="504"/>
      <c r="AS1128" s="332"/>
      <c r="AT1128" s="160"/>
    </row>
    <row r="1129" spans="1:46" ht="21.75" hidden="1" customHeight="1">
      <c r="A1129" s="331">
        <v>1128</v>
      </c>
      <c r="B1129" s="28" t="s">
        <v>348</v>
      </c>
      <c r="C1129" s="28" t="s">
        <v>4892</v>
      </c>
      <c r="D1129" s="437" t="s">
        <v>4753</v>
      </c>
      <c r="E1129" s="361" t="str">
        <f t="shared" ca="1" si="37"/>
        <v>LOSS</v>
      </c>
      <c r="F1129" s="29" t="s">
        <v>115</v>
      </c>
      <c r="G1129" s="28" t="s">
        <v>4893</v>
      </c>
      <c r="H1129" s="29" t="s">
        <v>2748</v>
      </c>
      <c r="I1129" s="29" t="s">
        <v>242</v>
      </c>
      <c r="J1129" s="28" t="s">
        <v>4894</v>
      </c>
      <c r="K1129" s="28"/>
      <c r="L1129" s="27"/>
      <c r="M1129" s="27"/>
      <c r="N1129" s="29"/>
      <c r="O1129" s="56"/>
      <c r="P1129" s="31">
        <f>12*3800000</f>
        <v>45600000</v>
      </c>
      <c r="Q1129" s="31"/>
      <c r="R1129" s="27"/>
      <c r="S1129" s="32">
        <v>10681779</v>
      </c>
      <c r="T1129" s="33"/>
      <c r="U1129" s="334">
        <v>45078</v>
      </c>
      <c r="V1129" s="334">
        <v>45199</v>
      </c>
      <c r="W1129" s="27" t="s">
        <v>250</v>
      </c>
      <c r="X1129" s="27"/>
      <c r="Y1129" s="34">
        <f t="shared" ca="1" si="41"/>
        <v>46290</v>
      </c>
      <c r="Z1129" s="35">
        <f t="shared" ca="1" si="38"/>
        <v>-1091</v>
      </c>
      <c r="AA1129" s="27">
        <f t="shared" si="39"/>
        <v>9</v>
      </c>
      <c r="AB1129" s="27">
        <f t="shared" si="40"/>
        <v>2023</v>
      </c>
      <c r="AC1129" s="28" t="s">
        <v>479</v>
      </c>
      <c r="AD1129" s="28" t="s">
        <v>4895</v>
      </c>
      <c r="AE1129" s="27">
        <v>4500020494</v>
      </c>
      <c r="AF1129" s="27" t="s">
        <v>339</v>
      </c>
      <c r="AG1129" s="29" t="s">
        <v>4061</v>
      </c>
      <c r="AH1129" s="28"/>
      <c r="AI1129" s="27"/>
      <c r="AJ1129" s="27"/>
      <c r="AK1129" s="27"/>
      <c r="AL1129" s="27"/>
      <c r="AM1129" s="27"/>
      <c r="AN1129" s="27"/>
      <c r="AO1129" s="27" t="s">
        <v>4896</v>
      </c>
      <c r="AP1129" s="27"/>
      <c r="AQ1129" s="27"/>
      <c r="AR1129" s="504"/>
      <c r="AS1129" s="332"/>
      <c r="AT1129" s="160"/>
    </row>
    <row r="1130" spans="1:46" ht="21.75" hidden="1" customHeight="1">
      <c r="A1130" s="331">
        <v>1129</v>
      </c>
      <c r="B1130" s="28" t="s">
        <v>348</v>
      </c>
      <c r="C1130" s="28" t="s">
        <v>4892</v>
      </c>
      <c r="D1130" s="438" t="s">
        <v>4753</v>
      </c>
      <c r="E1130" s="361" t="str">
        <f t="shared" ca="1" si="37"/>
        <v>LOSS</v>
      </c>
      <c r="F1130" s="29"/>
      <c r="G1130" s="28" t="s">
        <v>4893</v>
      </c>
      <c r="H1130" s="29" t="s">
        <v>2748</v>
      </c>
      <c r="I1130" s="29" t="s">
        <v>242</v>
      </c>
      <c r="J1130" s="28" t="s">
        <v>4894</v>
      </c>
      <c r="K1130" s="28"/>
      <c r="L1130" s="27"/>
      <c r="M1130" s="27"/>
      <c r="N1130" s="29"/>
      <c r="O1130" s="56"/>
      <c r="P1130" s="31">
        <f>3800000*2</f>
        <v>7600000</v>
      </c>
      <c r="Q1130" s="31"/>
      <c r="R1130" s="27"/>
      <c r="S1130" s="32">
        <f>2178621*2</f>
        <v>4357242</v>
      </c>
      <c r="T1130" s="33"/>
      <c r="U1130" s="334">
        <v>45231</v>
      </c>
      <c r="V1130" s="334">
        <v>45291</v>
      </c>
      <c r="W1130" s="27" t="s">
        <v>250</v>
      </c>
      <c r="X1130" s="27"/>
      <c r="Y1130" s="34">
        <f t="shared" ca="1" si="41"/>
        <v>46290</v>
      </c>
      <c r="Z1130" s="35">
        <f t="shared" ca="1" si="38"/>
        <v>-999</v>
      </c>
      <c r="AA1130" s="27">
        <f t="shared" si="39"/>
        <v>12</v>
      </c>
      <c r="AB1130" s="27">
        <f t="shared" si="40"/>
        <v>2023</v>
      </c>
      <c r="AC1130" s="28"/>
      <c r="AD1130" s="28"/>
      <c r="AE1130" s="27"/>
      <c r="AF1130" s="27"/>
      <c r="AG1130" s="29"/>
      <c r="AH1130" s="28"/>
      <c r="AI1130" s="27"/>
      <c r="AJ1130" s="27"/>
      <c r="AK1130" s="27"/>
      <c r="AL1130" s="27"/>
      <c r="AM1130" s="27"/>
      <c r="AN1130" s="27"/>
      <c r="AO1130" s="27"/>
      <c r="AP1130" s="27"/>
      <c r="AQ1130" s="27"/>
      <c r="AR1130" s="504"/>
      <c r="AS1130" s="332"/>
      <c r="AT1130" s="160"/>
    </row>
    <row r="1131" spans="1:46" ht="21.75" hidden="1" customHeight="1">
      <c r="A1131" s="331">
        <v>1130</v>
      </c>
      <c r="B1131" s="28" t="s">
        <v>348</v>
      </c>
      <c r="C1131" s="28" t="s">
        <v>4892</v>
      </c>
      <c r="D1131" s="437" t="s">
        <v>4753</v>
      </c>
      <c r="E1131" s="361" t="str">
        <f t="shared" ca="1" si="37"/>
        <v>LOSS</v>
      </c>
      <c r="F1131" s="29"/>
      <c r="G1131" s="28" t="s">
        <v>4893</v>
      </c>
      <c r="H1131" s="29" t="s">
        <v>2748</v>
      </c>
      <c r="I1131" s="29" t="s">
        <v>242</v>
      </c>
      <c r="J1131" s="28" t="s">
        <v>4894</v>
      </c>
      <c r="K1131" s="28"/>
      <c r="L1131" s="27"/>
      <c r="M1131" s="27"/>
      <c r="N1131" s="29"/>
      <c r="O1131" s="56"/>
      <c r="P1131" s="31">
        <f>3800000*12</f>
        <v>45600000</v>
      </c>
      <c r="Q1131" s="31"/>
      <c r="R1131" s="27"/>
      <c r="S1131" s="32">
        <f>2544690*12</f>
        <v>30536280</v>
      </c>
      <c r="T1131" s="33"/>
      <c r="U1131" s="334">
        <v>45292</v>
      </c>
      <c r="V1131" s="334">
        <v>45657</v>
      </c>
      <c r="W1131" s="27" t="s">
        <v>17</v>
      </c>
      <c r="X1131" s="27"/>
      <c r="Y1131" s="34">
        <f t="shared" ca="1" si="41"/>
        <v>46290</v>
      </c>
      <c r="Z1131" s="35">
        <f t="shared" ca="1" si="38"/>
        <v>-633</v>
      </c>
      <c r="AA1131" s="27">
        <f t="shared" si="39"/>
        <v>12</v>
      </c>
      <c r="AB1131" s="27">
        <f t="shared" si="40"/>
        <v>2024</v>
      </c>
      <c r="AC1131" s="28"/>
      <c r="AD1131" s="28"/>
      <c r="AE1131" s="27"/>
      <c r="AF1131" s="27"/>
      <c r="AG1131" s="29"/>
      <c r="AH1131" s="28"/>
      <c r="AI1131" s="27"/>
      <c r="AJ1131" s="27"/>
      <c r="AK1131" s="27"/>
      <c r="AL1131" s="27"/>
      <c r="AM1131" s="27"/>
      <c r="AN1131" s="27"/>
      <c r="AO1131" s="27"/>
      <c r="AP1131" s="27"/>
      <c r="AQ1131" s="27"/>
      <c r="AR1131" s="504"/>
      <c r="AS1131" s="332"/>
      <c r="AT1131" s="160"/>
    </row>
    <row r="1132" spans="1:46" ht="21.75" hidden="1" customHeight="1">
      <c r="A1132" s="331">
        <v>1131</v>
      </c>
      <c r="B1132" s="28" t="s">
        <v>348</v>
      </c>
      <c r="C1132" s="28" t="s">
        <v>4897</v>
      </c>
      <c r="D1132" s="438" t="s">
        <v>4753</v>
      </c>
      <c r="E1132" s="361" t="str">
        <f t="shared" ca="1" si="37"/>
        <v>LOSS</v>
      </c>
      <c r="F1132" s="29"/>
      <c r="G1132" s="28" t="s">
        <v>4898</v>
      </c>
      <c r="H1132" s="29" t="s">
        <v>2748</v>
      </c>
      <c r="I1132" s="29" t="s">
        <v>242</v>
      </c>
      <c r="J1132" s="28" t="s">
        <v>4899</v>
      </c>
      <c r="K1132" s="28"/>
      <c r="L1132" s="27"/>
      <c r="M1132" s="27"/>
      <c r="N1132" s="29"/>
      <c r="O1132" s="56"/>
      <c r="P1132" s="31">
        <f>12*15000000</f>
        <v>180000000</v>
      </c>
      <c r="Q1132" s="31"/>
      <c r="R1132" s="27"/>
      <c r="S1132" s="32">
        <v>3529526</v>
      </c>
      <c r="T1132" s="33"/>
      <c r="U1132" s="334">
        <v>45092</v>
      </c>
      <c r="V1132" s="334">
        <v>45199</v>
      </c>
      <c r="W1132" s="27" t="s">
        <v>250</v>
      </c>
      <c r="X1132" s="27"/>
      <c r="Y1132" s="34">
        <f t="shared" ca="1" si="41"/>
        <v>46290</v>
      </c>
      <c r="Z1132" s="35">
        <f t="shared" ca="1" si="38"/>
        <v>-1091</v>
      </c>
      <c r="AA1132" s="27">
        <f t="shared" si="39"/>
        <v>9</v>
      </c>
      <c r="AB1132" s="27">
        <f t="shared" si="40"/>
        <v>2023</v>
      </c>
      <c r="AC1132" s="28" t="s">
        <v>479</v>
      </c>
      <c r="AD1132" s="28" t="s">
        <v>4900</v>
      </c>
      <c r="AE1132" s="27">
        <v>4500020495</v>
      </c>
      <c r="AF1132" s="27" t="s">
        <v>339</v>
      </c>
      <c r="AG1132" s="29" t="s">
        <v>4061</v>
      </c>
      <c r="AH1132" s="28"/>
      <c r="AI1132" s="27"/>
      <c r="AJ1132" s="27"/>
      <c r="AK1132" s="27"/>
      <c r="AL1132" s="27"/>
      <c r="AM1132" s="27"/>
      <c r="AN1132" s="27"/>
      <c r="AO1132" s="27" t="s">
        <v>4901</v>
      </c>
      <c r="AP1132" s="27"/>
      <c r="AQ1132" s="27"/>
      <c r="AR1132" s="504"/>
      <c r="AS1132" s="332"/>
      <c r="AT1132" s="160"/>
    </row>
    <row r="1133" spans="1:46" ht="21.75" hidden="1" customHeight="1">
      <c r="A1133" s="331">
        <v>1132</v>
      </c>
      <c r="B1133" s="28" t="s">
        <v>348</v>
      </c>
      <c r="C1133" s="28" t="s">
        <v>4897</v>
      </c>
      <c r="D1133" s="437" t="s">
        <v>4753</v>
      </c>
      <c r="E1133" s="361" t="str">
        <f t="shared" ca="1" si="37"/>
        <v>LOSS</v>
      </c>
      <c r="F1133" s="29"/>
      <c r="G1133" s="28" t="s">
        <v>4902</v>
      </c>
      <c r="H1133" s="29" t="s">
        <v>2748</v>
      </c>
      <c r="I1133" s="29" t="s">
        <v>242</v>
      </c>
      <c r="J1133" s="28" t="s">
        <v>4899</v>
      </c>
      <c r="K1133" s="28"/>
      <c r="L1133" s="27"/>
      <c r="M1133" s="27"/>
      <c r="N1133" s="29"/>
      <c r="O1133" s="56"/>
      <c r="P1133" s="31">
        <f>15000000*2</f>
        <v>30000000</v>
      </c>
      <c r="Q1133" s="31"/>
      <c r="R1133" s="27"/>
      <c r="S1133" s="32">
        <f>2178621*2</f>
        <v>4357242</v>
      </c>
      <c r="T1133" s="33"/>
      <c r="U1133" s="334">
        <v>45231</v>
      </c>
      <c r="V1133" s="334">
        <v>45291</v>
      </c>
      <c r="W1133" s="27" t="s">
        <v>250</v>
      </c>
      <c r="X1133" s="27"/>
      <c r="Y1133" s="34">
        <f t="shared" ca="1" si="41"/>
        <v>46290</v>
      </c>
      <c r="Z1133" s="35">
        <f t="shared" ca="1" si="38"/>
        <v>-999</v>
      </c>
      <c r="AA1133" s="27">
        <f t="shared" si="39"/>
        <v>12</v>
      </c>
      <c r="AB1133" s="27">
        <f t="shared" si="40"/>
        <v>2023</v>
      </c>
      <c r="AC1133" s="28"/>
      <c r="AD1133" s="28"/>
      <c r="AE1133" s="27"/>
      <c r="AF1133" s="27"/>
      <c r="AG1133" s="29"/>
      <c r="AH1133" s="28"/>
      <c r="AI1133" s="27"/>
      <c r="AJ1133" s="27"/>
      <c r="AK1133" s="27"/>
      <c r="AL1133" s="27"/>
      <c r="AM1133" s="27"/>
      <c r="AN1133" s="27"/>
      <c r="AO1133" s="27"/>
      <c r="AP1133" s="27"/>
      <c r="AQ1133" s="27"/>
      <c r="AR1133" s="504"/>
      <c r="AS1133" s="332"/>
      <c r="AT1133" s="160"/>
    </row>
    <row r="1134" spans="1:46" ht="21.75" hidden="1" customHeight="1">
      <c r="A1134" s="331">
        <v>1133</v>
      </c>
      <c r="B1134" s="28" t="s">
        <v>348</v>
      </c>
      <c r="C1134" s="28" t="s">
        <v>4897</v>
      </c>
      <c r="D1134" s="438" t="s">
        <v>4753</v>
      </c>
      <c r="E1134" s="361" t="str">
        <f t="shared" ca="1" si="37"/>
        <v>LOSS</v>
      </c>
      <c r="F1134" s="29"/>
      <c r="G1134" s="28" t="s">
        <v>4903</v>
      </c>
      <c r="H1134" s="29" t="s">
        <v>2748</v>
      </c>
      <c r="I1134" s="29" t="s">
        <v>242</v>
      </c>
      <c r="J1134" s="28" t="s">
        <v>4899</v>
      </c>
      <c r="K1134" s="28"/>
      <c r="L1134" s="27"/>
      <c r="M1134" s="27"/>
      <c r="N1134" s="29"/>
      <c r="O1134" s="56"/>
      <c r="P1134" s="31">
        <f>15000000*12</f>
        <v>180000000</v>
      </c>
      <c r="Q1134" s="31"/>
      <c r="R1134" s="27"/>
      <c r="S1134" s="32">
        <f>2544690*12</f>
        <v>30536280</v>
      </c>
      <c r="T1134" s="33"/>
      <c r="U1134" s="334">
        <v>45292</v>
      </c>
      <c r="V1134" s="334">
        <v>45657</v>
      </c>
      <c r="W1134" s="27" t="s">
        <v>17</v>
      </c>
      <c r="X1134" s="27"/>
      <c r="Y1134" s="34">
        <f t="shared" ca="1" si="41"/>
        <v>46290</v>
      </c>
      <c r="Z1134" s="35">
        <f t="shared" ca="1" si="38"/>
        <v>-633</v>
      </c>
      <c r="AA1134" s="27">
        <f t="shared" si="39"/>
        <v>12</v>
      </c>
      <c r="AB1134" s="27">
        <f t="shared" si="40"/>
        <v>2024</v>
      </c>
      <c r="AC1134" s="28"/>
      <c r="AD1134" s="28"/>
      <c r="AE1134" s="27"/>
      <c r="AF1134" s="27"/>
      <c r="AG1134" s="29"/>
      <c r="AH1134" s="28"/>
      <c r="AI1134" s="27"/>
      <c r="AJ1134" s="27"/>
      <c r="AK1134" s="27"/>
      <c r="AL1134" s="27"/>
      <c r="AM1134" s="27"/>
      <c r="AN1134" s="27"/>
      <c r="AO1134" s="27"/>
      <c r="AP1134" s="27"/>
      <c r="AQ1134" s="27"/>
      <c r="AR1134" s="504"/>
      <c r="AS1134" s="332"/>
      <c r="AT1134" s="160"/>
    </row>
    <row r="1135" spans="1:46" ht="21.75" hidden="1" customHeight="1">
      <c r="A1135" s="331">
        <v>1134</v>
      </c>
      <c r="B1135" s="28" t="s">
        <v>348</v>
      </c>
      <c r="C1135" s="28" t="s">
        <v>4904</v>
      </c>
      <c r="D1135" s="437" t="s">
        <v>4753</v>
      </c>
      <c r="E1135" s="361" t="str">
        <f t="shared" ca="1" si="37"/>
        <v>LOSS</v>
      </c>
      <c r="F1135" s="29"/>
      <c r="G1135" s="28" t="s">
        <v>4905</v>
      </c>
      <c r="H1135" s="29" t="s">
        <v>2748</v>
      </c>
      <c r="I1135" s="29" t="s">
        <v>242</v>
      </c>
      <c r="J1135" s="28" t="s">
        <v>4906</v>
      </c>
      <c r="K1135" s="28"/>
      <c r="L1135" s="27"/>
      <c r="M1135" s="27"/>
      <c r="N1135" s="29"/>
      <c r="O1135" s="56"/>
      <c r="P1135" s="31">
        <f>12*2300000</f>
        <v>27600000</v>
      </c>
      <c r="Q1135" s="31"/>
      <c r="R1135" s="27"/>
      <c r="S1135" s="32">
        <v>3412301</v>
      </c>
      <c r="T1135" s="33"/>
      <c r="U1135" s="334">
        <v>44992</v>
      </c>
      <c r="V1135" s="334">
        <v>45199</v>
      </c>
      <c r="W1135" s="27" t="s">
        <v>250</v>
      </c>
      <c r="X1135" s="27"/>
      <c r="Y1135" s="34">
        <f t="shared" ca="1" si="41"/>
        <v>46290</v>
      </c>
      <c r="Z1135" s="35">
        <f t="shared" ca="1" si="38"/>
        <v>-1091</v>
      </c>
      <c r="AA1135" s="27">
        <f t="shared" si="39"/>
        <v>9</v>
      </c>
      <c r="AB1135" s="27">
        <f t="shared" si="40"/>
        <v>2023</v>
      </c>
      <c r="AC1135" s="28" t="s">
        <v>479</v>
      </c>
      <c r="AD1135" s="28" t="s">
        <v>4907</v>
      </c>
      <c r="AE1135" s="27">
        <v>4500021038</v>
      </c>
      <c r="AF1135" s="27" t="s">
        <v>339</v>
      </c>
      <c r="AG1135" s="29" t="s">
        <v>4061</v>
      </c>
      <c r="AH1135" s="28"/>
      <c r="AI1135" s="27"/>
      <c r="AJ1135" s="27"/>
      <c r="AK1135" s="27"/>
      <c r="AL1135" s="27"/>
      <c r="AM1135" s="27"/>
      <c r="AN1135" s="27"/>
      <c r="AO1135" s="27" t="s">
        <v>4908</v>
      </c>
      <c r="AP1135" s="27"/>
      <c r="AQ1135" s="27"/>
      <c r="AR1135" s="504"/>
      <c r="AS1135" s="332"/>
      <c r="AT1135" s="160"/>
    </row>
    <row r="1136" spans="1:46" ht="21.75" hidden="1" customHeight="1">
      <c r="A1136" s="331">
        <v>1135</v>
      </c>
      <c r="B1136" s="28" t="s">
        <v>348</v>
      </c>
      <c r="C1136" s="28" t="s">
        <v>4904</v>
      </c>
      <c r="D1136" s="438" t="s">
        <v>4753</v>
      </c>
      <c r="E1136" s="361" t="str">
        <f t="shared" ca="1" si="37"/>
        <v>LOSS</v>
      </c>
      <c r="F1136" s="29"/>
      <c r="G1136" s="28" t="s">
        <v>4905</v>
      </c>
      <c r="H1136" s="29" t="s">
        <v>2748</v>
      </c>
      <c r="I1136" s="29" t="s">
        <v>242</v>
      </c>
      <c r="J1136" s="28" t="s">
        <v>4906</v>
      </c>
      <c r="K1136" s="28"/>
      <c r="L1136" s="27"/>
      <c r="M1136" s="27"/>
      <c r="N1136" s="29"/>
      <c r="O1136" s="56"/>
      <c r="P1136" s="31">
        <f>3412301*2</f>
        <v>6824602</v>
      </c>
      <c r="Q1136" s="31"/>
      <c r="R1136" s="27"/>
      <c r="S1136" s="32">
        <f>1044583*2</f>
        <v>2089166</v>
      </c>
      <c r="T1136" s="33"/>
      <c r="U1136" s="334">
        <v>45231</v>
      </c>
      <c r="V1136" s="334">
        <v>45291</v>
      </c>
      <c r="W1136" s="27" t="s">
        <v>250</v>
      </c>
      <c r="X1136" s="27"/>
      <c r="Y1136" s="34">
        <f t="shared" ca="1" si="41"/>
        <v>46290</v>
      </c>
      <c r="Z1136" s="35">
        <f t="shared" ca="1" si="38"/>
        <v>-999</v>
      </c>
      <c r="AA1136" s="27">
        <f t="shared" si="39"/>
        <v>12</v>
      </c>
      <c r="AB1136" s="27">
        <f t="shared" si="40"/>
        <v>2023</v>
      </c>
      <c r="AC1136" s="28"/>
      <c r="AD1136" s="28"/>
      <c r="AE1136" s="27"/>
      <c r="AF1136" s="27"/>
      <c r="AG1136" s="29"/>
      <c r="AH1136" s="28"/>
      <c r="AI1136" s="27"/>
      <c r="AJ1136" s="27"/>
      <c r="AK1136" s="27"/>
      <c r="AL1136" s="27"/>
      <c r="AM1136" s="27"/>
      <c r="AN1136" s="27"/>
      <c r="AO1136" s="27"/>
      <c r="AP1136" s="27"/>
      <c r="AQ1136" s="27"/>
      <c r="AR1136" s="504"/>
      <c r="AS1136" s="332"/>
      <c r="AT1136" s="160"/>
    </row>
    <row r="1137" spans="1:46" ht="21.75" hidden="1" customHeight="1">
      <c r="A1137" s="331">
        <v>1136</v>
      </c>
      <c r="B1137" s="28" t="s">
        <v>348</v>
      </c>
      <c r="C1137" s="28" t="s">
        <v>4904</v>
      </c>
      <c r="D1137" s="437" t="s">
        <v>4753</v>
      </c>
      <c r="E1137" s="361" t="str">
        <f t="shared" ca="1" si="37"/>
        <v>LOSS</v>
      </c>
      <c r="F1137" s="29"/>
      <c r="G1137" s="28" t="s">
        <v>4905</v>
      </c>
      <c r="H1137" s="29" t="s">
        <v>2748</v>
      </c>
      <c r="I1137" s="29" t="s">
        <v>242</v>
      </c>
      <c r="J1137" s="28" t="s">
        <v>4906</v>
      </c>
      <c r="K1137" s="28"/>
      <c r="L1137" s="27"/>
      <c r="M1137" s="27"/>
      <c r="N1137" s="29"/>
      <c r="O1137" s="56"/>
      <c r="P1137" s="31">
        <f>3412301*12</f>
        <v>40947612</v>
      </c>
      <c r="Q1137" s="31"/>
      <c r="R1137" s="27"/>
      <c r="S1137" s="32">
        <f>1229854*12</f>
        <v>14758248</v>
      </c>
      <c r="T1137" s="33"/>
      <c r="U1137" s="334">
        <v>45292</v>
      </c>
      <c r="V1137" s="334">
        <v>45657</v>
      </c>
      <c r="W1137" s="27" t="s">
        <v>17</v>
      </c>
      <c r="X1137" s="27"/>
      <c r="Y1137" s="34">
        <f t="shared" ca="1" si="41"/>
        <v>46290</v>
      </c>
      <c r="Z1137" s="35">
        <f t="shared" ca="1" si="38"/>
        <v>-633</v>
      </c>
      <c r="AA1137" s="27">
        <f t="shared" si="39"/>
        <v>12</v>
      </c>
      <c r="AB1137" s="27">
        <f t="shared" si="40"/>
        <v>2024</v>
      </c>
      <c r="AC1137" s="28"/>
      <c r="AD1137" s="28"/>
      <c r="AE1137" s="27"/>
      <c r="AF1137" s="27"/>
      <c r="AG1137" s="29"/>
      <c r="AH1137" s="28"/>
      <c r="AI1137" s="27"/>
      <c r="AJ1137" s="27"/>
      <c r="AK1137" s="27"/>
      <c r="AL1137" s="27"/>
      <c r="AM1137" s="27"/>
      <c r="AN1137" s="27"/>
      <c r="AO1137" s="27"/>
      <c r="AP1137" s="27"/>
      <c r="AQ1137" s="27"/>
      <c r="AR1137" s="504"/>
      <c r="AS1137" s="332"/>
      <c r="AT1137" s="160"/>
    </row>
    <row r="1138" spans="1:46" ht="21.75" hidden="1" customHeight="1">
      <c r="A1138" s="331">
        <v>1137</v>
      </c>
      <c r="B1138" s="28" t="s">
        <v>348</v>
      </c>
      <c r="C1138" s="28" t="s">
        <v>4909</v>
      </c>
      <c r="D1138" s="438" t="s">
        <v>4753</v>
      </c>
      <c r="E1138" s="361" t="str">
        <f t="shared" ca="1" si="37"/>
        <v>LOSS</v>
      </c>
      <c r="F1138" s="29"/>
      <c r="G1138" s="28" t="s">
        <v>4910</v>
      </c>
      <c r="H1138" s="29" t="s">
        <v>2748</v>
      </c>
      <c r="I1138" s="29" t="s">
        <v>242</v>
      </c>
      <c r="J1138" s="28" t="s">
        <v>4911</v>
      </c>
      <c r="K1138" s="28"/>
      <c r="L1138" s="27"/>
      <c r="M1138" s="27"/>
      <c r="N1138" s="29"/>
      <c r="O1138" s="56"/>
      <c r="P1138" s="31">
        <f>12*9000000</f>
        <v>108000000</v>
      </c>
      <c r="Q1138" s="31"/>
      <c r="R1138" s="27"/>
      <c r="S1138" s="32">
        <v>5188414</v>
      </c>
      <c r="T1138" s="33"/>
      <c r="U1138" s="334">
        <v>45146</v>
      </c>
      <c r="V1138" s="334">
        <v>45199</v>
      </c>
      <c r="W1138" s="27" t="s">
        <v>250</v>
      </c>
      <c r="X1138" s="27"/>
      <c r="Y1138" s="34">
        <f t="shared" ca="1" si="41"/>
        <v>46290</v>
      </c>
      <c r="Z1138" s="35">
        <f t="shared" ca="1" si="38"/>
        <v>-1091</v>
      </c>
      <c r="AA1138" s="27">
        <f t="shared" si="39"/>
        <v>9</v>
      </c>
      <c r="AB1138" s="27">
        <f t="shared" si="40"/>
        <v>2023</v>
      </c>
      <c r="AC1138" s="28" t="s">
        <v>479</v>
      </c>
      <c r="AD1138" s="28" t="s">
        <v>4912</v>
      </c>
      <c r="AE1138" s="27">
        <v>4500021177</v>
      </c>
      <c r="AF1138" s="27" t="s">
        <v>339</v>
      </c>
      <c r="AG1138" s="29" t="s">
        <v>4061</v>
      </c>
      <c r="AH1138" s="28"/>
      <c r="AI1138" s="27"/>
      <c r="AJ1138" s="27"/>
      <c r="AK1138" s="27"/>
      <c r="AL1138" s="27"/>
      <c r="AM1138" s="27"/>
      <c r="AN1138" s="27"/>
      <c r="AO1138" s="27" t="s">
        <v>4913</v>
      </c>
      <c r="AP1138" s="27"/>
      <c r="AQ1138" s="27"/>
      <c r="AR1138" s="504"/>
      <c r="AS1138" s="332"/>
      <c r="AT1138" s="160"/>
    </row>
    <row r="1139" spans="1:46" ht="21.75" hidden="1" customHeight="1">
      <c r="A1139" s="331">
        <v>1138</v>
      </c>
      <c r="B1139" s="28" t="s">
        <v>348</v>
      </c>
      <c r="C1139" s="28" t="s">
        <v>4909</v>
      </c>
      <c r="D1139" s="437" t="s">
        <v>4753</v>
      </c>
      <c r="E1139" s="361" t="str">
        <f t="shared" ca="1" si="37"/>
        <v>LOSS</v>
      </c>
      <c r="F1139" s="29"/>
      <c r="G1139" s="28" t="s">
        <v>4910</v>
      </c>
      <c r="H1139" s="29" t="s">
        <v>2748</v>
      </c>
      <c r="I1139" s="29" t="s">
        <v>242</v>
      </c>
      <c r="J1139" s="28" t="s">
        <v>4911</v>
      </c>
      <c r="K1139" s="28"/>
      <c r="L1139" s="27"/>
      <c r="M1139" s="27"/>
      <c r="N1139" s="29"/>
      <c r="O1139" s="56"/>
      <c r="P1139" s="31">
        <v>18000000</v>
      </c>
      <c r="Q1139" s="31"/>
      <c r="R1139" s="27"/>
      <c r="S1139" s="32">
        <f>2926698*2</f>
        <v>5853396</v>
      </c>
      <c r="T1139" s="33"/>
      <c r="U1139" s="334">
        <v>45231</v>
      </c>
      <c r="V1139" s="334">
        <v>45291</v>
      </c>
      <c r="W1139" s="27" t="s">
        <v>250</v>
      </c>
      <c r="X1139" s="27"/>
      <c r="Y1139" s="34">
        <f t="shared" ca="1" si="41"/>
        <v>46290</v>
      </c>
      <c r="Z1139" s="35">
        <f t="shared" ca="1" si="38"/>
        <v>-999</v>
      </c>
      <c r="AA1139" s="27">
        <f t="shared" si="39"/>
        <v>12</v>
      </c>
      <c r="AB1139" s="27">
        <f t="shared" si="40"/>
        <v>2023</v>
      </c>
      <c r="AC1139" s="28"/>
      <c r="AD1139" s="28"/>
      <c r="AE1139" s="27"/>
      <c r="AF1139" s="27"/>
      <c r="AG1139" s="29"/>
      <c r="AH1139" s="28"/>
      <c r="AI1139" s="27"/>
      <c r="AJ1139" s="27"/>
      <c r="AK1139" s="27"/>
      <c r="AL1139" s="27"/>
      <c r="AM1139" s="27"/>
      <c r="AN1139" s="27"/>
      <c r="AO1139" s="27"/>
      <c r="AP1139" s="27"/>
      <c r="AQ1139" s="27"/>
      <c r="AR1139" s="504"/>
      <c r="AS1139" s="332"/>
      <c r="AT1139" s="160"/>
    </row>
    <row r="1140" spans="1:46" ht="21.75" hidden="1" customHeight="1">
      <c r="A1140" s="331">
        <v>1139</v>
      </c>
      <c r="B1140" s="28" t="s">
        <v>348</v>
      </c>
      <c r="C1140" s="28" t="s">
        <v>4909</v>
      </c>
      <c r="D1140" s="438" t="s">
        <v>4753</v>
      </c>
      <c r="E1140" s="361" t="str">
        <f t="shared" ca="1" si="37"/>
        <v>LOSS</v>
      </c>
      <c r="F1140" s="29"/>
      <c r="G1140" s="28" t="s">
        <v>4910</v>
      </c>
      <c r="H1140" s="29" t="s">
        <v>2748</v>
      </c>
      <c r="I1140" s="29" t="s">
        <v>242</v>
      </c>
      <c r="J1140" s="28" t="s">
        <v>4911</v>
      </c>
      <c r="K1140" s="28"/>
      <c r="L1140" s="27"/>
      <c r="M1140" s="27"/>
      <c r="N1140" s="29"/>
      <c r="O1140" s="56"/>
      <c r="P1140" s="31">
        <f>9000000*12</f>
        <v>108000000</v>
      </c>
      <c r="Q1140" s="31"/>
      <c r="R1140" s="27"/>
      <c r="S1140" s="32">
        <f>3490963*12</f>
        <v>41891556</v>
      </c>
      <c r="T1140" s="33"/>
      <c r="U1140" s="334">
        <v>45292</v>
      </c>
      <c r="V1140" s="334">
        <v>45657</v>
      </c>
      <c r="W1140" s="27" t="s">
        <v>17</v>
      </c>
      <c r="X1140" s="27"/>
      <c r="Y1140" s="34">
        <f t="shared" ca="1" si="41"/>
        <v>46290</v>
      </c>
      <c r="Z1140" s="35">
        <f t="shared" ca="1" si="38"/>
        <v>-633</v>
      </c>
      <c r="AA1140" s="27">
        <f t="shared" si="39"/>
        <v>12</v>
      </c>
      <c r="AB1140" s="27">
        <f t="shared" si="40"/>
        <v>2024</v>
      </c>
      <c r="AC1140" s="28"/>
      <c r="AD1140" s="28"/>
      <c r="AE1140" s="27"/>
      <c r="AF1140" s="27"/>
      <c r="AG1140" s="29"/>
      <c r="AH1140" s="28"/>
      <c r="AI1140" s="27"/>
      <c r="AJ1140" s="27"/>
      <c r="AK1140" s="27"/>
      <c r="AL1140" s="27"/>
      <c r="AM1140" s="27"/>
      <c r="AN1140" s="27"/>
      <c r="AO1140" s="27"/>
      <c r="AP1140" s="27"/>
      <c r="AQ1140" s="27"/>
      <c r="AR1140" s="504"/>
      <c r="AS1140" s="332"/>
      <c r="AT1140" s="160"/>
    </row>
    <row r="1141" spans="1:46" ht="21.75" hidden="1" customHeight="1">
      <c r="A1141" s="331">
        <v>1140</v>
      </c>
      <c r="B1141" s="28" t="s">
        <v>348</v>
      </c>
      <c r="C1141" s="28" t="s">
        <v>4914</v>
      </c>
      <c r="D1141" s="437" t="s">
        <v>4753</v>
      </c>
      <c r="E1141" s="361" t="str">
        <f t="shared" ca="1" si="37"/>
        <v>LOSS</v>
      </c>
      <c r="F1141" s="29" t="s">
        <v>115</v>
      </c>
      <c r="G1141" s="28" t="s">
        <v>4915</v>
      </c>
      <c r="H1141" s="29" t="s">
        <v>2748</v>
      </c>
      <c r="I1141" s="29" t="s">
        <v>242</v>
      </c>
      <c r="J1141" s="28" t="s">
        <v>4916</v>
      </c>
      <c r="K1141" s="28"/>
      <c r="L1141" s="27"/>
      <c r="M1141" s="27"/>
      <c r="N1141" s="29"/>
      <c r="O1141" s="56"/>
      <c r="P1141" s="31">
        <v>54000000</v>
      </c>
      <c r="Q1141" s="31"/>
      <c r="R1141" s="27"/>
      <c r="S1141" s="32">
        <v>24527056</v>
      </c>
      <c r="T1141" s="33"/>
      <c r="U1141" s="334">
        <v>45223</v>
      </c>
      <c r="V1141" s="334">
        <v>45565</v>
      </c>
      <c r="W1141" s="27" t="s">
        <v>17</v>
      </c>
      <c r="X1141" s="27"/>
      <c r="Y1141" s="34">
        <f t="shared" ca="1" si="41"/>
        <v>46290</v>
      </c>
      <c r="Z1141" s="35">
        <f t="shared" ca="1" si="38"/>
        <v>-725</v>
      </c>
      <c r="AA1141" s="27">
        <f t="shared" si="39"/>
        <v>9</v>
      </c>
      <c r="AB1141" s="27">
        <f t="shared" si="40"/>
        <v>2024</v>
      </c>
      <c r="AC1141" s="28" t="s">
        <v>479</v>
      </c>
      <c r="AD1141" s="28" t="s">
        <v>4917</v>
      </c>
      <c r="AE1141" s="27">
        <v>4500021564</v>
      </c>
      <c r="AF1141" s="27" t="s">
        <v>339</v>
      </c>
      <c r="AG1141" s="29" t="s">
        <v>4061</v>
      </c>
      <c r="AH1141" s="28"/>
      <c r="AI1141" s="27"/>
      <c r="AJ1141" s="27"/>
      <c r="AK1141" s="27"/>
      <c r="AL1141" s="27"/>
      <c r="AM1141" s="27"/>
      <c r="AN1141" s="27"/>
      <c r="AO1141" s="27" t="s">
        <v>4918</v>
      </c>
      <c r="AP1141" s="27"/>
      <c r="AQ1141" s="27"/>
      <c r="AR1141" s="504"/>
      <c r="AS1141" s="332"/>
      <c r="AT1141" s="160"/>
    </row>
    <row r="1142" spans="1:46" ht="21.75" hidden="1" customHeight="1">
      <c r="A1142" s="331">
        <v>1141</v>
      </c>
      <c r="B1142" s="28" t="s">
        <v>4919</v>
      </c>
      <c r="C1142" s="28" t="s">
        <v>4920</v>
      </c>
      <c r="D1142" s="443" t="s">
        <v>4921</v>
      </c>
      <c r="E1142" s="361" t="str">
        <f t="shared" ca="1" si="37"/>
        <v>LOSS</v>
      </c>
      <c r="F1142" s="29" t="s">
        <v>115</v>
      </c>
      <c r="G1142" s="28" t="s">
        <v>4922</v>
      </c>
      <c r="H1142" s="29" t="s">
        <v>2748</v>
      </c>
      <c r="I1142" s="29" t="s">
        <v>346</v>
      </c>
      <c r="J1142" s="28" t="s">
        <v>4923</v>
      </c>
      <c r="K1142" s="28"/>
      <c r="L1142" s="27"/>
      <c r="M1142" s="27"/>
      <c r="N1142" s="29"/>
      <c r="O1142" s="56"/>
      <c r="P1142" s="31">
        <v>2720400000</v>
      </c>
      <c r="Q1142" s="31"/>
      <c r="R1142" s="27"/>
      <c r="S1142" s="32">
        <v>13500000</v>
      </c>
      <c r="T1142" s="33"/>
      <c r="U1142" s="334">
        <v>43525</v>
      </c>
      <c r="V1142" s="334">
        <v>43889</v>
      </c>
      <c r="W1142" s="27" t="s">
        <v>250</v>
      </c>
      <c r="X1142" s="27"/>
      <c r="Y1142" s="34">
        <f t="shared" ca="1" si="41"/>
        <v>46290</v>
      </c>
      <c r="Z1142" s="35">
        <f t="shared" ca="1" si="38"/>
        <v>-2401</v>
      </c>
      <c r="AA1142" s="27">
        <f t="shared" si="39"/>
        <v>2</v>
      </c>
      <c r="AB1142" s="27">
        <f t="shared" si="40"/>
        <v>2020</v>
      </c>
      <c r="AC1142" s="28" t="s">
        <v>4924</v>
      </c>
      <c r="AD1142" s="28" t="s">
        <v>4925</v>
      </c>
      <c r="AE1142" s="27">
        <v>4500012446</v>
      </c>
      <c r="AF1142" s="27" t="s">
        <v>339</v>
      </c>
      <c r="AG1142" s="29" t="s">
        <v>4926</v>
      </c>
      <c r="AH1142" s="28" t="s">
        <v>4927</v>
      </c>
      <c r="AI1142" s="27"/>
      <c r="AJ1142" s="27"/>
      <c r="AK1142" s="27"/>
      <c r="AL1142" s="27"/>
      <c r="AM1142" s="27"/>
      <c r="AN1142" s="27"/>
      <c r="AO1142" s="27"/>
      <c r="AP1142" s="27"/>
      <c r="AQ1142" s="27"/>
      <c r="AR1142" s="504"/>
      <c r="AS1142" s="332" t="s">
        <v>4928</v>
      </c>
      <c r="AT1142" s="160"/>
    </row>
    <row r="1143" spans="1:46" ht="21.75" hidden="1" customHeight="1">
      <c r="A1143" s="331">
        <v>1142</v>
      </c>
      <c r="B1143" s="28" t="s">
        <v>4929</v>
      </c>
      <c r="C1143" s="28" t="s">
        <v>4930</v>
      </c>
      <c r="D1143" s="444" t="s">
        <v>4931</v>
      </c>
      <c r="E1143" s="361" t="str">
        <f t="shared" ca="1" si="37"/>
        <v>LOSS</v>
      </c>
      <c r="F1143" s="29" t="s">
        <v>115</v>
      </c>
      <c r="G1143" s="28" t="s">
        <v>4932</v>
      </c>
      <c r="H1143" s="29" t="s">
        <v>2748</v>
      </c>
      <c r="I1143" s="160" t="s">
        <v>346</v>
      </c>
      <c r="J1143" s="28" t="s">
        <v>4933</v>
      </c>
      <c r="K1143" s="28"/>
      <c r="L1143" s="27"/>
      <c r="M1143" s="27"/>
      <c r="N1143" s="29"/>
      <c r="O1143" s="56"/>
      <c r="P1143" s="31">
        <v>34800000</v>
      </c>
      <c r="Q1143" s="31"/>
      <c r="R1143" s="27"/>
      <c r="S1143" s="32">
        <v>12000000</v>
      </c>
      <c r="T1143" s="33"/>
      <c r="U1143" s="334">
        <v>45292</v>
      </c>
      <c r="V1143" s="334">
        <v>45657</v>
      </c>
      <c r="W1143" s="27" t="s">
        <v>17</v>
      </c>
      <c r="X1143" s="27"/>
      <c r="Y1143" s="34">
        <f t="shared" ca="1" si="41"/>
        <v>46290</v>
      </c>
      <c r="Z1143" s="35">
        <f t="shared" ca="1" si="38"/>
        <v>-633</v>
      </c>
      <c r="AA1143" s="27">
        <f t="shared" si="39"/>
        <v>12</v>
      </c>
      <c r="AB1143" s="27">
        <f t="shared" si="40"/>
        <v>2024</v>
      </c>
      <c r="AC1143" s="28" t="s">
        <v>4934</v>
      </c>
      <c r="AD1143" s="28">
        <v>1951</v>
      </c>
      <c r="AE1143" s="27">
        <v>4500021741</v>
      </c>
      <c r="AF1143" s="27" t="s">
        <v>339</v>
      </c>
      <c r="AG1143" s="29" t="s">
        <v>4935</v>
      </c>
      <c r="AH1143" s="28" t="s">
        <v>4936</v>
      </c>
      <c r="AI1143" s="27"/>
      <c r="AJ1143" s="27"/>
      <c r="AK1143" s="27"/>
      <c r="AL1143" s="27" t="s">
        <v>4937</v>
      </c>
      <c r="AM1143" s="27" t="s">
        <v>4938</v>
      </c>
      <c r="AN1143" s="27" t="s">
        <v>4939</v>
      </c>
      <c r="AO1143" s="27" t="s">
        <v>4940</v>
      </c>
      <c r="AP1143" s="27" t="s">
        <v>4643</v>
      </c>
      <c r="AQ1143" s="27"/>
      <c r="AR1143" s="504"/>
      <c r="AS1143" s="332" t="s">
        <v>4941</v>
      </c>
      <c r="AT1143" s="160"/>
    </row>
    <row r="1144" spans="1:46" ht="21.75" hidden="1" customHeight="1">
      <c r="A1144" s="331">
        <v>1143</v>
      </c>
      <c r="B1144" s="28" t="s">
        <v>4942</v>
      </c>
      <c r="C1144" s="28" t="s">
        <v>3855</v>
      </c>
      <c r="D1144" s="438" t="s">
        <v>4943</v>
      </c>
      <c r="E1144" s="361" t="str">
        <f t="shared" ca="1" si="37"/>
        <v>LOSS</v>
      </c>
      <c r="F1144" s="29" t="s">
        <v>4944</v>
      </c>
      <c r="G1144" s="28" t="s">
        <v>4945</v>
      </c>
      <c r="H1144" s="29" t="s">
        <v>2748</v>
      </c>
      <c r="I1144" s="29" t="s">
        <v>346</v>
      </c>
      <c r="J1144" s="28" t="s">
        <v>4946</v>
      </c>
      <c r="K1144" s="28"/>
      <c r="L1144" s="27"/>
      <c r="M1144" s="27"/>
      <c r="N1144" s="29"/>
      <c r="O1144" s="56"/>
      <c r="P1144" s="31">
        <v>420000000</v>
      </c>
      <c r="Q1144" s="31"/>
      <c r="R1144" s="27"/>
      <c r="S1144" s="32">
        <v>2944447</v>
      </c>
      <c r="T1144" s="33"/>
      <c r="U1144" s="334">
        <v>44158</v>
      </c>
      <c r="V1144" s="334">
        <v>44211</v>
      </c>
      <c r="W1144" s="27" t="s">
        <v>245</v>
      </c>
      <c r="X1144" s="27"/>
      <c r="Y1144" s="34">
        <f t="shared" ca="1" si="41"/>
        <v>46290</v>
      </c>
      <c r="Z1144" s="35">
        <f t="shared" ca="1" si="38"/>
        <v>-2079</v>
      </c>
      <c r="AA1144" s="27">
        <f t="shared" si="39"/>
        <v>1</v>
      </c>
      <c r="AB1144" s="27">
        <f t="shared" si="40"/>
        <v>2021</v>
      </c>
      <c r="AC1144" s="28" t="s">
        <v>4947</v>
      </c>
      <c r="AD1144" s="28" t="s">
        <v>4948</v>
      </c>
      <c r="AE1144" s="27">
        <v>4500015969</v>
      </c>
      <c r="AF1144" s="27" t="s">
        <v>339</v>
      </c>
      <c r="AG1144" s="29" t="s">
        <v>4949</v>
      </c>
      <c r="AH1144" s="28" t="s">
        <v>4950</v>
      </c>
      <c r="AI1144" s="27">
        <v>124</v>
      </c>
      <c r="AJ1144" s="27" t="s">
        <v>4951</v>
      </c>
      <c r="AK1144" s="27" t="s">
        <v>4952</v>
      </c>
      <c r="AL1144" s="27"/>
      <c r="AM1144" s="27" t="s">
        <v>4953</v>
      </c>
      <c r="AN1144" s="27"/>
      <c r="AO1144" s="27"/>
      <c r="AP1144" s="27"/>
      <c r="AQ1144" s="27"/>
      <c r="AR1144" s="504"/>
      <c r="AS1144" s="332" t="s">
        <v>4954</v>
      </c>
      <c r="AT1144" s="160"/>
    </row>
    <row r="1145" spans="1:46" ht="21.75" hidden="1" customHeight="1">
      <c r="A1145" s="331">
        <v>1144</v>
      </c>
      <c r="B1145" s="28" t="s">
        <v>129</v>
      </c>
      <c r="C1145" s="28" t="s">
        <v>1467</v>
      </c>
      <c r="D1145" s="437" t="s">
        <v>2447</v>
      </c>
      <c r="E1145" s="361" t="str">
        <f t="shared" ca="1" si="37"/>
        <v>LOSS</v>
      </c>
      <c r="F1145" s="29" t="s">
        <v>4955</v>
      </c>
      <c r="G1145" s="28" t="s">
        <v>4955</v>
      </c>
      <c r="H1145" s="29" t="s">
        <v>2748</v>
      </c>
      <c r="I1145" s="29" t="s">
        <v>346</v>
      </c>
      <c r="J1145" s="28" t="s">
        <v>2682</v>
      </c>
      <c r="K1145" s="28"/>
      <c r="L1145" s="27"/>
      <c r="M1145" s="27"/>
      <c r="N1145" s="29"/>
      <c r="O1145" s="56"/>
      <c r="P1145" s="31">
        <f>12*3183000</f>
        <v>38196000</v>
      </c>
      <c r="Q1145" s="31"/>
      <c r="R1145" s="27"/>
      <c r="S1145" s="32">
        <v>26735856</v>
      </c>
      <c r="T1145" s="33"/>
      <c r="U1145" s="334">
        <v>45215</v>
      </c>
      <c r="V1145" s="334">
        <v>45580</v>
      </c>
      <c r="W1145" s="27" t="s">
        <v>250</v>
      </c>
      <c r="X1145" s="27"/>
      <c r="Y1145" s="34">
        <f t="shared" ca="1" si="41"/>
        <v>46290</v>
      </c>
      <c r="Z1145" s="35">
        <f t="shared" ca="1" si="38"/>
        <v>-710</v>
      </c>
      <c r="AA1145" s="27">
        <f t="shared" si="39"/>
        <v>10</v>
      </c>
      <c r="AB1145" s="27">
        <f t="shared" si="40"/>
        <v>2024</v>
      </c>
      <c r="AC1145" s="28" t="s">
        <v>4956</v>
      </c>
      <c r="AD1145" s="28" t="s">
        <v>4957</v>
      </c>
      <c r="AE1145" s="27">
        <v>4500021726</v>
      </c>
      <c r="AF1145" s="27" t="s">
        <v>339</v>
      </c>
      <c r="AG1145" s="29"/>
      <c r="AH1145" s="28"/>
      <c r="AI1145" s="27"/>
      <c r="AJ1145" s="27"/>
      <c r="AK1145" s="27"/>
      <c r="AL1145" s="27"/>
      <c r="AM1145" s="27"/>
      <c r="AN1145" s="27" t="s">
        <v>4958</v>
      </c>
      <c r="AO1145" s="27" t="s">
        <v>4959</v>
      </c>
      <c r="AP1145" s="27"/>
      <c r="AQ1145" s="27"/>
      <c r="AR1145" s="504"/>
      <c r="AS1145" s="333" t="s">
        <v>115</v>
      </c>
      <c r="AT1145" s="160"/>
    </row>
    <row r="1146" spans="1:46" ht="21.75" hidden="1" customHeight="1">
      <c r="A1146" s="331">
        <v>1145</v>
      </c>
      <c r="B1146" s="28" t="s">
        <v>129</v>
      </c>
      <c r="C1146" s="28" t="s">
        <v>4960</v>
      </c>
      <c r="D1146" s="438" t="s">
        <v>2447</v>
      </c>
      <c r="E1146" s="361" t="str">
        <f t="shared" ca="1" si="37"/>
        <v>LOSS</v>
      </c>
      <c r="F1146" s="29" t="s">
        <v>4961</v>
      </c>
      <c r="G1146" s="28" t="s">
        <v>4962</v>
      </c>
      <c r="H1146" s="29" t="s">
        <v>2748</v>
      </c>
      <c r="I1146" s="29" t="s">
        <v>346</v>
      </c>
      <c r="J1146" s="28" t="s">
        <v>2687</v>
      </c>
      <c r="K1146" s="28"/>
      <c r="L1146" s="27"/>
      <c r="M1146" s="27"/>
      <c r="N1146" s="29"/>
      <c r="O1146" s="56"/>
      <c r="P1146" s="31">
        <f>12*3500000</f>
        <v>42000000</v>
      </c>
      <c r="Q1146" s="31"/>
      <c r="R1146" s="27"/>
      <c r="S1146" s="32">
        <v>38699016</v>
      </c>
      <c r="T1146" s="33"/>
      <c r="U1146" s="334">
        <v>45168</v>
      </c>
      <c r="V1146" s="334">
        <v>45533</v>
      </c>
      <c r="W1146" s="27" t="s">
        <v>250</v>
      </c>
      <c r="X1146" s="27"/>
      <c r="Y1146" s="34">
        <f t="shared" ca="1" si="41"/>
        <v>46290</v>
      </c>
      <c r="Z1146" s="35">
        <f t="shared" ca="1" si="38"/>
        <v>-757</v>
      </c>
      <c r="AA1146" s="27">
        <f t="shared" si="39"/>
        <v>8</v>
      </c>
      <c r="AB1146" s="27">
        <f t="shared" si="40"/>
        <v>2024</v>
      </c>
      <c r="AC1146" s="28">
        <v>20159</v>
      </c>
      <c r="AD1146" s="28">
        <v>2245</v>
      </c>
      <c r="AE1146" s="27">
        <v>4500022325</v>
      </c>
      <c r="AF1146" s="27" t="s">
        <v>339</v>
      </c>
      <c r="AG1146" s="29"/>
      <c r="AH1146" s="28"/>
      <c r="AI1146" s="27"/>
      <c r="AJ1146" s="27"/>
      <c r="AK1146" s="27"/>
      <c r="AL1146" s="27"/>
      <c r="AM1146" s="27"/>
      <c r="AN1146" s="27" t="s">
        <v>4963</v>
      </c>
      <c r="AO1146" s="27" t="s">
        <v>4964</v>
      </c>
      <c r="AP1146" s="27"/>
      <c r="AQ1146" s="27"/>
      <c r="AR1146" s="504"/>
      <c r="AS1146" s="333" t="s">
        <v>115</v>
      </c>
      <c r="AT1146" s="160"/>
    </row>
    <row r="1147" spans="1:46" ht="21.75" hidden="1" customHeight="1">
      <c r="A1147" s="331">
        <v>1146</v>
      </c>
      <c r="B1147" s="28" t="s">
        <v>129</v>
      </c>
      <c r="C1147" s="28" t="s">
        <v>4965</v>
      </c>
      <c r="D1147" s="437" t="s">
        <v>2447</v>
      </c>
      <c r="E1147" s="361" t="str">
        <f t="shared" ca="1" si="37"/>
        <v>LOSS</v>
      </c>
      <c r="F1147" s="29"/>
      <c r="G1147" s="28" t="s">
        <v>4966</v>
      </c>
      <c r="H1147" s="29" t="s">
        <v>2748</v>
      </c>
      <c r="I1147" s="29" t="s">
        <v>346</v>
      </c>
      <c r="J1147" s="28" t="s">
        <v>2690</v>
      </c>
      <c r="K1147" s="28"/>
      <c r="L1147" s="27"/>
      <c r="M1147" s="27"/>
      <c r="N1147" s="29"/>
      <c r="O1147" s="56"/>
      <c r="P1147" s="31">
        <f>12*8100000</f>
        <v>97200000</v>
      </c>
      <c r="Q1147" s="31"/>
      <c r="R1147" s="27"/>
      <c r="S1147" s="32">
        <v>47127600</v>
      </c>
      <c r="T1147" s="33"/>
      <c r="U1147" s="334">
        <v>44831</v>
      </c>
      <c r="V1147" s="334">
        <v>45195</v>
      </c>
      <c r="W1147" s="27" t="s">
        <v>250</v>
      </c>
      <c r="X1147" s="27"/>
      <c r="Y1147" s="34">
        <f t="shared" ca="1" si="41"/>
        <v>46290</v>
      </c>
      <c r="Z1147" s="35">
        <f t="shared" ca="1" si="38"/>
        <v>-1095</v>
      </c>
      <c r="AA1147" s="27">
        <f t="shared" si="39"/>
        <v>9</v>
      </c>
      <c r="AB1147" s="27">
        <f t="shared" si="40"/>
        <v>2023</v>
      </c>
      <c r="AC1147" s="28" t="s">
        <v>479</v>
      </c>
      <c r="AD1147" s="28" t="s">
        <v>2691</v>
      </c>
      <c r="AE1147" s="27">
        <v>4500019271</v>
      </c>
      <c r="AF1147" s="27" t="s">
        <v>339</v>
      </c>
      <c r="AG1147" s="29"/>
      <c r="AH1147" s="28"/>
      <c r="AI1147" s="27"/>
      <c r="AJ1147" s="27"/>
      <c r="AK1147" s="27"/>
      <c r="AL1147" s="27"/>
      <c r="AM1147" s="27"/>
      <c r="AN1147" s="27" t="s">
        <v>4967</v>
      </c>
      <c r="AO1147" s="27"/>
      <c r="AP1147" s="27"/>
      <c r="AQ1147" s="27"/>
      <c r="AR1147" s="504"/>
      <c r="AS1147" s="333" t="s">
        <v>115</v>
      </c>
      <c r="AT1147" s="160"/>
    </row>
    <row r="1148" spans="1:46" ht="21.75" hidden="1" customHeight="1">
      <c r="A1148" s="331">
        <v>1147</v>
      </c>
      <c r="B1148" s="28" t="s">
        <v>129</v>
      </c>
      <c r="C1148" s="28" t="s">
        <v>4210</v>
      </c>
      <c r="D1148" s="438" t="s">
        <v>2447</v>
      </c>
      <c r="E1148" s="361" t="str">
        <f t="shared" ca="1" si="37"/>
        <v>LOSS</v>
      </c>
      <c r="F1148" s="29" t="s">
        <v>115</v>
      </c>
      <c r="G1148" s="28" t="s">
        <v>4968</v>
      </c>
      <c r="H1148" s="29" t="s">
        <v>2748</v>
      </c>
      <c r="I1148" s="29" t="s">
        <v>346</v>
      </c>
      <c r="J1148" s="28" t="s">
        <v>134</v>
      </c>
      <c r="K1148" s="28"/>
      <c r="L1148" s="27"/>
      <c r="M1148" s="27"/>
      <c r="N1148" s="29"/>
      <c r="O1148" s="56"/>
      <c r="P1148" s="31">
        <f>12*550000</f>
        <v>6600000</v>
      </c>
      <c r="Q1148" s="31"/>
      <c r="R1148" s="27"/>
      <c r="S1148" s="32">
        <v>36705157</v>
      </c>
      <c r="T1148" s="33"/>
      <c r="U1148" s="334">
        <v>45364</v>
      </c>
      <c r="V1148" s="334">
        <v>45728</v>
      </c>
      <c r="W1148" s="27" t="s">
        <v>250</v>
      </c>
      <c r="X1148" s="27"/>
      <c r="Y1148" s="34">
        <f t="shared" ca="1" si="41"/>
        <v>46290</v>
      </c>
      <c r="Z1148" s="35">
        <f t="shared" ca="1" si="38"/>
        <v>-562</v>
      </c>
      <c r="AA1148" s="27">
        <f t="shared" si="39"/>
        <v>3</v>
      </c>
      <c r="AB1148" s="27">
        <f t="shared" si="40"/>
        <v>2025</v>
      </c>
      <c r="AC1148" s="28" t="s">
        <v>4969</v>
      </c>
      <c r="AD1148" s="28">
        <v>2467</v>
      </c>
      <c r="AE1148" s="27">
        <v>4500022161</v>
      </c>
      <c r="AF1148" s="27" t="s">
        <v>339</v>
      </c>
      <c r="AG1148" s="29"/>
      <c r="AH1148" s="28"/>
      <c r="AI1148" s="27"/>
      <c r="AJ1148" s="27"/>
      <c r="AK1148" s="27"/>
      <c r="AL1148" s="27"/>
      <c r="AM1148" s="27"/>
      <c r="AN1148" s="27" t="s">
        <v>4970</v>
      </c>
      <c r="AO1148" s="27"/>
      <c r="AP1148" s="27" t="s">
        <v>4971</v>
      </c>
      <c r="AQ1148" s="27"/>
      <c r="AR1148" s="504"/>
      <c r="AS1148" s="333" t="s">
        <v>115</v>
      </c>
      <c r="AT1148" s="160"/>
    </row>
    <row r="1149" spans="1:46" ht="21.75" hidden="1" customHeight="1">
      <c r="A1149" s="331">
        <v>1148</v>
      </c>
      <c r="B1149" s="28" t="s">
        <v>129</v>
      </c>
      <c r="C1149" s="28" t="s">
        <v>2695</v>
      </c>
      <c r="D1149" s="436" t="s">
        <v>2447</v>
      </c>
      <c r="E1149" s="361" t="str">
        <f t="shared" ca="1" si="37"/>
        <v>LOSS</v>
      </c>
      <c r="F1149" s="29" t="s">
        <v>4972</v>
      </c>
      <c r="G1149" s="28" t="s">
        <v>4973</v>
      </c>
      <c r="H1149" s="29" t="s">
        <v>2748</v>
      </c>
      <c r="I1149" s="29" t="s">
        <v>346</v>
      </c>
      <c r="J1149" s="28" t="s">
        <v>2696</v>
      </c>
      <c r="K1149" s="28"/>
      <c r="L1149" s="27"/>
      <c r="M1149" s="27"/>
      <c r="N1149" s="29"/>
      <c r="O1149" s="56"/>
      <c r="P1149" s="31">
        <f>12*6000000</f>
        <v>72000000</v>
      </c>
      <c r="Q1149" s="31"/>
      <c r="R1149" s="27"/>
      <c r="S1149" s="32">
        <v>27823416</v>
      </c>
      <c r="T1149" s="33"/>
      <c r="U1149" s="334">
        <v>45163</v>
      </c>
      <c r="V1149" s="334">
        <v>45528</v>
      </c>
      <c r="W1149" s="27" t="s">
        <v>250</v>
      </c>
      <c r="X1149" s="27"/>
      <c r="Y1149" s="34">
        <f t="shared" ca="1" si="41"/>
        <v>46290</v>
      </c>
      <c r="Z1149" s="35">
        <f t="shared" ca="1" si="38"/>
        <v>-762</v>
      </c>
      <c r="AA1149" s="27">
        <f t="shared" si="39"/>
        <v>8</v>
      </c>
      <c r="AB1149" s="27">
        <f t="shared" si="40"/>
        <v>2024</v>
      </c>
      <c r="AC1149" s="28" t="s">
        <v>4974</v>
      </c>
      <c r="AD1149" s="28">
        <v>2345</v>
      </c>
      <c r="AE1149" s="27">
        <v>4500022326</v>
      </c>
      <c r="AF1149" s="27" t="s">
        <v>339</v>
      </c>
      <c r="AG1149" s="29"/>
      <c r="AH1149" s="28"/>
      <c r="AI1149" s="27"/>
      <c r="AJ1149" s="27"/>
      <c r="AK1149" s="27"/>
      <c r="AL1149" s="27"/>
      <c r="AM1149" s="27"/>
      <c r="AN1149" s="27" t="s">
        <v>4975</v>
      </c>
      <c r="AO1149" s="27" t="s">
        <v>4976</v>
      </c>
      <c r="AP1149" s="27"/>
      <c r="AQ1149" s="27"/>
      <c r="AR1149" s="504"/>
      <c r="AS1149" s="333" t="s">
        <v>115</v>
      </c>
      <c r="AT1149" s="160"/>
    </row>
    <row r="1150" spans="1:46" ht="21.75" hidden="1" customHeight="1">
      <c r="A1150" s="331">
        <v>1149</v>
      </c>
      <c r="B1150" s="28" t="s">
        <v>129</v>
      </c>
      <c r="C1150" s="28" t="s">
        <v>4977</v>
      </c>
      <c r="D1150" s="438" t="s">
        <v>2507</v>
      </c>
      <c r="E1150" s="361" t="str">
        <f t="shared" ca="1" si="37"/>
        <v>LOSS</v>
      </c>
      <c r="F1150" s="29" t="s">
        <v>115</v>
      </c>
      <c r="G1150" s="28" t="s">
        <v>4978</v>
      </c>
      <c r="H1150" s="29" t="s">
        <v>2748</v>
      </c>
      <c r="I1150" s="29" t="s">
        <v>346</v>
      </c>
      <c r="J1150" s="28" t="s">
        <v>133</v>
      </c>
      <c r="K1150" s="28"/>
      <c r="L1150" s="27"/>
      <c r="M1150" s="27"/>
      <c r="N1150" s="29"/>
      <c r="O1150" s="56"/>
      <c r="P1150" s="31">
        <f>12*47000000</f>
        <v>564000000</v>
      </c>
      <c r="Q1150" s="31"/>
      <c r="R1150" s="27"/>
      <c r="S1150" s="32">
        <v>24470100</v>
      </c>
      <c r="T1150" s="33"/>
      <c r="U1150" s="334">
        <v>45069</v>
      </c>
      <c r="V1150" s="334">
        <v>45434</v>
      </c>
      <c r="W1150" s="27" t="s">
        <v>250</v>
      </c>
      <c r="X1150" s="27"/>
      <c r="Y1150" s="34">
        <f t="shared" ca="1" si="41"/>
        <v>46290</v>
      </c>
      <c r="Z1150" s="35">
        <f t="shared" ca="1" si="38"/>
        <v>-856</v>
      </c>
      <c r="AA1150" s="27">
        <f t="shared" si="39"/>
        <v>5</v>
      </c>
      <c r="AB1150" s="27">
        <f t="shared" si="40"/>
        <v>2024</v>
      </c>
      <c r="AC1150" s="28" t="s">
        <v>4979</v>
      </c>
      <c r="AD1150" s="28" t="s">
        <v>4980</v>
      </c>
      <c r="AE1150" s="27">
        <v>4500021241</v>
      </c>
      <c r="AF1150" s="27" t="s">
        <v>339</v>
      </c>
      <c r="AG1150" s="29"/>
      <c r="AH1150" s="28"/>
      <c r="AI1150" s="27"/>
      <c r="AJ1150" s="27"/>
      <c r="AK1150" s="27"/>
      <c r="AL1150" s="27"/>
      <c r="AM1150" s="27"/>
      <c r="AN1150" s="27" t="s">
        <v>4981</v>
      </c>
      <c r="AO1150" s="27" t="s">
        <v>4982</v>
      </c>
      <c r="AP1150" s="27"/>
      <c r="AQ1150" s="27"/>
      <c r="AR1150" s="504"/>
      <c r="AS1150" s="333" t="s">
        <v>115</v>
      </c>
      <c r="AT1150" s="160"/>
    </row>
    <row r="1151" spans="1:46" ht="21.75" hidden="1" customHeight="1">
      <c r="A1151" s="331">
        <v>1150</v>
      </c>
      <c r="B1151" s="28" t="s">
        <v>129</v>
      </c>
      <c r="C1151" s="28" t="s">
        <v>4977</v>
      </c>
      <c r="D1151" s="437" t="s">
        <v>2507</v>
      </c>
      <c r="E1151" s="361" t="str">
        <f t="shared" ca="1" si="37"/>
        <v>LOSS</v>
      </c>
      <c r="F1151" s="29"/>
      <c r="G1151" s="28" t="s">
        <v>4978</v>
      </c>
      <c r="H1151" s="29" t="s">
        <v>2748</v>
      </c>
      <c r="I1151" s="29" t="s">
        <v>346</v>
      </c>
      <c r="J1151" s="28" t="s">
        <v>133</v>
      </c>
      <c r="K1151" s="28"/>
      <c r="L1151" s="27"/>
      <c r="M1151" s="27"/>
      <c r="N1151" s="29"/>
      <c r="O1151" s="56"/>
      <c r="P1151" s="31">
        <f>12*47000000</f>
        <v>564000000</v>
      </c>
      <c r="Q1151" s="31"/>
      <c r="R1151" s="27"/>
      <c r="S1151" s="32">
        <v>24470100</v>
      </c>
      <c r="T1151" s="33"/>
      <c r="U1151" s="334">
        <v>45435</v>
      </c>
      <c r="V1151" s="334">
        <v>45799</v>
      </c>
      <c r="W1151" s="27" t="s">
        <v>250</v>
      </c>
      <c r="X1151" s="27"/>
      <c r="Y1151" s="34">
        <f t="shared" ca="1" si="41"/>
        <v>46290</v>
      </c>
      <c r="Z1151" s="35">
        <f t="shared" ca="1" si="38"/>
        <v>-491</v>
      </c>
      <c r="AA1151" s="27">
        <f t="shared" si="39"/>
        <v>5</v>
      </c>
      <c r="AB1151" s="27">
        <f t="shared" si="40"/>
        <v>2025</v>
      </c>
      <c r="AC1151" s="28"/>
      <c r="AD1151" s="28" t="s">
        <v>4983</v>
      </c>
      <c r="AE1151" s="27">
        <v>4500023102</v>
      </c>
      <c r="AF1151" s="27" t="s">
        <v>339</v>
      </c>
      <c r="AG1151" s="29"/>
      <c r="AH1151" s="28"/>
      <c r="AI1151" s="27"/>
      <c r="AJ1151" s="27"/>
      <c r="AK1151" s="27"/>
      <c r="AL1151" s="27"/>
      <c r="AM1151" s="27"/>
      <c r="AN1151" s="27"/>
      <c r="AO1151" s="27"/>
      <c r="AP1151" s="27" t="s">
        <v>4984</v>
      </c>
      <c r="AQ1151" s="27"/>
      <c r="AR1151" s="504"/>
      <c r="AS1151" s="333"/>
      <c r="AT1151" s="160"/>
    </row>
    <row r="1152" spans="1:46" ht="21.75" hidden="1" customHeight="1">
      <c r="A1152" s="331">
        <v>1151</v>
      </c>
      <c r="B1152" s="28" t="s">
        <v>129</v>
      </c>
      <c r="C1152" s="28" t="s">
        <v>4985</v>
      </c>
      <c r="D1152" s="438" t="s">
        <v>2447</v>
      </c>
      <c r="E1152" s="361" t="str">
        <f t="shared" ca="1" si="37"/>
        <v>LOSS</v>
      </c>
      <c r="F1152" s="29" t="s">
        <v>115</v>
      </c>
      <c r="G1152" s="28" t="s">
        <v>4986</v>
      </c>
      <c r="H1152" s="29" t="s">
        <v>2748</v>
      </c>
      <c r="I1152" s="29" t="s">
        <v>346</v>
      </c>
      <c r="J1152" s="28" t="s">
        <v>2066</v>
      </c>
      <c r="K1152" s="28"/>
      <c r="L1152" s="27"/>
      <c r="M1152" s="27"/>
      <c r="N1152" s="29"/>
      <c r="O1152" s="56"/>
      <c r="P1152" s="31">
        <f>12*6000000</f>
        <v>72000000</v>
      </c>
      <c r="Q1152" s="31"/>
      <c r="R1152" s="27"/>
      <c r="S1152" s="32">
        <v>67791240</v>
      </c>
      <c r="T1152" s="33"/>
      <c r="U1152" s="334">
        <v>44622</v>
      </c>
      <c r="V1152" s="334">
        <v>44986</v>
      </c>
      <c r="W1152" s="27" t="s">
        <v>245</v>
      </c>
      <c r="X1152" s="27"/>
      <c r="Y1152" s="34">
        <f t="shared" ca="1" si="41"/>
        <v>46290</v>
      </c>
      <c r="Z1152" s="35">
        <f t="shared" ca="1" si="38"/>
        <v>-1304</v>
      </c>
      <c r="AA1152" s="27">
        <f t="shared" si="39"/>
        <v>3</v>
      </c>
      <c r="AB1152" s="27">
        <f t="shared" si="40"/>
        <v>2023</v>
      </c>
      <c r="AC1152" s="28" t="s">
        <v>479</v>
      </c>
      <c r="AD1152" s="28" t="s">
        <v>2067</v>
      </c>
      <c r="AE1152" s="27">
        <v>4500019261</v>
      </c>
      <c r="AF1152" s="27" t="s">
        <v>339</v>
      </c>
      <c r="AG1152" s="29"/>
      <c r="AH1152" s="28"/>
      <c r="AI1152" s="27"/>
      <c r="AJ1152" s="27"/>
      <c r="AK1152" s="27"/>
      <c r="AL1152" s="27"/>
      <c r="AM1152" s="27"/>
      <c r="AN1152" s="27" t="s">
        <v>4987</v>
      </c>
      <c r="AO1152" s="27"/>
      <c r="AP1152" s="27"/>
      <c r="AQ1152" s="27"/>
      <c r="AR1152" s="504"/>
      <c r="AS1152" s="333" t="s">
        <v>115</v>
      </c>
      <c r="AT1152" s="160"/>
    </row>
    <row r="1153" spans="1:46" ht="21.75" hidden="1" customHeight="1">
      <c r="A1153" s="331">
        <v>1152</v>
      </c>
      <c r="B1153" s="28" t="s">
        <v>129</v>
      </c>
      <c r="C1153" s="28" t="s">
        <v>4988</v>
      </c>
      <c r="D1153" s="437" t="s">
        <v>2447</v>
      </c>
      <c r="E1153" s="361" t="str">
        <f t="shared" ca="1" si="37"/>
        <v>LOSS</v>
      </c>
      <c r="F1153" s="29" t="s">
        <v>115</v>
      </c>
      <c r="G1153" s="28" t="s">
        <v>4989</v>
      </c>
      <c r="H1153" s="29" t="s">
        <v>2748</v>
      </c>
      <c r="I1153" s="29" t="s">
        <v>346</v>
      </c>
      <c r="J1153" s="28" t="s">
        <v>1956</v>
      </c>
      <c r="K1153" s="28"/>
      <c r="L1153" s="27"/>
      <c r="M1153" s="27"/>
      <c r="N1153" s="29"/>
      <c r="O1153" s="56"/>
      <c r="P1153" s="31">
        <f>12*12727273</f>
        <v>152727276</v>
      </c>
      <c r="Q1153" s="31"/>
      <c r="R1153" s="27"/>
      <c r="S1153" s="32">
        <v>15769620</v>
      </c>
      <c r="T1153" s="33"/>
      <c r="U1153" s="334">
        <v>44809</v>
      </c>
      <c r="V1153" s="334">
        <v>45173</v>
      </c>
      <c r="W1153" s="27" t="s">
        <v>245</v>
      </c>
      <c r="X1153" s="27"/>
      <c r="Y1153" s="34">
        <f t="shared" ca="1" si="41"/>
        <v>46290</v>
      </c>
      <c r="Z1153" s="35">
        <f t="shared" ca="1" si="38"/>
        <v>-1117</v>
      </c>
      <c r="AA1153" s="27">
        <f t="shared" si="39"/>
        <v>9</v>
      </c>
      <c r="AB1153" s="27">
        <f t="shared" si="40"/>
        <v>2023</v>
      </c>
      <c r="AC1153" s="28" t="s">
        <v>479</v>
      </c>
      <c r="AD1153" s="28" t="s">
        <v>1957</v>
      </c>
      <c r="AE1153" s="27">
        <v>4500019264</v>
      </c>
      <c r="AF1153" s="27" t="s">
        <v>339</v>
      </c>
      <c r="AG1153" s="29"/>
      <c r="AH1153" s="28"/>
      <c r="AI1153" s="27"/>
      <c r="AJ1153" s="27"/>
      <c r="AK1153" s="27"/>
      <c r="AL1153" s="27"/>
      <c r="AM1153" s="27"/>
      <c r="AN1153" s="27" t="s">
        <v>4990</v>
      </c>
      <c r="AO1153" s="27"/>
      <c r="AP1153" s="27"/>
      <c r="AQ1153" s="27"/>
      <c r="AR1153" s="504"/>
      <c r="AS1153" s="333" t="s">
        <v>115</v>
      </c>
      <c r="AT1153" s="160"/>
    </row>
    <row r="1154" spans="1:46" ht="21.75" hidden="1" customHeight="1">
      <c r="A1154" s="331">
        <v>1153</v>
      </c>
      <c r="B1154" s="28" t="s">
        <v>129</v>
      </c>
      <c r="C1154" s="28" t="s">
        <v>2678</v>
      </c>
      <c r="D1154" s="438" t="s">
        <v>2447</v>
      </c>
      <c r="E1154" s="361" t="str">
        <f t="shared" ref="E1154:E1217" ca="1" si="42">IF(Z1154&lt;=0, "LOSS",IF(Z1154&lt;=15, "CRITICAL",IF(Z1154&lt;=30, "WARNING",IF(Z1154&lt;60, "ATTENTION", "ON TRACK"))))</f>
        <v>LOSS</v>
      </c>
      <c r="F1154" s="29" t="s">
        <v>115</v>
      </c>
      <c r="G1154" s="28" t="s">
        <v>4991</v>
      </c>
      <c r="H1154" s="29" t="s">
        <v>2748</v>
      </c>
      <c r="I1154" s="29" t="s">
        <v>346</v>
      </c>
      <c r="J1154" s="28" t="s">
        <v>2679</v>
      </c>
      <c r="K1154" s="28"/>
      <c r="L1154" s="27"/>
      <c r="M1154" s="27"/>
      <c r="N1154" s="29"/>
      <c r="O1154" s="56"/>
      <c r="P1154" s="31">
        <f>12*1300000</f>
        <v>15600000</v>
      </c>
      <c r="Q1154" s="31"/>
      <c r="R1154" s="27"/>
      <c r="S1154" s="32">
        <v>17582221</v>
      </c>
      <c r="T1154" s="33"/>
      <c r="U1154" s="334">
        <v>44853</v>
      </c>
      <c r="V1154" s="334">
        <v>45217</v>
      </c>
      <c r="W1154" s="27" t="s">
        <v>245</v>
      </c>
      <c r="X1154" s="27"/>
      <c r="Y1154" s="34">
        <f t="shared" ca="1" si="41"/>
        <v>46290</v>
      </c>
      <c r="Z1154" s="35">
        <f t="shared" ca="1" si="38"/>
        <v>-1073</v>
      </c>
      <c r="AA1154" s="27">
        <f t="shared" si="39"/>
        <v>10</v>
      </c>
      <c r="AB1154" s="27">
        <f t="shared" si="40"/>
        <v>2023</v>
      </c>
      <c r="AC1154" s="28" t="s">
        <v>479</v>
      </c>
      <c r="AD1154" s="28" t="s">
        <v>2680</v>
      </c>
      <c r="AE1154" s="27">
        <v>4500019280</v>
      </c>
      <c r="AF1154" s="27" t="s">
        <v>339</v>
      </c>
      <c r="AG1154" s="29"/>
      <c r="AH1154" s="28"/>
      <c r="AI1154" s="27"/>
      <c r="AJ1154" s="27"/>
      <c r="AK1154" s="27"/>
      <c r="AL1154" s="27"/>
      <c r="AM1154" s="27"/>
      <c r="AN1154" s="27" t="s">
        <v>4992</v>
      </c>
      <c r="AO1154" s="27"/>
      <c r="AP1154" s="27"/>
      <c r="AQ1154" s="27"/>
      <c r="AR1154" s="504"/>
      <c r="AS1154" s="333" t="s">
        <v>115</v>
      </c>
      <c r="AT1154" s="160"/>
    </row>
    <row r="1155" spans="1:46" ht="21.75" hidden="1" customHeight="1">
      <c r="A1155" s="331">
        <v>1154</v>
      </c>
      <c r="B1155" s="28" t="s">
        <v>129</v>
      </c>
      <c r="C1155" s="28" t="s">
        <v>4993</v>
      </c>
      <c r="D1155" s="437" t="s">
        <v>2447</v>
      </c>
      <c r="E1155" s="361" t="str">
        <f t="shared" ca="1" si="42"/>
        <v>LOSS</v>
      </c>
      <c r="F1155" s="29" t="s">
        <v>115</v>
      </c>
      <c r="G1155" s="28" t="s">
        <v>4994</v>
      </c>
      <c r="H1155" s="29" t="s">
        <v>2748</v>
      </c>
      <c r="I1155" s="29" t="s">
        <v>346</v>
      </c>
      <c r="J1155" s="28" t="s">
        <v>139</v>
      </c>
      <c r="K1155" s="28"/>
      <c r="L1155" s="27"/>
      <c r="M1155" s="27"/>
      <c r="N1155" s="29"/>
      <c r="O1155" s="56"/>
      <c r="P1155" s="31">
        <f>12*5500000</f>
        <v>66000000</v>
      </c>
      <c r="Q1155" s="31"/>
      <c r="R1155" s="27"/>
      <c r="S1155" s="32">
        <v>543780</v>
      </c>
      <c r="T1155" s="33"/>
      <c r="U1155" s="334">
        <v>45341</v>
      </c>
      <c r="V1155" s="334">
        <v>45706</v>
      </c>
      <c r="W1155" s="27" t="s">
        <v>250</v>
      </c>
      <c r="X1155" s="27"/>
      <c r="Y1155" s="34">
        <f t="shared" ca="1" si="41"/>
        <v>46290</v>
      </c>
      <c r="Z1155" s="35">
        <f t="shared" ca="1" si="38"/>
        <v>-584</v>
      </c>
      <c r="AA1155" s="27">
        <f t="shared" si="39"/>
        <v>2</v>
      </c>
      <c r="AB1155" s="27">
        <f t="shared" si="40"/>
        <v>2025</v>
      </c>
      <c r="AC1155" s="28" t="s">
        <v>4995</v>
      </c>
      <c r="AD1155" s="28">
        <v>2469</v>
      </c>
      <c r="AE1155" s="27">
        <v>4500022251</v>
      </c>
      <c r="AF1155" s="27" t="s">
        <v>339</v>
      </c>
      <c r="AG1155" s="29"/>
      <c r="AH1155" s="28"/>
      <c r="AI1155" s="27"/>
      <c r="AJ1155" s="27"/>
      <c r="AK1155" s="27"/>
      <c r="AL1155" s="27"/>
      <c r="AM1155" s="27"/>
      <c r="AN1155" s="27" t="s">
        <v>4996</v>
      </c>
      <c r="AO1155" s="27" t="s">
        <v>4997</v>
      </c>
      <c r="AP1155" s="27" t="s">
        <v>4998</v>
      </c>
      <c r="AQ1155" s="27"/>
      <c r="AR1155" s="504"/>
      <c r="AS1155" s="333" t="s">
        <v>115</v>
      </c>
      <c r="AT1155" s="160"/>
    </row>
    <row r="1156" spans="1:46" ht="21.75" hidden="1" customHeight="1">
      <c r="A1156" s="331">
        <v>1155</v>
      </c>
      <c r="B1156" s="28" t="s">
        <v>129</v>
      </c>
      <c r="C1156" s="28" t="s">
        <v>4999</v>
      </c>
      <c r="D1156" s="438" t="s">
        <v>2507</v>
      </c>
      <c r="E1156" s="361" t="str">
        <f t="shared" ca="1" si="42"/>
        <v>LOSS</v>
      </c>
      <c r="F1156" s="29" t="s">
        <v>115</v>
      </c>
      <c r="G1156" s="28" t="s">
        <v>5000</v>
      </c>
      <c r="H1156" s="29" t="s">
        <v>2748</v>
      </c>
      <c r="I1156" s="29" t="s">
        <v>346</v>
      </c>
      <c r="J1156" s="28" t="s">
        <v>132</v>
      </c>
      <c r="K1156" s="28"/>
      <c r="L1156" s="27"/>
      <c r="M1156" s="27"/>
      <c r="N1156" s="29"/>
      <c r="O1156" s="56"/>
      <c r="P1156" s="31">
        <v>138000000</v>
      </c>
      <c r="Q1156" s="31"/>
      <c r="R1156" s="27"/>
      <c r="S1156" s="32">
        <v>13594500</v>
      </c>
      <c r="T1156" s="33"/>
      <c r="U1156" s="334">
        <v>44980</v>
      </c>
      <c r="V1156" s="334">
        <v>45344</v>
      </c>
      <c r="W1156" s="27" t="s">
        <v>250</v>
      </c>
      <c r="X1156" s="27"/>
      <c r="Y1156" s="34">
        <f t="shared" ca="1" si="41"/>
        <v>46290</v>
      </c>
      <c r="Z1156" s="35">
        <f t="shared" ca="1" si="38"/>
        <v>-946</v>
      </c>
      <c r="AA1156" s="27">
        <f t="shared" si="39"/>
        <v>2</v>
      </c>
      <c r="AB1156" s="27">
        <f t="shared" si="40"/>
        <v>2024</v>
      </c>
      <c r="AC1156" s="28" t="s">
        <v>5001</v>
      </c>
      <c r="AD1156" s="28" t="s">
        <v>5002</v>
      </c>
      <c r="AE1156" s="27">
        <v>4500020162</v>
      </c>
      <c r="AF1156" s="27" t="s">
        <v>339</v>
      </c>
      <c r="AG1156" s="29" t="s">
        <v>5003</v>
      </c>
      <c r="AH1156" s="28" t="s">
        <v>5004</v>
      </c>
      <c r="AI1156" s="27"/>
      <c r="AJ1156" s="27"/>
      <c r="AK1156" s="27"/>
      <c r="AL1156" s="27"/>
      <c r="AM1156" s="27"/>
      <c r="AN1156" s="27" t="s">
        <v>5005</v>
      </c>
      <c r="AO1156" s="27" t="s">
        <v>5006</v>
      </c>
      <c r="AP1156" s="27"/>
      <c r="AQ1156" s="27"/>
      <c r="AR1156" s="504"/>
      <c r="AS1156" s="333" t="s">
        <v>115</v>
      </c>
      <c r="AT1156" s="160"/>
    </row>
    <row r="1157" spans="1:46" ht="21.75" hidden="1" customHeight="1">
      <c r="A1157" s="331">
        <v>1156</v>
      </c>
      <c r="B1157" s="28" t="s">
        <v>129</v>
      </c>
      <c r="C1157" s="28" t="s">
        <v>4999</v>
      </c>
      <c r="D1157" s="437" t="s">
        <v>2507</v>
      </c>
      <c r="E1157" s="361" t="str">
        <f t="shared" ca="1" si="42"/>
        <v>LOSS</v>
      </c>
      <c r="F1157" s="29"/>
      <c r="G1157" s="28" t="s">
        <v>5000</v>
      </c>
      <c r="H1157" s="29" t="s">
        <v>2748</v>
      </c>
      <c r="I1157" s="29" t="s">
        <v>346</v>
      </c>
      <c r="J1157" s="28" t="s">
        <v>132</v>
      </c>
      <c r="K1157" s="28"/>
      <c r="L1157" s="27"/>
      <c r="M1157" s="27"/>
      <c r="N1157" s="29"/>
      <c r="O1157" s="56"/>
      <c r="P1157" s="31">
        <v>144000000</v>
      </c>
      <c r="Q1157" s="31"/>
      <c r="R1157" s="27"/>
      <c r="S1157" s="32">
        <v>13594500</v>
      </c>
      <c r="T1157" s="33"/>
      <c r="U1157" s="334">
        <v>45345</v>
      </c>
      <c r="V1157" s="334">
        <v>45710</v>
      </c>
      <c r="W1157" s="27" t="s">
        <v>250</v>
      </c>
      <c r="X1157" s="27"/>
      <c r="Y1157" s="34">
        <f t="shared" ca="1" si="41"/>
        <v>46290</v>
      </c>
      <c r="Z1157" s="35">
        <f t="shared" ref="Z1157:Z1220" ca="1" si="43">V1157-Y1157</f>
        <v>-580</v>
      </c>
      <c r="AA1157" s="27">
        <f t="shared" ref="AA1157:AA1220" si="44">MONTH(V1157)</f>
        <v>2</v>
      </c>
      <c r="AB1157" s="27">
        <f t="shared" ref="AB1157:AB1220" si="45">YEAR(V1157)</f>
        <v>2025</v>
      </c>
      <c r="AC1157" s="28"/>
      <c r="AD1157" s="28" t="s">
        <v>5007</v>
      </c>
      <c r="AE1157" s="27">
        <v>4500023103</v>
      </c>
      <c r="AF1157" s="27" t="s">
        <v>333</v>
      </c>
      <c r="AG1157" s="29"/>
      <c r="AH1157" s="28"/>
      <c r="AI1157" s="27"/>
      <c r="AJ1157" s="27"/>
      <c r="AK1157" s="27"/>
      <c r="AL1157" s="27"/>
      <c r="AM1157" s="27"/>
      <c r="AN1157" s="27"/>
      <c r="AO1157" s="27"/>
      <c r="AP1157" s="27" t="s">
        <v>5008</v>
      </c>
      <c r="AQ1157" s="27"/>
      <c r="AR1157" s="504"/>
      <c r="AS1157" s="333"/>
      <c r="AT1157" s="160"/>
    </row>
    <row r="1158" spans="1:46" ht="21.75" hidden="1" customHeight="1">
      <c r="A1158" s="331">
        <v>1157</v>
      </c>
      <c r="B1158" s="28" t="s">
        <v>129</v>
      </c>
      <c r="C1158" s="28" t="s">
        <v>2698</v>
      </c>
      <c r="D1158" s="438" t="s">
        <v>2447</v>
      </c>
      <c r="E1158" s="361" t="str">
        <f t="shared" ca="1" si="42"/>
        <v>LOSS</v>
      </c>
      <c r="F1158" s="29" t="s">
        <v>115</v>
      </c>
      <c r="G1158" s="28" t="s">
        <v>5009</v>
      </c>
      <c r="H1158" s="29" t="s">
        <v>2748</v>
      </c>
      <c r="I1158" s="29" t="s">
        <v>346</v>
      </c>
      <c r="J1158" s="28" t="s">
        <v>135</v>
      </c>
      <c r="K1158" s="28"/>
      <c r="L1158" s="27"/>
      <c r="M1158" s="27"/>
      <c r="N1158" s="29"/>
      <c r="O1158" s="56"/>
      <c r="P1158" s="31">
        <f>12*7500000</f>
        <v>90000000</v>
      </c>
      <c r="Q1158" s="31"/>
      <c r="R1158" s="27"/>
      <c r="S1158" s="32">
        <v>31176720</v>
      </c>
      <c r="T1158" s="33"/>
      <c r="U1158" s="334">
        <v>45096</v>
      </c>
      <c r="V1158" s="334">
        <v>45461</v>
      </c>
      <c r="W1158" s="27" t="s">
        <v>250</v>
      </c>
      <c r="X1158" s="27"/>
      <c r="Y1158" s="34">
        <f t="shared" ca="1" si="41"/>
        <v>46290</v>
      </c>
      <c r="Z1158" s="35">
        <f t="shared" ca="1" si="43"/>
        <v>-829</v>
      </c>
      <c r="AA1158" s="27">
        <f t="shared" si="44"/>
        <v>6</v>
      </c>
      <c r="AB1158" s="27">
        <f t="shared" si="45"/>
        <v>2024</v>
      </c>
      <c r="AC1158" s="28" t="s">
        <v>5010</v>
      </c>
      <c r="AD1158" s="418" t="s">
        <v>5011</v>
      </c>
      <c r="AE1158" s="27">
        <v>4500021826</v>
      </c>
      <c r="AF1158" s="27" t="s">
        <v>333</v>
      </c>
      <c r="AG1158" s="29"/>
      <c r="AH1158" s="28"/>
      <c r="AI1158" s="27"/>
      <c r="AJ1158" s="27"/>
      <c r="AK1158" s="27"/>
      <c r="AL1158" s="27"/>
      <c r="AM1158" s="27"/>
      <c r="AN1158" s="27" t="s">
        <v>5012</v>
      </c>
      <c r="AO1158" s="27" t="s">
        <v>4699</v>
      </c>
      <c r="AP1158" s="27"/>
      <c r="AQ1158" s="27"/>
      <c r="AR1158" s="504"/>
      <c r="AS1158" s="333" t="s">
        <v>115</v>
      </c>
      <c r="AT1158" s="160"/>
    </row>
    <row r="1159" spans="1:46" ht="21.75" hidden="1" customHeight="1">
      <c r="A1159" s="331">
        <v>1158</v>
      </c>
      <c r="B1159" s="28" t="s">
        <v>129</v>
      </c>
      <c r="C1159" s="28" t="s">
        <v>2698</v>
      </c>
      <c r="D1159" s="437" t="s">
        <v>2447</v>
      </c>
      <c r="E1159" s="361" t="str">
        <f t="shared" ca="1" si="42"/>
        <v>LOSS</v>
      </c>
      <c r="F1159" s="29"/>
      <c r="G1159" s="28" t="s">
        <v>5009</v>
      </c>
      <c r="H1159" s="29" t="s">
        <v>2748</v>
      </c>
      <c r="I1159" s="29" t="s">
        <v>346</v>
      </c>
      <c r="J1159" s="28" t="s">
        <v>135</v>
      </c>
      <c r="K1159" s="28"/>
      <c r="L1159" s="27"/>
      <c r="M1159" s="27"/>
      <c r="N1159" s="29"/>
      <c r="O1159" s="56"/>
      <c r="P1159" s="31">
        <f>7500000*12</f>
        <v>90000000</v>
      </c>
      <c r="Q1159" s="31"/>
      <c r="R1159" s="27"/>
      <c r="S1159" s="32">
        <v>31176720</v>
      </c>
      <c r="T1159" s="33"/>
      <c r="U1159" s="334">
        <v>45462</v>
      </c>
      <c r="V1159" s="334">
        <v>45826</v>
      </c>
      <c r="W1159" s="27" t="s">
        <v>250</v>
      </c>
      <c r="X1159" s="27"/>
      <c r="Y1159" s="34">
        <f t="shared" ca="1" si="41"/>
        <v>46290</v>
      </c>
      <c r="Z1159" s="35">
        <f t="shared" ca="1" si="43"/>
        <v>-464</v>
      </c>
      <c r="AA1159" s="27">
        <f t="shared" si="44"/>
        <v>6</v>
      </c>
      <c r="AB1159" s="27">
        <f t="shared" si="45"/>
        <v>2025</v>
      </c>
      <c r="AC1159" s="28"/>
      <c r="AD1159" s="28" t="s">
        <v>5013</v>
      </c>
      <c r="AE1159" s="27">
        <v>4500022994</v>
      </c>
      <c r="AF1159" s="27" t="s">
        <v>333</v>
      </c>
      <c r="AG1159" s="29"/>
      <c r="AH1159" s="28"/>
      <c r="AI1159" s="27"/>
      <c r="AJ1159" s="27"/>
      <c r="AK1159" s="27"/>
      <c r="AL1159" s="27"/>
      <c r="AM1159" s="27"/>
      <c r="AN1159" s="27"/>
      <c r="AO1159" s="27"/>
      <c r="AP1159" s="27" t="s">
        <v>5014</v>
      </c>
      <c r="AQ1159" s="27"/>
      <c r="AR1159" s="504"/>
      <c r="AS1159" s="333"/>
      <c r="AT1159" s="160"/>
    </row>
    <row r="1160" spans="1:46" ht="21.75" hidden="1" customHeight="1">
      <c r="A1160" s="331">
        <v>1159</v>
      </c>
      <c r="B1160" s="28" t="s">
        <v>129</v>
      </c>
      <c r="C1160" s="28" t="s">
        <v>5015</v>
      </c>
      <c r="D1160" s="438" t="s">
        <v>2507</v>
      </c>
      <c r="E1160" s="361" t="str">
        <f t="shared" ca="1" si="42"/>
        <v>LOSS</v>
      </c>
      <c r="F1160" s="29" t="s">
        <v>115</v>
      </c>
      <c r="G1160" s="28" t="s">
        <v>5016</v>
      </c>
      <c r="H1160" s="29" t="s">
        <v>2748</v>
      </c>
      <c r="I1160" s="29" t="s">
        <v>346</v>
      </c>
      <c r="J1160" s="28" t="s">
        <v>5017</v>
      </c>
      <c r="K1160" s="28"/>
      <c r="L1160" s="27"/>
      <c r="M1160" s="27"/>
      <c r="N1160" s="29"/>
      <c r="O1160" s="56"/>
      <c r="P1160" s="31">
        <f>12*1296000</f>
        <v>15552000</v>
      </c>
      <c r="Q1160" s="31"/>
      <c r="R1160" s="27"/>
      <c r="S1160" s="32">
        <v>163949677</v>
      </c>
      <c r="T1160" s="33"/>
      <c r="U1160" s="334">
        <v>45069</v>
      </c>
      <c r="V1160" s="334">
        <v>45434</v>
      </c>
      <c r="W1160" s="27" t="s">
        <v>245</v>
      </c>
      <c r="X1160" s="27"/>
      <c r="Y1160" s="34">
        <f t="shared" ca="1" si="41"/>
        <v>46290</v>
      </c>
      <c r="Z1160" s="35">
        <f t="shared" ca="1" si="43"/>
        <v>-856</v>
      </c>
      <c r="AA1160" s="27">
        <f t="shared" si="44"/>
        <v>5</v>
      </c>
      <c r="AB1160" s="27">
        <f t="shared" si="45"/>
        <v>2024</v>
      </c>
      <c r="AC1160" s="28" t="s">
        <v>5018</v>
      </c>
      <c r="AD1160" s="28">
        <v>731</v>
      </c>
      <c r="AE1160" s="27">
        <v>4500022187</v>
      </c>
      <c r="AF1160" s="27" t="s">
        <v>339</v>
      </c>
      <c r="AG1160" s="29"/>
      <c r="AH1160" s="28"/>
      <c r="AI1160" s="27"/>
      <c r="AJ1160" s="27"/>
      <c r="AK1160" s="27"/>
      <c r="AL1160" s="27"/>
      <c r="AM1160" s="27"/>
      <c r="AN1160" s="27" t="s">
        <v>5019</v>
      </c>
      <c r="AO1160" s="27" t="s">
        <v>3722</v>
      </c>
      <c r="AP1160" s="27"/>
      <c r="AQ1160" s="27"/>
      <c r="AR1160" s="504"/>
      <c r="AS1160" s="333" t="s">
        <v>115</v>
      </c>
      <c r="AT1160" s="160"/>
    </row>
    <row r="1161" spans="1:46" ht="21.75" hidden="1" customHeight="1">
      <c r="A1161" s="331">
        <v>1160</v>
      </c>
      <c r="B1161" s="28" t="s">
        <v>129</v>
      </c>
      <c r="C1161" s="28" t="s">
        <v>5020</v>
      </c>
      <c r="D1161" s="437" t="s">
        <v>2447</v>
      </c>
      <c r="E1161" s="361" t="str">
        <f t="shared" ca="1" si="42"/>
        <v>LOSS</v>
      </c>
      <c r="F1161" s="29" t="s">
        <v>5021</v>
      </c>
      <c r="G1161" s="28" t="s">
        <v>5022</v>
      </c>
      <c r="H1161" s="29" t="s">
        <v>2748</v>
      </c>
      <c r="I1161" s="29" t="s">
        <v>346</v>
      </c>
      <c r="J1161" s="28" t="s">
        <v>5023</v>
      </c>
      <c r="K1161" s="28"/>
      <c r="L1161" s="27"/>
      <c r="M1161" s="27"/>
      <c r="N1161" s="29"/>
      <c r="O1161" s="56"/>
      <c r="P1161" s="31">
        <f>12*1691700</f>
        <v>20300400</v>
      </c>
      <c r="Q1161" s="31"/>
      <c r="R1161" s="27"/>
      <c r="S1161" s="32">
        <v>14228916</v>
      </c>
      <c r="T1161" s="33"/>
      <c r="U1161" s="334">
        <v>45022</v>
      </c>
      <c r="V1161" s="334">
        <v>45387</v>
      </c>
      <c r="W1161" s="27" t="s">
        <v>250</v>
      </c>
      <c r="X1161" s="27"/>
      <c r="Y1161" s="34">
        <f t="shared" ca="1" si="41"/>
        <v>46290</v>
      </c>
      <c r="Z1161" s="35">
        <f t="shared" ca="1" si="43"/>
        <v>-903</v>
      </c>
      <c r="AA1161" s="27">
        <f t="shared" si="44"/>
        <v>4</v>
      </c>
      <c r="AB1161" s="27">
        <f t="shared" si="45"/>
        <v>2024</v>
      </c>
      <c r="AC1161" s="28" t="s">
        <v>5024</v>
      </c>
      <c r="AD1161" s="28">
        <v>2341</v>
      </c>
      <c r="AE1161" s="27">
        <v>4500022186</v>
      </c>
      <c r="AF1161" s="27" t="s">
        <v>339</v>
      </c>
      <c r="AG1161" s="29"/>
      <c r="AH1161" s="28"/>
      <c r="AI1161" s="27"/>
      <c r="AJ1161" s="27"/>
      <c r="AK1161" s="27"/>
      <c r="AL1161" s="27"/>
      <c r="AM1161" s="27"/>
      <c r="AN1161" s="27" t="s">
        <v>5025</v>
      </c>
      <c r="AO1161" s="27" t="s">
        <v>5026</v>
      </c>
      <c r="AP1161" s="27"/>
      <c r="AQ1161" s="27"/>
      <c r="AR1161" s="504"/>
      <c r="AS1161" s="333" t="s">
        <v>115</v>
      </c>
      <c r="AT1161" s="160"/>
    </row>
    <row r="1162" spans="1:46" ht="21.75" hidden="1" customHeight="1">
      <c r="A1162" s="331">
        <v>1161</v>
      </c>
      <c r="B1162" s="28" t="s">
        <v>129</v>
      </c>
      <c r="C1162" s="28" t="s">
        <v>5027</v>
      </c>
      <c r="D1162" s="438" t="s">
        <v>2447</v>
      </c>
      <c r="E1162" s="361" t="str">
        <f t="shared" ca="1" si="42"/>
        <v>LOSS</v>
      </c>
      <c r="F1162" s="29" t="s">
        <v>5028</v>
      </c>
      <c r="G1162" s="28" t="s">
        <v>5029</v>
      </c>
      <c r="H1162" s="29" t="s">
        <v>2748</v>
      </c>
      <c r="I1162" s="29" t="s">
        <v>346</v>
      </c>
      <c r="J1162" s="28" t="s">
        <v>5030</v>
      </c>
      <c r="K1162" s="28"/>
      <c r="L1162" s="27"/>
      <c r="M1162" s="27"/>
      <c r="N1162" s="29"/>
      <c r="O1162" s="56"/>
      <c r="P1162" s="31">
        <f>12*1691700</f>
        <v>20300400</v>
      </c>
      <c r="Q1162" s="31"/>
      <c r="R1162" s="27"/>
      <c r="S1162" s="32">
        <v>543780</v>
      </c>
      <c r="T1162" s="33"/>
      <c r="U1162" s="334">
        <v>44717</v>
      </c>
      <c r="V1162" s="334">
        <v>45081</v>
      </c>
      <c r="W1162" s="27" t="s">
        <v>250</v>
      </c>
      <c r="X1162" s="27"/>
      <c r="Y1162" s="34">
        <f t="shared" ca="1" si="41"/>
        <v>46290</v>
      </c>
      <c r="Z1162" s="35">
        <f t="shared" ca="1" si="43"/>
        <v>-1209</v>
      </c>
      <c r="AA1162" s="27">
        <f t="shared" si="44"/>
        <v>6</v>
      </c>
      <c r="AB1162" s="27">
        <f t="shared" si="45"/>
        <v>2023</v>
      </c>
      <c r="AC1162" s="28" t="s">
        <v>5031</v>
      </c>
      <c r="AD1162" s="28">
        <v>2342</v>
      </c>
      <c r="AE1162" s="27">
        <v>4500022188</v>
      </c>
      <c r="AF1162" s="27" t="s">
        <v>339</v>
      </c>
      <c r="AG1162" s="29"/>
      <c r="AH1162" s="28"/>
      <c r="AI1162" s="27"/>
      <c r="AJ1162" s="27"/>
      <c r="AK1162" s="27"/>
      <c r="AL1162" s="27"/>
      <c r="AM1162" s="27"/>
      <c r="AN1162" s="27" t="s">
        <v>5032</v>
      </c>
      <c r="AO1162" s="27" t="s">
        <v>5033</v>
      </c>
      <c r="AP1162" s="27"/>
      <c r="AQ1162" s="27"/>
      <c r="AR1162" s="504"/>
      <c r="AS1162" s="333" t="s">
        <v>115</v>
      </c>
      <c r="AT1162" s="160"/>
    </row>
    <row r="1163" spans="1:46" ht="21.75" hidden="1" customHeight="1">
      <c r="A1163" s="331">
        <v>1162</v>
      </c>
      <c r="B1163" s="28" t="s">
        <v>129</v>
      </c>
      <c r="C1163" s="28" t="s">
        <v>5034</v>
      </c>
      <c r="D1163" s="437" t="s">
        <v>2447</v>
      </c>
      <c r="E1163" s="361" t="str">
        <f t="shared" ca="1" si="42"/>
        <v>LOSS</v>
      </c>
      <c r="F1163" s="29" t="s">
        <v>5035</v>
      </c>
      <c r="G1163" s="28" t="s">
        <v>5036</v>
      </c>
      <c r="H1163" s="29" t="s">
        <v>2748</v>
      </c>
      <c r="I1163" s="29" t="s">
        <v>346</v>
      </c>
      <c r="J1163" s="28" t="s">
        <v>137</v>
      </c>
      <c r="K1163" s="28"/>
      <c r="L1163" s="27"/>
      <c r="M1163" s="27"/>
      <c r="N1163" s="29"/>
      <c r="O1163" s="56"/>
      <c r="P1163" s="31">
        <f>36800000*12</f>
        <v>441600000</v>
      </c>
      <c r="Q1163" s="31"/>
      <c r="R1163" s="27"/>
      <c r="S1163" s="32">
        <v>48668317</v>
      </c>
      <c r="T1163" s="33"/>
      <c r="U1163" s="334">
        <v>45246</v>
      </c>
      <c r="V1163" s="334">
        <v>45611</v>
      </c>
      <c r="W1163" s="27" t="s">
        <v>250</v>
      </c>
      <c r="X1163" s="27"/>
      <c r="Y1163" s="34">
        <f t="shared" ref="Y1163:Y1226" ca="1" si="46">TODAY()</f>
        <v>46290</v>
      </c>
      <c r="Z1163" s="35">
        <f t="shared" ca="1" si="43"/>
        <v>-679</v>
      </c>
      <c r="AA1163" s="27">
        <f t="shared" si="44"/>
        <v>11</v>
      </c>
      <c r="AB1163" s="27">
        <f t="shared" si="45"/>
        <v>2024</v>
      </c>
      <c r="AC1163" s="28" t="s">
        <v>5037</v>
      </c>
      <c r="AD1163" s="28" t="s">
        <v>5038</v>
      </c>
      <c r="AE1163" s="27">
        <v>4500021728</v>
      </c>
      <c r="AF1163" s="27" t="s">
        <v>333</v>
      </c>
      <c r="AG1163" s="29"/>
      <c r="AH1163" s="28"/>
      <c r="AI1163" s="27"/>
      <c r="AJ1163" s="27"/>
      <c r="AK1163" s="27"/>
      <c r="AL1163" s="27"/>
      <c r="AM1163" s="27"/>
      <c r="AN1163" s="27" t="s">
        <v>5039</v>
      </c>
      <c r="AO1163" s="27" t="s">
        <v>5040</v>
      </c>
      <c r="AP1163" s="27"/>
      <c r="AQ1163" s="27"/>
      <c r="AR1163" s="504"/>
      <c r="AS1163" s="333" t="s">
        <v>115</v>
      </c>
      <c r="AT1163" s="160"/>
    </row>
    <row r="1164" spans="1:46" ht="21.75" hidden="1" customHeight="1">
      <c r="A1164" s="331">
        <v>1163</v>
      </c>
      <c r="B1164" s="28" t="s">
        <v>129</v>
      </c>
      <c r="C1164" s="28" t="s">
        <v>5034</v>
      </c>
      <c r="D1164" s="438" t="s">
        <v>2447</v>
      </c>
      <c r="E1164" s="361" t="str">
        <f t="shared" ca="1" si="42"/>
        <v>LOSS</v>
      </c>
      <c r="F1164" s="29" t="s">
        <v>5035</v>
      </c>
      <c r="G1164" s="28" t="s">
        <v>5036</v>
      </c>
      <c r="H1164" s="29" t="s">
        <v>2748</v>
      </c>
      <c r="I1164" s="160" t="s">
        <v>346</v>
      </c>
      <c r="J1164" s="28" t="s">
        <v>137</v>
      </c>
      <c r="K1164" s="28"/>
      <c r="L1164" s="27"/>
      <c r="M1164" s="27"/>
      <c r="N1164" s="29"/>
      <c r="O1164" s="56"/>
      <c r="P1164" s="31">
        <v>273600000</v>
      </c>
      <c r="Q1164" s="31"/>
      <c r="R1164" s="27"/>
      <c r="S1164" s="32">
        <v>48668315</v>
      </c>
      <c r="T1164" s="33"/>
      <c r="U1164" s="334">
        <v>45612</v>
      </c>
      <c r="V1164" s="334">
        <v>45976</v>
      </c>
      <c r="W1164" s="27" t="s">
        <v>250</v>
      </c>
      <c r="X1164" s="27"/>
      <c r="Y1164" s="34">
        <f t="shared" ca="1" si="46"/>
        <v>46290</v>
      </c>
      <c r="Z1164" s="35">
        <f t="shared" ca="1" si="43"/>
        <v>-314</v>
      </c>
      <c r="AA1164" s="27">
        <f t="shared" si="44"/>
        <v>11</v>
      </c>
      <c r="AB1164" s="27">
        <f t="shared" si="45"/>
        <v>2025</v>
      </c>
      <c r="AC1164" s="28"/>
      <c r="AD1164" s="28" t="s">
        <v>5041</v>
      </c>
      <c r="AE1164" s="27">
        <v>4500022991</v>
      </c>
      <c r="AF1164" s="27" t="s">
        <v>333</v>
      </c>
      <c r="AG1164" s="29"/>
      <c r="AH1164" s="28"/>
      <c r="AI1164" s="27"/>
      <c r="AJ1164" s="27"/>
      <c r="AK1164" s="27"/>
      <c r="AL1164" s="27"/>
      <c r="AM1164" s="27"/>
      <c r="AN1164" s="27"/>
      <c r="AO1164" s="27"/>
      <c r="AP1164" s="27" t="s">
        <v>5042</v>
      </c>
      <c r="AQ1164" s="27"/>
      <c r="AR1164" s="504"/>
      <c r="AS1164" s="333"/>
      <c r="AT1164" s="160"/>
    </row>
    <row r="1165" spans="1:46" ht="21.75" hidden="1" customHeight="1">
      <c r="A1165" s="331">
        <v>1164</v>
      </c>
      <c r="B1165" s="28" t="s">
        <v>129</v>
      </c>
      <c r="C1165" s="28" t="s">
        <v>5043</v>
      </c>
      <c r="D1165" s="437" t="s">
        <v>2447</v>
      </c>
      <c r="E1165" s="361" t="str">
        <f t="shared" ca="1" si="42"/>
        <v>LOSS</v>
      </c>
      <c r="F1165" s="29" t="s">
        <v>5044</v>
      </c>
      <c r="G1165" s="28" t="s">
        <v>5045</v>
      </c>
      <c r="H1165" s="29" t="s">
        <v>2748</v>
      </c>
      <c r="I1165" s="29" t="s">
        <v>346</v>
      </c>
      <c r="J1165" s="28" t="s">
        <v>136</v>
      </c>
      <c r="K1165" s="28"/>
      <c r="L1165" s="27"/>
      <c r="M1165" s="27"/>
      <c r="N1165" s="29"/>
      <c r="O1165" s="56"/>
      <c r="P1165" s="31">
        <f>12*9100000</f>
        <v>109200000</v>
      </c>
      <c r="Q1165" s="31"/>
      <c r="R1165" s="27"/>
      <c r="S1165" s="32">
        <v>24107581</v>
      </c>
      <c r="T1165" s="33"/>
      <c r="U1165" s="334">
        <v>45215</v>
      </c>
      <c r="V1165" s="334">
        <v>45580</v>
      </c>
      <c r="W1165" s="27" t="s">
        <v>250</v>
      </c>
      <c r="X1165" s="27"/>
      <c r="Y1165" s="34">
        <f t="shared" ca="1" si="46"/>
        <v>46290</v>
      </c>
      <c r="Z1165" s="35">
        <f t="shared" ca="1" si="43"/>
        <v>-710</v>
      </c>
      <c r="AA1165" s="27">
        <f t="shared" si="44"/>
        <v>10</v>
      </c>
      <c r="AB1165" s="27">
        <f t="shared" si="45"/>
        <v>2024</v>
      </c>
      <c r="AC1165" s="28" t="s">
        <v>5046</v>
      </c>
      <c r="AD1165" s="418" t="s">
        <v>5047</v>
      </c>
      <c r="AE1165" s="27">
        <v>4500021729</v>
      </c>
      <c r="AF1165" s="27" t="s">
        <v>333</v>
      </c>
      <c r="AG1165" s="29"/>
      <c r="AH1165" s="28"/>
      <c r="AI1165" s="27"/>
      <c r="AJ1165" s="27"/>
      <c r="AK1165" s="27"/>
      <c r="AL1165" s="27"/>
      <c r="AM1165" s="27"/>
      <c r="AN1165" s="27" t="s">
        <v>5048</v>
      </c>
      <c r="AO1165" s="27" t="s">
        <v>5049</v>
      </c>
      <c r="AP1165" s="27"/>
      <c r="AQ1165" s="27"/>
      <c r="AR1165" s="504"/>
      <c r="AS1165" s="333" t="s">
        <v>115</v>
      </c>
      <c r="AT1165" s="160"/>
    </row>
    <row r="1166" spans="1:46" ht="21.75" hidden="1" customHeight="1">
      <c r="A1166" s="331">
        <v>1165</v>
      </c>
      <c r="B1166" s="28" t="s">
        <v>129</v>
      </c>
      <c r="C1166" s="28" t="s">
        <v>5043</v>
      </c>
      <c r="D1166" s="438" t="s">
        <v>2447</v>
      </c>
      <c r="E1166" s="361" t="str">
        <f t="shared" ca="1" si="42"/>
        <v>LOSS</v>
      </c>
      <c r="F1166" s="29" t="s">
        <v>5044</v>
      </c>
      <c r="G1166" s="28" t="s">
        <v>5045</v>
      </c>
      <c r="H1166" s="29" t="s">
        <v>2748</v>
      </c>
      <c r="I1166" s="160" t="s">
        <v>346</v>
      </c>
      <c r="J1166" s="28" t="s">
        <v>136</v>
      </c>
      <c r="K1166" s="28"/>
      <c r="L1166" s="27"/>
      <c r="M1166" s="27"/>
      <c r="N1166" s="29"/>
      <c r="O1166" s="56"/>
      <c r="P1166" s="31">
        <f>12*8299200</f>
        <v>99590400</v>
      </c>
      <c r="Q1166" s="31"/>
      <c r="R1166" s="27"/>
      <c r="S1166" s="32">
        <v>24107581</v>
      </c>
      <c r="T1166" s="33"/>
      <c r="U1166" s="334">
        <v>45581</v>
      </c>
      <c r="V1166" s="334">
        <v>45945</v>
      </c>
      <c r="W1166" s="27" t="s">
        <v>250</v>
      </c>
      <c r="X1166" s="27"/>
      <c r="Y1166" s="34">
        <f t="shared" ca="1" si="46"/>
        <v>46290</v>
      </c>
      <c r="Z1166" s="35">
        <f t="shared" ca="1" si="43"/>
        <v>-345</v>
      </c>
      <c r="AA1166" s="27">
        <f t="shared" si="44"/>
        <v>10</v>
      </c>
      <c r="AB1166" s="27">
        <f t="shared" si="45"/>
        <v>2025</v>
      </c>
      <c r="AC1166" s="28"/>
      <c r="AD1166" s="28" t="s">
        <v>5050</v>
      </c>
      <c r="AE1166" s="27">
        <v>4500022993</v>
      </c>
      <c r="AF1166" s="27" t="s">
        <v>333</v>
      </c>
      <c r="AG1166" s="29"/>
      <c r="AH1166" s="28"/>
      <c r="AI1166" s="27"/>
      <c r="AJ1166" s="27"/>
      <c r="AK1166" s="27"/>
      <c r="AL1166" s="27"/>
      <c r="AM1166" s="27"/>
      <c r="AN1166" s="27"/>
      <c r="AO1166" s="27"/>
      <c r="AP1166" s="27" t="s">
        <v>5051</v>
      </c>
      <c r="AQ1166" s="27"/>
      <c r="AR1166" s="504"/>
      <c r="AS1166" s="333"/>
      <c r="AT1166" s="160"/>
    </row>
    <row r="1167" spans="1:46" ht="21.75" hidden="1" customHeight="1">
      <c r="A1167" s="331">
        <v>1166</v>
      </c>
      <c r="B1167" s="28" t="s">
        <v>129</v>
      </c>
      <c r="C1167" s="28" t="s">
        <v>5052</v>
      </c>
      <c r="D1167" s="437" t="s">
        <v>2447</v>
      </c>
      <c r="E1167" s="361" t="str">
        <f t="shared" ca="1" si="42"/>
        <v>LOSS</v>
      </c>
      <c r="F1167" s="29" t="s">
        <v>115</v>
      </c>
      <c r="G1167" s="28" t="s">
        <v>5053</v>
      </c>
      <c r="H1167" s="29" t="s">
        <v>2748</v>
      </c>
      <c r="I1167" s="29" t="s">
        <v>346</v>
      </c>
      <c r="J1167" s="28" t="s">
        <v>5054</v>
      </c>
      <c r="K1167" s="28"/>
      <c r="L1167" s="27"/>
      <c r="M1167" s="27"/>
      <c r="N1167" s="29"/>
      <c r="O1167" s="56"/>
      <c r="P1167" s="31">
        <f>12*3562500</f>
        <v>42750000</v>
      </c>
      <c r="Q1167" s="31"/>
      <c r="R1167" s="27"/>
      <c r="S1167" s="32">
        <v>23926320</v>
      </c>
      <c r="T1167" s="33"/>
      <c r="U1167" s="334">
        <v>45195</v>
      </c>
      <c r="V1167" s="334">
        <v>45560</v>
      </c>
      <c r="W1167" s="27" t="s">
        <v>250</v>
      </c>
      <c r="X1167" s="27"/>
      <c r="Y1167" s="34">
        <f t="shared" ca="1" si="46"/>
        <v>46290</v>
      </c>
      <c r="Z1167" s="35">
        <f t="shared" ca="1" si="43"/>
        <v>-730</v>
      </c>
      <c r="AA1167" s="27">
        <f t="shared" si="44"/>
        <v>9</v>
      </c>
      <c r="AB1167" s="27">
        <f t="shared" si="45"/>
        <v>2024</v>
      </c>
      <c r="AC1167" s="28" t="s">
        <v>5055</v>
      </c>
      <c r="AD1167" s="28">
        <v>2347</v>
      </c>
      <c r="AE1167" s="27">
        <v>4500022324</v>
      </c>
      <c r="AF1167" s="27" t="s">
        <v>339</v>
      </c>
      <c r="AG1167" s="29"/>
      <c r="AH1167" s="28"/>
      <c r="AI1167" s="27"/>
      <c r="AJ1167" s="27"/>
      <c r="AK1167" s="27"/>
      <c r="AL1167" s="27"/>
      <c r="AM1167" s="27"/>
      <c r="AN1167" s="27" t="s">
        <v>5056</v>
      </c>
      <c r="AO1167" s="27" t="s">
        <v>5057</v>
      </c>
      <c r="AP1167" s="27"/>
      <c r="AQ1167" s="27"/>
      <c r="AR1167" s="504"/>
      <c r="AS1167" s="333" t="s">
        <v>115</v>
      </c>
      <c r="AT1167" s="160"/>
    </row>
    <row r="1168" spans="1:46" ht="21.75" hidden="1" customHeight="1">
      <c r="A1168" s="331">
        <v>1167</v>
      </c>
      <c r="B1168" s="28" t="s">
        <v>129</v>
      </c>
      <c r="C1168" s="28" t="s">
        <v>2203</v>
      </c>
      <c r="D1168" s="438" t="s">
        <v>2447</v>
      </c>
      <c r="E1168" s="361" t="str">
        <f t="shared" ca="1" si="42"/>
        <v>LOSS</v>
      </c>
      <c r="F1168" s="36" t="s">
        <v>115</v>
      </c>
      <c r="G1168" s="28" t="s">
        <v>5058</v>
      </c>
      <c r="H1168" s="29" t="s">
        <v>2748</v>
      </c>
      <c r="I1168" s="29" t="s">
        <v>346</v>
      </c>
      <c r="J1168" s="28" t="s">
        <v>5059</v>
      </c>
      <c r="K1168" s="28"/>
      <c r="L1168" s="27"/>
      <c r="M1168" s="27"/>
      <c r="N1168" s="29"/>
      <c r="O1168" s="56"/>
      <c r="P1168" s="31">
        <f>12*14000000</f>
        <v>168000000</v>
      </c>
      <c r="Q1168" s="31"/>
      <c r="R1168" s="27"/>
      <c r="S1168" s="32">
        <v>61628400</v>
      </c>
      <c r="T1168" s="33"/>
      <c r="U1168" s="334">
        <v>44998</v>
      </c>
      <c r="V1168" s="334">
        <v>45363</v>
      </c>
      <c r="W1168" s="27" t="s">
        <v>250</v>
      </c>
      <c r="X1168" s="27"/>
      <c r="Y1168" s="34">
        <f t="shared" ca="1" si="46"/>
        <v>46290</v>
      </c>
      <c r="Z1168" s="35">
        <f t="shared" ca="1" si="43"/>
        <v>-927</v>
      </c>
      <c r="AA1168" s="27">
        <f t="shared" si="44"/>
        <v>3</v>
      </c>
      <c r="AB1168" s="27">
        <f t="shared" si="45"/>
        <v>2024</v>
      </c>
      <c r="AC1168" s="28" t="s">
        <v>5060</v>
      </c>
      <c r="AD1168" s="28" t="s">
        <v>5061</v>
      </c>
      <c r="AE1168" s="27">
        <v>4500021242</v>
      </c>
      <c r="AF1168" s="27" t="s">
        <v>339</v>
      </c>
      <c r="AG1168" s="29"/>
      <c r="AH1168" s="28"/>
      <c r="AI1168" s="27"/>
      <c r="AJ1168" s="27"/>
      <c r="AK1168" s="27"/>
      <c r="AL1168" s="27"/>
      <c r="AM1168" s="27"/>
      <c r="AN1168" s="27" t="s">
        <v>5062</v>
      </c>
      <c r="AO1168" s="27" t="s">
        <v>5063</v>
      </c>
      <c r="AP1168" s="27"/>
      <c r="AQ1168" s="27"/>
      <c r="AR1168" s="504"/>
      <c r="AS1168" s="333" t="s">
        <v>115</v>
      </c>
      <c r="AT1168" s="160"/>
    </row>
    <row r="1169" spans="1:46" ht="21.75" hidden="1" customHeight="1">
      <c r="A1169" s="331">
        <v>1168</v>
      </c>
      <c r="B1169" s="28" t="s">
        <v>129</v>
      </c>
      <c r="C1169" s="28" t="s">
        <v>5064</v>
      </c>
      <c r="D1169" s="437" t="s">
        <v>2447</v>
      </c>
      <c r="E1169" s="361" t="str">
        <f t="shared" ca="1" si="42"/>
        <v>LOSS</v>
      </c>
      <c r="F1169" s="29" t="s">
        <v>115</v>
      </c>
      <c r="G1169" s="28" t="s">
        <v>5065</v>
      </c>
      <c r="H1169" s="29" t="s">
        <v>2748</v>
      </c>
      <c r="I1169" s="29" t="s">
        <v>346</v>
      </c>
      <c r="J1169" s="28" t="s">
        <v>138</v>
      </c>
      <c r="K1169" s="28"/>
      <c r="L1169" s="27"/>
      <c r="M1169" s="27"/>
      <c r="N1169" s="29"/>
      <c r="O1169" s="56"/>
      <c r="P1169" s="31">
        <f>12*8250000</f>
        <v>99000000</v>
      </c>
      <c r="Q1169" s="31"/>
      <c r="R1169" s="27"/>
      <c r="S1169" s="32">
        <v>37702080</v>
      </c>
      <c r="T1169" s="33"/>
      <c r="U1169" s="334">
        <v>45253</v>
      </c>
      <c r="V1169" s="334">
        <v>45618</v>
      </c>
      <c r="W1169" s="27" t="s">
        <v>250</v>
      </c>
      <c r="X1169" s="27"/>
      <c r="Y1169" s="34">
        <f t="shared" ca="1" si="46"/>
        <v>46290</v>
      </c>
      <c r="Z1169" s="35">
        <f t="shared" ca="1" si="43"/>
        <v>-672</v>
      </c>
      <c r="AA1169" s="27">
        <f t="shared" si="44"/>
        <v>11</v>
      </c>
      <c r="AB1169" s="27">
        <f t="shared" si="45"/>
        <v>2024</v>
      </c>
      <c r="AC1169" s="28" t="s">
        <v>5066</v>
      </c>
      <c r="AD1169" s="418" t="s">
        <v>5067</v>
      </c>
      <c r="AE1169" s="27">
        <v>4500021730</v>
      </c>
      <c r="AF1169" s="27" t="s">
        <v>333</v>
      </c>
      <c r="AG1169" s="29"/>
      <c r="AH1169" s="28"/>
      <c r="AI1169" s="27"/>
      <c r="AJ1169" s="27"/>
      <c r="AK1169" s="27"/>
      <c r="AL1169" s="27"/>
      <c r="AM1169" s="27"/>
      <c r="AN1169" s="27" t="s">
        <v>5068</v>
      </c>
      <c r="AO1169" s="27" t="s">
        <v>5069</v>
      </c>
      <c r="AP1169" s="27" t="s">
        <v>5070</v>
      </c>
      <c r="AQ1169" s="27"/>
      <c r="AR1169" s="504"/>
      <c r="AS1169" s="333" t="s">
        <v>115</v>
      </c>
      <c r="AT1169" s="160"/>
    </row>
    <row r="1170" spans="1:46" ht="21.75" hidden="1" customHeight="1">
      <c r="A1170" s="331">
        <v>1169</v>
      </c>
      <c r="B1170" s="28" t="s">
        <v>129</v>
      </c>
      <c r="C1170" s="28" t="s">
        <v>5064</v>
      </c>
      <c r="D1170" s="438" t="s">
        <v>2447</v>
      </c>
      <c r="E1170" s="361" t="str">
        <f t="shared" ca="1" si="42"/>
        <v>LOSS</v>
      </c>
      <c r="F1170" s="29"/>
      <c r="G1170" s="28" t="s">
        <v>5065</v>
      </c>
      <c r="H1170" s="29" t="s">
        <v>2748</v>
      </c>
      <c r="I1170" s="160" t="s">
        <v>346</v>
      </c>
      <c r="J1170" s="28" t="s">
        <v>138</v>
      </c>
      <c r="K1170" s="28"/>
      <c r="L1170" s="27"/>
      <c r="M1170" s="27"/>
      <c r="N1170" s="29"/>
      <c r="O1170" s="56"/>
      <c r="P1170" s="31">
        <f>9120000*12</f>
        <v>109440000</v>
      </c>
      <c r="Q1170" s="31"/>
      <c r="R1170" s="27"/>
      <c r="S1170" s="32">
        <v>37702080</v>
      </c>
      <c r="T1170" s="33"/>
      <c r="U1170" s="334">
        <v>45619</v>
      </c>
      <c r="V1170" s="334">
        <v>45983</v>
      </c>
      <c r="W1170" s="27" t="s">
        <v>245</v>
      </c>
      <c r="X1170" s="27"/>
      <c r="Y1170" s="34">
        <f t="shared" ca="1" si="46"/>
        <v>46290</v>
      </c>
      <c r="Z1170" s="35">
        <f t="shared" ca="1" si="43"/>
        <v>-307</v>
      </c>
      <c r="AA1170" s="27">
        <f t="shared" si="44"/>
        <v>11</v>
      </c>
      <c r="AB1170" s="27">
        <f t="shared" si="45"/>
        <v>2025</v>
      </c>
      <c r="AC1170" s="28"/>
      <c r="AD1170" s="28" t="s">
        <v>5071</v>
      </c>
      <c r="AE1170" s="27">
        <v>4500022992</v>
      </c>
      <c r="AF1170" s="27" t="s">
        <v>333</v>
      </c>
      <c r="AG1170" s="29"/>
      <c r="AH1170" s="28"/>
      <c r="AI1170" s="27"/>
      <c r="AJ1170" s="27"/>
      <c r="AK1170" s="27"/>
      <c r="AL1170" s="27"/>
      <c r="AM1170" s="27"/>
      <c r="AN1170" s="27"/>
      <c r="AO1170" s="27"/>
      <c r="AP1170" s="27" t="s">
        <v>5070</v>
      </c>
      <c r="AQ1170" s="27"/>
      <c r="AR1170" s="504"/>
      <c r="AS1170" s="333"/>
      <c r="AT1170" s="160"/>
    </row>
    <row r="1171" spans="1:46" ht="21.75" hidden="1" customHeight="1">
      <c r="A1171" s="331">
        <v>1170</v>
      </c>
      <c r="B1171" s="28" t="s">
        <v>129</v>
      </c>
      <c r="C1171" s="28" t="s">
        <v>5072</v>
      </c>
      <c r="D1171" s="437" t="s">
        <v>2447</v>
      </c>
      <c r="E1171" s="361" t="str">
        <f t="shared" ca="1" si="42"/>
        <v>LOSS</v>
      </c>
      <c r="F1171" s="29" t="s">
        <v>5073</v>
      </c>
      <c r="G1171" s="28" t="s">
        <v>5074</v>
      </c>
      <c r="H1171" s="29" t="s">
        <v>2748</v>
      </c>
      <c r="I1171" s="29" t="s">
        <v>346</v>
      </c>
      <c r="J1171" s="28" t="s">
        <v>2693</v>
      </c>
      <c r="K1171" s="28"/>
      <c r="L1171" s="27"/>
      <c r="M1171" s="27"/>
      <c r="N1171" s="29"/>
      <c r="O1171" s="56"/>
      <c r="P1171" s="31">
        <f>27500000</f>
        <v>27500000</v>
      </c>
      <c r="Q1171" s="31"/>
      <c r="R1171" s="27"/>
      <c r="S1171" s="32">
        <v>68516280</v>
      </c>
      <c r="T1171" s="33"/>
      <c r="U1171" s="334">
        <v>45029</v>
      </c>
      <c r="V1171" s="334">
        <v>45394</v>
      </c>
      <c r="W1171" s="27" t="s">
        <v>250</v>
      </c>
      <c r="X1171" s="27"/>
      <c r="Y1171" s="34">
        <f t="shared" ca="1" si="46"/>
        <v>46290</v>
      </c>
      <c r="Z1171" s="35">
        <f t="shared" ca="1" si="43"/>
        <v>-896</v>
      </c>
      <c r="AA1171" s="27">
        <f t="shared" si="44"/>
        <v>4</v>
      </c>
      <c r="AB1171" s="27">
        <f t="shared" si="45"/>
        <v>2024</v>
      </c>
      <c r="AC1171" s="28" t="s">
        <v>5075</v>
      </c>
      <c r="AD1171" s="28" t="s">
        <v>2694</v>
      </c>
      <c r="AE1171" s="27">
        <v>4500021240</v>
      </c>
      <c r="AF1171" s="27" t="s">
        <v>339</v>
      </c>
      <c r="AG1171" s="29"/>
      <c r="AH1171" s="28"/>
      <c r="AI1171" s="27"/>
      <c r="AJ1171" s="27"/>
      <c r="AK1171" s="27"/>
      <c r="AL1171" s="27"/>
      <c r="AM1171" s="27"/>
      <c r="AN1171" s="27" t="s">
        <v>5076</v>
      </c>
      <c r="AO1171" s="27" t="s">
        <v>5077</v>
      </c>
      <c r="AP1171" s="27"/>
      <c r="AQ1171" s="27"/>
      <c r="AR1171" s="504"/>
      <c r="AS1171" s="333" t="s">
        <v>115</v>
      </c>
      <c r="AT1171" s="160"/>
    </row>
    <row r="1172" spans="1:46" ht="21.75" hidden="1" customHeight="1">
      <c r="A1172" s="331">
        <v>1171</v>
      </c>
      <c r="B1172" s="28" t="s">
        <v>129</v>
      </c>
      <c r="C1172" s="28" t="s">
        <v>5078</v>
      </c>
      <c r="D1172" s="438" t="s">
        <v>2447</v>
      </c>
      <c r="E1172" s="361" t="str">
        <f t="shared" ca="1" si="42"/>
        <v>LOSS</v>
      </c>
      <c r="F1172" s="29" t="s">
        <v>115</v>
      </c>
      <c r="G1172" s="28" t="s">
        <v>5079</v>
      </c>
      <c r="H1172" s="29" t="s">
        <v>2748</v>
      </c>
      <c r="I1172" s="29" t="s">
        <v>346</v>
      </c>
      <c r="J1172" s="28" t="s">
        <v>5080</v>
      </c>
      <c r="K1172" s="28"/>
      <c r="L1172" s="27"/>
      <c r="M1172" s="27"/>
      <c r="N1172" s="29"/>
      <c r="O1172" s="56"/>
      <c r="P1172" s="31">
        <f>12*12500000</f>
        <v>150000000</v>
      </c>
      <c r="Q1172" s="31"/>
      <c r="R1172" s="27"/>
      <c r="S1172" s="32">
        <v>13594501</v>
      </c>
      <c r="T1172" s="33"/>
      <c r="U1172" s="334">
        <v>44853</v>
      </c>
      <c r="V1172" s="334">
        <v>45217</v>
      </c>
      <c r="W1172" s="27" t="s">
        <v>245</v>
      </c>
      <c r="X1172" s="27"/>
      <c r="Y1172" s="34">
        <f t="shared" ca="1" si="46"/>
        <v>46290</v>
      </c>
      <c r="Z1172" s="35">
        <f t="shared" ca="1" si="43"/>
        <v>-1073</v>
      </c>
      <c r="AA1172" s="27">
        <f t="shared" si="44"/>
        <v>10</v>
      </c>
      <c r="AB1172" s="27">
        <f t="shared" si="45"/>
        <v>2023</v>
      </c>
      <c r="AC1172" s="28" t="s">
        <v>479</v>
      </c>
      <c r="AD1172" s="28" t="s">
        <v>5081</v>
      </c>
      <c r="AE1172" s="27">
        <v>4500019272</v>
      </c>
      <c r="AF1172" s="27" t="s">
        <v>339</v>
      </c>
      <c r="AG1172" s="29"/>
      <c r="AH1172" s="28"/>
      <c r="AI1172" s="27"/>
      <c r="AJ1172" s="27"/>
      <c r="AK1172" s="27"/>
      <c r="AL1172" s="27"/>
      <c r="AM1172" s="27"/>
      <c r="AN1172" s="27" t="s">
        <v>5082</v>
      </c>
      <c r="AO1172" s="27"/>
      <c r="AP1172" s="27"/>
      <c r="AQ1172" s="27"/>
      <c r="AR1172" s="504"/>
      <c r="AS1172" s="333" t="s">
        <v>115</v>
      </c>
      <c r="AT1172" s="160"/>
    </row>
    <row r="1173" spans="1:46" ht="21.75" hidden="1" customHeight="1">
      <c r="A1173" s="331">
        <v>1172</v>
      </c>
      <c r="B1173" s="28" t="s">
        <v>129</v>
      </c>
      <c r="C1173" s="40" t="s">
        <v>5083</v>
      </c>
      <c r="D1173" s="437" t="s">
        <v>2447</v>
      </c>
      <c r="E1173" s="361" t="str">
        <f t="shared" ca="1" si="42"/>
        <v>LOSS</v>
      </c>
      <c r="F1173" s="29" t="s">
        <v>5084</v>
      </c>
      <c r="G1173" s="28" t="s">
        <v>5084</v>
      </c>
      <c r="H1173" s="29" t="s">
        <v>2748</v>
      </c>
      <c r="I1173" s="29" t="s">
        <v>346</v>
      </c>
      <c r="J1173" s="40" t="s">
        <v>5085</v>
      </c>
      <c r="K1173" s="28"/>
      <c r="L1173" s="27"/>
      <c r="M1173" s="27"/>
      <c r="N1173" s="29"/>
      <c r="O1173" s="56"/>
      <c r="P1173" s="31"/>
      <c r="Q1173" s="31"/>
      <c r="R1173" s="27"/>
      <c r="S1173" s="32">
        <v>267721020</v>
      </c>
      <c r="T1173" s="33"/>
      <c r="U1173" s="334">
        <v>45292</v>
      </c>
      <c r="V1173" s="334">
        <v>45657</v>
      </c>
      <c r="W1173" s="27" t="s">
        <v>250</v>
      </c>
      <c r="X1173" s="27"/>
      <c r="Y1173" s="34">
        <f t="shared" ca="1" si="46"/>
        <v>46290</v>
      </c>
      <c r="Z1173" s="35">
        <f t="shared" ca="1" si="43"/>
        <v>-633</v>
      </c>
      <c r="AA1173" s="27">
        <f t="shared" si="44"/>
        <v>12</v>
      </c>
      <c r="AB1173" s="27">
        <f t="shared" si="45"/>
        <v>2024</v>
      </c>
      <c r="AC1173" s="28" t="s">
        <v>5086</v>
      </c>
      <c r="AD1173" s="28">
        <v>2468</v>
      </c>
      <c r="AE1173" s="27">
        <v>4500022093</v>
      </c>
      <c r="AF1173" s="27" t="s">
        <v>339</v>
      </c>
      <c r="AG1173" s="29"/>
      <c r="AH1173" s="28"/>
      <c r="AI1173" s="27"/>
      <c r="AJ1173" s="27"/>
      <c r="AK1173" s="27"/>
      <c r="AL1173" s="27"/>
      <c r="AM1173" s="27"/>
      <c r="AN1173" s="27"/>
      <c r="AO1173" s="27" t="s">
        <v>5087</v>
      </c>
      <c r="AP1173" s="27" t="s">
        <v>5088</v>
      </c>
      <c r="AQ1173" s="27"/>
      <c r="AR1173" s="504"/>
      <c r="AS1173" s="333" t="s">
        <v>5089</v>
      </c>
      <c r="AT1173" s="160"/>
    </row>
    <row r="1174" spans="1:46" ht="21.75" hidden="1" customHeight="1">
      <c r="A1174" s="331">
        <v>1173</v>
      </c>
      <c r="B1174" s="28" t="s">
        <v>140</v>
      </c>
      <c r="C1174" s="28" t="s">
        <v>5090</v>
      </c>
      <c r="D1174" s="438" t="s">
        <v>5091</v>
      </c>
      <c r="E1174" s="361" t="str">
        <f t="shared" ca="1" si="42"/>
        <v>LOSS</v>
      </c>
      <c r="F1174" s="29" t="s">
        <v>115</v>
      </c>
      <c r="G1174" s="28" t="s">
        <v>5092</v>
      </c>
      <c r="H1174" s="29" t="s">
        <v>2748</v>
      </c>
      <c r="I1174" s="29" t="s">
        <v>346</v>
      </c>
      <c r="J1174" s="38" t="s">
        <v>5093</v>
      </c>
      <c r="K1174" s="28"/>
      <c r="L1174" s="27"/>
      <c r="M1174" s="27"/>
      <c r="N1174" s="29"/>
      <c r="O1174" s="56"/>
      <c r="P1174" s="43" t="s">
        <v>5094</v>
      </c>
      <c r="Q1174" s="43"/>
      <c r="R1174" s="27"/>
      <c r="S1174" s="32">
        <v>161626143</v>
      </c>
      <c r="T1174" s="33"/>
      <c r="U1174" s="334">
        <v>45028</v>
      </c>
      <c r="V1174" s="334">
        <v>45393</v>
      </c>
      <c r="W1174" s="27" t="s">
        <v>250</v>
      </c>
      <c r="X1174" s="27"/>
      <c r="Y1174" s="34">
        <f t="shared" ca="1" si="46"/>
        <v>46290</v>
      </c>
      <c r="Z1174" s="35">
        <f t="shared" ca="1" si="43"/>
        <v>-897</v>
      </c>
      <c r="AA1174" s="27">
        <f t="shared" si="44"/>
        <v>4</v>
      </c>
      <c r="AB1174" s="27">
        <f t="shared" si="45"/>
        <v>2024</v>
      </c>
      <c r="AC1174" s="28" t="s">
        <v>5095</v>
      </c>
      <c r="AD1174" s="28" t="s">
        <v>5096</v>
      </c>
      <c r="AE1174" s="27">
        <v>4500020797</v>
      </c>
      <c r="AF1174" s="27" t="s">
        <v>339</v>
      </c>
      <c r="AG1174" s="29" t="s">
        <v>5097</v>
      </c>
      <c r="AH1174" s="28" t="s">
        <v>5098</v>
      </c>
      <c r="AI1174" s="27"/>
      <c r="AJ1174" s="27"/>
      <c r="AK1174" s="27"/>
      <c r="AL1174" s="27"/>
      <c r="AM1174" s="27"/>
      <c r="AN1174" s="27" t="s">
        <v>5099</v>
      </c>
      <c r="AO1174" s="27" t="s">
        <v>5100</v>
      </c>
      <c r="AP1174" s="27"/>
      <c r="AQ1174" s="27"/>
      <c r="AR1174" s="504"/>
      <c r="AS1174" s="333" t="s">
        <v>115</v>
      </c>
      <c r="AT1174" s="160"/>
    </row>
    <row r="1175" spans="1:46" ht="21.75" hidden="1" customHeight="1">
      <c r="A1175" s="331">
        <v>1174</v>
      </c>
      <c r="B1175" s="28" t="s">
        <v>140</v>
      </c>
      <c r="C1175" s="28" t="s">
        <v>5101</v>
      </c>
      <c r="D1175" s="437" t="s">
        <v>5091</v>
      </c>
      <c r="E1175" s="361" t="str">
        <f t="shared" ca="1" si="42"/>
        <v>LOSS</v>
      </c>
      <c r="F1175" s="29" t="s">
        <v>5102</v>
      </c>
      <c r="G1175" s="28" t="s">
        <v>5103</v>
      </c>
      <c r="H1175" s="29" t="s">
        <v>2748</v>
      </c>
      <c r="I1175" s="160" t="s">
        <v>346</v>
      </c>
      <c r="J1175" s="28" t="s">
        <v>5104</v>
      </c>
      <c r="K1175" s="28"/>
      <c r="L1175" s="27"/>
      <c r="M1175" s="27"/>
      <c r="N1175" s="29"/>
      <c r="O1175" s="56"/>
      <c r="P1175" s="31">
        <f>12*11778520</f>
        <v>141342240</v>
      </c>
      <c r="Q1175" s="31"/>
      <c r="R1175" s="27"/>
      <c r="S1175" s="32">
        <v>69806190</v>
      </c>
      <c r="T1175" s="33"/>
      <c r="U1175" s="334">
        <v>45257</v>
      </c>
      <c r="V1175" s="334">
        <v>45622</v>
      </c>
      <c r="W1175" s="27" t="s">
        <v>250</v>
      </c>
      <c r="X1175" s="27"/>
      <c r="Y1175" s="34">
        <f t="shared" ca="1" si="46"/>
        <v>46290</v>
      </c>
      <c r="Z1175" s="35">
        <f t="shared" ca="1" si="43"/>
        <v>-668</v>
      </c>
      <c r="AA1175" s="27">
        <f t="shared" si="44"/>
        <v>11</v>
      </c>
      <c r="AB1175" s="27">
        <f t="shared" si="45"/>
        <v>2024</v>
      </c>
      <c r="AC1175" s="28" t="s">
        <v>5105</v>
      </c>
      <c r="AD1175" s="28" t="s">
        <v>5106</v>
      </c>
      <c r="AE1175" s="27">
        <v>4500022866</v>
      </c>
      <c r="AF1175" s="27" t="s">
        <v>339</v>
      </c>
      <c r="AG1175" s="29" t="s">
        <v>5097</v>
      </c>
      <c r="AH1175" s="28" t="s">
        <v>5098</v>
      </c>
      <c r="AI1175" s="27"/>
      <c r="AJ1175" s="27"/>
      <c r="AK1175" s="27"/>
      <c r="AL1175" s="27"/>
      <c r="AM1175" s="27"/>
      <c r="AN1175" s="27" t="s">
        <v>5107</v>
      </c>
      <c r="AO1175" s="27" t="s">
        <v>5108</v>
      </c>
      <c r="AP1175" s="27"/>
      <c r="AQ1175" s="27"/>
      <c r="AR1175" s="504"/>
      <c r="AS1175" s="332"/>
      <c r="AT1175" s="160"/>
    </row>
    <row r="1176" spans="1:46" ht="21.75" hidden="1" customHeight="1">
      <c r="A1176" s="331">
        <v>1175</v>
      </c>
      <c r="B1176" s="28" t="s">
        <v>140</v>
      </c>
      <c r="C1176" s="28" t="s">
        <v>5109</v>
      </c>
      <c r="D1176" s="438" t="s">
        <v>5091</v>
      </c>
      <c r="E1176" s="361" t="str">
        <f t="shared" ca="1" si="42"/>
        <v>LOSS</v>
      </c>
      <c r="F1176" s="29"/>
      <c r="G1176" s="28" t="s">
        <v>5110</v>
      </c>
      <c r="H1176" s="29" t="s">
        <v>2748</v>
      </c>
      <c r="I1176" s="29" t="s">
        <v>346</v>
      </c>
      <c r="J1176" s="28" t="s">
        <v>142</v>
      </c>
      <c r="K1176" s="28"/>
      <c r="L1176" s="27"/>
      <c r="M1176" s="27"/>
      <c r="N1176" s="29"/>
      <c r="O1176" s="56"/>
      <c r="P1176" s="31">
        <f>18626000*12</f>
        <v>223512000</v>
      </c>
      <c r="Q1176" s="31"/>
      <c r="R1176" s="27"/>
      <c r="S1176" s="32">
        <v>9545016</v>
      </c>
      <c r="T1176" s="33"/>
      <c r="U1176" s="334">
        <v>45301</v>
      </c>
      <c r="V1176" s="334">
        <v>45666</v>
      </c>
      <c r="W1176" s="27" t="s">
        <v>17</v>
      </c>
      <c r="X1176" s="27"/>
      <c r="Y1176" s="34">
        <f t="shared" ca="1" si="46"/>
        <v>46290</v>
      </c>
      <c r="Z1176" s="35">
        <f t="shared" ca="1" si="43"/>
        <v>-624</v>
      </c>
      <c r="AA1176" s="27">
        <f t="shared" si="44"/>
        <v>1</v>
      </c>
      <c r="AB1176" s="27">
        <f t="shared" si="45"/>
        <v>2025</v>
      </c>
      <c r="AC1176" s="28" t="s">
        <v>5111</v>
      </c>
      <c r="AD1176" s="28" t="s">
        <v>5112</v>
      </c>
      <c r="AE1176" s="27">
        <v>4500022946</v>
      </c>
      <c r="AF1176" s="27" t="s">
        <v>339</v>
      </c>
      <c r="AG1176" s="29" t="s">
        <v>5097</v>
      </c>
      <c r="AH1176" s="28" t="s">
        <v>5098</v>
      </c>
      <c r="AI1176" s="27"/>
      <c r="AJ1176" s="27"/>
      <c r="AK1176" s="27"/>
      <c r="AL1176" s="27"/>
      <c r="AM1176" s="27"/>
      <c r="AN1176" s="27"/>
      <c r="AO1176" s="27" t="s">
        <v>5113</v>
      </c>
      <c r="AP1176" s="27" t="s">
        <v>5114</v>
      </c>
      <c r="AQ1176" s="27"/>
      <c r="AR1176" s="504"/>
      <c r="AS1176" s="332"/>
      <c r="AT1176" s="160"/>
    </row>
    <row r="1177" spans="1:46" ht="21.75" hidden="1" customHeight="1">
      <c r="A1177" s="331">
        <v>1176</v>
      </c>
      <c r="B1177" s="28" t="s">
        <v>140</v>
      </c>
      <c r="C1177" s="40" t="s">
        <v>5115</v>
      </c>
      <c r="D1177" s="437" t="s">
        <v>5091</v>
      </c>
      <c r="E1177" s="361" t="str">
        <f t="shared" ca="1" si="42"/>
        <v>LOSS</v>
      </c>
      <c r="F1177" s="29"/>
      <c r="G1177" s="28" t="s">
        <v>5116</v>
      </c>
      <c r="H1177" s="29" t="s">
        <v>2748</v>
      </c>
      <c r="I1177" s="29" t="s">
        <v>346</v>
      </c>
      <c r="J1177" s="28" t="s">
        <v>141</v>
      </c>
      <c r="K1177" s="28"/>
      <c r="L1177" s="27"/>
      <c r="M1177" s="27"/>
      <c r="N1177" s="29"/>
      <c r="O1177" s="56"/>
      <c r="P1177" s="31">
        <f>12*93049910</f>
        <v>1116598920</v>
      </c>
      <c r="Q1177" s="31"/>
      <c r="R1177" s="27"/>
      <c r="S1177" s="32">
        <v>15141000</v>
      </c>
      <c r="T1177" s="33"/>
      <c r="U1177" s="334">
        <v>45301</v>
      </c>
      <c r="V1177" s="334">
        <v>45666</v>
      </c>
      <c r="W1177" s="27" t="s">
        <v>17</v>
      </c>
      <c r="X1177" s="27"/>
      <c r="Y1177" s="34">
        <f t="shared" ca="1" si="46"/>
        <v>46290</v>
      </c>
      <c r="Z1177" s="35">
        <f t="shared" ca="1" si="43"/>
        <v>-624</v>
      </c>
      <c r="AA1177" s="27">
        <f t="shared" si="44"/>
        <v>1</v>
      </c>
      <c r="AB1177" s="27">
        <f t="shared" si="45"/>
        <v>2025</v>
      </c>
      <c r="AC1177" s="28" t="s">
        <v>5117</v>
      </c>
      <c r="AD1177" s="28" t="s">
        <v>5112</v>
      </c>
      <c r="AE1177" s="27">
        <v>4500022946</v>
      </c>
      <c r="AF1177" s="27" t="s">
        <v>339</v>
      </c>
      <c r="AG1177" s="29" t="s">
        <v>5118</v>
      </c>
      <c r="AH1177" s="28" t="s">
        <v>5098</v>
      </c>
      <c r="AI1177" s="27"/>
      <c r="AJ1177" s="27"/>
      <c r="AK1177" s="27"/>
      <c r="AL1177" s="27"/>
      <c r="AM1177" s="27"/>
      <c r="AN1177" s="27"/>
      <c r="AO1177" s="27" t="s">
        <v>5119</v>
      </c>
      <c r="AP1177" s="27" t="s">
        <v>5114</v>
      </c>
      <c r="AQ1177" s="27"/>
      <c r="AR1177" s="504"/>
      <c r="AS1177" s="332"/>
      <c r="AT1177" s="160"/>
    </row>
    <row r="1178" spans="1:46" ht="21.75" hidden="1" customHeight="1">
      <c r="A1178" s="331">
        <v>1177</v>
      </c>
      <c r="B1178" s="28" t="s">
        <v>140</v>
      </c>
      <c r="C1178" s="28" t="s">
        <v>5115</v>
      </c>
      <c r="D1178" s="438" t="s">
        <v>5091</v>
      </c>
      <c r="E1178" s="361" t="str">
        <f t="shared" ca="1" si="42"/>
        <v>LOSS</v>
      </c>
      <c r="F1178" s="29"/>
      <c r="G1178" s="28" t="s">
        <v>5120</v>
      </c>
      <c r="H1178" s="29" t="s">
        <v>2748</v>
      </c>
      <c r="I1178" s="29" t="s">
        <v>346</v>
      </c>
      <c r="J1178" s="28" t="s">
        <v>141</v>
      </c>
      <c r="K1178" s="28"/>
      <c r="L1178" s="27"/>
      <c r="M1178" s="27"/>
      <c r="N1178" s="29"/>
      <c r="O1178" s="56"/>
      <c r="P1178" s="31">
        <f>12*93049910</f>
        <v>1116598920</v>
      </c>
      <c r="Q1178" s="31"/>
      <c r="R1178" s="27"/>
      <c r="S1178" s="32">
        <v>21901920</v>
      </c>
      <c r="T1178" s="33"/>
      <c r="U1178" s="334">
        <v>45301</v>
      </c>
      <c r="V1178" s="334">
        <v>45666</v>
      </c>
      <c r="W1178" s="27" t="s">
        <v>17</v>
      </c>
      <c r="X1178" s="27"/>
      <c r="Y1178" s="34">
        <f t="shared" ca="1" si="46"/>
        <v>46290</v>
      </c>
      <c r="Z1178" s="35">
        <f t="shared" ca="1" si="43"/>
        <v>-624</v>
      </c>
      <c r="AA1178" s="27">
        <f t="shared" si="44"/>
        <v>1</v>
      </c>
      <c r="AB1178" s="27">
        <f t="shared" si="45"/>
        <v>2025</v>
      </c>
      <c r="AC1178" s="28" t="s">
        <v>5121</v>
      </c>
      <c r="AD1178" s="28" t="s">
        <v>5112</v>
      </c>
      <c r="AE1178" s="27">
        <v>4500022946</v>
      </c>
      <c r="AF1178" s="27" t="s">
        <v>339</v>
      </c>
      <c r="AG1178" s="29" t="s">
        <v>5097</v>
      </c>
      <c r="AH1178" s="28" t="s">
        <v>5098</v>
      </c>
      <c r="AI1178" s="27"/>
      <c r="AJ1178" s="27"/>
      <c r="AK1178" s="27"/>
      <c r="AL1178" s="27"/>
      <c r="AM1178" s="27"/>
      <c r="AN1178" s="27"/>
      <c r="AO1178" s="27" t="s">
        <v>5122</v>
      </c>
      <c r="AP1178" s="27" t="s">
        <v>5114</v>
      </c>
      <c r="AQ1178" s="27"/>
      <c r="AR1178" s="504"/>
      <c r="AS1178" s="332"/>
      <c r="AT1178" s="160"/>
    </row>
    <row r="1179" spans="1:46" ht="21.75" hidden="1" customHeight="1">
      <c r="A1179" s="331">
        <v>1178</v>
      </c>
      <c r="B1179" s="28" t="s">
        <v>140</v>
      </c>
      <c r="C1179" s="28" t="s">
        <v>5109</v>
      </c>
      <c r="D1179" s="437" t="s">
        <v>5091</v>
      </c>
      <c r="E1179" s="361" t="str">
        <f t="shared" ca="1" si="42"/>
        <v>LOSS</v>
      </c>
      <c r="F1179" s="29"/>
      <c r="G1179" s="28" t="s">
        <v>5123</v>
      </c>
      <c r="H1179" s="29" t="s">
        <v>2748</v>
      </c>
      <c r="I1179" s="29" t="s">
        <v>346</v>
      </c>
      <c r="J1179" s="28" t="s">
        <v>142</v>
      </c>
      <c r="K1179" s="28"/>
      <c r="L1179" s="27"/>
      <c r="M1179" s="27"/>
      <c r="N1179" s="29"/>
      <c r="O1179" s="56"/>
      <c r="P1179" s="31"/>
      <c r="Q1179" s="31"/>
      <c r="R1179" s="27"/>
      <c r="S1179" s="32">
        <v>48568620</v>
      </c>
      <c r="T1179" s="33"/>
      <c r="U1179" s="334">
        <v>45301</v>
      </c>
      <c r="V1179" s="334">
        <v>45666</v>
      </c>
      <c r="W1179" s="27" t="s">
        <v>17</v>
      </c>
      <c r="X1179" s="27"/>
      <c r="Y1179" s="34">
        <f t="shared" ca="1" si="46"/>
        <v>46290</v>
      </c>
      <c r="Z1179" s="35">
        <f t="shared" ca="1" si="43"/>
        <v>-624</v>
      </c>
      <c r="AA1179" s="27">
        <f t="shared" si="44"/>
        <v>1</v>
      </c>
      <c r="AB1179" s="27">
        <f t="shared" si="45"/>
        <v>2025</v>
      </c>
      <c r="AC1179" s="28" t="s">
        <v>5124</v>
      </c>
      <c r="AD1179" s="28" t="s">
        <v>5112</v>
      </c>
      <c r="AE1179" s="27">
        <v>4500022946</v>
      </c>
      <c r="AF1179" s="27" t="s">
        <v>339</v>
      </c>
      <c r="AG1179" s="29" t="s">
        <v>5097</v>
      </c>
      <c r="AH1179" s="28" t="s">
        <v>5098</v>
      </c>
      <c r="AI1179" s="27"/>
      <c r="AJ1179" s="27"/>
      <c r="AK1179" s="27"/>
      <c r="AL1179" s="27"/>
      <c r="AM1179" s="27"/>
      <c r="AN1179" s="27"/>
      <c r="AO1179" s="27" t="s">
        <v>5125</v>
      </c>
      <c r="AP1179" s="27" t="s">
        <v>5114</v>
      </c>
      <c r="AQ1179" s="27"/>
      <c r="AR1179" s="504"/>
      <c r="AS1179" s="332"/>
      <c r="AT1179" s="160"/>
    </row>
    <row r="1180" spans="1:46" ht="21.75" hidden="1" customHeight="1">
      <c r="A1180" s="331">
        <v>1179</v>
      </c>
      <c r="B1180" s="28" t="s">
        <v>140</v>
      </c>
      <c r="C1180" s="28" t="s">
        <v>5115</v>
      </c>
      <c r="D1180" s="438" t="s">
        <v>5091</v>
      </c>
      <c r="E1180" s="361" t="str">
        <f t="shared" ca="1" si="42"/>
        <v>LOSS</v>
      </c>
      <c r="F1180" s="29"/>
      <c r="G1180" s="28" t="s">
        <v>5126</v>
      </c>
      <c r="H1180" s="29" t="s">
        <v>2748</v>
      </c>
      <c r="I1180" s="29" t="s">
        <v>346</v>
      </c>
      <c r="J1180" s="28" t="s">
        <v>141</v>
      </c>
      <c r="K1180" s="28"/>
      <c r="L1180" s="27"/>
      <c r="M1180" s="27"/>
      <c r="N1180" s="29"/>
      <c r="O1180" s="56"/>
      <c r="P1180" s="31">
        <f>12*93049910</f>
        <v>1116598920</v>
      </c>
      <c r="Q1180" s="31"/>
      <c r="R1180" s="27"/>
      <c r="S1180" s="32">
        <v>46204776</v>
      </c>
      <c r="T1180" s="33"/>
      <c r="U1180" s="334">
        <v>45301</v>
      </c>
      <c r="V1180" s="334">
        <v>45666</v>
      </c>
      <c r="W1180" s="27" t="s">
        <v>17</v>
      </c>
      <c r="X1180" s="27"/>
      <c r="Y1180" s="34">
        <f t="shared" ca="1" si="46"/>
        <v>46290</v>
      </c>
      <c r="Z1180" s="35">
        <f t="shared" ca="1" si="43"/>
        <v>-624</v>
      </c>
      <c r="AA1180" s="27">
        <f t="shared" si="44"/>
        <v>1</v>
      </c>
      <c r="AB1180" s="27">
        <f t="shared" si="45"/>
        <v>2025</v>
      </c>
      <c r="AC1180" s="28" t="s">
        <v>5127</v>
      </c>
      <c r="AD1180" s="28" t="s">
        <v>5112</v>
      </c>
      <c r="AE1180" s="27">
        <v>4500022946</v>
      </c>
      <c r="AF1180" s="27" t="s">
        <v>339</v>
      </c>
      <c r="AG1180" s="29" t="s">
        <v>5097</v>
      </c>
      <c r="AH1180" s="28" t="s">
        <v>5098</v>
      </c>
      <c r="AI1180" s="27"/>
      <c r="AJ1180" s="27"/>
      <c r="AK1180" s="27"/>
      <c r="AL1180" s="27"/>
      <c r="AM1180" s="27"/>
      <c r="AN1180" s="27"/>
      <c r="AO1180" s="27" t="s">
        <v>5128</v>
      </c>
      <c r="AP1180" s="27" t="s">
        <v>5114</v>
      </c>
      <c r="AQ1180" s="27"/>
      <c r="AR1180" s="504"/>
      <c r="AS1180" s="332"/>
      <c r="AT1180" s="160"/>
    </row>
    <row r="1181" spans="1:46" ht="21.75" hidden="1" customHeight="1">
      <c r="A1181" s="331">
        <v>1180</v>
      </c>
      <c r="B1181" s="159" t="s">
        <v>2724</v>
      </c>
      <c r="C1181" s="28" t="s">
        <v>5129</v>
      </c>
      <c r="D1181" s="437" t="s">
        <v>5130</v>
      </c>
      <c r="E1181" s="361" t="str">
        <f t="shared" ca="1" si="42"/>
        <v>LOSS</v>
      </c>
      <c r="F1181" s="29" t="s">
        <v>115</v>
      </c>
      <c r="G1181" s="28" t="s">
        <v>5131</v>
      </c>
      <c r="H1181" s="29" t="s">
        <v>2748</v>
      </c>
      <c r="I1181" s="160" t="s">
        <v>346</v>
      </c>
      <c r="J1181" s="28" t="s">
        <v>2726</v>
      </c>
      <c r="K1181" s="28"/>
      <c r="L1181" s="27"/>
      <c r="M1181" s="27"/>
      <c r="N1181" s="29"/>
      <c r="O1181" s="56"/>
      <c r="P1181" s="31">
        <f>12*20000000</f>
        <v>240000000</v>
      </c>
      <c r="Q1181" s="31"/>
      <c r="R1181" s="27"/>
      <c r="S1181" s="32">
        <v>35000000</v>
      </c>
      <c r="T1181" s="33"/>
      <c r="U1181" s="334">
        <v>45292</v>
      </c>
      <c r="V1181" s="334">
        <v>45657</v>
      </c>
      <c r="W1181" s="27" t="s">
        <v>250</v>
      </c>
      <c r="X1181" s="27"/>
      <c r="Y1181" s="34">
        <f t="shared" ca="1" si="46"/>
        <v>46290</v>
      </c>
      <c r="Z1181" s="35">
        <f t="shared" ca="1" si="43"/>
        <v>-633</v>
      </c>
      <c r="AA1181" s="27">
        <f t="shared" si="44"/>
        <v>12</v>
      </c>
      <c r="AB1181" s="27">
        <f t="shared" si="45"/>
        <v>2024</v>
      </c>
      <c r="AC1181" s="28" t="s">
        <v>5132</v>
      </c>
      <c r="AD1181" s="28" t="s">
        <v>5133</v>
      </c>
      <c r="AE1181" s="27">
        <v>4500021810</v>
      </c>
      <c r="AF1181" s="27" t="s">
        <v>339</v>
      </c>
      <c r="AG1181" s="29"/>
      <c r="AH1181" s="28"/>
      <c r="AI1181" s="27"/>
      <c r="AJ1181" s="27"/>
      <c r="AK1181" s="27"/>
      <c r="AL1181" s="27"/>
      <c r="AM1181" s="27"/>
      <c r="AN1181" s="27" t="s">
        <v>5134</v>
      </c>
      <c r="AO1181" s="27" t="s">
        <v>5135</v>
      </c>
      <c r="AP1181" s="27"/>
      <c r="AQ1181" s="27"/>
      <c r="AR1181" s="504"/>
      <c r="AS1181" s="332" t="s">
        <v>5136</v>
      </c>
      <c r="AT1181" s="160"/>
    </row>
    <row r="1182" spans="1:46" ht="21.75" hidden="1" customHeight="1">
      <c r="A1182" s="331">
        <v>1181</v>
      </c>
      <c r="B1182" s="159" t="s">
        <v>2724</v>
      </c>
      <c r="C1182" s="28" t="s">
        <v>5137</v>
      </c>
      <c r="D1182" s="438" t="s">
        <v>5130</v>
      </c>
      <c r="E1182" s="361" t="str">
        <f t="shared" ca="1" si="42"/>
        <v>LOSS</v>
      </c>
      <c r="F1182" s="29" t="s">
        <v>115</v>
      </c>
      <c r="G1182" s="28" t="s">
        <v>5138</v>
      </c>
      <c r="H1182" s="29" t="s">
        <v>2748</v>
      </c>
      <c r="I1182" s="160" t="s">
        <v>346</v>
      </c>
      <c r="J1182" s="28" t="s">
        <v>5139</v>
      </c>
      <c r="K1182" s="28"/>
      <c r="L1182" s="27"/>
      <c r="M1182" s="27"/>
      <c r="N1182" s="29"/>
      <c r="O1182" s="56"/>
      <c r="P1182" s="31">
        <v>114000000</v>
      </c>
      <c r="Q1182" s="31"/>
      <c r="R1182" s="27"/>
      <c r="S1182" s="32">
        <v>105000000</v>
      </c>
      <c r="T1182" s="33"/>
      <c r="U1182" s="334">
        <v>44256</v>
      </c>
      <c r="V1182" s="334">
        <v>45350</v>
      </c>
      <c r="W1182" s="27" t="s">
        <v>245</v>
      </c>
      <c r="X1182" s="27"/>
      <c r="Y1182" s="34">
        <f t="shared" ca="1" si="46"/>
        <v>46290</v>
      </c>
      <c r="Z1182" s="35">
        <f t="shared" ca="1" si="43"/>
        <v>-940</v>
      </c>
      <c r="AA1182" s="27">
        <f t="shared" si="44"/>
        <v>2</v>
      </c>
      <c r="AB1182" s="27">
        <f t="shared" si="45"/>
        <v>2024</v>
      </c>
      <c r="AC1182" s="28" t="s">
        <v>5140</v>
      </c>
      <c r="AD1182" s="28" t="s">
        <v>5141</v>
      </c>
      <c r="AE1182" s="27">
        <v>4500016043</v>
      </c>
      <c r="AF1182" s="27" t="s">
        <v>339</v>
      </c>
      <c r="AG1182" s="29"/>
      <c r="AH1182" s="28"/>
      <c r="AI1182" s="27"/>
      <c r="AJ1182" s="27"/>
      <c r="AK1182" s="27" t="s">
        <v>5142</v>
      </c>
      <c r="AL1182" s="27"/>
      <c r="AM1182" s="27" t="s">
        <v>5143</v>
      </c>
      <c r="AN1182" s="27"/>
      <c r="AO1182" s="27"/>
      <c r="AP1182" s="27"/>
      <c r="AQ1182" s="27"/>
      <c r="AR1182" s="504"/>
      <c r="AS1182" s="332" t="s">
        <v>5136</v>
      </c>
      <c r="AT1182" s="160"/>
    </row>
    <row r="1183" spans="1:46" ht="21.75" hidden="1" customHeight="1">
      <c r="A1183" s="331">
        <v>1182</v>
      </c>
      <c r="B1183" s="28" t="s">
        <v>584</v>
      </c>
      <c r="C1183" s="28" t="s">
        <v>585</v>
      </c>
      <c r="D1183" s="437" t="s">
        <v>5144</v>
      </c>
      <c r="E1183" s="361" t="str">
        <f t="shared" ca="1" si="42"/>
        <v>LOSS</v>
      </c>
      <c r="F1183" s="29" t="s">
        <v>5145</v>
      </c>
      <c r="G1183" s="28" t="s">
        <v>5146</v>
      </c>
      <c r="H1183" s="29" t="s">
        <v>2748</v>
      </c>
      <c r="I1183" s="29" t="s">
        <v>346</v>
      </c>
      <c r="J1183" s="28" t="s">
        <v>5147</v>
      </c>
      <c r="K1183" s="28"/>
      <c r="L1183" s="27"/>
      <c r="M1183" s="27"/>
      <c r="N1183" s="29"/>
      <c r="O1183" s="56"/>
      <c r="P1183" s="31">
        <v>43080000</v>
      </c>
      <c r="Q1183" s="31"/>
      <c r="R1183" s="27"/>
      <c r="S1183" s="32">
        <v>26000000</v>
      </c>
      <c r="T1183" s="33"/>
      <c r="U1183" s="334">
        <v>45139</v>
      </c>
      <c r="V1183" s="334">
        <v>45504</v>
      </c>
      <c r="W1183" s="27" t="s">
        <v>245</v>
      </c>
      <c r="X1183" s="27"/>
      <c r="Y1183" s="34">
        <f t="shared" ca="1" si="46"/>
        <v>46290</v>
      </c>
      <c r="Z1183" s="35">
        <f t="shared" ca="1" si="43"/>
        <v>-786</v>
      </c>
      <c r="AA1183" s="27">
        <f t="shared" si="44"/>
        <v>7</v>
      </c>
      <c r="AB1183" s="27">
        <f t="shared" si="45"/>
        <v>2024</v>
      </c>
      <c r="AC1183" s="28" t="s">
        <v>5148</v>
      </c>
      <c r="AD1183" s="28" t="s">
        <v>5149</v>
      </c>
      <c r="AE1183" s="27">
        <v>4500021913</v>
      </c>
      <c r="AF1183" s="27" t="s">
        <v>339</v>
      </c>
      <c r="AG1183" s="29" t="s">
        <v>5150</v>
      </c>
      <c r="AH1183" s="28" t="s">
        <v>5151</v>
      </c>
      <c r="AI1183" s="27">
        <v>65</v>
      </c>
      <c r="AJ1183" s="27" t="s">
        <v>5152</v>
      </c>
      <c r="AK1183" s="27" t="s">
        <v>5153</v>
      </c>
      <c r="AL1183" s="27" t="s">
        <v>5154</v>
      </c>
      <c r="AM1183" s="27" t="s">
        <v>5155</v>
      </c>
      <c r="AN1183" s="27" t="s">
        <v>4074</v>
      </c>
      <c r="AO1183" s="27" t="s">
        <v>5156</v>
      </c>
      <c r="AP1183" s="27"/>
      <c r="AQ1183" s="27"/>
      <c r="AR1183" s="504"/>
      <c r="AS1183" s="332"/>
      <c r="AT1183" s="160"/>
    </row>
    <row r="1184" spans="1:46" ht="21.75" hidden="1" customHeight="1">
      <c r="A1184" s="331">
        <v>1183</v>
      </c>
      <c r="B1184" s="28" t="s">
        <v>584</v>
      </c>
      <c r="C1184" s="28" t="s">
        <v>1915</v>
      </c>
      <c r="D1184" s="438" t="s">
        <v>5144</v>
      </c>
      <c r="E1184" s="361" t="str">
        <f t="shared" ca="1" si="42"/>
        <v>LOSS</v>
      </c>
      <c r="F1184" s="29" t="s">
        <v>115</v>
      </c>
      <c r="G1184" s="28" t="s">
        <v>5157</v>
      </c>
      <c r="H1184" s="29" t="s">
        <v>2748</v>
      </c>
      <c r="I1184" s="29" t="s">
        <v>346</v>
      </c>
      <c r="J1184" s="38" t="s">
        <v>5158</v>
      </c>
      <c r="K1184" s="28"/>
      <c r="L1184" s="27"/>
      <c r="M1184" s="27"/>
      <c r="N1184" s="29"/>
      <c r="O1184" s="56"/>
      <c r="P1184" s="31">
        <v>42000000</v>
      </c>
      <c r="Q1184" s="31"/>
      <c r="R1184" s="27"/>
      <c r="S1184" s="32">
        <v>28280000</v>
      </c>
      <c r="T1184" s="33"/>
      <c r="U1184" s="334">
        <v>45261</v>
      </c>
      <c r="V1184" s="334">
        <v>45626</v>
      </c>
      <c r="W1184" s="27" t="s">
        <v>250</v>
      </c>
      <c r="X1184" s="27"/>
      <c r="Y1184" s="34">
        <f t="shared" ca="1" si="46"/>
        <v>46290</v>
      </c>
      <c r="Z1184" s="35">
        <f t="shared" ca="1" si="43"/>
        <v>-664</v>
      </c>
      <c r="AA1184" s="27">
        <f t="shared" si="44"/>
        <v>11</v>
      </c>
      <c r="AB1184" s="27">
        <f t="shared" si="45"/>
        <v>2024</v>
      </c>
      <c r="AC1184" s="28" t="s">
        <v>5159</v>
      </c>
      <c r="AD1184" s="28">
        <v>2531</v>
      </c>
      <c r="AE1184" s="27">
        <v>4500022309</v>
      </c>
      <c r="AF1184" s="27" t="s">
        <v>339</v>
      </c>
      <c r="AG1184" s="29" t="s">
        <v>5160</v>
      </c>
      <c r="AH1184" s="28" t="s">
        <v>5151</v>
      </c>
      <c r="AI1184" s="27">
        <v>173</v>
      </c>
      <c r="AJ1184" s="27" t="s">
        <v>5161</v>
      </c>
      <c r="AK1184" s="27" t="s">
        <v>5162</v>
      </c>
      <c r="AL1184" s="27" t="s">
        <v>5163</v>
      </c>
      <c r="AM1184" s="27" t="s">
        <v>5164</v>
      </c>
      <c r="AN1184" s="27" t="s">
        <v>5165</v>
      </c>
      <c r="AO1184" s="27" t="s">
        <v>5166</v>
      </c>
      <c r="AP1184" s="27"/>
      <c r="AQ1184" s="27"/>
      <c r="AR1184" s="504"/>
      <c r="AS1184" s="332"/>
      <c r="AT1184" s="160"/>
    </row>
    <row r="1185" spans="1:46" ht="21.75" hidden="1" customHeight="1">
      <c r="A1185" s="331">
        <v>1184</v>
      </c>
      <c r="B1185" s="28" t="s">
        <v>584</v>
      </c>
      <c r="C1185" s="28" t="s">
        <v>5167</v>
      </c>
      <c r="D1185" s="444" t="s">
        <v>5168</v>
      </c>
      <c r="E1185" s="361" t="str">
        <f t="shared" ca="1" si="42"/>
        <v>LOSS</v>
      </c>
      <c r="F1185" s="29" t="s">
        <v>5169</v>
      </c>
      <c r="G1185" s="28" t="s">
        <v>5170</v>
      </c>
      <c r="H1185" s="29" t="s">
        <v>2748</v>
      </c>
      <c r="I1185" s="29" t="s">
        <v>346</v>
      </c>
      <c r="J1185" s="28" t="s">
        <v>5171</v>
      </c>
      <c r="K1185" s="28"/>
      <c r="L1185" s="27"/>
      <c r="M1185" s="27"/>
      <c r="N1185" s="29"/>
      <c r="O1185" s="56"/>
      <c r="P1185" s="31">
        <v>80400000</v>
      </c>
      <c r="Q1185" s="31"/>
      <c r="R1185" s="27"/>
      <c r="S1185" s="32">
        <v>42000000</v>
      </c>
      <c r="T1185" s="33"/>
      <c r="U1185" s="334">
        <v>43596</v>
      </c>
      <c r="V1185" s="334">
        <v>43961</v>
      </c>
      <c r="W1185" s="27" t="s">
        <v>245</v>
      </c>
      <c r="X1185" s="27"/>
      <c r="Y1185" s="34">
        <f t="shared" ca="1" si="46"/>
        <v>46290</v>
      </c>
      <c r="Z1185" s="35">
        <f t="shared" ca="1" si="43"/>
        <v>-2329</v>
      </c>
      <c r="AA1185" s="27">
        <f t="shared" si="44"/>
        <v>5</v>
      </c>
      <c r="AB1185" s="27">
        <f t="shared" si="45"/>
        <v>2020</v>
      </c>
      <c r="AC1185" s="46" t="s">
        <v>5172</v>
      </c>
      <c r="AD1185" s="46" t="s">
        <v>5173</v>
      </c>
      <c r="AE1185" s="47" t="s">
        <v>5174</v>
      </c>
      <c r="AF1185" s="27" t="s">
        <v>339</v>
      </c>
      <c r="AG1185" s="29" t="s">
        <v>5175</v>
      </c>
      <c r="AH1185" s="28" t="s">
        <v>5176</v>
      </c>
      <c r="AI1185" s="27">
        <v>46</v>
      </c>
      <c r="AJ1185" s="27" t="s">
        <v>5177</v>
      </c>
      <c r="AK1185" s="27" t="s">
        <v>5178</v>
      </c>
      <c r="AL1185" s="27"/>
      <c r="AM1185" s="27"/>
      <c r="AN1185" s="27"/>
      <c r="AO1185" s="27"/>
      <c r="AP1185" s="27"/>
      <c r="AQ1185" s="27"/>
      <c r="AR1185" s="504"/>
      <c r="AS1185" s="332"/>
      <c r="AT1185" s="160"/>
    </row>
    <row r="1186" spans="1:46" ht="21.75" hidden="1" customHeight="1">
      <c r="A1186" s="331">
        <v>1185</v>
      </c>
      <c r="B1186" s="28" t="s">
        <v>143</v>
      </c>
      <c r="C1186" s="28" t="s">
        <v>5179</v>
      </c>
      <c r="D1186" s="438" t="s">
        <v>1119</v>
      </c>
      <c r="E1186" s="361" t="str">
        <f t="shared" ca="1" si="42"/>
        <v>LOSS</v>
      </c>
      <c r="F1186" s="29" t="s">
        <v>115</v>
      </c>
      <c r="G1186" s="28" t="s">
        <v>5180</v>
      </c>
      <c r="H1186" s="29" t="s">
        <v>2748</v>
      </c>
      <c r="I1186" s="29" t="s">
        <v>346</v>
      </c>
      <c r="J1186" s="28" t="s">
        <v>144</v>
      </c>
      <c r="K1186" s="28"/>
      <c r="L1186" s="27"/>
      <c r="M1186" s="27"/>
      <c r="N1186" s="29"/>
      <c r="O1186" s="56"/>
      <c r="P1186" s="31">
        <f>12*9400000</f>
        <v>112800000</v>
      </c>
      <c r="Q1186" s="31"/>
      <c r="R1186" s="27"/>
      <c r="S1186" s="32">
        <v>15750000</v>
      </c>
      <c r="T1186" s="33"/>
      <c r="U1186" s="334">
        <v>45358</v>
      </c>
      <c r="V1186" s="334">
        <v>45722</v>
      </c>
      <c r="W1186" s="27" t="s">
        <v>250</v>
      </c>
      <c r="X1186" s="27"/>
      <c r="Y1186" s="34">
        <f t="shared" ca="1" si="46"/>
        <v>46290</v>
      </c>
      <c r="Z1186" s="35">
        <f t="shared" ca="1" si="43"/>
        <v>-568</v>
      </c>
      <c r="AA1186" s="27">
        <f t="shared" si="44"/>
        <v>3</v>
      </c>
      <c r="AB1186" s="27">
        <f t="shared" si="45"/>
        <v>2025</v>
      </c>
      <c r="AC1186" s="28" t="s">
        <v>5181</v>
      </c>
      <c r="AD1186" s="28">
        <v>2470</v>
      </c>
      <c r="AE1186" s="27">
        <v>4500022134</v>
      </c>
      <c r="AF1186" s="27" t="s">
        <v>339</v>
      </c>
      <c r="AG1186" s="29"/>
      <c r="AH1186" s="28"/>
      <c r="AI1186" s="27"/>
      <c r="AJ1186" s="27"/>
      <c r="AK1186" s="27"/>
      <c r="AL1186" s="27"/>
      <c r="AM1186" s="27"/>
      <c r="AN1186" s="27"/>
      <c r="AO1186" s="27" t="s">
        <v>5182</v>
      </c>
      <c r="AP1186" s="27" t="s">
        <v>5183</v>
      </c>
      <c r="AQ1186" s="27"/>
      <c r="AR1186" s="504"/>
      <c r="AS1186" s="332"/>
      <c r="AT1186" s="160"/>
    </row>
    <row r="1187" spans="1:46" ht="21.75" hidden="1" customHeight="1">
      <c r="A1187" s="331">
        <v>1186</v>
      </c>
      <c r="B1187" s="28" t="s">
        <v>143</v>
      </c>
      <c r="C1187" s="28" t="s">
        <v>349</v>
      </c>
      <c r="D1187" s="437" t="s">
        <v>1119</v>
      </c>
      <c r="E1187" s="361" t="str">
        <f t="shared" ca="1" si="42"/>
        <v>LOSS</v>
      </c>
      <c r="F1187" s="36" t="s">
        <v>5184</v>
      </c>
      <c r="G1187" s="28" t="s">
        <v>5185</v>
      </c>
      <c r="H1187" s="29" t="s">
        <v>2748</v>
      </c>
      <c r="I1187" s="29" t="s">
        <v>346</v>
      </c>
      <c r="J1187" s="28" t="s">
        <v>145</v>
      </c>
      <c r="K1187" s="28"/>
      <c r="L1187" s="27"/>
      <c r="M1187" s="27"/>
      <c r="N1187" s="29"/>
      <c r="O1187" s="56"/>
      <c r="P1187" s="31">
        <v>25680000</v>
      </c>
      <c r="Q1187" s="31"/>
      <c r="R1187" s="27"/>
      <c r="S1187" s="32">
        <v>14300000</v>
      </c>
      <c r="T1187" s="33"/>
      <c r="U1187" s="334">
        <v>45323</v>
      </c>
      <c r="V1187" s="334">
        <v>45688</v>
      </c>
      <c r="W1187" s="27" t="s">
        <v>250</v>
      </c>
      <c r="X1187" s="27"/>
      <c r="Y1187" s="34">
        <f t="shared" ca="1" si="46"/>
        <v>46290</v>
      </c>
      <c r="Z1187" s="35">
        <f t="shared" ca="1" si="43"/>
        <v>-602</v>
      </c>
      <c r="AA1187" s="27">
        <f t="shared" si="44"/>
        <v>1</v>
      </c>
      <c r="AB1187" s="27">
        <f t="shared" si="45"/>
        <v>2025</v>
      </c>
      <c r="AC1187" s="28" t="s">
        <v>5186</v>
      </c>
      <c r="AD1187" s="28">
        <v>2498</v>
      </c>
      <c r="AE1187" s="27">
        <v>4500022245</v>
      </c>
      <c r="AF1187" s="27" t="s">
        <v>339</v>
      </c>
      <c r="AG1187" s="29"/>
      <c r="AH1187" s="28"/>
      <c r="AI1187" s="27">
        <v>167</v>
      </c>
      <c r="AJ1187" s="27" t="s">
        <v>5187</v>
      </c>
      <c r="AK1187" s="27"/>
      <c r="AL1187" s="27" t="s">
        <v>5188</v>
      </c>
      <c r="AM1187" s="27" t="s">
        <v>5189</v>
      </c>
      <c r="AN1187" s="27" t="s">
        <v>5190</v>
      </c>
      <c r="AO1187" s="27" t="s">
        <v>5191</v>
      </c>
      <c r="AP1187" s="27" t="s">
        <v>5192</v>
      </c>
      <c r="AQ1187" s="27"/>
      <c r="AR1187" s="504"/>
      <c r="AS1187" s="332" t="s">
        <v>5193</v>
      </c>
      <c r="AT1187" s="160"/>
    </row>
    <row r="1188" spans="1:46" ht="21.75" hidden="1" customHeight="1">
      <c r="A1188" s="331">
        <v>1187</v>
      </c>
      <c r="B1188" s="28" t="s">
        <v>5194</v>
      </c>
      <c r="C1188" s="28" t="s">
        <v>5195</v>
      </c>
      <c r="D1188" s="438" t="s">
        <v>5196</v>
      </c>
      <c r="E1188" s="361" t="str">
        <f t="shared" ca="1" si="42"/>
        <v>LOSS</v>
      </c>
      <c r="F1188" s="29"/>
      <c r="G1188" s="28" t="s">
        <v>5197</v>
      </c>
      <c r="H1188" s="29" t="s">
        <v>2748</v>
      </c>
      <c r="I1188" s="160" t="s">
        <v>346</v>
      </c>
      <c r="J1188" s="28"/>
      <c r="K1188" s="28"/>
      <c r="L1188" s="27"/>
      <c r="M1188" s="27"/>
      <c r="N1188" s="29"/>
      <c r="O1188" s="56"/>
      <c r="P1188" s="31"/>
      <c r="Q1188" s="31"/>
      <c r="R1188" s="27"/>
      <c r="S1188" s="32">
        <v>22500000</v>
      </c>
      <c r="T1188" s="33"/>
      <c r="U1188" s="334">
        <v>42198</v>
      </c>
      <c r="V1188" s="334">
        <v>45850</v>
      </c>
      <c r="W1188" s="27" t="s">
        <v>17</v>
      </c>
      <c r="X1188" s="27"/>
      <c r="Y1188" s="34">
        <f t="shared" ca="1" si="46"/>
        <v>46290</v>
      </c>
      <c r="Z1188" s="35">
        <f t="shared" ca="1" si="43"/>
        <v>-440</v>
      </c>
      <c r="AA1188" s="27">
        <f t="shared" si="44"/>
        <v>7</v>
      </c>
      <c r="AB1188" s="27">
        <f t="shared" si="45"/>
        <v>2025</v>
      </c>
      <c r="AC1188" s="28" t="s">
        <v>5198</v>
      </c>
      <c r="AD1188" s="28"/>
      <c r="AE1188" s="27"/>
      <c r="AF1188" s="27" t="s">
        <v>339</v>
      </c>
      <c r="AG1188" s="29" t="s">
        <v>5199</v>
      </c>
      <c r="AH1188" s="28" t="s">
        <v>5200</v>
      </c>
      <c r="AI1188" s="27"/>
      <c r="AJ1188" s="27"/>
      <c r="AK1188" s="27"/>
      <c r="AL1188" s="27"/>
      <c r="AM1188" s="27"/>
      <c r="AN1188" s="27"/>
      <c r="AO1188" s="27"/>
      <c r="AP1188" s="27"/>
      <c r="AQ1188" s="27"/>
      <c r="AR1188" s="504"/>
      <c r="AS1188" s="332" t="s">
        <v>5201</v>
      </c>
      <c r="AT1188" s="160"/>
    </row>
    <row r="1189" spans="1:46" ht="21.75" hidden="1" customHeight="1">
      <c r="A1189" s="331">
        <v>1188</v>
      </c>
      <c r="B1189" s="28" t="s">
        <v>146</v>
      </c>
      <c r="C1189" s="28" t="s">
        <v>4070</v>
      </c>
      <c r="D1189" s="437" t="s">
        <v>5202</v>
      </c>
      <c r="E1189" s="361" t="str">
        <f t="shared" ca="1" si="42"/>
        <v>LOSS</v>
      </c>
      <c r="F1189" s="36" t="s">
        <v>115</v>
      </c>
      <c r="G1189" s="28" t="s">
        <v>5203</v>
      </c>
      <c r="H1189" s="29" t="s">
        <v>2748</v>
      </c>
      <c r="I1189" s="29" t="s">
        <v>346</v>
      </c>
      <c r="J1189" s="28" t="s">
        <v>107</v>
      </c>
      <c r="K1189" s="28"/>
      <c r="L1189" s="27"/>
      <c r="M1189" s="27"/>
      <c r="N1189" s="29"/>
      <c r="O1189" s="56"/>
      <c r="P1189" s="31">
        <v>322800000</v>
      </c>
      <c r="Q1189" s="31"/>
      <c r="R1189" s="27"/>
      <c r="S1189" s="32">
        <v>8000000</v>
      </c>
      <c r="T1189" s="33"/>
      <c r="U1189" s="334">
        <v>45261</v>
      </c>
      <c r="V1189" s="334">
        <v>45626</v>
      </c>
      <c r="W1189" s="27" t="s">
        <v>250</v>
      </c>
      <c r="X1189" s="27"/>
      <c r="Y1189" s="34">
        <f t="shared" ca="1" si="46"/>
        <v>46290</v>
      </c>
      <c r="Z1189" s="35">
        <f t="shared" ca="1" si="43"/>
        <v>-664</v>
      </c>
      <c r="AA1189" s="27">
        <f t="shared" si="44"/>
        <v>11</v>
      </c>
      <c r="AB1189" s="27">
        <f t="shared" si="45"/>
        <v>2024</v>
      </c>
      <c r="AC1189" s="28" t="s">
        <v>5204</v>
      </c>
      <c r="AD1189" s="28" t="s">
        <v>5205</v>
      </c>
      <c r="AE1189" s="27">
        <v>4500021720</v>
      </c>
      <c r="AF1189" s="27" t="s">
        <v>339</v>
      </c>
      <c r="AG1189" s="29" t="s">
        <v>5206</v>
      </c>
      <c r="AH1189" s="28" t="s">
        <v>5207</v>
      </c>
      <c r="AI1189" s="27">
        <v>78</v>
      </c>
      <c r="AJ1189" s="27" t="s">
        <v>5208</v>
      </c>
      <c r="AK1189" s="27" t="s">
        <v>5209</v>
      </c>
      <c r="AL1189" s="27" t="s">
        <v>5210</v>
      </c>
      <c r="AM1189" s="27" t="s">
        <v>5211</v>
      </c>
      <c r="AN1189" s="27" t="s">
        <v>1054</v>
      </c>
      <c r="AO1189" s="27" t="s">
        <v>5212</v>
      </c>
      <c r="AP1189" s="27"/>
      <c r="AQ1189" s="27"/>
      <c r="AR1189" s="504"/>
      <c r="AS1189" s="332" t="s">
        <v>5213</v>
      </c>
      <c r="AT1189" s="160"/>
    </row>
    <row r="1190" spans="1:46" ht="21.75" hidden="1" customHeight="1">
      <c r="A1190" s="331">
        <v>1189</v>
      </c>
      <c r="B1190" s="28" t="s">
        <v>146</v>
      </c>
      <c r="C1190" s="28" t="s">
        <v>1274</v>
      </c>
      <c r="D1190" s="438" t="s">
        <v>5214</v>
      </c>
      <c r="E1190" s="361" t="str">
        <f t="shared" ca="1" si="42"/>
        <v>LOSS</v>
      </c>
      <c r="F1190" s="36" t="s">
        <v>115</v>
      </c>
      <c r="G1190" s="28" t="s">
        <v>5203</v>
      </c>
      <c r="H1190" s="29" t="s">
        <v>2748</v>
      </c>
      <c r="I1190" s="29" t="s">
        <v>346</v>
      </c>
      <c r="J1190" s="28" t="s">
        <v>148</v>
      </c>
      <c r="K1190" s="28"/>
      <c r="L1190" s="27"/>
      <c r="M1190" s="27"/>
      <c r="N1190" s="29"/>
      <c r="O1190" s="56"/>
      <c r="P1190" s="31"/>
      <c r="Q1190" s="31"/>
      <c r="R1190" s="27"/>
      <c r="S1190" s="32">
        <v>10000000</v>
      </c>
      <c r="T1190" s="33"/>
      <c r="U1190" s="334">
        <v>45129</v>
      </c>
      <c r="V1190" s="334">
        <v>45494</v>
      </c>
      <c r="W1190" s="27" t="s">
        <v>250</v>
      </c>
      <c r="X1190" s="27"/>
      <c r="Y1190" s="34">
        <f t="shared" ca="1" si="46"/>
        <v>46290</v>
      </c>
      <c r="Z1190" s="35">
        <f t="shared" ca="1" si="43"/>
        <v>-796</v>
      </c>
      <c r="AA1190" s="27">
        <f t="shared" si="44"/>
        <v>7</v>
      </c>
      <c r="AB1190" s="27">
        <f t="shared" si="45"/>
        <v>2024</v>
      </c>
      <c r="AC1190" s="28" t="s">
        <v>5215</v>
      </c>
      <c r="AD1190" s="28" t="s">
        <v>5216</v>
      </c>
      <c r="AE1190" s="27">
        <v>4500020788</v>
      </c>
      <c r="AF1190" s="27" t="s">
        <v>333</v>
      </c>
      <c r="AG1190" s="29" t="s">
        <v>5206</v>
      </c>
      <c r="AH1190" s="28" t="s">
        <v>5217</v>
      </c>
      <c r="AI1190" s="27"/>
      <c r="AJ1190" s="27"/>
      <c r="AK1190" s="27" t="s">
        <v>5218</v>
      </c>
      <c r="AL1190" s="27" t="s">
        <v>5219</v>
      </c>
      <c r="AM1190" s="27" t="s">
        <v>5220</v>
      </c>
      <c r="AN1190" s="27" t="s">
        <v>5221</v>
      </c>
      <c r="AO1190" s="27" t="s">
        <v>5222</v>
      </c>
      <c r="AP1190" s="27"/>
      <c r="AQ1190" s="27"/>
      <c r="AR1190" s="504"/>
      <c r="AS1190" s="332" t="s">
        <v>5223</v>
      </c>
      <c r="AT1190" s="160"/>
    </row>
    <row r="1191" spans="1:46" ht="21.75" hidden="1" customHeight="1">
      <c r="A1191" s="331">
        <v>1190</v>
      </c>
      <c r="B1191" s="28" t="s">
        <v>146</v>
      </c>
      <c r="C1191" s="28" t="s">
        <v>1274</v>
      </c>
      <c r="D1191" s="437" t="s">
        <v>5214</v>
      </c>
      <c r="E1191" s="361" t="str">
        <f t="shared" ca="1" si="42"/>
        <v>LOSS</v>
      </c>
      <c r="F1191" s="36"/>
      <c r="G1191" s="28" t="s">
        <v>5203</v>
      </c>
      <c r="H1191" s="29" t="s">
        <v>2748</v>
      </c>
      <c r="I1191" s="29" t="s">
        <v>346</v>
      </c>
      <c r="J1191" s="28" t="s">
        <v>148</v>
      </c>
      <c r="K1191" s="28"/>
      <c r="L1191" s="27"/>
      <c r="M1191" s="27"/>
      <c r="N1191" s="29"/>
      <c r="O1191" s="56"/>
      <c r="P1191" s="31"/>
      <c r="Q1191" s="31"/>
      <c r="R1191" s="27"/>
      <c r="S1191" s="32">
        <v>10000000</v>
      </c>
      <c r="T1191" s="33"/>
      <c r="U1191" s="334">
        <v>45495</v>
      </c>
      <c r="V1191" s="334">
        <v>45859</v>
      </c>
      <c r="W1191" s="27" t="s">
        <v>250</v>
      </c>
      <c r="X1191" s="27"/>
      <c r="Y1191" s="34">
        <f t="shared" ca="1" si="46"/>
        <v>46290</v>
      </c>
      <c r="Z1191" s="35">
        <f t="shared" ca="1" si="43"/>
        <v>-431</v>
      </c>
      <c r="AA1191" s="27">
        <f t="shared" si="44"/>
        <v>7</v>
      </c>
      <c r="AB1191" s="27">
        <f t="shared" si="45"/>
        <v>2025</v>
      </c>
      <c r="AC1191" s="28"/>
      <c r="AD1191" s="28" t="s">
        <v>5224</v>
      </c>
      <c r="AE1191" s="27">
        <v>4500023033</v>
      </c>
      <c r="AF1191" s="27" t="s">
        <v>333</v>
      </c>
      <c r="AG1191" s="29" t="s">
        <v>5225</v>
      </c>
      <c r="AH1191" s="28"/>
      <c r="AI1191" s="27"/>
      <c r="AJ1191" s="27"/>
      <c r="AK1191" s="27"/>
      <c r="AL1191" s="27"/>
      <c r="AM1191" s="27"/>
      <c r="AN1191" s="27"/>
      <c r="AO1191" s="27"/>
      <c r="AP1191" s="27" t="s">
        <v>5226</v>
      </c>
      <c r="AQ1191" s="27"/>
      <c r="AR1191" s="504"/>
      <c r="AS1191" s="332"/>
      <c r="AT1191" s="160"/>
    </row>
    <row r="1192" spans="1:46" ht="21.75" hidden="1" customHeight="1">
      <c r="A1192" s="331">
        <v>1191</v>
      </c>
      <c r="B1192" s="28" t="s">
        <v>146</v>
      </c>
      <c r="C1192" s="28" t="s">
        <v>1274</v>
      </c>
      <c r="D1192" s="438" t="s">
        <v>3035</v>
      </c>
      <c r="E1192" s="361" t="str">
        <f t="shared" ca="1" si="42"/>
        <v>LOSS</v>
      </c>
      <c r="F1192" s="36" t="s">
        <v>115</v>
      </c>
      <c r="G1192" s="28" t="s">
        <v>5203</v>
      </c>
      <c r="H1192" s="29" t="s">
        <v>2748</v>
      </c>
      <c r="I1192" s="29" t="s">
        <v>346</v>
      </c>
      <c r="J1192" s="28" t="s">
        <v>149</v>
      </c>
      <c r="K1192" s="28"/>
      <c r="L1192" s="27"/>
      <c r="M1192" s="27"/>
      <c r="N1192" s="29"/>
      <c r="O1192" s="56"/>
      <c r="P1192" s="31"/>
      <c r="Q1192" s="31"/>
      <c r="R1192" s="27"/>
      <c r="S1192" s="32">
        <v>7500000</v>
      </c>
      <c r="T1192" s="33"/>
      <c r="U1192" s="334">
        <v>45123</v>
      </c>
      <c r="V1192" s="334">
        <v>45488</v>
      </c>
      <c r="W1192" s="27" t="s">
        <v>250</v>
      </c>
      <c r="X1192" s="27"/>
      <c r="Y1192" s="34">
        <f t="shared" ca="1" si="46"/>
        <v>46290</v>
      </c>
      <c r="Z1192" s="35">
        <f t="shared" ca="1" si="43"/>
        <v>-802</v>
      </c>
      <c r="AA1192" s="27">
        <f t="shared" si="44"/>
        <v>7</v>
      </c>
      <c r="AB1192" s="27">
        <f t="shared" si="45"/>
        <v>2024</v>
      </c>
      <c r="AC1192" s="28" t="s">
        <v>5227</v>
      </c>
      <c r="AD1192" s="28" t="s">
        <v>5228</v>
      </c>
      <c r="AE1192" s="27">
        <v>4500020785</v>
      </c>
      <c r="AF1192" s="27" t="s">
        <v>333</v>
      </c>
      <c r="AG1192" s="29" t="s">
        <v>5206</v>
      </c>
      <c r="AH1192" s="28" t="s">
        <v>3040</v>
      </c>
      <c r="AI1192" s="27"/>
      <c r="AJ1192" s="27"/>
      <c r="AK1192" s="27" t="s">
        <v>5229</v>
      </c>
      <c r="AL1192" s="27" t="s">
        <v>5230</v>
      </c>
      <c r="AM1192" s="27" t="s">
        <v>5231</v>
      </c>
      <c r="AN1192" s="27" t="s">
        <v>5232</v>
      </c>
      <c r="AO1192" s="27" t="s">
        <v>5222</v>
      </c>
      <c r="AP1192" s="27"/>
      <c r="AQ1192" s="27"/>
      <c r="AR1192" s="504"/>
      <c r="AS1192" s="332" t="s">
        <v>5233</v>
      </c>
      <c r="AT1192" s="160"/>
    </row>
    <row r="1193" spans="1:46" ht="21.75" hidden="1" customHeight="1">
      <c r="A1193" s="331">
        <v>1192</v>
      </c>
      <c r="B1193" s="28" t="s">
        <v>146</v>
      </c>
      <c r="C1193" s="28" t="s">
        <v>1274</v>
      </c>
      <c r="D1193" s="437" t="s">
        <v>3035</v>
      </c>
      <c r="E1193" s="361" t="str">
        <f t="shared" ca="1" si="42"/>
        <v>LOSS</v>
      </c>
      <c r="F1193" s="36"/>
      <c r="G1193" s="28" t="s">
        <v>5203</v>
      </c>
      <c r="H1193" s="29" t="s">
        <v>2748</v>
      </c>
      <c r="I1193" s="29" t="s">
        <v>346</v>
      </c>
      <c r="J1193" s="28" t="s">
        <v>149</v>
      </c>
      <c r="K1193" s="28"/>
      <c r="L1193" s="27"/>
      <c r="M1193" s="27"/>
      <c r="N1193" s="29"/>
      <c r="O1193" s="56"/>
      <c r="P1193" s="31"/>
      <c r="Q1193" s="31"/>
      <c r="R1193" s="27"/>
      <c r="S1193" s="32">
        <v>7500000</v>
      </c>
      <c r="T1193" s="33"/>
      <c r="U1193" s="334">
        <v>45489</v>
      </c>
      <c r="V1193" s="334">
        <v>45853</v>
      </c>
      <c r="W1193" s="27" t="s">
        <v>250</v>
      </c>
      <c r="X1193" s="27"/>
      <c r="Y1193" s="34">
        <f t="shared" ca="1" si="46"/>
        <v>46290</v>
      </c>
      <c r="Z1193" s="35">
        <f t="shared" ca="1" si="43"/>
        <v>-437</v>
      </c>
      <c r="AA1193" s="27">
        <f t="shared" si="44"/>
        <v>7</v>
      </c>
      <c r="AB1193" s="27">
        <f t="shared" si="45"/>
        <v>2025</v>
      </c>
      <c r="AC1193" s="28"/>
      <c r="AD1193" s="28" t="s">
        <v>5234</v>
      </c>
      <c r="AE1193" s="27">
        <v>4500023032</v>
      </c>
      <c r="AF1193" s="27" t="s">
        <v>333</v>
      </c>
      <c r="AG1193" s="29" t="s">
        <v>5225</v>
      </c>
      <c r="AH1193" s="28"/>
      <c r="AI1193" s="27"/>
      <c r="AJ1193" s="27"/>
      <c r="AK1193" s="27"/>
      <c r="AL1193" s="27"/>
      <c r="AM1193" s="27"/>
      <c r="AN1193" s="27"/>
      <c r="AO1193" s="27"/>
      <c r="AP1193" s="27" t="s">
        <v>5235</v>
      </c>
      <c r="AQ1193" s="27"/>
      <c r="AR1193" s="504"/>
      <c r="AS1193" s="332"/>
      <c r="AT1193" s="160"/>
    </row>
    <row r="1194" spans="1:46" ht="21.75" hidden="1" customHeight="1">
      <c r="A1194" s="331">
        <v>1193</v>
      </c>
      <c r="B1194" s="28" t="s">
        <v>146</v>
      </c>
      <c r="C1194" s="28" t="s">
        <v>2610</v>
      </c>
      <c r="D1194" s="438" t="s">
        <v>5202</v>
      </c>
      <c r="E1194" s="361" t="str">
        <f t="shared" ca="1" si="42"/>
        <v>LOSS</v>
      </c>
      <c r="F1194" s="36" t="s">
        <v>115</v>
      </c>
      <c r="G1194" s="28" t="s">
        <v>5236</v>
      </c>
      <c r="H1194" s="29" t="s">
        <v>2748</v>
      </c>
      <c r="I1194" s="29" t="s">
        <v>346</v>
      </c>
      <c r="J1194" s="28" t="s">
        <v>5237</v>
      </c>
      <c r="K1194" s="28"/>
      <c r="L1194" s="27"/>
      <c r="M1194" s="27"/>
      <c r="N1194" s="29"/>
      <c r="O1194" s="56"/>
      <c r="P1194" s="31">
        <v>22202760</v>
      </c>
      <c r="Q1194" s="31"/>
      <c r="R1194" s="27"/>
      <c r="S1194" s="32">
        <v>5000000</v>
      </c>
      <c r="T1194" s="33"/>
      <c r="U1194" s="334">
        <v>45261</v>
      </c>
      <c r="V1194" s="334">
        <v>45626</v>
      </c>
      <c r="W1194" s="27" t="s">
        <v>250</v>
      </c>
      <c r="X1194" s="27"/>
      <c r="Y1194" s="34">
        <f t="shared" ca="1" si="46"/>
        <v>46290</v>
      </c>
      <c r="Z1194" s="35">
        <f t="shared" ca="1" si="43"/>
        <v>-664</v>
      </c>
      <c r="AA1194" s="27">
        <f t="shared" si="44"/>
        <v>11</v>
      </c>
      <c r="AB1194" s="27">
        <f t="shared" si="45"/>
        <v>2024</v>
      </c>
      <c r="AC1194" s="28" t="s">
        <v>5238</v>
      </c>
      <c r="AD1194" s="28" t="s">
        <v>5239</v>
      </c>
      <c r="AE1194" s="27">
        <v>4500021821</v>
      </c>
      <c r="AF1194" s="27" t="s">
        <v>339</v>
      </c>
      <c r="AG1194" s="29" t="s">
        <v>5206</v>
      </c>
      <c r="AH1194" s="28" t="s">
        <v>5207</v>
      </c>
      <c r="AI1194" s="27"/>
      <c r="AJ1194" s="27" t="s">
        <v>5240</v>
      </c>
      <c r="AK1194" s="27" t="s">
        <v>5241</v>
      </c>
      <c r="AL1194" s="27" t="s">
        <v>5242</v>
      </c>
      <c r="AM1194" s="27" t="s">
        <v>5243</v>
      </c>
      <c r="AN1194" s="27" t="s">
        <v>5244</v>
      </c>
      <c r="AO1194" s="27" t="s">
        <v>5245</v>
      </c>
      <c r="AP1194" s="27"/>
      <c r="AQ1194" s="27"/>
      <c r="AR1194" s="504"/>
      <c r="AS1194" s="332" t="s">
        <v>5246</v>
      </c>
      <c r="AT1194" s="160"/>
    </row>
    <row r="1195" spans="1:46" ht="21.75" hidden="1" customHeight="1">
      <c r="A1195" s="331">
        <v>1194</v>
      </c>
      <c r="B1195" s="28" t="s">
        <v>146</v>
      </c>
      <c r="C1195" s="28" t="s">
        <v>5247</v>
      </c>
      <c r="D1195" s="437" t="s">
        <v>5202</v>
      </c>
      <c r="E1195" s="361" t="str">
        <f t="shared" ca="1" si="42"/>
        <v>LOSS</v>
      </c>
      <c r="F1195" s="29" t="s">
        <v>5248</v>
      </c>
      <c r="G1195" s="28" t="s">
        <v>5249</v>
      </c>
      <c r="H1195" s="29" t="s">
        <v>2748</v>
      </c>
      <c r="I1195" s="29" t="s">
        <v>346</v>
      </c>
      <c r="J1195" s="28" t="s">
        <v>1795</v>
      </c>
      <c r="K1195" s="28"/>
      <c r="L1195" s="27"/>
      <c r="M1195" s="27"/>
      <c r="N1195" s="29"/>
      <c r="O1195" s="56"/>
      <c r="P1195" s="31">
        <v>94800000</v>
      </c>
      <c r="Q1195" s="31"/>
      <c r="R1195" s="27"/>
      <c r="S1195" s="32">
        <v>5000000</v>
      </c>
      <c r="T1195" s="33"/>
      <c r="U1195" s="334">
        <v>44764</v>
      </c>
      <c r="V1195" s="334">
        <v>45128</v>
      </c>
      <c r="W1195" s="27" t="s">
        <v>245</v>
      </c>
      <c r="X1195" s="27"/>
      <c r="Y1195" s="34">
        <f t="shared" ca="1" si="46"/>
        <v>46290</v>
      </c>
      <c r="Z1195" s="35">
        <f t="shared" ca="1" si="43"/>
        <v>-1162</v>
      </c>
      <c r="AA1195" s="27">
        <f t="shared" si="44"/>
        <v>7</v>
      </c>
      <c r="AB1195" s="27">
        <f t="shared" si="45"/>
        <v>2023</v>
      </c>
      <c r="AC1195" s="28" t="s">
        <v>5250</v>
      </c>
      <c r="AD1195" s="28" t="s">
        <v>2010</v>
      </c>
      <c r="AE1195" s="27">
        <v>4500018465</v>
      </c>
      <c r="AF1195" s="27" t="s">
        <v>339</v>
      </c>
      <c r="AG1195" s="29" t="s">
        <v>5206</v>
      </c>
      <c r="AH1195" s="28" t="s">
        <v>5207</v>
      </c>
      <c r="AI1195" s="27"/>
      <c r="AJ1195" s="27" t="s">
        <v>5251</v>
      </c>
      <c r="AK1195" s="27" t="s">
        <v>5252</v>
      </c>
      <c r="AL1195" s="27"/>
      <c r="AM1195" s="27" t="s">
        <v>5253</v>
      </c>
      <c r="AN1195" s="27" t="s">
        <v>5254</v>
      </c>
      <c r="AO1195" s="27"/>
      <c r="AP1195" s="27"/>
      <c r="AQ1195" s="27"/>
      <c r="AR1195" s="504"/>
      <c r="AS1195" s="332" t="s">
        <v>5246</v>
      </c>
      <c r="AT1195" s="160"/>
    </row>
    <row r="1196" spans="1:46" ht="21.75" hidden="1" customHeight="1">
      <c r="A1196" s="331">
        <v>1195</v>
      </c>
      <c r="B1196" s="28" t="s">
        <v>146</v>
      </c>
      <c r="C1196" s="28" t="s">
        <v>1274</v>
      </c>
      <c r="D1196" s="438" t="s">
        <v>3035</v>
      </c>
      <c r="E1196" s="361" t="str">
        <f t="shared" ca="1" si="42"/>
        <v>LOSS</v>
      </c>
      <c r="F1196" s="36" t="s">
        <v>115</v>
      </c>
      <c r="G1196" s="28" t="s">
        <v>5255</v>
      </c>
      <c r="H1196" s="29" t="s">
        <v>2748</v>
      </c>
      <c r="I1196" s="29" t="s">
        <v>346</v>
      </c>
      <c r="J1196" s="28" t="s">
        <v>150</v>
      </c>
      <c r="K1196" s="28"/>
      <c r="L1196" s="27"/>
      <c r="M1196" s="27"/>
      <c r="N1196" s="29"/>
      <c r="O1196" s="56"/>
      <c r="P1196" s="43" t="s">
        <v>115</v>
      </c>
      <c r="Q1196" s="43"/>
      <c r="R1196" s="27"/>
      <c r="S1196" s="32">
        <v>30000000</v>
      </c>
      <c r="T1196" s="33"/>
      <c r="U1196" s="334">
        <v>44928</v>
      </c>
      <c r="V1196" s="334">
        <v>45292</v>
      </c>
      <c r="W1196" s="27" t="s">
        <v>250</v>
      </c>
      <c r="X1196" s="27"/>
      <c r="Y1196" s="34">
        <f t="shared" ca="1" si="46"/>
        <v>46290</v>
      </c>
      <c r="Z1196" s="35">
        <f t="shared" ca="1" si="43"/>
        <v>-998</v>
      </c>
      <c r="AA1196" s="27">
        <f t="shared" si="44"/>
        <v>1</v>
      </c>
      <c r="AB1196" s="27">
        <f t="shared" si="45"/>
        <v>2024</v>
      </c>
      <c r="AC1196" s="28" t="s">
        <v>479</v>
      </c>
      <c r="AD1196" s="28" t="s">
        <v>5256</v>
      </c>
      <c r="AE1196" s="27">
        <v>4500019844</v>
      </c>
      <c r="AF1196" s="27" t="s">
        <v>339</v>
      </c>
      <c r="AG1196" s="29" t="s">
        <v>5206</v>
      </c>
      <c r="AH1196" s="28" t="s">
        <v>3040</v>
      </c>
      <c r="AI1196" s="27"/>
      <c r="AJ1196" s="27"/>
      <c r="AK1196" s="27"/>
      <c r="AL1196" s="27"/>
      <c r="AM1196" s="27"/>
      <c r="AN1196" s="27"/>
      <c r="AO1196" s="27" t="s">
        <v>5257</v>
      </c>
      <c r="AP1196" s="27"/>
      <c r="AQ1196" s="27"/>
      <c r="AR1196" s="504"/>
      <c r="AS1196" s="332"/>
      <c r="AT1196" s="160"/>
    </row>
    <row r="1197" spans="1:46" ht="21.75" hidden="1" customHeight="1">
      <c r="A1197" s="331">
        <v>1196</v>
      </c>
      <c r="B1197" s="28" t="s">
        <v>146</v>
      </c>
      <c r="C1197" s="28" t="s">
        <v>1274</v>
      </c>
      <c r="D1197" s="437" t="s">
        <v>3035</v>
      </c>
      <c r="E1197" s="361" t="str">
        <f t="shared" ca="1" si="42"/>
        <v>LOSS</v>
      </c>
      <c r="F1197" s="36"/>
      <c r="G1197" s="28" t="s">
        <v>5255</v>
      </c>
      <c r="H1197" s="29" t="s">
        <v>2748</v>
      </c>
      <c r="I1197" s="29" t="s">
        <v>346</v>
      </c>
      <c r="J1197" s="28" t="s">
        <v>150</v>
      </c>
      <c r="K1197" s="28"/>
      <c r="L1197" s="27"/>
      <c r="M1197" s="27"/>
      <c r="N1197" s="29"/>
      <c r="O1197" s="56"/>
      <c r="P1197" s="43"/>
      <c r="Q1197" s="43"/>
      <c r="R1197" s="27"/>
      <c r="S1197" s="32">
        <v>30000000</v>
      </c>
      <c r="T1197" s="33"/>
      <c r="U1197" s="334">
        <v>45293</v>
      </c>
      <c r="V1197" s="334">
        <v>45658</v>
      </c>
      <c r="W1197" s="27" t="s">
        <v>250</v>
      </c>
      <c r="X1197" s="27"/>
      <c r="Y1197" s="34">
        <f t="shared" ca="1" si="46"/>
        <v>46290</v>
      </c>
      <c r="Z1197" s="35">
        <f t="shared" ca="1" si="43"/>
        <v>-632</v>
      </c>
      <c r="AA1197" s="27">
        <f t="shared" si="44"/>
        <v>1</v>
      </c>
      <c r="AB1197" s="27">
        <f t="shared" si="45"/>
        <v>2025</v>
      </c>
      <c r="AC1197" s="28"/>
      <c r="AD1197" s="28" t="s">
        <v>5258</v>
      </c>
      <c r="AE1197" s="27">
        <v>4500023125</v>
      </c>
      <c r="AF1197" s="27" t="s">
        <v>333</v>
      </c>
      <c r="AG1197" s="29" t="s">
        <v>5225</v>
      </c>
      <c r="AH1197" s="28"/>
      <c r="AI1197" s="27"/>
      <c r="AJ1197" s="27"/>
      <c r="AK1197" s="27"/>
      <c r="AL1197" s="27"/>
      <c r="AM1197" s="27"/>
      <c r="AN1197" s="27"/>
      <c r="AO1197" s="27"/>
      <c r="AP1197" s="27" t="s">
        <v>5259</v>
      </c>
      <c r="AQ1197" s="27"/>
      <c r="AR1197" s="504"/>
      <c r="AS1197" s="332"/>
      <c r="AT1197" s="160"/>
    </row>
    <row r="1198" spans="1:46" ht="21.75" hidden="1" customHeight="1">
      <c r="A1198" s="331">
        <v>1197</v>
      </c>
      <c r="B1198" s="28" t="s">
        <v>146</v>
      </c>
      <c r="C1198" s="28" t="s">
        <v>1274</v>
      </c>
      <c r="D1198" s="438" t="s">
        <v>3035</v>
      </c>
      <c r="E1198" s="361" t="str">
        <f t="shared" ca="1" si="42"/>
        <v>LOSS</v>
      </c>
      <c r="F1198" s="36" t="s">
        <v>115</v>
      </c>
      <c r="G1198" s="28" t="s">
        <v>5260</v>
      </c>
      <c r="H1198" s="29" t="s">
        <v>2748</v>
      </c>
      <c r="I1198" s="160" t="s">
        <v>346</v>
      </c>
      <c r="J1198" s="28" t="s">
        <v>5261</v>
      </c>
      <c r="K1198" s="28"/>
      <c r="L1198" s="27"/>
      <c r="M1198" s="27"/>
      <c r="N1198" s="29"/>
      <c r="O1198" s="56"/>
      <c r="P1198" s="43" t="s">
        <v>115</v>
      </c>
      <c r="Q1198" s="43"/>
      <c r="R1198" s="27"/>
      <c r="S1198" s="32">
        <v>5000000</v>
      </c>
      <c r="T1198" s="33"/>
      <c r="U1198" s="334">
        <v>45561</v>
      </c>
      <c r="V1198" s="334">
        <v>45925</v>
      </c>
      <c r="W1198" s="27" t="s">
        <v>250</v>
      </c>
      <c r="X1198" s="27"/>
      <c r="Y1198" s="34">
        <f t="shared" ca="1" si="46"/>
        <v>46290</v>
      </c>
      <c r="Z1198" s="35">
        <f t="shared" ca="1" si="43"/>
        <v>-365</v>
      </c>
      <c r="AA1198" s="27">
        <f t="shared" si="44"/>
        <v>9</v>
      </c>
      <c r="AB1198" s="27">
        <f t="shared" si="45"/>
        <v>2025</v>
      </c>
      <c r="AC1198" s="28" t="s">
        <v>5262</v>
      </c>
      <c r="AD1198" s="28" t="s">
        <v>5263</v>
      </c>
      <c r="AE1198" s="27">
        <v>4500023542</v>
      </c>
      <c r="AF1198" s="27" t="s">
        <v>333</v>
      </c>
      <c r="AG1198" s="29" t="s">
        <v>5206</v>
      </c>
      <c r="AH1198" s="28" t="s">
        <v>3040</v>
      </c>
      <c r="AI1198" s="27"/>
      <c r="AJ1198" s="27"/>
      <c r="AK1198" s="27"/>
      <c r="AL1198" s="27"/>
      <c r="AM1198" s="27"/>
      <c r="AN1198" s="27" t="s">
        <v>5264</v>
      </c>
      <c r="AO1198" s="27" t="s">
        <v>5265</v>
      </c>
      <c r="AP1198" s="27" t="s">
        <v>5266</v>
      </c>
      <c r="AQ1198" s="27"/>
      <c r="AR1198" s="504"/>
      <c r="AS1198" s="332" t="s">
        <v>5267</v>
      </c>
      <c r="AT1198" s="160"/>
    </row>
    <row r="1199" spans="1:46" ht="21.75" hidden="1" customHeight="1">
      <c r="A1199" s="331">
        <v>1198</v>
      </c>
      <c r="B1199" s="28" t="s">
        <v>5268</v>
      </c>
      <c r="C1199" s="28" t="s">
        <v>5269</v>
      </c>
      <c r="D1199" s="444" t="s">
        <v>5270</v>
      </c>
      <c r="E1199" s="361" t="str">
        <f t="shared" ca="1" si="42"/>
        <v>LOSS</v>
      </c>
      <c r="F1199" s="29"/>
      <c r="G1199" s="28" t="s">
        <v>5271</v>
      </c>
      <c r="H1199" s="29" t="s">
        <v>2748</v>
      </c>
      <c r="I1199" s="29" t="s">
        <v>346</v>
      </c>
      <c r="J1199" s="28" t="s">
        <v>5272</v>
      </c>
      <c r="K1199" s="28"/>
      <c r="L1199" s="27"/>
      <c r="M1199" s="27"/>
      <c r="N1199" s="29"/>
      <c r="O1199" s="56"/>
      <c r="P1199" s="31">
        <v>1668963600</v>
      </c>
      <c r="Q1199" s="31"/>
      <c r="R1199" s="27"/>
      <c r="S1199" s="32">
        <v>105010000</v>
      </c>
      <c r="T1199" s="33"/>
      <c r="U1199" s="334">
        <v>45136</v>
      </c>
      <c r="V1199" s="334">
        <v>45501</v>
      </c>
      <c r="W1199" s="27" t="s">
        <v>250</v>
      </c>
      <c r="X1199" s="27"/>
      <c r="Y1199" s="34">
        <f t="shared" ca="1" si="46"/>
        <v>46290</v>
      </c>
      <c r="Z1199" s="35">
        <f t="shared" ca="1" si="43"/>
        <v>-789</v>
      </c>
      <c r="AA1199" s="27">
        <f t="shared" si="44"/>
        <v>7</v>
      </c>
      <c r="AB1199" s="27">
        <f t="shared" si="45"/>
        <v>2024</v>
      </c>
      <c r="AC1199" s="28" t="s">
        <v>479</v>
      </c>
      <c r="AD1199" s="28" t="s">
        <v>2564</v>
      </c>
      <c r="AE1199" s="27">
        <v>4500017709</v>
      </c>
      <c r="AF1199" s="27" t="s">
        <v>339</v>
      </c>
      <c r="AG1199" s="29"/>
      <c r="AH1199" s="28"/>
      <c r="AI1199" s="27"/>
      <c r="AJ1199" s="27"/>
      <c r="AK1199" s="27"/>
      <c r="AL1199" s="27"/>
      <c r="AM1199" s="27"/>
      <c r="AN1199" s="27" t="s">
        <v>5273</v>
      </c>
      <c r="AO1199" s="27"/>
      <c r="AP1199" s="27"/>
      <c r="AQ1199" s="27"/>
      <c r="AR1199" s="504"/>
      <c r="AS1199" s="332" t="s">
        <v>5274</v>
      </c>
      <c r="AT1199" s="160"/>
    </row>
    <row r="1200" spans="1:46" ht="21.75" hidden="1" customHeight="1">
      <c r="A1200" s="331">
        <v>1199</v>
      </c>
      <c r="B1200" s="28" t="s">
        <v>5275</v>
      </c>
      <c r="C1200" s="28" t="s">
        <v>5276</v>
      </c>
      <c r="D1200" s="443" t="s">
        <v>3023</v>
      </c>
      <c r="E1200" s="361" t="str">
        <f t="shared" ca="1" si="42"/>
        <v>LOSS</v>
      </c>
      <c r="F1200" s="29"/>
      <c r="G1200" s="40" t="s">
        <v>5277</v>
      </c>
      <c r="H1200" s="29" t="s">
        <v>2748</v>
      </c>
      <c r="I1200" s="29" t="s">
        <v>346</v>
      </c>
      <c r="J1200" s="28" t="s">
        <v>5278</v>
      </c>
      <c r="K1200" s="28"/>
      <c r="L1200" s="27"/>
      <c r="M1200" s="27"/>
      <c r="N1200" s="29"/>
      <c r="O1200" s="56"/>
      <c r="P1200" s="31">
        <v>86950000</v>
      </c>
      <c r="Q1200" s="31"/>
      <c r="R1200" s="27"/>
      <c r="S1200" s="32">
        <v>36000000</v>
      </c>
      <c r="T1200" s="33"/>
      <c r="U1200" s="334">
        <v>45127</v>
      </c>
      <c r="V1200" s="334">
        <v>45492</v>
      </c>
      <c r="W1200" s="27" t="s">
        <v>250</v>
      </c>
      <c r="X1200" s="27"/>
      <c r="Y1200" s="34">
        <f t="shared" ca="1" si="46"/>
        <v>46290</v>
      </c>
      <c r="Z1200" s="35">
        <f t="shared" ca="1" si="43"/>
        <v>-798</v>
      </c>
      <c r="AA1200" s="27">
        <f t="shared" si="44"/>
        <v>7</v>
      </c>
      <c r="AB1200" s="27">
        <f t="shared" si="45"/>
        <v>2024</v>
      </c>
      <c r="AC1200" s="46" t="s">
        <v>5279</v>
      </c>
      <c r="AD1200" s="46" t="s">
        <v>5280</v>
      </c>
      <c r="AE1200" s="47" t="s">
        <v>5281</v>
      </c>
      <c r="AF1200" s="27" t="s">
        <v>339</v>
      </c>
      <c r="AG1200" s="29" t="s">
        <v>5282</v>
      </c>
      <c r="AH1200" s="28" t="s">
        <v>5283</v>
      </c>
      <c r="AI1200" s="27">
        <v>161</v>
      </c>
      <c r="AJ1200" s="27" t="s">
        <v>3030</v>
      </c>
      <c r="AK1200" s="27" t="s">
        <v>5284</v>
      </c>
      <c r="AL1200" s="27" t="s">
        <v>5285</v>
      </c>
      <c r="AM1200" s="27" t="s">
        <v>5286</v>
      </c>
      <c r="AN1200" s="27" t="s">
        <v>5287</v>
      </c>
      <c r="AO1200" s="27" t="s">
        <v>5288</v>
      </c>
      <c r="AP1200" s="27"/>
      <c r="AQ1200" s="27"/>
      <c r="AR1200" s="504"/>
      <c r="AS1200" s="332" t="s">
        <v>5289</v>
      </c>
      <c r="AT1200" s="160"/>
    </row>
    <row r="1201" spans="1:46" ht="21.75" hidden="1" customHeight="1">
      <c r="A1201" s="331">
        <v>1200</v>
      </c>
      <c r="B1201" s="28" t="s">
        <v>151</v>
      </c>
      <c r="C1201" s="28" t="s">
        <v>5290</v>
      </c>
      <c r="D1201" s="437" t="s">
        <v>878</v>
      </c>
      <c r="E1201" s="361" t="str">
        <f t="shared" ca="1" si="42"/>
        <v>LOSS</v>
      </c>
      <c r="F1201" s="29"/>
      <c r="G1201" s="28" t="s">
        <v>5291</v>
      </c>
      <c r="H1201" s="29" t="s">
        <v>2748</v>
      </c>
      <c r="I1201" s="29" t="s">
        <v>346</v>
      </c>
      <c r="J1201" s="28" t="s">
        <v>5292</v>
      </c>
      <c r="K1201" s="28"/>
      <c r="L1201" s="27"/>
      <c r="M1201" s="27"/>
      <c r="N1201" s="29"/>
      <c r="O1201" s="56"/>
      <c r="P1201" s="31">
        <v>300000000</v>
      </c>
      <c r="Q1201" s="31"/>
      <c r="R1201" s="27"/>
      <c r="S1201" s="32">
        <v>9000000</v>
      </c>
      <c r="T1201" s="33"/>
      <c r="U1201" s="334">
        <v>43525</v>
      </c>
      <c r="V1201" s="334">
        <v>43889</v>
      </c>
      <c r="W1201" s="27" t="s">
        <v>245</v>
      </c>
      <c r="X1201" s="27"/>
      <c r="Y1201" s="34">
        <f t="shared" ca="1" si="46"/>
        <v>46290</v>
      </c>
      <c r="Z1201" s="35">
        <f t="shared" ca="1" si="43"/>
        <v>-2401</v>
      </c>
      <c r="AA1201" s="27">
        <f t="shared" si="44"/>
        <v>2</v>
      </c>
      <c r="AB1201" s="27">
        <f t="shared" si="45"/>
        <v>2020</v>
      </c>
      <c r="AC1201" s="28" t="s">
        <v>5293</v>
      </c>
      <c r="AD1201" s="28" t="s">
        <v>5294</v>
      </c>
      <c r="AE1201" s="27">
        <v>4500012443</v>
      </c>
      <c r="AF1201" s="27" t="s">
        <v>339</v>
      </c>
      <c r="AG1201" s="29" t="s">
        <v>410</v>
      </c>
      <c r="AH1201" s="28" t="s">
        <v>5295</v>
      </c>
      <c r="AI1201" s="27">
        <v>132</v>
      </c>
      <c r="AJ1201" s="27" t="s">
        <v>5296</v>
      </c>
      <c r="AK1201" s="27" t="s">
        <v>5297</v>
      </c>
      <c r="AL1201" s="27"/>
      <c r="AM1201" s="27"/>
      <c r="AN1201" s="27"/>
      <c r="AO1201" s="27"/>
      <c r="AP1201" s="27"/>
      <c r="AQ1201" s="27"/>
      <c r="AR1201" s="504"/>
      <c r="AS1201" s="332"/>
      <c r="AT1201" s="160"/>
    </row>
    <row r="1202" spans="1:46" ht="21.75" hidden="1" customHeight="1">
      <c r="A1202" s="331">
        <v>1201</v>
      </c>
      <c r="B1202" s="28" t="s">
        <v>151</v>
      </c>
      <c r="C1202" s="28" t="s">
        <v>5298</v>
      </c>
      <c r="D1202" s="438" t="s">
        <v>878</v>
      </c>
      <c r="E1202" s="361" t="str">
        <f t="shared" ca="1" si="42"/>
        <v>LOSS</v>
      </c>
      <c r="F1202" s="29"/>
      <c r="G1202" s="28" t="s">
        <v>5299</v>
      </c>
      <c r="H1202" s="29" t="s">
        <v>2748</v>
      </c>
      <c r="I1202" s="29" t="s">
        <v>346</v>
      </c>
      <c r="J1202" s="28" t="s">
        <v>5300</v>
      </c>
      <c r="K1202" s="28"/>
      <c r="L1202" s="27"/>
      <c r="M1202" s="27"/>
      <c r="N1202" s="29"/>
      <c r="O1202" s="56"/>
      <c r="P1202" s="31">
        <v>480000000</v>
      </c>
      <c r="Q1202" s="31"/>
      <c r="R1202" s="27"/>
      <c r="S1202" s="32">
        <v>7000000</v>
      </c>
      <c r="T1202" s="33"/>
      <c r="U1202" s="334">
        <v>44714</v>
      </c>
      <c r="V1202" s="334">
        <v>45078</v>
      </c>
      <c r="W1202" s="27" t="s">
        <v>250</v>
      </c>
      <c r="X1202" s="27"/>
      <c r="Y1202" s="34">
        <f t="shared" ca="1" si="46"/>
        <v>46290</v>
      </c>
      <c r="Z1202" s="35">
        <f t="shared" ca="1" si="43"/>
        <v>-1212</v>
      </c>
      <c r="AA1202" s="27">
        <f t="shared" si="44"/>
        <v>6</v>
      </c>
      <c r="AB1202" s="27">
        <f t="shared" si="45"/>
        <v>2023</v>
      </c>
      <c r="AC1202" s="28" t="s">
        <v>5301</v>
      </c>
      <c r="AD1202" s="28" t="s">
        <v>2323</v>
      </c>
      <c r="AE1202" s="27">
        <v>4500018368</v>
      </c>
      <c r="AF1202" s="27" t="s">
        <v>339</v>
      </c>
      <c r="AG1202" s="29" t="s">
        <v>410</v>
      </c>
      <c r="AH1202" s="28" t="s">
        <v>5295</v>
      </c>
      <c r="AI1202" s="27"/>
      <c r="AJ1202" s="27"/>
      <c r="AK1202" s="27"/>
      <c r="AL1202" s="27" t="s">
        <v>5302</v>
      </c>
      <c r="AM1202" s="27" t="s">
        <v>5303</v>
      </c>
      <c r="AN1202" s="27" t="s">
        <v>5304</v>
      </c>
      <c r="AO1202" s="27"/>
      <c r="AP1202" s="27"/>
      <c r="AQ1202" s="27"/>
      <c r="AR1202" s="504"/>
      <c r="AS1202" s="332" t="s">
        <v>5305</v>
      </c>
      <c r="AT1202" s="160"/>
    </row>
    <row r="1203" spans="1:46" ht="21.75" hidden="1" customHeight="1">
      <c r="A1203" s="331">
        <v>1202</v>
      </c>
      <c r="B1203" s="28" t="s">
        <v>151</v>
      </c>
      <c r="C1203" s="40" t="s">
        <v>5306</v>
      </c>
      <c r="D1203" s="437" t="s">
        <v>878</v>
      </c>
      <c r="E1203" s="361" t="str">
        <f t="shared" ca="1" si="42"/>
        <v>LOSS</v>
      </c>
      <c r="F1203" s="29"/>
      <c r="G1203" s="28" t="s">
        <v>5299</v>
      </c>
      <c r="H1203" s="29" t="s">
        <v>2748</v>
      </c>
      <c r="I1203" s="29" t="s">
        <v>346</v>
      </c>
      <c r="J1203" s="40" t="s">
        <v>5307</v>
      </c>
      <c r="K1203" s="28"/>
      <c r="L1203" s="27"/>
      <c r="M1203" s="27"/>
      <c r="N1203" s="29"/>
      <c r="O1203" s="56"/>
      <c r="P1203" s="31"/>
      <c r="Q1203" s="31"/>
      <c r="R1203" s="27"/>
      <c r="S1203" s="32">
        <v>7000000</v>
      </c>
      <c r="T1203" s="33"/>
      <c r="U1203" s="334">
        <v>45079</v>
      </c>
      <c r="V1203" s="334">
        <v>45809</v>
      </c>
      <c r="W1203" s="27" t="s">
        <v>250</v>
      </c>
      <c r="X1203" s="27"/>
      <c r="Y1203" s="34">
        <f t="shared" ca="1" si="46"/>
        <v>46290</v>
      </c>
      <c r="Z1203" s="35">
        <f t="shared" ca="1" si="43"/>
        <v>-481</v>
      </c>
      <c r="AA1203" s="27">
        <f t="shared" si="44"/>
        <v>6</v>
      </c>
      <c r="AB1203" s="27">
        <f t="shared" si="45"/>
        <v>2025</v>
      </c>
      <c r="AC1203" s="28" t="s">
        <v>2323</v>
      </c>
      <c r="AD1203" s="28" t="s">
        <v>5308</v>
      </c>
      <c r="AE1203" s="27">
        <v>4500023480</v>
      </c>
      <c r="AF1203" s="27" t="s">
        <v>333</v>
      </c>
      <c r="AG1203" s="29" t="s">
        <v>410</v>
      </c>
      <c r="AH1203" s="28" t="s">
        <v>5295</v>
      </c>
      <c r="AI1203" s="27"/>
      <c r="AJ1203" s="27"/>
      <c r="AK1203" s="27"/>
      <c r="AL1203" s="27"/>
      <c r="AM1203" s="27"/>
      <c r="AN1203" s="27"/>
      <c r="AO1203" s="27"/>
      <c r="AP1203" s="27" t="s">
        <v>5309</v>
      </c>
      <c r="AQ1203" s="27"/>
      <c r="AR1203" s="504"/>
      <c r="AS1203" s="332"/>
      <c r="AT1203" s="160"/>
    </row>
    <row r="1204" spans="1:46" ht="21.75" hidden="1" customHeight="1">
      <c r="A1204" s="331">
        <v>1203</v>
      </c>
      <c r="B1204" s="28" t="s">
        <v>151</v>
      </c>
      <c r="C1204" s="28" t="s">
        <v>115</v>
      </c>
      <c r="D1204" s="438" t="s">
        <v>878</v>
      </c>
      <c r="E1204" s="361" t="str">
        <f t="shared" ca="1" si="42"/>
        <v>LOSS</v>
      </c>
      <c r="F1204" s="29"/>
      <c r="G1204" s="28" t="s">
        <v>5299</v>
      </c>
      <c r="H1204" s="29" t="s">
        <v>2748</v>
      </c>
      <c r="I1204" s="29" t="s">
        <v>346</v>
      </c>
      <c r="J1204" s="28" t="s">
        <v>115</v>
      </c>
      <c r="K1204" s="28"/>
      <c r="L1204" s="27"/>
      <c r="M1204" s="27"/>
      <c r="N1204" s="29"/>
      <c r="O1204" s="56"/>
      <c r="P1204" s="43" t="s">
        <v>115</v>
      </c>
      <c r="Q1204" s="43"/>
      <c r="R1204" s="27"/>
      <c r="S1204" s="32">
        <v>17000000</v>
      </c>
      <c r="T1204" s="33"/>
      <c r="U1204" s="334">
        <v>44742</v>
      </c>
      <c r="V1204" s="334">
        <v>45106</v>
      </c>
      <c r="W1204" s="27" t="s">
        <v>250</v>
      </c>
      <c r="X1204" s="27"/>
      <c r="Y1204" s="34">
        <f t="shared" ca="1" si="46"/>
        <v>46290</v>
      </c>
      <c r="Z1204" s="35">
        <f t="shared" ca="1" si="43"/>
        <v>-1184</v>
      </c>
      <c r="AA1204" s="27">
        <f t="shared" si="44"/>
        <v>6</v>
      </c>
      <c r="AB1204" s="27">
        <f t="shared" si="45"/>
        <v>2023</v>
      </c>
      <c r="AC1204" s="28" t="s">
        <v>5310</v>
      </c>
      <c r="AD1204" s="28" t="s">
        <v>2434</v>
      </c>
      <c r="AE1204" s="27">
        <v>4500018369</v>
      </c>
      <c r="AF1204" s="27" t="s">
        <v>339</v>
      </c>
      <c r="AG1204" s="29" t="s">
        <v>410</v>
      </c>
      <c r="AH1204" s="28" t="s">
        <v>5295</v>
      </c>
      <c r="AI1204" s="27"/>
      <c r="AJ1204" s="27"/>
      <c r="AK1204" s="27"/>
      <c r="AL1204" s="27"/>
      <c r="AM1204" s="27" t="s">
        <v>5311</v>
      </c>
      <c r="AN1204" s="27" t="s">
        <v>5312</v>
      </c>
      <c r="AO1204" s="27"/>
      <c r="AP1204" s="27"/>
      <c r="AQ1204" s="27"/>
      <c r="AR1204" s="504"/>
      <c r="AS1204" s="332" t="s">
        <v>115</v>
      </c>
      <c r="AT1204" s="160"/>
    </row>
    <row r="1205" spans="1:46" ht="21.75" hidden="1" customHeight="1">
      <c r="A1205" s="331">
        <v>1204</v>
      </c>
      <c r="B1205" s="28" t="s">
        <v>151</v>
      </c>
      <c r="C1205" s="40" t="s">
        <v>5306</v>
      </c>
      <c r="D1205" s="437" t="s">
        <v>878</v>
      </c>
      <c r="E1205" s="361" t="str">
        <f t="shared" ca="1" si="42"/>
        <v>LOSS</v>
      </c>
      <c r="F1205" s="29"/>
      <c r="G1205" s="28" t="s">
        <v>5299</v>
      </c>
      <c r="H1205" s="29" t="s">
        <v>2748</v>
      </c>
      <c r="I1205" s="29" t="s">
        <v>346</v>
      </c>
      <c r="J1205" s="40" t="s">
        <v>5307</v>
      </c>
      <c r="K1205" s="28"/>
      <c r="L1205" s="27"/>
      <c r="M1205" s="27"/>
      <c r="N1205" s="29"/>
      <c r="O1205" s="56"/>
      <c r="P1205" s="43"/>
      <c r="Q1205" s="43"/>
      <c r="R1205" s="27"/>
      <c r="S1205" s="32">
        <v>17000000</v>
      </c>
      <c r="T1205" s="33"/>
      <c r="U1205" s="334">
        <v>45107</v>
      </c>
      <c r="V1205" s="334">
        <v>45837</v>
      </c>
      <c r="W1205" s="27" t="s">
        <v>250</v>
      </c>
      <c r="X1205" s="27"/>
      <c r="Y1205" s="34">
        <f t="shared" ca="1" si="46"/>
        <v>46290</v>
      </c>
      <c r="Z1205" s="35">
        <f t="shared" ca="1" si="43"/>
        <v>-453</v>
      </c>
      <c r="AA1205" s="27">
        <f t="shared" si="44"/>
        <v>6</v>
      </c>
      <c r="AB1205" s="27">
        <f t="shared" si="45"/>
        <v>2025</v>
      </c>
      <c r="AC1205" s="28" t="s">
        <v>2434</v>
      </c>
      <c r="AD1205" s="28" t="s">
        <v>5313</v>
      </c>
      <c r="AE1205" s="27">
        <v>4500023481</v>
      </c>
      <c r="AF1205" s="27" t="s">
        <v>333</v>
      </c>
      <c r="AG1205" s="29" t="s">
        <v>410</v>
      </c>
      <c r="AH1205" s="28" t="s">
        <v>5295</v>
      </c>
      <c r="AI1205" s="27"/>
      <c r="AJ1205" s="27"/>
      <c r="AK1205" s="27"/>
      <c r="AL1205" s="27"/>
      <c r="AM1205" s="27"/>
      <c r="AN1205" s="27"/>
      <c r="AO1205" s="27"/>
      <c r="AP1205" s="27" t="s">
        <v>5314</v>
      </c>
      <c r="AQ1205" s="27"/>
      <c r="AR1205" s="504"/>
      <c r="AS1205" s="332"/>
      <c r="AT1205" s="160"/>
    </row>
    <row r="1206" spans="1:46" ht="21.75" hidden="1" customHeight="1">
      <c r="A1206" s="331">
        <v>1205</v>
      </c>
      <c r="B1206" s="28" t="s">
        <v>151</v>
      </c>
      <c r="C1206" s="40" t="s">
        <v>5315</v>
      </c>
      <c r="D1206" s="438" t="s">
        <v>402</v>
      </c>
      <c r="E1206" s="361" t="str">
        <f t="shared" ca="1" si="42"/>
        <v>LOSS</v>
      </c>
      <c r="F1206" s="29"/>
      <c r="G1206" s="28" t="s">
        <v>5316</v>
      </c>
      <c r="H1206" s="29" t="s">
        <v>2748</v>
      </c>
      <c r="I1206" s="29" t="s">
        <v>346</v>
      </c>
      <c r="J1206" s="28" t="s">
        <v>5317</v>
      </c>
      <c r="K1206" s="28"/>
      <c r="L1206" s="27"/>
      <c r="M1206" s="27"/>
      <c r="N1206" s="29"/>
      <c r="O1206" s="56"/>
      <c r="P1206" s="31">
        <v>1032000000</v>
      </c>
      <c r="Q1206" s="31"/>
      <c r="R1206" s="27"/>
      <c r="S1206" s="32">
        <v>7500000</v>
      </c>
      <c r="T1206" s="33"/>
      <c r="U1206" s="334">
        <v>45136</v>
      </c>
      <c r="V1206" s="334">
        <v>45501</v>
      </c>
      <c r="W1206" s="27" t="s">
        <v>250</v>
      </c>
      <c r="X1206" s="27"/>
      <c r="Y1206" s="34">
        <f t="shared" ca="1" si="46"/>
        <v>46290</v>
      </c>
      <c r="Z1206" s="35">
        <f t="shared" ca="1" si="43"/>
        <v>-789</v>
      </c>
      <c r="AA1206" s="27">
        <f t="shared" si="44"/>
        <v>7</v>
      </c>
      <c r="AB1206" s="27">
        <f t="shared" si="45"/>
        <v>2024</v>
      </c>
      <c r="AC1206" s="28" t="s">
        <v>5318</v>
      </c>
      <c r="AD1206" s="28" t="s">
        <v>5319</v>
      </c>
      <c r="AE1206" s="27">
        <v>4500020823</v>
      </c>
      <c r="AF1206" s="27" t="s">
        <v>339</v>
      </c>
      <c r="AG1206" s="29" t="s">
        <v>410</v>
      </c>
      <c r="AH1206" s="28" t="s">
        <v>5295</v>
      </c>
      <c r="AI1206" s="27" t="s">
        <v>5320</v>
      </c>
      <c r="AJ1206" s="27" t="s">
        <v>5321</v>
      </c>
      <c r="AK1206" s="27" t="s">
        <v>5322</v>
      </c>
      <c r="AL1206" s="27" t="s">
        <v>5323</v>
      </c>
      <c r="AM1206" s="27" t="s">
        <v>5324</v>
      </c>
      <c r="AN1206" s="27" t="s">
        <v>5325</v>
      </c>
      <c r="AO1206" s="27" t="s">
        <v>5326</v>
      </c>
      <c r="AP1206" s="27"/>
      <c r="AQ1206" s="27"/>
      <c r="AR1206" s="504"/>
      <c r="AS1206" s="332" t="s">
        <v>5327</v>
      </c>
      <c r="AT1206" s="160"/>
    </row>
    <row r="1207" spans="1:46" ht="21.75" hidden="1" customHeight="1">
      <c r="A1207" s="331">
        <v>1206</v>
      </c>
      <c r="B1207" s="28" t="s">
        <v>151</v>
      </c>
      <c r="C1207" s="28" t="s">
        <v>1818</v>
      </c>
      <c r="D1207" s="437" t="s">
        <v>402</v>
      </c>
      <c r="E1207" s="361" t="str">
        <f t="shared" ca="1" si="42"/>
        <v>LOSS</v>
      </c>
      <c r="F1207" s="29"/>
      <c r="G1207" s="28" t="s">
        <v>5316</v>
      </c>
      <c r="H1207" s="29" t="s">
        <v>2748</v>
      </c>
      <c r="I1207" s="160" t="s">
        <v>346</v>
      </c>
      <c r="J1207" s="28" t="s">
        <v>153</v>
      </c>
      <c r="K1207" s="28"/>
      <c r="L1207" s="27"/>
      <c r="M1207" s="27"/>
      <c r="N1207" s="29"/>
      <c r="O1207" s="56"/>
      <c r="P1207" s="31">
        <v>72000000</v>
      </c>
      <c r="Q1207" s="31"/>
      <c r="R1207" s="27"/>
      <c r="S1207" s="32">
        <v>7500000</v>
      </c>
      <c r="T1207" s="33"/>
      <c r="U1207" s="334">
        <v>45502</v>
      </c>
      <c r="V1207" s="334">
        <v>45866</v>
      </c>
      <c r="W1207" s="27" t="s">
        <v>17</v>
      </c>
      <c r="X1207" s="27"/>
      <c r="Y1207" s="34">
        <f t="shared" ca="1" si="46"/>
        <v>46290</v>
      </c>
      <c r="Z1207" s="35">
        <f t="shared" ca="1" si="43"/>
        <v>-424</v>
      </c>
      <c r="AA1207" s="27">
        <f t="shared" si="44"/>
        <v>7</v>
      </c>
      <c r="AB1207" s="27">
        <f t="shared" si="45"/>
        <v>2025</v>
      </c>
      <c r="AC1207" s="28"/>
      <c r="AD1207" s="28" t="s">
        <v>5328</v>
      </c>
      <c r="AE1207" s="27">
        <v>4500023186</v>
      </c>
      <c r="AF1207" s="27" t="s">
        <v>333</v>
      </c>
      <c r="AG1207" s="29" t="s">
        <v>410</v>
      </c>
      <c r="AH1207" s="28" t="s">
        <v>5295</v>
      </c>
      <c r="AI1207" s="27"/>
      <c r="AJ1207" s="27"/>
      <c r="AK1207" s="27"/>
      <c r="AL1207" s="27"/>
      <c r="AM1207" s="27"/>
      <c r="AN1207" s="27"/>
      <c r="AO1207" s="27"/>
      <c r="AP1207" s="27" t="s">
        <v>5329</v>
      </c>
      <c r="AQ1207" s="27"/>
      <c r="AR1207" s="504"/>
      <c r="AS1207" s="332"/>
      <c r="AT1207" s="160"/>
    </row>
    <row r="1208" spans="1:46" ht="21.75" hidden="1" customHeight="1">
      <c r="A1208" s="331">
        <v>1207</v>
      </c>
      <c r="B1208" s="28" t="s">
        <v>151</v>
      </c>
      <c r="C1208" s="40" t="s">
        <v>5330</v>
      </c>
      <c r="D1208" s="438" t="s">
        <v>402</v>
      </c>
      <c r="E1208" s="361" t="str">
        <f t="shared" ca="1" si="42"/>
        <v>LOSS</v>
      </c>
      <c r="F1208" s="29"/>
      <c r="G1208" s="28" t="s">
        <v>5316</v>
      </c>
      <c r="H1208" s="29" t="s">
        <v>2748</v>
      </c>
      <c r="I1208" s="29" t="s">
        <v>346</v>
      </c>
      <c r="J1208" s="40" t="s">
        <v>152</v>
      </c>
      <c r="K1208" s="28"/>
      <c r="L1208" s="27"/>
      <c r="M1208" s="27"/>
      <c r="N1208" s="29"/>
      <c r="O1208" s="56"/>
      <c r="P1208" s="31">
        <v>1158240000</v>
      </c>
      <c r="Q1208" s="31"/>
      <c r="R1208" s="27"/>
      <c r="S1208" s="32">
        <v>35000000</v>
      </c>
      <c r="T1208" s="33"/>
      <c r="U1208" s="334">
        <v>44709</v>
      </c>
      <c r="V1208" s="334">
        <v>45073</v>
      </c>
      <c r="W1208" s="27" t="s">
        <v>250</v>
      </c>
      <c r="X1208" s="27"/>
      <c r="Y1208" s="34">
        <f t="shared" ca="1" si="46"/>
        <v>46290</v>
      </c>
      <c r="Z1208" s="35">
        <f t="shared" ca="1" si="43"/>
        <v>-1217</v>
      </c>
      <c r="AA1208" s="27">
        <f t="shared" si="44"/>
        <v>5</v>
      </c>
      <c r="AB1208" s="27">
        <f t="shared" si="45"/>
        <v>2023</v>
      </c>
      <c r="AC1208" s="28" t="s">
        <v>5331</v>
      </c>
      <c r="AD1208" s="28" t="s">
        <v>2628</v>
      </c>
      <c r="AE1208" s="27">
        <v>4500018233</v>
      </c>
      <c r="AF1208" s="27" t="s">
        <v>339</v>
      </c>
      <c r="AG1208" s="29" t="s">
        <v>410</v>
      </c>
      <c r="AH1208" s="28" t="s">
        <v>5295</v>
      </c>
      <c r="AI1208" s="27">
        <v>113</v>
      </c>
      <c r="AJ1208" s="27" t="s">
        <v>5332</v>
      </c>
      <c r="AK1208" s="27" t="s">
        <v>5333</v>
      </c>
      <c r="AL1208" s="27" t="s">
        <v>5334</v>
      </c>
      <c r="AM1208" s="27" t="s">
        <v>5335</v>
      </c>
      <c r="AN1208" s="27" t="s">
        <v>5336</v>
      </c>
      <c r="AO1208" s="27"/>
      <c r="AP1208" s="27"/>
      <c r="AQ1208" s="27"/>
      <c r="AR1208" s="504"/>
      <c r="AS1208" s="491" t="s">
        <v>5337</v>
      </c>
      <c r="AT1208" s="160"/>
    </row>
    <row r="1209" spans="1:46" ht="21.75" hidden="1" customHeight="1">
      <c r="A1209" s="331">
        <v>1208</v>
      </c>
      <c r="B1209" s="28" t="s">
        <v>151</v>
      </c>
      <c r="C1209" s="40" t="s">
        <v>5330</v>
      </c>
      <c r="D1209" s="437" t="s">
        <v>402</v>
      </c>
      <c r="E1209" s="361" t="str">
        <f t="shared" ca="1" si="42"/>
        <v>LOSS</v>
      </c>
      <c r="F1209" s="29"/>
      <c r="G1209" s="28" t="s">
        <v>5316</v>
      </c>
      <c r="H1209" s="29" t="s">
        <v>2748</v>
      </c>
      <c r="I1209" s="29" t="s">
        <v>346</v>
      </c>
      <c r="J1209" s="40" t="s">
        <v>152</v>
      </c>
      <c r="K1209" s="28"/>
      <c r="L1209" s="27"/>
      <c r="M1209" s="27"/>
      <c r="N1209" s="29"/>
      <c r="O1209" s="56"/>
      <c r="P1209" s="31">
        <f>11700000*12</f>
        <v>140400000</v>
      </c>
      <c r="Q1209" s="31"/>
      <c r="R1209" s="27"/>
      <c r="S1209" s="32">
        <v>35000000</v>
      </c>
      <c r="T1209" s="33"/>
      <c r="U1209" s="334">
        <v>45074</v>
      </c>
      <c r="V1209" s="334">
        <v>45804</v>
      </c>
      <c r="W1209" s="27" t="s">
        <v>17</v>
      </c>
      <c r="X1209" s="27"/>
      <c r="Y1209" s="34">
        <f t="shared" ca="1" si="46"/>
        <v>46290</v>
      </c>
      <c r="Z1209" s="35">
        <f t="shared" ca="1" si="43"/>
        <v>-486</v>
      </c>
      <c r="AA1209" s="27">
        <f t="shared" si="44"/>
        <v>5</v>
      </c>
      <c r="AB1209" s="27">
        <f t="shared" si="45"/>
        <v>2025</v>
      </c>
      <c r="AC1209" s="28" t="s">
        <v>2628</v>
      </c>
      <c r="AD1209" s="28" t="s">
        <v>5338</v>
      </c>
      <c r="AE1209" s="27">
        <v>4500023381</v>
      </c>
      <c r="AF1209" s="27" t="s">
        <v>333</v>
      </c>
      <c r="AG1209" s="29" t="s">
        <v>410</v>
      </c>
      <c r="AH1209" s="28" t="s">
        <v>5295</v>
      </c>
      <c r="AI1209" s="27"/>
      <c r="AJ1209" s="27"/>
      <c r="AK1209" s="27"/>
      <c r="AL1209" s="27"/>
      <c r="AM1209" s="27"/>
      <c r="AN1209" s="27"/>
      <c r="AO1209" s="27"/>
      <c r="AP1209" s="27" t="s">
        <v>5339</v>
      </c>
      <c r="AQ1209" s="27"/>
      <c r="AR1209" s="504"/>
      <c r="AS1209" s="332"/>
      <c r="AT1209" s="160"/>
    </row>
    <row r="1210" spans="1:46" ht="21.75" hidden="1" customHeight="1">
      <c r="A1210" s="331">
        <v>1209</v>
      </c>
      <c r="B1210" s="28" t="s">
        <v>151</v>
      </c>
      <c r="C1210" s="28" t="s">
        <v>5340</v>
      </c>
      <c r="D1210" s="438" t="s">
        <v>402</v>
      </c>
      <c r="E1210" s="361" t="str">
        <f t="shared" ca="1" si="42"/>
        <v>LOSS</v>
      </c>
      <c r="F1210" s="29"/>
      <c r="G1210" s="28" t="s">
        <v>5316</v>
      </c>
      <c r="H1210" s="29" t="s">
        <v>2748</v>
      </c>
      <c r="I1210" s="29" t="s">
        <v>346</v>
      </c>
      <c r="J1210" s="28" t="s">
        <v>5341</v>
      </c>
      <c r="K1210" s="28"/>
      <c r="L1210" s="27"/>
      <c r="M1210" s="27"/>
      <c r="N1210" s="29"/>
      <c r="O1210" s="56"/>
      <c r="P1210" s="31">
        <v>162000000</v>
      </c>
      <c r="Q1210" s="31"/>
      <c r="R1210" s="27"/>
      <c r="S1210" s="32">
        <v>42500000</v>
      </c>
      <c r="T1210" s="33"/>
      <c r="U1210" s="334">
        <v>44691</v>
      </c>
      <c r="V1210" s="334">
        <v>45055</v>
      </c>
      <c r="W1210" s="27" t="s">
        <v>250</v>
      </c>
      <c r="X1210" s="27"/>
      <c r="Y1210" s="34">
        <f t="shared" ca="1" si="46"/>
        <v>46290</v>
      </c>
      <c r="Z1210" s="35">
        <f t="shared" ca="1" si="43"/>
        <v>-1235</v>
      </c>
      <c r="AA1210" s="27">
        <f t="shared" si="44"/>
        <v>5</v>
      </c>
      <c r="AB1210" s="27">
        <f t="shared" si="45"/>
        <v>2023</v>
      </c>
      <c r="AC1210" s="28" t="s">
        <v>5342</v>
      </c>
      <c r="AD1210" s="28" t="s">
        <v>2355</v>
      </c>
      <c r="AE1210" s="27">
        <v>4500018222</v>
      </c>
      <c r="AF1210" s="27" t="s">
        <v>339</v>
      </c>
      <c r="AG1210" s="29" t="s">
        <v>410</v>
      </c>
      <c r="AH1210" s="28" t="s">
        <v>5295</v>
      </c>
      <c r="AI1210" s="27">
        <v>114</v>
      </c>
      <c r="AJ1210" s="27" t="s">
        <v>5343</v>
      </c>
      <c r="AK1210" s="27" t="s">
        <v>5344</v>
      </c>
      <c r="AL1210" s="27" t="s">
        <v>5345</v>
      </c>
      <c r="AM1210" s="27" t="s">
        <v>5346</v>
      </c>
      <c r="AN1210" s="27" t="s">
        <v>5347</v>
      </c>
      <c r="AO1210" s="27"/>
      <c r="AP1210" s="27"/>
      <c r="AQ1210" s="27"/>
      <c r="AR1210" s="504"/>
      <c r="AS1210" s="332" t="s">
        <v>5348</v>
      </c>
      <c r="AT1210" s="160"/>
    </row>
    <row r="1211" spans="1:46" ht="21.75" hidden="1" customHeight="1">
      <c r="A1211" s="331">
        <v>1210</v>
      </c>
      <c r="B1211" s="28" t="s">
        <v>151</v>
      </c>
      <c r="C1211" s="40" t="s">
        <v>5306</v>
      </c>
      <c r="D1211" s="437" t="s">
        <v>402</v>
      </c>
      <c r="E1211" s="361" t="str">
        <f t="shared" ca="1" si="42"/>
        <v>LOSS</v>
      </c>
      <c r="F1211" s="29"/>
      <c r="G1211" s="28" t="s">
        <v>5316</v>
      </c>
      <c r="H1211" s="29" t="s">
        <v>2748</v>
      </c>
      <c r="I1211" s="29" t="s">
        <v>346</v>
      </c>
      <c r="J1211" s="40" t="s">
        <v>5307</v>
      </c>
      <c r="K1211" s="28"/>
      <c r="L1211" s="27"/>
      <c r="M1211" s="27"/>
      <c r="N1211" s="29"/>
      <c r="O1211" s="56"/>
      <c r="P1211" s="31"/>
      <c r="Q1211" s="31"/>
      <c r="R1211" s="27"/>
      <c r="S1211" s="32">
        <v>42500000</v>
      </c>
      <c r="T1211" s="33"/>
      <c r="U1211" s="334">
        <v>45056</v>
      </c>
      <c r="V1211" s="334">
        <v>45786</v>
      </c>
      <c r="W1211" s="27" t="s">
        <v>250</v>
      </c>
      <c r="X1211" s="27"/>
      <c r="Y1211" s="34">
        <f t="shared" ca="1" si="46"/>
        <v>46290</v>
      </c>
      <c r="Z1211" s="35">
        <f t="shared" ca="1" si="43"/>
        <v>-504</v>
      </c>
      <c r="AA1211" s="27">
        <f t="shared" si="44"/>
        <v>5</v>
      </c>
      <c r="AB1211" s="27">
        <f t="shared" si="45"/>
        <v>2025</v>
      </c>
      <c r="AC1211" s="28" t="s">
        <v>2355</v>
      </c>
      <c r="AD1211" s="28" t="s">
        <v>5349</v>
      </c>
      <c r="AE1211" s="27">
        <v>4500023484</v>
      </c>
      <c r="AF1211" s="27" t="s">
        <v>333</v>
      </c>
      <c r="AG1211" s="29" t="s">
        <v>410</v>
      </c>
      <c r="AH1211" s="28" t="s">
        <v>5295</v>
      </c>
      <c r="AI1211" s="27"/>
      <c r="AJ1211" s="27"/>
      <c r="AK1211" s="27"/>
      <c r="AL1211" s="27"/>
      <c r="AM1211" s="27"/>
      <c r="AN1211" s="27"/>
      <c r="AO1211" s="27"/>
      <c r="AP1211" s="27" t="s">
        <v>5350</v>
      </c>
      <c r="AQ1211" s="27"/>
      <c r="AR1211" s="504"/>
      <c r="AS1211" s="332"/>
      <c r="AT1211" s="160"/>
    </row>
    <row r="1212" spans="1:46" ht="21.75" hidden="1" customHeight="1">
      <c r="A1212" s="331">
        <v>1211</v>
      </c>
      <c r="B1212" s="28" t="s">
        <v>151</v>
      </c>
      <c r="C1212" s="28" t="s">
        <v>5351</v>
      </c>
      <c r="D1212" s="438" t="s">
        <v>402</v>
      </c>
      <c r="E1212" s="361" t="str">
        <f t="shared" ca="1" si="42"/>
        <v>LOSS</v>
      </c>
      <c r="F1212" s="29"/>
      <c r="G1212" s="28" t="s">
        <v>5316</v>
      </c>
      <c r="H1212" s="29" t="s">
        <v>2748</v>
      </c>
      <c r="I1212" s="29" t="s">
        <v>346</v>
      </c>
      <c r="J1212" s="40" t="s">
        <v>5352</v>
      </c>
      <c r="K1212" s="28"/>
      <c r="L1212" s="27"/>
      <c r="M1212" s="27"/>
      <c r="N1212" s="29"/>
      <c r="O1212" s="56"/>
      <c r="P1212" s="31">
        <v>204000000</v>
      </c>
      <c r="Q1212" s="31"/>
      <c r="R1212" s="27"/>
      <c r="S1212" s="32">
        <v>35000000</v>
      </c>
      <c r="T1212" s="33"/>
      <c r="U1212" s="334">
        <v>44796</v>
      </c>
      <c r="V1212" s="334">
        <v>45526</v>
      </c>
      <c r="W1212" s="27" t="s">
        <v>250</v>
      </c>
      <c r="X1212" s="27"/>
      <c r="Y1212" s="34">
        <f t="shared" ca="1" si="46"/>
        <v>46290</v>
      </c>
      <c r="Z1212" s="35">
        <f t="shared" ca="1" si="43"/>
        <v>-764</v>
      </c>
      <c r="AA1212" s="27">
        <f t="shared" si="44"/>
        <v>8</v>
      </c>
      <c r="AB1212" s="27">
        <f t="shared" si="45"/>
        <v>2024</v>
      </c>
      <c r="AC1212" s="28" t="s">
        <v>5353</v>
      </c>
      <c r="AD1212" s="28" t="s">
        <v>5354</v>
      </c>
      <c r="AE1212" s="27">
        <v>4500022456</v>
      </c>
      <c r="AF1212" s="27" t="s">
        <v>339</v>
      </c>
      <c r="AG1212" s="29" t="s">
        <v>410</v>
      </c>
      <c r="AH1212" s="28" t="s">
        <v>5295</v>
      </c>
      <c r="AI1212" s="27" t="s">
        <v>3566</v>
      </c>
      <c r="AJ1212" s="27" t="s">
        <v>5355</v>
      </c>
      <c r="AK1212" s="27" t="s">
        <v>5356</v>
      </c>
      <c r="AL1212" s="27" t="s">
        <v>5357</v>
      </c>
      <c r="AM1212" s="27"/>
      <c r="AN1212" s="27"/>
      <c r="AO1212" s="27" t="s">
        <v>5358</v>
      </c>
      <c r="AP1212" s="27"/>
      <c r="AQ1212" s="27"/>
      <c r="AR1212" s="504"/>
      <c r="AS1212" s="491" t="s">
        <v>5359</v>
      </c>
      <c r="AT1212" s="160"/>
    </row>
    <row r="1213" spans="1:46" ht="21.75" hidden="1" customHeight="1">
      <c r="A1213" s="331">
        <v>1212</v>
      </c>
      <c r="B1213" s="28" t="s">
        <v>151</v>
      </c>
      <c r="C1213" s="28" t="s">
        <v>5351</v>
      </c>
      <c r="D1213" s="437" t="s">
        <v>402</v>
      </c>
      <c r="E1213" s="361" t="str">
        <f t="shared" ca="1" si="42"/>
        <v>LOSS</v>
      </c>
      <c r="F1213" s="29"/>
      <c r="G1213" s="28" t="s">
        <v>5316</v>
      </c>
      <c r="H1213" s="29" t="s">
        <v>2748</v>
      </c>
      <c r="I1213" s="160" t="s">
        <v>346</v>
      </c>
      <c r="J1213" s="40" t="s">
        <v>5360</v>
      </c>
      <c r="K1213" s="28"/>
      <c r="L1213" s="27"/>
      <c r="M1213" s="27"/>
      <c r="N1213" s="29"/>
      <c r="O1213" s="56"/>
      <c r="P1213" s="31">
        <f>12617500*12</f>
        <v>151410000</v>
      </c>
      <c r="Q1213" s="31"/>
      <c r="R1213" s="27"/>
      <c r="S1213" s="32">
        <v>35000000</v>
      </c>
      <c r="T1213" s="33"/>
      <c r="U1213" s="334">
        <v>45527</v>
      </c>
      <c r="V1213" s="334">
        <v>45891</v>
      </c>
      <c r="W1213" s="27" t="s">
        <v>250</v>
      </c>
      <c r="X1213" s="27"/>
      <c r="Y1213" s="34">
        <f t="shared" ca="1" si="46"/>
        <v>46290</v>
      </c>
      <c r="Z1213" s="35">
        <f t="shared" ca="1" si="43"/>
        <v>-399</v>
      </c>
      <c r="AA1213" s="27">
        <f t="shared" si="44"/>
        <v>8</v>
      </c>
      <c r="AB1213" s="27">
        <f t="shared" si="45"/>
        <v>2025</v>
      </c>
      <c r="AC1213" s="28" t="s">
        <v>5354</v>
      </c>
      <c r="AD1213" s="28" t="s">
        <v>5361</v>
      </c>
      <c r="AE1213" s="27">
        <v>4500023486</v>
      </c>
      <c r="AF1213" s="27" t="s">
        <v>333</v>
      </c>
      <c r="AG1213" s="29" t="s">
        <v>410</v>
      </c>
      <c r="AH1213" s="28" t="s">
        <v>5295</v>
      </c>
      <c r="AI1213" s="27"/>
      <c r="AJ1213" s="27"/>
      <c r="AK1213" s="27"/>
      <c r="AL1213" s="27"/>
      <c r="AM1213" s="27"/>
      <c r="AN1213" s="27"/>
      <c r="AO1213" s="27"/>
      <c r="AP1213" s="27" t="s">
        <v>5362</v>
      </c>
      <c r="AQ1213" s="27"/>
      <c r="AR1213" s="504"/>
      <c r="AS1213" s="332"/>
      <c r="AT1213" s="160"/>
    </row>
    <row r="1214" spans="1:46" ht="21.75" hidden="1" customHeight="1">
      <c r="A1214" s="331">
        <v>1213</v>
      </c>
      <c r="B1214" s="28" t="s">
        <v>151</v>
      </c>
      <c r="C1214" s="28" t="s">
        <v>5363</v>
      </c>
      <c r="D1214" s="438" t="s">
        <v>402</v>
      </c>
      <c r="E1214" s="361" t="str">
        <f t="shared" ca="1" si="42"/>
        <v>LOSS</v>
      </c>
      <c r="F1214" s="29"/>
      <c r="G1214" s="28" t="s">
        <v>5316</v>
      </c>
      <c r="H1214" s="29" t="s">
        <v>2748</v>
      </c>
      <c r="I1214" s="29" t="s">
        <v>346</v>
      </c>
      <c r="J1214" s="28" t="s">
        <v>5364</v>
      </c>
      <c r="K1214" s="28"/>
      <c r="L1214" s="27"/>
      <c r="M1214" s="27"/>
      <c r="N1214" s="29"/>
      <c r="O1214" s="56"/>
      <c r="P1214" s="31"/>
      <c r="Q1214" s="31"/>
      <c r="R1214" s="27"/>
      <c r="S1214" s="32">
        <v>17000000</v>
      </c>
      <c r="T1214" s="33"/>
      <c r="U1214" s="334">
        <v>45175</v>
      </c>
      <c r="V1214" s="334">
        <v>45540</v>
      </c>
      <c r="W1214" s="27" t="s">
        <v>250</v>
      </c>
      <c r="X1214" s="27"/>
      <c r="Y1214" s="34">
        <f t="shared" ca="1" si="46"/>
        <v>46290</v>
      </c>
      <c r="Z1214" s="35">
        <f t="shared" ca="1" si="43"/>
        <v>-750</v>
      </c>
      <c r="AA1214" s="27">
        <f t="shared" si="44"/>
        <v>9</v>
      </c>
      <c r="AB1214" s="27">
        <f t="shared" si="45"/>
        <v>2024</v>
      </c>
      <c r="AC1214" s="28" t="s">
        <v>5365</v>
      </c>
      <c r="AD1214" s="28" t="s">
        <v>5366</v>
      </c>
      <c r="AE1214" s="27">
        <v>4500020939</v>
      </c>
      <c r="AF1214" s="27" t="s">
        <v>339</v>
      </c>
      <c r="AG1214" s="29" t="s">
        <v>410</v>
      </c>
      <c r="AH1214" s="28" t="s">
        <v>5295</v>
      </c>
      <c r="AI1214" s="27" t="s">
        <v>5367</v>
      </c>
      <c r="AJ1214" s="27" t="s">
        <v>5368</v>
      </c>
      <c r="AK1214" s="27" t="s">
        <v>5369</v>
      </c>
      <c r="AL1214" s="27" t="s">
        <v>5370</v>
      </c>
      <c r="AM1214" s="27" t="s">
        <v>5371</v>
      </c>
      <c r="AN1214" s="27" t="s">
        <v>5372</v>
      </c>
      <c r="AO1214" s="27" t="s">
        <v>5373</v>
      </c>
      <c r="AP1214" s="27"/>
      <c r="AQ1214" s="27"/>
      <c r="AR1214" s="504"/>
      <c r="AS1214" s="332" t="s">
        <v>5374</v>
      </c>
      <c r="AT1214" s="160"/>
    </row>
    <row r="1215" spans="1:46" ht="21.75" hidden="1" customHeight="1">
      <c r="A1215" s="331">
        <v>1214</v>
      </c>
      <c r="B1215" s="28" t="s">
        <v>151</v>
      </c>
      <c r="C1215" s="40" t="s">
        <v>5375</v>
      </c>
      <c r="D1215" s="437" t="s">
        <v>402</v>
      </c>
      <c r="E1215" s="361" t="str">
        <f t="shared" ca="1" si="42"/>
        <v>LOSS</v>
      </c>
      <c r="F1215" s="29"/>
      <c r="G1215" s="28" t="s">
        <v>5316</v>
      </c>
      <c r="H1215" s="29" t="s">
        <v>2748</v>
      </c>
      <c r="I1215" s="160" t="s">
        <v>346</v>
      </c>
      <c r="J1215" s="28" t="s">
        <v>5376</v>
      </c>
      <c r="K1215" s="28"/>
      <c r="L1215" s="27"/>
      <c r="M1215" s="27"/>
      <c r="N1215" s="29"/>
      <c r="O1215" s="56"/>
      <c r="P1215" s="31">
        <v>2470800000</v>
      </c>
      <c r="Q1215" s="31"/>
      <c r="R1215" s="27"/>
      <c r="S1215" s="32">
        <v>52000000</v>
      </c>
      <c r="T1215" s="33"/>
      <c r="U1215" s="334">
        <v>45173</v>
      </c>
      <c r="V1215" s="334">
        <v>45538</v>
      </c>
      <c r="W1215" s="27" t="s">
        <v>17</v>
      </c>
      <c r="X1215" s="27"/>
      <c r="Y1215" s="34">
        <f t="shared" ca="1" si="46"/>
        <v>46290</v>
      </c>
      <c r="Z1215" s="35">
        <f t="shared" ca="1" si="43"/>
        <v>-752</v>
      </c>
      <c r="AA1215" s="27">
        <f t="shared" si="44"/>
        <v>9</v>
      </c>
      <c r="AB1215" s="27">
        <f t="shared" si="45"/>
        <v>2024</v>
      </c>
      <c r="AC1215" s="28" t="s">
        <v>5377</v>
      </c>
      <c r="AD1215" s="28" t="s">
        <v>5378</v>
      </c>
      <c r="AE1215" s="27">
        <v>4500020824</v>
      </c>
      <c r="AF1215" s="27" t="s">
        <v>339</v>
      </c>
      <c r="AG1215" s="29" t="s">
        <v>410</v>
      </c>
      <c r="AH1215" s="28" t="s">
        <v>5295</v>
      </c>
      <c r="AI1215" s="27" t="s">
        <v>5379</v>
      </c>
      <c r="AJ1215" s="27" t="s">
        <v>5380</v>
      </c>
      <c r="AK1215" s="27" t="s">
        <v>5381</v>
      </c>
      <c r="AL1215" s="27" t="s">
        <v>5382</v>
      </c>
      <c r="AM1215" s="27"/>
      <c r="AN1215" s="27" t="s">
        <v>5383</v>
      </c>
      <c r="AO1215" s="27" t="s">
        <v>5384</v>
      </c>
      <c r="AP1215" s="27"/>
      <c r="AQ1215" s="27"/>
      <c r="AR1215" s="504"/>
      <c r="AS1215" s="332" t="s">
        <v>5385</v>
      </c>
      <c r="AT1215" s="160"/>
    </row>
    <row r="1216" spans="1:46" ht="21.75" hidden="1" customHeight="1">
      <c r="A1216" s="331">
        <v>1215</v>
      </c>
      <c r="B1216" s="28" t="s">
        <v>151</v>
      </c>
      <c r="C1216" s="28" t="s">
        <v>5386</v>
      </c>
      <c r="D1216" s="438" t="s">
        <v>402</v>
      </c>
      <c r="E1216" s="361" t="str">
        <f t="shared" ca="1" si="42"/>
        <v>LOSS</v>
      </c>
      <c r="F1216" s="29"/>
      <c r="G1216" s="28" t="s">
        <v>5316</v>
      </c>
      <c r="H1216" s="29" t="s">
        <v>2748</v>
      </c>
      <c r="I1216" s="160" t="s">
        <v>346</v>
      </c>
      <c r="J1216" s="28" t="s">
        <v>5387</v>
      </c>
      <c r="K1216" s="28"/>
      <c r="L1216" s="27"/>
      <c r="M1216" s="27"/>
      <c r="N1216" s="29"/>
      <c r="O1216" s="56"/>
      <c r="P1216" s="31">
        <v>1092000000</v>
      </c>
      <c r="Q1216" s="31"/>
      <c r="R1216" s="27"/>
      <c r="S1216" s="32">
        <v>35000000</v>
      </c>
      <c r="T1216" s="33"/>
      <c r="U1216" s="334">
        <v>44924</v>
      </c>
      <c r="V1216" s="334">
        <v>45654</v>
      </c>
      <c r="W1216" s="27" t="s">
        <v>17</v>
      </c>
      <c r="X1216" s="27"/>
      <c r="Y1216" s="34">
        <f t="shared" ca="1" si="46"/>
        <v>46290</v>
      </c>
      <c r="Z1216" s="35">
        <f t="shared" ca="1" si="43"/>
        <v>-636</v>
      </c>
      <c r="AA1216" s="27">
        <f t="shared" si="44"/>
        <v>12</v>
      </c>
      <c r="AB1216" s="27">
        <f t="shared" si="45"/>
        <v>2024</v>
      </c>
      <c r="AC1216" s="28" t="s">
        <v>5388</v>
      </c>
      <c r="AD1216" s="28" t="s">
        <v>5389</v>
      </c>
      <c r="AE1216" s="27">
        <v>4500022803</v>
      </c>
      <c r="AF1216" s="27" t="s">
        <v>339</v>
      </c>
      <c r="AG1216" s="29" t="s">
        <v>410</v>
      </c>
      <c r="AH1216" s="28" t="s">
        <v>5295</v>
      </c>
      <c r="AI1216" s="27">
        <v>134</v>
      </c>
      <c r="AJ1216" s="27" t="s">
        <v>5390</v>
      </c>
      <c r="AK1216" s="27" t="s">
        <v>5391</v>
      </c>
      <c r="AL1216" s="27" t="s">
        <v>5392</v>
      </c>
      <c r="AM1216" s="27"/>
      <c r="AN1216" s="27" t="s">
        <v>5393</v>
      </c>
      <c r="AO1216" s="27" t="s">
        <v>5394</v>
      </c>
      <c r="AP1216" s="27"/>
      <c r="AQ1216" s="27"/>
      <c r="AR1216" s="504"/>
      <c r="AS1216" s="332" t="s">
        <v>5395</v>
      </c>
      <c r="AT1216" s="160"/>
    </row>
    <row r="1217" spans="1:46" ht="21.75" hidden="1" customHeight="1">
      <c r="A1217" s="331">
        <v>1216</v>
      </c>
      <c r="B1217" s="28" t="s">
        <v>151</v>
      </c>
      <c r="C1217" s="28" t="s">
        <v>5396</v>
      </c>
      <c r="D1217" s="437" t="s">
        <v>402</v>
      </c>
      <c r="E1217" s="361" t="str">
        <f t="shared" ca="1" si="42"/>
        <v>LOSS</v>
      </c>
      <c r="F1217" s="29"/>
      <c r="G1217" s="28" t="s">
        <v>5316</v>
      </c>
      <c r="H1217" s="29" t="s">
        <v>2748</v>
      </c>
      <c r="I1217" s="160" t="s">
        <v>346</v>
      </c>
      <c r="J1217" s="28" t="s">
        <v>5397</v>
      </c>
      <c r="K1217" s="28"/>
      <c r="L1217" s="27"/>
      <c r="M1217" s="27"/>
      <c r="N1217" s="29"/>
      <c r="O1217" s="56"/>
      <c r="P1217" s="31">
        <v>2337804000</v>
      </c>
      <c r="Q1217" s="31"/>
      <c r="R1217" s="27"/>
      <c r="S1217" s="32">
        <v>7500000</v>
      </c>
      <c r="T1217" s="33"/>
      <c r="U1217" s="334">
        <v>44924</v>
      </c>
      <c r="V1217" s="334">
        <v>45654</v>
      </c>
      <c r="W1217" s="27" t="s">
        <v>17</v>
      </c>
      <c r="X1217" s="27"/>
      <c r="Y1217" s="34">
        <f t="shared" ca="1" si="46"/>
        <v>46290</v>
      </c>
      <c r="Z1217" s="35">
        <f t="shared" ca="1" si="43"/>
        <v>-636</v>
      </c>
      <c r="AA1217" s="27">
        <f t="shared" si="44"/>
        <v>12</v>
      </c>
      <c r="AB1217" s="27">
        <f t="shared" si="45"/>
        <v>2024</v>
      </c>
      <c r="AC1217" s="28" t="s">
        <v>5398</v>
      </c>
      <c r="AD1217" s="28" t="s">
        <v>5399</v>
      </c>
      <c r="AE1217" s="27">
        <v>4500022478</v>
      </c>
      <c r="AF1217" s="27" t="s">
        <v>339</v>
      </c>
      <c r="AG1217" s="29" t="s">
        <v>410</v>
      </c>
      <c r="AH1217" s="28" t="s">
        <v>5295</v>
      </c>
      <c r="AI1217" s="27">
        <v>145</v>
      </c>
      <c r="AJ1217" s="27" t="s">
        <v>5400</v>
      </c>
      <c r="AK1217" s="27" t="s">
        <v>5401</v>
      </c>
      <c r="AL1217" s="27" t="s">
        <v>5401</v>
      </c>
      <c r="AM1217" s="27" t="s">
        <v>5402</v>
      </c>
      <c r="AN1217" s="27" t="s">
        <v>5403</v>
      </c>
      <c r="AO1217" s="27" t="s">
        <v>5404</v>
      </c>
      <c r="AP1217" s="27"/>
      <c r="AQ1217" s="27"/>
      <c r="AR1217" s="504"/>
      <c r="AS1217" s="332" t="s">
        <v>5405</v>
      </c>
      <c r="AT1217" s="160"/>
    </row>
    <row r="1218" spans="1:46" ht="21.75" hidden="1" customHeight="1">
      <c r="A1218" s="331">
        <v>1217</v>
      </c>
      <c r="B1218" s="28" t="s">
        <v>151</v>
      </c>
      <c r="C1218" s="28" t="s">
        <v>5406</v>
      </c>
      <c r="D1218" s="438" t="s">
        <v>402</v>
      </c>
      <c r="E1218" s="361" t="str">
        <f t="shared" ref="E1218:E1281" ca="1" si="47">IF(Z1218&lt;=0, "LOSS",IF(Z1218&lt;=15, "CRITICAL",IF(Z1218&lt;=30, "WARNING",IF(Z1218&lt;60, "ATTENTION", "ON TRACK"))))</f>
        <v>LOSS</v>
      </c>
      <c r="F1218" s="29"/>
      <c r="G1218" s="28" t="s">
        <v>5316</v>
      </c>
      <c r="H1218" s="29" t="s">
        <v>2748</v>
      </c>
      <c r="I1218" s="29" t="s">
        <v>346</v>
      </c>
      <c r="J1218" s="28" t="s">
        <v>5407</v>
      </c>
      <c r="K1218" s="28"/>
      <c r="L1218" s="27"/>
      <c r="M1218" s="27"/>
      <c r="N1218" s="29"/>
      <c r="O1218" s="56"/>
      <c r="P1218" s="31">
        <v>33000000</v>
      </c>
      <c r="Q1218" s="31"/>
      <c r="R1218" s="27"/>
      <c r="S1218" s="32">
        <v>7500000</v>
      </c>
      <c r="T1218" s="33"/>
      <c r="U1218" s="334">
        <v>44582</v>
      </c>
      <c r="V1218" s="334">
        <v>44946</v>
      </c>
      <c r="W1218" s="27" t="s">
        <v>250</v>
      </c>
      <c r="X1218" s="27"/>
      <c r="Y1218" s="34">
        <f t="shared" ca="1" si="46"/>
        <v>46290</v>
      </c>
      <c r="Z1218" s="35">
        <f t="shared" ca="1" si="43"/>
        <v>-1344</v>
      </c>
      <c r="AA1218" s="27">
        <f t="shared" si="44"/>
        <v>1</v>
      </c>
      <c r="AB1218" s="27">
        <f t="shared" si="45"/>
        <v>2023</v>
      </c>
      <c r="AC1218" s="28" t="s">
        <v>5408</v>
      </c>
      <c r="AD1218" s="28" t="s">
        <v>5409</v>
      </c>
      <c r="AE1218" s="27">
        <v>4500017884</v>
      </c>
      <c r="AF1218" s="27" t="s">
        <v>339</v>
      </c>
      <c r="AG1218" s="29" t="s">
        <v>410</v>
      </c>
      <c r="AH1218" s="28" t="s">
        <v>5295</v>
      </c>
      <c r="AI1218" s="29"/>
      <c r="AJ1218" s="27" t="s">
        <v>5410</v>
      </c>
      <c r="AK1218" s="27" t="s">
        <v>5411</v>
      </c>
      <c r="AL1218" s="27" t="s">
        <v>5412</v>
      </c>
      <c r="AM1218" s="27" t="s">
        <v>5413</v>
      </c>
      <c r="AN1218" s="27" t="s">
        <v>5414</v>
      </c>
      <c r="AO1218" s="27"/>
      <c r="AP1218" s="27"/>
      <c r="AQ1218" s="27"/>
      <c r="AR1218" s="504"/>
      <c r="AS1218" s="332" t="s">
        <v>5415</v>
      </c>
      <c r="AT1218" s="160"/>
    </row>
    <row r="1219" spans="1:46" ht="21.75" hidden="1" customHeight="1">
      <c r="A1219" s="331">
        <v>1218</v>
      </c>
      <c r="B1219" s="28" t="s">
        <v>151</v>
      </c>
      <c r="C1219" s="28" t="s">
        <v>5406</v>
      </c>
      <c r="D1219" s="437" t="s">
        <v>402</v>
      </c>
      <c r="E1219" s="361" t="str">
        <f t="shared" ca="1" si="47"/>
        <v>LOSS</v>
      </c>
      <c r="F1219" s="29"/>
      <c r="G1219" s="28" t="s">
        <v>5316</v>
      </c>
      <c r="H1219" s="29" t="s">
        <v>2748</v>
      </c>
      <c r="I1219" s="29" t="s">
        <v>346</v>
      </c>
      <c r="J1219" s="28" t="s">
        <v>5407</v>
      </c>
      <c r="K1219" s="28"/>
      <c r="L1219" s="27"/>
      <c r="M1219" s="27"/>
      <c r="N1219" s="29"/>
      <c r="O1219" s="56"/>
      <c r="P1219" s="31">
        <f>7000000*12</f>
        <v>84000000</v>
      </c>
      <c r="Q1219" s="31"/>
      <c r="R1219" s="27"/>
      <c r="S1219" s="32">
        <v>7500000</v>
      </c>
      <c r="T1219" s="33"/>
      <c r="U1219" s="334">
        <v>44947</v>
      </c>
      <c r="V1219" s="334">
        <v>45677</v>
      </c>
      <c r="W1219" s="27" t="s">
        <v>17</v>
      </c>
      <c r="X1219" s="27"/>
      <c r="Y1219" s="34">
        <f t="shared" ca="1" si="46"/>
        <v>46290</v>
      </c>
      <c r="Z1219" s="35">
        <f t="shared" ca="1" si="43"/>
        <v>-613</v>
      </c>
      <c r="AA1219" s="27">
        <f t="shared" si="44"/>
        <v>1</v>
      </c>
      <c r="AB1219" s="27">
        <f t="shared" si="45"/>
        <v>2025</v>
      </c>
      <c r="AC1219" s="28"/>
      <c r="AD1219" s="28" t="s">
        <v>5416</v>
      </c>
      <c r="AE1219" s="27">
        <v>4500023280</v>
      </c>
      <c r="AF1219" s="27" t="s">
        <v>333</v>
      </c>
      <c r="AG1219" s="29" t="s">
        <v>410</v>
      </c>
      <c r="AH1219" s="28" t="s">
        <v>5417</v>
      </c>
      <c r="AI1219" s="27"/>
      <c r="AJ1219" s="27"/>
      <c r="AK1219" s="27"/>
      <c r="AL1219" s="27"/>
      <c r="AM1219" s="27"/>
      <c r="AN1219" s="27"/>
      <c r="AO1219" s="27"/>
      <c r="AP1219" s="27" t="s">
        <v>5418</v>
      </c>
      <c r="AQ1219" s="27"/>
      <c r="AR1219" s="504"/>
      <c r="AS1219" s="332" t="s">
        <v>5415</v>
      </c>
      <c r="AT1219" s="160"/>
    </row>
    <row r="1220" spans="1:46" ht="21.75" hidden="1" customHeight="1">
      <c r="A1220" s="331">
        <v>1219</v>
      </c>
      <c r="B1220" s="28" t="s">
        <v>151</v>
      </c>
      <c r="C1220" s="28" t="s">
        <v>5406</v>
      </c>
      <c r="D1220" s="438" t="s">
        <v>402</v>
      </c>
      <c r="E1220" s="361" t="str">
        <f t="shared" ca="1" si="47"/>
        <v>LOSS</v>
      </c>
      <c r="F1220" s="29"/>
      <c r="G1220" s="28" t="s">
        <v>5316</v>
      </c>
      <c r="H1220" s="29" t="s">
        <v>2748</v>
      </c>
      <c r="I1220" s="29" t="s">
        <v>346</v>
      </c>
      <c r="J1220" s="28" t="s">
        <v>1395</v>
      </c>
      <c r="K1220" s="28"/>
      <c r="L1220" s="27"/>
      <c r="M1220" s="27"/>
      <c r="N1220" s="29"/>
      <c r="O1220" s="56"/>
      <c r="P1220" s="31">
        <v>84000000</v>
      </c>
      <c r="Q1220" s="31"/>
      <c r="R1220" s="27"/>
      <c r="S1220" s="32">
        <v>7500000</v>
      </c>
      <c r="T1220" s="33"/>
      <c r="U1220" s="334">
        <v>44590</v>
      </c>
      <c r="V1220" s="334">
        <v>44954</v>
      </c>
      <c r="W1220" s="27" t="s">
        <v>250</v>
      </c>
      <c r="X1220" s="27"/>
      <c r="Y1220" s="34">
        <f t="shared" ca="1" si="46"/>
        <v>46290</v>
      </c>
      <c r="Z1220" s="35">
        <f t="shared" ca="1" si="43"/>
        <v>-1336</v>
      </c>
      <c r="AA1220" s="27">
        <f t="shared" si="44"/>
        <v>1</v>
      </c>
      <c r="AB1220" s="27">
        <f t="shared" si="45"/>
        <v>2023</v>
      </c>
      <c r="AC1220" s="28" t="s">
        <v>5419</v>
      </c>
      <c r="AD1220" s="28" t="s">
        <v>5420</v>
      </c>
      <c r="AE1220" s="27">
        <v>4500017885</v>
      </c>
      <c r="AF1220" s="27" t="s">
        <v>339</v>
      </c>
      <c r="AG1220" s="29" t="s">
        <v>410</v>
      </c>
      <c r="AH1220" s="28" t="s">
        <v>5295</v>
      </c>
      <c r="AI1220" s="27"/>
      <c r="AJ1220" s="27" t="s">
        <v>3334</v>
      </c>
      <c r="AK1220" s="27" t="s">
        <v>5421</v>
      </c>
      <c r="AL1220" s="27" t="s">
        <v>5422</v>
      </c>
      <c r="AM1220" s="27" t="s">
        <v>5423</v>
      </c>
      <c r="AN1220" s="27" t="s">
        <v>5424</v>
      </c>
      <c r="AO1220" s="27"/>
      <c r="AP1220" s="27"/>
      <c r="AQ1220" s="27"/>
      <c r="AR1220" s="504"/>
      <c r="AS1220" s="332" t="s">
        <v>5425</v>
      </c>
      <c r="AT1220" s="160"/>
    </row>
    <row r="1221" spans="1:46" ht="21.75" hidden="1" customHeight="1">
      <c r="A1221" s="331">
        <v>1220</v>
      </c>
      <c r="B1221" s="28" t="s">
        <v>151</v>
      </c>
      <c r="C1221" s="28" t="s">
        <v>5406</v>
      </c>
      <c r="D1221" s="437" t="s">
        <v>402</v>
      </c>
      <c r="E1221" s="361" t="str">
        <f t="shared" ca="1" si="47"/>
        <v>LOSS</v>
      </c>
      <c r="F1221" s="29"/>
      <c r="G1221" s="28" t="s">
        <v>5316</v>
      </c>
      <c r="H1221" s="29" t="s">
        <v>2748</v>
      </c>
      <c r="I1221" s="29" t="s">
        <v>346</v>
      </c>
      <c r="J1221" s="28" t="s">
        <v>1395</v>
      </c>
      <c r="K1221" s="28"/>
      <c r="L1221" s="27"/>
      <c r="M1221" s="27"/>
      <c r="N1221" s="29"/>
      <c r="O1221" s="56"/>
      <c r="P1221" s="31">
        <f>7000000*12</f>
        <v>84000000</v>
      </c>
      <c r="Q1221" s="31"/>
      <c r="R1221" s="27"/>
      <c r="S1221" s="32">
        <v>7500000</v>
      </c>
      <c r="T1221" s="33"/>
      <c r="U1221" s="334">
        <v>44955</v>
      </c>
      <c r="V1221" s="334">
        <v>45685</v>
      </c>
      <c r="W1221" s="27" t="s">
        <v>17</v>
      </c>
      <c r="X1221" s="27"/>
      <c r="Y1221" s="34">
        <f t="shared" ca="1" si="46"/>
        <v>46290</v>
      </c>
      <c r="Z1221" s="35">
        <f t="shared" ref="Z1221:Z1284" ca="1" si="48">V1221-Y1221</f>
        <v>-605</v>
      </c>
      <c r="AA1221" s="27">
        <f t="shared" ref="AA1221:AA1284" si="49">MONTH(V1221)</f>
        <v>1</v>
      </c>
      <c r="AB1221" s="27">
        <f t="shared" ref="AB1221:AB1284" si="50">YEAR(V1221)</f>
        <v>2025</v>
      </c>
      <c r="AC1221" s="28"/>
      <c r="AD1221" s="28" t="s">
        <v>5426</v>
      </c>
      <c r="AE1221" s="27">
        <v>4500023281</v>
      </c>
      <c r="AF1221" s="27" t="s">
        <v>333</v>
      </c>
      <c r="AG1221" s="29" t="s">
        <v>410</v>
      </c>
      <c r="AH1221" s="28" t="s">
        <v>5295</v>
      </c>
      <c r="AI1221" s="27"/>
      <c r="AJ1221" s="27"/>
      <c r="AK1221" s="27"/>
      <c r="AL1221" s="27"/>
      <c r="AM1221" s="27"/>
      <c r="AN1221" s="27"/>
      <c r="AO1221" s="27"/>
      <c r="AP1221" s="27" t="s">
        <v>5427</v>
      </c>
      <c r="AQ1221" s="27"/>
      <c r="AR1221" s="504"/>
      <c r="AS1221" s="332" t="s">
        <v>5425</v>
      </c>
      <c r="AT1221" s="160"/>
    </row>
    <row r="1222" spans="1:46" ht="21.75" hidden="1" customHeight="1">
      <c r="A1222" s="331">
        <v>1221</v>
      </c>
      <c r="B1222" s="28" t="s">
        <v>151</v>
      </c>
      <c r="C1222" s="28" t="s">
        <v>1846</v>
      </c>
      <c r="D1222" s="438" t="s">
        <v>402</v>
      </c>
      <c r="E1222" s="361" t="str">
        <f t="shared" ca="1" si="47"/>
        <v>LOSS</v>
      </c>
      <c r="F1222" s="29"/>
      <c r="G1222" s="28" t="s">
        <v>5316</v>
      </c>
      <c r="H1222" s="29" t="s">
        <v>2748</v>
      </c>
      <c r="I1222" s="29" t="s">
        <v>346</v>
      </c>
      <c r="J1222" s="28" t="s">
        <v>1853</v>
      </c>
      <c r="K1222" s="28"/>
      <c r="L1222" s="27"/>
      <c r="M1222" s="27"/>
      <c r="N1222" s="29"/>
      <c r="O1222" s="56"/>
      <c r="P1222" s="31">
        <v>80400000</v>
      </c>
      <c r="Q1222" s="31"/>
      <c r="R1222" s="27"/>
      <c r="S1222" s="32">
        <v>3500000</v>
      </c>
      <c r="T1222" s="33"/>
      <c r="U1222" s="334">
        <v>44987</v>
      </c>
      <c r="V1222" s="334">
        <v>45352</v>
      </c>
      <c r="W1222" s="27" t="s">
        <v>250</v>
      </c>
      <c r="X1222" s="27"/>
      <c r="Y1222" s="34">
        <f t="shared" ca="1" si="46"/>
        <v>46290</v>
      </c>
      <c r="Z1222" s="35">
        <f t="shared" ca="1" si="48"/>
        <v>-938</v>
      </c>
      <c r="AA1222" s="27">
        <f t="shared" si="49"/>
        <v>3</v>
      </c>
      <c r="AB1222" s="27">
        <f t="shared" si="50"/>
        <v>2024</v>
      </c>
      <c r="AC1222" s="40" t="s">
        <v>5428</v>
      </c>
      <c r="AD1222" s="28" t="s">
        <v>5429</v>
      </c>
      <c r="AE1222" s="27">
        <v>4500022196</v>
      </c>
      <c r="AF1222" s="27" t="s">
        <v>339</v>
      </c>
      <c r="AG1222" s="29" t="s">
        <v>410</v>
      </c>
      <c r="AH1222" s="28" t="s">
        <v>5295</v>
      </c>
      <c r="AI1222" s="27"/>
      <c r="AJ1222" s="27" t="s">
        <v>5430</v>
      </c>
      <c r="AK1222" s="27" t="s">
        <v>5431</v>
      </c>
      <c r="AL1222" s="27" t="s">
        <v>5432</v>
      </c>
      <c r="AM1222" s="27" t="s">
        <v>5433</v>
      </c>
      <c r="AN1222" s="27" t="s">
        <v>5434</v>
      </c>
      <c r="AO1222" s="27" t="s">
        <v>5435</v>
      </c>
      <c r="AP1222" s="27"/>
      <c r="AQ1222" s="27"/>
      <c r="AR1222" s="504"/>
      <c r="AS1222" s="491" t="s">
        <v>5436</v>
      </c>
      <c r="AT1222" s="160"/>
    </row>
    <row r="1223" spans="1:46" ht="21.75" hidden="1" customHeight="1">
      <c r="A1223" s="331">
        <v>1222</v>
      </c>
      <c r="B1223" s="28" t="s">
        <v>151</v>
      </c>
      <c r="C1223" s="40" t="s">
        <v>5306</v>
      </c>
      <c r="D1223" s="437" t="s">
        <v>402</v>
      </c>
      <c r="E1223" s="361" t="str">
        <f t="shared" ca="1" si="47"/>
        <v>LOSS</v>
      </c>
      <c r="F1223" s="29"/>
      <c r="G1223" s="28" t="s">
        <v>5316</v>
      </c>
      <c r="H1223" s="29" t="s">
        <v>2748</v>
      </c>
      <c r="I1223" s="29" t="s">
        <v>346</v>
      </c>
      <c r="J1223" s="40" t="s">
        <v>5307</v>
      </c>
      <c r="K1223" s="28"/>
      <c r="L1223" s="27"/>
      <c r="M1223" s="27"/>
      <c r="N1223" s="29"/>
      <c r="O1223" s="56"/>
      <c r="P1223" s="31"/>
      <c r="Q1223" s="31"/>
      <c r="R1223" s="27"/>
      <c r="S1223" s="32">
        <v>3500000</v>
      </c>
      <c r="T1223" s="33"/>
      <c r="U1223" s="334">
        <v>45353</v>
      </c>
      <c r="V1223" s="334">
        <v>45717</v>
      </c>
      <c r="W1223" s="27" t="s">
        <v>17</v>
      </c>
      <c r="X1223" s="27"/>
      <c r="Y1223" s="34">
        <f t="shared" ca="1" si="46"/>
        <v>46290</v>
      </c>
      <c r="Z1223" s="35">
        <f t="shared" ca="1" si="48"/>
        <v>-573</v>
      </c>
      <c r="AA1223" s="27">
        <f t="shared" si="49"/>
        <v>3</v>
      </c>
      <c r="AB1223" s="27">
        <f t="shared" si="50"/>
        <v>2025</v>
      </c>
      <c r="AC1223" s="28" t="s">
        <v>5429</v>
      </c>
      <c r="AD1223" s="28" t="s">
        <v>5437</v>
      </c>
      <c r="AE1223" s="27">
        <v>4500023479</v>
      </c>
      <c r="AF1223" s="27" t="s">
        <v>333</v>
      </c>
      <c r="AG1223" s="29" t="s">
        <v>410</v>
      </c>
      <c r="AH1223" s="28" t="s">
        <v>5295</v>
      </c>
      <c r="AI1223" s="27"/>
      <c r="AJ1223" s="27"/>
      <c r="AK1223" s="27"/>
      <c r="AL1223" s="27"/>
      <c r="AM1223" s="27"/>
      <c r="AN1223" s="27"/>
      <c r="AO1223" s="27"/>
      <c r="AP1223" s="27" t="s">
        <v>5438</v>
      </c>
      <c r="AQ1223" s="27"/>
      <c r="AR1223" s="504"/>
      <c r="AS1223" s="332"/>
      <c r="AT1223" s="160"/>
    </row>
    <row r="1224" spans="1:46" ht="21.75" hidden="1" customHeight="1">
      <c r="A1224" s="331">
        <v>1223</v>
      </c>
      <c r="B1224" s="28" t="s">
        <v>151</v>
      </c>
      <c r="C1224" s="28" t="s">
        <v>1866</v>
      </c>
      <c r="D1224" s="438" t="s">
        <v>402</v>
      </c>
      <c r="E1224" s="361" t="str">
        <f t="shared" ca="1" si="47"/>
        <v>LOSS</v>
      </c>
      <c r="F1224" s="29"/>
      <c r="G1224" s="28" t="s">
        <v>5316</v>
      </c>
      <c r="H1224" s="29" t="s">
        <v>2748</v>
      </c>
      <c r="I1224" s="29" t="s">
        <v>346</v>
      </c>
      <c r="J1224" s="28" t="s">
        <v>5439</v>
      </c>
      <c r="K1224" s="28"/>
      <c r="L1224" s="27"/>
      <c r="M1224" s="27"/>
      <c r="N1224" s="29"/>
      <c r="O1224" s="56"/>
      <c r="P1224" s="31">
        <v>300000000</v>
      </c>
      <c r="Q1224" s="31"/>
      <c r="R1224" s="27"/>
      <c r="S1224" s="32">
        <v>6500000</v>
      </c>
      <c r="T1224" s="33"/>
      <c r="U1224" s="334">
        <v>43474</v>
      </c>
      <c r="V1224" s="334">
        <v>43838</v>
      </c>
      <c r="W1224" s="27" t="s">
        <v>250</v>
      </c>
      <c r="X1224" s="27"/>
      <c r="Y1224" s="34">
        <f t="shared" ca="1" si="46"/>
        <v>46290</v>
      </c>
      <c r="Z1224" s="35">
        <f t="shared" ca="1" si="48"/>
        <v>-2452</v>
      </c>
      <c r="AA1224" s="27">
        <f t="shared" si="49"/>
        <v>1</v>
      </c>
      <c r="AB1224" s="27">
        <f t="shared" si="50"/>
        <v>2020</v>
      </c>
      <c r="AC1224" s="28" t="s">
        <v>5440</v>
      </c>
      <c r="AD1224" s="28" t="s">
        <v>5441</v>
      </c>
      <c r="AE1224" s="27">
        <v>4500012317</v>
      </c>
      <c r="AF1224" s="27" t="s">
        <v>339</v>
      </c>
      <c r="AG1224" s="29" t="s">
        <v>410</v>
      </c>
      <c r="AH1224" s="28" t="s">
        <v>5295</v>
      </c>
      <c r="AI1224" s="27" t="s">
        <v>115</v>
      </c>
      <c r="AJ1224" s="27" t="s">
        <v>5442</v>
      </c>
      <c r="AK1224" s="27" t="s">
        <v>5443</v>
      </c>
      <c r="AL1224" s="27"/>
      <c r="AM1224" s="27"/>
      <c r="AN1224" s="27"/>
      <c r="AO1224" s="27"/>
      <c r="AP1224" s="27"/>
      <c r="AQ1224" s="27"/>
      <c r="AR1224" s="504"/>
      <c r="AS1224" s="332" t="s">
        <v>5444</v>
      </c>
      <c r="AT1224" s="160"/>
    </row>
    <row r="1225" spans="1:46" ht="21.75" hidden="1" customHeight="1">
      <c r="A1225" s="331">
        <v>1224</v>
      </c>
      <c r="B1225" s="28" t="s">
        <v>151</v>
      </c>
      <c r="C1225" s="28" t="s">
        <v>1142</v>
      </c>
      <c r="D1225" s="437" t="s">
        <v>402</v>
      </c>
      <c r="E1225" s="361" t="str">
        <f t="shared" ca="1" si="47"/>
        <v>LOSS</v>
      </c>
      <c r="F1225" s="29"/>
      <c r="G1225" s="28" t="s">
        <v>5316</v>
      </c>
      <c r="H1225" s="29" t="s">
        <v>2748</v>
      </c>
      <c r="I1225" s="29" t="s">
        <v>346</v>
      </c>
      <c r="J1225" s="28" t="s">
        <v>5445</v>
      </c>
      <c r="K1225" s="28"/>
      <c r="L1225" s="27"/>
      <c r="M1225" s="27"/>
      <c r="N1225" s="29"/>
      <c r="O1225" s="56"/>
      <c r="P1225" s="31">
        <v>121800000</v>
      </c>
      <c r="Q1225" s="31"/>
      <c r="R1225" s="27"/>
      <c r="S1225" s="32">
        <v>9000000</v>
      </c>
      <c r="T1225" s="33"/>
      <c r="U1225" s="334">
        <v>43633</v>
      </c>
      <c r="V1225" s="334">
        <v>43998</v>
      </c>
      <c r="W1225" s="27" t="s">
        <v>245</v>
      </c>
      <c r="X1225" s="27"/>
      <c r="Y1225" s="34">
        <f t="shared" ca="1" si="46"/>
        <v>46290</v>
      </c>
      <c r="Z1225" s="35">
        <f t="shared" ca="1" si="48"/>
        <v>-2292</v>
      </c>
      <c r="AA1225" s="27">
        <f t="shared" si="49"/>
        <v>6</v>
      </c>
      <c r="AB1225" s="27">
        <f t="shared" si="50"/>
        <v>2020</v>
      </c>
      <c r="AC1225" s="28" t="s">
        <v>5446</v>
      </c>
      <c r="AD1225" s="28" t="s">
        <v>5447</v>
      </c>
      <c r="AE1225" s="27">
        <v>4500012950</v>
      </c>
      <c r="AF1225" s="27" t="s">
        <v>339</v>
      </c>
      <c r="AG1225" s="29" t="s">
        <v>410</v>
      </c>
      <c r="AH1225" s="28" t="s">
        <v>5295</v>
      </c>
      <c r="AI1225" s="27">
        <v>109</v>
      </c>
      <c r="AJ1225" s="27" t="s">
        <v>5448</v>
      </c>
      <c r="AK1225" s="27" t="s">
        <v>5449</v>
      </c>
      <c r="AL1225" s="27"/>
      <c r="AM1225" s="27"/>
      <c r="AN1225" s="27"/>
      <c r="AO1225" s="27"/>
      <c r="AP1225" s="27"/>
      <c r="AQ1225" s="27"/>
      <c r="AR1225" s="504"/>
      <c r="AS1225" s="332" t="s">
        <v>5450</v>
      </c>
      <c r="AT1225" s="160"/>
    </row>
    <row r="1226" spans="1:46" ht="21.75" hidden="1" customHeight="1">
      <c r="A1226" s="331">
        <v>1225</v>
      </c>
      <c r="B1226" s="28" t="s">
        <v>151</v>
      </c>
      <c r="C1226" s="28" t="s">
        <v>1846</v>
      </c>
      <c r="D1226" s="438" t="s">
        <v>402</v>
      </c>
      <c r="E1226" s="361" t="str">
        <f t="shared" ca="1" si="47"/>
        <v>LOSS</v>
      </c>
      <c r="F1226" s="29"/>
      <c r="G1226" s="28" t="s">
        <v>5316</v>
      </c>
      <c r="H1226" s="29" t="s">
        <v>2748</v>
      </c>
      <c r="I1226" s="29" t="s">
        <v>346</v>
      </c>
      <c r="J1226" s="28" t="s">
        <v>5451</v>
      </c>
      <c r="K1226" s="28"/>
      <c r="L1226" s="27"/>
      <c r="M1226" s="27"/>
      <c r="N1226" s="29"/>
      <c r="O1226" s="56"/>
      <c r="P1226" s="31">
        <v>80400000</v>
      </c>
      <c r="Q1226" s="31"/>
      <c r="R1226" s="27"/>
      <c r="S1226" s="32">
        <v>3500000</v>
      </c>
      <c r="T1226" s="33"/>
      <c r="U1226" s="334">
        <v>44622</v>
      </c>
      <c r="V1226" s="334">
        <v>44986</v>
      </c>
      <c r="W1226" s="27" t="s">
        <v>250</v>
      </c>
      <c r="X1226" s="27"/>
      <c r="Y1226" s="34">
        <f t="shared" ca="1" si="46"/>
        <v>46290</v>
      </c>
      <c r="Z1226" s="35">
        <f t="shared" ca="1" si="48"/>
        <v>-1304</v>
      </c>
      <c r="AA1226" s="27">
        <f t="shared" si="49"/>
        <v>3</v>
      </c>
      <c r="AB1226" s="27">
        <f t="shared" si="50"/>
        <v>2023</v>
      </c>
      <c r="AC1226" s="28" t="s">
        <v>5452</v>
      </c>
      <c r="AD1226" s="28" t="s">
        <v>5453</v>
      </c>
      <c r="AE1226" s="27">
        <v>4500017864</v>
      </c>
      <c r="AF1226" s="27" t="s">
        <v>339</v>
      </c>
      <c r="AG1226" s="29" t="s">
        <v>410</v>
      </c>
      <c r="AH1226" s="28" t="s">
        <v>5295</v>
      </c>
      <c r="AI1226" s="27"/>
      <c r="AJ1226" s="27" t="s">
        <v>5454</v>
      </c>
      <c r="AK1226" s="27" t="s">
        <v>5455</v>
      </c>
      <c r="AL1226" s="27" t="s">
        <v>5456</v>
      </c>
      <c r="AM1226" s="27" t="s">
        <v>5457</v>
      </c>
      <c r="AN1226" s="27" t="s">
        <v>5458</v>
      </c>
      <c r="AO1226" s="27"/>
      <c r="AP1226" s="27"/>
      <c r="AQ1226" s="27"/>
      <c r="AR1226" s="504"/>
      <c r="AS1226" s="332" t="s">
        <v>5459</v>
      </c>
      <c r="AT1226" s="160"/>
    </row>
    <row r="1227" spans="1:46" ht="21.75" hidden="1" customHeight="1">
      <c r="A1227" s="331">
        <v>1226</v>
      </c>
      <c r="B1227" s="28" t="s">
        <v>151</v>
      </c>
      <c r="C1227" s="40" t="s">
        <v>5306</v>
      </c>
      <c r="D1227" s="437" t="s">
        <v>402</v>
      </c>
      <c r="E1227" s="361" t="str">
        <f t="shared" ca="1" si="47"/>
        <v>LOSS</v>
      </c>
      <c r="F1227" s="29"/>
      <c r="G1227" s="28" t="s">
        <v>5316</v>
      </c>
      <c r="H1227" s="29" t="s">
        <v>2748</v>
      </c>
      <c r="I1227" s="29" t="s">
        <v>346</v>
      </c>
      <c r="J1227" s="40" t="s">
        <v>5307</v>
      </c>
      <c r="K1227" s="28"/>
      <c r="L1227" s="27"/>
      <c r="M1227" s="27"/>
      <c r="N1227" s="29"/>
      <c r="O1227" s="56"/>
      <c r="P1227" s="31"/>
      <c r="Q1227" s="31"/>
      <c r="R1227" s="27"/>
      <c r="S1227" s="32">
        <v>3500000</v>
      </c>
      <c r="T1227" s="33"/>
      <c r="U1227" s="334">
        <v>44987</v>
      </c>
      <c r="V1227" s="334">
        <v>45717</v>
      </c>
      <c r="W1227" s="27" t="s">
        <v>250</v>
      </c>
      <c r="X1227" s="27"/>
      <c r="Y1227" s="34">
        <f t="shared" ref="Y1227:Y1290" ca="1" si="51">TODAY()</f>
        <v>46290</v>
      </c>
      <c r="Z1227" s="35">
        <f t="shared" ca="1" si="48"/>
        <v>-573</v>
      </c>
      <c r="AA1227" s="27">
        <f t="shared" si="49"/>
        <v>3</v>
      </c>
      <c r="AB1227" s="27">
        <f t="shared" si="50"/>
        <v>2025</v>
      </c>
      <c r="AC1227" s="28" t="s">
        <v>5453</v>
      </c>
      <c r="AD1227" s="28" t="s">
        <v>5460</v>
      </c>
      <c r="AE1227" s="27">
        <v>4500023482</v>
      </c>
      <c r="AF1227" s="27" t="s">
        <v>333</v>
      </c>
      <c r="AG1227" s="29" t="s">
        <v>410</v>
      </c>
      <c r="AH1227" s="28" t="s">
        <v>5295</v>
      </c>
      <c r="AI1227" s="27"/>
      <c r="AJ1227" s="27"/>
      <c r="AK1227" s="27"/>
      <c r="AL1227" s="27"/>
      <c r="AM1227" s="27"/>
      <c r="AN1227" s="27"/>
      <c r="AO1227" s="27"/>
      <c r="AP1227" s="27" t="s">
        <v>5461</v>
      </c>
      <c r="AQ1227" s="27"/>
      <c r="AR1227" s="504"/>
      <c r="AS1227" s="332"/>
      <c r="AT1227" s="160"/>
    </row>
    <row r="1228" spans="1:46" ht="21.75" hidden="1" customHeight="1">
      <c r="A1228" s="331">
        <v>1227</v>
      </c>
      <c r="B1228" s="28" t="s">
        <v>151</v>
      </c>
      <c r="C1228" s="28" t="s">
        <v>322</v>
      </c>
      <c r="D1228" s="438" t="s">
        <v>402</v>
      </c>
      <c r="E1228" s="361" t="str">
        <f t="shared" ca="1" si="47"/>
        <v>LOSS</v>
      </c>
      <c r="F1228" s="29"/>
      <c r="G1228" s="28" t="s">
        <v>5462</v>
      </c>
      <c r="H1228" s="29" t="s">
        <v>2748</v>
      </c>
      <c r="I1228" s="29" t="s">
        <v>346</v>
      </c>
      <c r="J1228" s="28" t="s">
        <v>5463</v>
      </c>
      <c r="K1228" s="28"/>
      <c r="L1228" s="27"/>
      <c r="M1228" s="27"/>
      <c r="N1228" s="29"/>
      <c r="O1228" s="56"/>
      <c r="P1228" s="31">
        <v>29900000</v>
      </c>
      <c r="Q1228" s="31"/>
      <c r="R1228" s="27"/>
      <c r="S1228" s="32">
        <v>7500000</v>
      </c>
      <c r="T1228" s="33"/>
      <c r="U1228" s="334">
        <v>45223</v>
      </c>
      <c r="V1228" s="334">
        <v>45588</v>
      </c>
      <c r="W1228" s="27" t="s">
        <v>250</v>
      </c>
      <c r="X1228" s="27"/>
      <c r="Y1228" s="34">
        <f t="shared" ca="1" si="51"/>
        <v>46290</v>
      </c>
      <c r="Z1228" s="35">
        <f t="shared" ca="1" si="48"/>
        <v>-702</v>
      </c>
      <c r="AA1228" s="27">
        <f t="shared" si="49"/>
        <v>10</v>
      </c>
      <c r="AB1228" s="27">
        <f t="shared" si="50"/>
        <v>2024</v>
      </c>
      <c r="AC1228" s="28" t="s">
        <v>5464</v>
      </c>
      <c r="AD1228" s="28">
        <v>2338</v>
      </c>
      <c r="AE1228" s="27">
        <v>4500022363</v>
      </c>
      <c r="AF1228" s="27" t="s">
        <v>339</v>
      </c>
      <c r="AG1228" s="29" t="s">
        <v>410</v>
      </c>
      <c r="AH1228" s="28" t="s">
        <v>5295</v>
      </c>
      <c r="AI1228" s="27" t="s">
        <v>5465</v>
      </c>
      <c r="AJ1228" s="27" t="s">
        <v>5466</v>
      </c>
      <c r="AK1228" s="27" t="s">
        <v>5467</v>
      </c>
      <c r="AL1228" s="27" t="s">
        <v>5468</v>
      </c>
      <c r="AM1228" s="27" t="s">
        <v>5469</v>
      </c>
      <c r="AN1228" s="27" t="s">
        <v>5470</v>
      </c>
      <c r="AO1228" s="27" t="s">
        <v>5471</v>
      </c>
      <c r="AP1228" s="27"/>
      <c r="AQ1228" s="27"/>
      <c r="AR1228" s="504"/>
      <c r="AS1228" s="332" t="s">
        <v>5472</v>
      </c>
      <c r="AT1228" s="160"/>
    </row>
    <row r="1229" spans="1:46" ht="21.75" hidden="1" customHeight="1">
      <c r="A1229" s="331">
        <v>1228</v>
      </c>
      <c r="B1229" s="28" t="s">
        <v>151</v>
      </c>
      <c r="C1229" s="28" t="s">
        <v>1351</v>
      </c>
      <c r="D1229" s="437" t="s">
        <v>402</v>
      </c>
      <c r="E1229" s="361" t="str">
        <f t="shared" ca="1" si="47"/>
        <v>LOSS</v>
      </c>
      <c r="F1229" s="29"/>
      <c r="G1229" s="28" t="s">
        <v>5473</v>
      </c>
      <c r="H1229" s="29" t="s">
        <v>2748</v>
      </c>
      <c r="I1229" s="29" t="s">
        <v>346</v>
      </c>
      <c r="J1229" s="28" t="s">
        <v>5474</v>
      </c>
      <c r="K1229" s="28"/>
      <c r="L1229" s="27"/>
      <c r="M1229" s="27"/>
      <c r="N1229" s="29"/>
      <c r="O1229" s="56"/>
      <c r="P1229" s="31">
        <v>157800000</v>
      </c>
      <c r="Q1229" s="31"/>
      <c r="R1229" s="27"/>
      <c r="S1229" s="32">
        <v>7500000</v>
      </c>
      <c r="T1229" s="33"/>
      <c r="U1229" s="334">
        <v>44439</v>
      </c>
      <c r="V1229" s="334">
        <v>44803</v>
      </c>
      <c r="W1229" s="27" t="s">
        <v>245</v>
      </c>
      <c r="X1229" s="27"/>
      <c r="Y1229" s="34">
        <f t="shared" ca="1" si="51"/>
        <v>46290</v>
      </c>
      <c r="Z1229" s="35">
        <f t="shared" ca="1" si="48"/>
        <v>-1487</v>
      </c>
      <c r="AA1229" s="27">
        <f t="shared" si="49"/>
        <v>8</v>
      </c>
      <c r="AB1229" s="27">
        <f t="shared" si="50"/>
        <v>2022</v>
      </c>
      <c r="AC1229" s="28" t="s">
        <v>5475</v>
      </c>
      <c r="AD1229" s="28" t="s">
        <v>5476</v>
      </c>
      <c r="AE1229" s="27">
        <v>4500016495</v>
      </c>
      <c r="AF1229" s="27" t="s">
        <v>339</v>
      </c>
      <c r="AG1229" s="29" t="s">
        <v>410</v>
      </c>
      <c r="AH1229" s="28" t="s">
        <v>5295</v>
      </c>
      <c r="AI1229" s="27" t="s">
        <v>5477</v>
      </c>
      <c r="AJ1229" s="27" t="s">
        <v>5478</v>
      </c>
      <c r="AK1229" s="27" t="s">
        <v>5479</v>
      </c>
      <c r="AL1229" s="27" t="s">
        <v>5480</v>
      </c>
      <c r="AM1229" s="27" t="s">
        <v>5481</v>
      </c>
      <c r="AN1229" s="27"/>
      <c r="AO1229" s="27"/>
      <c r="AP1229" s="27"/>
      <c r="AQ1229" s="27"/>
      <c r="AR1229" s="504"/>
      <c r="AS1229" s="332" t="s">
        <v>5482</v>
      </c>
      <c r="AT1229" s="160"/>
    </row>
    <row r="1230" spans="1:46" ht="21.75" hidden="1" customHeight="1">
      <c r="A1230" s="331">
        <v>1229</v>
      </c>
      <c r="B1230" s="28" t="s">
        <v>151</v>
      </c>
      <c r="C1230" s="28" t="s">
        <v>1308</v>
      </c>
      <c r="D1230" s="438" t="s">
        <v>878</v>
      </c>
      <c r="E1230" s="361" t="str">
        <f t="shared" ca="1" si="47"/>
        <v>LOSS</v>
      </c>
      <c r="F1230" s="29"/>
      <c r="G1230" s="28" t="s">
        <v>5483</v>
      </c>
      <c r="H1230" s="29" t="s">
        <v>2748</v>
      </c>
      <c r="I1230" s="29" t="s">
        <v>346</v>
      </c>
      <c r="J1230" s="28" t="s">
        <v>4509</v>
      </c>
      <c r="K1230" s="28"/>
      <c r="L1230" s="27"/>
      <c r="M1230" s="27"/>
      <c r="N1230" s="29"/>
      <c r="O1230" s="56"/>
      <c r="P1230" s="31">
        <v>30000000</v>
      </c>
      <c r="Q1230" s="31"/>
      <c r="R1230" s="27"/>
      <c r="S1230" s="32">
        <v>7000000</v>
      </c>
      <c r="T1230" s="33"/>
      <c r="U1230" s="334">
        <v>44685</v>
      </c>
      <c r="V1230" s="334">
        <v>45049</v>
      </c>
      <c r="W1230" s="27" t="s">
        <v>250</v>
      </c>
      <c r="X1230" s="27"/>
      <c r="Y1230" s="34">
        <f t="shared" ca="1" si="51"/>
        <v>46290</v>
      </c>
      <c r="Z1230" s="35">
        <f t="shared" ca="1" si="48"/>
        <v>-1241</v>
      </c>
      <c r="AA1230" s="27">
        <f t="shared" si="49"/>
        <v>5</v>
      </c>
      <c r="AB1230" s="27">
        <f t="shared" si="50"/>
        <v>2023</v>
      </c>
      <c r="AC1230" s="28" t="s">
        <v>5484</v>
      </c>
      <c r="AD1230" s="28" t="s">
        <v>2321</v>
      </c>
      <c r="AE1230" s="27">
        <v>4500018381</v>
      </c>
      <c r="AF1230" s="27" t="s">
        <v>339</v>
      </c>
      <c r="AG1230" s="29" t="s">
        <v>410</v>
      </c>
      <c r="AH1230" s="28" t="s">
        <v>5295</v>
      </c>
      <c r="AI1230" s="27"/>
      <c r="AJ1230" s="27"/>
      <c r="AK1230" s="27" t="s">
        <v>5485</v>
      </c>
      <c r="AL1230" s="27" t="s">
        <v>5486</v>
      </c>
      <c r="AM1230" s="27" t="s">
        <v>4319</v>
      </c>
      <c r="AN1230" s="27" t="s">
        <v>5487</v>
      </c>
      <c r="AO1230" s="27"/>
      <c r="AP1230" s="27"/>
      <c r="AQ1230" s="27"/>
      <c r="AR1230" s="504"/>
      <c r="AS1230" s="332" t="s">
        <v>5488</v>
      </c>
      <c r="AT1230" s="160"/>
    </row>
    <row r="1231" spans="1:46" ht="21.75" hidden="1" customHeight="1">
      <c r="A1231" s="331">
        <v>1230</v>
      </c>
      <c r="B1231" s="28" t="s">
        <v>151</v>
      </c>
      <c r="C1231" s="40" t="s">
        <v>5306</v>
      </c>
      <c r="D1231" s="437" t="s">
        <v>878</v>
      </c>
      <c r="E1231" s="361" t="str">
        <f t="shared" ca="1" si="47"/>
        <v>LOSS</v>
      </c>
      <c r="F1231" s="29"/>
      <c r="G1231" s="28"/>
      <c r="H1231" s="29" t="s">
        <v>2748</v>
      </c>
      <c r="I1231" s="29" t="s">
        <v>346</v>
      </c>
      <c r="J1231" s="40" t="s">
        <v>5307</v>
      </c>
      <c r="K1231" s="28"/>
      <c r="L1231" s="27"/>
      <c r="M1231" s="27"/>
      <c r="N1231" s="29"/>
      <c r="O1231" s="56"/>
      <c r="P1231" s="31"/>
      <c r="Q1231" s="31"/>
      <c r="R1231" s="27"/>
      <c r="S1231" s="32">
        <v>7000000</v>
      </c>
      <c r="T1231" s="33"/>
      <c r="U1231" s="334">
        <v>45050</v>
      </c>
      <c r="V1231" s="334">
        <v>45780</v>
      </c>
      <c r="W1231" s="27" t="s">
        <v>250</v>
      </c>
      <c r="X1231" s="27"/>
      <c r="Y1231" s="34">
        <f t="shared" ca="1" si="51"/>
        <v>46290</v>
      </c>
      <c r="Z1231" s="35">
        <f t="shared" ca="1" si="48"/>
        <v>-510</v>
      </c>
      <c r="AA1231" s="27">
        <f t="shared" si="49"/>
        <v>5</v>
      </c>
      <c r="AB1231" s="27">
        <f t="shared" si="50"/>
        <v>2025</v>
      </c>
      <c r="AC1231" s="28" t="s">
        <v>2321</v>
      </c>
      <c r="AD1231" s="28" t="s">
        <v>5489</v>
      </c>
      <c r="AE1231" s="27">
        <v>4500023483</v>
      </c>
      <c r="AF1231" s="27" t="s">
        <v>333</v>
      </c>
      <c r="AG1231" s="29" t="s">
        <v>410</v>
      </c>
      <c r="AH1231" s="28" t="s">
        <v>5295</v>
      </c>
      <c r="AI1231" s="27"/>
      <c r="AJ1231" s="27"/>
      <c r="AK1231" s="27"/>
      <c r="AL1231" s="27"/>
      <c r="AM1231" s="27"/>
      <c r="AN1231" s="27"/>
      <c r="AO1231" s="27"/>
      <c r="AP1231" s="27" t="s">
        <v>5490</v>
      </c>
      <c r="AQ1231" s="27"/>
      <c r="AR1231" s="504"/>
      <c r="AS1231" s="332"/>
      <c r="AT1231" s="160"/>
    </row>
    <row r="1232" spans="1:46" ht="21.75" hidden="1" customHeight="1">
      <c r="A1232" s="331">
        <v>1231</v>
      </c>
      <c r="B1232" s="28" t="s">
        <v>151</v>
      </c>
      <c r="C1232" s="28" t="s">
        <v>5491</v>
      </c>
      <c r="D1232" s="438" t="s">
        <v>402</v>
      </c>
      <c r="E1232" s="361" t="str">
        <f t="shared" ca="1" si="47"/>
        <v>LOSS</v>
      </c>
      <c r="F1232" s="29"/>
      <c r="G1232" s="28" t="s">
        <v>5492</v>
      </c>
      <c r="H1232" s="29" t="s">
        <v>2748</v>
      </c>
      <c r="I1232" s="29" t="s">
        <v>346</v>
      </c>
      <c r="J1232" s="28" t="s">
        <v>5493</v>
      </c>
      <c r="K1232" s="28"/>
      <c r="L1232" s="27"/>
      <c r="M1232" s="27"/>
      <c r="N1232" s="29"/>
      <c r="O1232" s="56"/>
      <c r="P1232" s="31">
        <v>30000000</v>
      </c>
      <c r="Q1232" s="31"/>
      <c r="R1232" s="27"/>
      <c r="S1232" s="32">
        <v>3000000</v>
      </c>
      <c r="T1232" s="33"/>
      <c r="U1232" s="334">
        <v>43525</v>
      </c>
      <c r="V1232" s="334">
        <v>43890</v>
      </c>
      <c r="W1232" s="27" t="s">
        <v>245</v>
      </c>
      <c r="X1232" s="27"/>
      <c r="Y1232" s="34">
        <f t="shared" ca="1" si="51"/>
        <v>46290</v>
      </c>
      <c r="Z1232" s="35">
        <f t="shared" ca="1" si="48"/>
        <v>-2400</v>
      </c>
      <c r="AA1232" s="27">
        <f t="shared" si="49"/>
        <v>2</v>
      </c>
      <c r="AB1232" s="27">
        <f t="shared" si="50"/>
        <v>2020</v>
      </c>
      <c r="AC1232" s="28" t="s">
        <v>5494</v>
      </c>
      <c r="AD1232" s="28" t="s">
        <v>5495</v>
      </c>
      <c r="AE1232" s="27">
        <v>4500012337</v>
      </c>
      <c r="AF1232" s="27" t="s">
        <v>339</v>
      </c>
      <c r="AG1232" s="29" t="s">
        <v>410</v>
      </c>
      <c r="AH1232" s="28" t="s">
        <v>5295</v>
      </c>
      <c r="AI1232" s="27">
        <v>112</v>
      </c>
      <c r="AJ1232" s="27" t="s">
        <v>5496</v>
      </c>
      <c r="AK1232" s="27" t="s">
        <v>5497</v>
      </c>
      <c r="AL1232" s="27"/>
      <c r="AM1232" s="27"/>
      <c r="AN1232" s="27"/>
      <c r="AO1232" s="27"/>
      <c r="AP1232" s="27"/>
      <c r="AQ1232" s="27"/>
      <c r="AR1232" s="504"/>
      <c r="AS1232" s="332" t="s">
        <v>5498</v>
      </c>
      <c r="AT1232" s="160"/>
    </row>
    <row r="1233" spans="1:46" ht="21.75" hidden="1" customHeight="1">
      <c r="A1233" s="331">
        <v>1232</v>
      </c>
      <c r="B1233" s="28" t="s">
        <v>151</v>
      </c>
      <c r="C1233" s="28" t="s">
        <v>2962</v>
      </c>
      <c r="D1233" s="437" t="s">
        <v>5499</v>
      </c>
      <c r="E1233" s="361" t="str">
        <f t="shared" ca="1" si="47"/>
        <v>LOSS</v>
      </c>
      <c r="F1233" s="29"/>
      <c r="G1233" s="28" t="s">
        <v>5500</v>
      </c>
      <c r="H1233" s="29" t="s">
        <v>2748</v>
      </c>
      <c r="I1233" s="29" t="s">
        <v>346</v>
      </c>
      <c r="J1233" s="28" t="s">
        <v>46</v>
      </c>
      <c r="K1233" s="28"/>
      <c r="L1233" s="27"/>
      <c r="M1233" s="27"/>
      <c r="N1233" s="29"/>
      <c r="O1233" s="56"/>
      <c r="P1233" s="31">
        <v>40276363680</v>
      </c>
      <c r="Q1233" s="31"/>
      <c r="R1233" s="27"/>
      <c r="S1233" s="32">
        <v>16500000</v>
      </c>
      <c r="T1233" s="33"/>
      <c r="U1233" s="334">
        <v>43525</v>
      </c>
      <c r="V1233" s="334">
        <v>43891</v>
      </c>
      <c r="W1233" s="27" t="s">
        <v>250</v>
      </c>
      <c r="X1233" s="27"/>
      <c r="Y1233" s="34">
        <f t="shared" ca="1" si="51"/>
        <v>46290</v>
      </c>
      <c r="Z1233" s="35">
        <f t="shared" ca="1" si="48"/>
        <v>-2399</v>
      </c>
      <c r="AA1233" s="27">
        <f t="shared" si="49"/>
        <v>3</v>
      </c>
      <c r="AB1233" s="27">
        <f t="shared" si="50"/>
        <v>2020</v>
      </c>
      <c r="AC1233" s="28" t="s">
        <v>479</v>
      </c>
      <c r="AD1233" s="28" t="s">
        <v>5501</v>
      </c>
      <c r="AE1233" s="27">
        <v>4500012686</v>
      </c>
      <c r="AF1233" s="27" t="s">
        <v>339</v>
      </c>
      <c r="AG1233" s="29" t="s">
        <v>410</v>
      </c>
      <c r="AH1233" s="28" t="s">
        <v>5417</v>
      </c>
      <c r="AI1233" s="27"/>
      <c r="AJ1233" s="27"/>
      <c r="AK1233" s="27" t="s">
        <v>5502</v>
      </c>
      <c r="AL1233" s="27"/>
      <c r="AM1233" s="27"/>
      <c r="AN1233" s="27"/>
      <c r="AO1233" s="27"/>
      <c r="AP1233" s="27"/>
      <c r="AQ1233" s="27"/>
      <c r="AR1233" s="504"/>
      <c r="AS1233" s="332" t="s">
        <v>5503</v>
      </c>
      <c r="AT1233" s="160"/>
    </row>
    <row r="1234" spans="1:46" ht="21.75" hidden="1" customHeight="1">
      <c r="A1234" s="331">
        <v>1233</v>
      </c>
      <c r="B1234" s="28" t="s">
        <v>2593</v>
      </c>
      <c r="C1234" s="28" t="s">
        <v>5504</v>
      </c>
      <c r="D1234" s="438" t="s">
        <v>5505</v>
      </c>
      <c r="E1234" s="361" t="str">
        <f t="shared" ca="1" si="47"/>
        <v>LOSS</v>
      </c>
      <c r="F1234" s="29"/>
      <c r="G1234" s="28" t="s">
        <v>5506</v>
      </c>
      <c r="H1234" s="29" t="s">
        <v>2748</v>
      </c>
      <c r="I1234" s="29" t="s">
        <v>346</v>
      </c>
      <c r="J1234" s="28" t="s">
        <v>2596</v>
      </c>
      <c r="K1234" s="28"/>
      <c r="L1234" s="27"/>
      <c r="M1234" s="27"/>
      <c r="N1234" s="29"/>
      <c r="O1234" s="56"/>
      <c r="P1234" s="31">
        <f>12*6000000</f>
        <v>72000000</v>
      </c>
      <c r="Q1234" s="31"/>
      <c r="R1234" s="27"/>
      <c r="S1234" s="32">
        <v>41343750</v>
      </c>
      <c r="T1234" s="33"/>
      <c r="U1234" s="334">
        <v>45153</v>
      </c>
      <c r="V1234" s="334">
        <v>45518</v>
      </c>
      <c r="W1234" s="27" t="s">
        <v>250</v>
      </c>
      <c r="X1234" s="27"/>
      <c r="Y1234" s="34">
        <f t="shared" ca="1" si="51"/>
        <v>46290</v>
      </c>
      <c r="Z1234" s="35">
        <f t="shared" ca="1" si="48"/>
        <v>-772</v>
      </c>
      <c r="AA1234" s="27">
        <f t="shared" si="49"/>
        <v>8</v>
      </c>
      <c r="AB1234" s="27">
        <f t="shared" si="50"/>
        <v>2024</v>
      </c>
      <c r="AC1234" s="28" t="s">
        <v>5507</v>
      </c>
      <c r="AD1234" s="28" t="s">
        <v>5508</v>
      </c>
      <c r="AE1234" s="27">
        <v>4500021424</v>
      </c>
      <c r="AF1234" s="27" t="s">
        <v>339</v>
      </c>
      <c r="AG1234" s="29" t="s">
        <v>5509</v>
      </c>
      <c r="AH1234" s="28"/>
      <c r="AI1234" s="27"/>
      <c r="AJ1234" s="27"/>
      <c r="AK1234" s="27"/>
      <c r="AL1234" s="27"/>
      <c r="AM1234" s="27"/>
      <c r="AN1234" s="27" t="s">
        <v>5510</v>
      </c>
      <c r="AO1234" s="27" t="s">
        <v>5511</v>
      </c>
      <c r="AP1234" s="27"/>
      <c r="AQ1234" s="27"/>
      <c r="AR1234" s="504"/>
      <c r="AS1234" s="332"/>
      <c r="AT1234" s="160"/>
    </row>
    <row r="1235" spans="1:46" ht="21.75" hidden="1" customHeight="1">
      <c r="A1235" s="331">
        <v>1234</v>
      </c>
      <c r="B1235" s="28" t="s">
        <v>2593</v>
      </c>
      <c r="C1235" s="28" t="s">
        <v>5512</v>
      </c>
      <c r="D1235" s="437" t="s">
        <v>5505</v>
      </c>
      <c r="E1235" s="361" t="str">
        <f t="shared" ca="1" si="47"/>
        <v>LOSS</v>
      </c>
      <c r="F1235" s="29"/>
      <c r="G1235" s="28" t="s">
        <v>5513</v>
      </c>
      <c r="H1235" s="29" t="s">
        <v>2748</v>
      </c>
      <c r="I1235" s="29" t="s">
        <v>346</v>
      </c>
      <c r="J1235" s="28" t="s">
        <v>2045</v>
      </c>
      <c r="K1235" s="28"/>
      <c r="L1235" s="27"/>
      <c r="M1235" s="27"/>
      <c r="N1235" s="29"/>
      <c r="O1235" s="56"/>
      <c r="P1235" s="31">
        <f>12*13750000</f>
        <v>165000000</v>
      </c>
      <c r="Q1235" s="31"/>
      <c r="R1235" s="27"/>
      <c r="S1235" s="32">
        <v>41343750</v>
      </c>
      <c r="T1235" s="33"/>
      <c r="U1235" s="334">
        <v>45143</v>
      </c>
      <c r="V1235" s="334">
        <v>45508</v>
      </c>
      <c r="W1235" s="27" t="s">
        <v>250</v>
      </c>
      <c r="X1235" s="27"/>
      <c r="Y1235" s="34">
        <f t="shared" ca="1" si="51"/>
        <v>46290</v>
      </c>
      <c r="Z1235" s="35">
        <f t="shared" ca="1" si="48"/>
        <v>-782</v>
      </c>
      <c r="AA1235" s="27">
        <f t="shared" si="49"/>
        <v>8</v>
      </c>
      <c r="AB1235" s="27">
        <f t="shared" si="50"/>
        <v>2024</v>
      </c>
      <c r="AC1235" s="28" t="s">
        <v>5514</v>
      </c>
      <c r="AD1235" s="28"/>
      <c r="AE1235" s="27">
        <v>4500021425</v>
      </c>
      <c r="AF1235" s="27" t="s">
        <v>339</v>
      </c>
      <c r="AG1235" s="29" t="s">
        <v>5509</v>
      </c>
      <c r="AH1235" s="28"/>
      <c r="AI1235" s="27"/>
      <c r="AJ1235" s="27"/>
      <c r="AK1235" s="27"/>
      <c r="AL1235" s="27"/>
      <c r="AM1235" s="27"/>
      <c r="AN1235" s="27" t="s">
        <v>5515</v>
      </c>
      <c r="AO1235" s="27" t="s">
        <v>5516</v>
      </c>
      <c r="AP1235" s="27"/>
      <c r="AQ1235" s="27"/>
      <c r="AR1235" s="504"/>
      <c r="AS1235" s="332"/>
      <c r="AT1235" s="160"/>
    </row>
    <row r="1236" spans="1:46" ht="21.75" hidden="1" customHeight="1">
      <c r="A1236" s="331">
        <v>1235</v>
      </c>
      <c r="B1236" s="28" t="s">
        <v>2593</v>
      </c>
      <c r="C1236" s="28" t="s">
        <v>5517</v>
      </c>
      <c r="D1236" s="438" t="s">
        <v>5505</v>
      </c>
      <c r="E1236" s="361" t="str">
        <f t="shared" ca="1" si="47"/>
        <v>LOSS</v>
      </c>
      <c r="F1236" s="29" t="s">
        <v>5518</v>
      </c>
      <c r="G1236" s="28" t="s">
        <v>5519</v>
      </c>
      <c r="H1236" s="29" t="s">
        <v>2748</v>
      </c>
      <c r="I1236" s="29" t="s">
        <v>346</v>
      </c>
      <c r="J1236" s="28" t="s">
        <v>5520</v>
      </c>
      <c r="K1236" s="28"/>
      <c r="L1236" s="27"/>
      <c r="M1236" s="27"/>
      <c r="N1236" s="29"/>
      <c r="O1236" s="56"/>
      <c r="P1236" s="31">
        <f>12*13750000</f>
        <v>165000000</v>
      </c>
      <c r="Q1236" s="31"/>
      <c r="R1236" s="27"/>
      <c r="S1236" s="32">
        <v>41343750</v>
      </c>
      <c r="T1236" s="33"/>
      <c r="U1236" s="334">
        <v>45136</v>
      </c>
      <c r="V1236" s="334">
        <v>45501</v>
      </c>
      <c r="W1236" s="27" t="s">
        <v>250</v>
      </c>
      <c r="X1236" s="27"/>
      <c r="Y1236" s="34">
        <f t="shared" ca="1" si="51"/>
        <v>46290</v>
      </c>
      <c r="Z1236" s="35">
        <f t="shared" ca="1" si="48"/>
        <v>-789</v>
      </c>
      <c r="AA1236" s="27">
        <f t="shared" si="49"/>
        <v>7</v>
      </c>
      <c r="AB1236" s="27">
        <f t="shared" si="50"/>
        <v>2024</v>
      </c>
      <c r="AC1236" s="28" t="s">
        <v>5521</v>
      </c>
      <c r="AD1236" s="28" t="s">
        <v>5522</v>
      </c>
      <c r="AE1236" s="27">
        <v>4500022208</v>
      </c>
      <c r="AF1236" s="27" t="s">
        <v>339</v>
      </c>
      <c r="AG1236" s="29" t="s">
        <v>5509</v>
      </c>
      <c r="AH1236" s="28"/>
      <c r="AI1236" s="27"/>
      <c r="AJ1236" s="27"/>
      <c r="AK1236" s="27"/>
      <c r="AL1236" s="27"/>
      <c r="AM1236" s="27"/>
      <c r="AN1236" s="27" t="s">
        <v>5523</v>
      </c>
      <c r="AO1236" s="27"/>
      <c r="AP1236" s="27" t="s">
        <v>5524</v>
      </c>
      <c r="AQ1236" s="27"/>
      <c r="AR1236" s="504"/>
      <c r="AS1236" s="332"/>
      <c r="AT1236" s="160"/>
    </row>
    <row r="1237" spans="1:46" ht="21.75" hidden="1" customHeight="1">
      <c r="A1237" s="331">
        <v>1236</v>
      </c>
      <c r="B1237" s="28" t="s">
        <v>2593</v>
      </c>
      <c r="C1237" s="40" t="s">
        <v>5525</v>
      </c>
      <c r="D1237" s="437" t="s">
        <v>5505</v>
      </c>
      <c r="E1237" s="361" t="str">
        <f t="shared" ca="1" si="47"/>
        <v>LOSS</v>
      </c>
      <c r="F1237" s="29"/>
      <c r="G1237" s="28" t="s">
        <v>5526</v>
      </c>
      <c r="H1237" s="29" t="s">
        <v>2748</v>
      </c>
      <c r="I1237" s="29" t="s">
        <v>346</v>
      </c>
      <c r="J1237" s="28" t="s">
        <v>5527</v>
      </c>
      <c r="K1237" s="28"/>
      <c r="L1237" s="27"/>
      <c r="M1237" s="27"/>
      <c r="N1237" s="29"/>
      <c r="O1237" s="56"/>
      <c r="P1237" s="31"/>
      <c r="Q1237" s="31"/>
      <c r="R1237" s="27"/>
      <c r="S1237" s="32">
        <v>357782304</v>
      </c>
      <c r="T1237" s="33"/>
      <c r="U1237" s="334">
        <v>43161</v>
      </c>
      <c r="V1237" s="334">
        <v>45352</v>
      </c>
      <c r="W1237" s="27" t="s">
        <v>250</v>
      </c>
      <c r="X1237" s="27"/>
      <c r="Y1237" s="34">
        <f t="shared" ca="1" si="51"/>
        <v>46290</v>
      </c>
      <c r="Z1237" s="35">
        <f t="shared" ca="1" si="48"/>
        <v>-938</v>
      </c>
      <c r="AA1237" s="27">
        <f t="shared" si="49"/>
        <v>3</v>
      </c>
      <c r="AB1237" s="27">
        <f t="shared" si="50"/>
        <v>2024</v>
      </c>
      <c r="AC1237" s="28">
        <v>450009644</v>
      </c>
      <c r="AD1237" s="28" t="s">
        <v>2114</v>
      </c>
      <c r="AE1237" s="27">
        <v>450018679</v>
      </c>
      <c r="AF1237" s="27" t="s">
        <v>339</v>
      </c>
      <c r="AG1237" s="29" t="s">
        <v>5509</v>
      </c>
      <c r="AH1237" s="28"/>
      <c r="AI1237" s="27"/>
      <c r="AJ1237" s="27" t="s">
        <v>5528</v>
      </c>
      <c r="AK1237" s="27"/>
      <c r="AL1237" s="27"/>
      <c r="AM1237" s="27"/>
      <c r="AN1237" s="27" t="s">
        <v>5529</v>
      </c>
      <c r="AO1237" s="27"/>
      <c r="AP1237" s="27"/>
      <c r="AQ1237" s="27"/>
      <c r="AR1237" s="504"/>
      <c r="AS1237" s="332"/>
      <c r="AT1237" s="160"/>
    </row>
    <row r="1238" spans="1:46" ht="21.75" hidden="1" customHeight="1">
      <c r="A1238" s="331">
        <v>1237</v>
      </c>
      <c r="B1238" s="28" t="s">
        <v>2593</v>
      </c>
      <c r="C1238" s="28" t="s">
        <v>5530</v>
      </c>
      <c r="D1238" s="438" t="s">
        <v>5505</v>
      </c>
      <c r="E1238" s="361" t="str">
        <f t="shared" ca="1" si="47"/>
        <v>LOSS</v>
      </c>
      <c r="F1238" s="29" t="s">
        <v>115</v>
      </c>
      <c r="G1238" s="28" t="s">
        <v>5531</v>
      </c>
      <c r="H1238" s="29" t="s">
        <v>2748</v>
      </c>
      <c r="I1238" s="29" t="s">
        <v>346</v>
      </c>
      <c r="J1238" s="28" t="s">
        <v>5532</v>
      </c>
      <c r="K1238" s="28"/>
      <c r="L1238" s="27"/>
      <c r="M1238" s="27"/>
      <c r="N1238" s="29"/>
      <c r="O1238" s="56"/>
      <c r="P1238" s="31">
        <f>12*5000000</f>
        <v>60000000</v>
      </c>
      <c r="Q1238" s="31"/>
      <c r="R1238" s="27"/>
      <c r="S1238" s="32">
        <v>82500000</v>
      </c>
      <c r="T1238" s="33"/>
      <c r="U1238" s="334">
        <v>44904</v>
      </c>
      <c r="V1238" s="334">
        <v>45634</v>
      </c>
      <c r="W1238" s="27" t="s">
        <v>250</v>
      </c>
      <c r="X1238" s="27"/>
      <c r="Y1238" s="34">
        <f t="shared" ca="1" si="51"/>
        <v>46290</v>
      </c>
      <c r="Z1238" s="35">
        <f t="shared" ca="1" si="48"/>
        <v>-656</v>
      </c>
      <c r="AA1238" s="27">
        <f t="shared" si="49"/>
        <v>12</v>
      </c>
      <c r="AB1238" s="27">
        <f t="shared" si="50"/>
        <v>2024</v>
      </c>
      <c r="AC1238" s="28" t="s">
        <v>479</v>
      </c>
      <c r="AD1238" s="28" t="s">
        <v>2733</v>
      </c>
      <c r="AE1238" s="27">
        <v>4500019557</v>
      </c>
      <c r="AF1238" s="27" t="s">
        <v>339</v>
      </c>
      <c r="AG1238" s="29" t="s">
        <v>5509</v>
      </c>
      <c r="AH1238" s="28"/>
      <c r="AI1238" s="27"/>
      <c r="AJ1238" s="27"/>
      <c r="AK1238" s="27"/>
      <c r="AL1238" s="27"/>
      <c r="AM1238" s="27"/>
      <c r="AN1238" s="27" t="s">
        <v>5533</v>
      </c>
      <c r="AO1238" s="27"/>
      <c r="AP1238" s="27"/>
      <c r="AQ1238" s="27"/>
      <c r="AR1238" s="504"/>
      <c r="AS1238" s="332"/>
      <c r="AT1238" s="160"/>
    </row>
    <row r="1239" spans="1:46" ht="21.75" hidden="1" customHeight="1">
      <c r="A1239" s="331">
        <v>1238</v>
      </c>
      <c r="B1239" s="28" t="s">
        <v>5534</v>
      </c>
      <c r="C1239" s="28" t="s">
        <v>5535</v>
      </c>
      <c r="D1239" s="444" t="s">
        <v>5536</v>
      </c>
      <c r="E1239" s="361" t="str">
        <f t="shared" ca="1" si="47"/>
        <v>LOSS</v>
      </c>
      <c r="F1239" s="29"/>
      <c r="G1239" s="28" t="s">
        <v>5537</v>
      </c>
      <c r="H1239" s="29" t="s">
        <v>2748</v>
      </c>
      <c r="I1239" s="29" t="s">
        <v>346</v>
      </c>
      <c r="J1239" s="28" t="s">
        <v>5538</v>
      </c>
      <c r="K1239" s="28"/>
      <c r="L1239" s="27"/>
      <c r="M1239" s="27"/>
      <c r="N1239" s="29"/>
      <c r="O1239" s="56"/>
      <c r="P1239" s="31">
        <v>53460000</v>
      </c>
      <c r="Q1239" s="31"/>
      <c r="R1239" s="27"/>
      <c r="S1239" s="32">
        <v>8250000</v>
      </c>
      <c r="T1239" s="33"/>
      <c r="U1239" s="334">
        <v>45261</v>
      </c>
      <c r="V1239" s="334">
        <v>45626</v>
      </c>
      <c r="W1239" s="27" t="s">
        <v>250</v>
      </c>
      <c r="X1239" s="27"/>
      <c r="Y1239" s="34">
        <f t="shared" ca="1" si="51"/>
        <v>46290</v>
      </c>
      <c r="Z1239" s="35">
        <f t="shared" ca="1" si="48"/>
        <v>-664</v>
      </c>
      <c r="AA1239" s="27">
        <f t="shared" si="49"/>
        <v>11</v>
      </c>
      <c r="AB1239" s="27">
        <f t="shared" si="50"/>
        <v>2024</v>
      </c>
      <c r="AC1239" s="28" t="s">
        <v>5539</v>
      </c>
      <c r="AD1239" s="28" t="s">
        <v>5540</v>
      </c>
      <c r="AE1239" s="27">
        <v>4500021660</v>
      </c>
      <c r="AF1239" s="27" t="s">
        <v>339</v>
      </c>
      <c r="AG1239" s="29" t="s">
        <v>5541</v>
      </c>
      <c r="AH1239" s="28" t="s">
        <v>5542</v>
      </c>
      <c r="AI1239" s="27">
        <v>157</v>
      </c>
      <c r="AJ1239" s="27" t="s">
        <v>5543</v>
      </c>
      <c r="AK1239" s="27" t="s">
        <v>5544</v>
      </c>
      <c r="AL1239" s="27"/>
      <c r="AM1239" s="27"/>
      <c r="AN1239" s="27"/>
      <c r="AO1239" s="27" t="s">
        <v>5545</v>
      </c>
      <c r="AP1239" s="27"/>
      <c r="AQ1239" s="27"/>
      <c r="AR1239" s="504"/>
      <c r="AS1239" s="332" t="s">
        <v>5546</v>
      </c>
      <c r="AT1239" s="160"/>
    </row>
    <row r="1240" spans="1:46" ht="21.75" hidden="1" customHeight="1">
      <c r="A1240" s="331">
        <v>1239</v>
      </c>
      <c r="B1240" s="28" t="s">
        <v>5547</v>
      </c>
      <c r="C1240" s="28"/>
      <c r="D1240" s="443" t="s">
        <v>5270</v>
      </c>
      <c r="E1240" s="361" t="str">
        <f t="shared" ca="1" si="47"/>
        <v>LOSS</v>
      </c>
      <c r="F1240" s="29"/>
      <c r="G1240" s="28" t="s">
        <v>5548</v>
      </c>
      <c r="H1240" s="29" t="s">
        <v>2748</v>
      </c>
      <c r="I1240" s="29" t="s">
        <v>346</v>
      </c>
      <c r="J1240" s="28"/>
      <c r="K1240" s="28"/>
      <c r="L1240" s="27"/>
      <c r="M1240" s="27"/>
      <c r="N1240" s="29"/>
      <c r="O1240" s="56"/>
      <c r="P1240" s="31"/>
      <c r="Q1240" s="31"/>
      <c r="R1240" s="27"/>
      <c r="S1240" s="32">
        <v>264000000</v>
      </c>
      <c r="T1240" s="33"/>
      <c r="U1240" s="334">
        <v>42736</v>
      </c>
      <c r="V1240" s="334">
        <v>44561</v>
      </c>
      <c r="W1240" s="27" t="s">
        <v>250</v>
      </c>
      <c r="X1240" s="27"/>
      <c r="Y1240" s="34">
        <f t="shared" ca="1" si="51"/>
        <v>46290</v>
      </c>
      <c r="Z1240" s="35">
        <f t="shared" ca="1" si="48"/>
        <v>-1729</v>
      </c>
      <c r="AA1240" s="27">
        <f t="shared" si="49"/>
        <v>12</v>
      </c>
      <c r="AB1240" s="27">
        <f t="shared" si="50"/>
        <v>2021</v>
      </c>
      <c r="AC1240" s="28">
        <v>4500010164</v>
      </c>
      <c r="AD1240" s="28"/>
      <c r="AE1240" s="27"/>
      <c r="AF1240" s="27" t="s">
        <v>339</v>
      </c>
      <c r="AG1240" s="29" t="s">
        <v>5549</v>
      </c>
      <c r="AH1240" s="28" t="s">
        <v>5550</v>
      </c>
      <c r="AI1240" s="27"/>
      <c r="AJ1240" s="27"/>
      <c r="AK1240" s="27"/>
      <c r="AL1240" s="27"/>
      <c r="AM1240" s="27"/>
      <c r="AN1240" s="27"/>
      <c r="AO1240" s="27"/>
      <c r="AP1240" s="27"/>
      <c r="AQ1240" s="27"/>
      <c r="AR1240" s="504"/>
      <c r="AS1240" s="332" t="s">
        <v>5551</v>
      </c>
      <c r="AT1240" s="160"/>
    </row>
    <row r="1241" spans="1:46" ht="21.75" hidden="1" customHeight="1">
      <c r="A1241" s="331">
        <v>1240</v>
      </c>
      <c r="B1241" s="28" t="s">
        <v>5547</v>
      </c>
      <c r="C1241" s="28" t="s">
        <v>5552</v>
      </c>
      <c r="D1241" s="444" t="s">
        <v>5270</v>
      </c>
      <c r="E1241" s="361" t="str">
        <f t="shared" ca="1" si="47"/>
        <v>LOSS</v>
      </c>
      <c r="F1241" s="29"/>
      <c r="G1241" s="28" t="s">
        <v>5553</v>
      </c>
      <c r="H1241" s="29" t="s">
        <v>2748</v>
      </c>
      <c r="I1241" s="29" t="s">
        <v>346</v>
      </c>
      <c r="J1241" s="28" t="s">
        <v>5554</v>
      </c>
      <c r="K1241" s="28"/>
      <c r="L1241" s="27"/>
      <c r="M1241" s="27"/>
      <c r="N1241" s="29"/>
      <c r="O1241" s="56"/>
      <c r="P1241" s="31">
        <v>35100000</v>
      </c>
      <c r="Q1241" s="31"/>
      <c r="R1241" s="27"/>
      <c r="S1241" s="32">
        <v>345104375</v>
      </c>
      <c r="T1241" s="33"/>
      <c r="U1241" s="334">
        <v>42736</v>
      </c>
      <c r="V1241" s="334">
        <v>44561</v>
      </c>
      <c r="W1241" s="27" t="s">
        <v>250</v>
      </c>
      <c r="X1241" s="27"/>
      <c r="Y1241" s="34">
        <f t="shared" ca="1" si="51"/>
        <v>46290</v>
      </c>
      <c r="Z1241" s="35">
        <f t="shared" ca="1" si="48"/>
        <v>-1729</v>
      </c>
      <c r="AA1241" s="27">
        <f t="shared" si="49"/>
        <v>12</v>
      </c>
      <c r="AB1241" s="27">
        <f t="shared" si="50"/>
        <v>2021</v>
      </c>
      <c r="AC1241" s="28">
        <v>4500010163</v>
      </c>
      <c r="AD1241" s="28"/>
      <c r="AE1241" s="27"/>
      <c r="AF1241" s="27" t="s">
        <v>339</v>
      </c>
      <c r="AG1241" s="29" t="s">
        <v>5549</v>
      </c>
      <c r="AH1241" s="28" t="s">
        <v>5550</v>
      </c>
      <c r="AI1241" s="27"/>
      <c r="AJ1241" s="27"/>
      <c r="AK1241" s="27"/>
      <c r="AL1241" s="27"/>
      <c r="AM1241" s="27"/>
      <c r="AN1241" s="27"/>
      <c r="AO1241" s="27"/>
      <c r="AP1241" s="27"/>
      <c r="AQ1241" s="27"/>
      <c r="AR1241" s="504"/>
      <c r="AS1241" s="332" t="s">
        <v>5555</v>
      </c>
      <c r="AT1241" s="160"/>
    </row>
    <row r="1242" spans="1:46" ht="21.75" hidden="1" customHeight="1">
      <c r="A1242" s="331">
        <v>1241</v>
      </c>
      <c r="B1242" s="28" t="s">
        <v>5556</v>
      </c>
      <c r="C1242" s="28" t="s">
        <v>115</v>
      </c>
      <c r="D1242" s="438" t="s">
        <v>5557</v>
      </c>
      <c r="E1242" s="361" t="str">
        <f t="shared" ca="1" si="47"/>
        <v>LOSS</v>
      </c>
      <c r="F1242" s="29"/>
      <c r="G1242" s="28"/>
      <c r="H1242" s="29" t="s">
        <v>2748</v>
      </c>
      <c r="I1242" s="29" t="s">
        <v>242</v>
      </c>
      <c r="J1242" s="28" t="s">
        <v>115</v>
      </c>
      <c r="K1242" s="28"/>
      <c r="L1242" s="27"/>
      <c r="M1242" s="27"/>
      <c r="N1242" s="29"/>
      <c r="O1242" s="56"/>
      <c r="P1242" s="31" t="s">
        <v>115</v>
      </c>
      <c r="Q1242" s="31"/>
      <c r="R1242" s="27"/>
      <c r="S1242" s="32">
        <v>589500000</v>
      </c>
      <c r="T1242" s="33"/>
      <c r="U1242" s="334">
        <v>44305</v>
      </c>
      <c r="V1242" s="334">
        <v>44669</v>
      </c>
      <c r="W1242" s="27" t="s">
        <v>250</v>
      </c>
      <c r="X1242" s="27"/>
      <c r="Y1242" s="34">
        <f t="shared" ca="1" si="51"/>
        <v>46290</v>
      </c>
      <c r="Z1242" s="35">
        <f t="shared" ca="1" si="48"/>
        <v>-1621</v>
      </c>
      <c r="AA1242" s="27">
        <f t="shared" si="49"/>
        <v>4</v>
      </c>
      <c r="AB1242" s="27">
        <f t="shared" si="50"/>
        <v>2022</v>
      </c>
      <c r="AC1242" s="28" t="s">
        <v>479</v>
      </c>
      <c r="AD1242" s="28" t="s">
        <v>5558</v>
      </c>
      <c r="AE1242" s="27">
        <v>4500016098</v>
      </c>
      <c r="AF1242" s="27" t="s">
        <v>339</v>
      </c>
      <c r="AG1242" s="29"/>
      <c r="AH1242" s="28"/>
      <c r="AI1242" s="27"/>
      <c r="AJ1242" s="27"/>
      <c r="AK1242" s="27"/>
      <c r="AL1242" s="27"/>
      <c r="AM1242" s="27" t="s">
        <v>5559</v>
      </c>
      <c r="AN1242" s="27"/>
      <c r="AO1242" s="27"/>
      <c r="AP1242" s="27"/>
      <c r="AQ1242" s="27"/>
      <c r="AR1242" s="504"/>
      <c r="AS1242" s="332" t="s">
        <v>5560</v>
      </c>
      <c r="AT1242" s="160"/>
    </row>
    <row r="1243" spans="1:46" ht="21.75" hidden="1" customHeight="1">
      <c r="A1243" s="331">
        <v>1242</v>
      </c>
      <c r="B1243" s="28" t="s">
        <v>5561</v>
      </c>
      <c r="C1243" s="28" t="s">
        <v>5562</v>
      </c>
      <c r="D1243" s="437" t="s">
        <v>5563</v>
      </c>
      <c r="E1243" s="361" t="str">
        <f t="shared" ca="1" si="47"/>
        <v>LOSS</v>
      </c>
      <c r="F1243" s="29" t="s">
        <v>115</v>
      </c>
      <c r="G1243" s="28" t="s">
        <v>5564</v>
      </c>
      <c r="H1243" s="29" t="s">
        <v>2748</v>
      </c>
      <c r="I1243" s="29" t="s">
        <v>346</v>
      </c>
      <c r="J1243" s="28" t="s">
        <v>5565</v>
      </c>
      <c r="K1243" s="28"/>
      <c r="L1243" s="27"/>
      <c r="M1243" s="27"/>
      <c r="N1243" s="29"/>
      <c r="O1243" s="56"/>
      <c r="P1243" s="31">
        <f>12*4500000</f>
        <v>54000000</v>
      </c>
      <c r="Q1243" s="31"/>
      <c r="R1243" s="27"/>
      <c r="S1243" s="32">
        <v>24000000</v>
      </c>
      <c r="T1243" s="33"/>
      <c r="U1243" s="334">
        <v>44960</v>
      </c>
      <c r="V1243" s="334">
        <v>45324</v>
      </c>
      <c r="W1243" s="27" t="s">
        <v>250</v>
      </c>
      <c r="X1243" s="27"/>
      <c r="Y1243" s="34">
        <f t="shared" ca="1" si="51"/>
        <v>46290</v>
      </c>
      <c r="Z1243" s="35">
        <f t="shared" ca="1" si="48"/>
        <v>-966</v>
      </c>
      <c r="AA1243" s="27">
        <f t="shared" si="49"/>
        <v>2</v>
      </c>
      <c r="AB1243" s="27">
        <f t="shared" si="50"/>
        <v>2024</v>
      </c>
      <c r="AC1243" s="28" t="s">
        <v>479</v>
      </c>
      <c r="AD1243" s="28" t="s">
        <v>5566</v>
      </c>
      <c r="AE1243" s="27">
        <v>4500019991</v>
      </c>
      <c r="AF1243" s="27" t="s">
        <v>339</v>
      </c>
      <c r="AG1243" s="29"/>
      <c r="AH1243" s="28"/>
      <c r="AI1243" s="27"/>
      <c r="AJ1243" s="27"/>
      <c r="AK1243" s="27"/>
      <c r="AL1243" s="27"/>
      <c r="AM1243" s="27"/>
      <c r="AN1243" s="27"/>
      <c r="AO1243" s="27" t="s">
        <v>5567</v>
      </c>
      <c r="AP1243" s="27"/>
      <c r="AQ1243" s="27"/>
      <c r="AR1243" s="504"/>
      <c r="AS1243" s="332" t="s">
        <v>5568</v>
      </c>
      <c r="AT1243" s="160"/>
    </row>
    <row r="1244" spans="1:46" ht="21.75" hidden="1" customHeight="1">
      <c r="A1244" s="331">
        <v>1243</v>
      </c>
      <c r="B1244" s="28" t="s">
        <v>5569</v>
      </c>
      <c r="C1244" s="28" t="s">
        <v>5570</v>
      </c>
      <c r="D1244" s="438" t="s">
        <v>5571</v>
      </c>
      <c r="E1244" s="361" t="str">
        <f t="shared" ca="1" si="47"/>
        <v>LOSS</v>
      </c>
      <c r="F1244" s="36" t="s">
        <v>115</v>
      </c>
      <c r="G1244" s="38" t="s">
        <v>5572</v>
      </c>
      <c r="H1244" s="29" t="s">
        <v>2748</v>
      </c>
      <c r="I1244" s="160" t="s">
        <v>346</v>
      </c>
      <c r="J1244" s="28"/>
      <c r="K1244" s="28"/>
      <c r="L1244" s="27"/>
      <c r="M1244" s="27"/>
      <c r="N1244" s="29"/>
      <c r="O1244" s="56"/>
      <c r="P1244" s="31"/>
      <c r="Q1244" s="31"/>
      <c r="R1244" s="27"/>
      <c r="S1244" s="32">
        <v>75000000</v>
      </c>
      <c r="T1244" s="33"/>
      <c r="U1244" s="334">
        <v>45272</v>
      </c>
      <c r="V1244" s="334">
        <v>45973</v>
      </c>
      <c r="W1244" s="27" t="s">
        <v>17</v>
      </c>
      <c r="X1244" s="27"/>
      <c r="Y1244" s="34">
        <f t="shared" ca="1" si="51"/>
        <v>46290</v>
      </c>
      <c r="Z1244" s="35">
        <f t="shared" ca="1" si="48"/>
        <v>-317</v>
      </c>
      <c r="AA1244" s="27">
        <f t="shared" si="49"/>
        <v>11</v>
      </c>
      <c r="AB1244" s="27">
        <f t="shared" si="50"/>
        <v>2025</v>
      </c>
      <c r="AC1244" s="28" t="s">
        <v>479</v>
      </c>
      <c r="AD1244" s="38" t="s">
        <v>115</v>
      </c>
      <c r="AE1244" s="48" t="s">
        <v>115</v>
      </c>
      <c r="AF1244" s="27" t="s">
        <v>339</v>
      </c>
      <c r="AG1244" s="29"/>
      <c r="AH1244" s="28"/>
      <c r="AI1244" s="27"/>
      <c r="AJ1244" s="27"/>
      <c r="AK1244" s="27"/>
      <c r="AL1244" s="27"/>
      <c r="AM1244" s="27"/>
      <c r="AN1244" s="27"/>
      <c r="AO1244" s="27"/>
      <c r="AP1244" s="27"/>
      <c r="AQ1244" s="27"/>
      <c r="AR1244" s="504"/>
      <c r="AS1244" s="333" t="s">
        <v>115</v>
      </c>
      <c r="AT1244" s="160"/>
    </row>
    <row r="1245" spans="1:46" ht="21.75" hidden="1" customHeight="1">
      <c r="A1245" s="331">
        <v>1244</v>
      </c>
      <c r="B1245" s="28" t="s">
        <v>1026</v>
      </c>
      <c r="C1245" s="28" t="s">
        <v>1027</v>
      </c>
      <c r="D1245" s="437" t="s">
        <v>5573</v>
      </c>
      <c r="E1245" s="361" t="str">
        <f t="shared" ca="1" si="47"/>
        <v>LOSS</v>
      </c>
      <c r="F1245" s="29"/>
      <c r="G1245" s="28" t="s">
        <v>5574</v>
      </c>
      <c r="H1245" s="29" t="s">
        <v>2748</v>
      </c>
      <c r="I1245" s="29" t="s">
        <v>346</v>
      </c>
      <c r="J1245" s="28" t="s">
        <v>1029</v>
      </c>
      <c r="K1245" s="28"/>
      <c r="L1245" s="27"/>
      <c r="M1245" s="27"/>
      <c r="N1245" s="29"/>
      <c r="O1245" s="56"/>
      <c r="P1245" s="31">
        <v>72000000</v>
      </c>
      <c r="Q1245" s="31"/>
      <c r="R1245" s="27"/>
      <c r="S1245" s="32">
        <v>30000000</v>
      </c>
      <c r="T1245" s="33"/>
      <c r="U1245" s="334">
        <v>43831</v>
      </c>
      <c r="V1245" s="334">
        <v>44196</v>
      </c>
      <c r="W1245" s="27" t="s">
        <v>245</v>
      </c>
      <c r="X1245" s="27"/>
      <c r="Y1245" s="34">
        <f t="shared" ca="1" si="51"/>
        <v>46290</v>
      </c>
      <c r="Z1245" s="35">
        <f t="shared" ca="1" si="48"/>
        <v>-2094</v>
      </c>
      <c r="AA1245" s="27">
        <f t="shared" si="49"/>
        <v>12</v>
      </c>
      <c r="AB1245" s="27">
        <f t="shared" si="50"/>
        <v>2020</v>
      </c>
      <c r="AC1245" s="28" t="s">
        <v>5575</v>
      </c>
      <c r="AD1245" s="28" t="s">
        <v>5576</v>
      </c>
      <c r="AE1245" s="27">
        <v>4500013750</v>
      </c>
      <c r="AF1245" s="27" t="s">
        <v>339</v>
      </c>
      <c r="AG1245" s="29" t="s">
        <v>5577</v>
      </c>
      <c r="AH1245" s="28" t="s">
        <v>5578</v>
      </c>
      <c r="AI1245" s="27" t="s">
        <v>115</v>
      </c>
      <c r="AJ1245" s="27" t="s">
        <v>5579</v>
      </c>
      <c r="AK1245" s="27"/>
      <c r="AL1245" s="27" t="s">
        <v>5580</v>
      </c>
      <c r="AM1245" s="27"/>
      <c r="AN1245" s="27"/>
      <c r="AO1245" s="27"/>
      <c r="AP1245" s="27"/>
      <c r="AQ1245" s="27"/>
      <c r="AR1245" s="504"/>
      <c r="AS1245" s="332" t="s">
        <v>5581</v>
      </c>
      <c r="AT1245" s="160"/>
    </row>
    <row r="1246" spans="1:46" ht="21.75" hidden="1" customHeight="1">
      <c r="A1246" s="331">
        <v>1245</v>
      </c>
      <c r="B1246" s="28" t="s">
        <v>5582</v>
      </c>
      <c r="C1246" s="28" t="s">
        <v>5583</v>
      </c>
      <c r="D1246" s="443" t="s">
        <v>5584</v>
      </c>
      <c r="E1246" s="361" t="str">
        <f t="shared" ca="1" si="47"/>
        <v>LOSS</v>
      </c>
      <c r="F1246" s="29"/>
      <c r="G1246" s="28" t="s">
        <v>5585</v>
      </c>
      <c r="H1246" s="29" t="s">
        <v>2748</v>
      </c>
      <c r="I1246" s="29" t="s">
        <v>346</v>
      </c>
      <c r="J1246" s="28" t="s">
        <v>757</v>
      </c>
      <c r="K1246" s="28"/>
      <c r="L1246" s="27"/>
      <c r="M1246" s="27"/>
      <c r="N1246" s="29"/>
      <c r="O1246" s="56"/>
      <c r="P1246" s="31">
        <v>116298000</v>
      </c>
      <c r="Q1246" s="31"/>
      <c r="R1246" s="27"/>
      <c r="S1246" s="32">
        <v>21500000</v>
      </c>
      <c r="T1246" s="33"/>
      <c r="U1246" s="334">
        <v>44532</v>
      </c>
      <c r="V1246" s="334">
        <v>44896</v>
      </c>
      <c r="W1246" s="27" t="s">
        <v>245</v>
      </c>
      <c r="X1246" s="27"/>
      <c r="Y1246" s="34">
        <f t="shared" ca="1" si="51"/>
        <v>46290</v>
      </c>
      <c r="Z1246" s="35">
        <f t="shared" ca="1" si="48"/>
        <v>-1394</v>
      </c>
      <c r="AA1246" s="27">
        <f t="shared" si="49"/>
        <v>12</v>
      </c>
      <c r="AB1246" s="27">
        <f t="shared" si="50"/>
        <v>2022</v>
      </c>
      <c r="AC1246" s="28" t="s">
        <v>5586</v>
      </c>
      <c r="AD1246" s="28" t="s">
        <v>5587</v>
      </c>
      <c r="AE1246" s="27">
        <v>4500017403</v>
      </c>
      <c r="AF1246" s="27" t="s">
        <v>339</v>
      </c>
      <c r="AG1246" s="29" t="s">
        <v>5588</v>
      </c>
      <c r="AH1246" s="28" t="s">
        <v>5589</v>
      </c>
      <c r="AI1246" s="27" t="s">
        <v>5590</v>
      </c>
      <c r="AJ1246" s="27" t="s">
        <v>5591</v>
      </c>
      <c r="AK1246" s="27" t="s">
        <v>5592</v>
      </c>
      <c r="AL1246" s="27" t="s">
        <v>5593</v>
      </c>
      <c r="AM1246" s="27"/>
      <c r="AN1246" s="27"/>
      <c r="AO1246" s="27"/>
      <c r="AP1246" s="27"/>
      <c r="AQ1246" s="27"/>
      <c r="AR1246" s="504"/>
      <c r="AS1246" s="332" t="s">
        <v>5594</v>
      </c>
      <c r="AT1246" s="160"/>
    </row>
    <row r="1247" spans="1:46" ht="21.75" hidden="1" customHeight="1">
      <c r="A1247" s="331">
        <v>1246</v>
      </c>
      <c r="B1247" s="28" t="s">
        <v>5582</v>
      </c>
      <c r="C1247" s="28" t="s">
        <v>5595</v>
      </c>
      <c r="D1247" s="444" t="s">
        <v>5584</v>
      </c>
      <c r="E1247" s="361" t="str">
        <f t="shared" ca="1" si="47"/>
        <v>LOSS</v>
      </c>
      <c r="F1247" s="29" t="s">
        <v>115</v>
      </c>
      <c r="G1247" s="28" t="s">
        <v>5596</v>
      </c>
      <c r="H1247" s="29" t="s">
        <v>2748</v>
      </c>
      <c r="I1247" s="29" t="s">
        <v>346</v>
      </c>
      <c r="J1247" s="28" t="s">
        <v>5597</v>
      </c>
      <c r="K1247" s="28"/>
      <c r="L1247" s="27"/>
      <c r="M1247" s="27"/>
      <c r="N1247" s="29"/>
      <c r="O1247" s="56"/>
      <c r="P1247" s="31">
        <f>12*20000000</f>
        <v>240000000</v>
      </c>
      <c r="Q1247" s="31"/>
      <c r="R1247" s="27"/>
      <c r="S1247" s="32">
        <v>30000000</v>
      </c>
      <c r="T1247" s="33"/>
      <c r="U1247" s="334">
        <v>44858</v>
      </c>
      <c r="V1247" s="334">
        <v>45222</v>
      </c>
      <c r="W1247" s="27" t="s">
        <v>245</v>
      </c>
      <c r="X1247" s="27"/>
      <c r="Y1247" s="34">
        <f t="shared" ca="1" si="51"/>
        <v>46290</v>
      </c>
      <c r="Z1247" s="35">
        <f t="shared" ca="1" si="48"/>
        <v>-1068</v>
      </c>
      <c r="AA1247" s="27">
        <f t="shared" si="49"/>
        <v>10</v>
      </c>
      <c r="AB1247" s="27">
        <f t="shared" si="50"/>
        <v>2023</v>
      </c>
      <c r="AC1247" s="28" t="s">
        <v>479</v>
      </c>
      <c r="AD1247" s="28" t="s">
        <v>1987</v>
      </c>
      <c r="AE1247" s="27">
        <v>4500019192</v>
      </c>
      <c r="AF1247" s="27" t="s">
        <v>339</v>
      </c>
      <c r="AG1247" s="29"/>
      <c r="AH1247" s="28"/>
      <c r="AI1247" s="27"/>
      <c r="AJ1247" s="27"/>
      <c r="AK1247" s="27"/>
      <c r="AL1247" s="27"/>
      <c r="AM1247" s="27"/>
      <c r="AN1247" s="27" t="s">
        <v>5598</v>
      </c>
      <c r="AO1247" s="27"/>
      <c r="AP1247" s="27"/>
      <c r="AQ1247" s="27"/>
      <c r="AR1247" s="504"/>
      <c r="AS1247" s="332" t="s">
        <v>5599</v>
      </c>
      <c r="AT1247" s="160"/>
    </row>
    <row r="1248" spans="1:46" ht="21.75" hidden="1" customHeight="1">
      <c r="A1248" s="331">
        <v>1247</v>
      </c>
      <c r="B1248" s="28" t="s">
        <v>5582</v>
      </c>
      <c r="C1248" s="28" t="s">
        <v>5600</v>
      </c>
      <c r="D1248" s="443" t="s">
        <v>5584</v>
      </c>
      <c r="E1248" s="361" t="str">
        <f t="shared" ca="1" si="47"/>
        <v>LOSS</v>
      </c>
      <c r="F1248" s="29" t="s">
        <v>115</v>
      </c>
      <c r="G1248" s="28" t="s">
        <v>5601</v>
      </c>
      <c r="H1248" s="29" t="s">
        <v>2748</v>
      </c>
      <c r="I1248" s="29" t="s">
        <v>346</v>
      </c>
      <c r="J1248" s="28" t="s">
        <v>5602</v>
      </c>
      <c r="K1248" s="28"/>
      <c r="L1248" s="27"/>
      <c r="M1248" s="27"/>
      <c r="N1248" s="29"/>
      <c r="O1248" s="56"/>
      <c r="P1248" s="31">
        <f>12*234375000</f>
        <v>2812500000</v>
      </c>
      <c r="Q1248" s="31"/>
      <c r="R1248" s="27"/>
      <c r="S1248" s="32">
        <v>22000000</v>
      </c>
      <c r="T1248" s="33"/>
      <c r="U1248" s="334">
        <v>44986</v>
      </c>
      <c r="V1248" s="334">
        <v>45351</v>
      </c>
      <c r="W1248" s="27" t="s">
        <v>250</v>
      </c>
      <c r="X1248" s="27"/>
      <c r="Y1248" s="34">
        <f t="shared" ca="1" si="51"/>
        <v>46290</v>
      </c>
      <c r="Z1248" s="35">
        <f t="shared" ca="1" si="48"/>
        <v>-939</v>
      </c>
      <c r="AA1248" s="27">
        <f t="shared" si="49"/>
        <v>2</v>
      </c>
      <c r="AB1248" s="27">
        <f t="shared" si="50"/>
        <v>2024</v>
      </c>
      <c r="AC1248" s="28" t="s">
        <v>479</v>
      </c>
      <c r="AD1248" s="28" t="s">
        <v>5603</v>
      </c>
      <c r="AE1248" s="27">
        <v>4500020069</v>
      </c>
      <c r="AF1248" s="27" t="s">
        <v>339</v>
      </c>
      <c r="AG1248" s="29" t="s">
        <v>5588</v>
      </c>
      <c r="AH1248" s="28" t="s">
        <v>5589</v>
      </c>
      <c r="AI1248" s="27"/>
      <c r="AJ1248" s="27"/>
      <c r="AK1248" s="27"/>
      <c r="AL1248" s="27"/>
      <c r="AM1248" s="27"/>
      <c r="AN1248" s="27"/>
      <c r="AO1248" s="27" t="s">
        <v>5604</v>
      </c>
      <c r="AP1248" s="27"/>
      <c r="AQ1248" s="27"/>
      <c r="AR1248" s="504"/>
      <c r="AS1248" s="332" t="s">
        <v>5605</v>
      </c>
      <c r="AT1248" s="160"/>
    </row>
    <row r="1249" spans="1:46" ht="21.75" hidden="1" customHeight="1">
      <c r="A1249" s="331">
        <v>1248</v>
      </c>
      <c r="B1249" s="28" t="s">
        <v>5606</v>
      </c>
      <c r="C1249" s="28" t="s">
        <v>1467</v>
      </c>
      <c r="D1249" s="437" t="s">
        <v>5607</v>
      </c>
      <c r="E1249" s="361" t="str">
        <f t="shared" ca="1" si="47"/>
        <v>LOSS</v>
      </c>
      <c r="F1249" s="29"/>
      <c r="G1249" s="28" t="s">
        <v>5608</v>
      </c>
      <c r="H1249" s="29" t="s">
        <v>2748</v>
      </c>
      <c r="I1249" s="29" t="s">
        <v>346</v>
      </c>
      <c r="J1249" s="28" t="s">
        <v>1469</v>
      </c>
      <c r="K1249" s="28"/>
      <c r="L1249" s="27"/>
      <c r="M1249" s="27"/>
      <c r="N1249" s="29"/>
      <c r="O1249" s="56"/>
      <c r="P1249" s="31">
        <v>42000000</v>
      </c>
      <c r="Q1249" s="31"/>
      <c r="R1249" s="27"/>
      <c r="S1249" s="32">
        <v>22187500</v>
      </c>
      <c r="T1249" s="33"/>
      <c r="U1249" s="334">
        <v>44409</v>
      </c>
      <c r="V1249" s="334">
        <v>44773</v>
      </c>
      <c r="W1249" s="27" t="s">
        <v>250</v>
      </c>
      <c r="X1249" s="27"/>
      <c r="Y1249" s="34">
        <f t="shared" ca="1" si="51"/>
        <v>46290</v>
      </c>
      <c r="Z1249" s="35">
        <f t="shared" ca="1" si="48"/>
        <v>-1517</v>
      </c>
      <c r="AA1249" s="27">
        <f t="shared" si="49"/>
        <v>7</v>
      </c>
      <c r="AB1249" s="27">
        <f t="shared" si="50"/>
        <v>2022</v>
      </c>
      <c r="AC1249" s="28" t="s">
        <v>5609</v>
      </c>
      <c r="AD1249" s="28" t="s">
        <v>5610</v>
      </c>
      <c r="AE1249" s="27">
        <v>4500016715</v>
      </c>
      <c r="AF1249" s="27" t="s">
        <v>339</v>
      </c>
      <c r="AG1249" s="29" t="s">
        <v>5611</v>
      </c>
      <c r="AH1249" s="28" t="s">
        <v>5612</v>
      </c>
      <c r="AI1249" s="27"/>
      <c r="AJ1249" s="27" t="s">
        <v>5613</v>
      </c>
      <c r="AK1249" s="27" t="s">
        <v>5614</v>
      </c>
      <c r="AL1249" s="27"/>
      <c r="AM1249" s="27"/>
      <c r="AN1249" s="27" t="s">
        <v>5615</v>
      </c>
      <c r="AO1249" s="27"/>
      <c r="AP1249" s="27"/>
      <c r="AQ1249" s="27"/>
      <c r="AR1249" s="504"/>
      <c r="AS1249" s="332" t="s">
        <v>5616</v>
      </c>
      <c r="AT1249" s="160"/>
    </row>
    <row r="1250" spans="1:46" ht="21.75" hidden="1" customHeight="1">
      <c r="A1250" s="331">
        <v>1249</v>
      </c>
      <c r="B1250" s="28" t="s">
        <v>5617</v>
      </c>
      <c r="C1250" s="28" t="s">
        <v>5618</v>
      </c>
      <c r="D1250" s="438" t="s">
        <v>5619</v>
      </c>
      <c r="E1250" s="361" t="str">
        <f t="shared" ca="1" si="47"/>
        <v>LOSS</v>
      </c>
      <c r="F1250" s="29"/>
      <c r="G1250" s="28" t="s">
        <v>5620</v>
      </c>
      <c r="H1250" s="29" t="s">
        <v>2748</v>
      </c>
      <c r="I1250" s="29" t="s">
        <v>242</v>
      </c>
      <c r="J1250" s="28" t="s">
        <v>1286</v>
      </c>
      <c r="K1250" s="28"/>
      <c r="L1250" s="27"/>
      <c r="M1250" s="27"/>
      <c r="N1250" s="29"/>
      <c r="O1250" s="56"/>
      <c r="P1250" s="31">
        <v>180000000</v>
      </c>
      <c r="Q1250" s="31"/>
      <c r="R1250" s="27"/>
      <c r="S1250" s="32">
        <v>4355000</v>
      </c>
      <c r="T1250" s="33"/>
      <c r="U1250" s="334">
        <v>44630</v>
      </c>
      <c r="V1250" s="334">
        <v>44895</v>
      </c>
      <c r="W1250" s="27" t="s">
        <v>245</v>
      </c>
      <c r="X1250" s="27"/>
      <c r="Y1250" s="34">
        <f t="shared" ca="1" si="51"/>
        <v>46290</v>
      </c>
      <c r="Z1250" s="35">
        <f t="shared" ca="1" si="48"/>
        <v>-1395</v>
      </c>
      <c r="AA1250" s="27">
        <f t="shared" si="49"/>
        <v>11</v>
      </c>
      <c r="AB1250" s="27">
        <f t="shared" si="50"/>
        <v>2022</v>
      </c>
      <c r="AC1250" s="28" t="s">
        <v>5621</v>
      </c>
      <c r="AD1250" s="28" t="s">
        <v>2001</v>
      </c>
      <c r="AE1250" s="27">
        <v>4500019627</v>
      </c>
      <c r="AF1250" s="27" t="s">
        <v>339</v>
      </c>
      <c r="AG1250" s="29"/>
      <c r="AH1250" s="28"/>
      <c r="AI1250" s="27"/>
      <c r="AJ1250" s="27"/>
      <c r="AK1250" s="27"/>
      <c r="AL1250" s="27"/>
      <c r="AM1250" s="27" t="s">
        <v>5622</v>
      </c>
      <c r="AN1250" s="27" t="s">
        <v>5623</v>
      </c>
      <c r="AO1250" s="27"/>
      <c r="AP1250" s="27"/>
      <c r="AQ1250" s="27"/>
      <c r="AR1250" s="504"/>
      <c r="AS1250" s="332" t="s">
        <v>5624</v>
      </c>
      <c r="AT1250" s="160"/>
    </row>
    <row r="1251" spans="1:46" ht="21.75" hidden="1" customHeight="1">
      <c r="A1251" s="331">
        <v>1250</v>
      </c>
      <c r="B1251" s="28" t="s">
        <v>167</v>
      </c>
      <c r="C1251" s="28" t="s">
        <v>5625</v>
      </c>
      <c r="D1251" s="437" t="s">
        <v>5626</v>
      </c>
      <c r="E1251" s="361" t="str">
        <f t="shared" ca="1" si="47"/>
        <v>LOSS</v>
      </c>
      <c r="F1251" s="29"/>
      <c r="G1251" s="28" t="s">
        <v>5627</v>
      </c>
      <c r="H1251" s="29" t="s">
        <v>2748</v>
      </c>
      <c r="I1251" s="29" t="s">
        <v>346</v>
      </c>
      <c r="J1251" s="28" t="s">
        <v>168</v>
      </c>
      <c r="K1251" s="28"/>
      <c r="L1251" s="27"/>
      <c r="M1251" s="27"/>
      <c r="N1251" s="29"/>
      <c r="O1251" s="56"/>
      <c r="P1251" s="31">
        <v>33000000</v>
      </c>
      <c r="Q1251" s="31"/>
      <c r="R1251" s="27"/>
      <c r="S1251" s="32">
        <v>5000000</v>
      </c>
      <c r="T1251" s="33"/>
      <c r="U1251" s="334">
        <v>45323</v>
      </c>
      <c r="V1251" s="334">
        <v>45688</v>
      </c>
      <c r="W1251" s="27" t="s">
        <v>250</v>
      </c>
      <c r="X1251" s="27"/>
      <c r="Y1251" s="34">
        <f t="shared" ca="1" si="51"/>
        <v>46290</v>
      </c>
      <c r="Z1251" s="35">
        <f t="shared" ca="1" si="48"/>
        <v>-602</v>
      </c>
      <c r="AA1251" s="27">
        <f t="shared" si="49"/>
        <v>1</v>
      </c>
      <c r="AB1251" s="27">
        <f t="shared" si="50"/>
        <v>2025</v>
      </c>
      <c r="AC1251" s="28" t="s">
        <v>5628</v>
      </c>
      <c r="AD1251" s="28">
        <v>2475</v>
      </c>
      <c r="AE1251" s="27">
        <v>4500022330</v>
      </c>
      <c r="AF1251" s="27" t="s">
        <v>339</v>
      </c>
      <c r="AG1251" s="29" t="s">
        <v>5629</v>
      </c>
      <c r="AH1251" s="28" t="s">
        <v>5630</v>
      </c>
      <c r="AI1251" s="27"/>
      <c r="AJ1251" s="27" t="s">
        <v>5631</v>
      </c>
      <c r="AK1251" s="27" t="s">
        <v>5632</v>
      </c>
      <c r="AL1251" s="27" t="s">
        <v>5633</v>
      </c>
      <c r="AM1251" s="27" t="s">
        <v>5634</v>
      </c>
      <c r="AN1251" s="27" t="s">
        <v>5635</v>
      </c>
      <c r="AO1251" s="27" t="s">
        <v>5636</v>
      </c>
      <c r="AP1251" s="27" t="s">
        <v>5637</v>
      </c>
      <c r="AQ1251" s="27"/>
      <c r="AR1251" s="504"/>
      <c r="AS1251" s="332"/>
      <c r="AT1251" s="160"/>
    </row>
    <row r="1252" spans="1:46" ht="21.75" hidden="1" customHeight="1">
      <c r="A1252" s="331">
        <v>1251</v>
      </c>
      <c r="B1252" s="28" t="s">
        <v>5638</v>
      </c>
      <c r="C1252" s="28" t="s">
        <v>2689</v>
      </c>
      <c r="D1252" s="438" t="s">
        <v>5639</v>
      </c>
      <c r="E1252" s="361" t="str">
        <f t="shared" ca="1" si="47"/>
        <v>LOSS</v>
      </c>
      <c r="F1252" s="29"/>
      <c r="G1252" s="28" t="s">
        <v>5640</v>
      </c>
      <c r="H1252" s="29" t="s">
        <v>2748</v>
      </c>
      <c r="I1252" s="160" t="s">
        <v>346</v>
      </c>
      <c r="J1252" s="28" t="s">
        <v>5641</v>
      </c>
      <c r="K1252" s="28"/>
      <c r="L1252" s="27"/>
      <c r="M1252" s="27"/>
      <c r="N1252" s="29"/>
      <c r="O1252" s="56"/>
      <c r="P1252" s="31">
        <v>30000000</v>
      </c>
      <c r="Q1252" s="31"/>
      <c r="R1252" s="27"/>
      <c r="S1252" s="32">
        <v>103680000</v>
      </c>
      <c r="T1252" s="33"/>
      <c r="U1252" s="334">
        <v>45187</v>
      </c>
      <c r="V1252" s="334">
        <v>46282</v>
      </c>
      <c r="W1252" s="27" t="s">
        <v>17</v>
      </c>
      <c r="X1252" s="27"/>
      <c r="Y1252" s="34">
        <f t="shared" ca="1" si="51"/>
        <v>46290</v>
      </c>
      <c r="Z1252" s="35">
        <f t="shared" ca="1" si="48"/>
        <v>-8</v>
      </c>
      <c r="AA1252" s="27">
        <f t="shared" si="49"/>
        <v>9</v>
      </c>
      <c r="AB1252" s="27">
        <f t="shared" si="50"/>
        <v>2026</v>
      </c>
      <c r="AC1252" s="28" t="s">
        <v>479</v>
      </c>
      <c r="AD1252" s="28" t="s">
        <v>5642</v>
      </c>
      <c r="AE1252" s="27">
        <v>4500021271</v>
      </c>
      <c r="AF1252" s="27" t="s">
        <v>339</v>
      </c>
      <c r="AG1252" s="29"/>
      <c r="AH1252" s="28"/>
      <c r="AI1252" s="27"/>
      <c r="AJ1252" s="27"/>
      <c r="AK1252" s="27"/>
      <c r="AL1252" s="27"/>
      <c r="AM1252" s="27"/>
      <c r="AN1252" s="27"/>
      <c r="AO1252" s="27" t="s">
        <v>5643</v>
      </c>
      <c r="AP1252" s="27"/>
      <c r="AQ1252" s="27"/>
      <c r="AR1252" s="504"/>
      <c r="AS1252" s="332" t="s">
        <v>5644</v>
      </c>
      <c r="AT1252" s="160"/>
    </row>
    <row r="1253" spans="1:46" ht="21.75" hidden="1" customHeight="1">
      <c r="A1253" s="331">
        <v>1252</v>
      </c>
      <c r="B1253" s="28" t="s">
        <v>169</v>
      </c>
      <c r="C1253" s="28" t="s">
        <v>115</v>
      </c>
      <c r="D1253" s="437" t="s">
        <v>5645</v>
      </c>
      <c r="E1253" s="361" t="str">
        <f t="shared" ca="1" si="47"/>
        <v>LOSS</v>
      </c>
      <c r="F1253" s="29"/>
      <c r="G1253" s="28" t="s">
        <v>115</v>
      </c>
      <c r="H1253" s="29" t="s">
        <v>2748</v>
      </c>
      <c r="I1253" s="29" t="s">
        <v>242</v>
      </c>
      <c r="J1253" s="28" t="s">
        <v>115</v>
      </c>
      <c r="K1253" s="28"/>
      <c r="L1253" s="27"/>
      <c r="M1253" s="27"/>
      <c r="N1253" s="29"/>
      <c r="O1253" s="56"/>
      <c r="P1253" s="31" t="s">
        <v>115</v>
      </c>
      <c r="Q1253" s="31"/>
      <c r="R1253" s="27"/>
      <c r="S1253" s="32">
        <v>2500000</v>
      </c>
      <c r="T1253" s="33"/>
      <c r="U1253" s="334">
        <v>44092</v>
      </c>
      <c r="V1253" s="334">
        <v>44456</v>
      </c>
      <c r="W1253" s="27" t="s">
        <v>250</v>
      </c>
      <c r="X1253" s="27"/>
      <c r="Y1253" s="34">
        <f t="shared" ca="1" si="51"/>
        <v>46290</v>
      </c>
      <c r="Z1253" s="35">
        <f t="shared" ca="1" si="48"/>
        <v>-1834</v>
      </c>
      <c r="AA1253" s="27">
        <f t="shared" si="49"/>
        <v>9</v>
      </c>
      <c r="AB1253" s="27">
        <f t="shared" si="50"/>
        <v>2021</v>
      </c>
      <c r="AC1253" s="28" t="s">
        <v>479</v>
      </c>
      <c r="AD1253" s="28" t="s">
        <v>5646</v>
      </c>
      <c r="AE1253" s="27">
        <v>4500015014</v>
      </c>
      <c r="AF1253" s="27" t="s">
        <v>339</v>
      </c>
      <c r="AG1253" s="29" t="s">
        <v>381</v>
      </c>
      <c r="AH1253" s="28" t="s">
        <v>5647</v>
      </c>
      <c r="AI1253" s="27"/>
      <c r="AJ1253" s="27"/>
      <c r="AK1253" s="27"/>
      <c r="AL1253" s="27" t="s">
        <v>5648</v>
      </c>
      <c r="AM1253" s="27"/>
      <c r="AN1253" s="27"/>
      <c r="AO1253" s="27"/>
      <c r="AP1253" s="27"/>
      <c r="AQ1253" s="27"/>
      <c r="AR1253" s="504"/>
      <c r="AS1253" s="332"/>
      <c r="AT1253" s="160"/>
    </row>
    <row r="1254" spans="1:46" ht="21.75" hidden="1" customHeight="1">
      <c r="A1254" s="331">
        <v>1253</v>
      </c>
      <c r="B1254" s="28" t="s">
        <v>169</v>
      </c>
      <c r="C1254" s="28" t="s">
        <v>115</v>
      </c>
      <c r="D1254" s="438" t="s">
        <v>5645</v>
      </c>
      <c r="E1254" s="361" t="str">
        <f t="shared" ca="1" si="47"/>
        <v>LOSS</v>
      </c>
      <c r="F1254" s="29"/>
      <c r="G1254" s="28" t="s">
        <v>115</v>
      </c>
      <c r="H1254" s="29" t="s">
        <v>2748</v>
      </c>
      <c r="I1254" s="29" t="s">
        <v>242</v>
      </c>
      <c r="J1254" s="28" t="s">
        <v>115</v>
      </c>
      <c r="K1254" s="28"/>
      <c r="L1254" s="27"/>
      <c r="M1254" s="27"/>
      <c r="N1254" s="29"/>
      <c r="O1254" s="56"/>
      <c r="P1254" s="31" t="s">
        <v>115</v>
      </c>
      <c r="Q1254" s="31"/>
      <c r="R1254" s="27"/>
      <c r="S1254" s="32">
        <v>36000000</v>
      </c>
      <c r="T1254" s="33"/>
      <c r="U1254" s="334">
        <v>45059</v>
      </c>
      <c r="V1254" s="334">
        <v>45424</v>
      </c>
      <c r="W1254" s="27" t="s">
        <v>250</v>
      </c>
      <c r="X1254" s="27"/>
      <c r="Y1254" s="34">
        <f t="shared" ca="1" si="51"/>
        <v>46290</v>
      </c>
      <c r="Z1254" s="35">
        <f t="shared" ca="1" si="48"/>
        <v>-866</v>
      </c>
      <c r="AA1254" s="27">
        <f t="shared" si="49"/>
        <v>5</v>
      </c>
      <c r="AB1254" s="27">
        <f t="shared" si="50"/>
        <v>2024</v>
      </c>
      <c r="AC1254" s="28" t="s">
        <v>5649</v>
      </c>
      <c r="AD1254" s="28" t="s">
        <v>5650</v>
      </c>
      <c r="AE1254" s="27">
        <v>4500021237</v>
      </c>
      <c r="AF1254" s="27" t="s">
        <v>339</v>
      </c>
      <c r="AG1254" s="29" t="s">
        <v>381</v>
      </c>
      <c r="AH1254" s="28" t="s">
        <v>5647</v>
      </c>
      <c r="AI1254" s="27"/>
      <c r="AJ1254" s="27"/>
      <c r="AK1254" s="27"/>
      <c r="AL1254" s="27"/>
      <c r="AM1254" s="27" t="s">
        <v>5651</v>
      </c>
      <c r="AN1254" s="27" t="s">
        <v>5652</v>
      </c>
      <c r="AO1254" s="27" t="s">
        <v>5653</v>
      </c>
      <c r="AP1254" s="27"/>
      <c r="AQ1254" s="27"/>
      <c r="AR1254" s="504"/>
      <c r="AS1254" s="332" t="s">
        <v>5654</v>
      </c>
      <c r="AT1254" s="160"/>
    </row>
    <row r="1255" spans="1:46" ht="21.75" hidden="1" customHeight="1">
      <c r="A1255" s="331">
        <v>1254</v>
      </c>
      <c r="B1255" s="28" t="s">
        <v>169</v>
      </c>
      <c r="C1255" s="28" t="s">
        <v>5655</v>
      </c>
      <c r="D1255" s="437" t="s">
        <v>862</v>
      </c>
      <c r="E1255" s="361" t="str">
        <f t="shared" ca="1" si="47"/>
        <v>LOSS</v>
      </c>
      <c r="F1255" s="29"/>
      <c r="G1255" s="28"/>
      <c r="H1255" s="29" t="s">
        <v>2748</v>
      </c>
      <c r="I1255" s="29" t="s">
        <v>242</v>
      </c>
      <c r="J1255" s="28"/>
      <c r="K1255" s="28"/>
      <c r="L1255" s="27"/>
      <c r="M1255" s="27"/>
      <c r="N1255" s="29"/>
      <c r="O1255" s="56"/>
      <c r="P1255" s="31">
        <v>576000000</v>
      </c>
      <c r="Q1255" s="31"/>
      <c r="R1255" s="27"/>
      <c r="S1255" s="32">
        <v>18000000</v>
      </c>
      <c r="T1255" s="33"/>
      <c r="U1255" s="334">
        <v>45425</v>
      </c>
      <c r="V1255" s="334">
        <v>45789</v>
      </c>
      <c r="W1255" s="27" t="s">
        <v>17</v>
      </c>
      <c r="X1255" s="27"/>
      <c r="Y1255" s="34">
        <f t="shared" ca="1" si="51"/>
        <v>46290</v>
      </c>
      <c r="Z1255" s="35">
        <f t="shared" ca="1" si="48"/>
        <v>-501</v>
      </c>
      <c r="AA1255" s="27">
        <f t="shared" si="49"/>
        <v>5</v>
      </c>
      <c r="AB1255" s="27">
        <f t="shared" si="50"/>
        <v>2025</v>
      </c>
      <c r="AC1255" s="28"/>
      <c r="AD1255" s="28" t="s">
        <v>5656</v>
      </c>
      <c r="AE1255" s="27">
        <v>4500023236</v>
      </c>
      <c r="AF1255" s="27" t="s">
        <v>339</v>
      </c>
      <c r="AG1255" s="29" t="s">
        <v>381</v>
      </c>
      <c r="AH1255" s="28" t="s">
        <v>5647</v>
      </c>
      <c r="AI1255" s="27"/>
      <c r="AJ1255" s="27"/>
      <c r="AK1255" s="27"/>
      <c r="AL1255" s="27"/>
      <c r="AM1255" s="27"/>
      <c r="AN1255" s="27"/>
      <c r="AO1255" s="27"/>
      <c r="AP1255" s="27" t="s">
        <v>5657</v>
      </c>
      <c r="AQ1255" s="27"/>
      <c r="AR1255" s="504"/>
      <c r="AS1255" s="332"/>
      <c r="AT1255" s="160"/>
    </row>
    <row r="1256" spans="1:46" ht="21.75" hidden="1" customHeight="1">
      <c r="A1256" s="331">
        <v>1255</v>
      </c>
      <c r="B1256" s="28" t="s">
        <v>169</v>
      </c>
      <c r="C1256" s="28" t="s">
        <v>115</v>
      </c>
      <c r="D1256" s="438" t="s">
        <v>5645</v>
      </c>
      <c r="E1256" s="361" t="str">
        <f t="shared" ca="1" si="47"/>
        <v>LOSS</v>
      </c>
      <c r="F1256" s="29"/>
      <c r="G1256" s="28" t="s">
        <v>115</v>
      </c>
      <c r="H1256" s="29" t="s">
        <v>2748</v>
      </c>
      <c r="I1256" s="29" t="s">
        <v>242</v>
      </c>
      <c r="J1256" s="28" t="s">
        <v>115</v>
      </c>
      <c r="K1256" s="28"/>
      <c r="L1256" s="27"/>
      <c r="M1256" s="27"/>
      <c r="N1256" s="29"/>
      <c r="O1256" s="56"/>
      <c r="P1256" s="31" t="s">
        <v>115</v>
      </c>
      <c r="Q1256" s="31"/>
      <c r="R1256" s="27"/>
      <c r="S1256" s="32">
        <v>54000000</v>
      </c>
      <c r="T1256" s="33"/>
      <c r="U1256" s="334">
        <v>44400</v>
      </c>
      <c r="V1256" s="334">
        <v>44764</v>
      </c>
      <c r="W1256" s="27" t="s">
        <v>250</v>
      </c>
      <c r="X1256" s="27"/>
      <c r="Y1256" s="34">
        <f t="shared" ca="1" si="51"/>
        <v>46290</v>
      </c>
      <c r="Z1256" s="35">
        <f t="shared" ca="1" si="48"/>
        <v>-1526</v>
      </c>
      <c r="AA1256" s="27">
        <f t="shared" si="49"/>
        <v>7</v>
      </c>
      <c r="AB1256" s="27">
        <f t="shared" si="50"/>
        <v>2022</v>
      </c>
      <c r="AC1256" s="28" t="s">
        <v>479</v>
      </c>
      <c r="AD1256" s="28" t="s">
        <v>1571</v>
      </c>
      <c r="AE1256" s="27">
        <v>4500016484</v>
      </c>
      <c r="AF1256" s="27" t="s">
        <v>339</v>
      </c>
      <c r="AG1256" s="29" t="s">
        <v>381</v>
      </c>
      <c r="AH1256" s="28" t="s">
        <v>5647</v>
      </c>
      <c r="AI1256" s="27"/>
      <c r="AJ1256" s="27"/>
      <c r="AK1256" s="27"/>
      <c r="AL1256" s="27"/>
      <c r="AM1256" s="27" t="s">
        <v>3677</v>
      </c>
      <c r="AN1256" s="27"/>
      <c r="AO1256" s="27"/>
      <c r="AP1256" s="27"/>
      <c r="AQ1256" s="27"/>
      <c r="AR1256" s="504"/>
      <c r="AS1256" s="332"/>
      <c r="AT1256" s="160"/>
    </row>
    <row r="1257" spans="1:46" ht="21.75" hidden="1" customHeight="1">
      <c r="A1257" s="331">
        <v>1256</v>
      </c>
      <c r="B1257" s="28" t="s">
        <v>169</v>
      </c>
      <c r="C1257" s="28" t="s">
        <v>5658</v>
      </c>
      <c r="D1257" s="437" t="s">
        <v>5645</v>
      </c>
      <c r="E1257" s="361" t="str">
        <f t="shared" ca="1" si="47"/>
        <v>LOSS</v>
      </c>
      <c r="F1257" s="29"/>
      <c r="G1257" s="28" t="s">
        <v>5659</v>
      </c>
      <c r="H1257" s="29" t="s">
        <v>2748</v>
      </c>
      <c r="I1257" s="29" t="s">
        <v>242</v>
      </c>
      <c r="J1257" s="28" t="s">
        <v>1840</v>
      </c>
      <c r="K1257" s="28"/>
      <c r="L1257" s="27"/>
      <c r="M1257" s="27"/>
      <c r="N1257" s="29"/>
      <c r="O1257" s="56"/>
      <c r="P1257" s="31"/>
      <c r="Q1257" s="31"/>
      <c r="R1257" s="27"/>
      <c r="S1257" s="32">
        <v>2500000</v>
      </c>
      <c r="T1257" s="33"/>
      <c r="U1257" s="334">
        <v>44018</v>
      </c>
      <c r="V1257" s="334">
        <v>44382</v>
      </c>
      <c r="W1257" s="27" t="s">
        <v>250</v>
      </c>
      <c r="X1257" s="27"/>
      <c r="Y1257" s="34">
        <f t="shared" ca="1" si="51"/>
        <v>46290</v>
      </c>
      <c r="Z1257" s="35">
        <f t="shared" ca="1" si="48"/>
        <v>-1908</v>
      </c>
      <c r="AA1257" s="27">
        <f t="shared" si="49"/>
        <v>7</v>
      </c>
      <c r="AB1257" s="27">
        <f t="shared" si="50"/>
        <v>2021</v>
      </c>
      <c r="AC1257" s="28" t="s">
        <v>479</v>
      </c>
      <c r="AD1257" s="28" t="s">
        <v>5660</v>
      </c>
      <c r="AE1257" s="27">
        <v>4500014669</v>
      </c>
      <c r="AF1257" s="27" t="s">
        <v>339</v>
      </c>
      <c r="AG1257" s="29" t="s">
        <v>381</v>
      </c>
      <c r="AH1257" s="28" t="s">
        <v>5647</v>
      </c>
      <c r="AI1257" s="27"/>
      <c r="AJ1257" s="27"/>
      <c r="AK1257" s="27"/>
      <c r="AL1257" s="27" t="s">
        <v>5661</v>
      </c>
      <c r="AM1257" s="27"/>
      <c r="AN1257" s="27"/>
      <c r="AO1257" s="27"/>
      <c r="AP1257" s="27"/>
      <c r="AQ1257" s="27"/>
      <c r="AR1257" s="504"/>
      <c r="AS1257" s="332"/>
      <c r="AT1257" s="160"/>
    </row>
    <row r="1258" spans="1:46" ht="21.75" hidden="1" customHeight="1">
      <c r="A1258" s="331">
        <v>1257</v>
      </c>
      <c r="B1258" s="28" t="s">
        <v>169</v>
      </c>
      <c r="C1258" s="28" t="s">
        <v>5662</v>
      </c>
      <c r="D1258" s="438" t="s">
        <v>5645</v>
      </c>
      <c r="E1258" s="361" t="str">
        <f t="shared" ca="1" si="47"/>
        <v>LOSS</v>
      </c>
      <c r="F1258" s="29"/>
      <c r="G1258" s="28" t="s">
        <v>5663</v>
      </c>
      <c r="H1258" s="29" t="s">
        <v>2748</v>
      </c>
      <c r="I1258" s="29" t="s">
        <v>242</v>
      </c>
      <c r="J1258" s="28" t="s">
        <v>1615</v>
      </c>
      <c r="K1258" s="28"/>
      <c r="L1258" s="27"/>
      <c r="M1258" s="27"/>
      <c r="N1258" s="29"/>
      <c r="O1258" s="56"/>
      <c r="P1258" s="31">
        <v>300000000</v>
      </c>
      <c r="Q1258" s="31"/>
      <c r="R1258" s="27"/>
      <c r="S1258" s="32">
        <v>18000000</v>
      </c>
      <c r="T1258" s="33"/>
      <c r="U1258" s="334">
        <v>44461</v>
      </c>
      <c r="V1258" s="334">
        <v>44825</v>
      </c>
      <c r="W1258" s="27" t="s">
        <v>250</v>
      </c>
      <c r="X1258" s="27"/>
      <c r="Y1258" s="34">
        <f t="shared" ca="1" si="51"/>
        <v>46290</v>
      </c>
      <c r="Z1258" s="35">
        <f t="shared" ca="1" si="48"/>
        <v>-1465</v>
      </c>
      <c r="AA1258" s="27">
        <f t="shared" si="49"/>
        <v>9</v>
      </c>
      <c r="AB1258" s="27">
        <f t="shared" si="50"/>
        <v>2022</v>
      </c>
      <c r="AC1258" s="28" t="s">
        <v>479</v>
      </c>
      <c r="AD1258" s="28" t="s">
        <v>5664</v>
      </c>
      <c r="AE1258" s="27">
        <v>4500016780</v>
      </c>
      <c r="AF1258" s="27" t="s">
        <v>339</v>
      </c>
      <c r="AG1258" s="29" t="s">
        <v>381</v>
      </c>
      <c r="AH1258" s="28" t="s">
        <v>5647</v>
      </c>
      <c r="AI1258" s="27"/>
      <c r="AJ1258" s="27"/>
      <c r="AK1258" s="27"/>
      <c r="AL1258" s="27"/>
      <c r="AM1258" s="27" t="s">
        <v>5665</v>
      </c>
      <c r="AN1258" s="27"/>
      <c r="AO1258" s="27"/>
      <c r="AP1258" s="27"/>
      <c r="AQ1258" s="27"/>
      <c r="AR1258" s="504"/>
      <c r="AS1258" s="332"/>
      <c r="AT1258" s="160"/>
    </row>
    <row r="1259" spans="1:46" ht="21.75" hidden="1" customHeight="1">
      <c r="A1259" s="331">
        <v>1258</v>
      </c>
      <c r="B1259" s="28" t="s">
        <v>169</v>
      </c>
      <c r="C1259" s="28" t="s">
        <v>5662</v>
      </c>
      <c r="D1259" s="437" t="s">
        <v>5666</v>
      </c>
      <c r="E1259" s="361" t="str">
        <f t="shared" ca="1" si="47"/>
        <v>LOSS</v>
      </c>
      <c r="F1259" s="29"/>
      <c r="G1259" s="28" t="s">
        <v>5667</v>
      </c>
      <c r="H1259" s="29" t="s">
        <v>2748</v>
      </c>
      <c r="I1259" s="29" t="s">
        <v>242</v>
      </c>
      <c r="J1259" s="28" t="s">
        <v>5668</v>
      </c>
      <c r="K1259" s="28"/>
      <c r="L1259" s="27"/>
      <c r="M1259" s="27"/>
      <c r="N1259" s="29"/>
      <c r="O1259" s="56"/>
      <c r="P1259" s="31">
        <v>312000000</v>
      </c>
      <c r="Q1259" s="31"/>
      <c r="R1259" s="27"/>
      <c r="S1259" s="32">
        <v>18000000</v>
      </c>
      <c r="T1259" s="33"/>
      <c r="U1259" s="334">
        <v>44215</v>
      </c>
      <c r="V1259" s="334">
        <v>44579</v>
      </c>
      <c r="W1259" s="27" t="s">
        <v>250</v>
      </c>
      <c r="X1259" s="27"/>
      <c r="Y1259" s="34">
        <f t="shared" ca="1" si="51"/>
        <v>46290</v>
      </c>
      <c r="Z1259" s="35">
        <f t="shared" ca="1" si="48"/>
        <v>-1711</v>
      </c>
      <c r="AA1259" s="27">
        <f t="shared" si="49"/>
        <v>1</v>
      </c>
      <c r="AB1259" s="27">
        <f t="shared" si="50"/>
        <v>2022</v>
      </c>
      <c r="AC1259" s="28" t="s">
        <v>3371</v>
      </c>
      <c r="AD1259" s="28" t="s">
        <v>5669</v>
      </c>
      <c r="AE1259" s="27">
        <v>4500015645</v>
      </c>
      <c r="AF1259" s="27" t="s">
        <v>339</v>
      </c>
      <c r="AG1259" s="29" t="s">
        <v>381</v>
      </c>
      <c r="AH1259" s="28" t="s">
        <v>5647</v>
      </c>
      <c r="AI1259" s="27"/>
      <c r="AJ1259" s="27"/>
      <c r="AK1259" s="27"/>
      <c r="AL1259" s="27" t="s">
        <v>5670</v>
      </c>
      <c r="AM1259" s="27"/>
      <c r="AN1259" s="27"/>
      <c r="AO1259" s="27"/>
      <c r="AP1259" s="27"/>
      <c r="AQ1259" s="27"/>
      <c r="AR1259" s="504"/>
      <c r="AS1259" s="332"/>
      <c r="AT1259" s="160"/>
    </row>
    <row r="1260" spans="1:46" ht="21.75" hidden="1" customHeight="1">
      <c r="A1260" s="331">
        <v>1259</v>
      </c>
      <c r="B1260" s="28" t="s">
        <v>169</v>
      </c>
      <c r="C1260" s="28" t="s">
        <v>115</v>
      </c>
      <c r="D1260" s="438" t="s">
        <v>862</v>
      </c>
      <c r="E1260" s="361" t="str">
        <f t="shared" ca="1" si="47"/>
        <v>LOSS</v>
      </c>
      <c r="F1260" s="29"/>
      <c r="G1260" s="28" t="s">
        <v>5671</v>
      </c>
      <c r="H1260" s="29" t="s">
        <v>2748</v>
      </c>
      <c r="I1260" s="29" t="s">
        <v>242</v>
      </c>
      <c r="J1260" s="28" t="s">
        <v>115</v>
      </c>
      <c r="K1260" s="28"/>
      <c r="L1260" s="27"/>
      <c r="M1260" s="27"/>
      <c r="N1260" s="29"/>
      <c r="O1260" s="56"/>
      <c r="P1260" s="31" t="s">
        <v>115</v>
      </c>
      <c r="Q1260" s="31"/>
      <c r="R1260" s="27"/>
      <c r="S1260" s="32">
        <v>36000000</v>
      </c>
      <c r="T1260" s="33"/>
      <c r="U1260" s="334">
        <v>45205</v>
      </c>
      <c r="V1260" s="334">
        <v>45570</v>
      </c>
      <c r="W1260" s="27" t="s">
        <v>250</v>
      </c>
      <c r="X1260" s="27"/>
      <c r="Y1260" s="34">
        <f t="shared" ca="1" si="51"/>
        <v>46290</v>
      </c>
      <c r="Z1260" s="35">
        <f t="shared" ca="1" si="48"/>
        <v>-720</v>
      </c>
      <c r="AA1260" s="27">
        <f t="shared" si="49"/>
        <v>10</v>
      </c>
      <c r="AB1260" s="27">
        <f t="shared" si="50"/>
        <v>2024</v>
      </c>
      <c r="AC1260" s="28" t="s">
        <v>5672</v>
      </c>
      <c r="AD1260" s="28" t="s">
        <v>5673</v>
      </c>
      <c r="AE1260" s="27">
        <v>4500021816</v>
      </c>
      <c r="AF1260" s="27" t="s">
        <v>339</v>
      </c>
      <c r="AG1260" s="29" t="s">
        <v>381</v>
      </c>
      <c r="AH1260" s="28" t="s">
        <v>5647</v>
      </c>
      <c r="AI1260" s="27"/>
      <c r="AJ1260" s="27"/>
      <c r="AK1260" s="27"/>
      <c r="AL1260" s="27"/>
      <c r="AM1260" s="27" t="s">
        <v>5674</v>
      </c>
      <c r="AN1260" s="27" t="s">
        <v>5675</v>
      </c>
      <c r="AO1260" s="27" t="s">
        <v>5676</v>
      </c>
      <c r="AP1260" s="27"/>
      <c r="AQ1260" s="27"/>
      <c r="AR1260" s="504"/>
      <c r="AS1260" s="332" t="s">
        <v>5677</v>
      </c>
      <c r="AT1260" s="160"/>
    </row>
    <row r="1261" spans="1:46" ht="21.75" hidden="1" customHeight="1">
      <c r="A1261" s="331">
        <v>1260</v>
      </c>
      <c r="B1261" s="28" t="s">
        <v>169</v>
      </c>
      <c r="C1261" s="28" t="s">
        <v>5678</v>
      </c>
      <c r="D1261" s="437" t="s">
        <v>862</v>
      </c>
      <c r="E1261" s="361" t="str">
        <f t="shared" ca="1" si="47"/>
        <v>LOSS</v>
      </c>
      <c r="F1261" s="29"/>
      <c r="G1261" s="28" t="s">
        <v>5679</v>
      </c>
      <c r="H1261" s="29" t="s">
        <v>2748</v>
      </c>
      <c r="I1261" s="29" t="s">
        <v>242</v>
      </c>
      <c r="J1261" s="38" t="s">
        <v>115</v>
      </c>
      <c r="K1261" s="28"/>
      <c r="L1261" s="27"/>
      <c r="M1261" s="27"/>
      <c r="N1261" s="29"/>
      <c r="O1261" s="56"/>
      <c r="P1261" s="43" t="s">
        <v>115</v>
      </c>
      <c r="Q1261" s="43"/>
      <c r="R1261" s="27"/>
      <c r="S1261" s="32">
        <v>18000000</v>
      </c>
      <c r="T1261" s="33"/>
      <c r="U1261" s="334">
        <v>44937</v>
      </c>
      <c r="V1261" s="334">
        <v>45301</v>
      </c>
      <c r="W1261" s="27" t="s">
        <v>250</v>
      </c>
      <c r="X1261" s="27"/>
      <c r="Y1261" s="34">
        <f t="shared" ca="1" si="51"/>
        <v>46290</v>
      </c>
      <c r="Z1261" s="35">
        <f t="shared" ca="1" si="48"/>
        <v>-989</v>
      </c>
      <c r="AA1261" s="27">
        <f t="shared" si="49"/>
        <v>1</v>
      </c>
      <c r="AB1261" s="27">
        <f t="shared" si="50"/>
        <v>2024</v>
      </c>
      <c r="AC1261" s="28" t="s">
        <v>479</v>
      </c>
      <c r="AD1261" s="28" t="s">
        <v>5680</v>
      </c>
      <c r="AE1261" s="27">
        <v>4500019922</v>
      </c>
      <c r="AF1261" s="27" t="s">
        <v>339</v>
      </c>
      <c r="AG1261" s="29" t="s">
        <v>381</v>
      </c>
      <c r="AH1261" s="28" t="s">
        <v>5647</v>
      </c>
      <c r="AI1261" s="27"/>
      <c r="AJ1261" s="27"/>
      <c r="AK1261" s="27"/>
      <c r="AL1261" s="27"/>
      <c r="AM1261" s="27"/>
      <c r="AN1261" s="27"/>
      <c r="AO1261" s="27" t="s">
        <v>5681</v>
      </c>
      <c r="AP1261" s="27"/>
      <c r="AQ1261" s="27"/>
      <c r="AR1261" s="504"/>
      <c r="AS1261" s="332"/>
      <c r="AT1261" s="160"/>
    </row>
    <row r="1262" spans="1:46" ht="21.75" hidden="1" customHeight="1">
      <c r="A1262" s="331">
        <v>1261</v>
      </c>
      <c r="B1262" s="28" t="s">
        <v>169</v>
      </c>
      <c r="C1262" s="28" t="s">
        <v>5682</v>
      </c>
      <c r="D1262" s="438" t="s">
        <v>862</v>
      </c>
      <c r="E1262" s="361" t="str">
        <f t="shared" ca="1" si="47"/>
        <v>LOSS</v>
      </c>
      <c r="F1262" s="29"/>
      <c r="G1262" s="28" t="s">
        <v>5683</v>
      </c>
      <c r="H1262" s="29" t="s">
        <v>2748</v>
      </c>
      <c r="I1262" s="29" t="s">
        <v>242</v>
      </c>
      <c r="J1262" s="28" t="s">
        <v>2028</v>
      </c>
      <c r="K1262" s="28"/>
      <c r="L1262" s="27"/>
      <c r="M1262" s="27"/>
      <c r="N1262" s="29"/>
      <c r="O1262" s="56"/>
      <c r="P1262" s="31">
        <f>12*86000000</f>
        <v>1032000000</v>
      </c>
      <c r="Q1262" s="31"/>
      <c r="R1262" s="30"/>
      <c r="S1262" s="32">
        <v>18000000</v>
      </c>
      <c r="T1262" s="33"/>
      <c r="U1262" s="334">
        <v>45140</v>
      </c>
      <c r="V1262" s="334">
        <v>45505</v>
      </c>
      <c r="W1262" s="27" t="s">
        <v>250</v>
      </c>
      <c r="X1262" s="27"/>
      <c r="Y1262" s="34">
        <f t="shared" ca="1" si="51"/>
        <v>46290</v>
      </c>
      <c r="Z1262" s="35">
        <f t="shared" ca="1" si="48"/>
        <v>-785</v>
      </c>
      <c r="AA1262" s="27">
        <f t="shared" si="49"/>
        <v>8</v>
      </c>
      <c r="AB1262" s="27">
        <f t="shared" si="50"/>
        <v>2024</v>
      </c>
      <c r="AC1262" s="28" t="s">
        <v>5684</v>
      </c>
      <c r="AD1262" s="28" t="s">
        <v>5685</v>
      </c>
      <c r="AE1262" s="27">
        <v>4500021193</v>
      </c>
      <c r="AF1262" s="27" t="s">
        <v>339</v>
      </c>
      <c r="AG1262" s="29" t="s">
        <v>381</v>
      </c>
      <c r="AH1262" s="28" t="s">
        <v>5647</v>
      </c>
      <c r="AI1262" s="27"/>
      <c r="AJ1262" s="27"/>
      <c r="AK1262" s="27"/>
      <c r="AL1262" s="27"/>
      <c r="AM1262" s="27"/>
      <c r="AN1262" s="27" t="s">
        <v>5686</v>
      </c>
      <c r="AO1262" s="27" t="s">
        <v>5687</v>
      </c>
      <c r="AP1262" s="27"/>
      <c r="AQ1262" s="27"/>
      <c r="AR1262" s="504"/>
      <c r="AS1262" s="332" t="s">
        <v>5688</v>
      </c>
      <c r="AT1262" s="160"/>
    </row>
    <row r="1263" spans="1:46" ht="21.75" hidden="1" customHeight="1">
      <c r="A1263" s="331">
        <v>1262</v>
      </c>
      <c r="B1263" s="28" t="s">
        <v>169</v>
      </c>
      <c r="C1263" s="38" t="s">
        <v>115</v>
      </c>
      <c r="D1263" s="437" t="s">
        <v>862</v>
      </c>
      <c r="E1263" s="361" t="str">
        <f t="shared" ca="1" si="47"/>
        <v>LOSS</v>
      </c>
      <c r="F1263" s="29"/>
      <c r="G1263" s="28" t="s">
        <v>5689</v>
      </c>
      <c r="H1263" s="29" t="s">
        <v>2748</v>
      </c>
      <c r="I1263" s="29" t="s">
        <v>346</v>
      </c>
      <c r="J1263" s="38" t="s">
        <v>115</v>
      </c>
      <c r="K1263" s="38"/>
      <c r="L1263" s="48"/>
      <c r="M1263" s="48"/>
      <c r="N1263" s="36"/>
      <c r="O1263" s="196"/>
      <c r="P1263" s="43" t="s">
        <v>115</v>
      </c>
      <c r="Q1263" s="43"/>
      <c r="R1263" s="48"/>
      <c r="S1263" s="32">
        <v>450000000</v>
      </c>
      <c r="T1263" s="33"/>
      <c r="U1263" s="334">
        <v>45484</v>
      </c>
      <c r="V1263" s="334">
        <v>45483</v>
      </c>
      <c r="W1263" s="27" t="s">
        <v>250</v>
      </c>
      <c r="X1263" s="27"/>
      <c r="Y1263" s="34">
        <f t="shared" ca="1" si="51"/>
        <v>46290</v>
      </c>
      <c r="Z1263" s="35">
        <f t="shared" ca="1" si="48"/>
        <v>-807</v>
      </c>
      <c r="AA1263" s="27">
        <f t="shared" si="49"/>
        <v>7</v>
      </c>
      <c r="AB1263" s="27">
        <f t="shared" si="50"/>
        <v>2024</v>
      </c>
      <c r="AC1263" s="28" t="s">
        <v>5690</v>
      </c>
      <c r="AD1263" s="28">
        <v>2237</v>
      </c>
      <c r="AE1263" s="27">
        <v>4500022128</v>
      </c>
      <c r="AF1263" s="27" t="s">
        <v>339</v>
      </c>
      <c r="AG1263" s="29" t="s">
        <v>5691</v>
      </c>
      <c r="AH1263" s="28" t="s">
        <v>5692</v>
      </c>
      <c r="AI1263" s="27"/>
      <c r="AJ1263" s="27"/>
      <c r="AK1263" s="27"/>
      <c r="AL1263" s="27"/>
      <c r="AM1263" s="27"/>
      <c r="AN1263" s="27"/>
      <c r="AO1263" s="27" t="s">
        <v>5693</v>
      </c>
      <c r="AP1263" s="27" t="s">
        <v>5694</v>
      </c>
      <c r="AQ1263" s="27"/>
      <c r="AR1263" s="504"/>
      <c r="AS1263" s="332"/>
      <c r="AT1263" s="160"/>
    </row>
    <row r="1264" spans="1:46" ht="21.75" hidden="1" customHeight="1">
      <c r="A1264" s="331">
        <v>1263</v>
      </c>
      <c r="B1264" s="28" t="s">
        <v>169</v>
      </c>
      <c r="C1264" s="28" t="s">
        <v>115</v>
      </c>
      <c r="D1264" s="438" t="s">
        <v>862</v>
      </c>
      <c r="E1264" s="361" t="str">
        <f t="shared" ca="1" si="47"/>
        <v>LOSS</v>
      </c>
      <c r="F1264" s="29"/>
      <c r="G1264" s="28" t="s">
        <v>5695</v>
      </c>
      <c r="H1264" s="29" t="s">
        <v>2748</v>
      </c>
      <c r="I1264" s="29" t="s">
        <v>242</v>
      </c>
      <c r="J1264" s="28" t="s">
        <v>115</v>
      </c>
      <c r="K1264" s="28"/>
      <c r="L1264" s="27"/>
      <c r="M1264" s="27"/>
      <c r="N1264" s="29"/>
      <c r="O1264" s="56"/>
      <c r="P1264" s="43" t="s">
        <v>115</v>
      </c>
      <c r="Q1264" s="43"/>
      <c r="R1264" s="27"/>
      <c r="S1264" s="32">
        <v>18000000</v>
      </c>
      <c r="T1264" s="33"/>
      <c r="U1264" s="334">
        <v>44959</v>
      </c>
      <c r="V1264" s="334">
        <v>45323</v>
      </c>
      <c r="W1264" s="27" t="s">
        <v>250</v>
      </c>
      <c r="X1264" s="27"/>
      <c r="Y1264" s="34">
        <f t="shared" ca="1" si="51"/>
        <v>46290</v>
      </c>
      <c r="Z1264" s="35">
        <f t="shared" ca="1" si="48"/>
        <v>-967</v>
      </c>
      <c r="AA1264" s="27">
        <f t="shared" si="49"/>
        <v>2</v>
      </c>
      <c r="AB1264" s="27">
        <f t="shared" si="50"/>
        <v>2024</v>
      </c>
      <c r="AC1264" s="28" t="s">
        <v>5696</v>
      </c>
      <c r="AD1264" s="28" t="s">
        <v>5697</v>
      </c>
      <c r="AE1264" s="27">
        <v>4500020024</v>
      </c>
      <c r="AF1264" s="27" t="s">
        <v>339</v>
      </c>
      <c r="AG1264" s="29" t="s">
        <v>381</v>
      </c>
      <c r="AH1264" s="28" t="s">
        <v>5647</v>
      </c>
      <c r="AI1264" s="27"/>
      <c r="AJ1264" s="27"/>
      <c r="AK1264" s="27"/>
      <c r="AL1264" s="27"/>
      <c r="AM1264" s="27"/>
      <c r="AN1264" s="27" t="s">
        <v>5698</v>
      </c>
      <c r="AO1264" s="27" t="s">
        <v>5699</v>
      </c>
      <c r="AP1264" s="27"/>
      <c r="AQ1264" s="27"/>
      <c r="AR1264" s="504"/>
      <c r="AS1264" s="332"/>
      <c r="AT1264" s="160"/>
    </row>
    <row r="1265" spans="1:46" ht="21.75" hidden="1" customHeight="1">
      <c r="A1265" s="331">
        <v>1264</v>
      </c>
      <c r="B1265" s="28" t="s">
        <v>169</v>
      </c>
      <c r="C1265" s="38" t="s">
        <v>115</v>
      </c>
      <c r="D1265" s="437" t="s">
        <v>862</v>
      </c>
      <c r="E1265" s="361" t="str">
        <f t="shared" ca="1" si="47"/>
        <v>LOSS</v>
      </c>
      <c r="F1265" s="29"/>
      <c r="G1265" s="28" t="s">
        <v>5695</v>
      </c>
      <c r="H1265" s="29" t="s">
        <v>2748</v>
      </c>
      <c r="I1265" s="29" t="s">
        <v>242</v>
      </c>
      <c r="J1265" s="38" t="s">
        <v>115</v>
      </c>
      <c r="K1265" s="38"/>
      <c r="L1265" s="48"/>
      <c r="M1265" s="48"/>
      <c r="N1265" s="36"/>
      <c r="O1265" s="196"/>
      <c r="P1265" s="43" t="s">
        <v>115</v>
      </c>
      <c r="Q1265" s="43"/>
      <c r="R1265" s="48"/>
      <c r="S1265" s="32">
        <v>18000000</v>
      </c>
      <c r="T1265" s="33"/>
      <c r="U1265" s="334">
        <v>45106</v>
      </c>
      <c r="V1265" s="334">
        <v>45471</v>
      </c>
      <c r="W1265" s="27" t="s">
        <v>250</v>
      </c>
      <c r="X1265" s="27"/>
      <c r="Y1265" s="34">
        <f t="shared" ca="1" si="51"/>
        <v>46290</v>
      </c>
      <c r="Z1265" s="35">
        <f t="shared" ca="1" si="48"/>
        <v>-819</v>
      </c>
      <c r="AA1265" s="27">
        <f t="shared" si="49"/>
        <v>6</v>
      </c>
      <c r="AB1265" s="27">
        <f t="shared" si="50"/>
        <v>2024</v>
      </c>
      <c r="AC1265" s="28" t="s">
        <v>5700</v>
      </c>
      <c r="AD1265" s="28" t="s">
        <v>5701</v>
      </c>
      <c r="AE1265" s="27">
        <v>4500021083</v>
      </c>
      <c r="AF1265" s="27" t="s">
        <v>339</v>
      </c>
      <c r="AG1265" s="29" t="s">
        <v>381</v>
      </c>
      <c r="AH1265" s="28" t="s">
        <v>5647</v>
      </c>
      <c r="AI1265" s="27"/>
      <c r="AJ1265" s="27"/>
      <c r="AK1265" s="27"/>
      <c r="AL1265" s="27"/>
      <c r="AM1265" s="27"/>
      <c r="AN1265" s="27" t="s">
        <v>5702</v>
      </c>
      <c r="AO1265" s="27" t="s">
        <v>5703</v>
      </c>
      <c r="AP1265" s="27"/>
      <c r="AQ1265" s="27"/>
      <c r="AR1265" s="504"/>
      <c r="AS1265" s="332" t="s">
        <v>5704</v>
      </c>
      <c r="AT1265" s="160"/>
    </row>
    <row r="1266" spans="1:46" ht="21.75" hidden="1" customHeight="1">
      <c r="A1266" s="331">
        <v>1265</v>
      </c>
      <c r="B1266" s="28" t="s">
        <v>169</v>
      </c>
      <c r="C1266" s="28" t="s">
        <v>2322</v>
      </c>
      <c r="D1266" s="438" t="s">
        <v>5645</v>
      </c>
      <c r="E1266" s="361" t="str">
        <f t="shared" ca="1" si="47"/>
        <v>LOSS</v>
      </c>
      <c r="F1266" s="29"/>
      <c r="G1266" s="28" t="s">
        <v>5695</v>
      </c>
      <c r="H1266" s="29" t="s">
        <v>2748</v>
      </c>
      <c r="I1266" s="29" t="s">
        <v>242</v>
      </c>
      <c r="J1266" s="28" t="s">
        <v>5705</v>
      </c>
      <c r="K1266" s="28"/>
      <c r="L1266" s="27"/>
      <c r="M1266" s="27"/>
      <c r="N1266" s="29"/>
      <c r="O1266" s="56"/>
      <c r="P1266" s="31">
        <f>12*385500000</f>
        <v>4626000000</v>
      </c>
      <c r="Q1266" s="31"/>
      <c r="R1266" s="27"/>
      <c r="S1266" s="32">
        <v>18000000</v>
      </c>
      <c r="T1266" s="33"/>
      <c r="U1266" s="334">
        <v>44980</v>
      </c>
      <c r="V1266" s="334">
        <v>45344</v>
      </c>
      <c r="W1266" s="27" t="s">
        <v>245</v>
      </c>
      <c r="X1266" s="27"/>
      <c r="Y1266" s="34">
        <f t="shared" ca="1" si="51"/>
        <v>46290</v>
      </c>
      <c r="Z1266" s="35">
        <f t="shared" ca="1" si="48"/>
        <v>-946</v>
      </c>
      <c r="AA1266" s="27">
        <f t="shared" si="49"/>
        <v>2</v>
      </c>
      <c r="AB1266" s="27">
        <f t="shared" si="50"/>
        <v>2024</v>
      </c>
      <c r="AC1266" s="28" t="s">
        <v>479</v>
      </c>
      <c r="AD1266" s="28" t="s">
        <v>5706</v>
      </c>
      <c r="AE1266" s="27">
        <v>4500020050</v>
      </c>
      <c r="AF1266" s="27" t="s">
        <v>339</v>
      </c>
      <c r="AG1266" s="29" t="s">
        <v>381</v>
      </c>
      <c r="AH1266" s="28" t="s">
        <v>5647</v>
      </c>
      <c r="AI1266" s="27"/>
      <c r="AJ1266" s="27"/>
      <c r="AK1266" s="27"/>
      <c r="AL1266" s="27"/>
      <c r="AM1266" s="27"/>
      <c r="AN1266" s="27"/>
      <c r="AO1266" s="27" t="s">
        <v>5707</v>
      </c>
      <c r="AP1266" s="27"/>
      <c r="AQ1266" s="27"/>
      <c r="AR1266" s="504"/>
      <c r="AS1266" s="332"/>
      <c r="AT1266" s="160"/>
    </row>
    <row r="1267" spans="1:46" ht="21.75" hidden="1" customHeight="1">
      <c r="A1267" s="331">
        <v>1266</v>
      </c>
      <c r="B1267" s="28" t="s">
        <v>169</v>
      </c>
      <c r="C1267" s="28" t="s">
        <v>5708</v>
      </c>
      <c r="D1267" s="437" t="s">
        <v>5645</v>
      </c>
      <c r="E1267" s="361" t="str">
        <f t="shared" ca="1" si="47"/>
        <v>LOSS</v>
      </c>
      <c r="F1267" s="29"/>
      <c r="G1267" s="28" t="s">
        <v>5709</v>
      </c>
      <c r="H1267" s="29" t="s">
        <v>2748</v>
      </c>
      <c r="I1267" s="29" t="s">
        <v>242</v>
      </c>
      <c r="J1267" s="28" t="s">
        <v>1289</v>
      </c>
      <c r="K1267" s="28"/>
      <c r="L1267" s="27"/>
      <c r="M1267" s="27"/>
      <c r="N1267" s="29"/>
      <c r="O1267" s="56"/>
      <c r="P1267" s="31">
        <v>288000000</v>
      </c>
      <c r="Q1267" s="31"/>
      <c r="R1267" s="27"/>
      <c r="S1267" s="32">
        <v>18000000</v>
      </c>
      <c r="T1267" s="33"/>
      <c r="U1267" s="334">
        <v>44232</v>
      </c>
      <c r="V1267" s="334">
        <v>44596</v>
      </c>
      <c r="W1267" s="27" t="s">
        <v>250</v>
      </c>
      <c r="X1267" s="27"/>
      <c r="Y1267" s="34">
        <f t="shared" ca="1" si="51"/>
        <v>46290</v>
      </c>
      <c r="Z1267" s="35">
        <f t="shared" ca="1" si="48"/>
        <v>-1694</v>
      </c>
      <c r="AA1267" s="27">
        <f t="shared" si="49"/>
        <v>2</v>
      </c>
      <c r="AB1267" s="27">
        <f t="shared" si="50"/>
        <v>2022</v>
      </c>
      <c r="AC1267" s="28" t="s">
        <v>479</v>
      </c>
      <c r="AD1267" s="28" t="s">
        <v>1290</v>
      </c>
      <c r="AE1267" s="27">
        <v>4500015757</v>
      </c>
      <c r="AF1267" s="27" t="s">
        <v>339</v>
      </c>
      <c r="AG1267" s="29" t="s">
        <v>381</v>
      </c>
      <c r="AH1267" s="28" t="s">
        <v>5647</v>
      </c>
      <c r="AI1267" s="27"/>
      <c r="AJ1267" s="27"/>
      <c r="AK1267" s="27"/>
      <c r="AL1267" s="27"/>
      <c r="AM1267" s="27" t="s">
        <v>5710</v>
      </c>
      <c r="AN1267" s="27"/>
      <c r="AO1267" s="27"/>
      <c r="AP1267" s="27"/>
      <c r="AQ1267" s="27"/>
      <c r="AR1267" s="504"/>
      <c r="AS1267" s="332"/>
      <c r="AT1267" s="160"/>
    </row>
    <row r="1268" spans="1:46" ht="21.75" hidden="1" customHeight="1">
      <c r="A1268" s="331">
        <v>1267</v>
      </c>
      <c r="B1268" s="28" t="s">
        <v>169</v>
      </c>
      <c r="C1268" s="28" t="s">
        <v>5711</v>
      </c>
      <c r="D1268" s="438" t="s">
        <v>5645</v>
      </c>
      <c r="E1268" s="361" t="str">
        <f t="shared" ca="1" si="47"/>
        <v>LOSS</v>
      </c>
      <c r="F1268" s="29"/>
      <c r="G1268" s="28" t="s">
        <v>5712</v>
      </c>
      <c r="H1268" s="29" t="s">
        <v>2748</v>
      </c>
      <c r="I1268" s="29" t="s">
        <v>242</v>
      </c>
      <c r="J1268" s="28" t="s">
        <v>5713</v>
      </c>
      <c r="K1268" s="28"/>
      <c r="L1268" s="27"/>
      <c r="M1268" s="27"/>
      <c r="N1268" s="29"/>
      <c r="O1268" s="56"/>
      <c r="P1268" s="31">
        <v>300000000</v>
      </c>
      <c r="Q1268" s="31"/>
      <c r="R1268" s="30"/>
      <c r="S1268" s="32">
        <v>2500000</v>
      </c>
      <c r="T1268" s="33"/>
      <c r="U1268" s="334">
        <v>44103</v>
      </c>
      <c r="V1268" s="334">
        <v>44467</v>
      </c>
      <c r="W1268" s="27" t="s">
        <v>245</v>
      </c>
      <c r="X1268" s="27"/>
      <c r="Y1268" s="34">
        <f t="shared" ca="1" si="51"/>
        <v>46290</v>
      </c>
      <c r="Z1268" s="35">
        <f t="shared" ca="1" si="48"/>
        <v>-1823</v>
      </c>
      <c r="AA1268" s="27">
        <f t="shared" si="49"/>
        <v>9</v>
      </c>
      <c r="AB1268" s="27">
        <f t="shared" si="50"/>
        <v>2021</v>
      </c>
      <c r="AC1268" s="28" t="s">
        <v>479</v>
      </c>
      <c r="AD1268" s="28" t="s">
        <v>656</v>
      </c>
      <c r="AE1268" s="27">
        <v>4500015060</v>
      </c>
      <c r="AF1268" s="27" t="s">
        <v>339</v>
      </c>
      <c r="AG1268" s="29" t="s">
        <v>381</v>
      </c>
      <c r="AH1268" s="28" t="s">
        <v>5647</v>
      </c>
      <c r="AI1268" s="27"/>
      <c r="AJ1268" s="27"/>
      <c r="AK1268" s="27"/>
      <c r="AL1268" s="27" t="s">
        <v>5714</v>
      </c>
      <c r="AM1268" s="27"/>
      <c r="AN1268" s="27"/>
      <c r="AO1268" s="27"/>
      <c r="AP1268" s="27"/>
      <c r="AQ1268" s="27"/>
      <c r="AR1268" s="504"/>
      <c r="AS1268" s="332" t="s">
        <v>2867</v>
      </c>
      <c r="AT1268" s="160"/>
    </row>
    <row r="1269" spans="1:46" ht="21.75" hidden="1" customHeight="1">
      <c r="A1269" s="331">
        <v>1268</v>
      </c>
      <c r="B1269" s="28" t="s">
        <v>169</v>
      </c>
      <c r="C1269" s="28" t="s">
        <v>1629</v>
      </c>
      <c r="D1269" s="437" t="s">
        <v>5645</v>
      </c>
      <c r="E1269" s="361" t="str">
        <f t="shared" ca="1" si="47"/>
        <v>LOSS</v>
      </c>
      <c r="F1269" s="29"/>
      <c r="G1269" s="28" t="s">
        <v>5715</v>
      </c>
      <c r="H1269" s="29" t="s">
        <v>2748</v>
      </c>
      <c r="I1269" s="29" t="s">
        <v>242</v>
      </c>
      <c r="J1269" s="28" t="s">
        <v>1631</v>
      </c>
      <c r="K1269" s="28"/>
      <c r="L1269" s="27"/>
      <c r="M1269" s="27"/>
      <c r="N1269" s="29"/>
      <c r="O1269" s="56"/>
      <c r="P1269" s="31">
        <v>300000000</v>
      </c>
      <c r="Q1269" s="31"/>
      <c r="R1269" s="27"/>
      <c r="S1269" s="32">
        <v>36000000</v>
      </c>
      <c r="T1269" s="33"/>
      <c r="U1269" s="334">
        <v>44680</v>
      </c>
      <c r="V1269" s="334">
        <v>45044</v>
      </c>
      <c r="W1269" s="27" t="s">
        <v>250</v>
      </c>
      <c r="X1269" s="27"/>
      <c r="Y1269" s="34">
        <f t="shared" ca="1" si="51"/>
        <v>46290</v>
      </c>
      <c r="Z1269" s="35">
        <f t="shared" ca="1" si="48"/>
        <v>-1246</v>
      </c>
      <c r="AA1269" s="27">
        <f t="shared" si="49"/>
        <v>4</v>
      </c>
      <c r="AB1269" s="27">
        <f t="shared" si="50"/>
        <v>2023</v>
      </c>
      <c r="AC1269" s="28" t="s">
        <v>5716</v>
      </c>
      <c r="AD1269" s="28" t="s">
        <v>2585</v>
      </c>
      <c r="AE1269" s="27">
        <v>4500018118</v>
      </c>
      <c r="AF1269" s="27" t="s">
        <v>339</v>
      </c>
      <c r="AG1269" s="29" t="s">
        <v>381</v>
      </c>
      <c r="AH1269" s="28" t="s">
        <v>5647</v>
      </c>
      <c r="AI1269" s="27"/>
      <c r="AJ1269" s="27"/>
      <c r="AK1269" s="27"/>
      <c r="AL1269" s="27"/>
      <c r="AM1269" s="27" t="s">
        <v>5717</v>
      </c>
      <c r="AN1269" s="27" t="s">
        <v>5718</v>
      </c>
      <c r="AO1269" s="27"/>
      <c r="AP1269" s="27"/>
      <c r="AQ1269" s="27"/>
      <c r="AR1269" s="504"/>
      <c r="AS1269" s="332"/>
      <c r="AT1269" s="160"/>
    </row>
    <row r="1270" spans="1:46" ht="21.75" hidden="1" customHeight="1">
      <c r="A1270" s="331">
        <v>1269</v>
      </c>
      <c r="B1270" s="28" t="s">
        <v>169</v>
      </c>
      <c r="C1270" s="28" t="s">
        <v>5719</v>
      </c>
      <c r="D1270" s="438" t="s">
        <v>862</v>
      </c>
      <c r="E1270" s="361" t="str">
        <f t="shared" ca="1" si="47"/>
        <v>LOSS</v>
      </c>
      <c r="F1270" s="29"/>
      <c r="G1270" s="28" t="s">
        <v>5720</v>
      </c>
      <c r="H1270" s="29" t="s">
        <v>2748</v>
      </c>
      <c r="I1270" s="29" t="s">
        <v>242</v>
      </c>
      <c r="J1270" s="28" t="s">
        <v>2237</v>
      </c>
      <c r="K1270" s="28"/>
      <c r="L1270" s="27"/>
      <c r="M1270" s="27"/>
      <c r="N1270" s="29"/>
      <c r="O1270" s="56"/>
      <c r="P1270" s="31">
        <f>12*24500000</f>
        <v>294000000</v>
      </c>
      <c r="Q1270" s="31"/>
      <c r="R1270" s="30"/>
      <c r="S1270" s="32">
        <v>18000000</v>
      </c>
      <c r="T1270" s="33"/>
      <c r="U1270" s="334">
        <v>45259</v>
      </c>
      <c r="V1270" s="334">
        <v>45624</v>
      </c>
      <c r="W1270" s="27" t="s">
        <v>250</v>
      </c>
      <c r="X1270" s="27"/>
      <c r="Y1270" s="34">
        <f t="shared" ca="1" si="51"/>
        <v>46290</v>
      </c>
      <c r="Z1270" s="35">
        <f t="shared" ca="1" si="48"/>
        <v>-666</v>
      </c>
      <c r="AA1270" s="27">
        <f t="shared" si="49"/>
        <v>11</v>
      </c>
      <c r="AB1270" s="27">
        <f t="shared" si="50"/>
        <v>2024</v>
      </c>
      <c r="AC1270" s="28" t="s">
        <v>5721</v>
      </c>
      <c r="AD1270" s="28">
        <v>2446</v>
      </c>
      <c r="AE1270" s="27">
        <v>4500022185</v>
      </c>
      <c r="AF1270" s="27" t="s">
        <v>339</v>
      </c>
      <c r="AG1270" s="29" t="s">
        <v>381</v>
      </c>
      <c r="AH1270" s="28" t="s">
        <v>5647</v>
      </c>
      <c r="AI1270" s="27"/>
      <c r="AJ1270" s="27"/>
      <c r="AK1270" s="27"/>
      <c r="AL1270" s="27"/>
      <c r="AM1270" s="27"/>
      <c r="AN1270" s="27" t="s">
        <v>5722</v>
      </c>
      <c r="AO1270" s="27" t="s">
        <v>5723</v>
      </c>
      <c r="AP1270" s="27"/>
      <c r="AQ1270" s="27"/>
      <c r="AR1270" s="504"/>
      <c r="AS1270" s="332" t="s">
        <v>5724</v>
      </c>
      <c r="AT1270" s="160"/>
    </row>
    <row r="1271" spans="1:46" ht="21.75" hidden="1" customHeight="1">
      <c r="A1271" s="331">
        <v>1270</v>
      </c>
      <c r="B1271" s="28" t="s">
        <v>169</v>
      </c>
      <c r="C1271" s="28" t="s">
        <v>5725</v>
      </c>
      <c r="D1271" s="437" t="s">
        <v>5726</v>
      </c>
      <c r="E1271" s="361" t="str">
        <f t="shared" ca="1" si="47"/>
        <v>LOSS</v>
      </c>
      <c r="F1271" s="29"/>
      <c r="G1271" s="28" t="s">
        <v>5727</v>
      </c>
      <c r="H1271" s="29" t="s">
        <v>2748</v>
      </c>
      <c r="I1271" s="29" t="s">
        <v>242</v>
      </c>
      <c r="J1271" s="28" t="s">
        <v>1332</v>
      </c>
      <c r="K1271" s="28"/>
      <c r="L1271" s="27"/>
      <c r="M1271" s="27"/>
      <c r="N1271" s="29"/>
      <c r="O1271" s="56"/>
      <c r="P1271" s="31">
        <v>324000000</v>
      </c>
      <c r="Q1271" s="31"/>
      <c r="R1271" s="27"/>
      <c r="S1271" s="32">
        <v>18000000</v>
      </c>
      <c r="T1271" s="33"/>
      <c r="U1271" s="334">
        <v>44559</v>
      </c>
      <c r="V1271" s="334">
        <v>44923</v>
      </c>
      <c r="W1271" s="27" t="s">
        <v>250</v>
      </c>
      <c r="X1271" s="27"/>
      <c r="Y1271" s="34">
        <f t="shared" ca="1" si="51"/>
        <v>46290</v>
      </c>
      <c r="Z1271" s="35">
        <f t="shared" ca="1" si="48"/>
        <v>-1367</v>
      </c>
      <c r="AA1271" s="27">
        <f t="shared" si="49"/>
        <v>12</v>
      </c>
      <c r="AB1271" s="27">
        <f t="shared" si="50"/>
        <v>2022</v>
      </c>
      <c r="AC1271" s="28" t="s">
        <v>5728</v>
      </c>
      <c r="AD1271" s="28" t="s">
        <v>5729</v>
      </c>
      <c r="AE1271" s="27">
        <v>4500017435</v>
      </c>
      <c r="AF1271" s="27" t="s">
        <v>339</v>
      </c>
      <c r="AG1271" s="29" t="s">
        <v>381</v>
      </c>
      <c r="AH1271" s="28" t="s">
        <v>5647</v>
      </c>
      <c r="AI1271" s="27"/>
      <c r="AJ1271" s="27"/>
      <c r="AK1271" s="27"/>
      <c r="AL1271" s="27" t="s">
        <v>5730</v>
      </c>
      <c r="AM1271" s="27"/>
      <c r="AN1271" s="27" t="s">
        <v>5731</v>
      </c>
      <c r="AO1271" s="27"/>
      <c r="AP1271" s="27"/>
      <c r="AQ1271" s="27"/>
      <c r="AR1271" s="504"/>
      <c r="AS1271" s="332"/>
      <c r="AT1271" s="160"/>
    </row>
    <row r="1272" spans="1:46" ht="21.75" hidden="1" customHeight="1">
      <c r="A1272" s="331">
        <v>1271</v>
      </c>
      <c r="B1272" s="28" t="s">
        <v>169</v>
      </c>
      <c r="C1272" s="28" t="s">
        <v>5732</v>
      </c>
      <c r="D1272" s="438" t="s">
        <v>5726</v>
      </c>
      <c r="E1272" s="361" t="str">
        <f t="shared" ca="1" si="47"/>
        <v>LOSS</v>
      </c>
      <c r="F1272" s="29"/>
      <c r="G1272" s="28" t="s">
        <v>5733</v>
      </c>
      <c r="H1272" s="29" t="s">
        <v>2748</v>
      </c>
      <c r="I1272" s="29" t="s">
        <v>242</v>
      </c>
      <c r="J1272" s="28" t="s">
        <v>5734</v>
      </c>
      <c r="K1272" s="28"/>
      <c r="L1272" s="27"/>
      <c r="M1272" s="27"/>
      <c r="N1272" s="29"/>
      <c r="O1272" s="56"/>
      <c r="P1272" s="43" t="s">
        <v>115</v>
      </c>
      <c r="Q1272" s="43"/>
      <c r="R1272" s="27"/>
      <c r="S1272" s="32">
        <v>1500000</v>
      </c>
      <c r="T1272" s="33"/>
      <c r="U1272" s="334">
        <v>44815</v>
      </c>
      <c r="V1272" s="334">
        <v>44844</v>
      </c>
      <c r="W1272" s="27" t="s">
        <v>245</v>
      </c>
      <c r="X1272" s="27"/>
      <c r="Y1272" s="34">
        <f t="shared" ca="1" si="51"/>
        <v>46290</v>
      </c>
      <c r="Z1272" s="35">
        <f t="shared" ca="1" si="48"/>
        <v>-1446</v>
      </c>
      <c r="AA1272" s="27">
        <f t="shared" si="49"/>
        <v>10</v>
      </c>
      <c r="AB1272" s="27">
        <f t="shared" si="50"/>
        <v>2022</v>
      </c>
      <c r="AC1272" s="28" t="s">
        <v>479</v>
      </c>
      <c r="AD1272" s="28" t="s">
        <v>2049</v>
      </c>
      <c r="AE1272" s="27">
        <v>4500019071</v>
      </c>
      <c r="AF1272" s="27" t="s">
        <v>339</v>
      </c>
      <c r="AG1272" s="29" t="s">
        <v>381</v>
      </c>
      <c r="AH1272" s="28" t="s">
        <v>5647</v>
      </c>
      <c r="AI1272" s="27"/>
      <c r="AJ1272" s="27"/>
      <c r="AK1272" s="27"/>
      <c r="AL1272" s="27"/>
      <c r="AM1272" s="27"/>
      <c r="AN1272" s="27" t="s">
        <v>5735</v>
      </c>
      <c r="AO1272" s="27"/>
      <c r="AP1272" s="27"/>
      <c r="AQ1272" s="27"/>
      <c r="AR1272" s="504"/>
      <c r="AS1272" s="332" t="s">
        <v>5736</v>
      </c>
      <c r="AT1272" s="160"/>
    </row>
    <row r="1273" spans="1:46" ht="21.75" hidden="1" customHeight="1">
      <c r="A1273" s="331">
        <v>1272</v>
      </c>
      <c r="B1273" s="28" t="s">
        <v>169</v>
      </c>
      <c r="C1273" s="38" t="s">
        <v>115</v>
      </c>
      <c r="D1273" s="437" t="s">
        <v>5726</v>
      </c>
      <c r="E1273" s="361" t="str">
        <f t="shared" ca="1" si="47"/>
        <v>LOSS</v>
      </c>
      <c r="F1273" s="29"/>
      <c r="G1273" s="28" t="s">
        <v>5737</v>
      </c>
      <c r="H1273" s="29" t="s">
        <v>2748</v>
      </c>
      <c r="I1273" s="29" t="s">
        <v>242</v>
      </c>
      <c r="J1273" s="38" t="s">
        <v>115</v>
      </c>
      <c r="K1273" s="38"/>
      <c r="L1273" s="48"/>
      <c r="M1273" s="48"/>
      <c r="N1273" s="36"/>
      <c r="O1273" s="196"/>
      <c r="P1273" s="43" t="s">
        <v>115</v>
      </c>
      <c r="Q1273" s="43"/>
      <c r="R1273" s="48"/>
      <c r="S1273" s="32">
        <v>18000000</v>
      </c>
      <c r="T1273" s="33"/>
      <c r="U1273" s="334">
        <v>44876</v>
      </c>
      <c r="V1273" s="334">
        <v>45240</v>
      </c>
      <c r="W1273" s="27" t="s">
        <v>250</v>
      </c>
      <c r="X1273" s="27"/>
      <c r="Y1273" s="34">
        <f t="shared" ca="1" si="51"/>
        <v>46290</v>
      </c>
      <c r="Z1273" s="35">
        <f t="shared" ca="1" si="48"/>
        <v>-1050</v>
      </c>
      <c r="AA1273" s="27">
        <f t="shared" si="49"/>
        <v>11</v>
      </c>
      <c r="AB1273" s="27">
        <f t="shared" si="50"/>
        <v>2023</v>
      </c>
      <c r="AC1273" s="28" t="s">
        <v>479</v>
      </c>
      <c r="AD1273" s="28" t="s">
        <v>2409</v>
      </c>
      <c r="AE1273" s="27">
        <v>4500019383</v>
      </c>
      <c r="AF1273" s="27" t="s">
        <v>339</v>
      </c>
      <c r="AG1273" s="29" t="s">
        <v>381</v>
      </c>
      <c r="AH1273" s="28" t="s">
        <v>5647</v>
      </c>
      <c r="AI1273" s="27"/>
      <c r="AJ1273" s="27"/>
      <c r="AK1273" s="27"/>
      <c r="AL1273" s="27"/>
      <c r="AM1273" s="27"/>
      <c r="AN1273" s="27" t="s">
        <v>5738</v>
      </c>
      <c r="AO1273" s="27"/>
      <c r="AP1273" s="27"/>
      <c r="AQ1273" s="27"/>
      <c r="AR1273" s="504"/>
      <c r="AS1273" s="332" t="s">
        <v>5739</v>
      </c>
      <c r="AT1273" s="160"/>
    </row>
    <row r="1274" spans="1:46" ht="21.75" hidden="1" customHeight="1">
      <c r="A1274" s="331">
        <v>1273</v>
      </c>
      <c r="B1274" s="28" t="s">
        <v>169</v>
      </c>
      <c r="C1274" s="28" t="s">
        <v>5740</v>
      </c>
      <c r="D1274" s="438" t="s">
        <v>5645</v>
      </c>
      <c r="E1274" s="361" t="str">
        <f t="shared" ca="1" si="47"/>
        <v>LOSS</v>
      </c>
      <c r="F1274" s="29"/>
      <c r="G1274" s="28" t="s">
        <v>5741</v>
      </c>
      <c r="H1274" s="29" t="s">
        <v>2748</v>
      </c>
      <c r="I1274" s="29" t="s">
        <v>242</v>
      </c>
      <c r="J1274" s="28" t="s">
        <v>5742</v>
      </c>
      <c r="K1274" s="28"/>
      <c r="L1274" s="27"/>
      <c r="M1274" s="27"/>
      <c r="N1274" s="29"/>
      <c r="O1274" s="56"/>
      <c r="P1274" s="31">
        <v>840000000</v>
      </c>
      <c r="Q1274" s="31"/>
      <c r="R1274" s="30"/>
      <c r="S1274" s="32">
        <v>2500000</v>
      </c>
      <c r="T1274" s="33"/>
      <c r="U1274" s="334">
        <v>44099</v>
      </c>
      <c r="V1274" s="334">
        <v>44463</v>
      </c>
      <c r="W1274" s="27" t="s">
        <v>250</v>
      </c>
      <c r="X1274" s="27"/>
      <c r="Y1274" s="34">
        <f t="shared" ca="1" si="51"/>
        <v>46290</v>
      </c>
      <c r="Z1274" s="35">
        <f t="shared" ca="1" si="48"/>
        <v>-1827</v>
      </c>
      <c r="AA1274" s="27">
        <f t="shared" si="49"/>
        <v>9</v>
      </c>
      <c r="AB1274" s="27">
        <f t="shared" si="50"/>
        <v>2021</v>
      </c>
      <c r="AC1274" s="28" t="s">
        <v>479</v>
      </c>
      <c r="AD1274" s="28" t="s">
        <v>580</v>
      </c>
      <c r="AE1274" s="27">
        <v>4500015013</v>
      </c>
      <c r="AF1274" s="27" t="s">
        <v>339</v>
      </c>
      <c r="AG1274" s="29" t="s">
        <v>381</v>
      </c>
      <c r="AH1274" s="28" t="s">
        <v>5647</v>
      </c>
      <c r="AI1274" s="27"/>
      <c r="AJ1274" s="27"/>
      <c r="AK1274" s="27"/>
      <c r="AL1274" s="27" t="s">
        <v>5743</v>
      </c>
      <c r="AM1274" s="27"/>
      <c r="AN1274" s="27"/>
      <c r="AO1274" s="27"/>
      <c r="AP1274" s="27"/>
      <c r="AQ1274" s="27"/>
      <c r="AR1274" s="504"/>
      <c r="AS1274" s="332" t="s">
        <v>4217</v>
      </c>
      <c r="AT1274" s="160"/>
    </row>
    <row r="1275" spans="1:46" ht="21.75" hidden="1" customHeight="1">
      <c r="A1275" s="331">
        <v>1274</v>
      </c>
      <c r="B1275" s="28" t="s">
        <v>169</v>
      </c>
      <c r="C1275" s="28" t="s">
        <v>5725</v>
      </c>
      <c r="D1275" s="437" t="s">
        <v>5744</v>
      </c>
      <c r="E1275" s="361" t="str">
        <f t="shared" ca="1" si="47"/>
        <v>LOSS</v>
      </c>
      <c r="F1275" s="29"/>
      <c r="G1275" s="28" t="s">
        <v>5745</v>
      </c>
      <c r="H1275" s="29" t="s">
        <v>2748</v>
      </c>
      <c r="I1275" s="29" t="s">
        <v>242</v>
      </c>
      <c r="J1275" s="28" t="s">
        <v>1228</v>
      </c>
      <c r="K1275" s="28"/>
      <c r="L1275" s="27"/>
      <c r="M1275" s="27"/>
      <c r="N1275" s="29"/>
      <c r="O1275" s="56"/>
      <c r="P1275" s="31">
        <v>57000000</v>
      </c>
      <c r="Q1275" s="31"/>
      <c r="R1275" s="27"/>
      <c r="S1275" s="32">
        <v>18000000</v>
      </c>
      <c r="T1275" s="33"/>
      <c r="U1275" s="334">
        <v>44554</v>
      </c>
      <c r="V1275" s="334">
        <v>44918</v>
      </c>
      <c r="W1275" s="27" t="s">
        <v>250</v>
      </c>
      <c r="X1275" s="27"/>
      <c r="Y1275" s="34">
        <f t="shared" ca="1" si="51"/>
        <v>46290</v>
      </c>
      <c r="Z1275" s="35">
        <f t="shared" ca="1" si="48"/>
        <v>-1372</v>
      </c>
      <c r="AA1275" s="27">
        <f t="shared" si="49"/>
        <v>12</v>
      </c>
      <c r="AB1275" s="27">
        <f t="shared" si="50"/>
        <v>2022</v>
      </c>
      <c r="AC1275" s="28" t="s">
        <v>5746</v>
      </c>
      <c r="AD1275" s="28" t="s">
        <v>5747</v>
      </c>
      <c r="AE1275" s="27">
        <v>4500017434</v>
      </c>
      <c r="AF1275" s="27" t="s">
        <v>339</v>
      </c>
      <c r="AG1275" s="29" t="s">
        <v>381</v>
      </c>
      <c r="AH1275" s="28" t="s">
        <v>5647</v>
      </c>
      <c r="AI1275" s="27"/>
      <c r="AJ1275" s="27"/>
      <c r="AK1275" s="27"/>
      <c r="AL1275" s="27" t="s">
        <v>5748</v>
      </c>
      <c r="AM1275" s="27"/>
      <c r="AN1275" s="27" t="s">
        <v>5749</v>
      </c>
      <c r="AO1275" s="27"/>
      <c r="AP1275" s="27"/>
      <c r="AQ1275" s="27"/>
      <c r="AR1275" s="504"/>
      <c r="AS1275" s="332"/>
      <c r="AT1275" s="160"/>
    </row>
    <row r="1276" spans="1:46" ht="21.75" hidden="1" customHeight="1">
      <c r="A1276" s="331">
        <v>1275</v>
      </c>
      <c r="B1276" s="28" t="s">
        <v>169</v>
      </c>
      <c r="C1276" s="28" t="s">
        <v>5750</v>
      </c>
      <c r="D1276" s="438" t="s">
        <v>5726</v>
      </c>
      <c r="E1276" s="361" t="str">
        <f t="shared" ca="1" si="47"/>
        <v>LOSS</v>
      </c>
      <c r="F1276" s="29"/>
      <c r="G1276" s="28" t="s">
        <v>5751</v>
      </c>
      <c r="H1276" s="29" t="s">
        <v>2748</v>
      </c>
      <c r="I1276" s="29" t="s">
        <v>242</v>
      </c>
      <c r="J1276" s="28" t="s">
        <v>5752</v>
      </c>
      <c r="K1276" s="28"/>
      <c r="L1276" s="27"/>
      <c r="M1276" s="27"/>
      <c r="N1276" s="29"/>
      <c r="O1276" s="56"/>
      <c r="P1276" s="31">
        <f>12*398000000</f>
        <v>4776000000</v>
      </c>
      <c r="Q1276" s="31"/>
      <c r="R1276" s="27"/>
      <c r="S1276" s="32">
        <v>18000000</v>
      </c>
      <c r="T1276" s="33"/>
      <c r="U1276" s="334">
        <v>44881</v>
      </c>
      <c r="V1276" s="334">
        <v>45245</v>
      </c>
      <c r="W1276" s="27" t="s">
        <v>250</v>
      </c>
      <c r="X1276" s="27"/>
      <c r="Y1276" s="34">
        <f t="shared" ca="1" si="51"/>
        <v>46290</v>
      </c>
      <c r="Z1276" s="35">
        <f t="shared" ca="1" si="48"/>
        <v>-1045</v>
      </c>
      <c r="AA1276" s="27">
        <f t="shared" si="49"/>
        <v>11</v>
      </c>
      <c r="AB1276" s="27">
        <f t="shared" si="50"/>
        <v>2023</v>
      </c>
      <c r="AC1276" s="28" t="s">
        <v>479</v>
      </c>
      <c r="AD1276" s="28" t="s">
        <v>2408</v>
      </c>
      <c r="AE1276" s="27">
        <v>4500019440</v>
      </c>
      <c r="AF1276" s="27" t="s">
        <v>339</v>
      </c>
      <c r="AG1276" s="29" t="s">
        <v>381</v>
      </c>
      <c r="AH1276" s="28" t="s">
        <v>5647</v>
      </c>
      <c r="AI1276" s="27"/>
      <c r="AJ1276" s="27"/>
      <c r="AK1276" s="27"/>
      <c r="AL1276" s="27"/>
      <c r="AM1276" s="27"/>
      <c r="AN1276" s="27" t="s">
        <v>5753</v>
      </c>
      <c r="AO1276" s="27"/>
      <c r="AP1276" s="27"/>
      <c r="AQ1276" s="27"/>
      <c r="AR1276" s="504"/>
      <c r="AS1276" s="332"/>
      <c r="AT1276" s="160"/>
    </row>
    <row r="1277" spans="1:46" ht="21.75" hidden="1" customHeight="1">
      <c r="A1277" s="331">
        <v>1276</v>
      </c>
      <c r="B1277" s="28" t="s">
        <v>169</v>
      </c>
      <c r="C1277" s="28" t="s">
        <v>3484</v>
      </c>
      <c r="D1277" s="437" t="s">
        <v>862</v>
      </c>
      <c r="E1277" s="361" t="str">
        <f t="shared" ca="1" si="47"/>
        <v>LOSS</v>
      </c>
      <c r="F1277" s="29"/>
      <c r="G1277" s="28" t="s">
        <v>5754</v>
      </c>
      <c r="H1277" s="29" t="s">
        <v>2748</v>
      </c>
      <c r="I1277" s="29" t="s">
        <v>242</v>
      </c>
      <c r="J1277" s="28" t="s">
        <v>1231</v>
      </c>
      <c r="K1277" s="28"/>
      <c r="L1277" s="27"/>
      <c r="M1277" s="27"/>
      <c r="N1277" s="29"/>
      <c r="O1277" s="56"/>
      <c r="P1277" s="31">
        <v>28800000</v>
      </c>
      <c r="Q1277" s="31"/>
      <c r="R1277" s="27"/>
      <c r="S1277" s="32">
        <v>18000000</v>
      </c>
      <c r="T1277" s="33"/>
      <c r="U1277" s="334">
        <v>45284</v>
      </c>
      <c r="V1277" s="334">
        <v>45649</v>
      </c>
      <c r="W1277" s="27" t="s">
        <v>250</v>
      </c>
      <c r="X1277" s="27"/>
      <c r="Y1277" s="34">
        <f t="shared" ca="1" si="51"/>
        <v>46290</v>
      </c>
      <c r="Z1277" s="35">
        <f t="shared" ca="1" si="48"/>
        <v>-641</v>
      </c>
      <c r="AA1277" s="27">
        <f t="shared" si="49"/>
        <v>12</v>
      </c>
      <c r="AB1277" s="27">
        <f t="shared" si="50"/>
        <v>2024</v>
      </c>
      <c r="AC1277" s="28" t="s">
        <v>5755</v>
      </c>
      <c r="AD1277" s="28" t="s">
        <v>5756</v>
      </c>
      <c r="AE1277" s="27">
        <v>4500022979</v>
      </c>
      <c r="AF1277" s="27" t="s">
        <v>339</v>
      </c>
      <c r="AG1277" s="29" t="s">
        <v>381</v>
      </c>
      <c r="AH1277" s="28" t="s">
        <v>5647</v>
      </c>
      <c r="AI1277" s="27"/>
      <c r="AJ1277" s="27"/>
      <c r="AK1277" s="27"/>
      <c r="AL1277" s="27" t="s">
        <v>5757</v>
      </c>
      <c r="AM1277" s="27"/>
      <c r="AN1277" s="27" t="s">
        <v>5758</v>
      </c>
      <c r="AO1277" s="27" t="s">
        <v>5759</v>
      </c>
      <c r="AP1277" s="27" t="s">
        <v>5760</v>
      </c>
      <c r="AQ1277" s="27"/>
      <c r="AR1277" s="504"/>
      <c r="AS1277" s="332"/>
      <c r="AT1277" s="160"/>
    </row>
    <row r="1278" spans="1:46" ht="21.75" hidden="1" customHeight="1">
      <c r="A1278" s="331">
        <v>1277</v>
      </c>
      <c r="B1278" s="28" t="s">
        <v>169</v>
      </c>
      <c r="C1278" s="28" t="s">
        <v>5761</v>
      </c>
      <c r="D1278" s="438" t="s">
        <v>5645</v>
      </c>
      <c r="E1278" s="361" t="str">
        <f t="shared" ca="1" si="47"/>
        <v>LOSS</v>
      </c>
      <c r="F1278" s="29"/>
      <c r="G1278" s="28" t="s">
        <v>5762</v>
      </c>
      <c r="H1278" s="29" t="s">
        <v>2748</v>
      </c>
      <c r="I1278" s="29" t="s">
        <v>242</v>
      </c>
      <c r="J1278" s="28" t="s">
        <v>1024</v>
      </c>
      <c r="K1278" s="28"/>
      <c r="L1278" s="27"/>
      <c r="M1278" s="27"/>
      <c r="N1278" s="29"/>
      <c r="O1278" s="56"/>
      <c r="P1278" s="31"/>
      <c r="Q1278" s="31"/>
      <c r="R1278" s="27"/>
      <c r="S1278" s="32">
        <v>2500000</v>
      </c>
      <c r="T1278" s="33"/>
      <c r="U1278" s="334">
        <v>44399</v>
      </c>
      <c r="V1278" s="334">
        <v>44763</v>
      </c>
      <c r="W1278" s="27" t="s">
        <v>245</v>
      </c>
      <c r="X1278" s="27"/>
      <c r="Y1278" s="34">
        <f t="shared" ca="1" si="51"/>
        <v>46290</v>
      </c>
      <c r="Z1278" s="35">
        <f t="shared" ca="1" si="48"/>
        <v>-1527</v>
      </c>
      <c r="AA1278" s="27">
        <f t="shared" si="49"/>
        <v>7</v>
      </c>
      <c r="AB1278" s="27">
        <f t="shared" si="50"/>
        <v>2022</v>
      </c>
      <c r="AC1278" s="28" t="s">
        <v>5763</v>
      </c>
      <c r="AD1278" s="28" t="s">
        <v>1856</v>
      </c>
      <c r="AE1278" s="27">
        <v>4500016505</v>
      </c>
      <c r="AF1278" s="27" t="s">
        <v>339</v>
      </c>
      <c r="AG1278" s="29" t="s">
        <v>381</v>
      </c>
      <c r="AH1278" s="28" t="s">
        <v>5647</v>
      </c>
      <c r="AI1278" s="27"/>
      <c r="AJ1278" s="27"/>
      <c r="AK1278" s="27"/>
      <c r="AL1278" s="27" t="s">
        <v>5764</v>
      </c>
      <c r="AM1278" s="27" t="s">
        <v>5765</v>
      </c>
      <c r="AN1278" s="27"/>
      <c r="AO1278" s="27"/>
      <c r="AP1278" s="27"/>
      <c r="AQ1278" s="27"/>
      <c r="AR1278" s="504"/>
      <c r="AS1278" s="332"/>
      <c r="AT1278" s="160"/>
    </row>
    <row r="1279" spans="1:46" ht="21.75" hidden="1" customHeight="1">
      <c r="A1279" s="331">
        <v>1278</v>
      </c>
      <c r="B1279" s="28" t="s">
        <v>169</v>
      </c>
      <c r="C1279" s="28"/>
      <c r="D1279" s="437" t="s">
        <v>5645</v>
      </c>
      <c r="E1279" s="361" t="str">
        <f t="shared" ca="1" si="47"/>
        <v>LOSS</v>
      </c>
      <c r="F1279" s="29"/>
      <c r="G1279" s="28" t="s">
        <v>5645</v>
      </c>
      <c r="H1279" s="29" t="s">
        <v>2748</v>
      </c>
      <c r="I1279" s="29" t="s">
        <v>346</v>
      </c>
      <c r="J1279" s="28" t="s">
        <v>5766</v>
      </c>
      <c r="K1279" s="28"/>
      <c r="L1279" s="27"/>
      <c r="M1279" s="27"/>
      <c r="N1279" s="29"/>
      <c r="O1279" s="56"/>
      <c r="P1279" s="31">
        <v>1922967276</v>
      </c>
      <c r="Q1279" s="31"/>
      <c r="R1279" s="27"/>
      <c r="S1279" s="32">
        <v>881000000</v>
      </c>
      <c r="T1279" s="33"/>
      <c r="U1279" s="334">
        <v>44184</v>
      </c>
      <c r="V1279" s="334">
        <v>44548</v>
      </c>
      <c r="W1279" s="27" t="s">
        <v>250</v>
      </c>
      <c r="X1279" s="27"/>
      <c r="Y1279" s="34">
        <f t="shared" ca="1" si="51"/>
        <v>46290</v>
      </c>
      <c r="Z1279" s="35">
        <f t="shared" ca="1" si="48"/>
        <v>-1742</v>
      </c>
      <c r="AA1279" s="27">
        <f t="shared" si="49"/>
        <v>12</v>
      </c>
      <c r="AB1279" s="27">
        <f t="shared" si="50"/>
        <v>2021</v>
      </c>
      <c r="AC1279" s="28" t="s">
        <v>5767</v>
      </c>
      <c r="AD1279" s="54" t="s">
        <v>5768</v>
      </c>
      <c r="AE1279" s="27">
        <v>4500015515</v>
      </c>
      <c r="AF1279" s="27" t="s">
        <v>339</v>
      </c>
      <c r="AG1279" s="29" t="s">
        <v>381</v>
      </c>
      <c r="AH1279" s="28" t="s">
        <v>5647</v>
      </c>
      <c r="AI1279" s="27"/>
      <c r="AJ1279" s="27"/>
      <c r="AK1279" s="27" t="s">
        <v>5769</v>
      </c>
      <c r="AL1279" s="27" t="s">
        <v>5770</v>
      </c>
      <c r="AM1279" s="27"/>
      <c r="AN1279" s="27"/>
      <c r="AO1279" s="27"/>
      <c r="AP1279" s="27"/>
      <c r="AQ1279" s="27"/>
      <c r="AR1279" s="504"/>
      <c r="AS1279" s="332"/>
      <c r="AT1279" s="160"/>
    </row>
    <row r="1280" spans="1:46" ht="21.75" hidden="1" customHeight="1">
      <c r="A1280" s="331">
        <v>1279</v>
      </c>
      <c r="B1280" s="28" t="s">
        <v>169</v>
      </c>
      <c r="C1280" s="28" t="s">
        <v>5771</v>
      </c>
      <c r="D1280" s="438" t="s">
        <v>862</v>
      </c>
      <c r="E1280" s="361" t="str">
        <f t="shared" ca="1" si="47"/>
        <v>LOSS</v>
      </c>
      <c r="F1280" s="29" t="s">
        <v>5772</v>
      </c>
      <c r="G1280" s="28" t="s">
        <v>5773</v>
      </c>
      <c r="H1280" s="29" t="s">
        <v>2748</v>
      </c>
      <c r="I1280" s="29" t="s">
        <v>242</v>
      </c>
      <c r="J1280" s="28" t="s">
        <v>175</v>
      </c>
      <c r="K1280" s="28"/>
      <c r="L1280" s="27"/>
      <c r="M1280" s="27"/>
      <c r="N1280" s="29"/>
      <c r="O1280" s="56"/>
      <c r="P1280" s="31">
        <f>12*90000000</f>
        <v>1080000000</v>
      </c>
      <c r="Q1280" s="31"/>
      <c r="R1280" s="30"/>
      <c r="S1280" s="32">
        <v>18000000</v>
      </c>
      <c r="T1280" s="33"/>
      <c r="U1280" s="334">
        <v>45308</v>
      </c>
      <c r="V1280" s="334">
        <v>45673</v>
      </c>
      <c r="W1280" s="27" t="s">
        <v>250</v>
      </c>
      <c r="X1280" s="27"/>
      <c r="Y1280" s="34">
        <f t="shared" ca="1" si="51"/>
        <v>46290</v>
      </c>
      <c r="Z1280" s="35">
        <f t="shared" ca="1" si="48"/>
        <v>-617</v>
      </c>
      <c r="AA1280" s="27">
        <f t="shared" si="49"/>
        <v>1</v>
      </c>
      <c r="AB1280" s="27">
        <f t="shared" si="50"/>
        <v>2025</v>
      </c>
      <c r="AC1280" s="28" t="s">
        <v>5774</v>
      </c>
      <c r="AD1280" s="28">
        <v>2477</v>
      </c>
      <c r="AE1280" s="27">
        <v>4500022204</v>
      </c>
      <c r="AF1280" s="27" t="s">
        <v>339</v>
      </c>
      <c r="AG1280" s="29" t="s">
        <v>381</v>
      </c>
      <c r="AH1280" s="28" t="s">
        <v>5647</v>
      </c>
      <c r="AI1280" s="27"/>
      <c r="AJ1280" s="27"/>
      <c r="AK1280" s="27"/>
      <c r="AL1280" s="27"/>
      <c r="AM1280" s="27"/>
      <c r="AN1280" s="27"/>
      <c r="AO1280" s="27" t="s">
        <v>5775</v>
      </c>
      <c r="AP1280" s="27" t="s">
        <v>5776</v>
      </c>
      <c r="AQ1280" s="27"/>
      <c r="AR1280" s="504"/>
      <c r="AS1280" s="332" t="s">
        <v>3506</v>
      </c>
      <c r="AT1280" s="160"/>
    </row>
    <row r="1281" spans="1:46" ht="21.75" hidden="1" customHeight="1">
      <c r="A1281" s="331">
        <v>1280</v>
      </c>
      <c r="B1281" s="28" t="s">
        <v>169</v>
      </c>
      <c r="C1281" s="38" t="s">
        <v>5777</v>
      </c>
      <c r="D1281" s="437" t="s">
        <v>862</v>
      </c>
      <c r="E1281" s="361" t="str">
        <f t="shared" ca="1" si="47"/>
        <v>LOSS</v>
      </c>
      <c r="F1281" s="29"/>
      <c r="G1281" s="28" t="s">
        <v>5778</v>
      </c>
      <c r="H1281" s="29" t="s">
        <v>2748</v>
      </c>
      <c r="I1281" s="29" t="s">
        <v>242</v>
      </c>
      <c r="J1281" s="38" t="s">
        <v>115</v>
      </c>
      <c r="K1281" s="38"/>
      <c r="L1281" s="48"/>
      <c r="M1281" s="48"/>
      <c r="N1281" s="36"/>
      <c r="O1281" s="196"/>
      <c r="P1281" s="55">
        <v>0</v>
      </c>
      <c r="Q1281" s="55"/>
      <c r="R1281" s="48"/>
      <c r="S1281" s="32">
        <v>18000000</v>
      </c>
      <c r="T1281" s="33"/>
      <c r="U1281" s="334">
        <v>45302</v>
      </c>
      <c r="V1281" s="334">
        <v>45667</v>
      </c>
      <c r="W1281" s="27" t="s">
        <v>250</v>
      </c>
      <c r="X1281" s="27"/>
      <c r="Y1281" s="34">
        <f t="shared" ca="1" si="51"/>
        <v>46290</v>
      </c>
      <c r="Z1281" s="35">
        <f t="shared" ca="1" si="48"/>
        <v>-623</v>
      </c>
      <c r="AA1281" s="27">
        <f t="shared" si="49"/>
        <v>1</v>
      </c>
      <c r="AB1281" s="27">
        <f t="shared" si="50"/>
        <v>2025</v>
      </c>
      <c r="AC1281" s="28" t="s">
        <v>5779</v>
      </c>
      <c r="AD1281" s="28" t="s">
        <v>5780</v>
      </c>
      <c r="AE1281" s="27">
        <v>4500022597</v>
      </c>
      <c r="AF1281" s="27" t="s">
        <v>339</v>
      </c>
      <c r="AG1281" s="29" t="s">
        <v>381</v>
      </c>
      <c r="AH1281" s="28" t="s">
        <v>5647</v>
      </c>
      <c r="AI1281" s="27"/>
      <c r="AJ1281" s="27"/>
      <c r="AK1281" s="27"/>
      <c r="AL1281" s="27"/>
      <c r="AM1281" s="27"/>
      <c r="AN1281" s="27" t="s">
        <v>5781</v>
      </c>
      <c r="AO1281" s="27" t="s">
        <v>5782</v>
      </c>
      <c r="AP1281" s="27" t="s">
        <v>5783</v>
      </c>
      <c r="AQ1281" s="27"/>
      <c r="AR1281" s="504"/>
      <c r="AS1281" s="332"/>
      <c r="AT1281" s="160"/>
    </row>
    <row r="1282" spans="1:46" ht="21.75" hidden="1" customHeight="1">
      <c r="A1282" s="331">
        <v>1281</v>
      </c>
      <c r="B1282" s="28" t="s">
        <v>169</v>
      </c>
      <c r="C1282" s="28" t="s">
        <v>5784</v>
      </c>
      <c r="D1282" s="438" t="s">
        <v>862</v>
      </c>
      <c r="E1282" s="361" t="str">
        <f t="shared" ref="E1282:E1345" ca="1" si="52">IF(Z1282&lt;=0, "LOSS",IF(Z1282&lt;=15, "CRITICAL",IF(Z1282&lt;=30, "WARNING",IF(Z1282&lt;60, "ATTENTION", "ON TRACK"))))</f>
        <v>LOSS</v>
      </c>
      <c r="F1282" s="29"/>
      <c r="G1282" s="28" t="s">
        <v>5785</v>
      </c>
      <c r="H1282" s="29" t="s">
        <v>2748</v>
      </c>
      <c r="I1282" s="29" t="s">
        <v>242</v>
      </c>
      <c r="J1282" s="28" t="s">
        <v>2404</v>
      </c>
      <c r="K1282" s="28"/>
      <c r="L1282" s="27"/>
      <c r="M1282" s="27"/>
      <c r="N1282" s="29"/>
      <c r="O1282" s="56"/>
      <c r="P1282" s="31">
        <v>300000000</v>
      </c>
      <c r="Q1282" s="31"/>
      <c r="R1282" s="27"/>
      <c r="S1282" s="32">
        <v>36000000</v>
      </c>
      <c r="T1282" s="33"/>
      <c r="U1282" s="334">
        <v>45213</v>
      </c>
      <c r="V1282" s="334">
        <v>45578</v>
      </c>
      <c r="W1282" s="27" t="s">
        <v>17</v>
      </c>
      <c r="X1282" s="27"/>
      <c r="Y1282" s="34">
        <f t="shared" ca="1" si="51"/>
        <v>46290</v>
      </c>
      <c r="Z1282" s="35">
        <f t="shared" ca="1" si="48"/>
        <v>-712</v>
      </c>
      <c r="AA1282" s="27">
        <f t="shared" si="49"/>
        <v>10</v>
      </c>
      <c r="AB1282" s="27">
        <f t="shared" si="50"/>
        <v>2024</v>
      </c>
      <c r="AC1282" s="28" t="s">
        <v>5786</v>
      </c>
      <c r="AD1282" s="28" t="s">
        <v>5787</v>
      </c>
      <c r="AE1282" s="27">
        <v>4500021815</v>
      </c>
      <c r="AF1282" s="27" t="s">
        <v>339</v>
      </c>
      <c r="AG1282" s="29" t="s">
        <v>381</v>
      </c>
      <c r="AH1282" s="28" t="s">
        <v>5647</v>
      </c>
      <c r="AI1282" s="27"/>
      <c r="AJ1282" s="27"/>
      <c r="AK1282" s="27"/>
      <c r="AL1282" s="27" t="s">
        <v>5788</v>
      </c>
      <c r="AM1282" s="27" t="s">
        <v>5789</v>
      </c>
      <c r="AN1282" s="27" t="s">
        <v>5790</v>
      </c>
      <c r="AO1282" s="27" t="s">
        <v>5791</v>
      </c>
      <c r="AP1282" s="27"/>
      <c r="AQ1282" s="27"/>
      <c r="AR1282" s="504"/>
      <c r="AS1282" s="332" t="s">
        <v>5654</v>
      </c>
      <c r="AT1282" s="160"/>
    </row>
    <row r="1283" spans="1:46" ht="21.75" hidden="1" customHeight="1">
      <c r="A1283" s="331">
        <v>1282</v>
      </c>
      <c r="B1283" s="28" t="s">
        <v>169</v>
      </c>
      <c r="C1283" s="28" t="s">
        <v>2926</v>
      </c>
      <c r="D1283" s="437" t="s">
        <v>5645</v>
      </c>
      <c r="E1283" s="361" t="str">
        <f t="shared" ca="1" si="52"/>
        <v>LOSS</v>
      </c>
      <c r="F1283" s="29"/>
      <c r="G1283" s="28" t="s">
        <v>5792</v>
      </c>
      <c r="H1283" s="29" t="s">
        <v>2748</v>
      </c>
      <c r="I1283" s="29" t="s">
        <v>242</v>
      </c>
      <c r="J1283" s="28" t="s">
        <v>5793</v>
      </c>
      <c r="K1283" s="28"/>
      <c r="L1283" s="27"/>
      <c r="M1283" s="27"/>
      <c r="N1283" s="29"/>
      <c r="O1283" s="56"/>
      <c r="P1283" s="31">
        <v>600000000</v>
      </c>
      <c r="Q1283" s="31"/>
      <c r="R1283" s="27"/>
      <c r="S1283" s="32">
        <v>5000000</v>
      </c>
      <c r="T1283" s="33"/>
      <c r="U1283" s="334">
        <v>44420</v>
      </c>
      <c r="V1283" s="334">
        <v>44784</v>
      </c>
      <c r="W1283" s="27" t="s">
        <v>250</v>
      </c>
      <c r="X1283" s="27"/>
      <c r="Y1283" s="34">
        <f t="shared" ca="1" si="51"/>
        <v>46290</v>
      </c>
      <c r="Z1283" s="35">
        <f t="shared" ca="1" si="48"/>
        <v>-1506</v>
      </c>
      <c r="AA1283" s="27">
        <f t="shared" si="49"/>
        <v>8</v>
      </c>
      <c r="AB1283" s="27">
        <f t="shared" si="50"/>
        <v>2022</v>
      </c>
      <c r="AC1283" s="28" t="s">
        <v>5794</v>
      </c>
      <c r="AD1283" s="28" t="s">
        <v>5795</v>
      </c>
      <c r="AE1283" s="27">
        <v>4500016924</v>
      </c>
      <c r="AF1283" s="27" t="s">
        <v>339</v>
      </c>
      <c r="AG1283" s="29" t="s">
        <v>381</v>
      </c>
      <c r="AH1283" s="28" t="s">
        <v>5647</v>
      </c>
      <c r="AI1283" s="27"/>
      <c r="AJ1283" s="27"/>
      <c r="AK1283" s="27"/>
      <c r="AL1283" s="27" t="s">
        <v>5796</v>
      </c>
      <c r="AM1283" s="27" t="s">
        <v>5797</v>
      </c>
      <c r="AN1283" s="27"/>
      <c r="AO1283" s="27"/>
      <c r="AP1283" s="27"/>
      <c r="AQ1283" s="27"/>
      <c r="AR1283" s="504"/>
      <c r="AS1283" s="332"/>
      <c r="AT1283" s="160"/>
    </row>
    <row r="1284" spans="1:46" ht="21.75" hidden="1" customHeight="1">
      <c r="A1284" s="331">
        <v>1283</v>
      </c>
      <c r="B1284" s="28" t="s">
        <v>169</v>
      </c>
      <c r="C1284" s="28" t="s">
        <v>5798</v>
      </c>
      <c r="D1284" s="438" t="s">
        <v>5645</v>
      </c>
      <c r="E1284" s="361" t="str">
        <f t="shared" ca="1" si="52"/>
        <v>LOSS</v>
      </c>
      <c r="F1284" s="29"/>
      <c r="G1284" s="28" t="s">
        <v>5792</v>
      </c>
      <c r="H1284" s="29" t="s">
        <v>2748</v>
      </c>
      <c r="I1284" s="29" t="s">
        <v>242</v>
      </c>
      <c r="J1284" s="38" t="s">
        <v>170</v>
      </c>
      <c r="K1284" s="28"/>
      <c r="L1284" s="27"/>
      <c r="M1284" s="27"/>
      <c r="N1284" s="29"/>
      <c r="O1284" s="56"/>
      <c r="P1284" s="31"/>
      <c r="Q1284" s="31"/>
      <c r="R1284" s="27"/>
      <c r="S1284" s="32">
        <v>2500000</v>
      </c>
      <c r="T1284" s="33"/>
      <c r="U1284" s="334">
        <v>45152</v>
      </c>
      <c r="V1284" s="334">
        <v>45517</v>
      </c>
      <c r="W1284" s="27" t="s">
        <v>250</v>
      </c>
      <c r="X1284" s="27"/>
      <c r="Y1284" s="34">
        <f t="shared" ca="1" si="51"/>
        <v>46290</v>
      </c>
      <c r="Z1284" s="35">
        <f t="shared" ca="1" si="48"/>
        <v>-773</v>
      </c>
      <c r="AA1284" s="27">
        <f t="shared" si="49"/>
        <v>8</v>
      </c>
      <c r="AB1284" s="27">
        <f t="shared" si="50"/>
        <v>2024</v>
      </c>
      <c r="AC1284" s="28" t="s">
        <v>5799</v>
      </c>
      <c r="AD1284" s="28" t="s">
        <v>5800</v>
      </c>
      <c r="AE1284" s="27">
        <v>4500021194</v>
      </c>
      <c r="AF1284" s="27" t="s">
        <v>339</v>
      </c>
      <c r="AG1284" s="29" t="s">
        <v>381</v>
      </c>
      <c r="AH1284" s="28" t="s">
        <v>5647</v>
      </c>
      <c r="AI1284" s="27"/>
      <c r="AJ1284" s="27"/>
      <c r="AK1284" s="27"/>
      <c r="AL1284" s="27" t="s">
        <v>5801</v>
      </c>
      <c r="AM1284" s="27" t="s">
        <v>5802</v>
      </c>
      <c r="AN1284" s="27" t="s">
        <v>5803</v>
      </c>
      <c r="AO1284" s="27" t="s">
        <v>5804</v>
      </c>
      <c r="AP1284" s="27"/>
      <c r="AQ1284" s="27"/>
      <c r="AR1284" s="504"/>
      <c r="AS1284" s="332" t="s">
        <v>5805</v>
      </c>
      <c r="AT1284" s="160"/>
    </row>
    <row r="1285" spans="1:46" ht="21.75" hidden="1" customHeight="1">
      <c r="A1285" s="331">
        <v>1284</v>
      </c>
      <c r="B1285" s="28" t="s">
        <v>169</v>
      </c>
      <c r="C1285" s="28" t="s">
        <v>5798</v>
      </c>
      <c r="D1285" s="437" t="s">
        <v>862</v>
      </c>
      <c r="E1285" s="361" t="str">
        <f t="shared" ca="1" si="52"/>
        <v>LOSS</v>
      </c>
      <c r="F1285" s="29"/>
      <c r="G1285" s="28" t="s">
        <v>5792</v>
      </c>
      <c r="H1285" s="29" t="s">
        <v>2748</v>
      </c>
      <c r="I1285" s="29" t="s">
        <v>242</v>
      </c>
      <c r="J1285" s="38" t="s">
        <v>170</v>
      </c>
      <c r="K1285" s="28"/>
      <c r="L1285" s="27"/>
      <c r="M1285" s="27"/>
      <c r="N1285" s="29"/>
      <c r="O1285" s="56"/>
      <c r="P1285" s="31"/>
      <c r="Q1285" s="31"/>
      <c r="R1285" s="27"/>
      <c r="S1285" s="32">
        <v>2500000</v>
      </c>
      <c r="T1285" s="33"/>
      <c r="U1285" s="334">
        <v>45518</v>
      </c>
      <c r="V1285" s="334">
        <v>45882</v>
      </c>
      <c r="W1285" s="27" t="s">
        <v>250</v>
      </c>
      <c r="X1285" s="27"/>
      <c r="Y1285" s="34">
        <f t="shared" ca="1" si="51"/>
        <v>46290</v>
      </c>
      <c r="Z1285" s="35">
        <f t="shared" ref="Z1285:Z1348" ca="1" si="53">V1285-Y1285</f>
        <v>-408</v>
      </c>
      <c r="AA1285" s="27">
        <f t="shared" ref="AA1285:AA1290" si="54">MONTH(V1285)</f>
        <v>8</v>
      </c>
      <c r="AB1285" s="27">
        <f t="shared" ref="AB1285:AB1348" si="55">YEAR(V1285)</f>
        <v>2025</v>
      </c>
      <c r="AC1285" s="28"/>
      <c r="AD1285" s="28" t="s">
        <v>5806</v>
      </c>
      <c r="AE1285" s="27">
        <v>4500023166</v>
      </c>
      <c r="AF1285" s="27" t="s">
        <v>333</v>
      </c>
      <c r="AG1285" s="29" t="s">
        <v>381</v>
      </c>
      <c r="AH1285" s="28" t="s">
        <v>5647</v>
      </c>
      <c r="AI1285" s="27"/>
      <c r="AJ1285" s="27"/>
      <c r="AK1285" s="27"/>
      <c r="AL1285" s="27"/>
      <c r="AM1285" s="27"/>
      <c r="AN1285" s="27"/>
      <c r="AO1285" s="27"/>
      <c r="AP1285" s="27" t="s">
        <v>5807</v>
      </c>
      <c r="AQ1285" s="27"/>
      <c r="AR1285" s="504"/>
      <c r="AS1285" s="332"/>
      <c r="AT1285" s="160"/>
    </row>
    <row r="1286" spans="1:46" ht="21.75" hidden="1" customHeight="1">
      <c r="A1286" s="331">
        <v>1285</v>
      </c>
      <c r="B1286" s="28" t="s">
        <v>169</v>
      </c>
      <c r="C1286" s="28" t="s">
        <v>5740</v>
      </c>
      <c r="D1286" s="438" t="s">
        <v>5645</v>
      </c>
      <c r="E1286" s="361" t="str">
        <f t="shared" ca="1" si="52"/>
        <v>LOSS</v>
      </c>
      <c r="F1286" s="29"/>
      <c r="G1286" s="28" t="s">
        <v>5792</v>
      </c>
      <c r="H1286" s="29" t="s">
        <v>2748</v>
      </c>
      <c r="I1286" s="29" t="s">
        <v>242</v>
      </c>
      <c r="J1286" s="28" t="s">
        <v>5742</v>
      </c>
      <c r="K1286" s="28"/>
      <c r="L1286" s="27"/>
      <c r="M1286" s="27"/>
      <c r="N1286" s="29"/>
      <c r="O1286" s="56"/>
      <c r="P1286" s="31">
        <v>840000000</v>
      </c>
      <c r="Q1286" s="31"/>
      <c r="R1286" s="27"/>
      <c r="S1286" s="32">
        <v>5000000</v>
      </c>
      <c r="T1286" s="33"/>
      <c r="U1286" s="334">
        <v>44099</v>
      </c>
      <c r="V1286" s="334">
        <v>44463</v>
      </c>
      <c r="W1286" s="27" t="s">
        <v>250</v>
      </c>
      <c r="X1286" s="27"/>
      <c r="Y1286" s="34">
        <f t="shared" ca="1" si="51"/>
        <v>46290</v>
      </c>
      <c r="Z1286" s="35">
        <f t="shared" ca="1" si="53"/>
        <v>-1827</v>
      </c>
      <c r="AA1286" s="27">
        <f t="shared" si="54"/>
        <v>9</v>
      </c>
      <c r="AB1286" s="27">
        <f t="shared" si="55"/>
        <v>2021</v>
      </c>
      <c r="AC1286" s="28" t="s">
        <v>479</v>
      </c>
      <c r="AD1286" s="28" t="s">
        <v>580</v>
      </c>
      <c r="AE1286" s="27">
        <v>4500015013</v>
      </c>
      <c r="AF1286" s="27" t="s">
        <v>339</v>
      </c>
      <c r="AG1286" s="29" t="s">
        <v>381</v>
      </c>
      <c r="AH1286" s="28" t="s">
        <v>5647</v>
      </c>
      <c r="AI1286" s="27"/>
      <c r="AJ1286" s="27"/>
      <c r="AK1286" s="27"/>
      <c r="AL1286" s="27" t="s">
        <v>5743</v>
      </c>
      <c r="AM1286" s="27"/>
      <c r="AN1286" s="27"/>
      <c r="AO1286" s="27"/>
      <c r="AP1286" s="27"/>
      <c r="AQ1286" s="27"/>
      <c r="AR1286" s="504"/>
      <c r="AS1286" s="332"/>
      <c r="AT1286" s="160"/>
    </row>
    <row r="1287" spans="1:46" ht="21.75" hidden="1" customHeight="1">
      <c r="A1287" s="331">
        <v>1286</v>
      </c>
      <c r="B1287" s="28" t="s">
        <v>169</v>
      </c>
      <c r="C1287" s="28"/>
      <c r="D1287" s="437" t="s">
        <v>5645</v>
      </c>
      <c r="E1287" s="361" t="str">
        <f t="shared" ca="1" si="52"/>
        <v>LOSS</v>
      </c>
      <c r="F1287" s="29"/>
      <c r="G1287" s="28" t="s">
        <v>5792</v>
      </c>
      <c r="H1287" s="29" t="s">
        <v>2748</v>
      </c>
      <c r="I1287" s="29" t="s">
        <v>242</v>
      </c>
      <c r="J1287" s="28" t="s">
        <v>5808</v>
      </c>
      <c r="K1287" s="28"/>
      <c r="L1287" s="27"/>
      <c r="M1287" s="27"/>
      <c r="N1287" s="29"/>
      <c r="O1287" s="56"/>
      <c r="P1287" s="31">
        <v>840000000</v>
      </c>
      <c r="Q1287" s="31"/>
      <c r="R1287" s="27"/>
      <c r="S1287" s="32">
        <v>2500000</v>
      </c>
      <c r="T1287" s="33"/>
      <c r="U1287" s="334">
        <v>44092</v>
      </c>
      <c r="V1287" s="334">
        <v>44456</v>
      </c>
      <c r="W1287" s="27" t="s">
        <v>250</v>
      </c>
      <c r="X1287" s="27"/>
      <c r="Y1287" s="34">
        <f t="shared" ca="1" si="51"/>
        <v>46290</v>
      </c>
      <c r="Z1287" s="35">
        <f t="shared" ca="1" si="53"/>
        <v>-1834</v>
      </c>
      <c r="AA1287" s="27">
        <f t="shared" si="54"/>
        <v>9</v>
      </c>
      <c r="AB1287" s="27">
        <f t="shared" si="55"/>
        <v>2021</v>
      </c>
      <c r="AC1287" s="28" t="s">
        <v>479</v>
      </c>
      <c r="AD1287" s="28" t="s">
        <v>5646</v>
      </c>
      <c r="AE1287" s="27">
        <v>4500015014</v>
      </c>
      <c r="AF1287" s="27" t="s">
        <v>339</v>
      </c>
      <c r="AG1287" s="29" t="s">
        <v>381</v>
      </c>
      <c r="AH1287" s="28" t="s">
        <v>5647</v>
      </c>
      <c r="AI1287" s="27"/>
      <c r="AJ1287" s="27"/>
      <c r="AK1287" s="27"/>
      <c r="AL1287" s="27" t="s">
        <v>5648</v>
      </c>
      <c r="AM1287" s="27"/>
      <c r="AN1287" s="27"/>
      <c r="AO1287" s="27"/>
      <c r="AP1287" s="27"/>
      <c r="AQ1287" s="27"/>
      <c r="AR1287" s="504"/>
      <c r="AS1287" s="332"/>
      <c r="AT1287" s="160"/>
    </row>
    <row r="1288" spans="1:46" ht="21.75" hidden="1" customHeight="1">
      <c r="A1288" s="331">
        <v>1287</v>
      </c>
      <c r="B1288" s="28" t="s">
        <v>169</v>
      </c>
      <c r="C1288" s="28" t="s">
        <v>5662</v>
      </c>
      <c r="D1288" s="438" t="s">
        <v>5645</v>
      </c>
      <c r="E1288" s="361" t="str">
        <f t="shared" ca="1" si="52"/>
        <v>LOSS</v>
      </c>
      <c r="F1288" s="29"/>
      <c r="G1288" s="28" t="s">
        <v>5792</v>
      </c>
      <c r="H1288" s="29" t="s">
        <v>2748</v>
      </c>
      <c r="I1288" s="29" t="s">
        <v>242</v>
      </c>
      <c r="J1288" s="28" t="s">
        <v>1147</v>
      </c>
      <c r="K1288" s="28"/>
      <c r="L1288" s="27"/>
      <c r="M1288" s="27"/>
      <c r="N1288" s="29"/>
      <c r="O1288" s="56"/>
      <c r="P1288" s="31"/>
      <c r="Q1288" s="31"/>
      <c r="R1288" s="27"/>
      <c r="S1288" s="32">
        <v>2500000</v>
      </c>
      <c r="T1288" s="33"/>
      <c r="U1288" s="334">
        <v>44350</v>
      </c>
      <c r="V1288" s="334">
        <v>44744</v>
      </c>
      <c r="W1288" s="27" t="s">
        <v>250</v>
      </c>
      <c r="X1288" s="27"/>
      <c r="Y1288" s="34">
        <f t="shared" ca="1" si="51"/>
        <v>46290</v>
      </c>
      <c r="Z1288" s="35">
        <f t="shared" ca="1" si="53"/>
        <v>-1546</v>
      </c>
      <c r="AA1288" s="27">
        <f t="shared" si="54"/>
        <v>7</v>
      </c>
      <c r="AB1288" s="27">
        <f t="shared" si="55"/>
        <v>2022</v>
      </c>
      <c r="AC1288" s="28" t="s">
        <v>5809</v>
      </c>
      <c r="AD1288" s="28" t="s">
        <v>1719</v>
      </c>
      <c r="AE1288" s="27">
        <v>4500016316</v>
      </c>
      <c r="AF1288" s="27" t="s">
        <v>339</v>
      </c>
      <c r="AG1288" s="29" t="s">
        <v>381</v>
      </c>
      <c r="AH1288" s="28" t="s">
        <v>5647</v>
      </c>
      <c r="AI1288" s="27"/>
      <c r="AJ1288" s="27"/>
      <c r="AK1288" s="27"/>
      <c r="AL1288" s="27" t="s">
        <v>5810</v>
      </c>
      <c r="AM1288" s="27" t="s">
        <v>5811</v>
      </c>
      <c r="AN1288" s="27"/>
      <c r="AO1288" s="27"/>
      <c r="AP1288" s="27"/>
      <c r="AQ1288" s="27"/>
      <c r="AR1288" s="504"/>
      <c r="AS1288" s="332"/>
      <c r="AT1288" s="160"/>
    </row>
    <row r="1289" spans="1:46" ht="21.75" hidden="1" customHeight="1">
      <c r="A1289" s="331">
        <v>1288</v>
      </c>
      <c r="B1289" s="28" t="s">
        <v>169</v>
      </c>
      <c r="C1289" s="40" t="s">
        <v>5812</v>
      </c>
      <c r="D1289" s="437" t="s">
        <v>862</v>
      </c>
      <c r="E1289" s="361" t="str">
        <f t="shared" ca="1" si="52"/>
        <v>LOSS</v>
      </c>
      <c r="F1289" s="29"/>
      <c r="G1289" s="28" t="s">
        <v>5792</v>
      </c>
      <c r="H1289" s="29" t="s">
        <v>2748</v>
      </c>
      <c r="I1289" s="29" t="s">
        <v>242</v>
      </c>
      <c r="J1289" s="28" t="s">
        <v>174</v>
      </c>
      <c r="K1289" s="28"/>
      <c r="L1289" s="27"/>
      <c r="M1289" s="27"/>
      <c r="N1289" s="29"/>
      <c r="O1289" s="56"/>
      <c r="P1289" s="31">
        <v>1890000000</v>
      </c>
      <c r="Q1289" s="31"/>
      <c r="R1289" s="27"/>
      <c r="S1289" s="32">
        <v>2500000</v>
      </c>
      <c r="T1289" s="33"/>
      <c r="U1289" s="334">
        <v>45446</v>
      </c>
      <c r="V1289" s="334">
        <v>45810</v>
      </c>
      <c r="W1289" s="27" t="s">
        <v>250</v>
      </c>
      <c r="X1289" s="27"/>
      <c r="Y1289" s="34">
        <f t="shared" ca="1" si="51"/>
        <v>46290</v>
      </c>
      <c r="Z1289" s="35">
        <f t="shared" ca="1" si="53"/>
        <v>-480</v>
      </c>
      <c r="AA1289" s="27">
        <f t="shared" si="54"/>
        <v>6</v>
      </c>
      <c r="AB1289" s="27">
        <f t="shared" si="55"/>
        <v>2025</v>
      </c>
      <c r="AC1289" s="28" t="s">
        <v>5813</v>
      </c>
      <c r="AD1289" s="28" t="s">
        <v>5814</v>
      </c>
      <c r="AE1289" s="27">
        <v>4500022995</v>
      </c>
      <c r="AF1289" s="27" t="s">
        <v>339</v>
      </c>
      <c r="AG1289" s="29" t="s">
        <v>381</v>
      </c>
      <c r="AH1289" s="28" t="s">
        <v>5647</v>
      </c>
      <c r="AI1289" s="27"/>
      <c r="AJ1289" s="27"/>
      <c r="AK1289" s="27"/>
      <c r="AL1289" s="27" t="s">
        <v>5815</v>
      </c>
      <c r="AM1289" s="27" t="s">
        <v>5816</v>
      </c>
      <c r="AN1289" s="27" t="s">
        <v>5817</v>
      </c>
      <c r="AO1289" s="27" t="s">
        <v>5818</v>
      </c>
      <c r="AP1289" s="27" t="s">
        <v>5819</v>
      </c>
      <c r="AQ1289" s="27"/>
      <c r="AR1289" s="504"/>
      <c r="AS1289" s="332" t="s">
        <v>5805</v>
      </c>
      <c r="AT1289" s="160"/>
    </row>
    <row r="1290" spans="1:46" ht="21.75" hidden="1" customHeight="1">
      <c r="A1290" s="331">
        <v>1289</v>
      </c>
      <c r="B1290" s="28" t="s">
        <v>169</v>
      </c>
      <c r="C1290" s="28" t="s">
        <v>5820</v>
      </c>
      <c r="D1290" s="438" t="s">
        <v>862</v>
      </c>
      <c r="E1290" s="361" t="str">
        <f t="shared" ca="1" si="52"/>
        <v>LOSS</v>
      </c>
      <c r="F1290" s="29"/>
      <c r="G1290" s="28" t="s">
        <v>5792</v>
      </c>
      <c r="H1290" s="29" t="s">
        <v>2748</v>
      </c>
      <c r="I1290" s="29" t="s">
        <v>346</v>
      </c>
      <c r="J1290" s="28" t="s">
        <v>171</v>
      </c>
      <c r="K1290" s="28"/>
      <c r="L1290" s="27"/>
      <c r="M1290" s="27"/>
      <c r="N1290" s="29"/>
      <c r="O1290" s="56"/>
      <c r="P1290" s="31">
        <v>285600000</v>
      </c>
      <c r="Q1290" s="31"/>
      <c r="R1290" s="27"/>
      <c r="S1290" s="32">
        <v>49500000</v>
      </c>
      <c r="T1290" s="33"/>
      <c r="U1290" s="334">
        <v>45118</v>
      </c>
      <c r="V1290" s="334">
        <v>45483</v>
      </c>
      <c r="W1290" s="27" t="s">
        <v>250</v>
      </c>
      <c r="X1290" s="27"/>
      <c r="Y1290" s="34">
        <f t="shared" ca="1" si="51"/>
        <v>46290</v>
      </c>
      <c r="Z1290" s="35">
        <f t="shared" ca="1" si="53"/>
        <v>-807</v>
      </c>
      <c r="AA1290" s="27">
        <f t="shared" si="54"/>
        <v>7</v>
      </c>
      <c r="AB1290" s="27">
        <f t="shared" si="55"/>
        <v>2024</v>
      </c>
      <c r="AC1290" s="28" t="s">
        <v>5821</v>
      </c>
      <c r="AD1290" s="28" t="s">
        <v>5822</v>
      </c>
      <c r="AE1290" s="27">
        <v>4500020893</v>
      </c>
      <c r="AF1290" s="27" t="s">
        <v>339</v>
      </c>
      <c r="AG1290" s="29" t="s">
        <v>381</v>
      </c>
      <c r="AH1290" s="28" t="s">
        <v>5647</v>
      </c>
      <c r="AI1290" s="27"/>
      <c r="AJ1290" s="27"/>
      <c r="AK1290" s="27"/>
      <c r="AL1290" s="27" t="s">
        <v>5823</v>
      </c>
      <c r="AM1290" s="27" t="s">
        <v>5824</v>
      </c>
      <c r="AN1290" s="27" t="s">
        <v>5825</v>
      </c>
      <c r="AO1290" s="27" t="s">
        <v>5826</v>
      </c>
      <c r="AP1290" s="27"/>
      <c r="AQ1290" s="27"/>
      <c r="AR1290" s="504"/>
      <c r="AS1290" s="332"/>
      <c r="AT1290" s="160"/>
    </row>
    <row r="1291" spans="1:46" ht="21.75" hidden="1" customHeight="1">
      <c r="A1291" s="331">
        <v>1290</v>
      </c>
      <c r="B1291" s="28" t="s">
        <v>169</v>
      </c>
      <c r="C1291" s="28" t="s">
        <v>5820</v>
      </c>
      <c r="D1291" s="437" t="s">
        <v>862</v>
      </c>
      <c r="E1291" s="361" t="str">
        <f t="shared" ca="1" si="52"/>
        <v>LOSS</v>
      </c>
      <c r="F1291" s="29"/>
      <c r="G1291" s="28" t="s">
        <v>5792</v>
      </c>
      <c r="H1291" s="29" t="s">
        <v>2748</v>
      </c>
      <c r="I1291" s="160" t="s">
        <v>346</v>
      </c>
      <c r="J1291" s="28" t="s">
        <v>171</v>
      </c>
      <c r="K1291" s="28"/>
      <c r="L1291" s="27"/>
      <c r="M1291" s="27"/>
      <c r="N1291" s="29"/>
      <c r="O1291" s="56"/>
      <c r="P1291" s="31">
        <v>516000000</v>
      </c>
      <c r="Q1291" s="31"/>
      <c r="R1291" s="27"/>
      <c r="S1291" s="32">
        <v>49500000</v>
      </c>
      <c r="T1291" s="33"/>
      <c r="U1291" s="334">
        <v>45484</v>
      </c>
      <c r="V1291" s="334">
        <v>45848</v>
      </c>
      <c r="W1291" s="27" t="s">
        <v>250</v>
      </c>
      <c r="X1291" s="27"/>
      <c r="Y1291" s="34">
        <f t="shared" ref="Y1291:Y1354" ca="1" si="56">TODAY()</f>
        <v>46290</v>
      </c>
      <c r="Z1291" s="35">
        <f t="shared" ca="1" si="53"/>
        <v>-442</v>
      </c>
      <c r="AA1291" s="27">
        <v>7</v>
      </c>
      <c r="AB1291" s="27">
        <f t="shared" si="55"/>
        <v>2025</v>
      </c>
      <c r="AC1291" s="28"/>
      <c r="AD1291" s="28" t="s">
        <v>5827</v>
      </c>
      <c r="AE1291" s="27">
        <v>4500023239</v>
      </c>
      <c r="AF1291" s="27" t="s">
        <v>339</v>
      </c>
      <c r="AG1291" s="29" t="s">
        <v>381</v>
      </c>
      <c r="AH1291" s="28" t="s">
        <v>5647</v>
      </c>
      <c r="AI1291" s="27"/>
      <c r="AJ1291" s="27"/>
      <c r="AK1291" s="27"/>
      <c r="AL1291" s="27"/>
      <c r="AM1291" s="27"/>
      <c r="AN1291" s="27"/>
      <c r="AO1291" s="27"/>
      <c r="AP1291" s="27" t="s">
        <v>5828</v>
      </c>
      <c r="AQ1291" s="27"/>
      <c r="AR1291" s="504"/>
      <c r="AS1291" s="332"/>
      <c r="AT1291" s="160"/>
    </row>
    <row r="1292" spans="1:46" ht="21.75" hidden="1" customHeight="1">
      <c r="A1292" s="331">
        <v>1291</v>
      </c>
      <c r="B1292" s="28" t="s">
        <v>169</v>
      </c>
      <c r="C1292" s="28" t="s">
        <v>5708</v>
      </c>
      <c r="D1292" s="438" t="s">
        <v>5645</v>
      </c>
      <c r="E1292" s="361" t="str">
        <f t="shared" ca="1" si="52"/>
        <v>LOSS</v>
      </c>
      <c r="F1292" s="29"/>
      <c r="G1292" s="28" t="s">
        <v>5829</v>
      </c>
      <c r="H1292" s="29" t="s">
        <v>2748</v>
      </c>
      <c r="I1292" s="29" t="s">
        <v>242</v>
      </c>
      <c r="J1292" s="28" t="s">
        <v>1291</v>
      </c>
      <c r="K1292" s="28"/>
      <c r="L1292" s="27"/>
      <c r="M1292" s="27"/>
      <c r="N1292" s="29"/>
      <c r="O1292" s="56"/>
      <c r="P1292" s="31">
        <v>288000000</v>
      </c>
      <c r="Q1292" s="31"/>
      <c r="R1292" s="27"/>
      <c r="S1292" s="32">
        <v>18000000</v>
      </c>
      <c r="T1292" s="33"/>
      <c r="U1292" s="334">
        <v>44232</v>
      </c>
      <c r="V1292" s="334">
        <v>44596</v>
      </c>
      <c r="W1292" s="27" t="s">
        <v>250</v>
      </c>
      <c r="X1292" s="27"/>
      <c r="Y1292" s="34">
        <f t="shared" ca="1" si="56"/>
        <v>46290</v>
      </c>
      <c r="Z1292" s="35">
        <f t="shared" ca="1" si="53"/>
        <v>-1694</v>
      </c>
      <c r="AA1292" s="27">
        <f t="shared" ref="AA1292:AA1355" si="57">MONTH(V1292)</f>
        <v>2</v>
      </c>
      <c r="AB1292" s="27">
        <f t="shared" si="55"/>
        <v>2022</v>
      </c>
      <c r="AC1292" s="28" t="s">
        <v>479</v>
      </c>
      <c r="AD1292" s="28" t="s">
        <v>1292</v>
      </c>
      <c r="AE1292" s="27">
        <v>4500015756</v>
      </c>
      <c r="AF1292" s="27" t="s">
        <v>339</v>
      </c>
      <c r="AG1292" s="29" t="s">
        <v>381</v>
      </c>
      <c r="AH1292" s="28" t="s">
        <v>5647</v>
      </c>
      <c r="AI1292" s="27"/>
      <c r="AJ1292" s="27"/>
      <c r="AK1292" s="27"/>
      <c r="AL1292" s="27"/>
      <c r="AM1292" s="27" t="s">
        <v>5830</v>
      </c>
      <c r="AN1292" s="27"/>
      <c r="AO1292" s="27"/>
      <c r="AP1292" s="27"/>
      <c r="AQ1292" s="27"/>
      <c r="AR1292" s="504"/>
      <c r="AS1292" s="332"/>
      <c r="AT1292" s="160"/>
    </row>
    <row r="1293" spans="1:46" ht="21.75" hidden="1" customHeight="1">
      <c r="A1293" s="331">
        <v>1292</v>
      </c>
      <c r="B1293" s="28" t="s">
        <v>169</v>
      </c>
      <c r="C1293" s="28" t="s">
        <v>5831</v>
      </c>
      <c r="D1293" s="437" t="s">
        <v>5645</v>
      </c>
      <c r="E1293" s="361" t="str">
        <f t="shared" ca="1" si="52"/>
        <v>LOSS</v>
      </c>
      <c r="F1293" s="29"/>
      <c r="G1293" s="28" t="s">
        <v>5832</v>
      </c>
      <c r="H1293" s="29" t="s">
        <v>2748</v>
      </c>
      <c r="I1293" s="29" t="s">
        <v>242</v>
      </c>
      <c r="J1293" s="28" t="s">
        <v>863</v>
      </c>
      <c r="K1293" s="28"/>
      <c r="L1293" s="27"/>
      <c r="M1293" s="27"/>
      <c r="N1293" s="29"/>
      <c r="O1293" s="56"/>
      <c r="P1293" s="31"/>
      <c r="Q1293" s="31"/>
      <c r="R1293" s="27"/>
      <c r="S1293" s="32">
        <v>2500000</v>
      </c>
      <c r="T1293" s="33"/>
      <c r="U1293" s="334">
        <v>44028</v>
      </c>
      <c r="V1293" s="334">
        <v>44392</v>
      </c>
      <c r="W1293" s="27" t="s">
        <v>245</v>
      </c>
      <c r="X1293" s="27"/>
      <c r="Y1293" s="34">
        <f t="shared" ca="1" si="56"/>
        <v>46290</v>
      </c>
      <c r="Z1293" s="35">
        <f t="shared" ca="1" si="53"/>
        <v>-1898</v>
      </c>
      <c r="AA1293" s="27">
        <f t="shared" si="57"/>
        <v>7</v>
      </c>
      <c r="AB1293" s="27">
        <f t="shared" si="55"/>
        <v>2021</v>
      </c>
      <c r="AC1293" s="28" t="s">
        <v>479</v>
      </c>
      <c r="AD1293" s="28" t="s">
        <v>864</v>
      </c>
      <c r="AE1293" s="27">
        <v>4500014674</v>
      </c>
      <c r="AF1293" s="27" t="s">
        <v>339</v>
      </c>
      <c r="AG1293" s="29" t="s">
        <v>381</v>
      </c>
      <c r="AH1293" s="28" t="s">
        <v>5647</v>
      </c>
      <c r="AI1293" s="27"/>
      <c r="AJ1293" s="27"/>
      <c r="AK1293" s="27"/>
      <c r="AL1293" s="27" t="s">
        <v>5833</v>
      </c>
      <c r="AM1293" s="27"/>
      <c r="AN1293" s="27"/>
      <c r="AO1293" s="27"/>
      <c r="AP1293" s="27"/>
      <c r="AQ1293" s="27"/>
      <c r="AR1293" s="504"/>
      <c r="AS1293" s="332"/>
      <c r="AT1293" s="160"/>
    </row>
    <row r="1294" spans="1:46" ht="21.75" hidden="1" customHeight="1">
      <c r="A1294" s="331">
        <v>1293</v>
      </c>
      <c r="B1294" s="28" t="s">
        <v>169</v>
      </c>
      <c r="C1294" s="28" t="s">
        <v>5831</v>
      </c>
      <c r="D1294" s="438" t="s">
        <v>5645</v>
      </c>
      <c r="E1294" s="361" t="str">
        <f t="shared" ca="1" si="52"/>
        <v>LOSS</v>
      </c>
      <c r="F1294" s="29"/>
      <c r="G1294" s="28" t="s">
        <v>5832</v>
      </c>
      <c r="H1294" s="29" t="s">
        <v>2748</v>
      </c>
      <c r="I1294" s="29" t="s">
        <v>242</v>
      </c>
      <c r="J1294" s="28" t="s">
        <v>863</v>
      </c>
      <c r="K1294" s="28"/>
      <c r="L1294" s="27"/>
      <c r="M1294" s="27"/>
      <c r="N1294" s="29"/>
      <c r="O1294" s="56"/>
      <c r="P1294" s="31">
        <v>318000000</v>
      </c>
      <c r="Q1294" s="31"/>
      <c r="R1294" s="27"/>
      <c r="S1294" s="32">
        <v>2500000</v>
      </c>
      <c r="T1294" s="33"/>
      <c r="U1294" s="334">
        <v>44393</v>
      </c>
      <c r="V1294" s="334">
        <v>44757</v>
      </c>
      <c r="W1294" s="27" t="s">
        <v>245</v>
      </c>
      <c r="X1294" s="27"/>
      <c r="Y1294" s="34">
        <f t="shared" ca="1" si="56"/>
        <v>46290</v>
      </c>
      <c r="Z1294" s="35">
        <f t="shared" ca="1" si="53"/>
        <v>-1533</v>
      </c>
      <c r="AA1294" s="27">
        <f t="shared" si="57"/>
        <v>7</v>
      </c>
      <c r="AB1294" s="27">
        <f t="shared" si="55"/>
        <v>2022</v>
      </c>
      <c r="AC1294" s="28" t="s">
        <v>479</v>
      </c>
      <c r="AD1294" s="28" t="s">
        <v>1824</v>
      </c>
      <c r="AE1294" s="27">
        <v>4500016507</v>
      </c>
      <c r="AF1294" s="27" t="s">
        <v>339</v>
      </c>
      <c r="AG1294" s="29" t="s">
        <v>381</v>
      </c>
      <c r="AH1294" s="28" t="s">
        <v>5647</v>
      </c>
      <c r="AI1294" s="27"/>
      <c r="AJ1294" s="27"/>
      <c r="AK1294" s="27"/>
      <c r="AL1294" s="27"/>
      <c r="AM1294" s="27" t="s">
        <v>5834</v>
      </c>
      <c r="AN1294" s="27"/>
      <c r="AO1294" s="27"/>
      <c r="AP1294" s="27"/>
      <c r="AQ1294" s="27"/>
      <c r="AR1294" s="504"/>
      <c r="AS1294" s="332"/>
      <c r="AT1294" s="160"/>
    </row>
    <row r="1295" spans="1:46" ht="21.75" hidden="1" customHeight="1">
      <c r="A1295" s="331">
        <v>1294</v>
      </c>
      <c r="B1295" s="28" t="s">
        <v>169</v>
      </c>
      <c r="C1295" s="28" t="s">
        <v>5658</v>
      </c>
      <c r="D1295" s="437" t="s">
        <v>5645</v>
      </c>
      <c r="E1295" s="361" t="str">
        <f t="shared" ca="1" si="52"/>
        <v>LOSS</v>
      </c>
      <c r="F1295" s="29"/>
      <c r="G1295" s="28" t="s">
        <v>5832</v>
      </c>
      <c r="H1295" s="29" t="s">
        <v>2748</v>
      </c>
      <c r="I1295" s="29" t="s">
        <v>242</v>
      </c>
      <c r="J1295" s="28" t="s">
        <v>1840</v>
      </c>
      <c r="K1295" s="28"/>
      <c r="L1295" s="27"/>
      <c r="M1295" s="27"/>
      <c r="N1295" s="29"/>
      <c r="O1295" s="56"/>
      <c r="P1295" s="31">
        <v>300000000</v>
      </c>
      <c r="Q1295" s="31"/>
      <c r="R1295" s="27"/>
      <c r="S1295" s="32">
        <v>2500000</v>
      </c>
      <c r="T1295" s="33"/>
      <c r="U1295" s="334">
        <v>44383</v>
      </c>
      <c r="V1295" s="334">
        <v>44747</v>
      </c>
      <c r="W1295" s="27" t="s">
        <v>245</v>
      </c>
      <c r="X1295" s="27"/>
      <c r="Y1295" s="34">
        <f t="shared" ca="1" si="56"/>
        <v>46290</v>
      </c>
      <c r="Z1295" s="35">
        <f t="shared" ca="1" si="53"/>
        <v>-1543</v>
      </c>
      <c r="AA1295" s="27">
        <f t="shared" si="57"/>
        <v>7</v>
      </c>
      <c r="AB1295" s="27">
        <f t="shared" si="55"/>
        <v>2022</v>
      </c>
      <c r="AC1295" s="28" t="s">
        <v>479</v>
      </c>
      <c r="AD1295" s="28" t="s">
        <v>1841</v>
      </c>
      <c r="AE1295" s="27">
        <v>4500016506</v>
      </c>
      <c r="AF1295" s="27" t="s">
        <v>339</v>
      </c>
      <c r="AG1295" s="29" t="s">
        <v>381</v>
      </c>
      <c r="AH1295" s="28" t="s">
        <v>5647</v>
      </c>
      <c r="AI1295" s="27"/>
      <c r="AJ1295" s="27"/>
      <c r="AK1295" s="27"/>
      <c r="AL1295" s="27"/>
      <c r="AM1295" s="27" t="s">
        <v>5835</v>
      </c>
      <c r="AN1295" s="27"/>
      <c r="AO1295" s="27"/>
      <c r="AP1295" s="27"/>
      <c r="AQ1295" s="27"/>
      <c r="AR1295" s="504"/>
      <c r="AS1295" s="332"/>
      <c r="AT1295" s="160"/>
    </row>
    <row r="1296" spans="1:46" ht="21.75" hidden="1" customHeight="1">
      <c r="A1296" s="331">
        <v>1295</v>
      </c>
      <c r="B1296" s="28" t="s">
        <v>169</v>
      </c>
      <c r="C1296" s="28" t="s">
        <v>5836</v>
      </c>
      <c r="D1296" s="438" t="s">
        <v>5837</v>
      </c>
      <c r="E1296" s="361" t="str">
        <f t="shared" ca="1" si="52"/>
        <v>LOSS</v>
      </c>
      <c r="F1296" s="29" t="s">
        <v>5838</v>
      </c>
      <c r="G1296" s="28" t="s">
        <v>5839</v>
      </c>
      <c r="H1296" s="29" t="s">
        <v>2748</v>
      </c>
      <c r="I1296" s="29" t="s">
        <v>242</v>
      </c>
      <c r="J1296" s="28" t="s">
        <v>5840</v>
      </c>
      <c r="K1296" s="28"/>
      <c r="L1296" s="27"/>
      <c r="M1296" s="27"/>
      <c r="N1296" s="29"/>
      <c r="O1296" s="56"/>
      <c r="P1296" s="31">
        <v>300000000</v>
      </c>
      <c r="Q1296" s="31"/>
      <c r="R1296" s="27"/>
      <c r="S1296" s="32">
        <v>18000000</v>
      </c>
      <c r="T1296" s="33"/>
      <c r="U1296" s="334">
        <v>44218</v>
      </c>
      <c r="V1296" s="334">
        <v>44582</v>
      </c>
      <c r="W1296" s="27" t="s">
        <v>250</v>
      </c>
      <c r="X1296" s="27"/>
      <c r="Y1296" s="34">
        <f t="shared" ca="1" si="56"/>
        <v>46290</v>
      </c>
      <c r="Z1296" s="35">
        <f t="shared" ca="1" si="53"/>
        <v>-1708</v>
      </c>
      <c r="AA1296" s="27">
        <f t="shared" si="57"/>
        <v>1</v>
      </c>
      <c r="AB1296" s="27">
        <f t="shared" si="55"/>
        <v>2022</v>
      </c>
      <c r="AC1296" s="28" t="s">
        <v>479</v>
      </c>
      <c r="AD1296" s="28" t="s">
        <v>5841</v>
      </c>
      <c r="AE1296" s="27">
        <v>4500015676</v>
      </c>
      <c r="AF1296" s="27" t="s">
        <v>339</v>
      </c>
      <c r="AG1296" s="29" t="s">
        <v>381</v>
      </c>
      <c r="AH1296" s="28" t="s">
        <v>5647</v>
      </c>
      <c r="AI1296" s="27"/>
      <c r="AJ1296" s="27"/>
      <c r="AK1296" s="27"/>
      <c r="AL1296" s="27" t="s">
        <v>5842</v>
      </c>
      <c r="AM1296" s="27"/>
      <c r="AN1296" s="27"/>
      <c r="AO1296" s="27"/>
      <c r="AP1296" s="27"/>
      <c r="AQ1296" s="27"/>
      <c r="AR1296" s="504"/>
      <c r="AS1296" s="332"/>
      <c r="AT1296" s="160"/>
    </row>
    <row r="1297" spans="1:46" ht="21.75" hidden="1" customHeight="1">
      <c r="A1297" s="331">
        <v>1296</v>
      </c>
      <c r="B1297" s="28" t="s">
        <v>169</v>
      </c>
      <c r="C1297" s="28" t="s">
        <v>3328</v>
      </c>
      <c r="D1297" s="437" t="s">
        <v>862</v>
      </c>
      <c r="E1297" s="361" t="str">
        <f t="shared" ca="1" si="52"/>
        <v>LOSS</v>
      </c>
      <c r="F1297" s="29" t="s">
        <v>5843</v>
      </c>
      <c r="G1297" s="28" t="s">
        <v>5844</v>
      </c>
      <c r="H1297" s="29" t="s">
        <v>2748</v>
      </c>
      <c r="I1297" s="29" t="s">
        <v>242</v>
      </c>
      <c r="J1297" s="28" t="s">
        <v>177</v>
      </c>
      <c r="K1297" s="28"/>
      <c r="L1297" s="27"/>
      <c r="M1297" s="27"/>
      <c r="N1297" s="29"/>
      <c r="O1297" s="56"/>
      <c r="P1297" s="31">
        <f>12*250000000</f>
        <v>3000000000</v>
      </c>
      <c r="Q1297" s="31"/>
      <c r="R1297" s="30"/>
      <c r="S1297" s="32">
        <v>36000000</v>
      </c>
      <c r="T1297" s="33"/>
      <c r="U1297" s="334">
        <v>45367</v>
      </c>
      <c r="V1297" s="334">
        <v>45731</v>
      </c>
      <c r="W1297" s="27" t="s">
        <v>250</v>
      </c>
      <c r="X1297" s="27"/>
      <c r="Y1297" s="34">
        <f t="shared" ca="1" si="56"/>
        <v>46290</v>
      </c>
      <c r="Z1297" s="35">
        <f t="shared" ca="1" si="53"/>
        <v>-559</v>
      </c>
      <c r="AA1297" s="27">
        <f t="shared" si="57"/>
        <v>3</v>
      </c>
      <c r="AB1297" s="27">
        <f t="shared" si="55"/>
        <v>2025</v>
      </c>
      <c r="AC1297" s="28" t="s">
        <v>5845</v>
      </c>
      <c r="AD1297" s="28">
        <v>2479</v>
      </c>
      <c r="AE1297" s="27">
        <v>4500022305</v>
      </c>
      <c r="AF1297" s="27" t="s">
        <v>339</v>
      </c>
      <c r="AG1297" s="29" t="s">
        <v>381</v>
      </c>
      <c r="AH1297" s="28" t="s">
        <v>5647</v>
      </c>
      <c r="AI1297" s="27"/>
      <c r="AJ1297" s="27"/>
      <c r="AK1297" s="27"/>
      <c r="AL1297" s="27"/>
      <c r="AM1297" s="27"/>
      <c r="AN1297" s="27"/>
      <c r="AO1297" s="27" t="s">
        <v>5846</v>
      </c>
      <c r="AP1297" s="27" t="s">
        <v>5847</v>
      </c>
      <c r="AQ1297" s="27"/>
      <c r="AR1297" s="504"/>
      <c r="AS1297" s="332" t="s">
        <v>5848</v>
      </c>
      <c r="AT1297" s="160"/>
    </row>
    <row r="1298" spans="1:46" ht="21.75" hidden="1" customHeight="1">
      <c r="A1298" s="331">
        <v>1297</v>
      </c>
      <c r="B1298" s="28" t="s">
        <v>169</v>
      </c>
      <c r="C1298" s="28" t="s">
        <v>5732</v>
      </c>
      <c r="D1298" s="438" t="s">
        <v>5726</v>
      </c>
      <c r="E1298" s="361" t="str">
        <f t="shared" ca="1" si="52"/>
        <v>LOSS</v>
      </c>
      <c r="F1298" s="29"/>
      <c r="G1298" s="28" t="s">
        <v>3053</v>
      </c>
      <c r="H1298" s="29" t="s">
        <v>2748</v>
      </c>
      <c r="I1298" s="29" t="s">
        <v>242</v>
      </c>
      <c r="J1298" s="28" t="s">
        <v>5734</v>
      </c>
      <c r="K1298" s="28"/>
      <c r="L1298" s="27"/>
      <c r="M1298" s="27"/>
      <c r="N1298" s="29"/>
      <c r="O1298" s="56"/>
      <c r="P1298" s="43" t="s">
        <v>115</v>
      </c>
      <c r="Q1298" s="43"/>
      <c r="R1298" s="27"/>
      <c r="S1298" s="32">
        <v>1500000</v>
      </c>
      <c r="T1298" s="33"/>
      <c r="U1298" s="334">
        <v>44844</v>
      </c>
      <c r="V1298" s="334">
        <v>44814</v>
      </c>
      <c r="W1298" s="27" t="s">
        <v>245</v>
      </c>
      <c r="X1298" s="27"/>
      <c r="Y1298" s="34">
        <f t="shared" ca="1" si="56"/>
        <v>46290</v>
      </c>
      <c r="Z1298" s="35">
        <f t="shared" ca="1" si="53"/>
        <v>-1476</v>
      </c>
      <c r="AA1298" s="27">
        <f t="shared" si="57"/>
        <v>9</v>
      </c>
      <c r="AB1298" s="27">
        <f t="shared" si="55"/>
        <v>2022</v>
      </c>
      <c r="AC1298" s="28" t="s">
        <v>5849</v>
      </c>
      <c r="AD1298" s="28" t="s">
        <v>2049</v>
      </c>
      <c r="AE1298" s="27">
        <v>4500019071</v>
      </c>
      <c r="AF1298" s="27" t="s">
        <v>339</v>
      </c>
      <c r="AG1298" s="29" t="s">
        <v>381</v>
      </c>
      <c r="AH1298" s="28" t="s">
        <v>5647</v>
      </c>
      <c r="AI1298" s="27"/>
      <c r="AJ1298" s="27"/>
      <c r="AK1298" s="27"/>
      <c r="AL1298" s="27"/>
      <c r="AM1298" s="27"/>
      <c r="AN1298" s="27" t="s">
        <v>5850</v>
      </c>
      <c r="AO1298" s="27"/>
      <c r="AP1298" s="27"/>
      <c r="AQ1298" s="27"/>
      <c r="AR1298" s="504"/>
      <c r="AS1298" s="332" t="s">
        <v>5851</v>
      </c>
      <c r="AT1298" s="160"/>
    </row>
    <row r="1299" spans="1:46" ht="21.75" hidden="1" customHeight="1">
      <c r="A1299" s="331">
        <v>1298</v>
      </c>
      <c r="B1299" s="28" t="s">
        <v>169</v>
      </c>
      <c r="C1299" s="28" t="s">
        <v>5852</v>
      </c>
      <c r="D1299" s="437" t="s">
        <v>862</v>
      </c>
      <c r="E1299" s="361" t="str">
        <f t="shared" ca="1" si="52"/>
        <v>LOSS</v>
      </c>
      <c r="F1299" s="29"/>
      <c r="G1299" s="28" t="s">
        <v>5853</v>
      </c>
      <c r="H1299" s="29" t="s">
        <v>2748</v>
      </c>
      <c r="I1299" s="29" t="s">
        <v>242</v>
      </c>
      <c r="J1299" s="28" t="s">
        <v>2146</v>
      </c>
      <c r="K1299" s="28"/>
      <c r="L1299" s="27"/>
      <c r="M1299" s="27"/>
      <c r="N1299" s="29"/>
      <c r="O1299" s="56"/>
      <c r="P1299" s="31">
        <f>12*90000000</f>
        <v>1080000000</v>
      </c>
      <c r="Q1299" s="31"/>
      <c r="R1299" s="30"/>
      <c r="S1299" s="32">
        <v>18000000</v>
      </c>
      <c r="T1299" s="33"/>
      <c r="U1299" s="334">
        <v>45090</v>
      </c>
      <c r="V1299" s="334">
        <v>45455</v>
      </c>
      <c r="W1299" s="27" t="s">
        <v>17</v>
      </c>
      <c r="X1299" s="27"/>
      <c r="Y1299" s="34">
        <f t="shared" ca="1" si="56"/>
        <v>46290</v>
      </c>
      <c r="Z1299" s="35">
        <f t="shared" ca="1" si="53"/>
        <v>-835</v>
      </c>
      <c r="AA1299" s="27">
        <f t="shared" si="57"/>
        <v>6</v>
      </c>
      <c r="AB1299" s="27">
        <f t="shared" si="55"/>
        <v>2024</v>
      </c>
      <c r="AC1299" s="28" t="s">
        <v>5854</v>
      </c>
      <c r="AD1299" s="28" t="s">
        <v>5855</v>
      </c>
      <c r="AE1299" s="27">
        <v>4500021195</v>
      </c>
      <c r="AF1299" s="27" t="s">
        <v>339</v>
      </c>
      <c r="AG1299" s="29" t="s">
        <v>381</v>
      </c>
      <c r="AH1299" s="28" t="s">
        <v>5647</v>
      </c>
      <c r="AI1299" s="27"/>
      <c r="AJ1299" s="27"/>
      <c r="AK1299" s="27"/>
      <c r="AL1299" s="27"/>
      <c r="AM1299" s="27"/>
      <c r="AN1299" s="27" t="s">
        <v>5856</v>
      </c>
      <c r="AO1299" s="27" t="s">
        <v>5857</v>
      </c>
      <c r="AP1299" s="27"/>
      <c r="AQ1299" s="27"/>
      <c r="AR1299" s="504"/>
      <c r="AS1299" s="332" t="s">
        <v>5688</v>
      </c>
      <c r="AT1299" s="160"/>
    </row>
    <row r="1300" spans="1:46" ht="21.75" hidden="1" customHeight="1">
      <c r="A1300" s="331">
        <v>1299</v>
      </c>
      <c r="B1300" s="28" t="s">
        <v>169</v>
      </c>
      <c r="C1300" s="28" t="s">
        <v>5852</v>
      </c>
      <c r="D1300" s="438" t="s">
        <v>5726</v>
      </c>
      <c r="E1300" s="361" t="str">
        <f t="shared" ca="1" si="52"/>
        <v>LOSS</v>
      </c>
      <c r="F1300" s="29" t="s">
        <v>5858</v>
      </c>
      <c r="G1300" s="28" t="s">
        <v>5853</v>
      </c>
      <c r="H1300" s="29" t="s">
        <v>2748</v>
      </c>
      <c r="I1300" s="29" t="s">
        <v>242</v>
      </c>
      <c r="J1300" s="28" t="s">
        <v>5859</v>
      </c>
      <c r="K1300" s="28"/>
      <c r="L1300" s="27"/>
      <c r="M1300" s="27"/>
      <c r="N1300" s="29"/>
      <c r="O1300" s="56"/>
      <c r="P1300" s="31">
        <f>12*150000000</f>
        <v>1800000000</v>
      </c>
      <c r="Q1300" s="31"/>
      <c r="R1300" s="30"/>
      <c r="S1300" s="32">
        <v>18000000</v>
      </c>
      <c r="T1300" s="33"/>
      <c r="U1300" s="334">
        <v>44895</v>
      </c>
      <c r="V1300" s="334">
        <v>45259</v>
      </c>
      <c r="W1300" s="27" t="s">
        <v>250</v>
      </c>
      <c r="X1300" s="27"/>
      <c r="Y1300" s="34">
        <f t="shared" ca="1" si="56"/>
        <v>46290</v>
      </c>
      <c r="Z1300" s="35">
        <f t="shared" ca="1" si="53"/>
        <v>-1031</v>
      </c>
      <c r="AA1300" s="27">
        <f t="shared" si="57"/>
        <v>11</v>
      </c>
      <c r="AB1300" s="27">
        <f t="shared" si="55"/>
        <v>2023</v>
      </c>
      <c r="AC1300" s="28" t="s">
        <v>479</v>
      </c>
      <c r="AD1300" s="28" t="s">
        <v>2736</v>
      </c>
      <c r="AE1300" s="27">
        <v>4500019548</v>
      </c>
      <c r="AF1300" s="27" t="s">
        <v>339</v>
      </c>
      <c r="AG1300" s="29" t="s">
        <v>381</v>
      </c>
      <c r="AH1300" s="28" t="s">
        <v>5647</v>
      </c>
      <c r="AI1300" s="27"/>
      <c r="AJ1300" s="27"/>
      <c r="AK1300" s="27"/>
      <c r="AL1300" s="27"/>
      <c r="AM1300" s="27"/>
      <c r="AN1300" s="27" t="s">
        <v>5860</v>
      </c>
      <c r="AO1300" s="27"/>
      <c r="AP1300" s="27"/>
      <c r="AQ1300" s="27"/>
      <c r="AR1300" s="504"/>
      <c r="AS1300" s="332" t="s">
        <v>5724</v>
      </c>
      <c r="AT1300" s="160"/>
    </row>
    <row r="1301" spans="1:46" ht="21.75" hidden="1" customHeight="1">
      <c r="A1301" s="331">
        <v>1300</v>
      </c>
      <c r="B1301" s="28" t="s">
        <v>169</v>
      </c>
      <c r="C1301" s="28" t="s">
        <v>2962</v>
      </c>
      <c r="D1301" s="437" t="s">
        <v>5726</v>
      </c>
      <c r="E1301" s="361" t="str">
        <f t="shared" ca="1" si="52"/>
        <v>LOSS</v>
      </c>
      <c r="F1301" s="29"/>
      <c r="G1301" s="28" t="s">
        <v>5500</v>
      </c>
      <c r="H1301" s="29" t="s">
        <v>2748</v>
      </c>
      <c r="I1301" s="29" t="s">
        <v>346</v>
      </c>
      <c r="J1301" s="28" t="s">
        <v>46</v>
      </c>
      <c r="K1301" s="28"/>
      <c r="L1301" s="27"/>
      <c r="M1301" s="27"/>
      <c r="N1301" s="29"/>
      <c r="O1301" s="56"/>
      <c r="P1301" s="31">
        <v>40276363680</v>
      </c>
      <c r="Q1301" s="31"/>
      <c r="R1301" s="27"/>
      <c r="S1301" s="32">
        <v>47380000</v>
      </c>
      <c r="T1301" s="33"/>
      <c r="U1301" s="334">
        <v>43615</v>
      </c>
      <c r="V1301" s="334">
        <v>43980</v>
      </c>
      <c r="W1301" s="27" t="s">
        <v>250</v>
      </c>
      <c r="X1301" s="27"/>
      <c r="Y1301" s="34">
        <f t="shared" ca="1" si="56"/>
        <v>46290</v>
      </c>
      <c r="Z1301" s="35">
        <f t="shared" ca="1" si="53"/>
        <v>-2310</v>
      </c>
      <c r="AA1301" s="27">
        <f t="shared" si="57"/>
        <v>5</v>
      </c>
      <c r="AB1301" s="27">
        <f t="shared" si="55"/>
        <v>2020</v>
      </c>
      <c r="AC1301" s="28" t="s">
        <v>479</v>
      </c>
      <c r="AD1301" s="28" t="s">
        <v>5861</v>
      </c>
      <c r="AE1301" s="27">
        <v>4500012711</v>
      </c>
      <c r="AF1301" s="27" t="s">
        <v>339</v>
      </c>
      <c r="AG1301" s="29" t="s">
        <v>381</v>
      </c>
      <c r="AH1301" s="28" t="s">
        <v>5647</v>
      </c>
      <c r="AI1301" s="27"/>
      <c r="AJ1301" s="27"/>
      <c r="AK1301" s="27" t="s">
        <v>5862</v>
      </c>
      <c r="AL1301" s="27"/>
      <c r="AM1301" s="27"/>
      <c r="AN1301" s="27"/>
      <c r="AO1301" s="27"/>
      <c r="AP1301" s="27"/>
      <c r="AQ1301" s="27"/>
      <c r="AR1301" s="504"/>
      <c r="AS1301" s="332" t="s">
        <v>5863</v>
      </c>
      <c r="AT1301" s="160"/>
    </row>
    <row r="1302" spans="1:46" ht="21.75" hidden="1" customHeight="1">
      <c r="A1302" s="331">
        <v>1301</v>
      </c>
      <c r="B1302" s="28" t="s">
        <v>169</v>
      </c>
      <c r="C1302" s="28" t="s">
        <v>5864</v>
      </c>
      <c r="D1302" s="438" t="s">
        <v>5645</v>
      </c>
      <c r="E1302" s="361" t="str">
        <f t="shared" ca="1" si="52"/>
        <v>LOSS</v>
      </c>
      <c r="F1302" s="29" t="s">
        <v>5865</v>
      </c>
      <c r="G1302" s="28" t="s">
        <v>5866</v>
      </c>
      <c r="H1302" s="29" t="s">
        <v>2748</v>
      </c>
      <c r="I1302" s="29" t="s">
        <v>242</v>
      </c>
      <c r="J1302" s="28" t="s">
        <v>1178</v>
      </c>
      <c r="K1302" s="28"/>
      <c r="L1302" s="27"/>
      <c r="M1302" s="27"/>
      <c r="N1302" s="29"/>
      <c r="O1302" s="56"/>
      <c r="P1302" s="31">
        <v>288000000</v>
      </c>
      <c r="Q1302" s="31"/>
      <c r="R1302" s="27"/>
      <c r="S1302" s="32">
        <v>18000000</v>
      </c>
      <c r="T1302" s="33"/>
      <c r="U1302" s="334">
        <v>44636</v>
      </c>
      <c r="V1302" s="334">
        <v>45000</v>
      </c>
      <c r="W1302" s="27" t="s">
        <v>245</v>
      </c>
      <c r="X1302" s="27"/>
      <c r="Y1302" s="34">
        <f t="shared" ca="1" si="56"/>
        <v>46290</v>
      </c>
      <c r="Z1302" s="35">
        <f t="shared" ca="1" si="53"/>
        <v>-1290</v>
      </c>
      <c r="AA1302" s="27">
        <f t="shared" si="57"/>
        <v>3</v>
      </c>
      <c r="AB1302" s="27">
        <f t="shared" si="55"/>
        <v>2023</v>
      </c>
      <c r="AC1302" s="28" t="s">
        <v>5867</v>
      </c>
      <c r="AD1302" s="28" t="s">
        <v>5868</v>
      </c>
      <c r="AE1302" s="27">
        <v>4500017759</v>
      </c>
      <c r="AF1302" s="27" t="s">
        <v>339</v>
      </c>
      <c r="AG1302" s="29" t="s">
        <v>381</v>
      </c>
      <c r="AH1302" s="28" t="s">
        <v>5647</v>
      </c>
      <c r="AI1302" s="27"/>
      <c r="AJ1302" s="27"/>
      <c r="AK1302" s="27"/>
      <c r="AL1302" s="27"/>
      <c r="AM1302" s="27" t="s">
        <v>5869</v>
      </c>
      <c r="AN1302" s="27" t="s">
        <v>5870</v>
      </c>
      <c r="AO1302" s="27"/>
      <c r="AP1302" s="27"/>
      <c r="AQ1302" s="27"/>
      <c r="AR1302" s="504"/>
      <c r="AS1302" s="332"/>
      <c r="AT1302" s="160"/>
    </row>
    <row r="1303" spans="1:46" ht="21.75" hidden="1" customHeight="1">
      <c r="A1303" s="331">
        <v>1302</v>
      </c>
      <c r="B1303" s="28" t="s">
        <v>169</v>
      </c>
      <c r="C1303" s="28" t="s">
        <v>115</v>
      </c>
      <c r="D1303" s="437" t="s">
        <v>862</v>
      </c>
      <c r="E1303" s="361" t="str">
        <f t="shared" ca="1" si="52"/>
        <v>LOSS</v>
      </c>
      <c r="F1303" s="29"/>
      <c r="G1303" s="28" t="s">
        <v>5866</v>
      </c>
      <c r="H1303" s="29" t="s">
        <v>2748</v>
      </c>
      <c r="I1303" s="29" t="s">
        <v>242</v>
      </c>
      <c r="J1303" s="28" t="s">
        <v>115</v>
      </c>
      <c r="K1303" s="28"/>
      <c r="L1303" s="27"/>
      <c r="M1303" s="27"/>
      <c r="N1303" s="29"/>
      <c r="O1303" s="56"/>
      <c r="P1303" s="31">
        <v>288000000</v>
      </c>
      <c r="Q1303" s="31"/>
      <c r="R1303" s="27"/>
      <c r="S1303" s="32">
        <v>18000000</v>
      </c>
      <c r="T1303" s="33"/>
      <c r="U1303" s="334">
        <v>44997</v>
      </c>
      <c r="V1303" s="334">
        <v>45362</v>
      </c>
      <c r="W1303" s="27" t="s">
        <v>17</v>
      </c>
      <c r="X1303" s="27"/>
      <c r="Y1303" s="34">
        <f t="shared" ca="1" si="56"/>
        <v>46290</v>
      </c>
      <c r="Z1303" s="35">
        <f t="shared" ca="1" si="53"/>
        <v>-928</v>
      </c>
      <c r="AA1303" s="27">
        <f t="shared" si="57"/>
        <v>3</v>
      </c>
      <c r="AB1303" s="27">
        <f t="shared" si="55"/>
        <v>2024</v>
      </c>
      <c r="AC1303" s="28" t="s">
        <v>5871</v>
      </c>
      <c r="AD1303" s="28" t="s">
        <v>5872</v>
      </c>
      <c r="AE1303" s="27">
        <v>4500023485</v>
      </c>
      <c r="AF1303" s="27" t="s">
        <v>333</v>
      </c>
      <c r="AG1303" s="29" t="s">
        <v>381</v>
      </c>
      <c r="AH1303" s="28" t="s">
        <v>5647</v>
      </c>
      <c r="AI1303" s="27"/>
      <c r="AJ1303" s="27"/>
      <c r="AK1303" s="27"/>
      <c r="AL1303" s="27"/>
      <c r="AM1303" s="27" t="s">
        <v>5873</v>
      </c>
      <c r="AN1303" s="27" t="s">
        <v>5874</v>
      </c>
      <c r="AO1303" s="27"/>
      <c r="AP1303" s="27" t="s">
        <v>5875</v>
      </c>
      <c r="AQ1303" s="27"/>
      <c r="AR1303" s="504"/>
      <c r="AS1303" s="332"/>
      <c r="AT1303" s="160"/>
    </row>
    <row r="1304" spans="1:46" ht="21.75" hidden="1" customHeight="1">
      <c r="A1304" s="331">
        <v>1303</v>
      </c>
      <c r="B1304" s="28" t="s">
        <v>169</v>
      </c>
      <c r="C1304" s="28" t="s">
        <v>115</v>
      </c>
      <c r="D1304" s="438" t="s">
        <v>5645</v>
      </c>
      <c r="E1304" s="361" t="str">
        <f t="shared" ca="1" si="52"/>
        <v>LOSS</v>
      </c>
      <c r="F1304" s="29"/>
      <c r="G1304" s="28"/>
      <c r="H1304" s="29" t="s">
        <v>2748</v>
      </c>
      <c r="I1304" s="29" t="s">
        <v>242</v>
      </c>
      <c r="J1304" s="28" t="s">
        <v>115</v>
      </c>
      <c r="K1304" s="28"/>
      <c r="L1304" s="27"/>
      <c r="M1304" s="27"/>
      <c r="N1304" s="29"/>
      <c r="O1304" s="56"/>
      <c r="P1304" s="31" t="s">
        <v>115</v>
      </c>
      <c r="Q1304" s="31"/>
      <c r="R1304" s="27"/>
      <c r="S1304" s="32">
        <v>18000000</v>
      </c>
      <c r="T1304" s="33"/>
      <c r="U1304" s="334">
        <v>44650</v>
      </c>
      <c r="V1304" s="334">
        <v>45014</v>
      </c>
      <c r="W1304" s="27" t="s">
        <v>250</v>
      </c>
      <c r="X1304" s="27"/>
      <c r="Y1304" s="34">
        <f t="shared" ca="1" si="56"/>
        <v>46290</v>
      </c>
      <c r="Z1304" s="35">
        <f t="shared" ca="1" si="53"/>
        <v>-1276</v>
      </c>
      <c r="AA1304" s="27">
        <f t="shared" si="57"/>
        <v>3</v>
      </c>
      <c r="AB1304" s="27">
        <f t="shared" si="55"/>
        <v>2023</v>
      </c>
      <c r="AC1304" s="28" t="s">
        <v>5876</v>
      </c>
      <c r="AD1304" s="28" t="s">
        <v>5877</v>
      </c>
      <c r="AE1304" s="27">
        <v>4500018036</v>
      </c>
      <c r="AF1304" s="27" t="s">
        <v>339</v>
      </c>
      <c r="AG1304" s="29" t="s">
        <v>381</v>
      </c>
      <c r="AH1304" s="28" t="s">
        <v>5647</v>
      </c>
      <c r="AI1304" s="27"/>
      <c r="AJ1304" s="27"/>
      <c r="AK1304" s="27"/>
      <c r="AL1304" s="27"/>
      <c r="AM1304" s="27" t="s">
        <v>5878</v>
      </c>
      <c r="AN1304" s="27" t="s">
        <v>5879</v>
      </c>
      <c r="AO1304" s="27"/>
      <c r="AP1304" s="27"/>
      <c r="AQ1304" s="27"/>
      <c r="AR1304" s="504"/>
      <c r="AS1304" s="332"/>
      <c r="AT1304" s="160"/>
    </row>
    <row r="1305" spans="1:46" ht="21.75" hidden="1" customHeight="1">
      <c r="A1305" s="331">
        <v>1304</v>
      </c>
      <c r="B1305" s="28" t="s">
        <v>169</v>
      </c>
      <c r="C1305" s="28" t="s">
        <v>115</v>
      </c>
      <c r="D1305" s="437" t="s">
        <v>5645</v>
      </c>
      <c r="E1305" s="361" t="str">
        <f t="shared" ca="1" si="52"/>
        <v>LOSS</v>
      </c>
      <c r="F1305" s="29"/>
      <c r="G1305" s="28"/>
      <c r="H1305" s="29" t="s">
        <v>2748</v>
      </c>
      <c r="I1305" s="29" t="s">
        <v>242</v>
      </c>
      <c r="J1305" s="28" t="s">
        <v>115</v>
      </c>
      <c r="K1305" s="28"/>
      <c r="L1305" s="27"/>
      <c r="M1305" s="27"/>
      <c r="N1305" s="29"/>
      <c r="O1305" s="56"/>
      <c r="P1305" s="31" t="s">
        <v>115</v>
      </c>
      <c r="Q1305" s="31"/>
      <c r="R1305" s="27"/>
      <c r="S1305" s="32">
        <v>108000000</v>
      </c>
      <c r="T1305" s="33"/>
      <c r="U1305" s="334">
        <v>44400</v>
      </c>
      <c r="V1305" s="334">
        <v>44764</v>
      </c>
      <c r="W1305" s="27" t="s">
        <v>250</v>
      </c>
      <c r="X1305" s="27"/>
      <c r="Y1305" s="34">
        <f t="shared" ca="1" si="56"/>
        <v>46290</v>
      </c>
      <c r="Z1305" s="35">
        <f t="shared" ca="1" si="53"/>
        <v>-1526</v>
      </c>
      <c r="AA1305" s="27">
        <f t="shared" si="57"/>
        <v>7</v>
      </c>
      <c r="AB1305" s="27">
        <f t="shared" si="55"/>
        <v>2022</v>
      </c>
      <c r="AC1305" s="28" t="s">
        <v>479</v>
      </c>
      <c r="AD1305" s="28" t="s">
        <v>1571</v>
      </c>
      <c r="AE1305" s="27">
        <v>4500016484</v>
      </c>
      <c r="AF1305" s="27" t="s">
        <v>339</v>
      </c>
      <c r="AG1305" s="29" t="s">
        <v>381</v>
      </c>
      <c r="AH1305" s="28" t="s">
        <v>5647</v>
      </c>
      <c r="AI1305" s="27"/>
      <c r="AJ1305" s="27"/>
      <c r="AK1305" s="27"/>
      <c r="AL1305" s="27"/>
      <c r="AM1305" s="27" t="s">
        <v>3677</v>
      </c>
      <c r="AN1305" s="27"/>
      <c r="AO1305" s="27"/>
      <c r="AP1305" s="27"/>
      <c r="AQ1305" s="27"/>
      <c r="AR1305" s="504"/>
      <c r="AS1305" s="332"/>
      <c r="AT1305" s="160"/>
    </row>
    <row r="1306" spans="1:46" ht="21.75" hidden="1" customHeight="1">
      <c r="A1306" s="331">
        <v>1305</v>
      </c>
      <c r="B1306" s="28" t="s">
        <v>169</v>
      </c>
      <c r="C1306" s="28" t="s">
        <v>5798</v>
      </c>
      <c r="D1306" s="438" t="s">
        <v>862</v>
      </c>
      <c r="E1306" s="361" t="str">
        <f t="shared" ca="1" si="52"/>
        <v>LOSS</v>
      </c>
      <c r="F1306" s="29" t="s">
        <v>5880</v>
      </c>
      <c r="G1306" s="28" t="s">
        <v>3162</v>
      </c>
      <c r="H1306" s="29" t="s">
        <v>2748</v>
      </c>
      <c r="I1306" s="29" t="s">
        <v>242</v>
      </c>
      <c r="J1306" s="28" t="s">
        <v>1392</v>
      </c>
      <c r="K1306" s="28"/>
      <c r="L1306" s="27"/>
      <c r="M1306" s="27"/>
      <c r="N1306" s="29"/>
      <c r="O1306" s="56"/>
      <c r="P1306" s="31">
        <v>2160000000</v>
      </c>
      <c r="Q1306" s="31"/>
      <c r="R1306" s="27"/>
      <c r="S1306" s="32">
        <v>36000000</v>
      </c>
      <c r="T1306" s="33"/>
      <c r="U1306" s="334">
        <v>45505</v>
      </c>
      <c r="V1306" s="334">
        <v>45869</v>
      </c>
      <c r="W1306" s="27" t="s">
        <v>250</v>
      </c>
      <c r="X1306" s="27"/>
      <c r="Y1306" s="34">
        <f t="shared" ca="1" si="56"/>
        <v>46290</v>
      </c>
      <c r="Z1306" s="35">
        <f t="shared" ca="1" si="53"/>
        <v>-421</v>
      </c>
      <c r="AA1306" s="27">
        <f t="shared" si="57"/>
        <v>7</v>
      </c>
      <c r="AB1306" s="27">
        <f t="shared" si="55"/>
        <v>2025</v>
      </c>
      <c r="AC1306" s="28" t="s">
        <v>5881</v>
      </c>
      <c r="AD1306" s="28" t="s">
        <v>5882</v>
      </c>
      <c r="AE1306" s="27">
        <v>4500023589</v>
      </c>
      <c r="AF1306" s="27" t="s">
        <v>333</v>
      </c>
      <c r="AG1306" s="29" t="s">
        <v>381</v>
      </c>
      <c r="AH1306" s="28" t="s">
        <v>5647</v>
      </c>
      <c r="AI1306" s="27"/>
      <c r="AJ1306" s="27"/>
      <c r="AK1306" s="27"/>
      <c r="AL1306" s="27"/>
      <c r="AM1306" s="27" t="s">
        <v>5883</v>
      </c>
      <c r="AN1306" s="27" t="s">
        <v>5884</v>
      </c>
      <c r="AO1306" s="27" t="s">
        <v>5885</v>
      </c>
      <c r="AP1306" s="27" t="s">
        <v>5886</v>
      </c>
      <c r="AQ1306" s="27"/>
      <c r="AR1306" s="504"/>
      <c r="AS1306" s="332"/>
      <c r="AT1306" s="160"/>
    </row>
    <row r="1307" spans="1:46" ht="21.75" hidden="1" customHeight="1">
      <c r="A1307" s="331">
        <v>1306</v>
      </c>
      <c r="B1307" s="28" t="s">
        <v>169</v>
      </c>
      <c r="C1307" s="28" t="s">
        <v>3328</v>
      </c>
      <c r="D1307" s="437" t="s">
        <v>5645</v>
      </c>
      <c r="E1307" s="361" t="str">
        <f t="shared" ca="1" si="52"/>
        <v>LOSS</v>
      </c>
      <c r="F1307" s="29" t="s">
        <v>5880</v>
      </c>
      <c r="G1307" s="28" t="s">
        <v>3162</v>
      </c>
      <c r="H1307" s="29" t="s">
        <v>2748</v>
      </c>
      <c r="I1307" s="29" t="s">
        <v>242</v>
      </c>
      <c r="J1307" s="28" t="s">
        <v>1392</v>
      </c>
      <c r="K1307" s="28"/>
      <c r="L1307" s="27"/>
      <c r="M1307" s="27"/>
      <c r="N1307" s="29"/>
      <c r="O1307" s="56"/>
      <c r="P1307" s="31">
        <v>2160000000</v>
      </c>
      <c r="Q1307" s="31"/>
      <c r="R1307" s="27"/>
      <c r="S1307" s="32">
        <v>77760000</v>
      </c>
      <c r="T1307" s="33"/>
      <c r="U1307" s="334">
        <v>44776</v>
      </c>
      <c r="V1307" s="334">
        <v>45140</v>
      </c>
      <c r="W1307" s="27" t="s">
        <v>250</v>
      </c>
      <c r="X1307" s="27"/>
      <c r="Y1307" s="34">
        <f t="shared" ca="1" si="56"/>
        <v>46290</v>
      </c>
      <c r="Z1307" s="35">
        <f t="shared" ca="1" si="53"/>
        <v>-1150</v>
      </c>
      <c r="AA1307" s="27">
        <f t="shared" si="57"/>
        <v>8</v>
      </c>
      <c r="AB1307" s="27">
        <f t="shared" si="55"/>
        <v>2023</v>
      </c>
      <c r="AC1307" s="28" t="s">
        <v>5887</v>
      </c>
      <c r="AD1307" s="28" t="s">
        <v>2304</v>
      </c>
      <c r="AE1307" s="27">
        <v>4500018766</v>
      </c>
      <c r="AF1307" s="27" t="s">
        <v>339</v>
      </c>
      <c r="AG1307" s="29" t="s">
        <v>381</v>
      </c>
      <c r="AH1307" s="28" t="s">
        <v>5647</v>
      </c>
      <c r="AI1307" s="27"/>
      <c r="AJ1307" s="27"/>
      <c r="AK1307" s="27"/>
      <c r="AL1307" s="27"/>
      <c r="AM1307" s="27" t="s">
        <v>5888</v>
      </c>
      <c r="AN1307" s="27" t="s">
        <v>5889</v>
      </c>
      <c r="AO1307" s="27"/>
      <c r="AP1307" s="27"/>
      <c r="AQ1307" s="27"/>
      <c r="AR1307" s="504"/>
      <c r="AS1307" s="332"/>
      <c r="AT1307" s="160"/>
    </row>
    <row r="1308" spans="1:46" ht="21.75" hidden="1" customHeight="1">
      <c r="A1308" s="331">
        <v>1307</v>
      </c>
      <c r="B1308" s="28" t="s">
        <v>169</v>
      </c>
      <c r="C1308" s="28" t="s">
        <v>5890</v>
      </c>
      <c r="D1308" s="438" t="s">
        <v>862</v>
      </c>
      <c r="E1308" s="361" t="str">
        <f t="shared" ca="1" si="52"/>
        <v>LOSS</v>
      </c>
      <c r="F1308" s="29"/>
      <c r="G1308" s="38" t="s">
        <v>5891</v>
      </c>
      <c r="H1308" s="29" t="s">
        <v>2748</v>
      </c>
      <c r="I1308" s="29" t="s">
        <v>242</v>
      </c>
      <c r="J1308" s="38" t="s">
        <v>115</v>
      </c>
      <c r="K1308" s="28"/>
      <c r="L1308" s="27"/>
      <c r="M1308" s="27"/>
      <c r="N1308" s="29"/>
      <c r="O1308" s="56"/>
      <c r="P1308" s="43">
        <v>3359664000</v>
      </c>
      <c r="Q1308" s="43"/>
      <c r="R1308" s="27"/>
      <c r="S1308" s="32">
        <v>1391000000</v>
      </c>
      <c r="T1308" s="33"/>
      <c r="U1308" s="334">
        <v>45323</v>
      </c>
      <c r="V1308" s="334">
        <v>45688</v>
      </c>
      <c r="W1308" s="27" t="s">
        <v>250</v>
      </c>
      <c r="X1308" s="27"/>
      <c r="Y1308" s="34">
        <f t="shared" ca="1" si="56"/>
        <v>46290</v>
      </c>
      <c r="Z1308" s="35">
        <f t="shared" ca="1" si="53"/>
        <v>-602</v>
      </c>
      <c r="AA1308" s="27">
        <f t="shared" si="57"/>
        <v>1</v>
      </c>
      <c r="AB1308" s="27">
        <f t="shared" si="55"/>
        <v>2025</v>
      </c>
      <c r="AC1308" s="28" t="s">
        <v>5892</v>
      </c>
      <c r="AD1308" s="28" t="s">
        <v>5893</v>
      </c>
      <c r="AE1308" s="27">
        <v>4500019940</v>
      </c>
      <c r="AF1308" s="27" t="s">
        <v>339</v>
      </c>
      <c r="AG1308" s="29" t="s">
        <v>381</v>
      </c>
      <c r="AH1308" s="28" t="s">
        <v>5647</v>
      </c>
      <c r="AI1308" s="27"/>
      <c r="AJ1308" s="27"/>
      <c r="AK1308" s="27"/>
      <c r="AL1308" s="27"/>
      <c r="AM1308" s="27"/>
      <c r="AN1308" s="27"/>
      <c r="AO1308" s="27" t="s">
        <v>5894</v>
      </c>
      <c r="AP1308" s="27" t="s">
        <v>5895</v>
      </c>
      <c r="AQ1308" s="27"/>
      <c r="AR1308" s="504"/>
      <c r="AS1308" s="332"/>
      <c r="AT1308" s="160"/>
    </row>
    <row r="1309" spans="1:46" ht="21.75" hidden="1" customHeight="1">
      <c r="A1309" s="331">
        <v>1308</v>
      </c>
      <c r="B1309" s="28" t="s">
        <v>169</v>
      </c>
      <c r="C1309" s="28" t="s">
        <v>2322</v>
      </c>
      <c r="D1309" s="437" t="s">
        <v>862</v>
      </c>
      <c r="E1309" s="361" t="str">
        <f t="shared" ca="1" si="52"/>
        <v>LOSS</v>
      </c>
      <c r="F1309" s="29" t="s">
        <v>5896</v>
      </c>
      <c r="G1309" s="38" t="s">
        <v>5897</v>
      </c>
      <c r="H1309" s="29" t="s">
        <v>2748</v>
      </c>
      <c r="I1309" s="29" t="s">
        <v>242</v>
      </c>
      <c r="J1309" s="28" t="s">
        <v>5898</v>
      </c>
      <c r="K1309" s="28"/>
      <c r="L1309" s="27"/>
      <c r="M1309" s="27"/>
      <c r="N1309" s="29"/>
      <c r="O1309" s="56"/>
      <c r="P1309" s="31">
        <f>12*80000000</f>
        <v>960000000</v>
      </c>
      <c r="Q1309" s="31"/>
      <c r="R1309" s="30"/>
      <c r="S1309" s="32">
        <v>18000000</v>
      </c>
      <c r="T1309" s="33"/>
      <c r="U1309" s="334">
        <v>45160</v>
      </c>
      <c r="V1309" s="334">
        <v>45525</v>
      </c>
      <c r="W1309" s="27" t="s">
        <v>17</v>
      </c>
      <c r="X1309" s="27"/>
      <c r="Y1309" s="34">
        <f t="shared" ca="1" si="56"/>
        <v>46290</v>
      </c>
      <c r="Z1309" s="35">
        <f t="shared" ca="1" si="53"/>
        <v>-765</v>
      </c>
      <c r="AA1309" s="27">
        <f t="shared" si="57"/>
        <v>8</v>
      </c>
      <c r="AB1309" s="27">
        <f t="shared" si="55"/>
        <v>2024</v>
      </c>
      <c r="AC1309" s="28" t="s">
        <v>5899</v>
      </c>
      <c r="AD1309" s="28" t="s">
        <v>5900</v>
      </c>
      <c r="AE1309" s="27">
        <v>4500023590</v>
      </c>
      <c r="AF1309" s="27" t="s">
        <v>333</v>
      </c>
      <c r="AG1309" s="29" t="s">
        <v>381</v>
      </c>
      <c r="AH1309" s="28" t="s">
        <v>5647</v>
      </c>
      <c r="AI1309" s="27"/>
      <c r="AJ1309" s="27"/>
      <c r="AK1309" s="27"/>
      <c r="AL1309" s="27"/>
      <c r="AM1309" s="27"/>
      <c r="AN1309" s="27"/>
      <c r="AO1309" s="27" t="s">
        <v>5901</v>
      </c>
      <c r="AP1309" s="27" t="s">
        <v>5902</v>
      </c>
      <c r="AQ1309" s="27"/>
      <c r="AR1309" s="504"/>
      <c r="AS1309" s="332" t="s">
        <v>5903</v>
      </c>
      <c r="AT1309" s="160"/>
    </row>
    <row r="1310" spans="1:46" ht="21.75" hidden="1" customHeight="1">
      <c r="A1310" s="331">
        <v>1309</v>
      </c>
      <c r="B1310" s="28" t="s">
        <v>169</v>
      </c>
      <c r="C1310" s="28" t="s">
        <v>5820</v>
      </c>
      <c r="D1310" s="438" t="s">
        <v>862</v>
      </c>
      <c r="E1310" s="361" t="str">
        <f t="shared" ca="1" si="52"/>
        <v>LOSS</v>
      </c>
      <c r="F1310" s="29"/>
      <c r="G1310" s="38" t="s">
        <v>5891</v>
      </c>
      <c r="H1310" s="29" t="s">
        <v>2748</v>
      </c>
      <c r="I1310" s="29" t="s">
        <v>242</v>
      </c>
      <c r="J1310" s="38" t="s">
        <v>115</v>
      </c>
      <c r="K1310" s="28"/>
      <c r="L1310" s="27"/>
      <c r="M1310" s="27"/>
      <c r="N1310" s="29"/>
      <c r="O1310" s="56"/>
      <c r="P1310" s="43" t="s">
        <v>115</v>
      </c>
      <c r="Q1310" s="43"/>
      <c r="R1310" s="27"/>
      <c r="S1310" s="32">
        <v>36000000</v>
      </c>
      <c r="T1310" s="33"/>
      <c r="U1310" s="334">
        <v>45130</v>
      </c>
      <c r="V1310" s="334">
        <v>45495</v>
      </c>
      <c r="W1310" s="27" t="s">
        <v>250</v>
      </c>
      <c r="X1310" s="27"/>
      <c r="Y1310" s="34">
        <f t="shared" ca="1" si="56"/>
        <v>46290</v>
      </c>
      <c r="Z1310" s="35">
        <f t="shared" ca="1" si="53"/>
        <v>-795</v>
      </c>
      <c r="AA1310" s="27">
        <f t="shared" si="57"/>
        <v>7</v>
      </c>
      <c r="AB1310" s="27">
        <f t="shared" si="55"/>
        <v>2024</v>
      </c>
      <c r="AC1310" s="28" t="s">
        <v>5904</v>
      </c>
      <c r="AD1310" s="28" t="s">
        <v>5905</v>
      </c>
      <c r="AE1310" s="27">
        <v>4500021082</v>
      </c>
      <c r="AF1310" s="27" t="s">
        <v>339</v>
      </c>
      <c r="AG1310" s="29" t="s">
        <v>381</v>
      </c>
      <c r="AH1310" s="28" t="s">
        <v>5647</v>
      </c>
      <c r="AI1310" s="27"/>
      <c r="AJ1310" s="27"/>
      <c r="AK1310" s="27"/>
      <c r="AL1310" s="27"/>
      <c r="AM1310" s="27"/>
      <c r="AN1310" s="27"/>
      <c r="AO1310" s="27" t="s">
        <v>5906</v>
      </c>
      <c r="AP1310" s="27"/>
      <c r="AQ1310" s="27"/>
      <c r="AR1310" s="504"/>
      <c r="AS1310" s="332" t="s">
        <v>5654</v>
      </c>
      <c r="AT1310" s="160"/>
    </row>
    <row r="1311" spans="1:46" ht="21.75" hidden="1" customHeight="1">
      <c r="A1311" s="331">
        <v>1310</v>
      </c>
      <c r="B1311" s="28" t="s">
        <v>169</v>
      </c>
      <c r="C1311" s="28" t="s">
        <v>5820</v>
      </c>
      <c r="D1311" s="437" t="s">
        <v>862</v>
      </c>
      <c r="E1311" s="361" t="str">
        <f t="shared" ca="1" si="52"/>
        <v>LOSS</v>
      </c>
      <c r="F1311" s="29"/>
      <c r="G1311" s="38" t="s">
        <v>5891</v>
      </c>
      <c r="H1311" s="29" t="s">
        <v>2748</v>
      </c>
      <c r="I1311" s="29" t="s">
        <v>242</v>
      </c>
      <c r="J1311" s="38" t="s">
        <v>115</v>
      </c>
      <c r="K1311" s="28"/>
      <c r="L1311" s="27"/>
      <c r="M1311" s="27"/>
      <c r="N1311" s="29"/>
      <c r="O1311" s="56"/>
      <c r="P1311" s="43" t="s">
        <v>115</v>
      </c>
      <c r="Q1311" s="43"/>
      <c r="R1311" s="27"/>
      <c r="S1311" s="32">
        <v>18000000</v>
      </c>
      <c r="T1311" s="33"/>
      <c r="U1311" s="334">
        <v>45110</v>
      </c>
      <c r="V1311" s="334">
        <v>45475</v>
      </c>
      <c r="W1311" s="27" t="s">
        <v>250</v>
      </c>
      <c r="X1311" s="27"/>
      <c r="Y1311" s="34">
        <f t="shared" ca="1" si="56"/>
        <v>46290</v>
      </c>
      <c r="Z1311" s="35">
        <f t="shared" ca="1" si="53"/>
        <v>-815</v>
      </c>
      <c r="AA1311" s="27">
        <f t="shared" si="57"/>
        <v>7</v>
      </c>
      <c r="AB1311" s="27">
        <f t="shared" si="55"/>
        <v>2024</v>
      </c>
      <c r="AC1311" s="28" t="s">
        <v>479</v>
      </c>
      <c r="AD1311" s="28" t="s">
        <v>5907</v>
      </c>
      <c r="AE1311" s="27">
        <v>4500021078</v>
      </c>
      <c r="AF1311" s="27" t="s">
        <v>339</v>
      </c>
      <c r="AG1311" s="29" t="s">
        <v>381</v>
      </c>
      <c r="AH1311" s="28" t="s">
        <v>5647</v>
      </c>
      <c r="AI1311" s="27"/>
      <c r="AJ1311" s="27"/>
      <c r="AK1311" s="27"/>
      <c r="AL1311" s="27"/>
      <c r="AM1311" s="27"/>
      <c r="AN1311" s="27"/>
      <c r="AO1311" s="27" t="s">
        <v>5908</v>
      </c>
      <c r="AP1311" s="27"/>
      <c r="AQ1311" s="27"/>
      <c r="AR1311" s="504"/>
      <c r="AS1311" s="332" t="s">
        <v>5909</v>
      </c>
      <c r="AT1311" s="160"/>
    </row>
    <row r="1312" spans="1:46" ht="21.75" hidden="1" customHeight="1">
      <c r="A1312" s="331">
        <v>1311</v>
      </c>
      <c r="B1312" s="28" t="s">
        <v>169</v>
      </c>
      <c r="C1312" s="28" t="s">
        <v>5910</v>
      </c>
      <c r="D1312" s="438" t="s">
        <v>862</v>
      </c>
      <c r="E1312" s="361" t="str">
        <f t="shared" ca="1" si="52"/>
        <v>LOSS</v>
      </c>
      <c r="F1312" s="29" t="s">
        <v>5911</v>
      </c>
      <c r="G1312" s="38" t="s">
        <v>5912</v>
      </c>
      <c r="H1312" s="29" t="s">
        <v>2748</v>
      </c>
      <c r="I1312" s="29" t="s">
        <v>242</v>
      </c>
      <c r="J1312" s="28" t="s">
        <v>5913</v>
      </c>
      <c r="K1312" s="28"/>
      <c r="L1312" s="27"/>
      <c r="M1312" s="27"/>
      <c r="N1312" s="29"/>
      <c r="O1312" s="56"/>
      <c r="P1312" s="31">
        <f>12*18000000</f>
        <v>216000000</v>
      </c>
      <c r="Q1312" s="31"/>
      <c r="R1312" s="30"/>
      <c r="S1312" s="32">
        <v>18000000</v>
      </c>
      <c r="T1312" s="33"/>
      <c r="U1312" s="334">
        <v>45188</v>
      </c>
      <c r="V1312" s="334">
        <v>45553</v>
      </c>
      <c r="W1312" s="27" t="s">
        <v>17</v>
      </c>
      <c r="X1312" s="27"/>
      <c r="Y1312" s="34">
        <f t="shared" ca="1" si="56"/>
        <v>46290</v>
      </c>
      <c r="Z1312" s="35">
        <f t="shared" ca="1" si="53"/>
        <v>-737</v>
      </c>
      <c r="AA1312" s="27">
        <f t="shared" si="57"/>
        <v>9</v>
      </c>
      <c r="AB1312" s="27">
        <f t="shared" si="55"/>
        <v>2024</v>
      </c>
      <c r="AC1312" s="28" t="s">
        <v>479</v>
      </c>
      <c r="AD1312" s="28" t="s">
        <v>5914</v>
      </c>
      <c r="AE1312" s="27">
        <v>4500021368</v>
      </c>
      <c r="AF1312" s="27" t="s">
        <v>339</v>
      </c>
      <c r="AG1312" s="29" t="s">
        <v>381</v>
      </c>
      <c r="AH1312" s="28" t="s">
        <v>5647</v>
      </c>
      <c r="AI1312" s="27"/>
      <c r="AJ1312" s="27"/>
      <c r="AK1312" s="27"/>
      <c r="AL1312" s="27"/>
      <c r="AM1312" s="27"/>
      <c r="AN1312" s="27"/>
      <c r="AO1312" s="27" t="s">
        <v>5915</v>
      </c>
      <c r="AP1312" s="27"/>
      <c r="AQ1312" s="27"/>
      <c r="AR1312" s="504"/>
      <c r="AS1312" s="332" t="s">
        <v>5916</v>
      </c>
      <c r="AT1312" s="160"/>
    </row>
    <row r="1313" spans="1:46" ht="21.75" hidden="1" customHeight="1">
      <c r="A1313" s="331">
        <v>1312</v>
      </c>
      <c r="B1313" s="28" t="s">
        <v>169</v>
      </c>
      <c r="C1313" s="28" t="s">
        <v>5917</v>
      </c>
      <c r="D1313" s="437" t="s">
        <v>862</v>
      </c>
      <c r="E1313" s="361" t="str">
        <f t="shared" ca="1" si="52"/>
        <v>LOSS</v>
      </c>
      <c r="F1313" s="29" t="s">
        <v>5918</v>
      </c>
      <c r="G1313" s="28" t="s">
        <v>5919</v>
      </c>
      <c r="H1313" s="29" t="s">
        <v>2748</v>
      </c>
      <c r="I1313" s="29" t="s">
        <v>242</v>
      </c>
      <c r="J1313" s="28" t="s">
        <v>148</v>
      </c>
      <c r="K1313" s="28"/>
      <c r="L1313" s="27"/>
      <c r="M1313" s="27"/>
      <c r="N1313" s="29"/>
      <c r="O1313" s="56"/>
      <c r="P1313" s="43" t="s">
        <v>115</v>
      </c>
      <c r="Q1313" s="43"/>
      <c r="R1313" s="27"/>
      <c r="S1313" s="32">
        <v>18000000</v>
      </c>
      <c r="T1313" s="33"/>
      <c r="U1313" s="334">
        <v>45184</v>
      </c>
      <c r="V1313" s="334">
        <v>45549</v>
      </c>
      <c r="W1313" s="27" t="s">
        <v>250</v>
      </c>
      <c r="X1313" s="27"/>
      <c r="Y1313" s="34">
        <f t="shared" ca="1" si="56"/>
        <v>46290</v>
      </c>
      <c r="Z1313" s="35">
        <f t="shared" ca="1" si="53"/>
        <v>-741</v>
      </c>
      <c r="AA1313" s="27">
        <f t="shared" si="57"/>
        <v>9</v>
      </c>
      <c r="AB1313" s="27">
        <f t="shared" si="55"/>
        <v>2024</v>
      </c>
      <c r="AC1313" s="28" t="s">
        <v>479</v>
      </c>
      <c r="AD1313" s="28" t="s">
        <v>5920</v>
      </c>
      <c r="AE1313" s="27">
        <v>4500021321</v>
      </c>
      <c r="AF1313" s="27" t="s">
        <v>339</v>
      </c>
      <c r="AG1313" s="29" t="s">
        <v>381</v>
      </c>
      <c r="AH1313" s="28" t="s">
        <v>5647</v>
      </c>
      <c r="AI1313" s="27"/>
      <c r="AJ1313" s="27"/>
      <c r="AK1313" s="27"/>
      <c r="AL1313" s="27"/>
      <c r="AM1313" s="27"/>
      <c r="AN1313" s="27"/>
      <c r="AO1313" s="27" t="s">
        <v>5921</v>
      </c>
      <c r="AP1313" s="27"/>
      <c r="AQ1313" s="27"/>
      <c r="AR1313" s="504"/>
      <c r="AS1313" s="332" t="s">
        <v>5922</v>
      </c>
      <c r="AT1313" s="160"/>
    </row>
    <row r="1314" spans="1:46" ht="21.75" hidden="1" customHeight="1">
      <c r="A1314" s="331">
        <v>1313</v>
      </c>
      <c r="B1314" s="28" t="s">
        <v>169</v>
      </c>
      <c r="C1314" s="28" t="s">
        <v>5923</v>
      </c>
      <c r="D1314" s="438" t="s">
        <v>862</v>
      </c>
      <c r="E1314" s="361" t="str">
        <f t="shared" ca="1" si="52"/>
        <v>LOSS</v>
      </c>
      <c r="F1314" s="29" t="s">
        <v>5924</v>
      </c>
      <c r="G1314" s="28" t="s">
        <v>5925</v>
      </c>
      <c r="H1314" s="29" t="s">
        <v>2748</v>
      </c>
      <c r="I1314" s="29" t="s">
        <v>242</v>
      </c>
      <c r="J1314" s="28" t="s">
        <v>5926</v>
      </c>
      <c r="K1314" s="28"/>
      <c r="L1314" s="27"/>
      <c r="M1314" s="27"/>
      <c r="N1314" s="29"/>
      <c r="O1314" s="56"/>
      <c r="P1314" s="31">
        <f>12*168500000</f>
        <v>2022000000</v>
      </c>
      <c r="Q1314" s="31"/>
      <c r="R1314" s="30"/>
      <c r="S1314" s="32">
        <v>72000000</v>
      </c>
      <c r="T1314" s="33"/>
      <c r="U1314" s="334">
        <v>45184</v>
      </c>
      <c r="V1314" s="334">
        <v>45549</v>
      </c>
      <c r="W1314" s="27" t="s">
        <v>250</v>
      </c>
      <c r="X1314" s="27"/>
      <c r="Y1314" s="34">
        <f t="shared" ca="1" si="56"/>
        <v>46290</v>
      </c>
      <c r="Z1314" s="35">
        <f t="shared" ca="1" si="53"/>
        <v>-741</v>
      </c>
      <c r="AA1314" s="27">
        <f t="shared" si="57"/>
        <v>9</v>
      </c>
      <c r="AB1314" s="27">
        <f t="shared" si="55"/>
        <v>2024</v>
      </c>
      <c r="AC1314" s="28" t="s">
        <v>479</v>
      </c>
      <c r="AD1314" s="28" t="s">
        <v>5927</v>
      </c>
      <c r="AE1314" s="27">
        <v>4500021320</v>
      </c>
      <c r="AF1314" s="27" t="s">
        <v>339</v>
      </c>
      <c r="AG1314" s="29" t="s">
        <v>381</v>
      </c>
      <c r="AH1314" s="28" t="s">
        <v>5647</v>
      </c>
      <c r="AI1314" s="27"/>
      <c r="AJ1314" s="27"/>
      <c r="AK1314" s="27"/>
      <c r="AL1314" s="27"/>
      <c r="AM1314" s="27"/>
      <c r="AN1314" s="27"/>
      <c r="AO1314" s="27" t="s">
        <v>5928</v>
      </c>
      <c r="AP1314" s="27"/>
      <c r="AQ1314" s="27"/>
      <c r="AR1314" s="504"/>
      <c r="AS1314" s="332" t="s">
        <v>5929</v>
      </c>
      <c r="AT1314" s="160"/>
    </row>
    <row r="1315" spans="1:46" ht="21.75" hidden="1" customHeight="1">
      <c r="A1315" s="331">
        <v>1314</v>
      </c>
      <c r="B1315" s="28" t="s">
        <v>169</v>
      </c>
      <c r="C1315" s="28" t="s">
        <v>5930</v>
      </c>
      <c r="D1315" s="437" t="s">
        <v>862</v>
      </c>
      <c r="E1315" s="361" t="str">
        <f t="shared" ca="1" si="52"/>
        <v>LOSS</v>
      </c>
      <c r="F1315" s="29"/>
      <c r="G1315" s="28" t="s">
        <v>5931</v>
      </c>
      <c r="H1315" s="29" t="s">
        <v>2748</v>
      </c>
      <c r="I1315" s="29" t="s">
        <v>242</v>
      </c>
      <c r="J1315" s="28" t="s">
        <v>5932</v>
      </c>
      <c r="K1315" s="28"/>
      <c r="L1315" s="27"/>
      <c r="M1315" s="27"/>
      <c r="N1315" s="29"/>
      <c r="O1315" s="56"/>
      <c r="P1315" s="31">
        <f>12*135000000</f>
        <v>1620000000</v>
      </c>
      <c r="Q1315" s="31"/>
      <c r="R1315" s="30"/>
      <c r="S1315" s="32">
        <v>18000000</v>
      </c>
      <c r="T1315" s="33"/>
      <c r="U1315" s="334">
        <v>45185</v>
      </c>
      <c r="V1315" s="334">
        <v>45550</v>
      </c>
      <c r="W1315" s="27" t="s">
        <v>17</v>
      </c>
      <c r="X1315" s="27"/>
      <c r="Y1315" s="34">
        <f t="shared" ca="1" si="56"/>
        <v>46290</v>
      </c>
      <c r="Z1315" s="35">
        <f t="shared" ca="1" si="53"/>
        <v>-740</v>
      </c>
      <c r="AA1315" s="27">
        <f t="shared" si="57"/>
        <v>9</v>
      </c>
      <c r="AB1315" s="27">
        <f t="shared" si="55"/>
        <v>2024</v>
      </c>
      <c r="AC1315" s="28" t="s">
        <v>479</v>
      </c>
      <c r="AD1315" s="28" t="s">
        <v>5933</v>
      </c>
      <c r="AE1315" s="27">
        <v>450002132</v>
      </c>
      <c r="AF1315" s="27" t="s">
        <v>339</v>
      </c>
      <c r="AG1315" s="29" t="s">
        <v>381</v>
      </c>
      <c r="AH1315" s="28" t="s">
        <v>5647</v>
      </c>
      <c r="AI1315" s="27"/>
      <c r="AJ1315" s="27"/>
      <c r="AK1315" s="27"/>
      <c r="AL1315" s="27"/>
      <c r="AM1315" s="27"/>
      <c r="AN1315" s="27"/>
      <c r="AO1315" s="27" t="s">
        <v>5934</v>
      </c>
      <c r="AP1315" s="27"/>
      <c r="AQ1315" s="27"/>
      <c r="AR1315" s="504"/>
      <c r="AS1315" s="332" t="s">
        <v>5935</v>
      </c>
      <c r="AT1315" s="160"/>
    </row>
    <row r="1316" spans="1:46" ht="21.75" hidden="1" customHeight="1">
      <c r="A1316" s="331">
        <v>1315</v>
      </c>
      <c r="B1316" s="28" t="s">
        <v>169</v>
      </c>
      <c r="C1316" s="28" t="s">
        <v>5936</v>
      </c>
      <c r="D1316" s="438" t="s">
        <v>862</v>
      </c>
      <c r="E1316" s="361" t="str">
        <f t="shared" ca="1" si="52"/>
        <v>LOSS</v>
      </c>
      <c r="F1316" s="29"/>
      <c r="G1316" s="28" t="s">
        <v>5937</v>
      </c>
      <c r="H1316" s="29" t="s">
        <v>2748</v>
      </c>
      <c r="I1316" s="29" t="s">
        <v>242</v>
      </c>
      <c r="J1316" s="28" t="s">
        <v>5938</v>
      </c>
      <c r="K1316" s="28"/>
      <c r="L1316" s="27"/>
      <c r="M1316" s="27"/>
      <c r="N1316" s="29"/>
      <c r="O1316" s="56"/>
      <c r="P1316" s="31">
        <f>12*250000000</f>
        <v>3000000000</v>
      </c>
      <c r="Q1316" s="31"/>
      <c r="R1316" s="30"/>
      <c r="S1316" s="32">
        <v>18000000</v>
      </c>
      <c r="T1316" s="33"/>
      <c r="U1316" s="334">
        <v>45181</v>
      </c>
      <c r="V1316" s="334">
        <v>45546</v>
      </c>
      <c r="W1316" s="27" t="s">
        <v>17</v>
      </c>
      <c r="X1316" s="27"/>
      <c r="Y1316" s="34">
        <f t="shared" ca="1" si="56"/>
        <v>46290</v>
      </c>
      <c r="Z1316" s="35">
        <f t="shared" ca="1" si="53"/>
        <v>-744</v>
      </c>
      <c r="AA1316" s="27">
        <f t="shared" si="57"/>
        <v>9</v>
      </c>
      <c r="AB1316" s="27">
        <f t="shared" si="55"/>
        <v>2024</v>
      </c>
      <c r="AC1316" s="28" t="s">
        <v>479</v>
      </c>
      <c r="AD1316" s="28" t="s">
        <v>5939</v>
      </c>
      <c r="AE1316" s="27">
        <v>4500021339</v>
      </c>
      <c r="AF1316" s="27" t="s">
        <v>339</v>
      </c>
      <c r="AG1316" s="29" t="s">
        <v>381</v>
      </c>
      <c r="AH1316" s="28" t="s">
        <v>5647</v>
      </c>
      <c r="AI1316" s="27"/>
      <c r="AJ1316" s="27"/>
      <c r="AK1316" s="27"/>
      <c r="AL1316" s="27"/>
      <c r="AM1316" s="27"/>
      <c r="AN1316" s="27"/>
      <c r="AO1316" s="27" t="s">
        <v>5940</v>
      </c>
      <c r="AP1316" s="27"/>
      <c r="AQ1316" s="27"/>
      <c r="AR1316" s="504"/>
      <c r="AS1316" s="332" t="s">
        <v>5935</v>
      </c>
      <c r="AT1316" s="160"/>
    </row>
    <row r="1317" spans="1:46" ht="21.75" hidden="1" customHeight="1">
      <c r="A1317" s="331">
        <v>1316</v>
      </c>
      <c r="B1317" s="28" t="s">
        <v>169</v>
      </c>
      <c r="C1317" s="28" t="s">
        <v>2322</v>
      </c>
      <c r="D1317" s="437" t="s">
        <v>862</v>
      </c>
      <c r="E1317" s="361" t="str">
        <f t="shared" ca="1" si="52"/>
        <v>LOSS</v>
      </c>
      <c r="F1317" s="29" t="s">
        <v>115</v>
      </c>
      <c r="G1317" s="28" t="s">
        <v>5941</v>
      </c>
      <c r="H1317" s="29" t="s">
        <v>2748</v>
      </c>
      <c r="I1317" s="29" t="s">
        <v>242</v>
      </c>
      <c r="J1317" s="28" t="s">
        <v>5942</v>
      </c>
      <c r="K1317" s="28"/>
      <c r="L1317" s="27"/>
      <c r="M1317" s="27"/>
      <c r="N1317" s="29"/>
      <c r="O1317" s="56"/>
      <c r="P1317" s="31">
        <v>962500000</v>
      </c>
      <c r="Q1317" s="31"/>
      <c r="R1317" s="30"/>
      <c r="S1317" s="32">
        <v>18000000</v>
      </c>
      <c r="T1317" s="33"/>
      <c r="U1317" s="334">
        <v>45231</v>
      </c>
      <c r="V1317" s="334">
        <v>45596</v>
      </c>
      <c r="W1317" s="27" t="s">
        <v>250</v>
      </c>
      <c r="X1317" s="27"/>
      <c r="Y1317" s="34">
        <f t="shared" ca="1" si="56"/>
        <v>46290</v>
      </c>
      <c r="Z1317" s="35">
        <f t="shared" ca="1" si="53"/>
        <v>-694</v>
      </c>
      <c r="AA1317" s="27">
        <f t="shared" si="57"/>
        <v>10</v>
      </c>
      <c r="AB1317" s="27">
        <f t="shared" si="55"/>
        <v>2024</v>
      </c>
      <c r="AC1317" s="28" t="s">
        <v>479</v>
      </c>
      <c r="AD1317" s="28" t="s">
        <v>5943</v>
      </c>
      <c r="AE1317" s="27">
        <v>4500021658</v>
      </c>
      <c r="AF1317" s="27" t="s">
        <v>339</v>
      </c>
      <c r="AG1317" s="29" t="s">
        <v>381</v>
      </c>
      <c r="AH1317" s="28" t="s">
        <v>5647</v>
      </c>
      <c r="AI1317" s="27"/>
      <c r="AJ1317" s="27"/>
      <c r="AK1317" s="27"/>
      <c r="AL1317" s="27"/>
      <c r="AM1317" s="27"/>
      <c r="AN1317" s="27"/>
      <c r="AO1317" s="27" t="s">
        <v>5944</v>
      </c>
      <c r="AP1317" s="27"/>
      <c r="AQ1317" s="27"/>
      <c r="AR1317" s="504"/>
      <c r="AS1317" s="332" t="s">
        <v>5935</v>
      </c>
      <c r="AT1317" s="160"/>
    </row>
    <row r="1318" spans="1:46" ht="21.75" hidden="1" customHeight="1">
      <c r="A1318" s="331">
        <v>1317</v>
      </c>
      <c r="B1318" s="28" t="s">
        <v>169</v>
      </c>
      <c r="C1318" s="28" t="s">
        <v>5798</v>
      </c>
      <c r="D1318" s="438" t="s">
        <v>862</v>
      </c>
      <c r="E1318" s="361" t="str">
        <f t="shared" ca="1" si="52"/>
        <v>LOSS</v>
      </c>
      <c r="F1318" s="29" t="s">
        <v>5880</v>
      </c>
      <c r="G1318" s="28" t="s">
        <v>3162</v>
      </c>
      <c r="H1318" s="29" t="s">
        <v>2748</v>
      </c>
      <c r="I1318" s="29" t="s">
        <v>242</v>
      </c>
      <c r="J1318" s="28" t="s">
        <v>5945</v>
      </c>
      <c r="K1318" s="28"/>
      <c r="L1318" s="27"/>
      <c r="M1318" s="27"/>
      <c r="N1318" s="29"/>
      <c r="O1318" s="56"/>
      <c r="P1318" s="31">
        <f>12*200000000</f>
        <v>2400000000</v>
      </c>
      <c r="Q1318" s="31"/>
      <c r="R1318" s="30"/>
      <c r="S1318" s="32">
        <v>18000000</v>
      </c>
      <c r="T1318" s="33"/>
      <c r="U1318" s="334">
        <v>45261</v>
      </c>
      <c r="V1318" s="334">
        <v>45626</v>
      </c>
      <c r="W1318" s="27" t="s">
        <v>250</v>
      </c>
      <c r="X1318" s="27"/>
      <c r="Y1318" s="34">
        <f t="shared" ca="1" si="56"/>
        <v>46290</v>
      </c>
      <c r="Z1318" s="35">
        <f t="shared" ca="1" si="53"/>
        <v>-664</v>
      </c>
      <c r="AA1318" s="27">
        <f t="shared" si="57"/>
        <v>11</v>
      </c>
      <c r="AB1318" s="27">
        <f t="shared" si="55"/>
        <v>2024</v>
      </c>
      <c r="AC1318" s="28" t="s">
        <v>479</v>
      </c>
      <c r="AD1318" s="28" t="s">
        <v>4980</v>
      </c>
      <c r="AE1318" s="27">
        <v>4500021970</v>
      </c>
      <c r="AF1318" s="27" t="s">
        <v>339</v>
      </c>
      <c r="AG1318" s="29" t="s">
        <v>381</v>
      </c>
      <c r="AH1318" s="28" t="s">
        <v>5647</v>
      </c>
      <c r="AI1318" s="27"/>
      <c r="AJ1318" s="27"/>
      <c r="AK1318" s="27"/>
      <c r="AL1318" s="27"/>
      <c r="AM1318" s="27"/>
      <c r="AN1318" s="27"/>
      <c r="AO1318" s="27" t="s">
        <v>5946</v>
      </c>
      <c r="AP1318" s="27"/>
      <c r="AQ1318" s="27"/>
      <c r="AR1318" s="504"/>
      <c r="AS1318" s="332" t="s">
        <v>5935</v>
      </c>
      <c r="AT1318" s="160"/>
    </row>
    <row r="1319" spans="1:46" ht="21.75" hidden="1" customHeight="1">
      <c r="A1319" s="331">
        <v>1318</v>
      </c>
      <c r="B1319" s="28" t="s">
        <v>5947</v>
      </c>
      <c r="C1319" s="28" t="s">
        <v>5948</v>
      </c>
      <c r="D1319" s="437" t="s">
        <v>5949</v>
      </c>
      <c r="E1319" s="361" t="str">
        <f t="shared" ca="1" si="52"/>
        <v>LOSS</v>
      </c>
      <c r="F1319" s="29"/>
      <c r="G1319" s="28" t="s">
        <v>5950</v>
      </c>
      <c r="H1319" s="29" t="s">
        <v>2748</v>
      </c>
      <c r="I1319" s="29" t="s">
        <v>346</v>
      </c>
      <c r="J1319" s="28" t="s">
        <v>5951</v>
      </c>
      <c r="K1319" s="28"/>
      <c r="L1319" s="27"/>
      <c r="M1319" s="27"/>
      <c r="N1319" s="29"/>
      <c r="O1319" s="56"/>
      <c r="P1319" s="31">
        <f>41000000*12</f>
        <v>492000000</v>
      </c>
      <c r="Q1319" s="31"/>
      <c r="R1319" s="27"/>
      <c r="S1319" s="32">
        <v>36000000</v>
      </c>
      <c r="T1319" s="33"/>
      <c r="U1319" s="334">
        <v>44925</v>
      </c>
      <c r="V1319" s="334">
        <v>45289</v>
      </c>
      <c r="W1319" s="27" t="s">
        <v>250</v>
      </c>
      <c r="X1319" s="27"/>
      <c r="Y1319" s="34">
        <f t="shared" ca="1" si="56"/>
        <v>46290</v>
      </c>
      <c r="Z1319" s="35">
        <f t="shared" ca="1" si="53"/>
        <v>-1001</v>
      </c>
      <c r="AA1319" s="27">
        <f t="shared" si="57"/>
        <v>12</v>
      </c>
      <c r="AB1319" s="27">
        <f t="shared" si="55"/>
        <v>2023</v>
      </c>
      <c r="AC1319" s="28" t="s">
        <v>5952</v>
      </c>
      <c r="AD1319" s="28" t="s">
        <v>5953</v>
      </c>
      <c r="AE1319" s="27">
        <v>4500022074</v>
      </c>
      <c r="AF1319" s="27" t="s">
        <v>339</v>
      </c>
      <c r="AG1319" s="29"/>
      <c r="AH1319" s="28"/>
      <c r="AI1319" s="27"/>
      <c r="AJ1319" s="27"/>
      <c r="AK1319" s="27"/>
      <c r="AL1319" s="27" t="s">
        <v>5954</v>
      </c>
      <c r="AM1319" s="27" t="s">
        <v>5955</v>
      </c>
      <c r="AN1319" s="27" t="s">
        <v>5956</v>
      </c>
      <c r="AO1319" s="27"/>
      <c r="AP1319" s="27"/>
      <c r="AQ1319" s="27"/>
      <c r="AR1319" s="504"/>
      <c r="AS1319" s="332" t="s">
        <v>5957</v>
      </c>
      <c r="AT1319" s="160"/>
    </row>
    <row r="1320" spans="1:46" ht="21.75" hidden="1" customHeight="1">
      <c r="A1320" s="331">
        <v>1319</v>
      </c>
      <c r="B1320" s="28" t="s">
        <v>5958</v>
      </c>
      <c r="C1320" s="28" t="s">
        <v>5959</v>
      </c>
      <c r="D1320" s="438" t="s">
        <v>5960</v>
      </c>
      <c r="E1320" s="361" t="str">
        <f t="shared" ca="1" si="52"/>
        <v>LOSS</v>
      </c>
      <c r="F1320" s="29"/>
      <c r="G1320" s="28" t="s">
        <v>5961</v>
      </c>
      <c r="H1320" s="29" t="s">
        <v>2748</v>
      </c>
      <c r="I1320" s="29" t="s">
        <v>242</v>
      </c>
      <c r="J1320" s="28" t="s">
        <v>5962</v>
      </c>
      <c r="K1320" s="28"/>
      <c r="L1320" s="27"/>
      <c r="M1320" s="27"/>
      <c r="N1320" s="29"/>
      <c r="O1320" s="56"/>
      <c r="P1320" s="31">
        <f>12*4000000</f>
        <v>48000000</v>
      </c>
      <c r="Q1320" s="31"/>
      <c r="R1320" s="27"/>
      <c r="S1320" s="32">
        <v>21000000</v>
      </c>
      <c r="T1320" s="33"/>
      <c r="U1320" s="334">
        <v>44606</v>
      </c>
      <c r="V1320" s="334">
        <v>44970</v>
      </c>
      <c r="W1320" s="27" t="s">
        <v>245</v>
      </c>
      <c r="X1320" s="27"/>
      <c r="Y1320" s="34">
        <f t="shared" ca="1" si="56"/>
        <v>46290</v>
      </c>
      <c r="Z1320" s="35">
        <f t="shared" ca="1" si="53"/>
        <v>-1320</v>
      </c>
      <c r="AA1320" s="27">
        <f t="shared" si="57"/>
        <v>2</v>
      </c>
      <c r="AB1320" s="27">
        <f t="shared" si="55"/>
        <v>2023</v>
      </c>
      <c r="AC1320" s="28" t="s">
        <v>479</v>
      </c>
      <c r="AD1320" s="28" t="s">
        <v>5963</v>
      </c>
      <c r="AE1320" s="27">
        <v>4500017639</v>
      </c>
      <c r="AF1320" s="27" t="s">
        <v>339</v>
      </c>
      <c r="AG1320" s="29"/>
      <c r="AH1320" s="28"/>
      <c r="AI1320" s="27"/>
      <c r="AJ1320" s="27"/>
      <c r="AK1320" s="27"/>
      <c r="AL1320" s="27"/>
      <c r="AM1320" s="27"/>
      <c r="AN1320" s="27" t="s">
        <v>5964</v>
      </c>
      <c r="AO1320" s="27"/>
      <c r="AP1320" s="27"/>
      <c r="AQ1320" s="27"/>
      <c r="AR1320" s="504"/>
      <c r="AS1320" s="332" t="s">
        <v>5965</v>
      </c>
      <c r="AT1320" s="160"/>
    </row>
    <row r="1321" spans="1:46" ht="21.75" hidden="1" customHeight="1">
      <c r="A1321" s="331">
        <v>1320</v>
      </c>
      <c r="B1321" s="28" t="s">
        <v>5966</v>
      </c>
      <c r="C1321" s="28" t="s">
        <v>5967</v>
      </c>
      <c r="D1321" s="437" t="s">
        <v>5968</v>
      </c>
      <c r="E1321" s="361" t="str">
        <f t="shared" ca="1" si="52"/>
        <v>LOSS</v>
      </c>
      <c r="F1321" s="29"/>
      <c r="G1321" s="28" t="s">
        <v>5969</v>
      </c>
      <c r="H1321" s="29" t="s">
        <v>2748</v>
      </c>
      <c r="I1321" s="29" t="s">
        <v>346</v>
      </c>
      <c r="J1321" s="28" t="s">
        <v>5970</v>
      </c>
      <c r="K1321" s="28"/>
      <c r="L1321" s="27"/>
      <c r="M1321" s="27"/>
      <c r="N1321" s="29"/>
      <c r="O1321" s="56"/>
      <c r="P1321" s="31">
        <v>13600000</v>
      </c>
      <c r="Q1321" s="31"/>
      <c r="R1321" s="27"/>
      <c r="S1321" s="32">
        <v>12500000</v>
      </c>
      <c r="T1321" s="33"/>
      <c r="U1321" s="334">
        <v>43475</v>
      </c>
      <c r="V1321" s="334">
        <v>43839</v>
      </c>
      <c r="W1321" s="27" t="s">
        <v>245</v>
      </c>
      <c r="X1321" s="27"/>
      <c r="Y1321" s="34">
        <f t="shared" ca="1" si="56"/>
        <v>46290</v>
      </c>
      <c r="Z1321" s="35">
        <f t="shared" ca="1" si="53"/>
        <v>-2451</v>
      </c>
      <c r="AA1321" s="27">
        <f t="shared" si="57"/>
        <v>1</v>
      </c>
      <c r="AB1321" s="27">
        <f t="shared" si="55"/>
        <v>2020</v>
      </c>
      <c r="AC1321" s="28" t="s">
        <v>5971</v>
      </c>
      <c r="AD1321" s="28" t="s">
        <v>5972</v>
      </c>
      <c r="AE1321" s="27">
        <v>4500012422</v>
      </c>
      <c r="AF1321" s="27" t="s">
        <v>339</v>
      </c>
      <c r="AG1321" s="29" t="s">
        <v>5973</v>
      </c>
      <c r="AH1321" s="28" t="s">
        <v>5974</v>
      </c>
      <c r="AI1321" s="27" t="s">
        <v>115</v>
      </c>
      <c r="AJ1321" s="27" t="s">
        <v>5975</v>
      </c>
      <c r="AK1321" s="27" t="s">
        <v>5976</v>
      </c>
      <c r="AL1321" s="27"/>
      <c r="AM1321" s="27"/>
      <c r="AN1321" s="27"/>
      <c r="AO1321" s="27"/>
      <c r="AP1321" s="27"/>
      <c r="AQ1321" s="27"/>
      <c r="AR1321" s="504"/>
      <c r="AS1321" s="332" t="s">
        <v>5977</v>
      </c>
      <c r="AT1321" s="160"/>
    </row>
    <row r="1322" spans="1:46" ht="21.75" hidden="1" customHeight="1">
      <c r="A1322" s="331">
        <v>1321</v>
      </c>
      <c r="B1322" s="28" t="s">
        <v>180</v>
      </c>
      <c r="C1322" s="28" t="s">
        <v>5978</v>
      </c>
      <c r="D1322" s="438" t="s">
        <v>2469</v>
      </c>
      <c r="E1322" s="361" t="str">
        <f t="shared" ca="1" si="52"/>
        <v>LOSS</v>
      </c>
      <c r="F1322" s="29" t="s">
        <v>5979</v>
      </c>
      <c r="G1322" s="28" t="s">
        <v>5980</v>
      </c>
      <c r="H1322" s="29" t="s">
        <v>2748</v>
      </c>
      <c r="I1322" s="29" t="s">
        <v>346</v>
      </c>
      <c r="J1322" s="28" t="s">
        <v>181</v>
      </c>
      <c r="K1322" s="28"/>
      <c r="L1322" s="27"/>
      <c r="M1322" s="27"/>
      <c r="N1322" s="29"/>
      <c r="O1322" s="56"/>
      <c r="P1322" s="31">
        <v>163225440</v>
      </c>
      <c r="Q1322" s="31"/>
      <c r="R1322" s="27"/>
      <c r="S1322" s="32">
        <v>12000000</v>
      </c>
      <c r="T1322" s="33"/>
      <c r="U1322" s="334">
        <v>45311</v>
      </c>
      <c r="V1322" s="334">
        <v>45676</v>
      </c>
      <c r="W1322" s="27" t="s">
        <v>250</v>
      </c>
      <c r="X1322" s="27"/>
      <c r="Y1322" s="34">
        <f t="shared" ca="1" si="56"/>
        <v>46290</v>
      </c>
      <c r="Z1322" s="35">
        <f t="shared" ca="1" si="53"/>
        <v>-614</v>
      </c>
      <c r="AA1322" s="27">
        <f t="shared" si="57"/>
        <v>1</v>
      </c>
      <c r="AB1322" s="27">
        <f t="shared" si="55"/>
        <v>2025</v>
      </c>
      <c r="AC1322" s="28" t="s">
        <v>5981</v>
      </c>
      <c r="AD1322" s="28" t="s">
        <v>5982</v>
      </c>
      <c r="AE1322" s="27">
        <v>4500022521</v>
      </c>
      <c r="AF1322" s="27" t="s">
        <v>339</v>
      </c>
      <c r="AG1322" s="29" t="s">
        <v>5983</v>
      </c>
      <c r="AH1322" s="28" t="s">
        <v>5984</v>
      </c>
      <c r="AI1322" s="27"/>
      <c r="AJ1322" s="27"/>
      <c r="AK1322" s="27"/>
      <c r="AL1322" s="27"/>
      <c r="AM1322" s="27"/>
      <c r="AN1322" s="27" t="s">
        <v>5985</v>
      </c>
      <c r="AO1322" s="27" t="s">
        <v>5986</v>
      </c>
      <c r="AP1322" s="27" t="s">
        <v>5987</v>
      </c>
      <c r="AQ1322" s="27"/>
      <c r="AR1322" s="504"/>
      <c r="AS1322" s="332"/>
      <c r="AT1322" s="160"/>
    </row>
    <row r="1323" spans="1:46" ht="21.75" hidden="1" customHeight="1">
      <c r="A1323" s="331">
        <v>1322</v>
      </c>
      <c r="B1323" s="28" t="s">
        <v>5988</v>
      </c>
      <c r="C1323" s="28" t="s">
        <v>5989</v>
      </c>
      <c r="D1323" s="437" t="s">
        <v>5990</v>
      </c>
      <c r="E1323" s="361" t="str">
        <f t="shared" ca="1" si="52"/>
        <v>LOSS</v>
      </c>
      <c r="F1323" s="29" t="s">
        <v>5991</v>
      </c>
      <c r="G1323" s="28" t="s">
        <v>5992</v>
      </c>
      <c r="H1323" s="29" t="s">
        <v>2748</v>
      </c>
      <c r="I1323" s="29" t="s">
        <v>346</v>
      </c>
      <c r="J1323" s="28" t="s">
        <v>5993</v>
      </c>
      <c r="K1323" s="28"/>
      <c r="L1323" s="27"/>
      <c r="M1323" s="27"/>
      <c r="N1323" s="29"/>
      <c r="O1323" s="56"/>
      <c r="P1323" s="31">
        <v>150000000</v>
      </c>
      <c r="Q1323" s="31"/>
      <c r="R1323" s="27"/>
      <c r="S1323" s="32">
        <v>58000000</v>
      </c>
      <c r="T1323" s="33"/>
      <c r="U1323" s="334">
        <v>45165</v>
      </c>
      <c r="V1323" s="367">
        <v>45530</v>
      </c>
      <c r="W1323" s="27" t="s">
        <v>250</v>
      </c>
      <c r="X1323" s="27"/>
      <c r="Y1323" s="34">
        <f t="shared" ca="1" si="56"/>
        <v>46290</v>
      </c>
      <c r="Z1323" s="35">
        <f t="shared" ca="1" si="53"/>
        <v>-760</v>
      </c>
      <c r="AA1323" s="27">
        <f t="shared" si="57"/>
        <v>8</v>
      </c>
      <c r="AB1323" s="27">
        <f t="shared" si="55"/>
        <v>2024</v>
      </c>
      <c r="AC1323" s="46" t="s">
        <v>5994</v>
      </c>
      <c r="AD1323" s="46" t="s">
        <v>5995</v>
      </c>
      <c r="AE1323" s="47" t="s">
        <v>5996</v>
      </c>
      <c r="AF1323" s="27" t="s">
        <v>339</v>
      </c>
      <c r="AG1323" s="29" t="s">
        <v>5997</v>
      </c>
      <c r="AH1323" s="28" t="s">
        <v>5998</v>
      </c>
      <c r="AI1323" s="27"/>
      <c r="AJ1323" s="27"/>
      <c r="AK1323" s="27" t="s">
        <v>5999</v>
      </c>
      <c r="AL1323" s="27" t="s">
        <v>6000</v>
      </c>
      <c r="AM1323" s="27" t="s">
        <v>6001</v>
      </c>
      <c r="AN1323" s="27" t="s">
        <v>6002</v>
      </c>
      <c r="AO1323" s="27" t="s">
        <v>6003</v>
      </c>
      <c r="AP1323" s="27"/>
      <c r="AQ1323" s="27"/>
      <c r="AR1323" s="504"/>
      <c r="AS1323" s="332" t="s">
        <v>6004</v>
      </c>
      <c r="AT1323" s="160"/>
    </row>
    <row r="1324" spans="1:46" ht="21.75" hidden="1" customHeight="1">
      <c r="A1324" s="331">
        <v>1323</v>
      </c>
      <c r="B1324" s="28" t="s">
        <v>6005</v>
      </c>
      <c r="C1324" s="28" t="s">
        <v>6006</v>
      </c>
      <c r="D1324" s="438" t="s">
        <v>6007</v>
      </c>
      <c r="E1324" s="361" t="str">
        <f t="shared" ca="1" si="52"/>
        <v>LOSS</v>
      </c>
      <c r="F1324" s="29" t="s">
        <v>115</v>
      </c>
      <c r="G1324" s="28" t="s">
        <v>6008</v>
      </c>
      <c r="H1324" s="29" t="s">
        <v>2748</v>
      </c>
      <c r="I1324" s="29" t="s">
        <v>346</v>
      </c>
      <c r="J1324" s="28" t="s">
        <v>6009</v>
      </c>
      <c r="K1324" s="28"/>
      <c r="L1324" s="27"/>
      <c r="M1324" s="27"/>
      <c r="N1324" s="29"/>
      <c r="O1324" s="56"/>
      <c r="P1324" s="31">
        <f>12*2200000</f>
        <v>26400000</v>
      </c>
      <c r="Q1324" s="31"/>
      <c r="R1324" s="27"/>
      <c r="S1324" s="32">
        <v>35000000</v>
      </c>
      <c r="T1324" s="33"/>
      <c r="U1324" s="334">
        <v>45233</v>
      </c>
      <c r="V1324" s="334">
        <v>45598</v>
      </c>
      <c r="W1324" s="27" t="s">
        <v>250</v>
      </c>
      <c r="X1324" s="27"/>
      <c r="Y1324" s="34">
        <f t="shared" ca="1" si="56"/>
        <v>46290</v>
      </c>
      <c r="Z1324" s="35">
        <f t="shared" ca="1" si="53"/>
        <v>-692</v>
      </c>
      <c r="AA1324" s="27">
        <f t="shared" si="57"/>
        <v>11</v>
      </c>
      <c r="AB1324" s="27">
        <f t="shared" si="55"/>
        <v>2024</v>
      </c>
      <c r="AC1324" s="28" t="s">
        <v>6010</v>
      </c>
      <c r="AD1324" s="28" t="s">
        <v>6011</v>
      </c>
      <c r="AE1324" s="27">
        <v>4500021738</v>
      </c>
      <c r="AF1324" s="27" t="s">
        <v>339</v>
      </c>
      <c r="AG1324" s="29" t="s">
        <v>6012</v>
      </c>
      <c r="AH1324" s="28" t="s">
        <v>6013</v>
      </c>
      <c r="AI1324" s="27"/>
      <c r="AJ1324" s="27"/>
      <c r="AK1324" s="27"/>
      <c r="AL1324" s="27"/>
      <c r="AM1324" s="27"/>
      <c r="AN1324" s="27" t="s">
        <v>6014</v>
      </c>
      <c r="AO1324" s="27" t="s">
        <v>6015</v>
      </c>
      <c r="AP1324" s="27"/>
      <c r="AQ1324" s="27"/>
      <c r="AR1324" s="504"/>
      <c r="AS1324" s="332" t="s">
        <v>6016</v>
      </c>
      <c r="AT1324" s="160"/>
    </row>
    <row r="1325" spans="1:46" ht="21.75" hidden="1" customHeight="1">
      <c r="A1325" s="331">
        <v>1324</v>
      </c>
      <c r="B1325" s="28" t="s">
        <v>6017</v>
      </c>
      <c r="C1325" s="28" t="s">
        <v>6018</v>
      </c>
      <c r="D1325" s="437" t="s">
        <v>6019</v>
      </c>
      <c r="E1325" s="361" t="str">
        <f t="shared" ca="1" si="52"/>
        <v>LOSS</v>
      </c>
      <c r="F1325" s="29"/>
      <c r="G1325" s="28" t="s">
        <v>6020</v>
      </c>
      <c r="H1325" s="29" t="s">
        <v>2748</v>
      </c>
      <c r="I1325" s="29" t="s">
        <v>346</v>
      </c>
      <c r="J1325" s="28" t="s">
        <v>6021</v>
      </c>
      <c r="K1325" s="28"/>
      <c r="L1325" s="27"/>
      <c r="M1325" s="27"/>
      <c r="N1325" s="29"/>
      <c r="O1325" s="56"/>
      <c r="P1325" s="31">
        <v>90000000</v>
      </c>
      <c r="Q1325" s="31"/>
      <c r="R1325" s="27"/>
      <c r="S1325" s="32">
        <v>7791780</v>
      </c>
      <c r="T1325" s="33"/>
      <c r="U1325" s="334">
        <v>44440</v>
      </c>
      <c r="V1325" s="334">
        <v>44490</v>
      </c>
      <c r="W1325" s="27" t="s">
        <v>245</v>
      </c>
      <c r="X1325" s="27"/>
      <c r="Y1325" s="34">
        <f t="shared" ca="1" si="56"/>
        <v>46290</v>
      </c>
      <c r="Z1325" s="35">
        <f t="shared" ca="1" si="53"/>
        <v>-1800</v>
      </c>
      <c r="AA1325" s="27">
        <f t="shared" si="57"/>
        <v>10</v>
      </c>
      <c r="AB1325" s="27">
        <f t="shared" si="55"/>
        <v>2021</v>
      </c>
      <c r="AC1325" s="46" t="s">
        <v>6022</v>
      </c>
      <c r="AD1325" s="46" t="s">
        <v>6023</v>
      </c>
      <c r="AE1325" s="47" t="s">
        <v>6024</v>
      </c>
      <c r="AF1325" s="27" t="s">
        <v>339</v>
      </c>
      <c r="AG1325" s="29" t="s">
        <v>6025</v>
      </c>
      <c r="AH1325" s="28" t="s">
        <v>6026</v>
      </c>
      <c r="AI1325" s="27">
        <v>85</v>
      </c>
      <c r="AJ1325" s="27" t="s">
        <v>6027</v>
      </c>
      <c r="AK1325" s="27" t="s">
        <v>6028</v>
      </c>
      <c r="AL1325" s="27" t="s">
        <v>6029</v>
      </c>
      <c r="AM1325" s="27" t="s">
        <v>6030</v>
      </c>
      <c r="AN1325" s="27"/>
      <c r="AO1325" s="27"/>
      <c r="AP1325" s="27"/>
      <c r="AQ1325" s="27"/>
      <c r="AR1325" s="504"/>
      <c r="AS1325" s="332" t="s">
        <v>6031</v>
      </c>
      <c r="AT1325" s="160"/>
    </row>
    <row r="1326" spans="1:46" ht="21.75" hidden="1" customHeight="1">
      <c r="A1326" s="331">
        <v>1325</v>
      </c>
      <c r="B1326" s="28" t="s">
        <v>182</v>
      </c>
      <c r="C1326" s="28" t="s">
        <v>615</v>
      </c>
      <c r="D1326" s="438" t="s">
        <v>6032</v>
      </c>
      <c r="E1326" s="361" t="str">
        <f t="shared" ca="1" si="52"/>
        <v>LOSS</v>
      </c>
      <c r="F1326" s="29"/>
      <c r="G1326" s="28" t="s">
        <v>6033</v>
      </c>
      <c r="H1326" s="29" t="s">
        <v>2748</v>
      </c>
      <c r="I1326" s="29" t="s">
        <v>346</v>
      </c>
      <c r="J1326" s="28" t="s">
        <v>6034</v>
      </c>
      <c r="K1326" s="28"/>
      <c r="L1326" s="27"/>
      <c r="M1326" s="27"/>
      <c r="N1326" s="29"/>
      <c r="O1326" s="56"/>
      <c r="P1326" s="31">
        <v>324000000</v>
      </c>
      <c r="Q1326" s="31"/>
      <c r="R1326" s="27"/>
      <c r="S1326" s="32">
        <v>10000000</v>
      </c>
      <c r="T1326" s="33"/>
      <c r="U1326" s="334">
        <v>43965</v>
      </c>
      <c r="V1326" s="334">
        <v>44694</v>
      </c>
      <c r="W1326" s="27" t="s">
        <v>245</v>
      </c>
      <c r="X1326" s="27"/>
      <c r="Y1326" s="34">
        <f t="shared" ca="1" si="56"/>
        <v>46290</v>
      </c>
      <c r="Z1326" s="35">
        <f t="shared" ca="1" si="53"/>
        <v>-1596</v>
      </c>
      <c r="AA1326" s="27">
        <f t="shared" si="57"/>
        <v>5</v>
      </c>
      <c r="AB1326" s="27">
        <f t="shared" si="55"/>
        <v>2022</v>
      </c>
      <c r="AC1326" s="28" t="s">
        <v>6035</v>
      </c>
      <c r="AD1326" s="28" t="s">
        <v>2554</v>
      </c>
      <c r="AE1326" s="27">
        <v>4500016004</v>
      </c>
      <c r="AF1326" s="27" t="s">
        <v>339</v>
      </c>
      <c r="AG1326" s="29"/>
      <c r="AH1326" s="28"/>
      <c r="AI1326" s="27"/>
      <c r="AJ1326" s="27"/>
      <c r="AK1326" s="27"/>
      <c r="AL1326" s="27"/>
      <c r="AM1326" s="27"/>
      <c r="AN1326" s="27" t="s">
        <v>6036</v>
      </c>
      <c r="AO1326" s="27"/>
      <c r="AP1326" s="27"/>
      <c r="AQ1326" s="27"/>
      <c r="AR1326" s="504"/>
      <c r="AS1326" s="332" t="s">
        <v>6037</v>
      </c>
      <c r="AT1326" s="160"/>
    </row>
    <row r="1327" spans="1:46" ht="21.75" hidden="1" customHeight="1">
      <c r="A1327" s="331">
        <v>1326</v>
      </c>
      <c r="B1327" s="28" t="s">
        <v>182</v>
      </c>
      <c r="C1327" s="159" t="s">
        <v>6038</v>
      </c>
      <c r="D1327" s="437" t="s">
        <v>6032</v>
      </c>
      <c r="E1327" s="361" t="str">
        <f t="shared" ca="1" si="52"/>
        <v>LOSS</v>
      </c>
      <c r="F1327" s="29" t="s">
        <v>115</v>
      </c>
      <c r="G1327" s="28" t="s">
        <v>6039</v>
      </c>
      <c r="H1327" s="29" t="s">
        <v>2748</v>
      </c>
      <c r="I1327" s="29" t="s">
        <v>346</v>
      </c>
      <c r="J1327" s="28" t="s">
        <v>183</v>
      </c>
      <c r="K1327" s="28"/>
      <c r="L1327" s="27"/>
      <c r="M1327" s="27"/>
      <c r="N1327" s="29"/>
      <c r="O1327" s="56"/>
      <c r="P1327" s="31">
        <f>12*2100000</f>
        <v>25200000</v>
      </c>
      <c r="Q1327" s="31"/>
      <c r="R1327" s="27"/>
      <c r="S1327" s="32">
        <v>2100000</v>
      </c>
      <c r="T1327" s="33"/>
      <c r="U1327" s="334">
        <v>45393</v>
      </c>
      <c r="V1327" s="334">
        <v>45757</v>
      </c>
      <c r="W1327" s="27" t="s">
        <v>250</v>
      </c>
      <c r="X1327" s="27"/>
      <c r="Y1327" s="34">
        <f t="shared" ca="1" si="56"/>
        <v>46290</v>
      </c>
      <c r="Z1327" s="35">
        <f t="shared" ca="1" si="53"/>
        <v>-533</v>
      </c>
      <c r="AA1327" s="27">
        <f t="shared" si="57"/>
        <v>4</v>
      </c>
      <c r="AB1327" s="27">
        <f t="shared" si="55"/>
        <v>2025</v>
      </c>
      <c r="AC1327" s="28" t="s">
        <v>6040</v>
      </c>
      <c r="AD1327" s="28" t="s">
        <v>6041</v>
      </c>
      <c r="AE1327" s="27">
        <v>4500022612</v>
      </c>
      <c r="AF1327" s="27" t="s">
        <v>339</v>
      </c>
      <c r="AG1327" s="29" t="s">
        <v>6042</v>
      </c>
      <c r="AH1327" s="28" t="s">
        <v>6043</v>
      </c>
      <c r="AI1327" s="27"/>
      <c r="AJ1327" s="27"/>
      <c r="AK1327" s="27"/>
      <c r="AL1327" s="27"/>
      <c r="AM1327" s="27"/>
      <c r="AN1327" s="27" t="s">
        <v>6044</v>
      </c>
      <c r="AO1327" s="27" t="s">
        <v>6045</v>
      </c>
      <c r="AP1327" s="27" t="s">
        <v>6046</v>
      </c>
      <c r="AQ1327" s="27"/>
      <c r="AR1327" s="504"/>
      <c r="AS1327" s="332" t="s">
        <v>6047</v>
      </c>
      <c r="AT1327" s="160"/>
    </row>
    <row r="1328" spans="1:46" ht="21.75" hidden="1" customHeight="1">
      <c r="A1328" s="331">
        <v>1327</v>
      </c>
      <c r="B1328" s="28" t="s">
        <v>182</v>
      </c>
      <c r="C1328" s="28" t="s">
        <v>6048</v>
      </c>
      <c r="D1328" s="438" t="s">
        <v>6032</v>
      </c>
      <c r="E1328" s="361" t="str">
        <f t="shared" ca="1" si="52"/>
        <v>LOSS</v>
      </c>
      <c r="F1328" s="29" t="s">
        <v>6049</v>
      </c>
      <c r="G1328" s="28" t="s">
        <v>6050</v>
      </c>
      <c r="H1328" s="29" t="s">
        <v>2748</v>
      </c>
      <c r="I1328" s="29" t="s">
        <v>346</v>
      </c>
      <c r="J1328" s="28" t="s">
        <v>6051</v>
      </c>
      <c r="K1328" s="28"/>
      <c r="L1328" s="27"/>
      <c r="M1328" s="27"/>
      <c r="N1328" s="29"/>
      <c r="O1328" s="56"/>
      <c r="P1328" s="31">
        <f>12*18244655</f>
        <v>218935860</v>
      </c>
      <c r="Q1328" s="31"/>
      <c r="R1328" s="27"/>
      <c r="S1328" s="32">
        <v>21000000</v>
      </c>
      <c r="T1328" s="33"/>
      <c r="U1328" s="334">
        <v>45292</v>
      </c>
      <c r="V1328" s="334">
        <v>45657</v>
      </c>
      <c r="W1328" s="27" t="s">
        <v>250</v>
      </c>
      <c r="X1328" s="27"/>
      <c r="Y1328" s="34">
        <f t="shared" ca="1" si="56"/>
        <v>46290</v>
      </c>
      <c r="Z1328" s="35">
        <f t="shared" ca="1" si="53"/>
        <v>-633</v>
      </c>
      <c r="AA1328" s="27">
        <f t="shared" si="57"/>
        <v>12</v>
      </c>
      <c r="AB1328" s="27">
        <f t="shared" si="55"/>
        <v>2024</v>
      </c>
      <c r="AC1328" s="28" t="s">
        <v>6052</v>
      </c>
      <c r="AD1328" s="28" t="s">
        <v>6053</v>
      </c>
      <c r="AE1328" s="27">
        <v>4500022118</v>
      </c>
      <c r="AF1328" s="27" t="s">
        <v>339</v>
      </c>
      <c r="AG1328" s="29" t="s">
        <v>6042</v>
      </c>
      <c r="AH1328" s="28" t="s">
        <v>6043</v>
      </c>
      <c r="AI1328" s="27"/>
      <c r="AJ1328" s="27"/>
      <c r="AK1328" s="27"/>
      <c r="AL1328" s="27"/>
      <c r="AM1328" s="27"/>
      <c r="AN1328" s="27"/>
      <c r="AO1328" s="27" t="s">
        <v>6054</v>
      </c>
      <c r="AP1328" s="27" t="s">
        <v>6055</v>
      </c>
      <c r="AQ1328" s="27"/>
      <c r="AR1328" s="504"/>
      <c r="AS1328" s="332" t="s">
        <v>6056</v>
      </c>
      <c r="AT1328" s="160"/>
    </row>
    <row r="1329" spans="1:46" ht="29.25" hidden="1" customHeight="1">
      <c r="A1329" s="331">
        <v>1328</v>
      </c>
      <c r="B1329" s="28" t="s">
        <v>184</v>
      </c>
      <c r="C1329" s="28" t="s">
        <v>499</v>
      </c>
      <c r="D1329" s="444" t="s">
        <v>500</v>
      </c>
      <c r="E1329" s="361" t="str">
        <f t="shared" ca="1" si="52"/>
        <v>LOSS</v>
      </c>
      <c r="F1329" s="29"/>
      <c r="G1329" s="28" t="s">
        <v>501</v>
      </c>
      <c r="H1329" s="29" t="s">
        <v>2748</v>
      </c>
      <c r="I1329" s="29" t="s">
        <v>346</v>
      </c>
      <c r="J1329" s="28" t="s">
        <v>185</v>
      </c>
      <c r="K1329" s="28"/>
      <c r="L1329" s="27"/>
      <c r="M1329" s="27"/>
      <c r="N1329" s="29"/>
      <c r="O1329" s="56"/>
      <c r="P1329" s="31">
        <v>276000000</v>
      </c>
      <c r="Q1329" s="31"/>
      <c r="R1329" s="27"/>
      <c r="S1329" s="32">
        <v>60000000</v>
      </c>
      <c r="T1329" s="33"/>
      <c r="U1329" s="334">
        <v>45314</v>
      </c>
      <c r="V1329" s="334">
        <v>46044</v>
      </c>
      <c r="W1329" s="27" t="s">
        <v>17</v>
      </c>
      <c r="X1329" s="27"/>
      <c r="Y1329" s="34">
        <f t="shared" ca="1" si="56"/>
        <v>46290</v>
      </c>
      <c r="Z1329" s="35">
        <f t="shared" ca="1" si="53"/>
        <v>-246</v>
      </c>
      <c r="AA1329" s="27">
        <f t="shared" si="57"/>
        <v>1</v>
      </c>
      <c r="AB1329" s="27">
        <f t="shared" si="55"/>
        <v>2026</v>
      </c>
      <c r="AC1329" s="28" t="s">
        <v>502</v>
      </c>
      <c r="AD1329" s="28">
        <v>2632</v>
      </c>
      <c r="AE1329" s="27">
        <v>4500022553</v>
      </c>
      <c r="AF1329" s="27" t="s">
        <v>339</v>
      </c>
      <c r="AG1329" s="29" t="s">
        <v>503</v>
      </c>
      <c r="AH1329" s="28" t="s">
        <v>504</v>
      </c>
      <c r="AI1329" s="27" t="s">
        <v>115</v>
      </c>
      <c r="AJ1329" s="27">
        <v>178</v>
      </c>
      <c r="AK1329" s="27" t="s">
        <v>505</v>
      </c>
      <c r="AL1329" s="27" t="s">
        <v>506</v>
      </c>
      <c r="AM1329" s="27" t="s">
        <v>507</v>
      </c>
      <c r="AN1329" s="27" t="s">
        <v>508</v>
      </c>
      <c r="AO1329" s="27"/>
      <c r="AP1329" s="27" t="s">
        <v>509</v>
      </c>
      <c r="AQ1329" s="27"/>
      <c r="AR1329" s="504"/>
      <c r="AS1329" s="332"/>
      <c r="AT1329" s="160"/>
    </row>
    <row r="1330" spans="1:46" ht="21.75" hidden="1" customHeight="1">
      <c r="A1330" s="331">
        <v>1329</v>
      </c>
      <c r="B1330" s="28" t="s">
        <v>6057</v>
      </c>
      <c r="C1330" s="28" t="s">
        <v>6058</v>
      </c>
      <c r="D1330" s="438" t="s">
        <v>6059</v>
      </c>
      <c r="E1330" s="361" t="str">
        <f t="shared" ca="1" si="52"/>
        <v>LOSS</v>
      </c>
      <c r="F1330" s="29"/>
      <c r="G1330" s="28" t="s">
        <v>6060</v>
      </c>
      <c r="H1330" s="29" t="s">
        <v>2748</v>
      </c>
      <c r="I1330" s="29" t="s">
        <v>346</v>
      </c>
      <c r="J1330" s="28" t="s">
        <v>6061</v>
      </c>
      <c r="K1330" s="28"/>
      <c r="L1330" s="27"/>
      <c r="M1330" s="27"/>
      <c r="N1330" s="29"/>
      <c r="O1330" s="56"/>
      <c r="P1330" s="31">
        <f>13250000*12</f>
        <v>159000000</v>
      </c>
      <c r="Q1330" s="31"/>
      <c r="R1330" s="27"/>
      <c r="S1330" s="32">
        <v>9000000</v>
      </c>
      <c r="T1330" s="33"/>
      <c r="U1330" s="334">
        <v>45034</v>
      </c>
      <c r="V1330" s="334">
        <v>45399</v>
      </c>
      <c r="W1330" s="27" t="s">
        <v>250</v>
      </c>
      <c r="X1330" s="27"/>
      <c r="Y1330" s="34">
        <f t="shared" ca="1" si="56"/>
        <v>46290</v>
      </c>
      <c r="Z1330" s="35">
        <f t="shared" ca="1" si="53"/>
        <v>-891</v>
      </c>
      <c r="AA1330" s="27">
        <f t="shared" si="57"/>
        <v>4</v>
      </c>
      <c r="AB1330" s="27">
        <f t="shared" si="55"/>
        <v>2024</v>
      </c>
      <c r="AC1330" s="28" t="s">
        <v>6062</v>
      </c>
      <c r="AD1330" s="28" t="s">
        <v>6063</v>
      </c>
      <c r="AE1330" s="27">
        <v>4500022061</v>
      </c>
      <c r="AF1330" s="27" t="s">
        <v>339</v>
      </c>
      <c r="AG1330" s="29" t="s">
        <v>6064</v>
      </c>
      <c r="AH1330" s="28" t="s">
        <v>6065</v>
      </c>
      <c r="AI1330" s="27"/>
      <c r="AJ1330" s="27"/>
      <c r="AK1330" s="27"/>
      <c r="AL1330" s="27"/>
      <c r="AM1330" s="27"/>
      <c r="AN1330" s="27" t="s">
        <v>6066</v>
      </c>
      <c r="AO1330" s="27"/>
      <c r="AP1330" s="27"/>
      <c r="AQ1330" s="27"/>
      <c r="AR1330" s="504"/>
      <c r="AS1330" s="332"/>
      <c r="AT1330" s="160"/>
    </row>
    <row r="1331" spans="1:46" ht="21.75" hidden="1" customHeight="1">
      <c r="A1331" s="331">
        <v>1330</v>
      </c>
      <c r="B1331" s="28" t="s">
        <v>6057</v>
      </c>
      <c r="C1331" s="28" t="s">
        <v>6067</v>
      </c>
      <c r="D1331" s="437" t="s">
        <v>6059</v>
      </c>
      <c r="E1331" s="361" t="str">
        <f t="shared" ca="1" si="52"/>
        <v>LOSS</v>
      </c>
      <c r="F1331" s="29"/>
      <c r="G1331" s="28" t="s">
        <v>6068</v>
      </c>
      <c r="H1331" s="29" t="s">
        <v>2748</v>
      </c>
      <c r="I1331" s="160" t="s">
        <v>346</v>
      </c>
      <c r="J1331" s="28" t="s">
        <v>6069</v>
      </c>
      <c r="K1331" s="28"/>
      <c r="L1331" s="27"/>
      <c r="M1331" s="27"/>
      <c r="N1331" s="29"/>
      <c r="O1331" s="56"/>
      <c r="P1331" s="31">
        <v>96000000</v>
      </c>
      <c r="Q1331" s="31"/>
      <c r="R1331" s="27"/>
      <c r="S1331" s="32">
        <v>36000000</v>
      </c>
      <c r="T1331" s="33"/>
      <c r="U1331" s="334">
        <v>45200</v>
      </c>
      <c r="V1331" s="334">
        <v>45565</v>
      </c>
      <c r="W1331" s="27" t="s">
        <v>250</v>
      </c>
      <c r="X1331" s="27"/>
      <c r="Y1331" s="34">
        <f t="shared" ca="1" si="56"/>
        <v>46290</v>
      </c>
      <c r="Z1331" s="35">
        <f t="shared" ca="1" si="53"/>
        <v>-725</v>
      </c>
      <c r="AA1331" s="27">
        <f t="shared" si="57"/>
        <v>9</v>
      </c>
      <c r="AB1331" s="27">
        <f t="shared" si="55"/>
        <v>2024</v>
      </c>
      <c r="AC1331" s="28" t="s">
        <v>6070</v>
      </c>
      <c r="AD1331" s="28" t="s">
        <v>6071</v>
      </c>
      <c r="AE1331" s="27">
        <v>4500020941</v>
      </c>
      <c r="AF1331" s="27" t="s">
        <v>339</v>
      </c>
      <c r="AG1331" s="29" t="s">
        <v>6072</v>
      </c>
      <c r="AH1331" s="28" t="s">
        <v>6073</v>
      </c>
      <c r="AI1331" s="27"/>
      <c r="AJ1331" s="27"/>
      <c r="AK1331" s="27" t="s">
        <v>6074</v>
      </c>
      <c r="AL1331" s="27" t="s">
        <v>6075</v>
      </c>
      <c r="AM1331" s="27"/>
      <c r="AN1331" s="27" t="s">
        <v>6076</v>
      </c>
      <c r="AO1331" s="27" t="s">
        <v>6077</v>
      </c>
      <c r="AP1331" s="27"/>
      <c r="AQ1331" s="27"/>
      <c r="AR1331" s="504"/>
      <c r="AS1331" s="332" t="s">
        <v>6078</v>
      </c>
      <c r="AT1331" s="160"/>
    </row>
    <row r="1332" spans="1:46" ht="21.75" hidden="1" customHeight="1">
      <c r="A1332" s="331">
        <v>1331</v>
      </c>
      <c r="B1332" s="28" t="s">
        <v>6057</v>
      </c>
      <c r="C1332" s="28" t="s">
        <v>6079</v>
      </c>
      <c r="D1332" s="438" t="s">
        <v>6059</v>
      </c>
      <c r="E1332" s="361" t="str">
        <f t="shared" ca="1" si="52"/>
        <v>LOSS</v>
      </c>
      <c r="F1332" s="29"/>
      <c r="G1332" s="28" t="s">
        <v>6080</v>
      </c>
      <c r="H1332" s="29" t="s">
        <v>2748</v>
      </c>
      <c r="I1332" s="29" t="s">
        <v>346</v>
      </c>
      <c r="J1332" s="28" t="s">
        <v>6081</v>
      </c>
      <c r="K1332" s="28"/>
      <c r="L1332" s="27"/>
      <c r="M1332" s="27"/>
      <c r="N1332" s="29"/>
      <c r="O1332" s="56"/>
      <c r="P1332" s="31">
        <v>24000000</v>
      </c>
      <c r="Q1332" s="31"/>
      <c r="R1332" s="27"/>
      <c r="S1332" s="32">
        <v>9000000</v>
      </c>
      <c r="T1332" s="33"/>
      <c r="U1332" s="334">
        <v>43939</v>
      </c>
      <c r="V1332" s="334">
        <v>44303</v>
      </c>
      <c r="W1332" s="27" t="s">
        <v>245</v>
      </c>
      <c r="X1332" s="27"/>
      <c r="Y1332" s="34">
        <f t="shared" ca="1" si="56"/>
        <v>46290</v>
      </c>
      <c r="Z1332" s="35">
        <f t="shared" ca="1" si="53"/>
        <v>-1987</v>
      </c>
      <c r="AA1332" s="27">
        <f t="shared" si="57"/>
        <v>4</v>
      </c>
      <c r="AB1332" s="27">
        <f t="shared" si="55"/>
        <v>2021</v>
      </c>
      <c r="AC1332" s="28" t="s">
        <v>6082</v>
      </c>
      <c r="AD1332" s="28" t="s">
        <v>683</v>
      </c>
      <c r="AE1332" s="27">
        <v>4500014156</v>
      </c>
      <c r="AF1332" s="27" t="s">
        <v>339</v>
      </c>
      <c r="AG1332" s="29" t="s">
        <v>6064</v>
      </c>
      <c r="AH1332" s="28" t="s">
        <v>6073</v>
      </c>
      <c r="AI1332" s="27"/>
      <c r="AJ1332" s="27" t="s">
        <v>6083</v>
      </c>
      <c r="AK1332" s="27" t="s">
        <v>6084</v>
      </c>
      <c r="AL1332" s="27" t="s">
        <v>6085</v>
      </c>
      <c r="AM1332" s="27"/>
      <c r="AN1332" s="27"/>
      <c r="AO1332" s="27"/>
      <c r="AP1332" s="27"/>
      <c r="AQ1332" s="27"/>
      <c r="AR1332" s="504"/>
      <c r="AS1332" s="332" t="s">
        <v>6086</v>
      </c>
      <c r="AT1332" s="160"/>
    </row>
    <row r="1333" spans="1:46" ht="21.75" hidden="1" customHeight="1">
      <c r="A1333" s="331">
        <v>1332</v>
      </c>
      <c r="B1333" s="28" t="s">
        <v>6057</v>
      </c>
      <c r="C1333" s="28" t="s">
        <v>6087</v>
      </c>
      <c r="D1333" s="437" t="s">
        <v>6059</v>
      </c>
      <c r="E1333" s="361" t="str">
        <f t="shared" ca="1" si="52"/>
        <v>LOSS</v>
      </c>
      <c r="F1333" s="29"/>
      <c r="G1333" s="28" t="s">
        <v>6088</v>
      </c>
      <c r="H1333" s="28" t="s">
        <v>2748</v>
      </c>
      <c r="I1333" s="29" t="s">
        <v>242</v>
      </c>
      <c r="J1333" s="28" t="s">
        <v>6089</v>
      </c>
      <c r="K1333" s="28"/>
      <c r="L1333" s="27"/>
      <c r="M1333" s="27"/>
      <c r="N1333" s="29"/>
      <c r="O1333" s="56"/>
      <c r="P1333" s="31">
        <v>33000000</v>
      </c>
      <c r="Q1333" s="31"/>
      <c r="R1333" s="27"/>
      <c r="S1333" s="32">
        <v>9000000</v>
      </c>
      <c r="T1333" s="33"/>
      <c r="U1333" s="334">
        <v>45221</v>
      </c>
      <c r="V1333" s="334">
        <v>45586</v>
      </c>
      <c r="W1333" s="27" t="s">
        <v>250</v>
      </c>
      <c r="X1333" s="27"/>
      <c r="Y1333" s="34">
        <f t="shared" ca="1" si="56"/>
        <v>46290</v>
      </c>
      <c r="Z1333" s="35">
        <f t="shared" ca="1" si="53"/>
        <v>-704</v>
      </c>
      <c r="AA1333" s="27">
        <f t="shared" si="57"/>
        <v>10</v>
      </c>
      <c r="AB1333" s="27">
        <f t="shared" si="55"/>
        <v>2024</v>
      </c>
      <c r="AC1333" s="28" t="s">
        <v>6090</v>
      </c>
      <c r="AD1333" s="28">
        <v>2338</v>
      </c>
      <c r="AE1333" s="27">
        <v>4500022362</v>
      </c>
      <c r="AF1333" s="27" t="s">
        <v>339</v>
      </c>
      <c r="AG1333" s="29" t="s">
        <v>6064</v>
      </c>
      <c r="AH1333" s="28" t="s">
        <v>6091</v>
      </c>
      <c r="AI1333" s="27"/>
      <c r="AJ1333" s="27"/>
      <c r="AK1333" s="27"/>
      <c r="AL1333" s="27" t="s">
        <v>6092</v>
      </c>
      <c r="AM1333" s="27" t="s">
        <v>6093</v>
      </c>
      <c r="AN1333" s="27" t="s">
        <v>6094</v>
      </c>
      <c r="AO1333" s="27"/>
      <c r="AP1333" s="27" t="s">
        <v>6095</v>
      </c>
      <c r="AQ1333" s="27"/>
      <c r="AR1333" s="504"/>
      <c r="AS1333" s="332"/>
      <c r="AT1333" s="160"/>
    </row>
    <row r="1334" spans="1:46" ht="21.75" hidden="1" customHeight="1">
      <c r="A1334" s="331">
        <v>1333</v>
      </c>
      <c r="B1334" s="28" t="s">
        <v>635</v>
      </c>
      <c r="C1334" s="28" t="s">
        <v>6096</v>
      </c>
      <c r="D1334" s="438" t="s">
        <v>384</v>
      </c>
      <c r="E1334" s="361" t="str">
        <f t="shared" ca="1" si="52"/>
        <v>LOSS</v>
      </c>
      <c r="F1334" s="29"/>
      <c r="G1334" s="28" t="s">
        <v>6097</v>
      </c>
      <c r="H1334" s="29" t="s">
        <v>2748</v>
      </c>
      <c r="I1334" s="29" t="s">
        <v>346</v>
      </c>
      <c r="J1334" s="28" t="s">
        <v>985</v>
      </c>
      <c r="K1334" s="28"/>
      <c r="L1334" s="27"/>
      <c r="M1334" s="27"/>
      <c r="N1334" s="29"/>
      <c r="O1334" s="56"/>
      <c r="P1334" s="31">
        <v>60000000</v>
      </c>
      <c r="Q1334" s="31"/>
      <c r="R1334" s="27"/>
      <c r="S1334" s="32">
        <v>12000000</v>
      </c>
      <c r="T1334" s="33"/>
      <c r="U1334" s="334">
        <v>43874</v>
      </c>
      <c r="V1334" s="334">
        <v>44239</v>
      </c>
      <c r="W1334" s="27" t="s">
        <v>250</v>
      </c>
      <c r="X1334" s="27"/>
      <c r="Y1334" s="34">
        <f t="shared" ca="1" si="56"/>
        <v>46290</v>
      </c>
      <c r="Z1334" s="35">
        <f t="shared" ca="1" si="53"/>
        <v>-2051</v>
      </c>
      <c r="AA1334" s="27">
        <f t="shared" si="57"/>
        <v>2</v>
      </c>
      <c r="AB1334" s="27">
        <f t="shared" si="55"/>
        <v>2021</v>
      </c>
      <c r="AC1334" s="28" t="s">
        <v>6098</v>
      </c>
      <c r="AD1334" s="28" t="s">
        <v>6099</v>
      </c>
      <c r="AE1334" s="27">
        <v>4500013965</v>
      </c>
      <c r="AF1334" s="27" t="s">
        <v>339</v>
      </c>
      <c r="AG1334" s="29" t="s">
        <v>6100</v>
      </c>
      <c r="AH1334" s="28" t="s">
        <v>6101</v>
      </c>
      <c r="AI1334" s="27"/>
      <c r="AJ1334" s="27"/>
      <c r="AK1334" s="27" t="s">
        <v>6102</v>
      </c>
      <c r="AL1334" s="27" t="s">
        <v>6103</v>
      </c>
      <c r="AM1334" s="27"/>
      <c r="AN1334" s="27"/>
      <c r="AO1334" s="27"/>
      <c r="AP1334" s="27"/>
      <c r="AQ1334" s="27"/>
      <c r="AR1334" s="504"/>
      <c r="AS1334" s="332"/>
      <c r="AT1334" s="160"/>
    </row>
    <row r="1335" spans="1:46" ht="21.75" hidden="1" customHeight="1">
      <c r="A1335" s="331">
        <v>1334</v>
      </c>
      <c r="B1335" s="28" t="s">
        <v>635</v>
      </c>
      <c r="C1335" s="28" t="s">
        <v>6104</v>
      </c>
      <c r="D1335" s="437" t="s">
        <v>384</v>
      </c>
      <c r="E1335" s="361" t="str">
        <f t="shared" ca="1" si="52"/>
        <v>LOSS</v>
      </c>
      <c r="F1335" s="29"/>
      <c r="G1335" s="28" t="s">
        <v>6105</v>
      </c>
      <c r="H1335" s="29" t="s">
        <v>2748</v>
      </c>
      <c r="I1335" s="29" t="s">
        <v>242</v>
      </c>
      <c r="J1335" s="28" t="s">
        <v>6106</v>
      </c>
      <c r="K1335" s="28"/>
      <c r="L1335" s="27"/>
      <c r="M1335" s="27"/>
      <c r="N1335" s="29"/>
      <c r="O1335" s="56"/>
      <c r="P1335" s="31">
        <f>12*2800000</f>
        <v>33600000</v>
      </c>
      <c r="Q1335" s="31"/>
      <c r="R1335" s="27"/>
      <c r="S1335" s="32">
        <v>12000000</v>
      </c>
      <c r="T1335" s="33"/>
      <c r="U1335" s="334">
        <v>44460</v>
      </c>
      <c r="V1335" s="334">
        <v>44824</v>
      </c>
      <c r="W1335" s="27" t="s">
        <v>250</v>
      </c>
      <c r="X1335" s="27"/>
      <c r="Y1335" s="34">
        <f t="shared" ca="1" si="56"/>
        <v>46290</v>
      </c>
      <c r="Z1335" s="35">
        <f t="shared" ca="1" si="53"/>
        <v>-1466</v>
      </c>
      <c r="AA1335" s="27">
        <f t="shared" si="57"/>
        <v>9</v>
      </c>
      <c r="AB1335" s="27">
        <f t="shared" si="55"/>
        <v>2022</v>
      </c>
      <c r="AC1335" s="28" t="s">
        <v>479</v>
      </c>
      <c r="AD1335" s="28" t="s">
        <v>6107</v>
      </c>
      <c r="AE1335" s="27">
        <v>4500016891</v>
      </c>
      <c r="AF1335" s="27" t="s">
        <v>339</v>
      </c>
      <c r="AG1335" s="29" t="s">
        <v>6100</v>
      </c>
      <c r="AH1335" s="28" t="s">
        <v>6101</v>
      </c>
      <c r="AI1335" s="27"/>
      <c r="AJ1335" s="27"/>
      <c r="AK1335" s="27"/>
      <c r="AL1335" s="27"/>
      <c r="AM1335" s="27"/>
      <c r="AN1335" s="27"/>
      <c r="AO1335" s="27" t="s">
        <v>6108</v>
      </c>
      <c r="AP1335" s="27"/>
      <c r="AQ1335" s="27"/>
      <c r="AR1335" s="504"/>
      <c r="AS1335" s="332"/>
      <c r="AT1335" s="160"/>
    </row>
    <row r="1336" spans="1:46" ht="21.75" hidden="1" customHeight="1">
      <c r="A1336" s="331">
        <v>1335</v>
      </c>
      <c r="B1336" s="28" t="s">
        <v>635</v>
      </c>
      <c r="C1336" s="28" t="s">
        <v>6104</v>
      </c>
      <c r="D1336" s="438" t="s">
        <v>384</v>
      </c>
      <c r="E1336" s="361" t="str">
        <f t="shared" ca="1" si="52"/>
        <v>LOSS</v>
      </c>
      <c r="F1336" s="29"/>
      <c r="G1336" s="28" t="s">
        <v>6105</v>
      </c>
      <c r="H1336" s="29" t="s">
        <v>2748</v>
      </c>
      <c r="I1336" s="29" t="s">
        <v>242</v>
      </c>
      <c r="J1336" s="28" t="s">
        <v>6106</v>
      </c>
      <c r="K1336" s="28"/>
      <c r="L1336" s="27"/>
      <c r="M1336" s="27"/>
      <c r="N1336" s="29"/>
      <c r="O1336" s="56"/>
      <c r="P1336" s="31">
        <f>12*2800000</f>
        <v>33600000</v>
      </c>
      <c r="Q1336" s="31"/>
      <c r="R1336" s="27"/>
      <c r="S1336" s="32">
        <v>12000000</v>
      </c>
      <c r="T1336" s="33"/>
      <c r="U1336" s="334">
        <v>44460</v>
      </c>
      <c r="V1336" s="334">
        <v>44824</v>
      </c>
      <c r="W1336" s="27" t="s">
        <v>250</v>
      </c>
      <c r="X1336" s="27"/>
      <c r="Y1336" s="34">
        <f t="shared" ca="1" si="56"/>
        <v>46290</v>
      </c>
      <c r="Z1336" s="35">
        <f t="shared" ca="1" si="53"/>
        <v>-1466</v>
      </c>
      <c r="AA1336" s="27">
        <f t="shared" si="57"/>
        <v>9</v>
      </c>
      <c r="AB1336" s="27">
        <f t="shared" si="55"/>
        <v>2022</v>
      </c>
      <c r="AC1336" s="28" t="s">
        <v>479</v>
      </c>
      <c r="AD1336" s="28" t="s">
        <v>6107</v>
      </c>
      <c r="AE1336" s="27">
        <v>4500016891</v>
      </c>
      <c r="AF1336" s="27" t="s">
        <v>339</v>
      </c>
      <c r="AG1336" s="29" t="s">
        <v>6100</v>
      </c>
      <c r="AH1336" s="28" t="s">
        <v>6101</v>
      </c>
      <c r="AI1336" s="27"/>
      <c r="AJ1336" s="27"/>
      <c r="AK1336" s="27"/>
      <c r="AL1336" s="27"/>
      <c r="AM1336" s="27"/>
      <c r="AN1336" s="27"/>
      <c r="AO1336" s="27" t="s">
        <v>6109</v>
      </c>
      <c r="AP1336" s="27"/>
      <c r="AQ1336" s="27"/>
      <c r="AR1336" s="504"/>
      <c r="AS1336" s="332"/>
      <c r="AT1336" s="160"/>
    </row>
    <row r="1337" spans="1:46" ht="21.75" hidden="1" customHeight="1">
      <c r="A1337" s="331">
        <v>1336</v>
      </c>
      <c r="B1337" s="28" t="s">
        <v>635</v>
      </c>
      <c r="C1337" s="28" t="s">
        <v>6110</v>
      </c>
      <c r="D1337" s="437" t="s">
        <v>384</v>
      </c>
      <c r="E1337" s="361" t="str">
        <f t="shared" ca="1" si="52"/>
        <v>LOSS</v>
      </c>
      <c r="F1337" s="29"/>
      <c r="G1337" s="28" t="s">
        <v>6111</v>
      </c>
      <c r="H1337" s="29" t="s">
        <v>2748</v>
      </c>
      <c r="I1337" s="29" t="s">
        <v>242</v>
      </c>
      <c r="J1337" s="28" t="s">
        <v>6112</v>
      </c>
      <c r="K1337" s="28"/>
      <c r="L1337" s="27"/>
      <c r="M1337" s="27"/>
      <c r="N1337" s="29"/>
      <c r="O1337" s="56"/>
      <c r="P1337" s="31">
        <v>33000000</v>
      </c>
      <c r="Q1337" s="31"/>
      <c r="R1337" s="27"/>
      <c r="S1337" s="32">
        <v>12000000</v>
      </c>
      <c r="T1337" s="33"/>
      <c r="U1337" s="334">
        <v>43592</v>
      </c>
      <c r="V1337" s="334">
        <v>43957</v>
      </c>
      <c r="W1337" s="27" t="s">
        <v>250</v>
      </c>
      <c r="X1337" s="27"/>
      <c r="Y1337" s="34">
        <f t="shared" ca="1" si="56"/>
        <v>46290</v>
      </c>
      <c r="Z1337" s="35">
        <f t="shared" ca="1" si="53"/>
        <v>-2333</v>
      </c>
      <c r="AA1337" s="27">
        <f t="shared" si="57"/>
        <v>5</v>
      </c>
      <c r="AB1337" s="27">
        <f t="shared" si="55"/>
        <v>2020</v>
      </c>
      <c r="AC1337" s="28" t="s">
        <v>479</v>
      </c>
      <c r="AD1337" s="28" t="s">
        <v>6113</v>
      </c>
      <c r="AE1337" s="27">
        <v>4500012817</v>
      </c>
      <c r="AF1337" s="27" t="s">
        <v>339</v>
      </c>
      <c r="AG1337" s="29" t="s">
        <v>6100</v>
      </c>
      <c r="AH1337" s="28" t="s">
        <v>6101</v>
      </c>
      <c r="AI1337" s="27"/>
      <c r="AJ1337" s="27"/>
      <c r="AK1337" s="27" t="s">
        <v>6114</v>
      </c>
      <c r="AL1337" s="27"/>
      <c r="AM1337" s="27"/>
      <c r="AN1337" s="27"/>
      <c r="AO1337" s="27"/>
      <c r="AP1337" s="27"/>
      <c r="AQ1337" s="27"/>
      <c r="AR1337" s="504"/>
      <c r="AS1337" s="332"/>
      <c r="AT1337" s="160"/>
    </row>
    <row r="1338" spans="1:46" ht="21.75" hidden="1" customHeight="1">
      <c r="A1338" s="331">
        <v>1337</v>
      </c>
      <c r="B1338" s="28" t="s">
        <v>635</v>
      </c>
      <c r="C1338" s="28" t="s">
        <v>6115</v>
      </c>
      <c r="D1338" s="438" t="s">
        <v>384</v>
      </c>
      <c r="E1338" s="361" t="str">
        <f t="shared" ca="1" si="52"/>
        <v>LOSS</v>
      </c>
      <c r="F1338" s="29"/>
      <c r="G1338" s="28" t="s">
        <v>6116</v>
      </c>
      <c r="H1338" s="29" t="s">
        <v>2748</v>
      </c>
      <c r="I1338" s="29" t="s">
        <v>242</v>
      </c>
      <c r="J1338" s="28" t="s">
        <v>737</v>
      </c>
      <c r="K1338" s="28"/>
      <c r="L1338" s="27"/>
      <c r="M1338" s="27"/>
      <c r="N1338" s="29"/>
      <c r="O1338" s="56"/>
      <c r="P1338" s="31">
        <v>78000000</v>
      </c>
      <c r="Q1338" s="31"/>
      <c r="R1338" s="27"/>
      <c r="S1338" s="32">
        <v>12000000</v>
      </c>
      <c r="T1338" s="33"/>
      <c r="U1338" s="334">
        <v>43979</v>
      </c>
      <c r="V1338" s="334">
        <v>44343</v>
      </c>
      <c r="W1338" s="27" t="s">
        <v>250</v>
      </c>
      <c r="X1338" s="27"/>
      <c r="Y1338" s="34">
        <f t="shared" ca="1" si="56"/>
        <v>46290</v>
      </c>
      <c r="Z1338" s="35">
        <f t="shared" ca="1" si="53"/>
        <v>-1947</v>
      </c>
      <c r="AA1338" s="27">
        <f t="shared" si="57"/>
        <v>5</v>
      </c>
      <c r="AB1338" s="27">
        <f t="shared" si="55"/>
        <v>2021</v>
      </c>
      <c r="AC1338" s="28" t="s">
        <v>479</v>
      </c>
      <c r="AD1338" s="28" t="s">
        <v>738</v>
      </c>
      <c r="AE1338" s="27">
        <v>4500014488</v>
      </c>
      <c r="AF1338" s="27" t="s">
        <v>339</v>
      </c>
      <c r="AG1338" s="29" t="s">
        <v>6100</v>
      </c>
      <c r="AH1338" s="28" t="s">
        <v>6101</v>
      </c>
      <c r="AI1338" s="27"/>
      <c r="AJ1338" s="27"/>
      <c r="AK1338" s="27"/>
      <c r="AL1338" s="27" t="s">
        <v>6117</v>
      </c>
      <c r="AM1338" s="27"/>
      <c r="AN1338" s="27"/>
      <c r="AO1338" s="27"/>
      <c r="AP1338" s="27"/>
      <c r="AQ1338" s="27"/>
      <c r="AR1338" s="504"/>
      <c r="AS1338" s="332"/>
      <c r="AT1338" s="160"/>
    </row>
    <row r="1339" spans="1:46" ht="21.75" hidden="1" customHeight="1">
      <c r="A1339" s="331">
        <v>1338</v>
      </c>
      <c r="B1339" s="28" t="s">
        <v>635</v>
      </c>
      <c r="C1339" s="28" t="s">
        <v>6115</v>
      </c>
      <c r="D1339" s="437" t="s">
        <v>384</v>
      </c>
      <c r="E1339" s="361" t="str">
        <f t="shared" ca="1" si="52"/>
        <v>LOSS</v>
      </c>
      <c r="F1339" s="29"/>
      <c r="G1339" s="28" t="s">
        <v>6118</v>
      </c>
      <c r="H1339" s="29" t="s">
        <v>2748</v>
      </c>
      <c r="I1339" s="29" t="s">
        <v>242</v>
      </c>
      <c r="J1339" s="28" t="s">
        <v>737</v>
      </c>
      <c r="K1339" s="28"/>
      <c r="L1339" s="27"/>
      <c r="M1339" s="27"/>
      <c r="N1339" s="29"/>
      <c r="O1339" s="56"/>
      <c r="P1339" s="31">
        <v>78000000</v>
      </c>
      <c r="Q1339" s="31"/>
      <c r="R1339" s="27"/>
      <c r="S1339" s="32">
        <v>12000000</v>
      </c>
      <c r="T1339" s="33"/>
      <c r="U1339" s="334">
        <v>43979</v>
      </c>
      <c r="V1339" s="334">
        <v>43978</v>
      </c>
      <c r="W1339" s="27" t="s">
        <v>250</v>
      </c>
      <c r="X1339" s="27"/>
      <c r="Y1339" s="34">
        <f t="shared" ca="1" si="56"/>
        <v>46290</v>
      </c>
      <c r="Z1339" s="35">
        <f t="shared" ca="1" si="53"/>
        <v>-2312</v>
      </c>
      <c r="AA1339" s="27">
        <f t="shared" si="57"/>
        <v>5</v>
      </c>
      <c r="AB1339" s="27">
        <f t="shared" si="55"/>
        <v>2020</v>
      </c>
      <c r="AC1339" s="28" t="s">
        <v>479</v>
      </c>
      <c r="AD1339" s="28" t="s">
        <v>738</v>
      </c>
      <c r="AE1339" s="27">
        <v>4500014489</v>
      </c>
      <c r="AF1339" s="27" t="s">
        <v>339</v>
      </c>
      <c r="AG1339" s="29" t="s">
        <v>6100</v>
      </c>
      <c r="AH1339" s="28" t="s">
        <v>6101</v>
      </c>
      <c r="AI1339" s="27"/>
      <c r="AJ1339" s="27"/>
      <c r="AK1339" s="27"/>
      <c r="AL1339" s="27" t="s">
        <v>6119</v>
      </c>
      <c r="AM1339" s="27"/>
      <c r="AN1339" s="27"/>
      <c r="AO1339" s="27"/>
      <c r="AP1339" s="27"/>
      <c r="AQ1339" s="27"/>
      <c r="AR1339" s="504"/>
      <c r="AS1339" s="332"/>
      <c r="AT1339" s="160"/>
    </row>
    <row r="1340" spans="1:46" ht="21.75" hidden="1" customHeight="1">
      <c r="A1340" s="331">
        <v>1339</v>
      </c>
      <c r="B1340" s="28" t="s">
        <v>635</v>
      </c>
      <c r="C1340" s="28" t="s">
        <v>6120</v>
      </c>
      <c r="D1340" s="438" t="s">
        <v>384</v>
      </c>
      <c r="E1340" s="361" t="str">
        <f t="shared" ca="1" si="52"/>
        <v>LOSS</v>
      </c>
      <c r="F1340" s="29"/>
      <c r="G1340" s="28" t="s">
        <v>6121</v>
      </c>
      <c r="H1340" s="29" t="s">
        <v>2748</v>
      </c>
      <c r="I1340" s="29" t="s">
        <v>346</v>
      </c>
      <c r="J1340" s="28" t="s">
        <v>6122</v>
      </c>
      <c r="K1340" s="28"/>
      <c r="L1340" s="27"/>
      <c r="M1340" s="27"/>
      <c r="N1340" s="29"/>
      <c r="O1340" s="56"/>
      <c r="P1340" s="31">
        <v>174000000</v>
      </c>
      <c r="Q1340" s="31"/>
      <c r="R1340" s="27"/>
      <c r="S1340" s="32">
        <v>12000000</v>
      </c>
      <c r="T1340" s="33"/>
      <c r="U1340" s="334">
        <v>43670</v>
      </c>
      <c r="V1340" s="334">
        <v>44035</v>
      </c>
      <c r="W1340" s="27" t="s">
        <v>250</v>
      </c>
      <c r="X1340" s="27"/>
      <c r="Y1340" s="34">
        <f t="shared" ca="1" si="56"/>
        <v>46290</v>
      </c>
      <c r="Z1340" s="35">
        <f t="shared" ca="1" si="53"/>
        <v>-2255</v>
      </c>
      <c r="AA1340" s="27">
        <f t="shared" si="57"/>
        <v>7</v>
      </c>
      <c r="AB1340" s="27">
        <f t="shared" si="55"/>
        <v>2020</v>
      </c>
      <c r="AC1340" s="28" t="s">
        <v>6123</v>
      </c>
      <c r="AD1340" s="28" t="s">
        <v>6124</v>
      </c>
      <c r="AE1340" s="27">
        <v>4500012966</v>
      </c>
      <c r="AF1340" s="27" t="s">
        <v>339</v>
      </c>
      <c r="AG1340" s="29" t="s">
        <v>6100</v>
      </c>
      <c r="AH1340" s="28" t="s">
        <v>6101</v>
      </c>
      <c r="AI1340" s="27"/>
      <c r="AJ1340" s="27" t="s">
        <v>6125</v>
      </c>
      <c r="AK1340" s="27" t="s">
        <v>6126</v>
      </c>
      <c r="AL1340" s="27"/>
      <c r="AM1340" s="27"/>
      <c r="AN1340" s="27"/>
      <c r="AO1340" s="27"/>
      <c r="AP1340" s="27"/>
      <c r="AQ1340" s="27"/>
      <c r="AR1340" s="504"/>
      <c r="AS1340" s="332"/>
      <c r="AT1340" s="160"/>
    </row>
    <row r="1341" spans="1:46" ht="21.75" hidden="1" customHeight="1">
      <c r="A1341" s="331">
        <v>1340</v>
      </c>
      <c r="B1341" s="28" t="s">
        <v>635</v>
      </c>
      <c r="C1341" s="28" t="s">
        <v>6127</v>
      </c>
      <c r="D1341" s="437" t="s">
        <v>384</v>
      </c>
      <c r="E1341" s="361" t="str">
        <f t="shared" ca="1" si="52"/>
        <v>LOSS</v>
      </c>
      <c r="F1341" s="29"/>
      <c r="G1341" s="28" t="s">
        <v>6121</v>
      </c>
      <c r="H1341" s="29" t="s">
        <v>2748</v>
      </c>
      <c r="I1341" s="29" t="s">
        <v>346</v>
      </c>
      <c r="J1341" s="28" t="s">
        <v>1159</v>
      </c>
      <c r="K1341" s="28"/>
      <c r="L1341" s="27"/>
      <c r="M1341" s="27"/>
      <c r="N1341" s="29"/>
      <c r="O1341" s="56"/>
      <c r="P1341" s="31">
        <v>102000000</v>
      </c>
      <c r="Q1341" s="31"/>
      <c r="R1341" s="27"/>
      <c r="S1341" s="32">
        <v>30000000</v>
      </c>
      <c r="T1341" s="33"/>
      <c r="U1341" s="334">
        <v>44000</v>
      </c>
      <c r="V1341" s="334">
        <v>44364</v>
      </c>
      <c r="W1341" s="27" t="s">
        <v>250</v>
      </c>
      <c r="X1341" s="27"/>
      <c r="Y1341" s="34">
        <f t="shared" ca="1" si="56"/>
        <v>46290</v>
      </c>
      <c r="Z1341" s="35">
        <f t="shared" ca="1" si="53"/>
        <v>-1926</v>
      </c>
      <c r="AA1341" s="27">
        <f t="shared" si="57"/>
        <v>6</v>
      </c>
      <c r="AB1341" s="27">
        <f t="shared" si="55"/>
        <v>2021</v>
      </c>
      <c r="AC1341" s="28" t="s">
        <v>479</v>
      </c>
      <c r="AD1341" s="28" t="s">
        <v>6128</v>
      </c>
      <c r="AE1341" s="27">
        <v>4500014483</v>
      </c>
      <c r="AF1341" s="27" t="s">
        <v>339</v>
      </c>
      <c r="AG1341" s="29" t="s">
        <v>6100</v>
      </c>
      <c r="AH1341" s="28" t="s">
        <v>6101</v>
      </c>
      <c r="AI1341" s="27"/>
      <c r="AJ1341" s="27"/>
      <c r="AK1341" s="27"/>
      <c r="AL1341" s="27" t="s">
        <v>6129</v>
      </c>
      <c r="AM1341" s="27"/>
      <c r="AN1341" s="27"/>
      <c r="AO1341" s="27"/>
      <c r="AP1341" s="27"/>
      <c r="AQ1341" s="27"/>
      <c r="AR1341" s="504"/>
      <c r="AS1341" s="332"/>
      <c r="AT1341" s="160"/>
    </row>
    <row r="1342" spans="1:46" ht="21.75" hidden="1" customHeight="1">
      <c r="A1342" s="331">
        <v>1341</v>
      </c>
      <c r="B1342" s="28" t="s">
        <v>635</v>
      </c>
      <c r="C1342" s="28" t="s">
        <v>6130</v>
      </c>
      <c r="D1342" s="438" t="s">
        <v>384</v>
      </c>
      <c r="E1342" s="361" t="str">
        <f t="shared" ca="1" si="52"/>
        <v>LOSS</v>
      </c>
      <c r="F1342" s="29"/>
      <c r="G1342" s="28" t="s">
        <v>6131</v>
      </c>
      <c r="H1342" s="29" t="s">
        <v>2748</v>
      </c>
      <c r="I1342" s="29" t="s">
        <v>242</v>
      </c>
      <c r="J1342" s="28" t="s">
        <v>6132</v>
      </c>
      <c r="K1342" s="28"/>
      <c r="L1342" s="27"/>
      <c r="M1342" s="27"/>
      <c r="N1342" s="29"/>
      <c r="O1342" s="56"/>
      <c r="P1342" s="31">
        <f>12*3500000</f>
        <v>42000000</v>
      </c>
      <c r="Q1342" s="31"/>
      <c r="R1342" s="27"/>
      <c r="S1342" s="32">
        <v>12000000</v>
      </c>
      <c r="T1342" s="33"/>
      <c r="U1342" s="334">
        <v>44823</v>
      </c>
      <c r="V1342" s="334">
        <v>45187</v>
      </c>
      <c r="W1342" s="27" t="s">
        <v>250</v>
      </c>
      <c r="X1342" s="27"/>
      <c r="Y1342" s="34">
        <f t="shared" ca="1" si="56"/>
        <v>46290</v>
      </c>
      <c r="Z1342" s="35">
        <f t="shared" ca="1" si="53"/>
        <v>-1103</v>
      </c>
      <c r="AA1342" s="27">
        <f t="shared" si="57"/>
        <v>9</v>
      </c>
      <c r="AB1342" s="27">
        <f t="shared" si="55"/>
        <v>2023</v>
      </c>
      <c r="AC1342" s="28" t="s">
        <v>479</v>
      </c>
      <c r="AD1342" s="28" t="s">
        <v>6133</v>
      </c>
      <c r="AE1342" s="27">
        <v>4500018883</v>
      </c>
      <c r="AF1342" s="27" t="s">
        <v>339</v>
      </c>
      <c r="AG1342" s="29" t="s">
        <v>6100</v>
      </c>
      <c r="AH1342" s="28" t="s">
        <v>6101</v>
      </c>
      <c r="AI1342" s="27"/>
      <c r="AJ1342" s="27"/>
      <c r="AK1342" s="27"/>
      <c r="AL1342" s="27"/>
      <c r="AM1342" s="27"/>
      <c r="AN1342" s="27" t="s">
        <v>6134</v>
      </c>
      <c r="AO1342" s="27"/>
      <c r="AP1342" s="27"/>
      <c r="AQ1342" s="27"/>
      <c r="AR1342" s="504"/>
      <c r="AS1342" s="332"/>
      <c r="AT1342" s="160"/>
    </row>
    <row r="1343" spans="1:46" ht="21.75" hidden="1" customHeight="1">
      <c r="A1343" s="331">
        <v>1342</v>
      </c>
      <c r="B1343" s="28" t="s">
        <v>635</v>
      </c>
      <c r="C1343" s="28" t="s">
        <v>6135</v>
      </c>
      <c r="D1343" s="437" t="s">
        <v>384</v>
      </c>
      <c r="E1343" s="361" t="str">
        <f t="shared" ca="1" si="52"/>
        <v>LOSS</v>
      </c>
      <c r="F1343" s="29"/>
      <c r="G1343" s="28" t="s">
        <v>6136</v>
      </c>
      <c r="H1343" s="29" t="s">
        <v>2748</v>
      </c>
      <c r="I1343" s="29" t="s">
        <v>242</v>
      </c>
      <c r="J1343" s="40" t="s">
        <v>6137</v>
      </c>
      <c r="K1343" s="28"/>
      <c r="L1343" s="27"/>
      <c r="M1343" s="27"/>
      <c r="N1343" s="29"/>
      <c r="O1343" s="56"/>
      <c r="P1343" s="31">
        <f>11000000*12</f>
        <v>132000000</v>
      </c>
      <c r="Q1343" s="31"/>
      <c r="R1343" s="27"/>
      <c r="S1343" s="32">
        <v>24000000</v>
      </c>
      <c r="T1343" s="33"/>
      <c r="U1343" s="334">
        <v>44692</v>
      </c>
      <c r="V1343" s="334">
        <v>45056</v>
      </c>
      <c r="W1343" s="27" t="s">
        <v>250</v>
      </c>
      <c r="X1343" s="27"/>
      <c r="Y1343" s="34">
        <f t="shared" ca="1" si="56"/>
        <v>46290</v>
      </c>
      <c r="Z1343" s="35">
        <f t="shared" ca="1" si="53"/>
        <v>-1234</v>
      </c>
      <c r="AA1343" s="27">
        <f t="shared" si="57"/>
        <v>5</v>
      </c>
      <c r="AB1343" s="27">
        <f t="shared" si="55"/>
        <v>2023</v>
      </c>
      <c r="AC1343" s="28" t="s">
        <v>479</v>
      </c>
      <c r="AD1343" s="28" t="s">
        <v>6138</v>
      </c>
      <c r="AE1343" s="27">
        <v>4500017995</v>
      </c>
      <c r="AF1343" s="27" t="s">
        <v>339</v>
      </c>
      <c r="AG1343" s="29" t="s">
        <v>6100</v>
      </c>
      <c r="AH1343" s="28" t="s">
        <v>6101</v>
      </c>
      <c r="AI1343" s="27"/>
      <c r="AJ1343" s="27"/>
      <c r="AK1343" s="27"/>
      <c r="AL1343" s="27"/>
      <c r="AM1343" s="27"/>
      <c r="AN1343" s="27" t="s">
        <v>6139</v>
      </c>
      <c r="AO1343" s="27"/>
      <c r="AP1343" s="27"/>
      <c r="AQ1343" s="27"/>
      <c r="AR1343" s="504"/>
      <c r="AS1343" s="332"/>
      <c r="AT1343" s="160"/>
    </row>
    <row r="1344" spans="1:46" ht="21.75" hidden="1" customHeight="1">
      <c r="A1344" s="331">
        <v>1343</v>
      </c>
      <c r="B1344" s="28" t="s">
        <v>635</v>
      </c>
      <c r="C1344" s="28" t="s">
        <v>6140</v>
      </c>
      <c r="D1344" s="438" t="s">
        <v>384</v>
      </c>
      <c r="E1344" s="361" t="str">
        <f t="shared" ca="1" si="52"/>
        <v>LOSS</v>
      </c>
      <c r="F1344" s="29"/>
      <c r="G1344" s="28" t="s">
        <v>6141</v>
      </c>
      <c r="H1344" s="29" t="s">
        <v>2748</v>
      </c>
      <c r="I1344" s="29" t="s">
        <v>242</v>
      </c>
      <c r="J1344" s="28" t="s">
        <v>6142</v>
      </c>
      <c r="K1344" s="28"/>
      <c r="L1344" s="27"/>
      <c r="M1344" s="27"/>
      <c r="N1344" s="29"/>
      <c r="O1344" s="56"/>
      <c r="P1344" s="31">
        <v>96000000</v>
      </c>
      <c r="Q1344" s="31"/>
      <c r="R1344" s="27"/>
      <c r="S1344" s="32">
        <v>12000000</v>
      </c>
      <c r="T1344" s="33"/>
      <c r="U1344" s="334">
        <v>43593</v>
      </c>
      <c r="V1344" s="334">
        <v>43958</v>
      </c>
      <c r="W1344" s="27" t="s">
        <v>250</v>
      </c>
      <c r="X1344" s="27"/>
      <c r="Y1344" s="34">
        <f t="shared" ca="1" si="56"/>
        <v>46290</v>
      </c>
      <c r="Z1344" s="35">
        <f t="shared" ca="1" si="53"/>
        <v>-2332</v>
      </c>
      <c r="AA1344" s="27">
        <f t="shared" si="57"/>
        <v>5</v>
      </c>
      <c r="AB1344" s="27">
        <f t="shared" si="55"/>
        <v>2020</v>
      </c>
      <c r="AC1344" s="28" t="s">
        <v>479</v>
      </c>
      <c r="AD1344" s="28" t="s">
        <v>6143</v>
      </c>
      <c r="AE1344" s="27">
        <v>4500012816</v>
      </c>
      <c r="AF1344" s="27" t="s">
        <v>339</v>
      </c>
      <c r="AG1344" s="29" t="s">
        <v>6100</v>
      </c>
      <c r="AH1344" s="28" t="s">
        <v>6101</v>
      </c>
      <c r="AI1344" s="27"/>
      <c r="AJ1344" s="27"/>
      <c r="AK1344" s="27" t="s">
        <v>6144</v>
      </c>
      <c r="AL1344" s="27"/>
      <c r="AM1344" s="27"/>
      <c r="AN1344" s="27"/>
      <c r="AO1344" s="27"/>
      <c r="AP1344" s="27"/>
      <c r="AQ1344" s="27"/>
      <c r="AR1344" s="504"/>
      <c r="AS1344" s="332"/>
      <c r="AT1344" s="160"/>
    </row>
    <row r="1345" spans="1:46" ht="21.75" hidden="1" customHeight="1">
      <c r="A1345" s="331">
        <v>1344</v>
      </c>
      <c r="B1345" s="28" t="s">
        <v>635</v>
      </c>
      <c r="C1345" s="28" t="s">
        <v>6145</v>
      </c>
      <c r="D1345" s="437" t="s">
        <v>384</v>
      </c>
      <c r="E1345" s="361" t="str">
        <f t="shared" ca="1" si="52"/>
        <v>LOSS</v>
      </c>
      <c r="F1345" s="29"/>
      <c r="G1345" s="28" t="s">
        <v>6146</v>
      </c>
      <c r="H1345" s="29" t="s">
        <v>2748</v>
      </c>
      <c r="I1345" s="29" t="s">
        <v>346</v>
      </c>
      <c r="J1345" s="28" t="s">
        <v>6147</v>
      </c>
      <c r="K1345" s="28"/>
      <c r="L1345" s="27"/>
      <c r="M1345" s="27"/>
      <c r="N1345" s="29"/>
      <c r="O1345" s="56"/>
      <c r="P1345" s="31">
        <v>420000000</v>
      </c>
      <c r="Q1345" s="31"/>
      <c r="R1345" s="27"/>
      <c r="S1345" s="32">
        <v>60000000</v>
      </c>
      <c r="T1345" s="33"/>
      <c r="U1345" s="334">
        <v>43704</v>
      </c>
      <c r="V1345" s="334">
        <v>44069</v>
      </c>
      <c r="W1345" s="27" t="s">
        <v>250</v>
      </c>
      <c r="X1345" s="27"/>
      <c r="Y1345" s="34">
        <f t="shared" ca="1" si="56"/>
        <v>46290</v>
      </c>
      <c r="Z1345" s="35">
        <f t="shared" ca="1" si="53"/>
        <v>-2221</v>
      </c>
      <c r="AA1345" s="27">
        <f t="shared" si="57"/>
        <v>8</v>
      </c>
      <c r="AB1345" s="27">
        <f t="shared" si="55"/>
        <v>2020</v>
      </c>
      <c r="AC1345" s="28">
        <v>4500009953</v>
      </c>
      <c r="AD1345" s="28" t="s">
        <v>6148</v>
      </c>
      <c r="AE1345" s="27">
        <v>4500013237</v>
      </c>
      <c r="AF1345" s="27" t="s">
        <v>339</v>
      </c>
      <c r="AG1345" s="29" t="s">
        <v>6100</v>
      </c>
      <c r="AH1345" s="28" t="s">
        <v>6101</v>
      </c>
      <c r="AI1345" s="27"/>
      <c r="AJ1345" s="27"/>
      <c r="AK1345" s="27" t="s">
        <v>6149</v>
      </c>
      <c r="AL1345" s="27"/>
      <c r="AM1345" s="27"/>
      <c r="AN1345" s="27"/>
      <c r="AO1345" s="27"/>
      <c r="AP1345" s="27"/>
      <c r="AQ1345" s="27"/>
      <c r="AR1345" s="504"/>
      <c r="AS1345" s="332"/>
      <c r="AT1345" s="160"/>
    </row>
    <row r="1346" spans="1:46" ht="21.75" hidden="1" customHeight="1">
      <c r="A1346" s="331">
        <v>1345</v>
      </c>
      <c r="B1346" s="28" t="s">
        <v>635</v>
      </c>
      <c r="C1346" s="28" t="s">
        <v>6150</v>
      </c>
      <c r="D1346" s="438" t="s">
        <v>384</v>
      </c>
      <c r="E1346" s="361" t="str">
        <f t="shared" ref="E1346:E1409" ca="1" si="58">IF(Z1346&lt;=0, "LOSS",IF(Z1346&lt;=15, "CRITICAL",IF(Z1346&lt;=30, "WARNING",IF(Z1346&lt;60, "ATTENTION", "ON TRACK"))))</f>
        <v>LOSS</v>
      </c>
      <c r="F1346" s="29"/>
      <c r="G1346" s="28" t="s">
        <v>6151</v>
      </c>
      <c r="H1346" s="29" t="s">
        <v>2748</v>
      </c>
      <c r="I1346" s="29" t="s">
        <v>346</v>
      </c>
      <c r="J1346" s="28" t="s">
        <v>6152</v>
      </c>
      <c r="K1346" s="28"/>
      <c r="L1346" s="27"/>
      <c r="M1346" s="27"/>
      <c r="N1346" s="29"/>
      <c r="O1346" s="56"/>
      <c r="P1346" s="31" t="s">
        <v>115</v>
      </c>
      <c r="Q1346" s="31"/>
      <c r="R1346" s="27"/>
      <c r="S1346" s="32">
        <v>12000000</v>
      </c>
      <c r="T1346" s="33"/>
      <c r="U1346" s="334">
        <v>43886</v>
      </c>
      <c r="V1346" s="334">
        <v>44251</v>
      </c>
      <c r="W1346" s="27" t="s">
        <v>250</v>
      </c>
      <c r="X1346" s="27"/>
      <c r="Y1346" s="34">
        <f t="shared" ca="1" si="56"/>
        <v>46290</v>
      </c>
      <c r="Z1346" s="35">
        <f t="shared" ca="1" si="53"/>
        <v>-2039</v>
      </c>
      <c r="AA1346" s="27">
        <f t="shared" si="57"/>
        <v>2</v>
      </c>
      <c r="AB1346" s="27">
        <f t="shared" si="55"/>
        <v>2021</v>
      </c>
      <c r="AC1346" s="28" t="s">
        <v>6153</v>
      </c>
      <c r="AD1346" s="28" t="s">
        <v>780</v>
      </c>
      <c r="AE1346" s="27">
        <v>4500013999</v>
      </c>
      <c r="AF1346" s="27" t="s">
        <v>339</v>
      </c>
      <c r="AG1346" s="29" t="s">
        <v>6100</v>
      </c>
      <c r="AH1346" s="28" t="s">
        <v>6101</v>
      </c>
      <c r="AI1346" s="27"/>
      <c r="AJ1346" s="27"/>
      <c r="AK1346" s="27" t="s">
        <v>6154</v>
      </c>
      <c r="AL1346" s="27" t="s">
        <v>6155</v>
      </c>
      <c r="AM1346" s="27"/>
      <c r="AN1346" s="27"/>
      <c r="AO1346" s="27"/>
      <c r="AP1346" s="27"/>
      <c r="AQ1346" s="27"/>
      <c r="AR1346" s="504"/>
      <c r="AS1346" s="332"/>
      <c r="AT1346" s="160"/>
    </row>
    <row r="1347" spans="1:46" ht="21.75" hidden="1" customHeight="1">
      <c r="A1347" s="331">
        <v>1346</v>
      </c>
      <c r="B1347" s="28" t="s">
        <v>635</v>
      </c>
      <c r="C1347" s="28" t="s">
        <v>6156</v>
      </c>
      <c r="D1347" s="437" t="s">
        <v>384</v>
      </c>
      <c r="E1347" s="361" t="str">
        <f t="shared" ca="1" si="58"/>
        <v>LOSS</v>
      </c>
      <c r="F1347" s="29"/>
      <c r="G1347" s="28" t="s">
        <v>6157</v>
      </c>
      <c r="H1347" s="29" t="s">
        <v>2748</v>
      </c>
      <c r="I1347" s="29" t="s">
        <v>346</v>
      </c>
      <c r="J1347" s="28" t="s">
        <v>6158</v>
      </c>
      <c r="K1347" s="28"/>
      <c r="L1347" s="27"/>
      <c r="M1347" s="27"/>
      <c r="N1347" s="29"/>
      <c r="O1347" s="56"/>
      <c r="P1347" s="31">
        <v>360000000</v>
      </c>
      <c r="Q1347" s="31"/>
      <c r="R1347" s="27"/>
      <c r="S1347" s="32">
        <v>12000000</v>
      </c>
      <c r="T1347" s="33"/>
      <c r="U1347" s="334">
        <v>43488</v>
      </c>
      <c r="V1347" s="334">
        <v>43852</v>
      </c>
      <c r="W1347" s="27" t="s">
        <v>245</v>
      </c>
      <c r="X1347" s="27"/>
      <c r="Y1347" s="34">
        <f t="shared" ca="1" si="56"/>
        <v>46290</v>
      </c>
      <c r="Z1347" s="35">
        <f t="shared" ca="1" si="53"/>
        <v>-2438</v>
      </c>
      <c r="AA1347" s="27">
        <f t="shared" si="57"/>
        <v>1</v>
      </c>
      <c r="AB1347" s="27">
        <f t="shared" si="55"/>
        <v>2020</v>
      </c>
      <c r="AC1347" s="28" t="s">
        <v>479</v>
      </c>
      <c r="AD1347" s="28" t="s">
        <v>6159</v>
      </c>
      <c r="AE1347" s="27">
        <v>4500012424</v>
      </c>
      <c r="AF1347" s="27" t="s">
        <v>339</v>
      </c>
      <c r="AG1347" s="29" t="s">
        <v>6100</v>
      </c>
      <c r="AH1347" s="28" t="s">
        <v>6101</v>
      </c>
      <c r="AI1347" s="27"/>
      <c r="AJ1347" s="27"/>
      <c r="AK1347" s="27" t="s">
        <v>6160</v>
      </c>
      <c r="AL1347" s="27"/>
      <c r="AM1347" s="27"/>
      <c r="AN1347" s="27"/>
      <c r="AO1347" s="27"/>
      <c r="AP1347" s="27"/>
      <c r="AQ1347" s="27"/>
      <c r="AR1347" s="504"/>
      <c r="AS1347" s="332" t="s">
        <v>6161</v>
      </c>
      <c r="AT1347" s="160"/>
    </row>
    <row r="1348" spans="1:46" ht="21.75" hidden="1" customHeight="1">
      <c r="A1348" s="331">
        <v>1347</v>
      </c>
      <c r="B1348" s="28" t="s">
        <v>635</v>
      </c>
      <c r="C1348" s="28" t="s">
        <v>6156</v>
      </c>
      <c r="D1348" s="438" t="s">
        <v>384</v>
      </c>
      <c r="E1348" s="361" t="str">
        <f t="shared" ca="1" si="58"/>
        <v>LOSS</v>
      </c>
      <c r="F1348" s="29"/>
      <c r="G1348" s="28" t="s">
        <v>6157</v>
      </c>
      <c r="H1348" s="29" t="s">
        <v>2748</v>
      </c>
      <c r="I1348" s="29" t="s">
        <v>242</v>
      </c>
      <c r="J1348" s="28" t="s">
        <v>6162</v>
      </c>
      <c r="K1348" s="28"/>
      <c r="L1348" s="27"/>
      <c r="M1348" s="27"/>
      <c r="N1348" s="29"/>
      <c r="O1348" s="56"/>
      <c r="P1348" s="31">
        <v>360000000</v>
      </c>
      <c r="Q1348" s="31"/>
      <c r="R1348" s="27"/>
      <c r="S1348" s="32">
        <v>12000000</v>
      </c>
      <c r="T1348" s="33"/>
      <c r="U1348" s="334">
        <v>43594</v>
      </c>
      <c r="V1348" s="334">
        <v>43959</v>
      </c>
      <c r="W1348" s="27" t="s">
        <v>250</v>
      </c>
      <c r="X1348" s="27"/>
      <c r="Y1348" s="34">
        <f t="shared" ca="1" si="56"/>
        <v>46290</v>
      </c>
      <c r="Z1348" s="35">
        <f t="shared" ca="1" si="53"/>
        <v>-2331</v>
      </c>
      <c r="AA1348" s="27">
        <f t="shared" si="57"/>
        <v>5</v>
      </c>
      <c r="AB1348" s="27">
        <f t="shared" si="55"/>
        <v>2020</v>
      </c>
      <c r="AC1348" s="28" t="s">
        <v>479</v>
      </c>
      <c r="AD1348" s="28" t="s">
        <v>6163</v>
      </c>
      <c r="AE1348" s="27">
        <v>4500012826</v>
      </c>
      <c r="AF1348" s="27" t="s">
        <v>339</v>
      </c>
      <c r="AG1348" s="29" t="s">
        <v>6100</v>
      </c>
      <c r="AH1348" s="28" t="s">
        <v>6101</v>
      </c>
      <c r="AI1348" s="27"/>
      <c r="AJ1348" s="27"/>
      <c r="AK1348" s="27" t="s">
        <v>6164</v>
      </c>
      <c r="AL1348" s="27"/>
      <c r="AM1348" s="27"/>
      <c r="AN1348" s="27"/>
      <c r="AO1348" s="27"/>
      <c r="AP1348" s="27"/>
      <c r="AQ1348" s="27"/>
      <c r="AR1348" s="504"/>
      <c r="AS1348" s="332"/>
      <c r="AT1348" s="160"/>
    </row>
    <row r="1349" spans="1:46" ht="21.75" hidden="1" customHeight="1">
      <c r="A1349" s="331">
        <v>1348</v>
      </c>
      <c r="B1349" s="28" t="s">
        <v>635</v>
      </c>
      <c r="C1349" s="28" t="s">
        <v>6156</v>
      </c>
      <c r="D1349" s="437" t="s">
        <v>384</v>
      </c>
      <c r="E1349" s="361" t="str">
        <f t="shared" ca="1" si="58"/>
        <v>LOSS</v>
      </c>
      <c r="F1349" s="29"/>
      <c r="G1349" s="28" t="s">
        <v>6165</v>
      </c>
      <c r="H1349" s="29" t="s">
        <v>2748</v>
      </c>
      <c r="I1349" s="29" t="s">
        <v>242</v>
      </c>
      <c r="J1349" s="28" t="s">
        <v>6166</v>
      </c>
      <c r="K1349" s="28"/>
      <c r="L1349" s="27"/>
      <c r="M1349" s="27"/>
      <c r="N1349" s="29"/>
      <c r="O1349" s="56"/>
      <c r="P1349" s="31">
        <v>504000000</v>
      </c>
      <c r="Q1349" s="31"/>
      <c r="R1349" s="27"/>
      <c r="S1349" s="32">
        <v>12000000</v>
      </c>
      <c r="T1349" s="33"/>
      <c r="U1349" s="334">
        <v>43727</v>
      </c>
      <c r="V1349" s="334">
        <v>44092</v>
      </c>
      <c r="W1349" s="27" t="s">
        <v>250</v>
      </c>
      <c r="X1349" s="27"/>
      <c r="Y1349" s="34">
        <f t="shared" ca="1" si="56"/>
        <v>46290</v>
      </c>
      <c r="Z1349" s="35">
        <f t="shared" ref="Z1349:Z1412" ca="1" si="59">V1349-Y1349</f>
        <v>-2198</v>
      </c>
      <c r="AA1349" s="27">
        <f t="shared" si="57"/>
        <v>9</v>
      </c>
      <c r="AB1349" s="27">
        <f t="shared" ref="AB1349:AB1412" si="60">YEAR(V1349)</f>
        <v>2020</v>
      </c>
      <c r="AC1349" s="28" t="s">
        <v>479</v>
      </c>
      <c r="AD1349" s="28" t="s">
        <v>6167</v>
      </c>
      <c r="AE1349" s="27">
        <v>4500013324</v>
      </c>
      <c r="AF1349" s="27" t="s">
        <v>339</v>
      </c>
      <c r="AG1349" s="29" t="s">
        <v>6100</v>
      </c>
      <c r="AH1349" s="28" t="s">
        <v>6101</v>
      </c>
      <c r="AI1349" s="27"/>
      <c r="AJ1349" s="27"/>
      <c r="AK1349" s="27" t="s">
        <v>6168</v>
      </c>
      <c r="AL1349" s="27"/>
      <c r="AM1349" s="27"/>
      <c r="AN1349" s="27"/>
      <c r="AO1349" s="27"/>
      <c r="AP1349" s="27"/>
      <c r="AQ1349" s="27"/>
      <c r="AR1349" s="504"/>
      <c r="AS1349" s="332"/>
      <c r="AT1349" s="160"/>
    </row>
    <row r="1350" spans="1:46" ht="21.75" hidden="1" customHeight="1">
      <c r="A1350" s="331">
        <v>1349</v>
      </c>
      <c r="B1350" s="28" t="s">
        <v>635</v>
      </c>
      <c r="C1350" s="28" t="s">
        <v>6169</v>
      </c>
      <c r="D1350" s="438" t="s">
        <v>384</v>
      </c>
      <c r="E1350" s="361" t="str">
        <f t="shared" ca="1" si="58"/>
        <v>LOSS</v>
      </c>
      <c r="F1350" s="29"/>
      <c r="G1350" s="28" t="s">
        <v>6170</v>
      </c>
      <c r="H1350" s="29" t="s">
        <v>2748</v>
      </c>
      <c r="I1350" s="29" t="s">
        <v>242</v>
      </c>
      <c r="J1350" s="28" t="s">
        <v>6171</v>
      </c>
      <c r="K1350" s="28"/>
      <c r="L1350" s="27"/>
      <c r="M1350" s="27"/>
      <c r="N1350" s="29"/>
      <c r="O1350" s="56"/>
      <c r="P1350" s="31">
        <v>102000000</v>
      </c>
      <c r="Q1350" s="31"/>
      <c r="R1350" s="27"/>
      <c r="S1350" s="32">
        <v>12000000</v>
      </c>
      <c r="T1350" s="33"/>
      <c r="U1350" s="334">
        <v>43727</v>
      </c>
      <c r="V1350" s="334">
        <v>44092</v>
      </c>
      <c r="W1350" s="27" t="s">
        <v>250</v>
      </c>
      <c r="X1350" s="27"/>
      <c r="Y1350" s="34">
        <f t="shared" ca="1" si="56"/>
        <v>46290</v>
      </c>
      <c r="Z1350" s="35">
        <f t="shared" ca="1" si="59"/>
        <v>-2198</v>
      </c>
      <c r="AA1350" s="27">
        <f t="shared" si="57"/>
        <v>9</v>
      </c>
      <c r="AB1350" s="27">
        <f t="shared" si="60"/>
        <v>2020</v>
      </c>
      <c r="AC1350" s="28" t="s">
        <v>479</v>
      </c>
      <c r="AD1350" s="28" t="s">
        <v>6172</v>
      </c>
      <c r="AE1350" s="27">
        <v>4500013314</v>
      </c>
      <c r="AF1350" s="27" t="s">
        <v>339</v>
      </c>
      <c r="AG1350" s="29" t="s">
        <v>6100</v>
      </c>
      <c r="AH1350" s="28" t="s">
        <v>6101</v>
      </c>
      <c r="AI1350" s="27"/>
      <c r="AJ1350" s="27"/>
      <c r="AK1350" s="27" t="s">
        <v>6173</v>
      </c>
      <c r="AL1350" s="27"/>
      <c r="AM1350" s="27"/>
      <c r="AN1350" s="27"/>
      <c r="AO1350" s="27"/>
      <c r="AP1350" s="27"/>
      <c r="AQ1350" s="27"/>
      <c r="AR1350" s="504"/>
      <c r="AS1350" s="332"/>
      <c r="AT1350" s="160"/>
    </row>
    <row r="1351" spans="1:46" ht="21.75" hidden="1" customHeight="1">
      <c r="A1351" s="331">
        <v>1350</v>
      </c>
      <c r="B1351" s="28" t="s">
        <v>635</v>
      </c>
      <c r="C1351" s="28" t="s">
        <v>4610</v>
      </c>
      <c r="D1351" s="437" t="s">
        <v>384</v>
      </c>
      <c r="E1351" s="361" t="str">
        <f t="shared" ca="1" si="58"/>
        <v>LOSS</v>
      </c>
      <c r="F1351" s="29"/>
      <c r="G1351" s="28" t="s">
        <v>6174</v>
      </c>
      <c r="H1351" s="29" t="s">
        <v>2748</v>
      </c>
      <c r="I1351" s="29" t="s">
        <v>242</v>
      </c>
      <c r="J1351" s="28" t="s">
        <v>6175</v>
      </c>
      <c r="K1351" s="28"/>
      <c r="L1351" s="27"/>
      <c r="M1351" s="27"/>
      <c r="N1351" s="29"/>
      <c r="O1351" s="56"/>
      <c r="P1351" s="31">
        <f>12*3963964</f>
        <v>47567568</v>
      </c>
      <c r="Q1351" s="31"/>
      <c r="R1351" s="27"/>
      <c r="S1351" s="32">
        <v>24000000</v>
      </c>
      <c r="T1351" s="33"/>
      <c r="U1351" s="334">
        <v>44881</v>
      </c>
      <c r="V1351" s="334">
        <v>45245</v>
      </c>
      <c r="W1351" s="27" t="s">
        <v>250</v>
      </c>
      <c r="X1351" s="27"/>
      <c r="Y1351" s="34">
        <f t="shared" ca="1" si="56"/>
        <v>46290</v>
      </c>
      <c r="Z1351" s="35">
        <f t="shared" ca="1" si="59"/>
        <v>-1045</v>
      </c>
      <c r="AA1351" s="27">
        <f t="shared" si="57"/>
        <v>11</v>
      </c>
      <c r="AB1351" s="27">
        <f t="shared" si="60"/>
        <v>2023</v>
      </c>
      <c r="AC1351" s="28" t="s">
        <v>479</v>
      </c>
      <c r="AD1351" s="28" t="s">
        <v>6176</v>
      </c>
      <c r="AE1351" s="27">
        <v>4500019288</v>
      </c>
      <c r="AF1351" s="27" t="s">
        <v>339</v>
      </c>
      <c r="AG1351" s="29" t="s">
        <v>6100</v>
      </c>
      <c r="AH1351" s="28" t="s">
        <v>6101</v>
      </c>
      <c r="AI1351" s="27"/>
      <c r="AJ1351" s="27"/>
      <c r="AK1351" s="27"/>
      <c r="AL1351" s="27"/>
      <c r="AM1351" s="27"/>
      <c r="AN1351" s="27" t="s">
        <v>6177</v>
      </c>
      <c r="AO1351" s="27"/>
      <c r="AP1351" s="27"/>
      <c r="AQ1351" s="27"/>
      <c r="AR1351" s="504"/>
      <c r="AS1351" s="332"/>
      <c r="AT1351" s="160"/>
    </row>
    <row r="1352" spans="1:46" ht="21.75" hidden="1" customHeight="1">
      <c r="A1352" s="331">
        <v>1351</v>
      </c>
      <c r="B1352" s="28" t="s">
        <v>635</v>
      </c>
      <c r="C1352" s="28" t="s">
        <v>5719</v>
      </c>
      <c r="D1352" s="438" t="s">
        <v>384</v>
      </c>
      <c r="E1352" s="361" t="str">
        <f t="shared" ca="1" si="58"/>
        <v>LOSS</v>
      </c>
      <c r="F1352" s="29"/>
      <c r="G1352" s="28" t="s">
        <v>6178</v>
      </c>
      <c r="H1352" s="29" t="s">
        <v>2748</v>
      </c>
      <c r="I1352" s="29" t="s">
        <v>242</v>
      </c>
      <c r="J1352" s="28" t="s">
        <v>2237</v>
      </c>
      <c r="K1352" s="28"/>
      <c r="L1352" s="27"/>
      <c r="M1352" s="27"/>
      <c r="N1352" s="29"/>
      <c r="O1352" s="56"/>
      <c r="P1352" s="31">
        <f>12*24500000</f>
        <v>294000000</v>
      </c>
      <c r="Q1352" s="31"/>
      <c r="R1352" s="27"/>
      <c r="S1352" s="32">
        <v>120000000</v>
      </c>
      <c r="T1352" s="33"/>
      <c r="U1352" s="334">
        <v>44900</v>
      </c>
      <c r="V1352" s="334">
        <v>45264</v>
      </c>
      <c r="W1352" s="27" t="s">
        <v>250</v>
      </c>
      <c r="X1352" s="27"/>
      <c r="Y1352" s="34">
        <f t="shared" ca="1" si="56"/>
        <v>46290</v>
      </c>
      <c r="Z1352" s="35">
        <f t="shared" ca="1" si="59"/>
        <v>-1026</v>
      </c>
      <c r="AA1352" s="27">
        <f t="shared" si="57"/>
        <v>12</v>
      </c>
      <c r="AB1352" s="27">
        <f t="shared" si="60"/>
        <v>2023</v>
      </c>
      <c r="AC1352" s="28" t="s">
        <v>479</v>
      </c>
      <c r="AD1352" s="28" t="s">
        <v>6179</v>
      </c>
      <c r="AE1352" s="27">
        <v>4500019236</v>
      </c>
      <c r="AF1352" s="27" t="s">
        <v>339</v>
      </c>
      <c r="AG1352" s="29" t="s">
        <v>6100</v>
      </c>
      <c r="AH1352" s="28" t="s">
        <v>6101</v>
      </c>
      <c r="AI1352" s="27"/>
      <c r="AJ1352" s="27"/>
      <c r="AK1352" s="27"/>
      <c r="AL1352" s="27"/>
      <c r="AM1352" s="27"/>
      <c r="AN1352" s="27" t="s">
        <v>6180</v>
      </c>
      <c r="AO1352" s="27"/>
      <c r="AP1352" s="27"/>
      <c r="AQ1352" s="27"/>
      <c r="AR1352" s="504"/>
      <c r="AS1352" s="332"/>
      <c r="AT1352" s="160"/>
    </row>
    <row r="1353" spans="1:46" ht="21.75" hidden="1" customHeight="1">
      <c r="A1353" s="331">
        <v>1352</v>
      </c>
      <c r="B1353" s="28" t="s">
        <v>635</v>
      </c>
      <c r="C1353" s="28" t="s">
        <v>6181</v>
      </c>
      <c r="D1353" s="437" t="s">
        <v>384</v>
      </c>
      <c r="E1353" s="361" t="str">
        <f t="shared" ca="1" si="58"/>
        <v>LOSS</v>
      </c>
      <c r="F1353" s="29"/>
      <c r="G1353" s="28" t="s">
        <v>6182</v>
      </c>
      <c r="H1353" s="29" t="s">
        <v>2748</v>
      </c>
      <c r="I1353" s="29" t="s">
        <v>242</v>
      </c>
      <c r="J1353" s="28" t="s">
        <v>6183</v>
      </c>
      <c r="K1353" s="28"/>
      <c r="L1353" s="27"/>
      <c r="M1353" s="27"/>
      <c r="N1353" s="29"/>
      <c r="O1353" s="56"/>
      <c r="P1353" s="31">
        <f>12*2537837</f>
        <v>30454044</v>
      </c>
      <c r="Q1353" s="31"/>
      <c r="R1353" s="27"/>
      <c r="S1353" s="32">
        <v>12000000</v>
      </c>
      <c r="T1353" s="33"/>
      <c r="U1353" s="334">
        <v>44706</v>
      </c>
      <c r="V1353" s="334">
        <v>45070</v>
      </c>
      <c r="W1353" s="27" t="s">
        <v>250</v>
      </c>
      <c r="X1353" s="27"/>
      <c r="Y1353" s="34">
        <f t="shared" ca="1" si="56"/>
        <v>46290</v>
      </c>
      <c r="Z1353" s="35">
        <f t="shared" ca="1" si="59"/>
        <v>-1220</v>
      </c>
      <c r="AA1353" s="27">
        <f t="shared" si="57"/>
        <v>5</v>
      </c>
      <c r="AB1353" s="27">
        <f t="shared" si="60"/>
        <v>2023</v>
      </c>
      <c r="AC1353" s="28" t="s">
        <v>479</v>
      </c>
      <c r="AD1353" s="28" t="s">
        <v>6184</v>
      </c>
      <c r="AE1353" s="27">
        <v>4500018271</v>
      </c>
      <c r="AF1353" s="27" t="s">
        <v>339</v>
      </c>
      <c r="AG1353" s="29" t="s">
        <v>6100</v>
      </c>
      <c r="AH1353" s="28" t="s">
        <v>6101</v>
      </c>
      <c r="AI1353" s="27"/>
      <c r="AJ1353" s="27"/>
      <c r="AK1353" s="27"/>
      <c r="AL1353" s="27"/>
      <c r="AM1353" s="27"/>
      <c r="AN1353" s="27" t="s">
        <v>6185</v>
      </c>
      <c r="AO1353" s="27"/>
      <c r="AP1353" s="27"/>
      <c r="AQ1353" s="27"/>
      <c r="AR1353" s="504"/>
      <c r="AS1353" s="332"/>
      <c r="AT1353" s="160"/>
    </row>
    <row r="1354" spans="1:46" ht="21.75" hidden="1" customHeight="1">
      <c r="A1354" s="331">
        <v>1353</v>
      </c>
      <c r="B1354" s="28" t="s">
        <v>635</v>
      </c>
      <c r="C1354" s="28" t="s">
        <v>6186</v>
      </c>
      <c r="D1354" s="438" t="s">
        <v>384</v>
      </c>
      <c r="E1354" s="361" t="str">
        <f t="shared" ca="1" si="58"/>
        <v>LOSS</v>
      </c>
      <c r="F1354" s="29"/>
      <c r="G1354" s="28" t="s">
        <v>6187</v>
      </c>
      <c r="H1354" s="29" t="s">
        <v>2748</v>
      </c>
      <c r="I1354" s="29" t="s">
        <v>242</v>
      </c>
      <c r="J1354" s="28" t="s">
        <v>174</v>
      </c>
      <c r="K1354" s="28"/>
      <c r="L1354" s="27"/>
      <c r="M1354" s="27"/>
      <c r="N1354" s="29"/>
      <c r="O1354" s="56"/>
      <c r="P1354" s="31">
        <v>157500000</v>
      </c>
      <c r="Q1354" s="31"/>
      <c r="R1354" s="27"/>
      <c r="S1354" s="32">
        <v>12000000</v>
      </c>
      <c r="T1354" s="33"/>
      <c r="U1354" s="334">
        <v>43965</v>
      </c>
      <c r="V1354" s="334">
        <v>44329</v>
      </c>
      <c r="W1354" s="27" t="s">
        <v>250</v>
      </c>
      <c r="X1354" s="27"/>
      <c r="Y1354" s="34">
        <f t="shared" ca="1" si="56"/>
        <v>46290</v>
      </c>
      <c r="Z1354" s="35">
        <f t="shared" ca="1" si="59"/>
        <v>-1961</v>
      </c>
      <c r="AA1354" s="27">
        <f t="shared" si="57"/>
        <v>5</v>
      </c>
      <c r="AB1354" s="27">
        <f t="shared" si="60"/>
        <v>2021</v>
      </c>
      <c r="AC1354" s="28" t="s">
        <v>479</v>
      </c>
      <c r="AD1354" s="28" t="s">
        <v>6188</v>
      </c>
      <c r="AE1354" s="27">
        <v>4500014399</v>
      </c>
      <c r="AF1354" s="27" t="s">
        <v>339</v>
      </c>
      <c r="AG1354" s="29" t="s">
        <v>6100</v>
      </c>
      <c r="AH1354" s="28" t="s">
        <v>6101</v>
      </c>
      <c r="AI1354" s="27"/>
      <c r="AJ1354" s="27"/>
      <c r="AK1354" s="27"/>
      <c r="AL1354" s="27" t="s">
        <v>6189</v>
      </c>
      <c r="AM1354" s="27"/>
      <c r="AN1354" s="27"/>
      <c r="AO1354" s="27"/>
      <c r="AP1354" s="27"/>
      <c r="AQ1354" s="27"/>
      <c r="AR1354" s="504"/>
      <c r="AS1354" s="332"/>
      <c r="AT1354" s="160"/>
    </row>
    <row r="1355" spans="1:46" ht="21.75" hidden="1" customHeight="1">
      <c r="A1355" s="331">
        <v>1354</v>
      </c>
      <c r="B1355" s="28" t="s">
        <v>635</v>
      </c>
      <c r="C1355" s="28" t="s">
        <v>6190</v>
      </c>
      <c r="D1355" s="437" t="s">
        <v>384</v>
      </c>
      <c r="E1355" s="361" t="str">
        <f t="shared" ca="1" si="58"/>
        <v>LOSS</v>
      </c>
      <c r="F1355" s="29"/>
      <c r="G1355" s="28" t="s">
        <v>6191</v>
      </c>
      <c r="H1355" s="29" t="s">
        <v>2748</v>
      </c>
      <c r="I1355" s="29" t="s">
        <v>242</v>
      </c>
      <c r="J1355" s="28" t="s">
        <v>1728</v>
      </c>
      <c r="K1355" s="28"/>
      <c r="L1355" s="27"/>
      <c r="M1355" s="27"/>
      <c r="N1355" s="29"/>
      <c r="O1355" s="56"/>
      <c r="P1355" s="31">
        <v>414000000</v>
      </c>
      <c r="Q1355" s="31"/>
      <c r="R1355" s="27"/>
      <c r="S1355" s="32">
        <v>24000000</v>
      </c>
      <c r="T1355" s="33"/>
      <c r="U1355" s="334">
        <v>43944</v>
      </c>
      <c r="V1355" s="334">
        <v>44308</v>
      </c>
      <c r="W1355" s="27" t="s">
        <v>250</v>
      </c>
      <c r="X1355" s="27"/>
      <c r="Y1355" s="34">
        <f t="shared" ref="Y1355:Y1418" ca="1" si="61">TODAY()</f>
        <v>46290</v>
      </c>
      <c r="Z1355" s="35">
        <f t="shared" ca="1" si="59"/>
        <v>-1982</v>
      </c>
      <c r="AA1355" s="27">
        <f t="shared" si="57"/>
        <v>4</v>
      </c>
      <c r="AB1355" s="27">
        <f t="shared" si="60"/>
        <v>2021</v>
      </c>
      <c r="AC1355" s="28" t="s">
        <v>479</v>
      </c>
      <c r="AD1355" s="28" t="s">
        <v>639</v>
      </c>
      <c r="AE1355" s="27">
        <v>4500014318</v>
      </c>
      <c r="AF1355" s="27" t="s">
        <v>339</v>
      </c>
      <c r="AG1355" s="29" t="s">
        <v>6100</v>
      </c>
      <c r="AH1355" s="28" t="s">
        <v>6101</v>
      </c>
      <c r="AI1355" s="27"/>
      <c r="AJ1355" s="27"/>
      <c r="AK1355" s="27"/>
      <c r="AL1355" s="27"/>
      <c r="AM1355" s="27"/>
      <c r="AN1355" s="27"/>
      <c r="AO1355" s="27"/>
      <c r="AP1355" s="27"/>
      <c r="AQ1355" s="27"/>
      <c r="AR1355" s="504"/>
      <c r="AS1355" s="332"/>
      <c r="AT1355" s="160"/>
    </row>
    <row r="1356" spans="1:46" ht="21.75" hidden="1" customHeight="1">
      <c r="A1356" s="331">
        <v>1355</v>
      </c>
      <c r="B1356" s="28" t="s">
        <v>635</v>
      </c>
      <c r="C1356" s="28" t="s">
        <v>6156</v>
      </c>
      <c r="D1356" s="438" t="s">
        <v>384</v>
      </c>
      <c r="E1356" s="361" t="str">
        <f t="shared" ca="1" si="58"/>
        <v>LOSS</v>
      </c>
      <c r="F1356" s="29"/>
      <c r="G1356" s="28" t="s">
        <v>6192</v>
      </c>
      <c r="H1356" s="29" t="s">
        <v>2748</v>
      </c>
      <c r="I1356" s="29" t="s">
        <v>242</v>
      </c>
      <c r="J1356" s="28" t="s">
        <v>6166</v>
      </c>
      <c r="K1356" s="28"/>
      <c r="L1356" s="27"/>
      <c r="M1356" s="27"/>
      <c r="N1356" s="29"/>
      <c r="O1356" s="56"/>
      <c r="P1356" s="31"/>
      <c r="Q1356" s="31"/>
      <c r="R1356" s="27"/>
      <c r="S1356" s="32">
        <v>12000000</v>
      </c>
      <c r="T1356" s="33"/>
      <c r="U1356" s="334">
        <v>43656</v>
      </c>
      <c r="V1356" s="334">
        <v>44021</v>
      </c>
      <c r="W1356" s="27" t="s">
        <v>250</v>
      </c>
      <c r="X1356" s="27"/>
      <c r="Y1356" s="34">
        <f t="shared" ca="1" si="61"/>
        <v>46290</v>
      </c>
      <c r="Z1356" s="35">
        <f t="shared" ca="1" si="59"/>
        <v>-2269</v>
      </c>
      <c r="AA1356" s="27">
        <f t="shared" ref="AA1356:AA1419" si="62">MONTH(V1356)</f>
        <v>7</v>
      </c>
      <c r="AB1356" s="27">
        <f t="shared" si="60"/>
        <v>2020</v>
      </c>
      <c r="AC1356" s="28" t="s">
        <v>479</v>
      </c>
      <c r="AD1356" s="28" t="s">
        <v>6193</v>
      </c>
      <c r="AE1356" s="27">
        <v>4500013044</v>
      </c>
      <c r="AF1356" s="27" t="s">
        <v>339</v>
      </c>
      <c r="AG1356" s="29" t="s">
        <v>6100</v>
      </c>
      <c r="AH1356" s="28" t="s">
        <v>6101</v>
      </c>
      <c r="AI1356" s="27"/>
      <c r="AJ1356" s="27"/>
      <c r="AK1356" s="27" t="s">
        <v>6194</v>
      </c>
      <c r="AL1356" s="27"/>
      <c r="AM1356" s="27"/>
      <c r="AN1356" s="27"/>
      <c r="AO1356" s="27"/>
      <c r="AP1356" s="27"/>
      <c r="AQ1356" s="27"/>
      <c r="AR1356" s="504"/>
      <c r="AS1356" s="332"/>
      <c r="AT1356" s="160"/>
    </row>
    <row r="1357" spans="1:46" ht="21.75" hidden="1" customHeight="1">
      <c r="A1357" s="331">
        <v>1356</v>
      </c>
      <c r="B1357" s="28" t="s">
        <v>635</v>
      </c>
      <c r="C1357" s="28" t="s">
        <v>6195</v>
      </c>
      <c r="D1357" s="437" t="s">
        <v>384</v>
      </c>
      <c r="E1357" s="361" t="str">
        <f t="shared" ca="1" si="58"/>
        <v>LOSS</v>
      </c>
      <c r="F1357" s="29"/>
      <c r="G1357" s="28" t="s">
        <v>6196</v>
      </c>
      <c r="H1357" s="29" t="s">
        <v>2748</v>
      </c>
      <c r="I1357" s="29" t="s">
        <v>242</v>
      </c>
      <c r="J1357" s="28" t="s">
        <v>6197</v>
      </c>
      <c r="K1357" s="28"/>
      <c r="L1357" s="27"/>
      <c r="M1357" s="27"/>
      <c r="N1357" s="29"/>
      <c r="O1357" s="56"/>
      <c r="P1357" s="31">
        <f>12*123000000</f>
        <v>1476000000</v>
      </c>
      <c r="Q1357" s="31"/>
      <c r="R1357" s="27"/>
      <c r="S1357" s="32">
        <v>24000000</v>
      </c>
      <c r="T1357" s="33"/>
      <c r="U1357" s="334">
        <v>44763</v>
      </c>
      <c r="V1357" s="334">
        <v>45137</v>
      </c>
      <c r="W1357" s="27" t="s">
        <v>250</v>
      </c>
      <c r="X1357" s="27"/>
      <c r="Y1357" s="34">
        <f t="shared" ca="1" si="61"/>
        <v>46290</v>
      </c>
      <c r="Z1357" s="35">
        <f t="shared" ca="1" si="59"/>
        <v>-1153</v>
      </c>
      <c r="AA1357" s="27">
        <f t="shared" si="62"/>
        <v>7</v>
      </c>
      <c r="AB1357" s="27">
        <f t="shared" si="60"/>
        <v>2023</v>
      </c>
      <c r="AC1357" s="28" t="s">
        <v>479</v>
      </c>
      <c r="AD1357" s="28" t="s">
        <v>6198</v>
      </c>
      <c r="AE1357" s="27">
        <v>4500018665</v>
      </c>
      <c r="AF1357" s="27" t="s">
        <v>339</v>
      </c>
      <c r="AG1357" s="29" t="s">
        <v>6100</v>
      </c>
      <c r="AH1357" s="28" t="s">
        <v>6101</v>
      </c>
      <c r="AI1357" s="27"/>
      <c r="AJ1357" s="27"/>
      <c r="AK1357" s="27"/>
      <c r="AL1357" s="27"/>
      <c r="AM1357" s="27"/>
      <c r="AN1357" s="27" t="s">
        <v>6199</v>
      </c>
      <c r="AO1357" s="27"/>
      <c r="AP1357" s="27"/>
      <c r="AQ1357" s="27"/>
      <c r="AR1357" s="504"/>
      <c r="AS1357" s="332"/>
      <c r="AT1357" s="160"/>
    </row>
    <row r="1358" spans="1:46" ht="21.75" hidden="1" customHeight="1">
      <c r="A1358" s="331">
        <v>1357</v>
      </c>
      <c r="B1358" s="28" t="s">
        <v>635</v>
      </c>
      <c r="C1358" s="28" t="s">
        <v>6200</v>
      </c>
      <c r="D1358" s="438" t="s">
        <v>384</v>
      </c>
      <c r="E1358" s="361" t="str">
        <f t="shared" ca="1" si="58"/>
        <v>LOSS</v>
      </c>
      <c r="F1358" s="29"/>
      <c r="G1358" s="28" t="s">
        <v>6201</v>
      </c>
      <c r="H1358" s="29" t="s">
        <v>2748</v>
      </c>
      <c r="I1358" s="29" t="s">
        <v>242</v>
      </c>
      <c r="J1358" s="38" t="s">
        <v>115</v>
      </c>
      <c r="K1358" s="28"/>
      <c r="L1358" s="27"/>
      <c r="M1358" s="27"/>
      <c r="N1358" s="29"/>
      <c r="O1358" s="56"/>
      <c r="P1358" s="43" t="s">
        <v>115</v>
      </c>
      <c r="Q1358" s="43"/>
      <c r="R1358" s="27"/>
      <c r="S1358" s="32">
        <v>214000000</v>
      </c>
      <c r="T1358" s="33"/>
      <c r="U1358" s="334">
        <v>44729</v>
      </c>
      <c r="V1358" s="334">
        <v>45093</v>
      </c>
      <c r="W1358" s="27" t="s">
        <v>250</v>
      </c>
      <c r="X1358" s="27"/>
      <c r="Y1358" s="34">
        <f t="shared" ca="1" si="61"/>
        <v>46290</v>
      </c>
      <c r="Z1358" s="35">
        <f t="shared" ca="1" si="59"/>
        <v>-1197</v>
      </c>
      <c r="AA1358" s="27">
        <f t="shared" si="62"/>
        <v>6</v>
      </c>
      <c r="AB1358" s="27">
        <f t="shared" si="60"/>
        <v>2023</v>
      </c>
      <c r="AC1358" s="28" t="s">
        <v>479</v>
      </c>
      <c r="AD1358" s="28" t="s">
        <v>6202</v>
      </c>
      <c r="AE1358" s="27">
        <v>4500018071</v>
      </c>
      <c r="AF1358" s="27" t="s">
        <v>339</v>
      </c>
      <c r="AG1358" s="29" t="s">
        <v>6100</v>
      </c>
      <c r="AH1358" s="28" t="s">
        <v>6101</v>
      </c>
      <c r="AI1358" s="27"/>
      <c r="AJ1358" s="27"/>
      <c r="AK1358" s="27"/>
      <c r="AL1358" s="27"/>
      <c r="AM1358" s="27"/>
      <c r="AN1358" s="27" t="s">
        <v>3083</v>
      </c>
      <c r="AO1358" s="27"/>
      <c r="AP1358" s="27"/>
      <c r="AQ1358" s="27"/>
      <c r="AR1358" s="504"/>
      <c r="AS1358" s="332"/>
      <c r="AT1358" s="160"/>
    </row>
    <row r="1359" spans="1:46" ht="21.75" hidden="1" customHeight="1">
      <c r="A1359" s="331">
        <v>1358</v>
      </c>
      <c r="B1359" s="28" t="s">
        <v>635</v>
      </c>
      <c r="C1359" s="28" t="s">
        <v>6200</v>
      </c>
      <c r="D1359" s="437" t="s">
        <v>384</v>
      </c>
      <c r="E1359" s="361" t="str">
        <f t="shared" ca="1" si="58"/>
        <v>LOSS</v>
      </c>
      <c r="F1359" s="29"/>
      <c r="G1359" s="28" t="s">
        <v>6203</v>
      </c>
      <c r="H1359" s="29" t="s">
        <v>2748</v>
      </c>
      <c r="I1359" s="29" t="s">
        <v>242</v>
      </c>
      <c r="J1359" s="28" t="s">
        <v>775</v>
      </c>
      <c r="K1359" s="28"/>
      <c r="L1359" s="27"/>
      <c r="M1359" s="27"/>
      <c r="N1359" s="29"/>
      <c r="O1359" s="56"/>
      <c r="P1359" s="31">
        <v>162000000</v>
      </c>
      <c r="Q1359" s="31"/>
      <c r="R1359" s="27"/>
      <c r="S1359" s="32">
        <v>12000000</v>
      </c>
      <c r="T1359" s="33"/>
      <c r="U1359" s="334">
        <v>44158</v>
      </c>
      <c r="V1359" s="334">
        <v>44522</v>
      </c>
      <c r="W1359" s="27" t="s">
        <v>250</v>
      </c>
      <c r="X1359" s="27"/>
      <c r="Y1359" s="34">
        <f t="shared" ca="1" si="61"/>
        <v>46290</v>
      </c>
      <c r="Z1359" s="35">
        <f t="shared" ca="1" si="59"/>
        <v>-1768</v>
      </c>
      <c r="AA1359" s="27">
        <f t="shared" si="62"/>
        <v>11</v>
      </c>
      <c r="AB1359" s="27">
        <f t="shared" si="60"/>
        <v>2021</v>
      </c>
      <c r="AC1359" s="28" t="s">
        <v>479</v>
      </c>
      <c r="AD1359" s="28" t="s">
        <v>1127</v>
      </c>
      <c r="AE1359" s="27">
        <v>4500015285</v>
      </c>
      <c r="AF1359" s="27" t="s">
        <v>339</v>
      </c>
      <c r="AG1359" s="29" t="s">
        <v>6100</v>
      </c>
      <c r="AH1359" s="28" t="s">
        <v>6101</v>
      </c>
      <c r="AI1359" s="27"/>
      <c r="AJ1359" s="27"/>
      <c r="AK1359" s="27"/>
      <c r="AL1359" s="27" t="s">
        <v>6204</v>
      </c>
      <c r="AM1359" s="27"/>
      <c r="AN1359" s="27"/>
      <c r="AO1359" s="27"/>
      <c r="AP1359" s="27"/>
      <c r="AQ1359" s="27"/>
      <c r="AR1359" s="504"/>
      <c r="AS1359" s="332"/>
      <c r="AT1359" s="160"/>
    </row>
    <row r="1360" spans="1:46" ht="21.75" hidden="1" customHeight="1">
      <c r="A1360" s="331">
        <v>1359</v>
      </c>
      <c r="B1360" s="28" t="s">
        <v>635</v>
      </c>
      <c r="C1360" s="28" t="s">
        <v>6205</v>
      </c>
      <c r="D1360" s="438" t="s">
        <v>384</v>
      </c>
      <c r="E1360" s="361" t="str">
        <f t="shared" ca="1" si="58"/>
        <v>LOSS</v>
      </c>
      <c r="F1360" s="29"/>
      <c r="G1360" s="28" t="s">
        <v>6206</v>
      </c>
      <c r="H1360" s="29" t="s">
        <v>2748</v>
      </c>
      <c r="I1360" s="29" t="s">
        <v>242</v>
      </c>
      <c r="J1360" s="28" t="s">
        <v>6207</v>
      </c>
      <c r="K1360" s="28"/>
      <c r="L1360" s="27"/>
      <c r="M1360" s="27"/>
      <c r="N1360" s="29"/>
      <c r="O1360" s="56"/>
      <c r="P1360" s="31">
        <v>48000000</v>
      </c>
      <c r="Q1360" s="31"/>
      <c r="R1360" s="27"/>
      <c r="S1360" s="32">
        <v>24000000</v>
      </c>
      <c r="T1360" s="33"/>
      <c r="U1360" s="334">
        <v>43539</v>
      </c>
      <c r="V1360" s="334">
        <v>43904</v>
      </c>
      <c r="W1360" s="27" t="s">
        <v>245</v>
      </c>
      <c r="X1360" s="27"/>
      <c r="Y1360" s="34">
        <f t="shared" ca="1" si="61"/>
        <v>46290</v>
      </c>
      <c r="Z1360" s="35">
        <f t="shared" ca="1" si="59"/>
        <v>-2386</v>
      </c>
      <c r="AA1360" s="27">
        <f t="shared" si="62"/>
        <v>3</v>
      </c>
      <c r="AB1360" s="27">
        <f t="shared" si="60"/>
        <v>2020</v>
      </c>
      <c r="AC1360" s="28" t="s">
        <v>479</v>
      </c>
      <c r="AD1360" s="28" t="s">
        <v>6208</v>
      </c>
      <c r="AE1360" s="27">
        <v>4500012632</v>
      </c>
      <c r="AF1360" s="27" t="s">
        <v>339</v>
      </c>
      <c r="AG1360" s="29" t="s">
        <v>6100</v>
      </c>
      <c r="AH1360" s="28" t="s">
        <v>6101</v>
      </c>
      <c r="AI1360" s="27"/>
      <c r="AJ1360" s="27"/>
      <c r="AK1360" s="27" t="s">
        <v>6209</v>
      </c>
      <c r="AL1360" s="27"/>
      <c r="AM1360" s="27"/>
      <c r="AN1360" s="27"/>
      <c r="AO1360" s="27"/>
      <c r="AP1360" s="27"/>
      <c r="AQ1360" s="27"/>
      <c r="AR1360" s="504"/>
      <c r="AS1360" s="332" t="s">
        <v>6210</v>
      </c>
      <c r="AT1360" s="160"/>
    </row>
    <row r="1361" spans="1:46" ht="21.75" hidden="1" customHeight="1">
      <c r="A1361" s="331">
        <v>1360</v>
      </c>
      <c r="B1361" s="28" t="s">
        <v>635</v>
      </c>
      <c r="C1361" s="28" t="s">
        <v>6087</v>
      </c>
      <c r="D1361" s="437" t="s">
        <v>384</v>
      </c>
      <c r="E1361" s="361" t="str">
        <f t="shared" ca="1" si="58"/>
        <v>LOSS</v>
      </c>
      <c r="F1361" s="29"/>
      <c r="G1361" s="28" t="s">
        <v>6088</v>
      </c>
      <c r="H1361" s="29" t="s">
        <v>2748</v>
      </c>
      <c r="I1361" s="29" t="s">
        <v>242</v>
      </c>
      <c r="J1361" s="28" t="s">
        <v>6089</v>
      </c>
      <c r="K1361" s="28"/>
      <c r="L1361" s="27"/>
      <c r="M1361" s="27"/>
      <c r="N1361" s="29"/>
      <c r="O1361" s="56"/>
      <c r="P1361" s="31">
        <v>33000000</v>
      </c>
      <c r="Q1361" s="31"/>
      <c r="R1361" s="27"/>
      <c r="S1361" s="32">
        <v>12000000</v>
      </c>
      <c r="T1361" s="33"/>
      <c r="U1361" s="334">
        <v>44495</v>
      </c>
      <c r="V1361" s="334">
        <v>44859</v>
      </c>
      <c r="W1361" s="27" t="s">
        <v>250</v>
      </c>
      <c r="X1361" s="27"/>
      <c r="Y1361" s="34">
        <f t="shared" ca="1" si="61"/>
        <v>46290</v>
      </c>
      <c r="Z1361" s="35">
        <f t="shared" ca="1" si="59"/>
        <v>-1431</v>
      </c>
      <c r="AA1361" s="27">
        <f t="shared" si="62"/>
        <v>10</v>
      </c>
      <c r="AB1361" s="27">
        <f t="shared" si="60"/>
        <v>2022</v>
      </c>
      <c r="AC1361" s="28" t="s">
        <v>479</v>
      </c>
      <c r="AD1361" s="28" t="s">
        <v>6211</v>
      </c>
      <c r="AE1361" s="27">
        <v>4500015237</v>
      </c>
      <c r="AF1361" s="27" t="s">
        <v>339</v>
      </c>
      <c r="AG1361" s="29" t="s">
        <v>6100</v>
      </c>
      <c r="AH1361" s="28" t="s">
        <v>6101</v>
      </c>
      <c r="AI1361" s="27"/>
      <c r="AJ1361" s="27"/>
      <c r="AK1361" s="27" t="s">
        <v>4480</v>
      </c>
      <c r="AL1361" s="27"/>
      <c r="AM1361" s="27"/>
      <c r="AN1361" s="27"/>
      <c r="AO1361" s="27"/>
      <c r="AP1361" s="27"/>
      <c r="AQ1361" s="27"/>
      <c r="AR1361" s="504"/>
      <c r="AS1361" s="332"/>
      <c r="AT1361" s="160"/>
    </row>
    <row r="1362" spans="1:46" ht="21.75" hidden="1" customHeight="1">
      <c r="A1362" s="331">
        <v>1361</v>
      </c>
      <c r="B1362" s="28" t="s">
        <v>635</v>
      </c>
      <c r="C1362" s="28" t="s">
        <v>2895</v>
      </c>
      <c r="D1362" s="438" t="s">
        <v>384</v>
      </c>
      <c r="E1362" s="361" t="str">
        <f t="shared" ca="1" si="58"/>
        <v>LOSS</v>
      </c>
      <c r="F1362" s="29"/>
      <c r="G1362" s="28" t="s">
        <v>6212</v>
      </c>
      <c r="H1362" s="29" t="s">
        <v>2748</v>
      </c>
      <c r="I1362" s="29" t="s">
        <v>346</v>
      </c>
      <c r="J1362" s="28" t="s">
        <v>6213</v>
      </c>
      <c r="K1362" s="28"/>
      <c r="L1362" s="27"/>
      <c r="M1362" s="27"/>
      <c r="N1362" s="29"/>
      <c r="O1362" s="56"/>
      <c r="P1362" s="31">
        <v>240000000</v>
      </c>
      <c r="Q1362" s="31"/>
      <c r="R1362" s="27"/>
      <c r="S1362" s="32">
        <v>24000000</v>
      </c>
      <c r="T1362" s="33"/>
      <c r="U1362" s="334">
        <v>43606</v>
      </c>
      <c r="V1362" s="334">
        <v>43971</v>
      </c>
      <c r="W1362" s="27" t="s">
        <v>245</v>
      </c>
      <c r="X1362" s="27"/>
      <c r="Y1362" s="34">
        <f t="shared" ca="1" si="61"/>
        <v>46290</v>
      </c>
      <c r="Z1362" s="35">
        <f t="shared" ca="1" si="59"/>
        <v>-2319</v>
      </c>
      <c r="AA1362" s="27">
        <f t="shared" si="62"/>
        <v>5</v>
      </c>
      <c r="AB1362" s="27">
        <f t="shared" si="60"/>
        <v>2020</v>
      </c>
      <c r="AC1362" s="28" t="s">
        <v>6214</v>
      </c>
      <c r="AD1362" s="28" t="s">
        <v>6215</v>
      </c>
      <c r="AE1362" s="27">
        <v>4500012606</v>
      </c>
      <c r="AF1362" s="27" t="s">
        <v>339</v>
      </c>
      <c r="AG1362" s="29" t="s">
        <v>6100</v>
      </c>
      <c r="AH1362" s="28" t="s">
        <v>6101</v>
      </c>
      <c r="AI1362" s="27" t="s">
        <v>6216</v>
      </c>
      <c r="AJ1362" s="27" t="s">
        <v>6217</v>
      </c>
      <c r="AK1362" s="27" t="s">
        <v>6218</v>
      </c>
      <c r="AL1362" s="27"/>
      <c r="AM1362" s="27"/>
      <c r="AN1362" s="27"/>
      <c r="AO1362" s="27"/>
      <c r="AP1362" s="27"/>
      <c r="AQ1362" s="27"/>
      <c r="AR1362" s="504"/>
      <c r="AS1362" s="332" t="s">
        <v>6219</v>
      </c>
      <c r="AT1362" s="160"/>
    </row>
    <row r="1363" spans="1:46" ht="21.75" hidden="1" customHeight="1">
      <c r="A1363" s="331">
        <v>1362</v>
      </c>
      <c r="B1363" s="28" t="s">
        <v>635</v>
      </c>
      <c r="C1363" s="28" t="s">
        <v>6220</v>
      </c>
      <c r="D1363" s="437" t="s">
        <v>384</v>
      </c>
      <c r="E1363" s="361" t="str">
        <f t="shared" ca="1" si="58"/>
        <v>LOSS</v>
      </c>
      <c r="F1363" s="29"/>
      <c r="G1363" s="28" t="s">
        <v>6221</v>
      </c>
      <c r="H1363" s="29" t="s">
        <v>2748</v>
      </c>
      <c r="I1363" s="29" t="s">
        <v>346</v>
      </c>
      <c r="J1363" s="28" t="s">
        <v>6222</v>
      </c>
      <c r="K1363" s="28"/>
      <c r="L1363" s="27"/>
      <c r="M1363" s="27"/>
      <c r="N1363" s="29"/>
      <c r="O1363" s="56"/>
      <c r="P1363" s="31">
        <v>36000000</v>
      </c>
      <c r="Q1363" s="31"/>
      <c r="R1363" s="27"/>
      <c r="S1363" s="32">
        <v>12000000</v>
      </c>
      <c r="T1363" s="33"/>
      <c r="U1363" s="334">
        <v>43574</v>
      </c>
      <c r="V1363" s="334">
        <v>43939</v>
      </c>
      <c r="W1363" s="27" t="s">
        <v>250</v>
      </c>
      <c r="X1363" s="27"/>
      <c r="Y1363" s="34">
        <f t="shared" ca="1" si="61"/>
        <v>46290</v>
      </c>
      <c r="Z1363" s="35">
        <f t="shared" ca="1" si="59"/>
        <v>-2351</v>
      </c>
      <c r="AA1363" s="27">
        <f t="shared" si="62"/>
        <v>4</v>
      </c>
      <c r="AB1363" s="27">
        <f t="shared" si="60"/>
        <v>2020</v>
      </c>
      <c r="AC1363" s="28" t="s">
        <v>6223</v>
      </c>
      <c r="AD1363" s="28" t="s">
        <v>6224</v>
      </c>
      <c r="AE1363" s="27">
        <v>4500013272</v>
      </c>
      <c r="AF1363" s="27" t="s">
        <v>339</v>
      </c>
      <c r="AG1363" s="29" t="s">
        <v>6100</v>
      </c>
      <c r="AH1363" s="28" t="s">
        <v>6101</v>
      </c>
      <c r="AI1363" s="27"/>
      <c r="AJ1363" s="27"/>
      <c r="AK1363" s="27" t="s">
        <v>6225</v>
      </c>
      <c r="AL1363" s="27"/>
      <c r="AM1363" s="27"/>
      <c r="AN1363" s="27"/>
      <c r="AO1363" s="27"/>
      <c r="AP1363" s="27"/>
      <c r="AQ1363" s="27"/>
      <c r="AR1363" s="504"/>
      <c r="AS1363" s="332"/>
      <c r="AT1363" s="160"/>
    </row>
    <row r="1364" spans="1:46" ht="21.75" hidden="1" customHeight="1">
      <c r="A1364" s="331">
        <v>1363</v>
      </c>
      <c r="B1364" s="28" t="s">
        <v>635</v>
      </c>
      <c r="C1364" s="28" t="s">
        <v>6226</v>
      </c>
      <c r="D1364" s="438" t="s">
        <v>384</v>
      </c>
      <c r="E1364" s="361" t="str">
        <f t="shared" ca="1" si="58"/>
        <v>LOSS</v>
      </c>
      <c r="F1364" s="29"/>
      <c r="G1364" s="28" t="s">
        <v>6221</v>
      </c>
      <c r="H1364" s="29" t="s">
        <v>2748</v>
      </c>
      <c r="I1364" s="29" t="s">
        <v>346</v>
      </c>
      <c r="J1364" s="28" t="s">
        <v>6227</v>
      </c>
      <c r="K1364" s="28"/>
      <c r="L1364" s="27"/>
      <c r="M1364" s="27"/>
      <c r="N1364" s="29"/>
      <c r="O1364" s="56"/>
      <c r="P1364" s="31">
        <v>300000000</v>
      </c>
      <c r="Q1364" s="31"/>
      <c r="R1364" s="27"/>
      <c r="S1364" s="32">
        <v>12000000</v>
      </c>
      <c r="T1364" s="33"/>
      <c r="U1364" s="334">
        <v>43488</v>
      </c>
      <c r="V1364" s="334">
        <v>43852</v>
      </c>
      <c r="W1364" s="27" t="s">
        <v>250</v>
      </c>
      <c r="X1364" s="27"/>
      <c r="Y1364" s="34">
        <f t="shared" ca="1" si="61"/>
        <v>46290</v>
      </c>
      <c r="Z1364" s="35">
        <f t="shared" ca="1" si="59"/>
        <v>-2438</v>
      </c>
      <c r="AA1364" s="27">
        <f t="shared" si="62"/>
        <v>1</v>
      </c>
      <c r="AB1364" s="27">
        <f t="shared" si="60"/>
        <v>2020</v>
      </c>
      <c r="AC1364" s="28" t="s">
        <v>6228</v>
      </c>
      <c r="AD1364" s="28" t="s">
        <v>6229</v>
      </c>
      <c r="AE1364" s="27">
        <v>4500012430</v>
      </c>
      <c r="AF1364" s="27" t="s">
        <v>339</v>
      </c>
      <c r="AG1364" s="29" t="s">
        <v>6100</v>
      </c>
      <c r="AH1364" s="28" t="s">
        <v>6101</v>
      </c>
      <c r="AI1364" s="27"/>
      <c r="AJ1364" s="27" t="s">
        <v>6230</v>
      </c>
      <c r="AK1364" s="27" t="s">
        <v>6231</v>
      </c>
      <c r="AL1364" s="27"/>
      <c r="AM1364" s="27"/>
      <c r="AN1364" s="27"/>
      <c r="AO1364" s="27"/>
      <c r="AP1364" s="27"/>
      <c r="AQ1364" s="27"/>
      <c r="AR1364" s="504"/>
      <c r="AS1364" s="332"/>
      <c r="AT1364" s="160"/>
    </row>
    <row r="1365" spans="1:46" ht="21.75" hidden="1" customHeight="1">
      <c r="A1365" s="331">
        <v>1364</v>
      </c>
      <c r="B1365" s="28" t="s">
        <v>635</v>
      </c>
      <c r="C1365" s="28" t="s">
        <v>6232</v>
      </c>
      <c r="D1365" s="437" t="s">
        <v>384</v>
      </c>
      <c r="E1365" s="361" t="str">
        <f t="shared" ca="1" si="58"/>
        <v>LOSS</v>
      </c>
      <c r="F1365" s="29"/>
      <c r="G1365" s="28" t="s">
        <v>6221</v>
      </c>
      <c r="H1365" s="29" t="s">
        <v>2748</v>
      </c>
      <c r="I1365" s="29" t="s">
        <v>346</v>
      </c>
      <c r="J1365" s="28" t="s">
        <v>6233</v>
      </c>
      <c r="K1365" s="28"/>
      <c r="L1365" s="27"/>
      <c r="M1365" s="27"/>
      <c r="N1365" s="29"/>
      <c r="O1365" s="56"/>
      <c r="P1365" s="31">
        <v>30000000</v>
      </c>
      <c r="Q1365" s="31"/>
      <c r="R1365" s="27"/>
      <c r="S1365" s="32">
        <v>12000000</v>
      </c>
      <c r="T1365" s="33"/>
      <c r="U1365" s="334">
        <v>43550</v>
      </c>
      <c r="V1365" s="334">
        <v>43915</v>
      </c>
      <c r="W1365" s="27" t="s">
        <v>250</v>
      </c>
      <c r="X1365" s="27"/>
      <c r="Y1365" s="34">
        <f t="shared" ca="1" si="61"/>
        <v>46290</v>
      </c>
      <c r="Z1365" s="35">
        <f t="shared" ca="1" si="59"/>
        <v>-2375</v>
      </c>
      <c r="AA1365" s="27">
        <f t="shared" si="62"/>
        <v>3</v>
      </c>
      <c r="AB1365" s="27">
        <f t="shared" si="60"/>
        <v>2020</v>
      </c>
      <c r="AC1365" s="28" t="s">
        <v>6234</v>
      </c>
      <c r="AD1365" s="28" t="s">
        <v>6235</v>
      </c>
      <c r="AE1365" s="27">
        <v>4500012450</v>
      </c>
      <c r="AF1365" s="27" t="s">
        <v>339</v>
      </c>
      <c r="AG1365" s="29" t="s">
        <v>6100</v>
      </c>
      <c r="AH1365" s="28" t="s">
        <v>6101</v>
      </c>
      <c r="AI1365" s="27"/>
      <c r="AJ1365" s="27" t="s">
        <v>6236</v>
      </c>
      <c r="AK1365" s="27" t="s">
        <v>6237</v>
      </c>
      <c r="AL1365" s="27"/>
      <c r="AM1365" s="27"/>
      <c r="AN1365" s="27"/>
      <c r="AO1365" s="27"/>
      <c r="AP1365" s="27"/>
      <c r="AQ1365" s="27"/>
      <c r="AR1365" s="504"/>
      <c r="AS1365" s="332"/>
      <c r="AT1365" s="160"/>
    </row>
    <row r="1366" spans="1:46" ht="21.75" hidden="1" customHeight="1">
      <c r="A1366" s="331">
        <v>1365</v>
      </c>
      <c r="B1366" s="28" t="s">
        <v>635</v>
      </c>
      <c r="C1366" s="28" t="s">
        <v>5777</v>
      </c>
      <c r="D1366" s="438" t="s">
        <v>384</v>
      </c>
      <c r="E1366" s="361" t="str">
        <f t="shared" ca="1" si="58"/>
        <v>LOSS</v>
      </c>
      <c r="F1366" s="29"/>
      <c r="G1366" s="28" t="s">
        <v>6238</v>
      </c>
      <c r="H1366" s="29" t="s">
        <v>2748</v>
      </c>
      <c r="I1366" s="29" t="s">
        <v>242</v>
      </c>
      <c r="J1366" s="38" t="s">
        <v>115</v>
      </c>
      <c r="K1366" s="28"/>
      <c r="L1366" s="27"/>
      <c r="M1366" s="27"/>
      <c r="N1366" s="29"/>
      <c r="O1366" s="56"/>
      <c r="P1366" s="43" t="s">
        <v>115</v>
      </c>
      <c r="Q1366" s="43"/>
      <c r="R1366" s="27"/>
      <c r="S1366" s="32">
        <v>120000000</v>
      </c>
      <c r="T1366" s="33"/>
      <c r="U1366" s="334">
        <v>44911</v>
      </c>
      <c r="V1366" s="334">
        <v>45275</v>
      </c>
      <c r="W1366" s="27" t="s">
        <v>250</v>
      </c>
      <c r="X1366" s="27"/>
      <c r="Y1366" s="34">
        <f t="shared" ca="1" si="61"/>
        <v>46290</v>
      </c>
      <c r="Z1366" s="35">
        <f t="shared" ca="1" si="59"/>
        <v>-1015</v>
      </c>
      <c r="AA1366" s="27">
        <f t="shared" si="62"/>
        <v>12</v>
      </c>
      <c r="AB1366" s="27">
        <f t="shared" si="60"/>
        <v>2023</v>
      </c>
      <c r="AC1366" s="28" t="s">
        <v>479</v>
      </c>
      <c r="AD1366" s="28" t="s">
        <v>6239</v>
      </c>
      <c r="AE1366" s="27">
        <v>4500019382</v>
      </c>
      <c r="AF1366" s="27" t="s">
        <v>339</v>
      </c>
      <c r="AG1366" s="29" t="s">
        <v>6100</v>
      </c>
      <c r="AH1366" s="28" t="s">
        <v>6101</v>
      </c>
      <c r="AI1366" s="27"/>
      <c r="AJ1366" s="27"/>
      <c r="AK1366" s="27"/>
      <c r="AL1366" s="27"/>
      <c r="AM1366" s="27"/>
      <c r="AN1366" s="27" t="s">
        <v>6240</v>
      </c>
      <c r="AO1366" s="27"/>
      <c r="AP1366" s="27"/>
      <c r="AQ1366" s="27"/>
      <c r="AR1366" s="504"/>
      <c r="AS1366" s="332"/>
      <c r="AT1366" s="160"/>
    </row>
    <row r="1367" spans="1:46" ht="21.75" hidden="1" customHeight="1">
      <c r="A1367" s="331">
        <v>1366</v>
      </c>
      <c r="B1367" s="28" t="s">
        <v>635</v>
      </c>
      <c r="C1367" s="28" t="s">
        <v>6241</v>
      </c>
      <c r="D1367" s="437" t="s">
        <v>384</v>
      </c>
      <c r="E1367" s="361" t="str">
        <f t="shared" ca="1" si="58"/>
        <v>LOSS</v>
      </c>
      <c r="F1367" s="29"/>
      <c r="G1367" s="28" t="s">
        <v>6238</v>
      </c>
      <c r="H1367" s="29" t="s">
        <v>2748</v>
      </c>
      <c r="I1367" s="29" t="s">
        <v>242</v>
      </c>
      <c r="J1367" s="28" t="s">
        <v>5808</v>
      </c>
      <c r="K1367" s="28"/>
      <c r="L1367" s="27"/>
      <c r="M1367" s="27"/>
      <c r="N1367" s="29"/>
      <c r="O1367" s="56"/>
      <c r="P1367" s="31">
        <v>67718114062</v>
      </c>
      <c r="Q1367" s="31"/>
      <c r="R1367" s="27"/>
      <c r="S1367" s="32">
        <v>24000000</v>
      </c>
      <c r="T1367" s="33"/>
      <c r="U1367" s="334">
        <v>44936</v>
      </c>
      <c r="V1367" s="334">
        <v>45300</v>
      </c>
      <c r="W1367" s="27" t="s">
        <v>17</v>
      </c>
      <c r="X1367" s="27" t="s">
        <v>6242</v>
      </c>
      <c r="Y1367" s="34">
        <f t="shared" ca="1" si="61"/>
        <v>46290</v>
      </c>
      <c r="Z1367" s="35">
        <f t="shared" ca="1" si="59"/>
        <v>-990</v>
      </c>
      <c r="AA1367" s="27">
        <f t="shared" si="62"/>
        <v>1</v>
      </c>
      <c r="AB1367" s="27">
        <f t="shared" si="60"/>
        <v>2024</v>
      </c>
      <c r="AC1367" s="28" t="s">
        <v>479</v>
      </c>
      <c r="AD1367" s="28" t="s">
        <v>6239</v>
      </c>
      <c r="AE1367" s="27">
        <v>4500019881</v>
      </c>
      <c r="AF1367" s="27" t="s">
        <v>333</v>
      </c>
      <c r="AG1367" s="29" t="s">
        <v>6100</v>
      </c>
      <c r="AH1367" s="28" t="s">
        <v>6101</v>
      </c>
      <c r="AI1367" s="27"/>
      <c r="AJ1367" s="27"/>
      <c r="AK1367" s="27"/>
      <c r="AL1367" s="27"/>
      <c r="AM1367" s="27"/>
      <c r="AN1367" s="27"/>
      <c r="AO1367" s="27" t="s">
        <v>6243</v>
      </c>
      <c r="AP1367" s="27"/>
      <c r="AQ1367" s="27"/>
      <c r="AR1367" s="504"/>
      <c r="AS1367" s="332"/>
      <c r="AT1367" s="160"/>
    </row>
    <row r="1368" spans="1:46" ht="21.75" hidden="1" customHeight="1">
      <c r="A1368" s="331">
        <v>1367</v>
      </c>
      <c r="B1368" s="28" t="s">
        <v>635</v>
      </c>
      <c r="C1368" s="28" t="s">
        <v>6104</v>
      </c>
      <c r="D1368" s="438" t="s">
        <v>384</v>
      </c>
      <c r="E1368" s="361" t="str">
        <f t="shared" ca="1" si="58"/>
        <v>LOSS</v>
      </c>
      <c r="F1368" s="29"/>
      <c r="G1368" s="28" t="s">
        <v>6238</v>
      </c>
      <c r="H1368" s="29" t="s">
        <v>2748</v>
      </c>
      <c r="I1368" s="29" t="s">
        <v>242</v>
      </c>
      <c r="J1368" s="28" t="s">
        <v>6106</v>
      </c>
      <c r="K1368" s="28"/>
      <c r="L1368" s="27"/>
      <c r="M1368" s="27"/>
      <c r="N1368" s="29"/>
      <c r="O1368" s="56"/>
      <c r="P1368" s="31">
        <f>12*2800000</f>
        <v>33600000</v>
      </c>
      <c r="Q1368" s="31"/>
      <c r="R1368" s="27"/>
      <c r="S1368" s="32">
        <v>12000000</v>
      </c>
      <c r="T1368" s="33"/>
      <c r="U1368" s="334">
        <v>44460</v>
      </c>
      <c r="V1368" s="334">
        <v>44824</v>
      </c>
      <c r="W1368" s="27" t="s">
        <v>250</v>
      </c>
      <c r="X1368" s="27"/>
      <c r="Y1368" s="34">
        <f t="shared" ca="1" si="61"/>
        <v>46290</v>
      </c>
      <c r="Z1368" s="35">
        <f t="shared" ca="1" si="59"/>
        <v>-1466</v>
      </c>
      <c r="AA1368" s="27">
        <f t="shared" si="62"/>
        <v>9</v>
      </c>
      <c r="AB1368" s="27">
        <f t="shared" si="60"/>
        <v>2022</v>
      </c>
      <c r="AC1368" s="28" t="s">
        <v>479</v>
      </c>
      <c r="AD1368" s="28" t="s">
        <v>6107</v>
      </c>
      <c r="AE1368" s="27">
        <v>4500016891</v>
      </c>
      <c r="AF1368" s="27" t="s">
        <v>339</v>
      </c>
      <c r="AG1368" s="29" t="s">
        <v>6100</v>
      </c>
      <c r="AH1368" s="28" t="s">
        <v>6101</v>
      </c>
      <c r="AI1368" s="27"/>
      <c r="AJ1368" s="27"/>
      <c r="AK1368" s="27"/>
      <c r="AL1368" s="27"/>
      <c r="AM1368" s="27"/>
      <c r="AN1368" s="27"/>
      <c r="AO1368" s="27" t="s">
        <v>6109</v>
      </c>
      <c r="AP1368" s="27"/>
      <c r="AQ1368" s="27"/>
      <c r="AR1368" s="504"/>
      <c r="AS1368" s="332"/>
      <c r="AT1368" s="160"/>
    </row>
    <row r="1369" spans="1:46" ht="21.75" hidden="1" customHeight="1">
      <c r="A1369" s="331">
        <v>1368</v>
      </c>
      <c r="B1369" s="28" t="s">
        <v>635</v>
      </c>
      <c r="C1369" s="28" t="s">
        <v>6244</v>
      </c>
      <c r="D1369" s="437" t="s">
        <v>384</v>
      </c>
      <c r="E1369" s="361" t="str">
        <f t="shared" ca="1" si="58"/>
        <v>LOSS</v>
      </c>
      <c r="F1369" s="29"/>
      <c r="G1369" s="28" t="s">
        <v>6245</v>
      </c>
      <c r="H1369" s="29" t="s">
        <v>2748</v>
      </c>
      <c r="I1369" s="29" t="s">
        <v>242</v>
      </c>
      <c r="J1369" s="28" t="s">
        <v>6246</v>
      </c>
      <c r="K1369" s="28"/>
      <c r="L1369" s="27"/>
      <c r="M1369" s="27"/>
      <c r="N1369" s="29"/>
      <c r="O1369" s="56"/>
      <c r="P1369" s="31">
        <v>107400000</v>
      </c>
      <c r="Q1369" s="31"/>
      <c r="R1369" s="27"/>
      <c r="S1369" s="32">
        <v>82000000</v>
      </c>
      <c r="T1369" s="33"/>
      <c r="U1369" s="334">
        <v>43692</v>
      </c>
      <c r="V1369" s="334">
        <v>44057</v>
      </c>
      <c r="W1369" s="27" t="s">
        <v>250</v>
      </c>
      <c r="X1369" s="27"/>
      <c r="Y1369" s="34">
        <f t="shared" ca="1" si="61"/>
        <v>46290</v>
      </c>
      <c r="Z1369" s="35">
        <f t="shared" ca="1" si="59"/>
        <v>-2233</v>
      </c>
      <c r="AA1369" s="27">
        <f t="shared" si="62"/>
        <v>8</v>
      </c>
      <c r="AB1369" s="27">
        <f t="shared" si="60"/>
        <v>2020</v>
      </c>
      <c r="AC1369" s="28" t="s">
        <v>479</v>
      </c>
      <c r="AD1369" s="28" t="s">
        <v>6247</v>
      </c>
      <c r="AE1369" s="27">
        <v>4500013156</v>
      </c>
      <c r="AF1369" s="27" t="s">
        <v>339</v>
      </c>
      <c r="AG1369" s="29" t="s">
        <v>6100</v>
      </c>
      <c r="AH1369" s="28" t="s">
        <v>6101</v>
      </c>
      <c r="AI1369" s="27"/>
      <c r="AJ1369" s="27"/>
      <c r="AK1369" s="27" t="s">
        <v>6248</v>
      </c>
      <c r="AL1369" s="27"/>
      <c r="AM1369" s="27"/>
      <c r="AN1369" s="27"/>
      <c r="AO1369" s="27"/>
      <c r="AP1369" s="27"/>
      <c r="AQ1369" s="27"/>
      <c r="AR1369" s="504"/>
      <c r="AS1369" s="332"/>
      <c r="AT1369" s="160"/>
    </row>
    <row r="1370" spans="1:46" ht="21.75" hidden="1" customHeight="1">
      <c r="A1370" s="331">
        <v>1369</v>
      </c>
      <c r="B1370" s="28" t="s">
        <v>635</v>
      </c>
      <c r="C1370" s="28" t="s">
        <v>6249</v>
      </c>
      <c r="D1370" s="438" t="s">
        <v>384</v>
      </c>
      <c r="E1370" s="361" t="str">
        <f t="shared" ca="1" si="58"/>
        <v>LOSS</v>
      </c>
      <c r="F1370" s="29"/>
      <c r="G1370" s="28" t="s">
        <v>6250</v>
      </c>
      <c r="H1370" s="29" t="s">
        <v>2748</v>
      </c>
      <c r="I1370" s="29" t="s">
        <v>242</v>
      </c>
      <c r="J1370" s="28" t="s">
        <v>6251</v>
      </c>
      <c r="K1370" s="28"/>
      <c r="L1370" s="27"/>
      <c r="M1370" s="27"/>
      <c r="N1370" s="29"/>
      <c r="O1370" s="56"/>
      <c r="P1370" s="31">
        <f>12*41500000</f>
        <v>498000000</v>
      </c>
      <c r="Q1370" s="31"/>
      <c r="R1370" s="27"/>
      <c r="S1370" s="32">
        <v>12000000</v>
      </c>
      <c r="T1370" s="33"/>
      <c r="U1370" s="334">
        <v>45153</v>
      </c>
      <c r="V1370" s="334">
        <v>45518</v>
      </c>
      <c r="W1370" s="27" t="s">
        <v>250</v>
      </c>
      <c r="X1370" s="27"/>
      <c r="Y1370" s="34">
        <f t="shared" ca="1" si="61"/>
        <v>46290</v>
      </c>
      <c r="Z1370" s="35">
        <f t="shared" ca="1" si="59"/>
        <v>-772</v>
      </c>
      <c r="AA1370" s="27">
        <f t="shared" si="62"/>
        <v>8</v>
      </c>
      <c r="AB1370" s="27">
        <f t="shared" si="60"/>
        <v>2024</v>
      </c>
      <c r="AC1370" s="28" t="s">
        <v>479</v>
      </c>
      <c r="AD1370" s="28" t="s">
        <v>6252</v>
      </c>
      <c r="AE1370" s="27">
        <v>4500021085</v>
      </c>
      <c r="AF1370" s="27" t="s">
        <v>333</v>
      </c>
      <c r="AG1370" s="29" t="s">
        <v>6100</v>
      </c>
      <c r="AH1370" s="28" t="s">
        <v>6101</v>
      </c>
      <c r="AI1370" s="27"/>
      <c r="AJ1370" s="27"/>
      <c r="AK1370" s="27"/>
      <c r="AL1370" s="27"/>
      <c r="AM1370" s="27"/>
      <c r="AN1370" s="27" t="s">
        <v>6253</v>
      </c>
      <c r="AO1370" s="27" t="s">
        <v>6254</v>
      </c>
      <c r="AP1370" s="27"/>
      <c r="AQ1370" s="27"/>
      <c r="AR1370" s="504"/>
      <c r="AS1370" s="332" t="s">
        <v>6255</v>
      </c>
      <c r="AT1370" s="160"/>
    </row>
    <row r="1371" spans="1:46" ht="21.75" hidden="1" customHeight="1">
      <c r="A1371" s="331">
        <v>1370</v>
      </c>
      <c r="B1371" s="28" t="s">
        <v>635</v>
      </c>
      <c r="C1371" s="28" t="s">
        <v>6256</v>
      </c>
      <c r="D1371" s="437" t="s">
        <v>384</v>
      </c>
      <c r="E1371" s="361" t="str">
        <f t="shared" ca="1" si="58"/>
        <v>LOSS</v>
      </c>
      <c r="F1371" s="29"/>
      <c r="G1371" s="28" t="s">
        <v>385</v>
      </c>
      <c r="H1371" s="29" t="s">
        <v>2748</v>
      </c>
      <c r="I1371" s="29" t="s">
        <v>242</v>
      </c>
      <c r="J1371" s="28" t="s">
        <v>386</v>
      </c>
      <c r="K1371" s="28"/>
      <c r="L1371" s="27"/>
      <c r="M1371" s="27"/>
      <c r="N1371" s="29"/>
      <c r="O1371" s="56"/>
      <c r="P1371" s="31">
        <f>12*10000000</f>
        <v>120000000</v>
      </c>
      <c r="Q1371" s="31"/>
      <c r="R1371" s="27"/>
      <c r="S1371" s="32">
        <v>12000000</v>
      </c>
      <c r="T1371" s="33"/>
      <c r="U1371" s="334">
        <v>44945</v>
      </c>
      <c r="V1371" s="334">
        <v>45309</v>
      </c>
      <c r="W1371" s="27" t="s">
        <v>250</v>
      </c>
      <c r="X1371" s="27"/>
      <c r="Y1371" s="34">
        <f t="shared" ca="1" si="61"/>
        <v>46290</v>
      </c>
      <c r="Z1371" s="35">
        <f t="shared" ca="1" si="59"/>
        <v>-981</v>
      </c>
      <c r="AA1371" s="27">
        <f t="shared" si="62"/>
        <v>1</v>
      </c>
      <c r="AB1371" s="27">
        <f t="shared" si="60"/>
        <v>2024</v>
      </c>
      <c r="AC1371" s="28" t="s">
        <v>479</v>
      </c>
      <c r="AD1371" s="28" t="s">
        <v>6257</v>
      </c>
      <c r="AE1371" s="27">
        <v>4500019937</v>
      </c>
      <c r="AF1371" s="27" t="s">
        <v>333</v>
      </c>
      <c r="AG1371" s="29" t="s">
        <v>6100</v>
      </c>
      <c r="AH1371" s="28" t="s">
        <v>6101</v>
      </c>
      <c r="AI1371" s="27"/>
      <c r="AJ1371" s="27"/>
      <c r="AK1371" s="27"/>
      <c r="AL1371" s="27"/>
      <c r="AM1371" s="27"/>
      <c r="AN1371" s="27"/>
      <c r="AO1371" s="27" t="s">
        <v>6258</v>
      </c>
      <c r="AP1371" s="27"/>
      <c r="AQ1371" s="27"/>
      <c r="AR1371" s="504"/>
      <c r="AS1371" s="332"/>
      <c r="AT1371" s="160"/>
    </row>
    <row r="1372" spans="1:46" ht="21.75" hidden="1" customHeight="1">
      <c r="A1372" s="331">
        <v>1371</v>
      </c>
      <c r="B1372" s="28" t="s">
        <v>635</v>
      </c>
      <c r="C1372" s="28" t="s">
        <v>6259</v>
      </c>
      <c r="D1372" s="438" t="s">
        <v>384</v>
      </c>
      <c r="E1372" s="361" t="str">
        <f t="shared" ca="1" si="58"/>
        <v>LOSS</v>
      </c>
      <c r="F1372" s="29"/>
      <c r="G1372" s="28" t="s">
        <v>6260</v>
      </c>
      <c r="H1372" s="29" t="s">
        <v>2748</v>
      </c>
      <c r="I1372" s="29" t="s">
        <v>242</v>
      </c>
      <c r="J1372" s="28" t="s">
        <v>6261</v>
      </c>
      <c r="K1372" s="28"/>
      <c r="L1372" s="27"/>
      <c r="M1372" s="27"/>
      <c r="N1372" s="29"/>
      <c r="O1372" s="56"/>
      <c r="P1372" s="31"/>
      <c r="Q1372" s="31"/>
      <c r="R1372" s="27"/>
      <c r="S1372" s="32">
        <v>12000000</v>
      </c>
      <c r="T1372" s="33"/>
      <c r="U1372" s="334">
        <v>45146</v>
      </c>
      <c r="V1372" s="334">
        <v>45511</v>
      </c>
      <c r="W1372" s="27" t="s">
        <v>17</v>
      </c>
      <c r="X1372" s="27" t="s">
        <v>6242</v>
      </c>
      <c r="Y1372" s="34">
        <f t="shared" ca="1" si="61"/>
        <v>46290</v>
      </c>
      <c r="Z1372" s="35">
        <f t="shared" ca="1" si="59"/>
        <v>-779</v>
      </c>
      <c r="AA1372" s="27">
        <f t="shared" si="62"/>
        <v>8</v>
      </c>
      <c r="AB1372" s="27">
        <f t="shared" si="60"/>
        <v>2024</v>
      </c>
      <c r="AC1372" s="28" t="s">
        <v>479</v>
      </c>
      <c r="AD1372" s="28" t="s">
        <v>6262</v>
      </c>
      <c r="AE1372" s="27">
        <v>45000210472</v>
      </c>
      <c r="AF1372" s="27" t="s">
        <v>333</v>
      </c>
      <c r="AG1372" s="29" t="s">
        <v>6100</v>
      </c>
      <c r="AH1372" s="28" t="s">
        <v>6101</v>
      </c>
      <c r="AI1372" s="27"/>
      <c r="AJ1372" s="27"/>
      <c r="AK1372" s="27"/>
      <c r="AL1372" s="27"/>
      <c r="AM1372" s="27"/>
      <c r="AN1372" s="27"/>
      <c r="AO1372" s="27" t="s">
        <v>6263</v>
      </c>
      <c r="AP1372" s="27"/>
      <c r="AQ1372" s="27"/>
      <c r="AR1372" s="504"/>
      <c r="AS1372" s="332" t="s">
        <v>6255</v>
      </c>
      <c r="AT1372" s="160"/>
    </row>
    <row r="1373" spans="1:46" ht="21.75" hidden="1" customHeight="1">
      <c r="A1373" s="331">
        <v>1372</v>
      </c>
      <c r="B1373" s="28" t="s">
        <v>635</v>
      </c>
      <c r="C1373" s="28" t="s">
        <v>6241</v>
      </c>
      <c r="D1373" s="437" t="s">
        <v>384</v>
      </c>
      <c r="E1373" s="361" t="str">
        <f t="shared" ca="1" si="58"/>
        <v>LOSS</v>
      </c>
      <c r="F1373" s="29" t="s">
        <v>115</v>
      </c>
      <c r="G1373" s="28" t="s">
        <v>6238</v>
      </c>
      <c r="H1373" s="29" t="s">
        <v>2748</v>
      </c>
      <c r="I1373" s="29" t="s">
        <v>242</v>
      </c>
      <c r="J1373" s="28" t="s">
        <v>115</v>
      </c>
      <c r="K1373" s="28"/>
      <c r="L1373" s="27"/>
      <c r="M1373" s="27"/>
      <c r="N1373" s="29"/>
      <c r="O1373" s="56"/>
      <c r="P1373" s="31">
        <v>64718114062</v>
      </c>
      <c r="Q1373" s="31"/>
      <c r="R1373" s="27"/>
      <c r="S1373" s="32">
        <v>12000000</v>
      </c>
      <c r="T1373" s="33"/>
      <c r="U1373" s="334">
        <v>44926</v>
      </c>
      <c r="V1373" s="334">
        <v>45290</v>
      </c>
      <c r="W1373" s="27" t="s">
        <v>250</v>
      </c>
      <c r="X1373" s="27"/>
      <c r="Y1373" s="34">
        <f t="shared" ca="1" si="61"/>
        <v>46290</v>
      </c>
      <c r="Z1373" s="35">
        <f t="shared" ca="1" si="59"/>
        <v>-1000</v>
      </c>
      <c r="AA1373" s="27">
        <f t="shared" si="62"/>
        <v>12</v>
      </c>
      <c r="AB1373" s="27">
        <f t="shared" si="60"/>
        <v>2023</v>
      </c>
      <c r="AC1373" s="28" t="s">
        <v>479</v>
      </c>
      <c r="AD1373" s="28" t="s">
        <v>6264</v>
      </c>
      <c r="AE1373" s="27">
        <v>4500019806</v>
      </c>
      <c r="AF1373" s="27" t="s">
        <v>339</v>
      </c>
      <c r="AG1373" s="29" t="s">
        <v>6100</v>
      </c>
      <c r="AH1373" s="28" t="s">
        <v>6101</v>
      </c>
      <c r="AI1373" s="27"/>
      <c r="AJ1373" s="27"/>
      <c r="AK1373" s="27"/>
      <c r="AL1373" s="27"/>
      <c r="AM1373" s="27"/>
      <c r="AN1373" s="27" t="s">
        <v>6265</v>
      </c>
      <c r="AO1373" s="27"/>
      <c r="AP1373" s="27"/>
      <c r="AQ1373" s="27"/>
      <c r="AR1373" s="504"/>
      <c r="AS1373" s="332"/>
      <c r="AT1373" s="160"/>
    </row>
    <row r="1374" spans="1:46" ht="21.75" hidden="1" customHeight="1">
      <c r="A1374" s="331">
        <v>1373</v>
      </c>
      <c r="B1374" s="28" t="s">
        <v>6266</v>
      </c>
      <c r="C1374" s="28" t="s">
        <v>6267</v>
      </c>
      <c r="D1374" s="438" t="s">
        <v>6268</v>
      </c>
      <c r="E1374" s="361" t="str">
        <f t="shared" ca="1" si="58"/>
        <v>LOSS</v>
      </c>
      <c r="F1374" s="29"/>
      <c r="G1374" s="28" t="s">
        <v>6269</v>
      </c>
      <c r="H1374" s="29" t="s">
        <v>2748</v>
      </c>
      <c r="I1374" s="29" t="s">
        <v>242</v>
      </c>
      <c r="J1374" s="28" t="s">
        <v>2516</v>
      </c>
      <c r="K1374" s="28"/>
      <c r="L1374" s="27"/>
      <c r="M1374" s="27"/>
      <c r="N1374" s="29"/>
      <c r="O1374" s="56"/>
      <c r="P1374" s="31">
        <f>12*2835416</f>
        <v>34024992</v>
      </c>
      <c r="Q1374" s="31"/>
      <c r="R1374" s="27"/>
      <c r="S1374" s="32">
        <v>5000000</v>
      </c>
      <c r="T1374" s="33"/>
      <c r="U1374" s="334">
        <v>44621</v>
      </c>
      <c r="V1374" s="334">
        <v>44985</v>
      </c>
      <c r="W1374" s="27" t="s">
        <v>245</v>
      </c>
      <c r="X1374" s="27"/>
      <c r="Y1374" s="34">
        <f t="shared" ca="1" si="61"/>
        <v>46290</v>
      </c>
      <c r="Z1374" s="35">
        <f t="shared" ca="1" si="59"/>
        <v>-1305</v>
      </c>
      <c r="AA1374" s="27">
        <f t="shared" si="62"/>
        <v>2</v>
      </c>
      <c r="AB1374" s="27">
        <f t="shared" si="60"/>
        <v>2023</v>
      </c>
      <c r="AC1374" s="28" t="s">
        <v>479</v>
      </c>
      <c r="AD1374" s="28" t="s">
        <v>2517</v>
      </c>
      <c r="AE1374" s="27">
        <v>4500018001</v>
      </c>
      <c r="AF1374" s="27" t="s">
        <v>339</v>
      </c>
      <c r="AG1374" s="29"/>
      <c r="AH1374" s="28"/>
      <c r="AI1374" s="27"/>
      <c r="AJ1374" s="27"/>
      <c r="AK1374" s="27"/>
      <c r="AL1374" s="27"/>
      <c r="AM1374" s="27"/>
      <c r="AN1374" s="27" t="s">
        <v>6270</v>
      </c>
      <c r="AO1374" s="27"/>
      <c r="AP1374" s="27"/>
      <c r="AQ1374" s="27"/>
      <c r="AR1374" s="504"/>
      <c r="AS1374" s="332" t="s">
        <v>6271</v>
      </c>
      <c r="AT1374" s="160"/>
    </row>
    <row r="1375" spans="1:46" ht="21.75" hidden="1" customHeight="1">
      <c r="A1375" s="331">
        <v>1374</v>
      </c>
      <c r="B1375" s="28" t="s">
        <v>189</v>
      </c>
      <c r="C1375" s="28" t="s">
        <v>1528</v>
      </c>
      <c r="D1375" s="437" t="s">
        <v>1105</v>
      </c>
      <c r="E1375" s="361" t="str">
        <f t="shared" ca="1" si="58"/>
        <v>LOSS</v>
      </c>
      <c r="F1375" s="36" t="s">
        <v>115</v>
      </c>
      <c r="G1375" s="28" t="s">
        <v>6272</v>
      </c>
      <c r="H1375" s="29" t="s">
        <v>2748</v>
      </c>
      <c r="I1375" s="29" t="s">
        <v>346</v>
      </c>
      <c r="J1375" s="28" t="s">
        <v>190</v>
      </c>
      <c r="K1375" s="28"/>
      <c r="L1375" s="27"/>
      <c r="M1375" s="27"/>
      <c r="N1375" s="29"/>
      <c r="O1375" s="56"/>
      <c r="P1375" s="31">
        <v>310800000</v>
      </c>
      <c r="Q1375" s="31"/>
      <c r="R1375" s="27"/>
      <c r="S1375" s="32">
        <v>41500000</v>
      </c>
      <c r="T1375" s="33"/>
      <c r="U1375" s="334">
        <v>45325</v>
      </c>
      <c r="V1375" s="334">
        <v>45690</v>
      </c>
      <c r="W1375" s="27" t="s">
        <v>250</v>
      </c>
      <c r="X1375" s="27"/>
      <c r="Y1375" s="34">
        <f t="shared" ca="1" si="61"/>
        <v>46290</v>
      </c>
      <c r="Z1375" s="35">
        <f t="shared" ca="1" si="59"/>
        <v>-600</v>
      </c>
      <c r="AA1375" s="27">
        <f t="shared" si="62"/>
        <v>2</v>
      </c>
      <c r="AB1375" s="27">
        <f t="shared" si="60"/>
        <v>2025</v>
      </c>
      <c r="AC1375" s="28" t="s">
        <v>6273</v>
      </c>
      <c r="AD1375" s="28">
        <v>2586</v>
      </c>
      <c r="AE1375" s="27">
        <v>4500022250</v>
      </c>
      <c r="AF1375" s="27" t="s">
        <v>339</v>
      </c>
      <c r="AG1375" s="29" t="s">
        <v>6274</v>
      </c>
      <c r="AH1375" s="28" t="s">
        <v>6275</v>
      </c>
      <c r="AI1375" s="27" t="s">
        <v>115</v>
      </c>
      <c r="AJ1375" s="27" t="s">
        <v>6276</v>
      </c>
      <c r="AK1375" s="27" t="s">
        <v>6277</v>
      </c>
      <c r="AL1375" s="27" t="s">
        <v>6278</v>
      </c>
      <c r="AM1375" s="27" t="s">
        <v>6279</v>
      </c>
      <c r="AN1375" s="27" t="s">
        <v>6280</v>
      </c>
      <c r="AO1375" s="27" t="s">
        <v>6281</v>
      </c>
      <c r="AP1375" s="27" t="s">
        <v>6282</v>
      </c>
      <c r="AQ1375" s="27"/>
      <c r="AR1375" s="504"/>
      <c r="AS1375" s="333" t="s">
        <v>115</v>
      </c>
      <c r="AT1375" s="160"/>
    </row>
    <row r="1376" spans="1:46" ht="21.75" hidden="1" customHeight="1">
      <c r="A1376" s="331">
        <v>1375</v>
      </c>
      <c r="B1376" s="28" t="s">
        <v>6283</v>
      </c>
      <c r="C1376" s="28" t="s">
        <v>4237</v>
      </c>
      <c r="D1376" s="438" t="s">
        <v>6284</v>
      </c>
      <c r="E1376" s="361" t="str">
        <f t="shared" ca="1" si="58"/>
        <v>LOSS</v>
      </c>
      <c r="F1376" s="29"/>
      <c r="G1376" s="28" t="s">
        <v>6285</v>
      </c>
      <c r="H1376" s="29" t="s">
        <v>2748</v>
      </c>
      <c r="I1376" s="29" t="s">
        <v>346</v>
      </c>
      <c r="J1376" s="28" t="s">
        <v>6286</v>
      </c>
      <c r="K1376" s="28"/>
      <c r="L1376" s="27"/>
      <c r="M1376" s="27"/>
      <c r="N1376" s="29"/>
      <c r="O1376" s="56"/>
      <c r="P1376" s="31">
        <v>1966800000</v>
      </c>
      <c r="Q1376" s="31"/>
      <c r="R1376" s="27"/>
      <c r="S1376" s="32">
        <v>44000000</v>
      </c>
      <c r="T1376" s="33"/>
      <c r="U1376" s="334">
        <v>44927</v>
      </c>
      <c r="V1376" s="334">
        <v>45291</v>
      </c>
      <c r="W1376" s="27" t="s">
        <v>245</v>
      </c>
      <c r="X1376" s="27"/>
      <c r="Y1376" s="34">
        <f t="shared" ca="1" si="61"/>
        <v>46290</v>
      </c>
      <c r="Z1376" s="35">
        <f t="shared" ca="1" si="59"/>
        <v>-999</v>
      </c>
      <c r="AA1376" s="27">
        <f t="shared" si="62"/>
        <v>12</v>
      </c>
      <c r="AB1376" s="27">
        <f t="shared" si="60"/>
        <v>2023</v>
      </c>
      <c r="AC1376" s="28" t="s">
        <v>6287</v>
      </c>
      <c r="AD1376" s="28" t="s">
        <v>6288</v>
      </c>
      <c r="AE1376" s="27">
        <v>4500021435</v>
      </c>
      <c r="AF1376" s="27" t="s">
        <v>339</v>
      </c>
      <c r="AG1376" s="29"/>
      <c r="AH1376" s="28"/>
      <c r="AI1376" s="27"/>
      <c r="AJ1376" s="27" t="s">
        <v>6289</v>
      </c>
      <c r="AK1376" s="27"/>
      <c r="AL1376" s="27"/>
      <c r="AM1376" s="27" t="s">
        <v>6290</v>
      </c>
      <c r="AN1376" s="27" t="s">
        <v>6291</v>
      </c>
      <c r="AO1376" s="27" t="s">
        <v>6292</v>
      </c>
      <c r="AP1376" s="27"/>
      <c r="AQ1376" s="27"/>
      <c r="AR1376" s="504"/>
      <c r="AS1376" s="332"/>
      <c r="AT1376" s="160"/>
    </row>
    <row r="1377" spans="1:46" ht="21.75" hidden="1" customHeight="1">
      <c r="A1377" s="331">
        <v>1376</v>
      </c>
      <c r="B1377" s="28" t="s">
        <v>6293</v>
      </c>
      <c r="C1377" s="28" t="s">
        <v>6294</v>
      </c>
      <c r="D1377" s="437" t="s">
        <v>6295</v>
      </c>
      <c r="E1377" s="361" t="str">
        <f t="shared" ca="1" si="58"/>
        <v>LOSS</v>
      </c>
      <c r="F1377" s="29"/>
      <c r="G1377" s="28" t="s">
        <v>6296</v>
      </c>
      <c r="H1377" s="29" t="s">
        <v>2748</v>
      </c>
      <c r="I1377" s="29" t="s">
        <v>346</v>
      </c>
      <c r="J1377" s="28" t="s">
        <v>695</v>
      </c>
      <c r="K1377" s="28"/>
      <c r="L1377" s="27"/>
      <c r="M1377" s="27"/>
      <c r="N1377" s="29"/>
      <c r="O1377" s="56"/>
      <c r="P1377" s="31">
        <v>66000000</v>
      </c>
      <c r="Q1377" s="31"/>
      <c r="R1377" s="27"/>
      <c r="S1377" s="32">
        <v>23888889</v>
      </c>
      <c r="T1377" s="33"/>
      <c r="U1377" s="334">
        <v>44166</v>
      </c>
      <c r="V1377" s="334">
        <v>44227</v>
      </c>
      <c r="W1377" s="27" t="s">
        <v>245</v>
      </c>
      <c r="X1377" s="27"/>
      <c r="Y1377" s="34">
        <f t="shared" ca="1" si="61"/>
        <v>46290</v>
      </c>
      <c r="Z1377" s="35">
        <f t="shared" ca="1" si="59"/>
        <v>-2063</v>
      </c>
      <c r="AA1377" s="27">
        <f t="shared" si="62"/>
        <v>1</v>
      </c>
      <c r="AB1377" s="27">
        <f t="shared" si="60"/>
        <v>2021</v>
      </c>
      <c r="AC1377" s="28" t="s">
        <v>6297</v>
      </c>
      <c r="AD1377" s="28" t="s">
        <v>696</v>
      </c>
      <c r="AE1377" s="27">
        <v>4500013954</v>
      </c>
      <c r="AF1377" s="27" t="s">
        <v>339</v>
      </c>
      <c r="AG1377" s="29"/>
      <c r="AH1377" s="28"/>
      <c r="AI1377" s="27"/>
      <c r="AJ1377" s="27"/>
      <c r="AK1377" s="27"/>
      <c r="AL1377" s="27" t="s">
        <v>6298</v>
      </c>
      <c r="AM1377" s="27"/>
      <c r="AN1377" s="27"/>
      <c r="AO1377" s="27"/>
      <c r="AP1377" s="27"/>
      <c r="AQ1377" s="27"/>
      <c r="AR1377" s="504"/>
      <c r="AS1377" s="332"/>
      <c r="AT1377" s="160"/>
    </row>
    <row r="1378" spans="1:46" ht="21.75" hidden="1" customHeight="1">
      <c r="A1378" s="331">
        <v>1377</v>
      </c>
      <c r="B1378" s="28" t="s">
        <v>6299</v>
      </c>
      <c r="C1378" s="28" t="s">
        <v>6300</v>
      </c>
      <c r="D1378" s="443" t="s">
        <v>6301</v>
      </c>
      <c r="E1378" s="361" t="str">
        <f t="shared" ca="1" si="58"/>
        <v>LOSS</v>
      </c>
      <c r="F1378" s="29"/>
      <c r="G1378" s="28" t="s">
        <v>6302</v>
      </c>
      <c r="H1378" s="29" t="s">
        <v>2748</v>
      </c>
      <c r="I1378" s="29" t="s">
        <v>346</v>
      </c>
      <c r="J1378" s="28" t="s">
        <v>6303</v>
      </c>
      <c r="K1378" s="28"/>
      <c r="L1378" s="27"/>
      <c r="M1378" s="27"/>
      <c r="N1378" s="29"/>
      <c r="O1378" s="56"/>
      <c r="P1378" s="31">
        <v>52131936</v>
      </c>
      <c r="Q1378" s="31"/>
      <c r="R1378" s="27"/>
      <c r="S1378" s="32">
        <v>28440000</v>
      </c>
      <c r="T1378" s="33"/>
      <c r="U1378" s="334">
        <v>44095</v>
      </c>
      <c r="V1378" s="334">
        <v>44459</v>
      </c>
      <c r="W1378" s="27" t="s">
        <v>250</v>
      </c>
      <c r="X1378" s="27"/>
      <c r="Y1378" s="34">
        <f t="shared" ca="1" si="61"/>
        <v>46290</v>
      </c>
      <c r="Z1378" s="35">
        <f t="shared" ca="1" si="59"/>
        <v>-1831</v>
      </c>
      <c r="AA1378" s="27">
        <f t="shared" si="62"/>
        <v>9</v>
      </c>
      <c r="AB1378" s="27">
        <f t="shared" si="60"/>
        <v>2021</v>
      </c>
      <c r="AC1378" s="46" t="s">
        <v>6304</v>
      </c>
      <c r="AD1378" s="46" t="s">
        <v>6305</v>
      </c>
      <c r="AE1378" s="47" t="s">
        <v>6306</v>
      </c>
      <c r="AF1378" s="27" t="s">
        <v>339</v>
      </c>
      <c r="AG1378" s="29" t="s">
        <v>6307</v>
      </c>
      <c r="AH1378" s="28" t="s">
        <v>6308</v>
      </c>
      <c r="AI1378" s="27"/>
      <c r="AJ1378" s="27">
        <v>76</v>
      </c>
      <c r="AK1378" s="27" t="s">
        <v>6309</v>
      </c>
      <c r="AL1378" s="27" t="s">
        <v>6310</v>
      </c>
      <c r="AM1378" s="27"/>
      <c r="AN1378" s="27"/>
      <c r="AO1378" s="27"/>
      <c r="AP1378" s="27"/>
      <c r="AQ1378" s="27"/>
      <c r="AR1378" s="504"/>
      <c r="AS1378" s="332"/>
      <c r="AT1378" s="160"/>
    </row>
    <row r="1379" spans="1:46" ht="21.75" hidden="1" customHeight="1">
      <c r="A1379" s="331">
        <v>1378</v>
      </c>
      <c r="B1379" s="28" t="s">
        <v>6311</v>
      </c>
      <c r="C1379" s="28" t="s">
        <v>6312</v>
      </c>
      <c r="D1379" s="444" t="s">
        <v>6313</v>
      </c>
      <c r="E1379" s="361" t="str">
        <f t="shared" ca="1" si="58"/>
        <v>LOSS</v>
      </c>
      <c r="F1379" s="29"/>
      <c r="G1379" s="28" t="s">
        <v>6314</v>
      </c>
      <c r="H1379" s="29" t="s">
        <v>2748</v>
      </c>
      <c r="I1379" s="29" t="s">
        <v>346</v>
      </c>
      <c r="J1379" s="28" t="s">
        <v>6315</v>
      </c>
      <c r="K1379" s="28"/>
      <c r="L1379" s="27"/>
      <c r="M1379" s="27"/>
      <c r="N1379" s="29"/>
      <c r="O1379" s="56"/>
      <c r="P1379" s="31">
        <f>12*228885236</f>
        <v>2746622832</v>
      </c>
      <c r="Q1379" s="31"/>
      <c r="R1379" s="27"/>
      <c r="S1379" s="32">
        <v>56000000</v>
      </c>
      <c r="T1379" s="33"/>
      <c r="U1379" s="334">
        <v>44431</v>
      </c>
      <c r="V1379" s="334">
        <v>45160</v>
      </c>
      <c r="W1379" s="27" t="s">
        <v>250</v>
      </c>
      <c r="X1379" s="27"/>
      <c r="Y1379" s="34">
        <f t="shared" ca="1" si="61"/>
        <v>46290</v>
      </c>
      <c r="Z1379" s="35">
        <f t="shared" ca="1" si="59"/>
        <v>-1130</v>
      </c>
      <c r="AA1379" s="27">
        <f t="shared" si="62"/>
        <v>8</v>
      </c>
      <c r="AB1379" s="27">
        <f t="shared" si="60"/>
        <v>2023</v>
      </c>
      <c r="AC1379" s="28" t="s">
        <v>6316</v>
      </c>
      <c r="AD1379" s="28" t="s">
        <v>6317</v>
      </c>
      <c r="AE1379" s="27">
        <v>4500020397</v>
      </c>
      <c r="AF1379" s="27" t="s">
        <v>339</v>
      </c>
      <c r="AG1379" s="29" t="s">
        <v>6318</v>
      </c>
      <c r="AH1379" s="28" t="s">
        <v>6319</v>
      </c>
      <c r="AI1379" s="27">
        <v>142</v>
      </c>
      <c r="AJ1379" s="27"/>
      <c r="AK1379" s="27" t="s">
        <v>6320</v>
      </c>
      <c r="AL1379" s="27"/>
      <c r="AM1379" s="27"/>
      <c r="AN1379" s="27"/>
      <c r="AO1379" s="27"/>
      <c r="AP1379" s="27"/>
      <c r="AQ1379" s="27"/>
      <c r="AR1379" s="504"/>
      <c r="AS1379" s="332"/>
      <c r="AT1379" s="160"/>
    </row>
    <row r="1380" spans="1:46" ht="21.75" hidden="1" customHeight="1">
      <c r="A1380" s="331">
        <v>1379</v>
      </c>
      <c r="B1380" s="28" t="s">
        <v>6311</v>
      </c>
      <c r="C1380" s="28" t="s">
        <v>4070</v>
      </c>
      <c r="D1380" s="443" t="s">
        <v>6313</v>
      </c>
      <c r="E1380" s="361" t="str">
        <f t="shared" ca="1" si="58"/>
        <v>LOSS</v>
      </c>
      <c r="F1380" s="36" t="s">
        <v>115</v>
      </c>
      <c r="G1380" s="28" t="s">
        <v>6321</v>
      </c>
      <c r="H1380" s="29" t="s">
        <v>2748</v>
      </c>
      <c r="I1380" s="160" t="s">
        <v>346</v>
      </c>
      <c r="J1380" s="28" t="s">
        <v>6322</v>
      </c>
      <c r="K1380" s="28"/>
      <c r="L1380" s="27"/>
      <c r="M1380" s="27"/>
      <c r="N1380" s="29"/>
      <c r="O1380" s="56"/>
      <c r="P1380" s="31">
        <f>12*3818182</f>
        <v>45818184</v>
      </c>
      <c r="Q1380" s="31"/>
      <c r="R1380" s="27"/>
      <c r="S1380" s="32">
        <v>56100000</v>
      </c>
      <c r="T1380" s="33"/>
      <c r="U1380" s="334">
        <v>45170</v>
      </c>
      <c r="V1380" s="334">
        <v>45535</v>
      </c>
      <c r="W1380" s="27" t="s">
        <v>17</v>
      </c>
      <c r="X1380" s="27" t="s">
        <v>306</v>
      </c>
      <c r="Y1380" s="34">
        <f t="shared" ca="1" si="61"/>
        <v>46290</v>
      </c>
      <c r="Z1380" s="35">
        <f t="shared" ca="1" si="59"/>
        <v>-755</v>
      </c>
      <c r="AA1380" s="27">
        <f t="shared" si="62"/>
        <v>8</v>
      </c>
      <c r="AB1380" s="27">
        <f t="shared" si="60"/>
        <v>2024</v>
      </c>
      <c r="AC1380" s="28" t="s">
        <v>479</v>
      </c>
      <c r="AD1380" s="28">
        <v>1090</v>
      </c>
      <c r="AE1380" s="27">
        <v>4500021935</v>
      </c>
      <c r="AF1380" s="27" t="s">
        <v>339</v>
      </c>
      <c r="AG1380" s="29"/>
      <c r="AH1380" s="28"/>
      <c r="AI1380" s="27"/>
      <c r="AJ1380" s="27"/>
      <c r="AK1380" s="27"/>
      <c r="AL1380" s="27"/>
      <c r="AM1380" s="27"/>
      <c r="AN1380" s="27"/>
      <c r="AO1380" s="27" t="s">
        <v>6323</v>
      </c>
      <c r="AP1380" s="27"/>
      <c r="AQ1380" s="27"/>
      <c r="AR1380" s="504"/>
      <c r="AS1380" s="332"/>
      <c r="AT1380" s="160"/>
    </row>
    <row r="1381" spans="1:46" ht="21.75" hidden="1" customHeight="1">
      <c r="A1381" s="331">
        <v>1380</v>
      </c>
      <c r="B1381" s="28" t="s">
        <v>6324</v>
      </c>
      <c r="C1381" s="28"/>
      <c r="D1381" s="444" t="s">
        <v>6313</v>
      </c>
      <c r="E1381" s="361" t="str">
        <f t="shared" ca="1" si="58"/>
        <v>LOSS</v>
      </c>
      <c r="F1381" s="29"/>
      <c r="G1381" s="28" t="s">
        <v>6325</v>
      </c>
      <c r="H1381" s="29" t="s">
        <v>2748</v>
      </c>
      <c r="I1381" s="29" t="s">
        <v>346</v>
      </c>
      <c r="J1381" s="28" t="s">
        <v>6326</v>
      </c>
      <c r="K1381" s="28"/>
      <c r="L1381" s="27"/>
      <c r="M1381" s="27"/>
      <c r="N1381" s="29"/>
      <c r="O1381" s="56"/>
      <c r="P1381" s="31" t="s">
        <v>115</v>
      </c>
      <c r="Q1381" s="31"/>
      <c r="R1381" s="27"/>
      <c r="S1381" s="32">
        <v>29400000</v>
      </c>
      <c r="T1381" s="33"/>
      <c r="U1381" s="334">
        <v>43997</v>
      </c>
      <c r="V1381" s="334">
        <v>44361</v>
      </c>
      <c r="W1381" s="27" t="s">
        <v>250</v>
      </c>
      <c r="X1381" s="27"/>
      <c r="Y1381" s="34">
        <f t="shared" ca="1" si="61"/>
        <v>46290</v>
      </c>
      <c r="Z1381" s="35">
        <f t="shared" ca="1" si="59"/>
        <v>-1929</v>
      </c>
      <c r="AA1381" s="27">
        <f t="shared" si="62"/>
        <v>6</v>
      </c>
      <c r="AB1381" s="27">
        <f t="shared" si="60"/>
        <v>2021</v>
      </c>
      <c r="AC1381" s="28" t="s">
        <v>6327</v>
      </c>
      <c r="AD1381" s="28" t="s">
        <v>1154</v>
      </c>
      <c r="AE1381" s="27">
        <v>4500014747</v>
      </c>
      <c r="AF1381" s="27" t="s">
        <v>339</v>
      </c>
      <c r="AG1381" s="29" t="s">
        <v>6318</v>
      </c>
      <c r="AH1381" s="28" t="s">
        <v>6319</v>
      </c>
      <c r="AI1381" s="27"/>
      <c r="AJ1381" s="27"/>
      <c r="AK1381" s="27" t="s">
        <v>6328</v>
      </c>
      <c r="AL1381" s="27" t="s">
        <v>6329</v>
      </c>
      <c r="AM1381" s="27"/>
      <c r="AN1381" s="27"/>
      <c r="AO1381" s="27"/>
      <c r="AP1381" s="27"/>
      <c r="AQ1381" s="27"/>
      <c r="AR1381" s="504"/>
      <c r="AS1381" s="332" t="s">
        <v>6330</v>
      </c>
      <c r="AT1381" s="160"/>
    </row>
    <row r="1382" spans="1:46" ht="21.75" hidden="1" customHeight="1">
      <c r="A1382" s="331">
        <v>1381</v>
      </c>
      <c r="B1382" s="28" t="s">
        <v>6331</v>
      </c>
      <c r="C1382" s="28" t="s">
        <v>6332</v>
      </c>
      <c r="D1382" s="438" t="s">
        <v>5726</v>
      </c>
      <c r="E1382" s="361" t="str">
        <f t="shared" ca="1" si="58"/>
        <v>LOSS</v>
      </c>
      <c r="F1382" s="29" t="s">
        <v>115</v>
      </c>
      <c r="G1382" s="28" t="s">
        <v>6333</v>
      </c>
      <c r="H1382" s="29" t="s">
        <v>2748</v>
      </c>
      <c r="I1382" s="29" t="s">
        <v>242</v>
      </c>
      <c r="J1382" s="28" t="s">
        <v>920</v>
      </c>
      <c r="K1382" s="28"/>
      <c r="L1382" s="27"/>
      <c r="M1382" s="27"/>
      <c r="N1382" s="29"/>
      <c r="O1382" s="56"/>
      <c r="P1382" s="31">
        <v>15272724</v>
      </c>
      <c r="Q1382" s="31"/>
      <c r="R1382" s="27"/>
      <c r="S1382" s="32">
        <v>12000000</v>
      </c>
      <c r="T1382" s="33"/>
      <c r="U1382" s="334">
        <v>43970</v>
      </c>
      <c r="V1382" s="334">
        <v>44334</v>
      </c>
      <c r="W1382" s="27" t="s">
        <v>250</v>
      </c>
      <c r="X1382" s="27"/>
      <c r="Y1382" s="34">
        <f t="shared" ca="1" si="61"/>
        <v>46290</v>
      </c>
      <c r="Z1382" s="35">
        <f t="shared" ca="1" si="59"/>
        <v>-1956</v>
      </c>
      <c r="AA1382" s="27">
        <f t="shared" si="62"/>
        <v>5</v>
      </c>
      <c r="AB1382" s="27">
        <f t="shared" si="60"/>
        <v>2021</v>
      </c>
      <c r="AC1382" s="28" t="s">
        <v>479</v>
      </c>
      <c r="AD1382" s="28" t="s">
        <v>921</v>
      </c>
      <c r="AE1382" s="27">
        <v>4500015139</v>
      </c>
      <c r="AF1382" s="27" t="s">
        <v>339</v>
      </c>
      <c r="AG1382" s="29"/>
      <c r="AH1382" s="28"/>
      <c r="AI1382" s="27"/>
      <c r="AJ1382" s="27"/>
      <c r="AK1382" s="27"/>
      <c r="AL1382" s="27" t="s">
        <v>6334</v>
      </c>
      <c r="AM1382" s="27"/>
      <c r="AN1382" s="27"/>
      <c r="AO1382" s="27"/>
      <c r="AP1382" s="27"/>
      <c r="AQ1382" s="27"/>
      <c r="AR1382" s="504"/>
      <c r="AS1382" s="332" t="s">
        <v>6335</v>
      </c>
      <c r="AT1382" s="160"/>
    </row>
    <row r="1383" spans="1:46" ht="21.75" hidden="1" customHeight="1">
      <c r="A1383" s="331">
        <v>1382</v>
      </c>
      <c r="B1383" s="28" t="s">
        <v>191</v>
      </c>
      <c r="C1383" s="28" t="s">
        <v>6336</v>
      </c>
      <c r="D1383" s="437" t="s">
        <v>6337</v>
      </c>
      <c r="E1383" s="361" t="str">
        <f t="shared" ca="1" si="58"/>
        <v>LOSS</v>
      </c>
      <c r="F1383" s="29" t="s">
        <v>115</v>
      </c>
      <c r="G1383" s="28" t="s">
        <v>6338</v>
      </c>
      <c r="H1383" s="29" t="s">
        <v>2748</v>
      </c>
      <c r="I1383" s="29" t="s">
        <v>242</v>
      </c>
      <c r="J1383" s="28" t="s">
        <v>192</v>
      </c>
      <c r="K1383" s="28"/>
      <c r="L1383" s="27"/>
      <c r="M1383" s="27"/>
      <c r="N1383" s="29"/>
      <c r="O1383" s="56"/>
      <c r="P1383" s="31">
        <f>12*4000000</f>
        <v>48000000</v>
      </c>
      <c r="Q1383" s="31"/>
      <c r="R1383" s="30"/>
      <c r="S1383" s="32">
        <v>21600000</v>
      </c>
      <c r="T1383" s="33"/>
      <c r="U1383" s="334">
        <v>45314</v>
      </c>
      <c r="V1383" s="334">
        <v>45679</v>
      </c>
      <c r="W1383" s="27" t="s">
        <v>250</v>
      </c>
      <c r="X1383" s="27"/>
      <c r="Y1383" s="34">
        <f t="shared" ca="1" si="61"/>
        <v>46290</v>
      </c>
      <c r="Z1383" s="35">
        <f t="shared" ca="1" si="59"/>
        <v>-611</v>
      </c>
      <c r="AA1383" s="27">
        <f t="shared" si="62"/>
        <v>1</v>
      </c>
      <c r="AB1383" s="27">
        <f t="shared" si="60"/>
        <v>2025</v>
      </c>
      <c r="AC1383" s="28">
        <v>20816</v>
      </c>
      <c r="AD1383" s="28" t="s">
        <v>6339</v>
      </c>
      <c r="AE1383" s="27">
        <v>4500022249</v>
      </c>
      <c r="AF1383" s="27" t="s">
        <v>339</v>
      </c>
      <c r="AG1383" s="29"/>
      <c r="AH1383" s="28"/>
      <c r="AI1383" s="27"/>
      <c r="AJ1383" s="27"/>
      <c r="AK1383" s="27"/>
      <c r="AL1383" s="27"/>
      <c r="AM1383" s="27"/>
      <c r="AN1383" s="27"/>
      <c r="AO1383" s="27" t="s">
        <v>6340</v>
      </c>
      <c r="AP1383" s="27" t="s">
        <v>6341</v>
      </c>
      <c r="AQ1383" s="27"/>
      <c r="AR1383" s="504"/>
      <c r="AS1383" s="332" t="s">
        <v>6342</v>
      </c>
      <c r="AT1383" s="160"/>
    </row>
    <row r="1384" spans="1:46" ht="21.75" hidden="1" customHeight="1">
      <c r="A1384" s="331">
        <v>1383</v>
      </c>
      <c r="B1384" s="28" t="s">
        <v>191</v>
      </c>
      <c r="C1384" s="28" t="s">
        <v>6343</v>
      </c>
      <c r="D1384" s="438" t="s">
        <v>6344</v>
      </c>
      <c r="E1384" s="361" t="str">
        <f t="shared" ca="1" si="58"/>
        <v>LOSS</v>
      </c>
      <c r="F1384" s="29" t="s">
        <v>115</v>
      </c>
      <c r="G1384" s="28" t="s">
        <v>6345</v>
      </c>
      <c r="H1384" s="29" t="s">
        <v>2748</v>
      </c>
      <c r="I1384" s="29" t="s">
        <v>242</v>
      </c>
      <c r="J1384" s="28" t="s">
        <v>6346</v>
      </c>
      <c r="K1384" s="28"/>
      <c r="L1384" s="27"/>
      <c r="M1384" s="27"/>
      <c r="N1384" s="29"/>
      <c r="O1384" s="56"/>
      <c r="P1384" s="31">
        <f>12*7000000</f>
        <v>84000000</v>
      </c>
      <c r="Q1384" s="31"/>
      <c r="R1384" s="27"/>
      <c r="S1384" s="32">
        <v>14000000</v>
      </c>
      <c r="T1384" s="33"/>
      <c r="U1384" s="334">
        <v>45085</v>
      </c>
      <c r="V1384" s="334">
        <v>45450</v>
      </c>
      <c r="W1384" s="27" t="s">
        <v>250</v>
      </c>
      <c r="X1384" s="27"/>
      <c r="Y1384" s="34">
        <f t="shared" ca="1" si="61"/>
        <v>46290</v>
      </c>
      <c r="Z1384" s="35">
        <f t="shared" ca="1" si="59"/>
        <v>-840</v>
      </c>
      <c r="AA1384" s="27">
        <f t="shared" si="62"/>
        <v>6</v>
      </c>
      <c r="AB1384" s="27">
        <f t="shared" si="60"/>
        <v>2024</v>
      </c>
      <c r="AC1384" s="28" t="s">
        <v>479</v>
      </c>
      <c r="AD1384" s="28" t="s">
        <v>6347</v>
      </c>
      <c r="AE1384" s="27">
        <v>4500020634</v>
      </c>
      <c r="AF1384" s="27" t="s">
        <v>339</v>
      </c>
      <c r="AG1384" s="29"/>
      <c r="AH1384" s="28"/>
      <c r="AI1384" s="27"/>
      <c r="AJ1384" s="27"/>
      <c r="AK1384" s="27"/>
      <c r="AL1384" s="27"/>
      <c r="AM1384" s="27"/>
      <c r="AN1384" s="27"/>
      <c r="AO1384" s="27" t="s">
        <v>5057</v>
      </c>
      <c r="AP1384" s="27"/>
      <c r="AQ1384" s="27"/>
      <c r="AR1384" s="504"/>
      <c r="AS1384" s="332" t="s">
        <v>6348</v>
      </c>
      <c r="AT1384" s="160"/>
    </row>
    <row r="1385" spans="1:46" ht="21.75" hidden="1" customHeight="1">
      <c r="A1385" s="331">
        <v>1384</v>
      </c>
      <c r="B1385" s="28" t="s">
        <v>194</v>
      </c>
      <c r="C1385" s="28" t="s">
        <v>6349</v>
      </c>
      <c r="D1385" s="437" t="s">
        <v>6350</v>
      </c>
      <c r="E1385" s="361" t="str">
        <f t="shared" ca="1" si="58"/>
        <v>LOSS</v>
      </c>
      <c r="F1385" s="29"/>
      <c r="G1385" s="28" t="s">
        <v>6351</v>
      </c>
      <c r="H1385" s="29" t="s">
        <v>2748</v>
      </c>
      <c r="I1385" s="29" t="s">
        <v>346</v>
      </c>
      <c r="J1385" s="28" t="s">
        <v>195</v>
      </c>
      <c r="K1385" s="28"/>
      <c r="L1385" s="27"/>
      <c r="M1385" s="27"/>
      <c r="N1385" s="29"/>
      <c r="O1385" s="56"/>
      <c r="P1385" s="31">
        <v>32863642</v>
      </c>
      <c r="Q1385" s="31"/>
      <c r="R1385" s="27"/>
      <c r="S1385" s="32">
        <v>15000000</v>
      </c>
      <c r="T1385" s="33"/>
      <c r="U1385" s="334">
        <v>45434</v>
      </c>
      <c r="V1385" s="334">
        <v>45798</v>
      </c>
      <c r="W1385" s="27" t="s">
        <v>245</v>
      </c>
      <c r="X1385" s="27"/>
      <c r="Y1385" s="34">
        <f t="shared" ca="1" si="61"/>
        <v>46290</v>
      </c>
      <c r="Z1385" s="35">
        <f t="shared" ca="1" si="59"/>
        <v>-492</v>
      </c>
      <c r="AA1385" s="27">
        <f t="shared" si="62"/>
        <v>5</v>
      </c>
      <c r="AB1385" s="27">
        <f t="shared" si="60"/>
        <v>2025</v>
      </c>
      <c r="AC1385" s="28" t="s">
        <v>6352</v>
      </c>
      <c r="AD1385" s="28" t="s">
        <v>6353</v>
      </c>
      <c r="AE1385" s="27">
        <v>4500022999</v>
      </c>
      <c r="AF1385" s="27" t="s">
        <v>333</v>
      </c>
      <c r="AG1385" s="29"/>
      <c r="AH1385" s="28"/>
      <c r="AI1385" s="27"/>
      <c r="AJ1385" s="27"/>
      <c r="AK1385" s="27"/>
      <c r="AL1385" s="27"/>
      <c r="AM1385" s="27"/>
      <c r="AN1385" s="27"/>
      <c r="AO1385" s="27" t="s">
        <v>5033</v>
      </c>
      <c r="AP1385" s="27" t="s">
        <v>6354</v>
      </c>
      <c r="AQ1385" s="27"/>
      <c r="AR1385" s="504"/>
      <c r="AS1385" s="332" t="s">
        <v>6355</v>
      </c>
      <c r="AT1385" s="160"/>
    </row>
    <row r="1386" spans="1:46" ht="21.75" hidden="1" customHeight="1">
      <c r="A1386" s="331">
        <v>1385</v>
      </c>
      <c r="B1386" s="28" t="s">
        <v>669</v>
      </c>
      <c r="C1386" s="28" t="s">
        <v>6356</v>
      </c>
      <c r="D1386" s="438" t="s">
        <v>6357</v>
      </c>
      <c r="E1386" s="361" t="str">
        <f t="shared" ca="1" si="58"/>
        <v>LOSS</v>
      </c>
      <c r="F1386" s="29" t="s">
        <v>6358</v>
      </c>
      <c r="G1386" s="28" t="s">
        <v>6359</v>
      </c>
      <c r="H1386" s="29" t="s">
        <v>2748</v>
      </c>
      <c r="I1386" s="29" t="s">
        <v>346</v>
      </c>
      <c r="J1386" s="28" t="s">
        <v>6360</v>
      </c>
      <c r="K1386" s="28"/>
      <c r="L1386" s="27"/>
      <c r="M1386" s="27"/>
      <c r="N1386" s="29"/>
      <c r="O1386" s="56"/>
      <c r="P1386" s="31">
        <v>120000000</v>
      </c>
      <c r="Q1386" s="31"/>
      <c r="R1386" s="27"/>
      <c r="S1386" s="32">
        <v>120858186</v>
      </c>
      <c r="T1386" s="33"/>
      <c r="U1386" s="334">
        <v>45170</v>
      </c>
      <c r="V1386" s="334">
        <v>45535</v>
      </c>
      <c r="W1386" s="27" t="s">
        <v>250</v>
      </c>
      <c r="X1386" s="27"/>
      <c r="Y1386" s="34">
        <f t="shared" ca="1" si="61"/>
        <v>46290</v>
      </c>
      <c r="Z1386" s="35">
        <f t="shared" ca="1" si="59"/>
        <v>-755</v>
      </c>
      <c r="AA1386" s="27">
        <f t="shared" si="62"/>
        <v>8</v>
      </c>
      <c r="AB1386" s="27">
        <f t="shared" si="60"/>
        <v>2024</v>
      </c>
      <c r="AC1386" s="28" t="s">
        <v>6361</v>
      </c>
      <c r="AD1386" s="28">
        <v>1907</v>
      </c>
      <c r="AE1386" s="27">
        <v>4500022454</v>
      </c>
      <c r="AF1386" s="27" t="s">
        <v>339</v>
      </c>
      <c r="AG1386" s="29" t="s">
        <v>6362</v>
      </c>
      <c r="AH1386" s="28" t="s">
        <v>6363</v>
      </c>
      <c r="AI1386" s="27" t="s">
        <v>6364</v>
      </c>
      <c r="AJ1386" s="27" t="s">
        <v>6365</v>
      </c>
      <c r="AK1386" s="27" t="s">
        <v>6366</v>
      </c>
      <c r="AL1386" s="27" t="s">
        <v>6367</v>
      </c>
      <c r="AM1386" s="27"/>
      <c r="AN1386" s="27" t="s">
        <v>6368</v>
      </c>
      <c r="AO1386" s="27" t="s">
        <v>5122</v>
      </c>
      <c r="AP1386" s="27"/>
      <c r="AQ1386" s="27"/>
      <c r="AR1386" s="504"/>
      <c r="AS1386" s="332" t="s">
        <v>6369</v>
      </c>
      <c r="AT1386" s="160"/>
    </row>
    <row r="1387" spans="1:46" ht="21.75" hidden="1" customHeight="1">
      <c r="A1387" s="331">
        <v>1386</v>
      </c>
      <c r="B1387" s="28" t="s">
        <v>669</v>
      </c>
      <c r="C1387" s="28" t="s">
        <v>6370</v>
      </c>
      <c r="D1387" s="437" t="s">
        <v>6371</v>
      </c>
      <c r="E1387" s="361" t="str">
        <f t="shared" ca="1" si="58"/>
        <v>LOSS</v>
      </c>
      <c r="F1387" s="29"/>
      <c r="G1387" s="28" t="s">
        <v>6372</v>
      </c>
      <c r="H1387" s="29" t="s">
        <v>2748</v>
      </c>
      <c r="I1387" s="29" t="s">
        <v>346</v>
      </c>
      <c r="J1387" s="28" t="s">
        <v>6373</v>
      </c>
      <c r="K1387" s="28"/>
      <c r="L1387" s="27"/>
      <c r="M1387" s="27"/>
      <c r="N1387" s="29"/>
      <c r="O1387" s="56"/>
      <c r="P1387" s="31">
        <v>48000000</v>
      </c>
      <c r="Q1387" s="31"/>
      <c r="R1387" s="27"/>
      <c r="S1387" s="32">
        <v>42773425</v>
      </c>
      <c r="T1387" s="33"/>
      <c r="U1387" s="334">
        <v>45292</v>
      </c>
      <c r="V1387" s="334">
        <v>45657</v>
      </c>
      <c r="W1387" s="27" t="s">
        <v>250</v>
      </c>
      <c r="X1387" s="27" t="s">
        <v>3148</v>
      </c>
      <c r="Y1387" s="34">
        <f t="shared" ca="1" si="61"/>
        <v>46290</v>
      </c>
      <c r="Z1387" s="35">
        <f t="shared" ca="1" si="59"/>
        <v>-633</v>
      </c>
      <c r="AA1387" s="27">
        <f t="shared" si="62"/>
        <v>12</v>
      </c>
      <c r="AB1387" s="27">
        <f t="shared" si="60"/>
        <v>2024</v>
      </c>
      <c r="AC1387" s="40" t="s">
        <v>6374</v>
      </c>
      <c r="AD1387" s="28" t="s">
        <v>6375</v>
      </c>
      <c r="AE1387" s="27">
        <v>4500022713</v>
      </c>
      <c r="AF1387" s="27" t="s">
        <v>339</v>
      </c>
      <c r="AG1387" s="29" t="s">
        <v>6376</v>
      </c>
      <c r="AH1387" s="28" t="s">
        <v>6377</v>
      </c>
      <c r="AI1387" s="27" t="s">
        <v>115</v>
      </c>
      <c r="AJ1387" s="27">
        <v>170</v>
      </c>
      <c r="AK1387" s="27" t="s">
        <v>6378</v>
      </c>
      <c r="AL1387" s="27" t="s">
        <v>6379</v>
      </c>
      <c r="AM1387" s="27" t="s">
        <v>6380</v>
      </c>
      <c r="AN1387" s="27" t="s">
        <v>6368</v>
      </c>
      <c r="AO1387" s="27" t="s">
        <v>6381</v>
      </c>
      <c r="AP1387" s="27" t="s">
        <v>6382</v>
      </c>
      <c r="AQ1387" s="27"/>
      <c r="AR1387" s="504"/>
      <c r="AS1387" s="332" t="s">
        <v>6383</v>
      </c>
      <c r="AT1387" s="160"/>
    </row>
    <row r="1388" spans="1:46" ht="21.75" hidden="1" customHeight="1">
      <c r="A1388" s="331">
        <v>1387</v>
      </c>
      <c r="B1388" s="28" t="s">
        <v>6384</v>
      </c>
      <c r="C1388" s="28" t="s">
        <v>6385</v>
      </c>
      <c r="D1388" s="438" t="s">
        <v>6386</v>
      </c>
      <c r="E1388" s="361" t="str">
        <f t="shared" ca="1" si="58"/>
        <v>LOSS</v>
      </c>
      <c r="F1388" s="29"/>
      <c r="G1388" s="28" t="s">
        <v>6387</v>
      </c>
      <c r="H1388" s="29" t="s">
        <v>2748</v>
      </c>
      <c r="I1388" s="29" t="s">
        <v>346</v>
      </c>
      <c r="J1388" s="28" t="s">
        <v>6388</v>
      </c>
      <c r="K1388" s="28"/>
      <c r="L1388" s="27"/>
      <c r="M1388" s="27"/>
      <c r="N1388" s="29"/>
      <c r="O1388" s="56"/>
      <c r="P1388" s="31">
        <v>113400000</v>
      </c>
      <c r="Q1388" s="31"/>
      <c r="R1388" s="27"/>
      <c r="S1388" s="32">
        <v>7324885</v>
      </c>
      <c r="T1388" s="33"/>
      <c r="U1388" s="334">
        <v>44126</v>
      </c>
      <c r="V1388" s="334">
        <v>44490</v>
      </c>
      <c r="W1388" s="27" t="s">
        <v>245</v>
      </c>
      <c r="X1388" s="27"/>
      <c r="Y1388" s="34">
        <f t="shared" ca="1" si="61"/>
        <v>46290</v>
      </c>
      <c r="Z1388" s="35">
        <f t="shared" ca="1" si="59"/>
        <v>-1800</v>
      </c>
      <c r="AA1388" s="27">
        <f t="shared" si="62"/>
        <v>10</v>
      </c>
      <c r="AB1388" s="27">
        <f t="shared" si="60"/>
        <v>2021</v>
      </c>
      <c r="AC1388" s="28" t="s">
        <v>6389</v>
      </c>
      <c r="AD1388" s="28" t="s">
        <v>6390</v>
      </c>
      <c r="AE1388" s="27">
        <v>4500015362</v>
      </c>
      <c r="AF1388" s="27" t="s">
        <v>339</v>
      </c>
      <c r="AG1388" s="29" t="s">
        <v>6391</v>
      </c>
      <c r="AH1388" s="28" t="s">
        <v>6392</v>
      </c>
      <c r="AI1388" s="27"/>
      <c r="AJ1388" s="27"/>
      <c r="AK1388" s="27" t="s">
        <v>6393</v>
      </c>
      <c r="AL1388" s="27" t="s">
        <v>6394</v>
      </c>
      <c r="AM1388" s="27"/>
      <c r="AN1388" s="27"/>
      <c r="AO1388" s="27"/>
      <c r="AP1388" s="27"/>
      <c r="AQ1388" s="27"/>
      <c r="AR1388" s="504"/>
      <c r="AS1388" s="332" t="s">
        <v>6395</v>
      </c>
      <c r="AT1388" s="160"/>
    </row>
    <row r="1389" spans="1:46" ht="21.75" hidden="1" customHeight="1">
      <c r="A1389" s="331">
        <v>1388</v>
      </c>
      <c r="B1389" s="28" t="s">
        <v>6396</v>
      </c>
      <c r="C1389" s="45" t="s">
        <v>6397</v>
      </c>
      <c r="D1389" s="437" t="s">
        <v>6398</v>
      </c>
      <c r="E1389" s="361" t="str">
        <f t="shared" ca="1" si="58"/>
        <v>LOSS</v>
      </c>
      <c r="F1389" s="36" t="s">
        <v>115</v>
      </c>
      <c r="G1389" s="28" t="s">
        <v>6399</v>
      </c>
      <c r="H1389" s="29" t="s">
        <v>2748</v>
      </c>
      <c r="I1389" s="29" t="s">
        <v>346</v>
      </c>
      <c r="J1389" s="28" t="s">
        <v>6400</v>
      </c>
      <c r="K1389" s="46"/>
      <c r="L1389" s="47"/>
      <c r="M1389" s="47"/>
      <c r="N1389" s="235"/>
      <c r="O1389" s="56"/>
      <c r="P1389" s="31">
        <v>58000000</v>
      </c>
      <c r="Q1389" s="31"/>
      <c r="R1389" s="47"/>
      <c r="S1389" s="32">
        <v>5500000</v>
      </c>
      <c r="T1389" s="33"/>
      <c r="U1389" s="334">
        <v>45292</v>
      </c>
      <c r="V1389" s="334">
        <v>45657</v>
      </c>
      <c r="W1389" s="27" t="s">
        <v>250</v>
      </c>
      <c r="X1389" s="27"/>
      <c r="Y1389" s="34">
        <f t="shared" ca="1" si="61"/>
        <v>46290</v>
      </c>
      <c r="Z1389" s="35">
        <f t="shared" ca="1" si="59"/>
        <v>-633</v>
      </c>
      <c r="AA1389" s="27">
        <f t="shared" si="62"/>
        <v>12</v>
      </c>
      <c r="AB1389" s="27">
        <f t="shared" si="60"/>
        <v>2024</v>
      </c>
      <c r="AC1389" s="28" t="s">
        <v>6401</v>
      </c>
      <c r="AD1389" s="28">
        <v>2669</v>
      </c>
      <c r="AE1389" s="27">
        <v>4500022312</v>
      </c>
      <c r="AF1389" s="27" t="s">
        <v>339</v>
      </c>
      <c r="AG1389" s="29" t="s">
        <v>6402</v>
      </c>
      <c r="AH1389" s="28" t="s">
        <v>6403</v>
      </c>
      <c r="AI1389" s="27"/>
      <c r="AJ1389" s="27"/>
      <c r="AK1389" s="27"/>
      <c r="AL1389" s="27"/>
      <c r="AM1389" s="27"/>
      <c r="AN1389" s="27" t="s">
        <v>6404</v>
      </c>
      <c r="AO1389" s="27" t="s">
        <v>6405</v>
      </c>
      <c r="AP1389" s="27" t="s">
        <v>6406</v>
      </c>
      <c r="AQ1389" s="27"/>
      <c r="AR1389" s="504"/>
      <c r="AS1389" s="333" t="s">
        <v>115</v>
      </c>
      <c r="AT1389" s="160"/>
    </row>
    <row r="1390" spans="1:46" ht="21.75" hidden="1" customHeight="1">
      <c r="A1390" s="331">
        <v>1389</v>
      </c>
      <c r="B1390" s="28" t="s">
        <v>198</v>
      </c>
      <c r="C1390" s="46" t="s">
        <v>6407</v>
      </c>
      <c r="D1390" s="438" t="s">
        <v>6408</v>
      </c>
      <c r="E1390" s="361" t="str">
        <f t="shared" ca="1" si="58"/>
        <v>LOSS</v>
      </c>
      <c r="F1390" s="29"/>
      <c r="G1390" s="28" t="s">
        <v>6409</v>
      </c>
      <c r="H1390" s="29" t="s">
        <v>2748</v>
      </c>
      <c r="I1390" s="29" t="s">
        <v>346</v>
      </c>
      <c r="J1390" s="28" t="s">
        <v>199</v>
      </c>
      <c r="K1390" s="46"/>
      <c r="L1390" s="47"/>
      <c r="M1390" s="47"/>
      <c r="N1390" s="235"/>
      <c r="O1390" s="56"/>
      <c r="P1390" s="31">
        <f>12*11968000</f>
        <v>143616000</v>
      </c>
      <c r="Q1390" s="31"/>
      <c r="R1390" s="47"/>
      <c r="S1390" s="32">
        <v>26796000</v>
      </c>
      <c r="T1390" s="33"/>
      <c r="U1390" s="334">
        <v>45387</v>
      </c>
      <c r="V1390" s="334">
        <v>45751</v>
      </c>
      <c r="W1390" s="27" t="s">
        <v>250</v>
      </c>
      <c r="X1390" s="27"/>
      <c r="Y1390" s="34">
        <f t="shared" ca="1" si="61"/>
        <v>46290</v>
      </c>
      <c r="Z1390" s="35">
        <f t="shared" ca="1" si="59"/>
        <v>-539</v>
      </c>
      <c r="AA1390" s="27">
        <f t="shared" si="62"/>
        <v>4</v>
      </c>
      <c r="AB1390" s="27">
        <f t="shared" si="60"/>
        <v>2025</v>
      </c>
      <c r="AC1390" s="28" t="s">
        <v>6410</v>
      </c>
      <c r="AD1390" s="28" t="s">
        <v>6411</v>
      </c>
      <c r="AE1390" s="27">
        <v>4500023017</v>
      </c>
      <c r="AF1390" s="27" t="s">
        <v>339</v>
      </c>
      <c r="AG1390" s="29" t="s">
        <v>6412</v>
      </c>
      <c r="AH1390" s="28" t="s">
        <v>6413</v>
      </c>
      <c r="AI1390" s="27">
        <v>41</v>
      </c>
      <c r="AJ1390" s="27" t="s">
        <v>6414</v>
      </c>
      <c r="AK1390" s="27" t="s">
        <v>6415</v>
      </c>
      <c r="AL1390" s="27" t="s">
        <v>6416</v>
      </c>
      <c r="AM1390" s="27" t="s">
        <v>6417</v>
      </c>
      <c r="AN1390" s="27" t="s">
        <v>6418</v>
      </c>
      <c r="AO1390" s="27" t="s">
        <v>6419</v>
      </c>
      <c r="AP1390" s="27" t="s">
        <v>6420</v>
      </c>
      <c r="AQ1390" s="27"/>
      <c r="AR1390" s="504"/>
      <c r="AS1390" s="332" t="s">
        <v>6421</v>
      </c>
      <c r="AT1390" s="160"/>
    </row>
    <row r="1391" spans="1:46" ht="21.75" hidden="1" customHeight="1">
      <c r="A1391" s="331">
        <v>1390</v>
      </c>
      <c r="B1391" s="28" t="s">
        <v>6422</v>
      </c>
      <c r="C1391" s="46" t="s">
        <v>6423</v>
      </c>
      <c r="D1391" s="444" t="s">
        <v>6424</v>
      </c>
      <c r="E1391" s="361" t="str">
        <f t="shared" ca="1" si="58"/>
        <v>LOSS</v>
      </c>
      <c r="F1391" s="29"/>
      <c r="G1391" s="28" t="s">
        <v>6425</v>
      </c>
      <c r="H1391" s="29" t="s">
        <v>2748</v>
      </c>
      <c r="I1391" s="29" t="s">
        <v>346</v>
      </c>
      <c r="J1391" s="28" t="s">
        <v>6426</v>
      </c>
      <c r="K1391" s="46"/>
      <c r="L1391" s="47"/>
      <c r="M1391" s="47"/>
      <c r="N1391" s="235"/>
      <c r="O1391" s="56"/>
      <c r="P1391" s="31">
        <v>73958184</v>
      </c>
      <c r="Q1391" s="31"/>
      <c r="R1391" s="47"/>
      <c r="S1391" s="32">
        <v>13750000</v>
      </c>
      <c r="T1391" s="33"/>
      <c r="U1391" s="334">
        <v>44562</v>
      </c>
      <c r="V1391" s="334">
        <v>44651</v>
      </c>
      <c r="W1391" s="27" t="s">
        <v>250</v>
      </c>
      <c r="X1391" s="27"/>
      <c r="Y1391" s="34">
        <f t="shared" ca="1" si="61"/>
        <v>46290</v>
      </c>
      <c r="Z1391" s="35">
        <f t="shared" ca="1" si="59"/>
        <v>-1639</v>
      </c>
      <c r="AA1391" s="27">
        <f t="shared" si="62"/>
        <v>3</v>
      </c>
      <c r="AB1391" s="27">
        <f t="shared" si="60"/>
        <v>2022</v>
      </c>
      <c r="AC1391" s="28" t="s">
        <v>6427</v>
      </c>
      <c r="AD1391" s="28" t="s">
        <v>6428</v>
      </c>
      <c r="AE1391" s="27">
        <v>4500017515</v>
      </c>
      <c r="AF1391" s="27" t="s">
        <v>339</v>
      </c>
      <c r="AG1391" s="29" t="s">
        <v>6429</v>
      </c>
      <c r="AH1391" s="28" t="s">
        <v>6430</v>
      </c>
      <c r="AI1391" s="27" t="s">
        <v>115</v>
      </c>
      <c r="AJ1391" s="27" t="s">
        <v>6431</v>
      </c>
      <c r="AK1391" s="27" t="s">
        <v>6432</v>
      </c>
      <c r="AL1391" s="27" t="s">
        <v>6433</v>
      </c>
      <c r="AM1391" s="27" t="s">
        <v>6434</v>
      </c>
      <c r="AN1391" s="27" t="s">
        <v>6435</v>
      </c>
      <c r="AO1391" s="27"/>
      <c r="AP1391" s="27"/>
      <c r="AQ1391" s="27"/>
      <c r="AR1391" s="504"/>
      <c r="AS1391" s="332" t="s">
        <v>6436</v>
      </c>
      <c r="AT1391" s="160"/>
    </row>
    <row r="1392" spans="1:46" ht="21.75" hidden="1" customHeight="1">
      <c r="A1392" s="331">
        <v>1391</v>
      </c>
      <c r="B1392" s="28" t="s">
        <v>6437</v>
      </c>
      <c r="C1392" s="28" t="s">
        <v>6438</v>
      </c>
      <c r="D1392" s="438" t="s">
        <v>6439</v>
      </c>
      <c r="E1392" s="361" t="str">
        <f t="shared" ca="1" si="58"/>
        <v>LOSS</v>
      </c>
      <c r="F1392" s="29"/>
      <c r="G1392" s="28" t="s">
        <v>6440</v>
      </c>
      <c r="H1392" s="29" t="s">
        <v>2748</v>
      </c>
      <c r="I1392" s="29" t="s">
        <v>346</v>
      </c>
      <c r="J1392" s="28" t="s">
        <v>6441</v>
      </c>
      <c r="K1392" s="28"/>
      <c r="L1392" s="27"/>
      <c r="M1392" s="27"/>
      <c r="N1392" s="29"/>
      <c r="O1392" s="56"/>
      <c r="P1392" s="31">
        <v>63818184</v>
      </c>
      <c r="Q1392" s="31"/>
      <c r="R1392" s="27"/>
      <c r="S1392" s="32">
        <v>16666668</v>
      </c>
      <c r="T1392" s="33"/>
      <c r="U1392" s="334">
        <v>44534</v>
      </c>
      <c r="V1392" s="334">
        <v>44898</v>
      </c>
      <c r="W1392" s="27" t="s">
        <v>250</v>
      </c>
      <c r="X1392" s="27"/>
      <c r="Y1392" s="34">
        <f t="shared" ca="1" si="61"/>
        <v>46290</v>
      </c>
      <c r="Z1392" s="35">
        <f t="shared" ca="1" si="59"/>
        <v>-1392</v>
      </c>
      <c r="AA1392" s="27">
        <f t="shared" si="62"/>
        <v>12</v>
      </c>
      <c r="AB1392" s="27">
        <f t="shared" si="60"/>
        <v>2022</v>
      </c>
      <c r="AC1392" s="28" t="s">
        <v>6442</v>
      </c>
      <c r="AD1392" s="28" t="s">
        <v>1512</v>
      </c>
      <c r="AE1392" s="27">
        <v>4500017849</v>
      </c>
      <c r="AF1392" s="27" t="s">
        <v>339</v>
      </c>
      <c r="AG1392" s="29" t="s">
        <v>6443</v>
      </c>
      <c r="AH1392" s="28"/>
      <c r="AI1392" s="27"/>
      <c r="AJ1392" s="27"/>
      <c r="AK1392" s="27"/>
      <c r="AL1392" s="27"/>
      <c r="AM1392" s="27" t="s">
        <v>6444</v>
      </c>
      <c r="AN1392" s="27" t="s">
        <v>6445</v>
      </c>
      <c r="AO1392" s="27"/>
      <c r="AP1392" s="27"/>
      <c r="AQ1392" s="27"/>
      <c r="AR1392" s="504"/>
      <c r="AS1392" s="332" t="s">
        <v>6446</v>
      </c>
      <c r="AT1392" s="160"/>
    </row>
    <row r="1393" spans="1:46" ht="21.75" hidden="1" customHeight="1">
      <c r="A1393" s="331">
        <v>1392</v>
      </c>
      <c r="B1393" s="28" t="s">
        <v>200</v>
      </c>
      <c r="C1393" s="28" t="s">
        <v>555</v>
      </c>
      <c r="D1393" s="437" t="s">
        <v>6447</v>
      </c>
      <c r="E1393" s="361" t="str">
        <f t="shared" ca="1" si="58"/>
        <v>LOSS</v>
      </c>
      <c r="F1393" s="29"/>
      <c r="G1393" s="28" t="s">
        <v>6448</v>
      </c>
      <c r="H1393" s="29" t="s">
        <v>2748</v>
      </c>
      <c r="I1393" s="29" t="s">
        <v>346</v>
      </c>
      <c r="J1393" s="28" t="s">
        <v>6449</v>
      </c>
      <c r="K1393" s="28"/>
      <c r="L1393" s="27"/>
      <c r="M1393" s="27"/>
      <c r="N1393" s="29"/>
      <c r="O1393" s="56"/>
      <c r="P1393" s="31">
        <v>60000000</v>
      </c>
      <c r="Q1393" s="31"/>
      <c r="R1393" s="27"/>
      <c r="S1393" s="32">
        <v>43800000</v>
      </c>
      <c r="T1393" s="33"/>
      <c r="U1393" s="334">
        <v>44855</v>
      </c>
      <c r="V1393" s="334">
        <v>45219</v>
      </c>
      <c r="W1393" s="27" t="s">
        <v>245</v>
      </c>
      <c r="X1393" s="27"/>
      <c r="Y1393" s="34">
        <f t="shared" ca="1" si="61"/>
        <v>46290</v>
      </c>
      <c r="Z1393" s="35">
        <f t="shared" ca="1" si="59"/>
        <v>-1071</v>
      </c>
      <c r="AA1393" s="27">
        <f t="shared" si="62"/>
        <v>10</v>
      </c>
      <c r="AB1393" s="27">
        <f t="shared" si="60"/>
        <v>2023</v>
      </c>
      <c r="AC1393" s="46" t="s">
        <v>6450</v>
      </c>
      <c r="AD1393" s="46" t="s">
        <v>1979</v>
      </c>
      <c r="AE1393" s="47" t="s">
        <v>6451</v>
      </c>
      <c r="AF1393" s="27" t="s">
        <v>339</v>
      </c>
      <c r="AG1393" s="29" t="s">
        <v>6452</v>
      </c>
      <c r="AH1393" s="28" t="s">
        <v>6453</v>
      </c>
      <c r="AI1393" s="27"/>
      <c r="AJ1393" s="27" t="s">
        <v>6454</v>
      </c>
      <c r="AK1393" s="27" t="s">
        <v>6455</v>
      </c>
      <c r="AL1393" s="27" t="s">
        <v>6456</v>
      </c>
      <c r="AM1393" s="27"/>
      <c r="AN1393" s="27" t="s">
        <v>6457</v>
      </c>
      <c r="AO1393" s="27"/>
      <c r="AP1393" s="27"/>
      <c r="AQ1393" s="27"/>
      <c r="AR1393" s="504"/>
      <c r="AS1393" s="332"/>
      <c r="AT1393" s="160"/>
    </row>
    <row r="1394" spans="1:46" ht="21.75" hidden="1" customHeight="1">
      <c r="A1394" s="331">
        <v>1393</v>
      </c>
      <c r="B1394" s="28" t="s">
        <v>200</v>
      </c>
      <c r="C1394" s="28" t="s">
        <v>3973</v>
      </c>
      <c r="D1394" s="438" t="s">
        <v>6447</v>
      </c>
      <c r="E1394" s="361" t="str">
        <f t="shared" ca="1" si="58"/>
        <v>LOSS</v>
      </c>
      <c r="F1394" s="29"/>
      <c r="G1394" s="28" t="s">
        <v>6458</v>
      </c>
      <c r="H1394" s="29" t="s">
        <v>2748</v>
      </c>
      <c r="I1394" s="29" t="s">
        <v>346</v>
      </c>
      <c r="J1394" s="28" t="s">
        <v>201</v>
      </c>
      <c r="K1394" s="28"/>
      <c r="L1394" s="27"/>
      <c r="M1394" s="27"/>
      <c r="N1394" s="29"/>
      <c r="O1394" s="56"/>
      <c r="P1394" s="31">
        <v>55860000</v>
      </c>
      <c r="Q1394" s="31"/>
      <c r="R1394" s="27"/>
      <c r="S1394" s="32">
        <v>34000000</v>
      </c>
      <c r="T1394" s="33"/>
      <c r="U1394" s="334">
        <v>45335</v>
      </c>
      <c r="V1394" s="334">
        <v>45700</v>
      </c>
      <c r="W1394" s="27" t="s">
        <v>250</v>
      </c>
      <c r="X1394" s="27"/>
      <c r="Y1394" s="34">
        <f t="shared" ca="1" si="61"/>
        <v>46290</v>
      </c>
      <c r="Z1394" s="35">
        <f t="shared" ca="1" si="59"/>
        <v>-590</v>
      </c>
      <c r="AA1394" s="27">
        <f t="shared" si="62"/>
        <v>2</v>
      </c>
      <c r="AB1394" s="27">
        <f t="shared" si="60"/>
        <v>2025</v>
      </c>
      <c r="AC1394" s="46" t="s">
        <v>6459</v>
      </c>
      <c r="AD1394" s="46" t="s">
        <v>6460</v>
      </c>
      <c r="AE1394" s="47" t="s">
        <v>6461</v>
      </c>
      <c r="AF1394" s="27" t="s">
        <v>339</v>
      </c>
      <c r="AG1394" s="29" t="s">
        <v>6462</v>
      </c>
      <c r="AH1394" s="28" t="s">
        <v>6453</v>
      </c>
      <c r="AI1394" s="27">
        <v>89</v>
      </c>
      <c r="AJ1394" s="27" t="s">
        <v>6463</v>
      </c>
      <c r="AK1394" s="27" t="s">
        <v>6464</v>
      </c>
      <c r="AL1394" s="27" t="s">
        <v>6465</v>
      </c>
      <c r="AM1394" s="27" t="s">
        <v>6466</v>
      </c>
      <c r="AN1394" s="27" t="s">
        <v>6467</v>
      </c>
      <c r="AO1394" s="27" t="s">
        <v>6468</v>
      </c>
      <c r="AP1394" s="27" t="s">
        <v>6469</v>
      </c>
      <c r="AQ1394" s="27"/>
      <c r="AR1394" s="504"/>
      <c r="AS1394" s="332"/>
      <c r="AT1394" s="160"/>
    </row>
    <row r="1395" spans="1:46" ht="21.75" hidden="1" customHeight="1">
      <c r="A1395" s="331">
        <v>1394</v>
      </c>
      <c r="B1395" s="28" t="s">
        <v>202</v>
      </c>
      <c r="C1395" s="28" t="s">
        <v>1869</v>
      </c>
      <c r="D1395" s="437" t="s">
        <v>6470</v>
      </c>
      <c r="E1395" s="361" t="str">
        <f t="shared" ca="1" si="58"/>
        <v>LOSS</v>
      </c>
      <c r="F1395" s="29" t="s">
        <v>6471</v>
      </c>
      <c r="G1395" s="28" t="s">
        <v>6472</v>
      </c>
      <c r="H1395" s="29" t="s">
        <v>2748</v>
      </c>
      <c r="I1395" s="29" t="s">
        <v>346</v>
      </c>
      <c r="J1395" s="28" t="s">
        <v>203</v>
      </c>
      <c r="K1395" s="28"/>
      <c r="L1395" s="27"/>
      <c r="M1395" s="27"/>
      <c r="N1395" s="29"/>
      <c r="O1395" s="56"/>
      <c r="P1395" s="31">
        <v>34800000</v>
      </c>
      <c r="Q1395" s="31"/>
      <c r="R1395" s="27"/>
      <c r="S1395" s="32">
        <v>1900000</v>
      </c>
      <c r="T1395" s="33"/>
      <c r="U1395" s="334">
        <v>45299</v>
      </c>
      <c r="V1395" s="334">
        <v>45664</v>
      </c>
      <c r="W1395" s="27" t="s">
        <v>250</v>
      </c>
      <c r="X1395" s="27"/>
      <c r="Y1395" s="34">
        <f t="shared" ca="1" si="61"/>
        <v>46290</v>
      </c>
      <c r="Z1395" s="35">
        <f t="shared" ca="1" si="59"/>
        <v>-626</v>
      </c>
      <c r="AA1395" s="27">
        <f t="shared" si="62"/>
        <v>1</v>
      </c>
      <c r="AB1395" s="27">
        <f t="shared" si="60"/>
        <v>2025</v>
      </c>
      <c r="AC1395" s="28" t="s">
        <v>6473</v>
      </c>
      <c r="AD1395" s="28">
        <v>2466</v>
      </c>
      <c r="AE1395" s="27">
        <v>4500022236</v>
      </c>
      <c r="AF1395" s="27" t="s">
        <v>339</v>
      </c>
      <c r="AG1395" s="29" t="s">
        <v>6474</v>
      </c>
      <c r="AH1395" s="152" t="s">
        <v>6475</v>
      </c>
      <c r="AI1395" s="27" t="s">
        <v>115</v>
      </c>
      <c r="AJ1395" s="27">
        <v>140</v>
      </c>
      <c r="AK1395" s="27" t="s">
        <v>6476</v>
      </c>
      <c r="AL1395" s="27" t="s">
        <v>6477</v>
      </c>
      <c r="AM1395" s="27" t="s">
        <v>6478</v>
      </c>
      <c r="AN1395" s="27" t="s">
        <v>6479</v>
      </c>
      <c r="AO1395" s="27" t="s">
        <v>6480</v>
      </c>
      <c r="AP1395" s="27" t="s">
        <v>6481</v>
      </c>
      <c r="AQ1395" s="27"/>
      <c r="AR1395" s="504"/>
      <c r="AS1395" s="332" t="s">
        <v>6482</v>
      </c>
      <c r="AT1395" s="160"/>
    </row>
    <row r="1396" spans="1:46" ht="21.75" hidden="1" customHeight="1">
      <c r="A1396" s="331">
        <v>1395</v>
      </c>
      <c r="B1396" s="28" t="s">
        <v>202</v>
      </c>
      <c r="C1396" s="28" t="s">
        <v>555</v>
      </c>
      <c r="D1396" s="438" t="s">
        <v>6470</v>
      </c>
      <c r="E1396" s="361" t="str">
        <f t="shared" ca="1" si="58"/>
        <v>LOSS</v>
      </c>
      <c r="F1396" s="29"/>
      <c r="G1396" s="28" t="s">
        <v>6483</v>
      </c>
      <c r="H1396" s="29" t="s">
        <v>2748</v>
      </c>
      <c r="I1396" s="29" t="s">
        <v>346</v>
      </c>
      <c r="J1396" s="28" t="s">
        <v>1089</v>
      </c>
      <c r="K1396" s="28"/>
      <c r="L1396" s="27"/>
      <c r="M1396" s="27"/>
      <c r="N1396" s="29"/>
      <c r="O1396" s="56"/>
      <c r="P1396" s="31">
        <v>60000000</v>
      </c>
      <c r="Q1396" s="31"/>
      <c r="R1396" s="27"/>
      <c r="S1396" s="32">
        <v>15300000</v>
      </c>
      <c r="T1396" s="33"/>
      <c r="U1396" s="334">
        <v>44816</v>
      </c>
      <c r="V1396" s="334">
        <v>45180</v>
      </c>
      <c r="W1396" s="27" t="s">
        <v>245</v>
      </c>
      <c r="X1396" s="27"/>
      <c r="Y1396" s="34">
        <f t="shared" ca="1" si="61"/>
        <v>46290</v>
      </c>
      <c r="Z1396" s="35">
        <f t="shared" ca="1" si="59"/>
        <v>-1110</v>
      </c>
      <c r="AA1396" s="27">
        <f t="shared" si="62"/>
        <v>9</v>
      </c>
      <c r="AB1396" s="27">
        <f t="shared" si="60"/>
        <v>2023</v>
      </c>
      <c r="AC1396" s="28" t="s">
        <v>6484</v>
      </c>
      <c r="AD1396" s="28" t="s">
        <v>6485</v>
      </c>
      <c r="AE1396" s="27">
        <v>4500019049</v>
      </c>
      <c r="AF1396" s="27" t="s">
        <v>339</v>
      </c>
      <c r="AG1396" s="29" t="s">
        <v>6474</v>
      </c>
      <c r="AH1396" s="152" t="s">
        <v>6475</v>
      </c>
      <c r="AI1396" s="27">
        <v>82</v>
      </c>
      <c r="AJ1396" s="27" t="s">
        <v>6486</v>
      </c>
      <c r="AK1396" s="27" t="s">
        <v>6487</v>
      </c>
      <c r="AL1396" s="27" t="s">
        <v>6488</v>
      </c>
      <c r="AM1396" s="27" t="s">
        <v>6489</v>
      </c>
      <c r="AN1396" s="27" t="s">
        <v>6490</v>
      </c>
      <c r="AO1396" s="27"/>
      <c r="AP1396" s="27"/>
      <c r="AQ1396" s="27"/>
      <c r="AR1396" s="504"/>
      <c r="AS1396" s="332" t="s">
        <v>6491</v>
      </c>
      <c r="AT1396" s="160"/>
    </row>
    <row r="1397" spans="1:46" ht="21.75" hidden="1" customHeight="1">
      <c r="A1397" s="331">
        <v>1396</v>
      </c>
      <c r="B1397" s="28" t="s">
        <v>202</v>
      </c>
      <c r="C1397" s="28" t="s">
        <v>6492</v>
      </c>
      <c r="D1397" s="437" t="s">
        <v>6470</v>
      </c>
      <c r="E1397" s="361" t="str">
        <f t="shared" ca="1" si="58"/>
        <v>LOSS</v>
      </c>
      <c r="F1397" s="29"/>
      <c r="G1397" s="28" t="s">
        <v>6493</v>
      </c>
      <c r="H1397" s="29" t="s">
        <v>2748</v>
      </c>
      <c r="I1397" s="160" t="s">
        <v>346</v>
      </c>
      <c r="J1397" s="28" t="s">
        <v>6494</v>
      </c>
      <c r="K1397" s="28"/>
      <c r="L1397" s="27"/>
      <c r="M1397" s="27"/>
      <c r="N1397" s="29"/>
      <c r="O1397" s="56"/>
      <c r="P1397" s="31">
        <f>12*2750000</f>
        <v>33000000</v>
      </c>
      <c r="Q1397" s="31"/>
      <c r="R1397" s="27"/>
      <c r="S1397" s="32">
        <v>22680000</v>
      </c>
      <c r="T1397" s="33"/>
      <c r="U1397" s="334">
        <v>45536</v>
      </c>
      <c r="V1397" s="334">
        <v>45900</v>
      </c>
      <c r="W1397" s="27" t="s">
        <v>250</v>
      </c>
      <c r="X1397" s="27"/>
      <c r="Y1397" s="34">
        <f t="shared" ca="1" si="61"/>
        <v>46290</v>
      </c>
      <c r="Z1397" s="35">
        <f t="shared" ca="1" si="59"/>
        <v>-390</v>
      </c>
      <c r="AA1397" s="27">
        <f t="shared" si="62"/>
        <v>8</v>
      </c>
      <c r="AB1397" s="27">
        <f t="shared" si="60"/>
        <v>2025</v>
      </c>
      <c r="AC1397" s="28" t="s">
        <v>6495</v>
      </c>
      <c r="AD1397" s="28" t="s">
        <v>6496</v>
      </c>
      <c r="AE1397" s="27">
        <v>4500023588</v>
      </c>
      <c r="AF1397" s="27" t="s">
        <v>333</v>
      </c>
      <c r="AG1397" s="29" t="s">
        <v>6497</v>
      </c>
      <c r="AH1397" s="181" t="s">
        <v>6498</v>
      </c>
      <c r="AI1397" s="27"/>
      <c r="AJ1397" s="27"/>
      <c r="AK1397" s="27"/>
      <c r="AL1397" s="27"/>
      <c r="AM1397" s="27"/>
      <c r="AN1397" s="27"/>
      <c r="AO1397" s="27" t="s">
        <v>6499</v>
      </c>
      <c r="AP1397" s="27" t="s">
        <v>6500</v>
      </c>
      <c r="AQ1397" s="27"/>
      <c r="AR1397" s="504"/>
      <c r="AS1397" s="332" t="s">
        <v>6501</v>
      </c>
      <c r="AT1397" s="160"/>
    </row>
    <row r="1398" spans="1:46" ht="21.75" hidden="1" customHeight="1">
      <c r="A1398" s="331">
        <v>1397</v>
      </c>
      <c r="B1398" s="28" t="s">
        <v>202</v>
      </c>
      <c r="C1398" s="28" t="s">
        <v>6502</v>
      </c>
      <c r="D1398" s="438" t="s">
        <v>6470</v>
      </c>
      <c r="E1398" s="361" t="str">
        <f t="shared" ca="1" si="58"/>
        <v>LOSS</v>
      </c>
      <c r="F1398" s="29"/>
      <c r="G1398" s="28" t="s">
        <v>6503</v>
      </c>
      <c r="H1398" s="29" t="s">
        <v>2748</v>
      </c>
      <c r="I1398" s="29" t="s">
        <v>346</v>
      </c>
      <c r="J1398" s="28" t="s">
        <v>6504</v>
      </c>
      <c r="K1398" s="28"/>
      <c r="L1398" s="27"/>
      <c r="M1398" s="27"/>
      <c r="N1398" s="29"/>
      <c r="O1398" s="56"/>
      <c r="P1398" s="31">
        <f>12*4250000</f>
        <v>51000000</v>
      </c>
      <c r="Q1398" s="31"/>
      <c r="R1398" s="27"/>
      <c r="S1398" s="32">
        <v>9000000</v>
      </c>
      <c r="T1398" s="33"/>
      <c r="U1398" s="334">
        <v>45250</v>
      </c>
      <c r="V1398" s="334">
        <v>45615</v>
      </c>
      <c r="W1398" s="27" t="s">
        <v>250</v>
      </c>
      <c r="X1398" s="27"/>
      <c r="Y1398" s="34">
        <f t="shared" ca="1" si="61"/>
        <v>46290</v>
      </c>
      <c r="Z1398" s="35">
        <f t="shared" ca="1" si="59"/>
        <v>-675</v>
      </c>
      <c r="AA1398" s="27">
        <f t="shared" si="62"/>
        <v>11</v>
      </c>
      <c r="AB1398" s="27">
        <f t="shared" si="60"/>
        <v>2024</v>
      </c>
      <c r="AC1398" s="28" t="s">
        <v>479</v>
      </c>
      <c r="AD1398" s="28" t="s">
        <v>6505</v>
      </c>
      <c r="AE1398" s="27">
        <v>4500021656</v>
      </c>
      <c r="AF1398" s="27" t="s">
        <v>339</v>
      </c>
      <c r="AG1398" s="29" t="s">
        <v>6474</v>
      </c>
      <c r="AH1398" s="152" t="s">
        <v>6475</v>
      </c>
      <c r="AI1398" s="27"/>
      <c r="AJ1398" s="27"/>
      <c r="AK1398" s="27"/>
      <c r="AL1398" s="27"/>
      <c r="AM1398" s="27"/>
      <c r="AN1398" s="27"/>
      <c r="AO1398" s="27" t="s">
        <v>6506</v>
      </c>
      <c r="AP1398" s="27"/>
      <c r="AQ1398" s="27"/>
      <c r="AR1398" s="504"/>
      <c r="AS1398" s="332" t="s">
        <v>6507</v>
      </c>
      <c r="AT1398" s="160"/>
    </row>
    <row r="1399" spans="1:46" ht="21.75" hidden="1" customHeight="1">
      <c r="A1399" s="331">
        <v>1398</v>
      </c>
      <c r="B1399" s="28" t="s">
        <v>6508</v>
      </c>
      <c r="C1399" s="28" t="s">
        <v>349</v>
      </c>
      <c r="D1399" s="437" t="s">
        <v>6509</v>
      </c>
      <c r="E1399" s="361" t="str">
        <f t="shared" ca="1" si="58"/>
        <v>LOSS</v>
      </c>
      <c r="F1399" s="29"/>
      <c r="G1399" s="28" t="s">
        <v>6510</v>
      </c>
      <c r="H1399" s="29" t="s">
        <v>2748</v>
      </c>
      <c r="I1399" s="29" t="s">
        <v>346</v>
      </c>
      <c r="J1399" s="28" t="s">
        <v>6511</v>
      </c>
      <c r="K1399" s="28"/>
      <c r="L1399" s="27"/>
      <c r="M1399" s="27"/>
      <c r="N1399" s="29"/>
      <c r="O1399" s="56"/>
      <c r="P1399" s="31">
        <v>32400000</v>
      </c>
      <c r="Q1399" s="31"/>
      <c r="R1399" s="27"/>
      <c r="S1399" s="32">
        <v>21450000</v>
      </c>
      <c r="T1399" s="33"/>
      <c r="U1399" s="334">
        <v>44890</v>
      </c>
      <c r="V1399" s="334">
        <v>45254</v>
      </c>
      <c r="W1399" s="27" t="s">
        <v>250</v>
      </c>
      <c r="X1399" s="27"/>
      <c r="Y1399" s="34">
        <f t="shared" ca="1" si="61"/>
        <v>46290</v>
      </c>
      <c r="Z1399" s="35">
        <f t="shared" ca="1" si="59"/>
        <v>-1036</v>
      </c>
      <c r="AA1399" s="27">
        <f t="shared" si="62"/>
        <v>11</v>
      </c>
      <c r="AB1399" s="27">
        <f t="shared" si="60"/>
        <v>2023</v>
      </c>
      <c r="AC1399" s="28" t="s">
        <v>6512</v>
      </c>
      <c r="AD1399" s="28" t="s">
        <v>1753</v>
      </c>
      <c r="AE1399" s="27">
        <v>4500018970</v>
      </c>
      <c r="AF1399" s="27" t="s">
        <v>339</v>
      </c>
      <c r="AG1399" s="29" t="s">
        <v>6513</v>
      </c>
      <c r="AH1399" s="28" t="s">
        <v>6514</v>
      </c>
      <c r="AI1399" s="27">
        <v>79</v>
      </c>
      <c r="AJ1399" s="27" t="s">
        <v>6515</v>
      </c>
      <c r="AK1399" s="27" t="s">
        <v>6516</v>
      </c>
      <c r="AL1399" s="27"/>
      <c r="AM1399" s="27" t="s">
        <v>6517</v>
      </c>
      <c r="AN1399" s="27" t="s">
        <v>6518</v>
      </c>
      <c r="AO1399" s="27"/>
      <c r="AP1399" s="27"/>
      <c r="AQ1399" s="27"/>
      <c r="AR1399" s="504"/>
      <c r="AS1399" s="332" t="s">
        <v>6519</v>
      </c>
      <c r="AT1399" s="160"/>
    </row>
    <row r="1400" spans="1:46" ht="21.75" hidden="1" customHeight="1">
      <c r="A1400" s="331">
        <v>1399</v>
      </c>
      <c r="B1400" s="28" t="s">
        <v>6508</v>
      </c>
      <c r="C1400" s="28" t="s">
        <v>322</v>
      </c>
      <c r="D1400" s="438" t="s">
        <v>6509</v>
      </c>
      <c r="E1400" s="361" t="str">
        <f t="shared" ca="1" si="58"/>
        <v>LOSS</v>
      </c>
      <c r="F1400" s="29"/>
      <c r="G1400" s="28" t="s">
        <v>6520</v>
      </c>
      <c r="H1400" s="29" t="s">
        <v>2748</v>
      </c>
      <c r="I1400" s="29" t="s">
        <v>346</v>
      </c>
      <c r="J1400" s="28" t="s">
        <v>1802</v>
      </c>
      <c r="K1400" s="28"/>
      <c r="L1400" s="27"/>
      <c r="M1400" s="27"/>
      <c r="N1400" s="29"/>
      <c r="O1400" s="56"/>
      <c r="P1400" s="31">
        <v>60610000</v>
      </c>
      <c r="Q1400" s="31"/>
      <c r="R1400" s="27"/>
      <c r="S1400" s="32">
        <v>25000000</v>
      </c>
      <c r="T1400" s="33"/>
      <c r="U1400" s="334">
        <v>45010</v>
      </c>
      <c r="V1400" s="334">
        <v>45375</v>
      </c>
      <c r="W1400" s="27" t="s">
        <v>245</v>
      </c>
      <c r="X1400" s="27"/>
      <c r="Y1400" s="34">
        <f t="shared" ca="1" si="61"/>
        <v>46290</v>
      </c>
      <c r="Z1400" s="35">
        <f t="shared" ca="1" si="59"/>
        <v>-915</v>
      </c>
      <c r="AA1400" s="27">
        <f t="shared" si="62"/>
        <v>3</v>
      </c>
      <c r="AB1400" s="27">
        <f t="shared" si="60"/>
        <v>2024</v>
      </c>
      <c r="AC1400" s="28" t="s">
        <v>6521</v>
      </c>
      <c r="AD1400" s="28" t="s">
        <v>6522</v>
      </c>
      <c r="AE1400" s="27">
        <v>4500019961</v>
      </c>
      <c r="AF1400" s="27" t="s">
        <v>339</v>
      </c>
      <c r="AG1400" s="29" t="s">
        <v>6513</v>
      </c>
      <c r="AH1400" s="28" t="s">
        <v>6523</v>
      </c>
      <c r="AI1400" s="27">
        <v>40</v>
      </c>
      <c r="AJ1400" s="27">
        <v>159</v>
      </c>
      <c r="AK1400" s="27" t="s">
        <v>6524</v>
      </c>
      <c r="AL1400" s="27"/>
      <c r="AM1400" s="27" t="s">
        <v>6525</v>
      </c>
      <c r="AN1400" s="27" t="s">
        <v>6526</v>
      </c>
      <c r="AO1400" s="27" t="s">
        <v>6527</v>
      </c>
      <c r="AP1400" s="27"/>
      <c r="AQ1400" s="27"/>
      <c r="AR1400" s="504"/>
      <c r="AS1400" s="332" t="s">
        <v>6528</v>
      </c>
      <c r="AT1400" s="160"/>
    </row>
    <row r="1401" spans="1:46" ht="21.75" hidden="1" customHeight="1">
      <c r="A1401" s="331">
        <v>1400</v>
      </c>
      <c r="B1401" s="28" t="s">
        <v>6508</v>
      </c>
      <c r="C1401" s="28" t="s">
        <v>6529</v>
      </c>
      <c r="D1401" s="437" t="s">
        <v>6509</v>
      </c>
      <c r="E1401" s="361" t="str">
        <f t="shared" ca="1" si="58"/>
        <v>LOSS</v>
      </c>
      <c r="F1401" s="29"/>
      <c r="G1401" s="28" t="s">
        <v>6530</v>
      </c>
      <c r="H1401" s="29" t="s">
        <v>2748</v>
      </c>
      <c r="I1401" s="29" t="s">
        <v>346</v>
      </c>
      <c r="J1401" s="28" t="s">
        <v>6531</v>
      </c>
      <c r="K1401" s="28"/>
      <c r="L1401" s="27"/>
      <c r="M1401" s="27"/>
      <c r="N1401" s="29"/>
      <c r="O1401" s="56"/>
      <c r="P1401" s="31">
        <v>73920000</v>
      </c>
      <c r="Q1401" s="31"/>
      <c r="R1401" s="27"/>
      <c r="S1401" s="32">
        <v>33000000</v>
      </c>
      <c r="T1401" s="33"/>
      <c r="U1401" s="334">
        <v>44545</v>
      </c>
      <c r="V1401" s="334">
        <v>45640</v>
      </c>
      <c r="W1401" s="27" t="s">
        <v>245</v>
      </c>
      <c r="X1401" s="27"/>
      <c r="Y1401" s="34">
        <f t="shared" ca="1" si="61"/>
        <v>46290</v>
      </c>
      <c r="Z1401" s="35">
        <f t="shared" ca="1" si="59"/>
        <v>-650</v>
      </c>
      <c r="AA1401" s="27">
        <f t="shared" si="62"/>
        <v>12</v>
      </c>
      <c r="AB1401" s="27">
        <f t="shared" si="60"/>
        <v>2024</v>
      </c>
      <c r="AC1401" s="28" t="s">
        <v>479</v>
      </c>
      <c r="AD1401" s="28" t="s">
        <v>6532</v>
      </c>
      <c r="AE1401" s="27">
        <v>4500017111</v>
      </c>
      <c r="AF1401" s="27" t="s">
        <v>339</v>
      </c>
      <c r="AG1401" s="29" t="s">
        <v>6533</v>
      </c>
      <c r="AH1401" s="28" t="s">
        <v>6523</v>
      </c>
      <c r="AI1401" s="27"/>
      <c r="AJ1401" s="27"/>
      <c r="AK1401" s="27"/>
      <c r="AL1401" s="27"/>
      <c r="AM1401" s="27" t="s">
        <v>6534</v>
      </c>
      <c r="AN1401" s="27"/>
      <c r="AO1401" s="27"/>
      <c r="AP1401" s="27"/>
      <c r="AQ1401" s="27"/>
      <c r="AR1401" s="504"/>
      <c r="AS1401" s="332" t="s">
        <v>6535</v>
      </c>
      <c r="AT1401" s="160"/>
    </row>
    <row r="1402" spans="1:46" ht="21.75" hidden="1" customHeight="1">
      <c r="A1402" s="331">
        <v>1401</v>
      </c>
      <c r="B1402" s="28" t="s">
        <v>6536</v>
      </c>
      <c r="C1402" s="40" t="s">
        <v>6537</v>
      </c>
      <c r="D1402" s="438" t="s">
        <v>6538</v>
      </c>
      <c r="E1402" s="361" t="str">
        <f t="shared" ca="1" si="58"/>
        <v>ON TRACK</v>
      </c>
      <c r="F1402" s="29"/>
      <c r="G1402" s="28" t="s">
        <v>6539</v>
      </c>
      <c r="H1402" s="29" t="s">
        <v>2748</v>
      </c>
      <c r="I1402" s="29" t="s">
        <v>346</v>
      </c>
      <c r="J1402" s="38" t="s">
        <v>115</v>
      </c>
      <c r="K1402" s="28"/>
      <c r="L1402" s="27"/>
      <c r="M1402" s="27"/>
      <c r="N1402" s="29"/>
      <c r="O1402" s="56"/>
      <c r="P1402" s="43" t="s">
        <v>115</v>
      </c>
      <c r="Q1402" s="43"/>
      <c r="R1402" s="27"/>
      <c r="S1402" s="32">
        <v>75590640</v>
      </c>
      <c r="T1402" s="33"/>
      <c r="U1402" s="334">
        <v>44621</v>
      </c>
      <c r="V1402" s="334">
        <v>46446</v>
      </c>
      <c r="W1402" s="27" t="s">
        <v>17</v>
      </c>
      <c r="X1402" s="27"/>
      <c r="Y1402" s="34">
        <f t="shared" ca="1" si="61"/>
        <v>46290</v>
      </c>
      <c r="Z1402" s="35">
        <f t="shared" ca="1" si="59"/>
        <v>156</v>
      </c>
      <c r="AA1402" s="27">
        <f t="shared" si="62"/>
        <v>2</v>
      </c>
      <c r="AB1402" s="27">
        <f t="shared" si="60"/>
        <v>2027</v>
      </c>
      <c r="AC1402" s="28" t="s">
        <v>479</v>
      </c>
      <c r="AD1402" s="28" t="s">
        <v>6540</v>
      </c>
      <c r="AE1402" s="27">
        <v>4500018120</v>
      </c>
      <c r="AF1402" s="27" t="s">
        <v>339</v>
      </c>
      <c r="AG1402" s="29"/>
      <c r="AH1402" s="28"/>
      <c r="AI1402" s="27"/>
      <c r="AJ1402" s="27"/>
      <c r="AK1402" s="27"/>
      <c r="AL1402" s="27"/>
      <c r="AM1402" s="27"/>
      <c r="AN1402" s="27" t="s">
        <v>6541</v>
      </c>
      <c r="AO1402" s="27"/>
      <c r="AP1402" s="27"/>
      <c r="AQ1402" s="27"/>
      <c r="AR1402" s="504"/>
      <c r="AS1402" s="332" t="s">
        <v>6542</v>
      </c>
      <c r="AT1402" s="160"/>
    </row>
    <row r="1403" spans="1:46" ht="21.75" hidden="1" customHeight="1">
      <c r="A1403" s="331">
        <v>1402</v>
      </c>
      <c r="B1403" s="28" t="s">
        <v>6543</v>
      </c>
      <c r="C1403" s="40" t="s">
        <v>6544</v>
      </c>
      <c r="D1403" s="437" t="s">
        <v>6545</v>
      </c>
      <c r="E1403" s="361" t="str">
        <f t="shared" ca="1" si="58"/>
        <v>ON TRACK</v>
      </c>
      <c r="F1403" s="29"/>
      <c r="G1403" s="28" t="s">
        <v>6546</v>
      </c>
      <c r="H1403" s="29" t="s">
        <v>2748</v>
      </c>
      <c r="I1403" s="29" t="s">
        <v>346</v>
      </c>
      <c r="J1403" s="38" t="s">
        <v>115</v>
      </c>
      <c r="K1403" s="28"/>
      <c r="L1403" s="27"/>
      <c r="M1403" s="27"/>
      <c r="N1403" s="29"/>
      <c r="O1403" s="56"/>
      <c r="P1403" s="31"/>
      <c r="Q1403" s="31"/>
      <c r="R1403" s="27"/>
      <c r="S1403" s="32">
        <v>93555000</v>
      </c>
      <c r="T1403" s="33"/>
      <c r="U1403" s="334">
        <v>44621</v>
      </c>
      <c r="V1403" s="334">
        <v>46446</v>
      </c>
      <c r="W1403" s="27" t="s">
        <v>17</v>
      </c>
      <c r="X1403" s="27"/>
      <c r="Y1403" s="34">
        <f t="shared" ca="1" si="61"/>
        <v>46290</v>
      </c>
      <c r="Z1403" s="35">
        <f t="shared" ca="1" si="59"/>
        <v>156</v>
      </c>
      <c r="AA1403" s="27">
        <f t="shared" si="62"/>
        <v>2</v>
      </c>
      <c r="AB1403" s="27">
        <f t="shared" si="60"/>
        <v>2027</v>
      </c>
      <c r="AC1403" s="28" t="s">
        <v>479</v>
      </c>
      <c r="AD1403" s="28" t="s">
        <v>2061</v>
      </c>
      <c r="AE1403" s="27">
        <v>4500018121</v>
      </c>
      <c r="AF1403" s="27" t="s">
        <v>339</v>
      </c>
      <c r="AG1403" s="29"/>
      <c r="AH1403" s="28"/>
      <c r="AI1403" s="27"/>
      <c r="AJ1403" s="27"/>
      <c r="AK1403" s="27"/>
      <c r="AL1403" s="27"/>
      <c r="AM1403" s="27"/>
      <c r="AN1403" s="27" t="s">
        <v>6547</v>
      </c>
      <c r="AO1403" s="27"/>
      <c r="AP1403" s="27"/>
      <c r="AQ1403" s="27"/>
      <c r="AR1403" s="504"/>
      <c r="AS1403" s="332" t="s">
        <v>6548</v>
      </c>
      <c r="AT1403" s="160"/>
    </row>
    <row r="1404" spans="1:46" ht="21.75" hidden="1" customHeight="1">
      <c r="A1404" s="331">
        <v>1403</v>
      </c>
      <c r="B1404" s="159" t="s">
        <v>593</v>
      </c>
      <c r="C1404" s="28" t="s">
        <v>5351</v>
      </c>
      <c r="D1404" s="438" t="s">
        <v>6549</v>
      </c>
      <c r="E1404" s="361" t="str">
        <f t="shared" ca="1" si="58"/>
        <v>LOSS</v>
      </c>
      <c r="F1404" s="29"/>
      <c r="G1404" s="28" t="s">
        <v>6550</v>
      </c>
      <c r="H1404" s="29" t="s">
        <v>2748</v>
      </c>
      <c r="I1404" s="160" t="s">
        <v>346</v>
      </c>
      <c r="J1404" s="28">
        <v>1000029813</v>
      </c>
      <c r="K1404" s="28"/>
      <c r="L1404" s="27"/>
      <c r="M1404" s="27"/>
      <c r="N1404" s="29"/>
      <c r="O1404" s="56"/>
      <c r="P1404" s="31">
        <v>26400000</v>
      </c>
      <c r="Q1404" s="31"/>
      <c r="R1404" s="27"/>
      <c r="S1404" s="32">
        <v>25080000</v>
      </c>
      <c r="T1404" s="33"/>
      <c r="U1404" s="334">
        <v>45200</v>
      </c>
      <c r="V1404" s="334">
        <v>45565</v>
      </c>
      <c r="W1404" s="27" t="s">
        <v>250</v>
      </c>
      <c r="X1404" s="27"/>
      <c r="Y1404" s="34">
        <f t="shared" ca="1" si="61"/>
        <v>46290</v>
      </c>
      <c r="Z1404" s="35">
        <f t="shared" ca="1" si="59"/>
        <v>-725</v>
      </c>
      <c r="AA1404" s="27">
        <f t="shared" si="62"/>
        <v>9</v>
      </c>
      <c r="AB1404" s="27">
        <f t="shared" si="60"/>
        <v>2024</v>
      </c>
      <c r="AC1404" s="28" t="s">
        <v>6551</v>
      </c>
      <c r="AD1404" s="28" t="s">
        <v>6552</v>
      </c>
      <c r="AE1404" s="27">
        <v>4500021457</v>
      </c>
      <c r="AF1404" s="27" t="s">
        <v>339</v>
      </c>
      <c r="AG1404" s="29"/>
      <c r="AH1404" s="28"/>
      <c r="AI1404" s="27">
        <v>122</v>
      </c>
      <c r="AJ1404" s="27" t="s">
        <v>6553</v>
      </c>
      <c r="AK1404" s="27" t="s">
        <v>6554</v>
      </c>
      <c r="AL1404" s="27" t="s">
        <v>6555</v>
      </c>
      <c r="AM1404" s="27" t="s">
        <v>6556</v>
      </c>
      <c r="AN1404" s="27" t="s">
        <v>6557</v>
      </c>
      <c r="AO1404" s="27" t="s">
        <v>6558</v>
      </c>
      <c r="AP1404" s="27"/>
      <c r="AQ1404" s="27"/>
      <c r="AR1404" s="504"/>
      <c r="AS1404" s="332" t="s">
        <v>6559</v>
      </c>
      <c r="AT1404" s="160"/>
    </row>
    <row r="1405" spans="1:46" ht="21.75" hidden="1" customHeight="1">
      <c r="A1405" s="331">
        <v>1404</v>
      </c>
      <c r="B1405" s="28" t="s">
        <v>6560</v>
      </c>
      <c r="C1405" s="28" t="s">
        <v>3484</v>
      </c>
      <c r="D1405" s="437" t="s">
        <v>6561</v>
      </c>
      <c r="E1405" s="361" t="str">
        <f t="shared" ca="1" si="58"/>
        <v>LOSS</v>
      </c>
      <c r="F1405" s="29"/>
      <c r="G1405" s="28" t="s">
        <v>6562</v>
      </c>
      <c r="H1405" s="29" t="s">
        <v>2748</v>
      </c>
      <c r="I1405" s="29" t="s">
        <v>346</v>
      </c>
      <c r="J1405" s="28" t="s">
        <v>793</v>
      </c>
      <c r="K1405" s="28"/>
      <c r="L1405" s="27"/>
      <c r="M1405" s="27"/>
      <c r="N1405" s="29"/>
      <c r="O1405" s="56"/>
      <c r="P1405" s="31">
        <v>35636364</v>
      </c>
      <c r="Q1405" s="31"/>
      <c r="R1405" s="27"/>
      <c r="S1405" s="32">
        <v>6363636</v>
      </c>
      <c r="T1405" s="33"/>
      <c r="U1405" s="334">
        <v>44666</v>
      </c>
      <c r="V1405" s="334">
        <v>45030</v>
      </c>
      <c r="W1405" s="27" t="s">
        <v>250</v>
      </c>
      <c r="X1405" s="27"/>
      <c r="Y1405" s="34">
        <f t="shared" ca="1" si="61"/>
        <v>46290</v>
      </c>
      <c r="Z1405" s="35">
        <f t="shared" ca="1" si="59"/>
        <v>-1260</v>
      </c>
      <c r="AA1405" s="27">
        <f t="shared" si="62"/>
        <v>4</v>
      </c>
      <c r="AB1405" s="27">
        <f t="shared" si="60"/>
        <v>2023</v>
      </c>
      <c r="AC1405" s="28" t="s">
        <v>6563</v>
      </c>
      <c r="AD1405" s="28" t="s">
        <v>6564</v>
      </c>
      <c r="AE1405" s="27">
        <v>4500017917</v>
      </c>
      <c r="AF1405" s="27" t="s">
        <v>339</v>
      </c>
      <c r="AG1405" s="29" t="s">
        <v>6565</v>
      </c>
      <c r="AH1405" s="28" t="s">
        <v>6566</v>
      </c>
      <c r="AI1405" s="27" t="s">
        <v>6567</v>
      </c>
      <c r="AJ1405" s="27" t="s">
        <v>6568</v>
      </c>
      <c r="AK1405" s="27" t="s">
        <v>6569</v>
      </c>
      <c r="AL1405" s="27" t="s">
        <v>6570</v>
      </c>
      <c r="AM1405" s="27" t="s">
        <v>6571</v>
      </c>
      <c r="AN1405" s="27" t="s">
        <v>6572</v>
      </c>
      <c r="AO1405" s="27"/>
      <c r="AP1405" s="27"/>
      <c r="AQ1405" s="27"/>
      <c r="AR1405" s="504"/>
      <c r="AS1405" s="332"/>
      <c r="AT1405" s="160"/>
    </row>
    <row r="1406" spans="1:46" ht="21.75" hidden="1" customHeight="1">
      <c r="A1406" s="331">
        <v>1405</v>
      </c>
      <c r="B1406" s="28" t="s">
        <v>6560</v>
      </c>
      <c r="C1406" s="28" t="s">
        <v>6573</v>
      </c>
      <c r="D1406" s="438" t="s">
        <v>6561</v>
      </c>
      <c r="E1406" s="361" t="str">
        <f t="shared" ca="1" si="58"/>
        <v>LOSS</v>
      </c>
      <c r="F1406" s="29"/>
      <c r="G1406" s="28" t="s">
        <v>6574</v>
      </c>
      <c r="H1406" s="29" t="s">
        <v>2748</v>
      </c>
      <c r="I1406" s="29" t="s">
        <v>346</v>
      </c>
      <c r="J1406" s="28" t="s">
        <v>6575</v>
      </c>
      <c r="K1406" s="28"/>
      <c r="L1406" s="27"/>
      <c r="M1406" s="27"/>
      <c r="N1406" s="29"/>
      <c r="O1406" s="56"/>
      <c r="P1406" s="31">
        <v>16905000</v>
      </c>
      <c r="Q1406" s="31"/>
      <c r="R1406" s="27"/>
      <c r="S1406" s="32">
        <v>6363636</v>
      </c>
      <c r="T1406" s="33"/>
      <c r="U1406" s="334">
        <v>43886</v>
      </c>
      <c r="V1406" s="334">
        <v>44251</v>
      </c>
      <c r="W1406" s="27" t="s">
        <v>245</v>
      </c>
      <c r="X1406" s="27"/>
      <c r="Y1406" s="34">
        <f t="shared" ca="1" si="61"/>
        <v>46290</v>
      </c>
      <c r="Z1406" s="35">
        <f t="shared" ca="1" si="59"/>
        <v>-2039</v>
      </c>
      <c r="AA1406" s="27">
        <f t="shared" si="62"/>
        <v>2</v>
      </c>
      <c r="AB1406" s="27">
        <f t="shared" si="60"/>
        <v>2021</v>
      </c>
      <c r="AC1406" s="28" t="s">
        <v>6576</v>
      </c>
      <c r="AD1406" s="28" t="s">
        <v>6577</v>
      </c>
      <c r="AE1406" s="27">
        <v>4500014898</v>
      </c>
      <c r="AF1406" s="27" t="s">
        <v>339</v>
      </c>
      <c r="AG1406" s="29" t="s">
        <v>6565</v>
      </c>
      <c r="AH1406" s="28" t="s">
        <v>6566</v>
      </c>
      <c r="AI1406" s="27" t="s">
        <v>115</v>
      </c>
      <c r="AJ1406" s="27" t="s">
        <v>6578</v>
      </c>
      <c r="AK1406" s="27" t="s">
        <v>6579</v>
      </c>
      <c r="AL1406" s="27" t="s">
        <v>6580</v>
      </c>
      <c r="AM1406" s="27"/>
      <c r="AN1406" s="27"/>
      <c r="AO1406" s="27"/>
      <c r="AP1406" s="27"/>
      <c r="AQ1406" s="27"/>
      <c r="AR1406" s="504"/>
      <c r="AS1406" s="332"/>
      <c r="AT1406" s="160"/>
    </row>
    <row r="1407" spans="1:46" ht="21.75" hidden="1" customHeight="1">
      <c r="A1407" s="331">
        <v>1406</v>
      </c>
      <c r="B1407" s="28" t="s">
        <v>6560</v>
      </c>
      <c r="C1407" s="28" t="s">
        <v>6581</v>
      </c>
      <c r="D1407" s="437" t="s">
        <v>6561</v>
      </c>
      <c r="E1407" s="361" t="str">
        <f t="shared" ca="1" si="58"/>
        <v>LOSS</v>
      </c>
      <c r="F1407" s="29"/>
      <c r="G1407" s="28" t="s">
        <v>6582</v>
      </c>
      <c r="H1407" s="29" t="s">
        <v>2748</v>
      </c>
      <c r="I1407" s="29" t="s">
        <v>346</v>
      </c>
      <c r="J1407" s="28" t="s">
        <v>6583</v>
      </c>
      <c r="K1407" s="28"/>
      <c r="L1407" s="27"/>
      <c r="M1407" s="27"/>
      <c r="N1407" s="29"/>
      <c r="O1407" s="56"/>
      <c r="P1407" s="31">
        <v>17400000</v>
      </c>
      <c r="Q1407" s="31"/>
      <c r="R1407" s="27"/>
      <c r="S1407" s="32">
        <v>6363636</v>
      </c>
      <c r="T1407" s="33"/>
      <c r="U1407" s="334">
        <v>43510</v>
      </c>
      <c r="V1407" s="334">
        <v>43873</v>
      </c>
      <c r="W1407" s="27" t="s">
        <v>245</v>
      </c>
      <c r="X1407" s="27"/>
      <c r="Y1407" s="34">
        <f t="shared" ca="1" si="61"/>
        <v>46290</v>
      </c>
      <c r="Z1407" s="35">
        <f t="shared" ca="1" si="59"/>
        <v>-2417</v>
      </c>
      <c r="AA1407" s="27">
        <f t="shared" si="62"/>
        <v>2</v>
      </c>
      <c r="AB1407" s="27">
        <f t="shared" si="60"/>
        <v>2020</v>
      </c>
      <c r="AC1407" s="28" t="s">
        <v>6584</v>
      </c>
      <c r="AD1407" s="28" t="s">
        <v>6585</v>
      </c>
      <c r="AE1407" s="27">
        <v>4500012380</v>
      </c>
      <c r="AF1407" s="27" t="s">
        <v>339</v>
      </c>
      <c r="AG1407" s="29" t="s">
        <v>6565</v>
      </c>
      <c r="AH1407" s="28" t="s">
        <v>6566</v>
      </c>
      <c r="AI1407" s="27" t="s">
        <v>115</v>
      </c>
      <c r="AJ1407" s="27" t="s">
        <v>6586</v>
      </c>
      <c r="AK1407" s="27" t="s">
        <v>6587</v>
      </c>
      <c r="AL1407" s="27"/>
      <c r="AM1407" s="27"/>
      <c r="AN1407" s="27"/>
      <c r="AO1407" s="27"/>
      <c r="AP1407" s="27"/>
      <c r="AQ1407" s="27"/>
      <c r="AR1407" s="504"/>
      <c r="AS1407" s="332"/>
      <c r="AT1407" s="160"/>
    </row>
    <row r="1408" spans="1:46" ht="21.75" hidden="1" customHeight="1">
      <c r="A1408" s="331">
        <v>1407</v>
      </c>
      <c r="B1408" s="28" t="s">
        <v>6560</v>
      </c>
      <c r="C1408" s="28" t="s">
        <v>6588</v>
      </c>
      <c r="D1408" s="438" t="s">
        <v>6561</v>
      </c>
      <c r="E1408" s="361" t="str">
        <f t="shared" ca="1" si="58"/>
        <v>LOSS</v>
      </c>
      <c r="F1408" s="29"/>
      <c r="G1408" s="28" t="s">
        <v>6589</v>
      </c>
      <c r="H1408" s="29" t="s">
        <v>2748</v>
      </c>
      <c r="I1408" s="29" t="s">
        <v>346</v>
      </c>
      <c r="J1408" s="28" t="s">
        <v>868</v>
      </c>
      <c r="K1408" s="28"/>
      <c r="L1408" s="27"/>
      <c r="M1408" s="27"/>
      <c r="N1408" s="29"/>
      <c r="O1408" s="56"/>
      <c r="P1408" s="31">
        <v>23760000</v>
      </c>
      <c r="Q1408" s="31"/>
      <c r="R1408" s="27"/>
      <c r="S1408" s="32">
        <v>6363636</v>
      </c>
      <c r="T1408" s="33"/>
      <c r="U1408" s="334">
        <v>44489</v>
      </c>
      <c r="V1408" s="334">
        <v>44853</v>
      </c>
      <c r="W1408" s="27" t="s">
        <v>250</v>
      </c>
      <c r="X1408" s="27"/>
      <c r="Y1408" s="34">
        <f t="shared" ca="1" si="61"/>
        <v>46290</v>
      </c>
      <c r="Z1408" s="35">
        <f t="shared" ca="1" si="59"/>
        <v>-1437</v>
      </c>
      <c r="AA1408" s="27">
        <f t="shared" si="62"/>
        <v>10</v>
      </c>
      <c r="AB1408" s="27">
        <f t="shared" si="60"/>
        <v>2022</v>
      </c>
      <c r="AC1408" s="28" t="s">
        <v>6590</v>
      </c>
      <c r="AD1408" s="28"/>
      <c r="AE1408" s="27">
        <v>4500017359</v>
      </c>
      <c r="AF1408" s="27" t="s">
        <v>339</v>
      </c>
      <c r="AG1408" s="29" t="s">
        <v>6565</v>
      </c>
      <c r="AH1408" s="28" t="s">
        <v>6566</v>
      </c>
      <c r="AI1408" s="27"/>
      <c r="AJ1408" s="27"/>
      <c r="AK1408" s="27" t="s">
        <v>6591</v>
      </c>
      <c r="AL1408" s="27" t="s">
        <v>6592</v>
      </c>
      <c r="AM1408" s="27" t="s">
        <v>6593</v>
      </c>
      <c r="AN1408" s="27"/>
      <c r="AO1408" s="27"/>
      <c r="AP1408" s="27"/>
      <c r="AQ1408" s="27"/>
      <c r="AR1408" s="504"/>
      <c r="AS1408" s="332" t="s">
        <v>6594</v>
      </c>
      <c r="AT1408" s="160"/>
    </row>
    <row r="1409" spans="1:46" ht="21.75" hidden="1" customHeight="1">
      <c r="A1409" s="331">
        <v>1408</v>
      </c>
      <c r="B1409" s="28" t="s">
        <v>6595</v>
      </c>
      <c r="C1409" s="28" t="s">
        <v>6596</v>
      </c>
      <c r="D1409" s="444" t="s">
        <v>6597</v>
      </c>
      <c r="E1409" s="361" t="str">
        <f t="shared" ca="1" si="58"/>
        <v>LOSS</v>
      </c>
      <c r="F1409" s="29"/>
      <c r="G1409" s="28" t="s">
        <v>6598</v>
      </c>
      <c r="H1409" s="29" t="s">
        <v>2748</v>
      </c>
      <c r="I1409" s="29" t="s">
        <v>346</v>
      </c>
      <c r="J1409" s="28" t="s">
        <v>6599</v>
      </c>
      <c r="K1409" s="28"/>
      <c r="L1409" s="27"/>
      <c r="M1409" s="27"/>
      <c r="N1409" s="29"/>
      <c r="O1409" s="56"/>
      <c r="P1409" s="31">
        <v>3600000000</v>
      </c>
      <c r="Q1409" s="31"/>
      <c r="R1409" s="27"/>
      <c r="S1409" s="32">
        <v>46250000</v>
      </c>
      <c r="T1409" s="33"/>
      <c r="U1409" s="334">
        <v>44076</v>
      </c>
      <c r="V1409" s="334">
        <v>44440</v>
      </c>
      <c r="W1409" s="27" t="s">
        <v>245</v>
      </c>
      <c r="X1409" s="27"/>
      <c r="Y1409" s="34">
        <f t="shared" ca="1" si="61"/>
        <v>46290</v>
      </c>
      <c r="Z1409" s="35">
        <f t="shared" ca="1" si="59"/>
        <v>-1850</v>
      </c>
      <c r="AA1409" s="27">
        <f t="shared" si="62"/>
        <v>9</v>
      </c>
      <c r="AB1409" s="27">
        <f t="shared" si="60"/>
        <v>2021</v>
      </c>
      <c r="AC1409" s="46" t="s">
        <v>6600</v>
      </c>
      <c r="AD1409" s="46" t="s">
        <v>6601</v>
      </c>
      <c r="AE1409" s="47" t="s">
        <v>6602</v>
      </c>
      <c r="AF1409" s="27" t="s">
        <v>339</v>
      </c>
      <c r="AG1409" s="29" t="s">
        <v>6603</v>
      </c>
      <c r="AH1409" s="28" t="s">
        <v>6604</v>
      </c>
      <c r="AI1409" s="27">
        <v>80</v>
      </c>
      <c r="AJ1409" s="27" t="s">
        <v>6605</v>
      </c>
      <c r="AK1409" s="27" t="s">
        <v>6606</v>
      </c>
      <c r="AL1409" s="27" t="s">
        <v>6607</v>
      </c>
      <c r="AM1409" s="27"/>
      <c r="AN1409" s="27"/>
      <c r="AO1409" s="27"/>
      <c r="AP1409" s="27"/>
      <c r="AQ1409" s="27"/>
      <c r="AR1409" s="504"/>
      <c r="AS1409" s="332" t="s">
        <v>6608</v>
      </c>
      <c r="AT1409" s="160"/>
    </row>
    <row r="1410" spans="1:46" ht="21.75" hidden="1" customHeight="1">
      <c r="A1410" s="331">
        <v>1409</v>
      </c>
      <c r="B1410" s="28" t="s">
        <v>6595</v>
      </c>
      <c r="C1410" s="28" t="s">
        <v>2149</v>
      </c>
      <c r="D1410" s="438" t="s">
        <v>6609</v>
      </c>
      <c r="E1410" s="361" t="str">
        <f t="shared" ref="E1410:E1473" ca="1" si="63">IF(Z1410&lt;=0, "LOSS",IF(Z1410&lt;=15, "CRITICAL",IF(Z1410&lt;=30, "WARNING",IF(Z1410&lt;60, "ATTENTION", "ON TRACK"))))</f>
        <v>LOSS</v>
      </c>
      <c r="F1410" s="29"/>
      <c r="G1410" s="40" t="s">
        <v>6610</v>
      </c>
      <c r="H1410" s="29" t="s">
        <v>2748</v>
      </c>
      <c r="I1410" s="29" t="s">
        <v>346</v>
      </c>
      <c r="J1410" s="28" t="s">
        <v>1707</v>
      </c>
      <c r="K1410" s="28"/>
      <c r="L1410" s="27"/>
      <c r="M1410" s="27"/>
      <c r="N1410" s="29"/>
      <c r="O1410" s="56"/>
      <c r="P1410" s="31">
        <v>54000000</v>
      </c>
      <c r="Q1410" s="31"/>
      <c r="R1410" s="30"/>
      <c r="S1410" s="32">
        <v>40625000</v>
      </c>
      <c r="T1410" s="33"/>
      <c r="U1410" s="334">
        <v>44463</v>
      </c>
      <c r="V1410" s="334">
        <v>44827</v>
      </c>
      <c r="W1410" s="27" t="s">
        <v>245</v>
      </c>
      <c r="X1410" s="27"/>
      <c r="Y1410" s="34">
        <f t="shared" ca="1" si="61"/>
        <v>46290</v>
      </c>
      <c r="Z1410" s="35">
        <f t="shared" ca="1" si="59"/>
        <v>-1463</v>
      </c>
      <c r="AA1410" s="27">
        <f t="shared" si="62"/>
        <v>9</v>
      </c>
      <c r="AB1410" s="27">
        <f t="shared" si="60"/>
        <v>2022</v>
      </c>
      <c r="AC1410" s="46" t="s">
        <v>6611</v>
      </c>
      <c r="AD1410" s="46" t="s">
        <v>6612</v>
      </c>
      <c r="AE1410" s="47" t="s">
        <v>6613</v>
      </c>
      <c r="AF1410" s="27" t="s">
        <v>339</v>
      </c>
      <c r="AG1410" s="29" t="s">
        <v>6614</v>
      </c>
      <c r="AH1410" s="28" t="s">
        <v>6615</v>
      </c>
      <c r="AI1410" s="27"/>
      <c r="AJ1410" s="27" t="s">
        <v>6616</v>
      </c>
      <c r="AK1410" s="27" t="s">
        <v>6617</v>
      </c>
      <c r="AL1410" s="27" t="s">
        <v>6618</v>
      </c>
      <c r="AM1410" s="27" t="s">
        <v>6619</v>
      </c>
      <c r="AN1410" s="27"/>
      <c r="AO1410" s="27"/>
      <c r="AP1410" s="27"/>
      <c r="AQ1410" s="27"/>
      <c r="AR1410" s="504"/>
      <c r="AS1410" s="491" t="s">
        <v>6620</v>
      </c>
      <c r="AT1410" s="160"/>
    </row>
    <row r="1411" spans="1:46" ht="21.75" hidden="1" customHeight="1">
      <c r="A1411" s="331">
        <v>1410</v>
      </c>
      <c r="B1411" s="28" t="s">
        <v>6621</v>
      </c>
      <c r="C1411" s="28" t="s">
        <v>6622</v>
      </c>
      <c r="D1411" s="437" t="s">
        <v>6623</v>
      </c>
      <c r="E1411" s="361" t="str">
        <f t="shared" ca="1" si="63"/>
        <v>LOSS</v>
      </c>
      <c r="F1411" s="29"/>
      <c r="G1411" s="28" t="s">
        <v>6624</v>
      </c>
      <c r="H1411" s="29" t="s">
        <v>2748</v>
      </c>
      <c r="I1411" s="29" t="s">
        <v>242</v>
      </c>
      <c r="J1411" s="28" t="s">
        <v>416</v>
      </c>
      <c r="K1411" s="28"/>
      <c r="L1411" s="27"/>
      <c r="M1411" s="27"/>
      <c r="N1411" s="29"/>
      <c r="O1411" s="56"/>
      <c r="P1411" s="31">
        <f>12*2000000</f>
        <v>24000000</v>
      </c>
      <c r="Q1411" s="31"/>
      <c r="R1411" s="27"/>
      <c r="S1411" s="32">
        <v>225000000</v>
      </c>
      <c r="T1411" s="33"/>
      <c r="U1411" s="334">
        <v>44579</v>
      </c>
      <c r="V1411" s="334">
        <v>45674</v>
      </c>
      <c r="W1411" s="27" t="s">
        <v>250</v>
      </c>
      <c r="X1411" s="27"/>
      <c r="Y1411" s="34">
        <f t="shared" ca="1" si="61"/>
        <v>46290</v>
      </c>
      <c r="Z1411" s="35">
        <f t="shared" ca="1" si="59"/>
        <v>-616</v>
      </c>
      <c r="AA1411" s="27">
        <f t="shared" si="62"/>
        <v>1</v>
      </c>
      <c r="AB1411" s="27">
        <f t="shared" si="60"/>
        <v>2025</v>
      </c>
      <c r="AC1411" s="28" t="s">
        <v>479</v>
      </c>
      <c r="AD1411" s="28" t="s">
        <v>6625</v>
      </c>
      <c r="AE1411" s="27">
        <v>4500017589</v>
      </c>
      <c r="AF1411" s="27" t="s">
        <v>339</v>
      </c>
      <c r="AG1411" s="29"/>
      <c r="AH1411" s="28"/>
      <c r="AI1411" s="27"/>
      <c r="AJ1411" s="27"/>
      <c r="AK1411" s="27"/>
      <c r="AL1411" s="27"/>
      <c r="AM1411" s="27"/>
      <c r="AN1411" s="27" t="s">
        <v>6626</v>
      </c>
      <c r="AO1411" s="27"/>
      <c r="AP1411" s="27"/>
      <c r="AQ1411" s="27"/>
      <c r="AR1411" s="504"/>
      <c r="AS1411" s="332" t="s">
        <v>6627</v>
      </c>
      <c r="AT1411" s="160"/>
    </row>
    <row r="1412" spans="1:46" ht="21.75" hidden="1" customHeight="1">
      <c r="A1412" s="331">
        <v>1411</v>
      </c>
      <c r="B1412" s="28" t="s">
        <v>6628</v>
      </c>
      <c r="C1412" s="28" t="s">
        <v>6629</v>
      </c>
      <c r="D1412" s="438" t="s">
        <v>6630</v>
      </c>
      <c r="E1412" s="361" t="str">
        <f t="shared" ca="1" si="63"/>
        <v>LOSS</v>
      </c>
      <c r="F1412" s="28"/>
      <c r="G1412" s="28" t="s">
        <v>6631</v>
      </c>
      <c r="H1412" s="28" t="s">
        <v>261</v>
      </c>
      <c r="I1412" s="361" t="s">
        <v>243</v>
      </c>
      <c r="J1412" s="28" t="s">
        <v>6632</v>
      </c>
      <c r="K1412" s="38" t="s">
        <v>6633</v>
      </c>
      <c r="L1412" s="53">
        <v>0.99</v>
      </c>
      <c r="M1412" s="27" t="s">
        <v>329</v>
      </c>
      <c r="N1412" s="29" t="s">
        <v>494</v>
      </c>
      <c r="O1412" s="56"/>
      <c r="P1412" s="52">
        <v>135818184</v>
      </c>
      <c r="Q1412" s="52"/>
      <c r="R1412" s="56"/>
      <c r="S1412" s="32">
        <v>90000000</v>
      </c>
      <c r="T1412" s="33"/>
      <c r="U1412" s="334">
        <v>45156</v>
      </c>
      <c r="V1412" s="334">
        <v>45521</v>
      </c>
      <c r="W1412" s="27" t="s">
        <v>250</v>
      </c>
      <c r="X1412" s="27"/>
      <c r="Y1412" s="34">
        <f t="shared" ca="1" si="61"/>
        <v>46290</v>
      </c>
      <c r="Z1412" s="35">
        <f t="shared" ca="1" si="59"/>
        <v>-769</v>
      </c>
      <c r="AA1412" s="27">
        <f t="shared" si="62"/>
        <v>8</v>
      </c>
      <c r="AB1412" s="27">
        <f t="shared" si="60"/>
        <v>2024</v>
      </c>
      <c r="AC1412" s="28">
        <v>4500018499</v>
      </c>
      <c r="AD1412" s="28" t="s">
        <v>6634</v>
      </c>
      <c r="AE1412" s="27">
        <v>4500021052</v>
      </c>
      <c r="AF1412" s="27" t="s">
        <v>471</v>
      </c>
      <c r="AG1412" s="29" t="s">
        <v>6635</v>
      </c>
      <c r="AH1412" s="29" t="s">
        <v>6636</v>
      </c>
      <c r="AI1412" s="27"/>
      <c r="AJ1412" s="27"/>
      <c r="AK1412" s="27"/>
      <c r="AL1412" s="27"/>
      <c r="AM1412" s="27"/>
      <c r="AN1412" s="27"/>
      <c r="AO1412" s="27">
        <v>241</v>
      </c>
      <c r="AP1412" s="27"/>
      <c r="AQ1412" s="27"/>
      <c r="AR1412" s="504"/>
      <c r="AS1412" s="332" t="s">
        <v>6637</v>
      </c>
      <c r="AT1412" s="160"/>
    </row>
    <row r="1413" spans="1:46" ht="21.75" hidden="1" customHeight="1">
      <c r="A1413" s="331">
        <v>1412</v>
      </c>
      <c r="B1413" s="28" t="s">
        <v>41</v>
      </c>
      <c r="C1413" s="28" t="s">
        <v>2902</v>
      </c>
      <c r="D1413" s="444" t="s">
        <v>2832</v>
      </c>
      <c r="E1413" s="361" t="str">
        <f t="shared" ca="1" si="63"/>
        <v>LOSS</v>
      </c>
      <c r="F1413" s="29"/>
      <c r="G1413" s="28" t="s">
        <v>2903</v>
      </c>
      <c r="H1413" s="29" t="s">
        <v>2748</v>
      </c>
      <c r="I1413" s="29" t="s">
        <v>242</v>
      </c>
      <c r="J1413" s="40" t="s">
        <v>43</v>
      </c>
      <c r="K1413" s="38"/>
      <c r="L1413" s="53"/>
      <c r="M1413" s="27"/>
      <c r="N1413" s="29"/>
      <c r="O1413" s="56"/>
      <c r="P1413" s="31">
        <v>216000000</v>
      </c>
      <c r="Q1413" s="31"/>
      <c r="R1413" s="27"/>
      <c r="S1413" s="32">
        <v>24000000</v>
      </c>
      <c r="T1413" s="33"/>
      <c r="U1413" s="334">
        <v>45547</v>
      </c>
      <c r="V1413" s="334">
        <v>45911</v>
      </c>
      <c r="W1413" s="27" t="s">
        <v>250</v>
      </c>
      <c r="X1413" s="27"/>
      <c r="Y1413" s="34">
        <f t="shared" ca="1" si="61"/>
        <v>46290</v>
      </c>
      <c r="Z1413" s="35">
        <f t="shared" ref="Z1413:Z1476" ca="1" si="64">V1413-Y1413</f>
        <v>-379</v>
      </c>
      <c r="AA1413" s="27">
        <f t="shared" si="62"/>
        <v>9</v>
      </c>
      <c r="AB1413" s="27">
        <f t="shared" ref="AB1413:AB1441" si="65">YEAR(V1413)</f>
        <v>2025</v>
      </c>
      <c r="AC1413" s="28"/>
      <c r="AD1413" s="28" t="s">
        <v>6638</v>
      </c>
      <c r="AE1413" s="27">
        <v>4500023190</v>
      </c>
      <c r="AF1413" s="27" t="s">
        <v>333</v>
      </c>
      <c r="AG1413" s="29"/>
      <c r="AH1413" s="28"/>
      <c r="AI1413" s="27"/>
      <c r="AJ1413" s="27"/>
      <c r="AK1413" s="27"/>
      <c r="AL1413" s="27"/>
      <c r="AM1413" s="27"/>
      <c r="AN1413" s="27"/>
      <c r="AO1413" s="27"/>
      <c r="AP1413" s="27" t="s">
        <v>6639</v>
      </c>
      <c r="AQ1413" s="27"/>
      <c r="AR1413" s="504"/>
      <c r="AS1413" s="332"/>
      <c r="AT1413" s="160"/>
    </row>
    <row r="1414" spans="1:46" ht="21.75" hidden="1" customHeight="1">
      <c r="A1414" s="331">
        <v>1413</v>
      </c>
      <c r="B1414" s="28" t="s">
        <v>41</v>
      </c>
      <c r="C1414" s="28" t="s">
        <v>1854</v>
      </c>
      <c r="D1414" s="438" t="s">
        <v>6640</v>
      </c>
      <c r="E1414" s="361" t="str">
        <f t="shared" ca="1" si="63"/>
        <v>LOSS</v>
      </c>
      <c r="F1414" s="27"/>
      <c r="G1414" s="28" t="s">
        <v>6641</v>
      </c>
      <c r="H1414" s="28" t="s">
        <v>261</v>
      </c>
      <c r="I1414" s="361" t="s">
        <v>243</v>
      </c>
      <c r="J1414" s="28" t="s">
        <v>6642</v>
      </c>
      <c r="K1414" s="57">
        <v>990000320523937</v>
      </c>
      <c r="L1414" s="51">
        <v>0.995</v>
      </c>
      <c r="M1414" s="27" t="s">
        <v>365</v>
      </c>
      <c r="N1414" s="29" t="s">
        <v>389</v>
      </c>
      <c r="O1414" s="56"/>
      <c r="P1414" s="58">
        <v>189600000</v>
      </c>
      <c r="Q1414" s="58"/>
      <c r="R1414" s="27"/>
      <c r="S1414" s="59">
        <v>9000000</v>
      </c>
      <c r="T1414" s="59"/>
      <c r="U1414" s="334">
        <v>44378</v>
      </c>
      <c r="V1414" s="334">
        <v>44742</v>
      </c>
      <c r="W1414" s="27" t="s">
        <v>245</v>
      </c>
      <c r="X1414" s="27"/>
      <c r="Y1414" s="34">
        <f t="shared" ca="1" si="61"/>
        <v>46290</v>
      </c>
      <c r="Z1414" s="35">
        <f t="shared" ca="1" si="64"/>
        <v>-1548</v>
      </c>
      <c r="AA1414" s="27">
        <f t="shared" si="62"/>
        <v>6</v>
      </c>
      <c r="AB1414" s="27">
        <f t="shared" si="65"/>
        <v>2022</v>
      </c>
      <c r="AC1414" s="38">
        <v>4500014494</v>
      </c>
      <c r="AD1414" s="38" t="s">
        <v>115</v>
      </c>
      <c r="AE1414" s="27">
        <v>4500016424</v>
      </c>
      <c r="AF1414" s="27" t="s">
        <v>471</v>
      </c>
      <c r="AG1414" s="29"/>
      <c r="AH1414" s="29"/>
      <c r="AI1414" s="27"/>
      <c r="AJ1414" s="27"/>
      <c r="AK1414" s="27"/>
      <c r="AL1414" s="27"/>
      <c r="AM1414" s="27"/>
      <c r="AN1414" s="27"/>
      <c r="AO1414" s="27">
        <v>121</v>
      </c>
      <c r="AP1414" s="27"/>
      <c r="AQ1414" s="27"/>
      <c r="AR1414" s="504"/>
      <c r="AS1414" s="332" t="s">
        <v>245</v>
      </c>
      <c r="AT1414" s="160"/>
    </row>
    <row r="1415" spans="1:46" ht="21.75" hidden="1" customHeight="1">
      <c r="A1415" s="331">
        <v>1414</v>
      </c>
      <c r="B1415" s="28" t="s">
        <v>41</v>
      </c>
      <c r="C1415" s="28" t="s">
        <v>6643</v>
      </c>
      <c r="D1415" s="437" t="s">
        <v>6644</v>
      </c>
      <c r="E1415" s="361" t="str">
        <f t="shared" ca="1" si="63"/>
        <v>LOSS</v>
      </c>
      <c r="F1415" s="28" t="s">
        <v>6645</v>
      </c>
      <c r="G1415" s="38" t="s">
        <v>6646</v>
      </c>
      <c r="H1415" s="28" t="s">
        <v>261</v>
      </c>
      <c r="I1415" s="361" t="s">
        <v>243</v>
      </c>
      <c r="J1415" s="28" t="s">
        <v>6647</v>
      </c>
      <c r="K1415" s="38" t="s">
        <v>6648</v>
      </c>
      <c r="L1415" s="51">
        <v>0.995</v>
      </c>
      <c r="M1415" s="27" t="s">
        <v>365</v>
      </c>
      <c r="N1415" s="29" t="s">
        <v>6649</v>
      </c>
      <c r="O1415" s="56"/>
      <c r="P1415" s="31">
        <v>285600000</v>
      </c>
      <c r="Q1415" s="31"/>
      <c r="R1415" s="27"/>
      <c r="S1415" s="33">
        <v>78000000</v>
      </c>
      <c r="T1415" s="33"/>
      <c r="U1415" s="334">
        <v>44743</v>
      </c>
      <c r="V1415" s="334">
        <v>45107</v>
      </c>
      <c r="W1415" s="27" t="s">
        <v>245</v>
      </c>
      <c r="X1415" s="27"/>
      <c r="Y1415" s="34">
        <f t="shared" ca="1" si="61"/>
        <v>46290</v>
      </c>
      <c r="Z1415" s="35">
        <f t="shared" ca="1" si="64"/>
        <v>-1183</v>
      </c>
      <c r="AA1415" s="27">
        <f t="shared" si="62"/>
        <v>6</v>
      </c>
      <c r="AB1415" s="27">
        <f t="shared" si="65"/>
        <v>2023</v>
      </c>
      <c r="AC1415" s="28">
        <v>4500016424</v>
      </c>
      <c r="AD1415" s="28">
        <v>18842</v>
      </c>
      <c r="AE1415" s="27">
        <v>4500018180</v>
      </c>
      <c r="AF1415" s="27" t="s">
        <v>471</v>
      </c>
      <c r="AG1415" s="29"/>
      <c r="AH1415" s="29"/>
      <c r="AI1415" s="27"/>
      <c r="AJ1415" s="27"/>
      <c r="AK1415" s="27"/>
      <c r="AL1415" s="27"/>
      <c r="AM1415" s="27"/>
      <c r="AN1415" s="27"/>
      <c r="AO1415" s="27">
        <v>179</v>
      </c>
      <c r="AP1415" s="27"/>
      <c r="AQ1415" s="27"/>
      <c r="AR1415" s="504"/>
      <c r="AS1415" s="332"/>
      <c r="AT1415" s="160"/>
    </row>
    <row r="1416" spans="1:46" ht="21.75" hidden="1" customHeight="1">
      <c r="A1416" s="331">
        <v>1415</v>
      </c>
      <c r="B1416" s="28" t="s">
        <v>41</v>
      </c>
      <c r="C1416" s="28" t="s">
        <v>6650</v>
      </c>
      <c r="D1416" s="438" t="s">
        <v>6644</v>
      </c>
      <c r="E1416" s="361" t="str">
        <f t="shared" ca="1" si="63"/>
        <v>LOSS</v>
      </c>
      <c r="F1416" s="28" t="s">
        <v>115</v>
      </c>
      <c r="G1416" s="28" t="s">
        <v>6651</v>
      </c>
      <c r="H1416" s="28" t="s">
        <v>261</v>
      </c>
      <c r="I1416" s="361" t="s">
        <v>243</v>
      </c>
      <c r="J1416" s="28" t="s">
        <v>6652</v>
      </c>
      <c r="K1416" s="38" t="s">
        <v>6653</v>
      </c>
      <c r="L1416" s="51">
        <v>0.995</v>
      </c>
      <c r="M1416" s="27" t="s">
        <v>353</v>
      </c>
      <c r="N1416" s="29" t="s">
        <v>468</v>
      </c>
      <c r="O1416" s="56"/>
      <c r="P1416" s="31">
        <f>4250000*12</f>
        <v>51000000</v>
      </c>
      <c r="Q1416" s="31"/>
      <c r="R1416" s="56"/>
      <c r="S1416" s="32">
        <f>3500000*12</f>
        <v>42000000</v>
      </c>
      <c r="T1416" s="33"/>
      <c r="U1416" s="334">
        <v>45209</v>
      </c>
      <c r="V1416" s="334">
        <v>45574</v>
      </c>
      <c r="W1416" s="27" t="s">
        <v>250</v>
      </c>
      <c r="X1416" s="27"/>
      <c r="Y1416" s="34">
        <f t="shared" ca="1" si="61"/>
        <v>46290</v>
      </c>
      <c r="Z1416" s="35">
        <f t="shared" ca="1" si="64"/>
        <v>-716</v>
      </c>
      <c r="AA1416" s="27">
        <f t="shared" si="62"/>
        <v>10</v>
      </c>
      <c r="AB1416" s="27">
        <f t="shared" si="65"/>
        <v>2024</v>
      </c>
      <c r="AC1416" s="28" t="s">
        <v>6654</v>
      </c>
      <c r="AD1416" s="28" t="s">
        <v>6655</v>
      </c>
      <c r="AE1416" s="27">
        <v>4500022416</v>
      </c>
      <c r="AF1416" s="27" t="s">
        <v>471</v>
      </c>
      <c r="AG1416" s="29" t="s">
        <v>6656</v>
      </c>
      <c r="AH1416" s="29" t="s">
        <v>6657</v>
      </c>
      <c r="AI1416" s="27"/>
      <c r="AJ1416" s="27"/>
      <c r="AK1416" s="27"/>
      <c r="AL1416" s="27"/>
      <c r="AM1416" s="27"/>
      <c r="AN1416" s="27">
        <v>329</v>
      </c>
      <c r="AO1416" s="27" t="s">
        <v>6658</v>
      </c>
      <c r="AP1416" s="27"/>
      <c r="AQ1416" s="27"/>
      <c r="AR1416" s="504"/>
      <c r="AS1416" s="332"/>
      <c r="AT1416" s="160"/>
    </row>
    <row r="1417" spans="1:46" ht="21.75" hidden="1" customHeight="1">
      <c r="A1417" s="331">
        <v>1416</v>
      </c>
      <c r="B1417" s="28" t="s">
        <v>41</v>
      </c>
      <c r="C1417" s="28" t="s">
        <v>6659</v>
      </c>
      <c r="D1417" s="437" t="s">
        <v>6644</v>
      </c>
      <c r="E1417" s="361" t="str">
        <f t="shared" ca="1" si="63"/>
        <v>LOSS</v>
      </c>
      <c r="F1417" s="28" t="s">
        <v>6660</v>
      </c>
      <c r="G1417" s="28" t="s">
        <v>6661</v>
      </c>
      <c r="H1417" s="28" t="s">
        <v>261</v>
      </c>
      <c r="I1417" s="361" t="s">
        <v>243</v>
      </c>
      <c r="J1417" s="28" t="s">
        <v>2078</v>
      </c>
      <c r="K1417" s="38" t="s">
        <v>6662</v>
      </c>
      <c r="L1417" s="51">
        <v>0.995</v>
      </c>
      <c r="M1417" s="27" t="s">
        <v>6663</v>
      </c>
      <c r="N1417" s="29" t="s">
        <v>362</v>
      </c>
      <c r="O1417" s="56"/>
      <c r="P1417" s="31">
        <f>7162162*12</f>
        <v>85945944</v>
      </c>
      <c r="Q1417" s="31"/>
      <c r="R1417" s="56"/>
      <c r="S1417" s="32">
        <v>66000020</v>
      </c>
      <c r="T1417" s="33"/>
      <c r="U1417" s="334">
        <v>45273</v>
      </c>
      <c r="V1417" s="334">
        <v>45638</v>
      </c>
      <c r="W1417" s="27" t="s">
        <v>250</v>
      </c>
      <c r="X1417" s="27"/>
      <c r="Y1417" s="34">
        <f t="shared" ca="1" si="61"/>
        <v>46290</v>
      </c>
      <c r="Z1417" s="35">
        <f t="shared" ca="1" si="64"/>
        <v>-652</v>
      </c>
      <c r="AA1417" s="27">
        <f t="shared" si="62"/>
        <v>12</v>
      </c>
      <c r="AB1417" s="27">
        <f t="shared" si="65"/>
        <v>2024</v>
      </c>
      <c r="AC1417" s="28" t="s">
        <v>6664</v>
      </c>
      <c r="AD1417" s="28" t="s">
        <v>6665</v>
      </c>
      <c r="AE1417" s="27">
        <v>4500022570</v>
      </c>
      <c r="AF1417" s="27" t="s">
        <v>471</v>
      </c>
      <c r="AG1417" s="29" t="s">
        <v>6656</v>
      </c>
      <c r="AH1417" s="29" t="s">
        <v>6657</v>
      </c>
      <c r="AI1417" s="27"/>
      <c r="AJ1417" s="27"/>
      <c r="AK1417" s="27"/>
      <c r="AL1417" s="27"/>
      <c r="AM1417" s="27"/>
      <c r="AN1417" s="27">
        <v>372</v>
      </c>
      <c r="AO1417" s="27">
        <v>134</v>
      </c>
      <c r="AP1417" s="27"/>
      <c r="AQ1417" s="27"/>
      <c r="AR1417" s="504"/>
      <c r="AS1417" s="332"/>
      <c r="AT1417" s="160"/>
    </row>
    <row r="1418" spans="1:46" ht="21.75" hidden="1" customHeight="1">
      <c r="A1418" s="331">
        <v>1417</v>
      </c>
      <c r="B1418" s="28" t="s">
        <v>41</v>
      </c>
      <c r="C1418" s="28" t="s">
        <v>6666</v>
      </c>
      <c r="D1418" s="438" t="s">
        <v>6644</v>
      </c>
      <c r="E1418" s="361" t="str">
        <f t="shared" ca="1" si="63"/>
        <v>LOSS</v>
      </c>
      <c r="F1418" s="28" t="s">
        <v>6667</v>
      </c>
      <c r="G1418" s="28" t="s">
        <v>6668</v>
      </c>
      <c r="H1418" s="28" t="s">
        <v>261</v>
      </c>
      <c r="I1418" s="361" t="s">
        <v>243</v>
      </c>
      <c r="J1418" s="28" t="s">
        <v>1460</v>
      </c>
      <c r="K1418" s="38" t="s">
        <v>6669</v>
      </c>
      <c r="L1418" s="60">
        <v>0.995</v>
      </c>
      <c r="M1418" s="27" t="s">
        <v>365</v>
      </c>
      <c r="N1418" s="29" t="s">
        <v>362</v>
      </c>
      <c r="O1418" s="56"/>
      <c r="P1418" s="52">
        <v>372000000</v>
      </c>
      <c r="Q1418" s="52"/>
      <c r="R1418" s="27"/>
      <c r="S1418" s="32">
        <v>196560000</v>
      </c>
      <c r="T1418" s="33"/>
      <c r="U1418" s="334">
        <v>44885</v>
      </c>
      <c r="V1418" s="334">
        <v>45249</v>
      </c>
      <c r="W1418" s="27" t="s">
        <v>245</v>
      </c>
      <c r="X1418" s="27"/>
      <c r="Y1418" s="34">
        <f t="shared" ca="1" si="61"/>
        <v>46290</v>
      </c>
      <c r="Z1418" s="35">
        <f t="shared" ca="1" si="64"/>
        <v>-1041</v>
      </c>
      <c r="AA1418" s="27">
        <f t="shared" si="62"/>
        <v>11</v>
      </c>
      <c r="AB1418" s="27">
        <f t="shared" si="65"/>
        <v>2023</v>
      </c>
      <c r="AC1418" s="28">
        <v>4500015337</v>
      </c>
      <c r="AD1418" s="28">
        <v>20284</v>
      </c>
      <c r="AE1418" s="27">
        <v>4500019208</v>
      </c>
      <c r="AF1418" s="27" t="s">
        <v>471</v>
      </c>
      <c r="AG1418" s="29"/>
      <c r="AH1418" s="29"/>
      <c r="AI1418" s="27"/>
      <c r="AJ1418" s="27"/>
      <c r="AK1418" s="27"/>
      <c r="AL1418" s="27"/>
      <c r="AM1418" s="27"/>
      <c r="AN1418" s="27"/>
      <c r="AO1418" s="27">
        <v>367</v>
      </c>
      <c r="AP1418" s="27"/>
      <c r="AQ1418" s="27"/>
      <c r="AR1418" s="504"/>
      <c r="AS1418" s="332"/>
      <c r="AT1418" s="160"/>
    </row>
    <row r="1419" spans="1:46" ht="21.75" hidden="1" customHeight="1">
      <c r="A1419" s="331">
        <v>1418</v>
      </c>
      <c r="B1419" s="28" t="s">
        <v>41</v>
      </c>
      <c r="C1419" s="28" t="s">
        <v>585</v>
      </c>
      <c r="D1419" s="437" t="s">
        <v>6644</v>
      </c>
      <c r="E1419" s="361" t="str">
        <f t="shared" ca="1" si="63"/>
        <v>LOSS</v>
      </c>
      <c r="F1419" s="29" t="s">
        <v>6670</v>
      </c>
      <c r="G1419" s="38" t="s">
        <v>6671</v>
      </c>
      <c r="H1419" s="28" t="s">
        <v>261</v>
      </c>
      <c r="I1419" s="361" t="s">
        <v>243</v>
      </c>
      <c r="J1419" s="28" t="s">
        <v>6672</v>
      </c>
      <c r="K1419" s="38" t="s">
        <v>6673</v>
      </c>
      <c r="L1419" s="27" t="s">
        <v>4749</v>
      </c>
      <c r="M1419" s="27" t="s">
        <v>365</v>
      </c>
      <c r="N1419" s="29" t="s">
        <v>494</v>
      </c>
      <c r="O1419" s="56"/>
      <c r="P1419" s="61">
        <f>13500000*12</f>
        <v>162000000</v>
      </c>
      <c r="Q1419" s="61"/>
      <c r="R1419" s="56"/>
      <c r="S1419" s="33">
        <f>5000000*12</f>
        <v>60000000</v>
      </c>
      <c r="T1419" s="33"/>
      <c r="U1419" s="334">
        <v>45474</v>
      </c>
      <c r="V1419" s="334">
        <v>45838</v>
      </c>
      <c r="W1419" s="27" t="s">
        <v>250</v>
      </c>
      <c r="X1419" s="27"/>
      <c r="Y1419" s="34">
        <f t="shared" ref="Y1419:Y1482" ca="1" si="66">TODAY()</f>
        <v>46290</v>
      </c>
      <c r="Z1419" s="35">
        <f t="shared" ca="1" si="64"/>
        <v>-452</v>
      </c>
      <c r="AA1419" s="27">
        <f t="shared" si="62"/>
        <v>6</v>
      </c>
      <c r="AB1419" s="27">
        <f t="shared" si="65"/>
        <v>2025</v>
      </c>
      <c r="AC1419" s="28" t="s">
        <v>6674</v>
      </c>
      <c r="AD1419" s="28" t="s">
        <v>6675</v>
      </c>
      <c r="AE1419" s="27">
        <v>4500022414</v>
      </c>
      <c r="AF1419" s="27" t="s">
        <v>471</v>
      </c>
      <c r="AG1419" s="29" t="s">
        <v>6656</v>
      </c>
      <c r="AH1419" s="29" t="s">
        <v>6657</v>
      </c>
      <c r="AI1419" s="27"/>
      <c r="AJ1419" s="27"/>
      <c r="AK1419" s="27"/>
      <c r="AL1419" s="27"/>
      <c r="AM1419" s="27"/>
      <c r="AN1419" s="27"/>
      <c r="AO1419" s="27">
        <v>293</v>
      </c>
      <c r="AP1419" s="27">
        <v>184</v>
      </c>
      <c r="AQ1419" s="27"/>
      <c r="AR1419" s="504"/>
      <c r="AS1419" s="332"/>
      <c r="AT1419" s="160"/>
    </row>
    <row r="1420" spans="1:46" ht="21.75" hidden="1" customHeight="1">
      <c r="A1420" s="331">
        <v>1419</v>
      </c>
      <c r="B1420" s="28" t="s">
        <v>6676</v>
      </c>
      <c r="C1420" s="28" t="s">
        <v>6677</v>
      </c>
      <c r="D1420" s="445"/>
      <c r="E1420" s="361" t="str">
        <f t="shared" ca="1" si="63"/>
        <v>LOSS</v>
      </c>
      <c r="F1420" s="27"/>
      <c r="G1420" s="28"/>
      <c r="H1420" s="28" t="s">
        <v>261</v>
      </c>
      <c r="I1420" s="361" t="s">
        <v>243</v>
      </c>
      <c r="J1420" s="28"/>
      <c r="K1420" s="28"/>
      <c r="L1420" s="27"/>
      <c r="M1420" s="27" t="s">
        <v>365</v>
      </c>
      <c r="N1420" s="29" t="s">
        <v>494</v>
      </c>
      <c r="O1420" s="56"/>
      <c r="P1420" s="52"/>
      <c r="Q1420" s="52"/>
      <c r="R1420" s="27"/>
      <c r="S1420" s="59">
        <v>15948387</v>
      </c>
      <c r="T1420" s="59"/>
      <c r="U1420" s="334">
        <v>43608</v>
      </c>
      <c r="V1420" s="334">
        <v>44012</v>
      </c>
      <c r="W1420" s="27" t="s">
        <v>245</v>
      </c>
      <c r="X1420" s="27"/>
      <c r="Y1420" s="34">
        <f t="shared" ca="1" si="66"/>
        <v>46290</v>
      </c>
      <c r="Z1420" s="35">
        <f t="shared" ca="1" si="64"/>
        <v>-2278</v>
      </c>
      <c r="AA1420" s="27">
        <f t="shared" ref="AA1420:AA1483" si="67">MONTH(V1420)</f>
        <v>6</v>
      </c>
      <c r="AB1420" s="27">
        <f t="shared" si="65"/>
        <v>2020</v>
      </c>
      <c r="AC1420" s="28"/>
      <c r="AD1420" s="28">
        <v>13137</v>
      </c>
      <c r="AE1420" s="27">
        <v>4500012705</v>
      </c>
      <c r="AF1420" s="27" t="s">
        <v>471</v>
      </c>
      <c r="AG1420" s="29"/>
      <c r="AH1420" s="29"/>
      <c r="AI1420" s="27"/>
      <c r="AJ1420" s="27"/>
      <c r="AK1420" s="27"/>
      <c r="AL1420" s="27"/>
      <c r="AM1420" s="27"/>
      <c r="AN1420" s="27"/>
      <c r="AO1420" s="27"/>
      <c r="AP1420" s="27"/>
      <c r="AQ1420" s="27"/>
      <c r="AR1420" s="504"/>
      <c r="AS1420" s="332" t="s">
        <v>6678</v>
      </c>
      <c r="AT1420" s="160"/>
    </row>
    <row r="1421" spans="1:46" ht="21.75" hidden="1" customHeight="1">
      <c r="A1421" s="331">
        <v>1420</v>
      </c>
      <c r="B1421" s="28" t="s">
        <v>6676</v>
      </c>
      <c r="C1421" s="28" t="s">
        <v>6677</v>
      </c>
      <c r="D1421" s="446"/>
      <c r="E1421" s="361" t="str">
        <f t="shared" ca="1" si="63"/>
        <v>LOSS</v>
      </c>
      <c r="F1421" s="27"/>
      <c r="G1421" s="28"/>
      <c r="H1421" s="28" t="s">
        <v>261</v>
      </c>
      <c r="I1421" s="361" t="s">
        <v>243</v>
      </c>
      <c r="J1421" s="28"/>
      <c r="K1421" s="38" t="s">
        <v>6679</v>
      </c>
      <c r="L1421" s="62">
        <v>0.99</v>
      </c>
      <c r="M1421" s="27" t="s">
        <v>365</v>
      </c>
      <c r="N1421" s="29" t="s">
        <v>494</v>
      </c>
      <c r="O1421" s="56"/>
      <c r="P1421" s="52"/>
      <c r="Q1421" s="52"/>
      <c r="R1421" s="27"/>
      <c r="S1421" s="33"/>
      <c r="T1421" s="33"/>
      <c r="U1421" s="334">
        <v>44013</v>
      </c>
      <c r="V1421" s="334">
        <v>44377</v>
      </c>
      <c r="W1421" s="27" t="s">
        <v>245</v>
      </c>
      <c r="X1421" s="27"/>
      <c r="Y1421" s="34">
        <f t="shared" ca="1" si="66"/>
        <v>46290</v>
      </c>
      <c r="Z1421" s="35">
        <f t="shared" ca="1" si="64"/>
        <v>-1913</v>
      </c>
      <c r="AA1421" s="27">
        <f t="shared" si="67"/>
        <v>6</v>
      </c>
      <c r="AB1421" s="27">
        <f t="shared" si="65"/>
        <v>2021</v>
      </c>
      <c r="AC1421" s="28" t="s">
        <v>245</v>
      </c>
      <c r="AD1421" s="28"/>
      <c r="AE1421" s="27">
        <v>4500014381</v>
      </c>
      <c r="AF1421" s="27" t="s">
        <v>471</v>
      </c>
      <c r="AG1421" s="29"/>
      <c r="AH1421" s="29"/>
      <c r="AI1421" s="27"/>
      <c r="AJ1421" s="27"/>
      <c r="AK1421" s="27"/>
      <c r="AL1421" s="27"/>
      <c r="AM1421" s="27"/>
      <c r="AN1421" s="27"/>
      <c r="AO1421" s="27"/>
      <c r="AP1421" s="27"/>
      <c r="AQ1421" s="27"/>
      <c r="AR1421" s="504"/>
      <c r="AS1421" s="332"/>
      <c r="AT1421" s="160"/>
    </row>
    <row r="1422" spans="1:46" ht="21.75" hidden="1" customHeight="1">
      <c r="A1422" s="331">
        <v>1421</v>
      </c>
      <c r="B1422" s="28" t="s">
        <v>1249</v>
      </c>
      <c r="C1422" s="28" t="s">
        <v>1250</v>
      </c>
      <c r="D1422" s="438" t="s">
        <v>6680</v>
      </c>
      <c r="E1422" s="361" t="str">
        <f t="shared" ca="1" si="63"/>
        <v>LOSS</v>
      </c>
      <c r="F1422" s="28"/>
      <c r="G1422" s="28" t="s">
        <v>6681</v>
      </c>
      <c r="H1422" s="28" t="s">
        <v>261</v>
      </c>
      <c r="I1422" s="361" t="s">
        <v>243</v>
      </c>
      <c r="J1422" s="28" t="s">
        <v>6682</v>
      </c>
      <c r="K1422" s="38" t="s">
        <v>6683</v>
      </c>
      <c r="L1422" s="60">
        <v>0.995</v>
      </c>
      <c r="M1422" s="27" t="s">
        <v>353</v>
      </c>
      <c r="N1422" s="29" t="s">
        <v>417</v>
      </c>
      <c r="O1422" s="56"/>
      <c r="P1422" s="52">
        <v>96000000</v>
      </c>
      <c r="Q1422" s="52"/>
      <c r="R1422" s="27"/>
      <c r="S1422" s="32">
        <v>11709677</v>
      </c>
      <c r="T1422" s="33"/>
      <c r="U1422" s="334">
        <v>45108</v>
      </c>
      <c r="V1422" s="334">
        <v>45151</v>
      </c>
      <c r="W1422" s="27" t="s">
        <v>245</v>
      </c>
      <c r="X1422" s="27"/>
      <c r="Y1422" s="34">
        <f t="shared" ca="1" si="66"/>
        <v>46290</v>
      </c>
      <c r="Z1422" s="35">
        <f t="shared" ca="1" si="64"/>
        <v>-1139</v>
      </c>
      <c r="AA1422" s="27">
        <f t="shared" si="67"/>
        <v>8</v>
      </c>
      <c r="AB1422" s="27">
        <f t="shared" si="65"/>
        <v>2023</v>
      </c>
      <c r="AC1422" s="28">
        <v>4500018211</v>
      </c>
      <c r="AD1422" s="28">
        <v>341</v>
      </c>
      <c r="AE1422" s="27">
        <v>4500020736</v>
      </c>
      <c r="AF1422" s="27" t="s">
        <v>471</v>
      </c>
      <c r="AG1422" s="29"/>
      <c r="AH1422" s="29"/>
      <c r="AI1422" s="27"/>
      <c r="AJ1422" s="27"/>
      <c r="AK1422" s="27"/>
      <c r="AL1422" s="27"/>
      <c r="AM1422" s="27"/>
      <c r="AN1422" s="27"/>
      <c r="AO1422" s="27">
        <v>154</v>
      </c>
      <c r="AP1422" s="27"/>
      <c r="AQ1422" s="27"/>
      <c r="AR1422" s="504"/>
      <c r="AS1422" s="332" t="s">
        <v>245</v>
      </c>
      <c r="AT1422" s="160"/>
    </row>
    <row r="1423" spans="1:46" ht="21.75" hidden="1" customHeight="1">
      <c r="A1423" s="331">
        <v>1422</v>
      </c>
      <c r="B1423" s="28" t="s">
        <v>1249</v>
      </c>
      <c r="C1423" s="28" t="s">
        <v>1402</v>
      </c>
      <c r="D1423" s="437" t="s">
        <v>6680</v>
      </c>
      <c r="E1423" s="361" t="str">
        <f t="shared" ca="1" si="63"/>
        <v>LOSS</v>
      </c>
      <c r="F1423" s="28" t="s">
        <v>6684</v>
      </c>
      <c r="G1423" s="28" t="s">
        <v>6685</v>
      </c>
      <c r="H1423" s="28" t="s">
        <v>261</v>
      </c>
      <c r="I1423" s="361" t="s">
        <v>243</v>
      </c>
      <c r="J1423" s="28" t="s">
        <v>6686</v>
      </c>
      <c r="K1423" s="38" t="s">
        <v>6687</v>
      </c>
      <c r="L1423" s="53" t="s">
        <v>4749</v>
      </c>
      <c r="M1423" s="27" t="s">
        <v>329</v>
      </c>
      <c r="N1423" s="29" t="s">
        <v>354</v>
      </c>
      <c r="O1423" s="56"/>
      <c r="P1423" s="52">
        <v>468000000</v>
      </c>
      <c r="Q1423" s="52"/>
      <c r="R1423" s="56"/>
      <c r="S1423" s="32">
        <v>258000000</v>
      </c>
      <c r="T1423" s="33"/>
      <c r="U1423" s="334">
        <v>45203</v>
      </c>
      <c r="V1423" s="334">
        <v>45568</v>
      </c>
      <c r="W1423" s="27" t="s">
        <v>245</v>
      </c>
      <c r="X1423" s="27"/>
      <c r="Y1423" s="34">
        <f t="shared" ca="1" si="66"/>
        <v>46290</v>
      </c>
      <c r="Z1423" s="35">
        <f t="shared" ca="1" si="64"/>
        <v>-722</v>
      </c>
      <c r="AA1423" s="27">
        <f t="shared" si="67"/>
        <v>10</v>
      </c>
      <c r="AB1423" s="27">
        <f t="shared" si="65"/>
        <v>2024</v>
      </c>
      <c r="AC1423" s="28">
        <v>4500019012</v>
      </c>
      <c r="AD1423" s="28">
        <v>1399</v>
      </c>
      <c r="AE1423" s="27">
        <v>4500021327</v>
      </c>
      <c r="AF1423" s="27" t="s">
        <v>471</v>
      </c>
      <c r="AG1423" s="29"/>
      <c r="AH1423" s="29"/>
      <c r="AI1423" s="27"/>
      <c r="AJ1423" s="27"/>
      <c r="AK1423" s="27"/>
      <c r="AL1423" s="27"/>
      <c r="AM1423" s="27"/>
      <c r="AN1423" s="27"/>
      <c r="AO1423" s="27">
        <v>283</v>
      </c>
      <c r="AP1423" s="27"/>
      <c r="AQ1423" s="27"/>
      <c r="AR1423" s="504"/>
      <c r="AS1423" s="332"/>
      <c r="AT1423" s="160"/>
    </row>
    <row r="1424" spans="1:46" ht="21.75" hidden="1" customHeight="1">
      <c r="A1424" s="331">
        <v>1423</v>
      </c>
      <c r="B1424" s="28" t="s">
        <v>6688</v>
      </c>
      <c r="C1424" s="28" t="s">
        <v>461</v>
      </c>
      <c r="D1424" s="438" t="s">
        <v>6689</v>
      </c>
      <c r="E1424" s="361" t="str">
        <f t="shared" ca="1" si="63"/>
        <v>LOSS</v>
      </c>
      <c r="F1424" s="27"/>
      <c r="G1424" s="28" t="s">
        <v>6690</v>
      </c>
      <c r="H1424" s="28" t="s">
        <v>261</v>
      </c>
      <c r="I1424" s="361" t="s">
        <v>243</v>
      </c>
      <c r="J1424" s="28" t="s">
        <v>6691</v>
      </c>
      <c r="K1424" s="63" t="s">
        <v>6692</v>
      </c>
      <c r="L1424" s="53">
        <v>0.995</v>
      </c>
      <c r="M1424" s="27" t="s">
        <v>467</v>
      </c>
      <c r="N1424" s="29" t="s">
        <v>362</v>
      </c>
      <c r="O1424" s="56"/>
      <c r="P1424" s="61">
        <v>20329428</v>
      </c>
      <c r="Q1424" s="61"/>
      <c r="R1424" s="56">
        <v>2000000</v>
      </c>
      <c r="S1424" s="33">
        <v>14000000</v>
      </c>
      <c r="T1424" s="33"/>
      <c r="U1424" s="334">
        <v>45231</v>
      </c>
      <c r="V1424" s="334">
        <v>45596</v>
      </c>
      <c r="W1424" s="27" t="s">
        <v>250</v>
      </c>
      <c r="X1424" s="27"/>
      <c r="Y1424" s="34">
        <f t="shared" ca="1" si="66"/>
        <v>46290</v>
      </c>
      <c r="Z1424" s="35">
        <f t="shared" ca="1" si="64"/>
        <v>-694</v>
      </c>
      <c r="AA1424" s="27">
        <f t="shared" si="67"/>
        <v>10</v>
      </c>
      <c r="AB1424" s="27">
        <f t="shared" si="65"/>
        <v>2024</v>
      </c>
      <c r="AC1424" s="28"/>
      <c r="AD1424" s="28" t="s">
        <v>6693</v>
      </c>
      <c r="AE1424" s="27">
        <v>4500021440</v>
      </c>
      <c r="AF1424" s="27" t="s">
        <v>471</v>
      </c>
      <c r="AG1424" s="29"/>
      <c r="AH1424" s="29"/>
      <c r="AI1424" s="27"/>
      <c r="AJ1424" s="27"/>
      <c r="AK1424" s="27"/>
      <c r="AL1424" s="27"/>
      <c r="AM1424" s="27"/>
      <c r="AN1424" s="27"/>
      <c r="AO1424" s="27">
        <v>290</v>
      </c>
      <c r="AP1424" s="27"/>
      <c r="AQ1424" s="27"/>
      <c r="AR1424" s="504"/>
      <c r="AS1424" s="332"/>
      <c r="AT1424" s="160"/>
    </row>
    <row r="1425" spans="1:46" ht="21.75" hidden="1" customHeight="1">
      <c r="A1425" s="331">
        <v>1424</v>
      </c>
      <c r="B1425" s="28" t="s">
        <v>6694</v>
      </c>
      <c r="C1425" s="28" t="s">
        <v>6695</v>
      </c>
      <c r="D1425" s="437" t="s">
        <v>6696</v>
      </c>
      <c r="E1425" s="361" t="str">
        <f t="shared" ca="1" si="63"/>
        <v>LOSS</v>
      </c>
      <c r="F1425" s="28" t="s">
        <v>6697</v>
      </c>
      <c r="G1425" s="28" t="s">
        <v>6698</v>
      </c>
      <c r="H1425" s="28" t="s">
        <v>261</v>
      </c>
      <c r="I1425" s="361" t="s">
        <v>243</v>
      </c>
      <c r="J1425" s="28" t="s">
        <v>2582</v>
      </c>
      <c r="K1425" s="38" t="s">
        <v>6699</v>
      </c>
      <c r="L1425" s="53">
        <v>0.995</v>
      </c>
      <c r="M1425" s="27" t="s">
        <v>365</v>
      </c>
      <c r="N1425" s="29" t="s">
        <v>6649</v>
      </c>
      <c r="O1425" s="56"/>
      <c r="P1425" s="52">
        <v>99120000</v>
      </c>
      <c r="Q1425" s="52"/>
      <c r="R1425" s="27"/>
      <c r="S1425" s="32">
        <v>24000000</v>
      </c>
      <c r="T1425" s="33"/>
      <c r="U1425" s="334">
        <v>44771</v>
      </c>
      <c r="V1425" s="334">
        <v>45135</v>
      </c>
      <c r="W1425" s="27" t="s">
        <v>245</v>
      </c>
      <c r="X1425" s="27"/>
      <c r="Y1425" s="34">
        <f t="shared" ca="1" si="66"/>
        <v>46290</v>
      </c>
      <c r="Z1425" s="35">
        <f t="shared" ca="1" si="64"/>
        <v>-1155</v>
      </c>
      <c r="AA1425" s="27">
        <f t="shared" si="67"/>
        <v>7</v>
      </c>
      <c r="AB1425" s="27">
        <f t="shared" si="65"/>
        <v>2023</v>
      </c>
      <c r="AC1425" s="28">
        <v>4500016426</v>
      </c>
      <c r="AD1425" s="28">
        <v>19189</v>
      </c>
      <c r="AE1425" s="27">
        <v>4500018421</v>
      </c>
      <c r="AF1425" s="27" t="s">
        <v>471</v>
      </c>
      <c r="AG1425" s="29"/>
      <c r="AH1425" s="29"/>
      <c r="AI1425" s="27"/>
      <c r="AJ1425" s="27"/>
      <c r="AK1425" s="27"/>
      <c r="AL1425" s="27"/>
      <c r="AM1425" s="27"/>
      <c r="AN1425" s="27"/>
      <c r="AO1425" s="27">
        <v>225</v>
      </c>
      <c r="AP1425" s="27"/>
      <c r="AQ1425" s="27"/>
      <c r="AR1425" s="504"/>
      <c r="AS1425" s="332"/>
      <c r="AT1425" s="160"/>
    </row>
    <row r="1426" spans="1:46" ht="21.75" hidden="1" customHeight="1">
      <c r="A1426" s="331">
        <v>1425</v>
      </c>
      <c r="B1426" s="28" t="s">
        <v>6694</v>
      </c>
      <c r="C1426" s="28" t="s">
        <v>6700</v>
      </c>
      <c r="D1426" s="438" t="s">
        <v>6696</v>
      </c>
      <c r="E1426" s="361" t="str">
        <f t="shared" ca="1" si="63"/>
        <v>LOSS</v>
      </c>
      <c r="F1426" s="28" t="s">
        <v>6697</v>
      </c>
      <c r="G1426" s="28" t="s">
        <v>6698</v>
      </c>
      <c r="H1426" s="28" t="s">
        <v>261</v>
      </c>
      <c r="I1426" s="361" t="s">
        <v>243</v>
      </c>
      <c r="J1426" s="28" t="s">
        <v>2582</v>
      </c>
      <c r="K1426" s="38" t="s">
        <v>6699</v>
      </c>
      <c r="L1426" s="53">
        <v>0.995</v>
      </c>
      <c r="M1426" s="27" t="s">
        <v>365</v>
      </c>
      <c r="N1426" s="29" t="s">
        <v>6649</v>
      </c>
      <c r="O1426" s="56"/>
      <c r="P1426" s="52">
        <v>99120000</v>
      </c>
      <c r="Q1426" s="52"/>
      <c r="R1426" s="27"/>
      <c r="S1426" s="32">
        <v>15120000</v>
      </c>
      <c r="T1426" s="33"/>
      <c r="U1426" s="334">
        <v>44771</v>
      </c>
      <c r="V1426" s="334">
        <v>45135</v>
      </c>
      <c r="W1426" s="27" t="s">
        <v>245</v>
      </c>
      <c r="X1426" s="27"/>
      <c r="Y1426" s="34">
        <f t="shared" ca="1" si="66"/>
        <v>46290</v>
      </c>
      <c r="Z1426" s="35">
        <f t="shared" ca="1" si="64"/>
        <v>-1155</v>
      </c>
      <c r="AA1426" s="27">
        <f t="shared" si="67"/>
        <v>7</v>
      </c>
      <c r="AB1426" s="27">
        <f t="shared" si="65"/>
        <v>2023</v>
      </c>
      <c r="AC1426" s="28">
        <v>4500013136</v>
      </c>
      <c r="AD1426" s="28">
        <v>19186</v>
      </c>
      <c r="AE1426" s="27">
        <v>4500018420</v>
      </c>
      <c r="AF1426" s="27" t="s">
        <v>471</v>
      </c>
      <c r="AG1426" s="29"/>
      <c r="AH1426" s="29"/>
      <c r="AI1426" s="27"/>
      <c r="AJ1426" s="27"/>
      <c r="AK1426" s="27"/>
      <c r="AL1426" s="27"/>
      <c r="AM1426" s="27"/>
      <c r="AN1426" s="27"/>
      <c r="AO1426" s="27">
        <v>226</v>
      </c>
      <c r="AP1426" s="27"/>
      <c r="AQ1426" s="27"/>
      <c r="AR1426" s="504"/>
      <c r="AS1426" s="332"/>
      <c r="AT1426" s="160"/>
    </row>
    <row r="1427" spans="1:46" ht="21.75" hidden="1" customHeight="1">
      <c r="A1427" s="331">
        <v>1426</v>
      </c>
      <c r="B1427" s="28" t="s">
        <v>6694</v>
      </c>
      <c r="C1427" s="28" t="s">
        <v>6701</v>
      </c>
      <c r="D1427" s="437" t="s">
        <v>6696</v>
      </c>
      <c r="E1427" s="361" t="str">
        <f t="shared" ca="1" si="63"/>
        <v>LOSS</v>
      </c>
      <c r="F1427" s="28" t="s">
        <v>6702</v>
      </c>
      <c r="G1427" s="28" t="s">
        <v>6703</v>
      </c>
      <c r="H1427" s="28" t="s">
        <v>261</v>
      </c>
      <c r="I1427" s="361" t="s">
        <v>243</v>
      </c>
      <c r="J1427" s="28" t="s">
        <v>6704</v>
      </c>
      <c r="K1427" s="38" t="s">
        <v>6705</v>
      </c>
      <c r="L1427" s="53">
        <v>0.995</v>
      </c>
      <c r="M1427" s="27" t="s">
        <v>365</v>
      </c>
      <c r="N1427" s="29" t="s">
        <v>4750</v>
      </c>
      <c r="O1427" s="56"/>
      <c r="P1427" s="52">
        <v>57600000</v>
      </c>
      <c r="Q1427" s="52"/>
      <c r="R1427" s="56"/>
      <c r="S1427" s="32">
        <f>945000*12</f>
        <v>11340000</v>
      </c>
      <c r="T1427" s="33"/>
      <c r="U1427" s="334">
        <v>45200</v>
      </c>
      <c r="V1427" s="334">
        <v>45565</v>
      </c>
      <c r="W1427" s="27" t="s">
        <v>250</v>
      </c>
      <c r="X1427" s="27"/>
      <c r="Y1427" s="34">
        <f t="shared" ca="1" si="66"/>
        <v>46290</v>
      </c>
      <c r="Z1427" s="35">
        <f t="shared" ca="1" si="64"/>
        <v>-725</v>
      </c>
      <c r="AA1427" s="27">
        <f t="shared" si="67"/>
        <v>9</v>
      </c>
      <c r="AB1427" s="27">
        <f t="shared" si="65"/>
        <v>2024</v>
      </c>
      <c r="AC1427" s="28" t="s">
        <v>6706</v>
      </c>
      <c r="AD1427" s="28" t="s">
        <v>6707</v>
      </c>
      <c r="AE1427" s="27">
        <v>4500021536</v>
      </c>
      <c r="AF1427" s="27" t="s">
        <v>471</v>
      </c>
      <c r="AG1427" s="29" t="s">
        <v>6708</v>
      </c>
      <c r="AH1427" s="29" t="s">
        <v>6709</v>
      </c>
      <c r="AI1427" s="27"/>
      <c r="AJ1427" s="27"/>
      <c r="AK1427" s="27"/>
      <c r="AL1427" s="27"/>
      <c r="AM1427" s="27"/>
      <c r="AN1427" s="27"/>
      <c r="AO1427" s="27">
        <v>297</v>
      </c>
      <c r="AP1427" s="27"/>
      <c r="AQ1427" s="27"/>
      <c r="AR1427" s="504"/>
      <c r="AS1427" s="332" t="s">
        <v>6710</v>
      </c>
      <c r="AT1427" s="160"/>
    </row>
    <row r="1428" spans="1:46" ht="21.75" hidden="1" customHeight="1">
      <c r="A1428" s="331">
        <v>1427</v>
      </c>
      <c r="B1428" s="28" t="s">
        <v>6694</v>
      </c>
      <c r="C1428" s="28" t="s">
        <v>6711</v>
      </c>
      <c r="D1428" s="438" t="s">
        <v>6696</v>
      </c>
      <c r="E1428" s="361" t="str">
        <f t="shared" ca="1" si="63"/>
        <v>LOSS</v>
      </c>
      <c r="F1428" s="28" t="s">
        <v>6712</v>
      </c>
      <c r="G1428" s="28" t="s">
        <v>6713</v>
      </c>
      <c r="H1428" s="28" t="s">
        <v>261</v>
      </c>
      <c r="I1428" s="361" t="s">
        <v>243</v>
      </c>
      <c r="J1428" s="28" t="s">
        <v>6714</v>
      </c>
      <c r="K1428" s="38" t="s">
        <v>6715</v>
      </c>
      <c r="L1428" s="60">
        <v>0.995</v>
      </c>
      <c r="M1428" s="27" t="s">
        <v>365</v>
      </c>
      <c r="N1428" s="29" t="s">
        <v>6716</v>
      </c>
      <c r="O1428" s="56"/>
      <c r="P1428" s="52">
        <v>72000000</v>
      </c>
      <c r="Q1428" s="52"/>
      <c r="R1428" s="27"/>
      <c r="S1428" s="32">
        <v>18000000</v>
      </c>
      <c r="T1428" s="33"/>
      <c r="U1428" s="334">
        <v>44994</v>
      </c>
      <c r="V1428" s="334">
        <v>45359</v>
      </c>
      <c r="W1428" s="27" t="s">
        <v>245</v>
      </c>
      <c r="X1428" s="27"/>
      <c r="Y1428" s="34">
        <f t="shared" ca="1" si="66"/>
        <v>46290</v>
      </c>
      <c r="Z1428" s="35">
        <f t="shared" ca="1" si="64"/>
        <v>-931</v>
      </c>
      <c r="AA1428" s="27">
        <f t="shared" si="67"/>
        <v>3</v>
      </c>
      <c r="AB1428" s="27">
        <f t="shared" si="65"/>
        <v>2024</v>
      </c>
      <c r="AC1428" s="28">
        <v>4500017680</v>
      </c>
      <c r="AD1428" s="28">
        <v>21245</v>
      </c>
      <c r="AE1428" s="27">
        <v>4500020007</v>
      </c>
      <c r="AF1428" s="27" t="s">
        <v>471</v>
      </c>
      <c r="AG1428" s="29"/>
      <c r="AH1428" s="29"/>
      <c r="AI1428" s="27"/>
      <c r="AJ1428" s="27"/>
      <c r="AK1428" s="27"/>
      <c r="AL1428" s="27"/>
      <c r="AM1428" s="27"/>
      <c r="AN1428" s="27"/>
      <c r="AO1428" s="27">
        <v>46</v>
      </c>
      <c r="AP1428" s="27"/>
      <c r="AQ1428" s="27"/>
      <c r="AR1428" s="504"/>
      <c r="AS1428" s="332" t="s">
        <v>6717</v>
      </c>
      <c r="AT1428" s="160"/>
    </row>
    <row r="1429" spans="1:46" ht="21.75" hidden="1" customHeight="1">
      <c r="A1429" s="331">
        <v>1428</v>
      </c>
      <c r="B1429" s="28" t="s">
        <v>6694</v>
      </c>
      <c r="C1429" s="28" t="s">
        <v>6718</v>
      </c>
      <c r="D1429" s="437" t="s">
        <v>6696</v>
      </c>
      <c r="E1429" s="361" t="str">
        <f t="shared" ca="1" si="63"/>
        <v>LOSS</v>
      </c>
      <c r="F1429" s="28" t="s">
        <v>115</v>
      </c>
      <c r="G1429" s="28" t="s">
        <v>6719</v>
      </c>
      <c r="H1429" s="28" t="s">
        <v>261</v>
      </c>
      <c r="I1429" s="361" t="s">
        <v>243</v>
      </c>
      <c r="J1429" s="28" t="s">
        <v>6720</v>
      </c>
      <c r="K1429" s="38" t="s">
        <v>6721</v>
      </c>
      <c r="L1429" s="60">
        <v>0.995</v>
      </c>
      <c r="M1429" s="27" t="s">
        <v>365</v>
      </c>
      <c r="N1429" s="29" t="s">
        <v>354</v>
      </c>
      <c r="O1429" s="56"/>
      <c r="P1429" s="52">
        <v>359100000</v>
      </c>
      <c r="Q1429" s="52"/>
      <c r="R1429" s="56"/>
      <c r="S1429" s="32">
        <v>47700037</v>
      </c>
      <c r="T1429" s="33"/>
      <c r="U1429" s="334">
        <v>45359</v>
      </c>
      <c r="V1429" s="334">
        <v>45723</v>
      </c>
      <c r="W1429" s="27" t="s">
        <v>250</v>
      </c>
      <c r="X1429" s="27"/>
      <c r="Y1429" s="34">
        <f t="shared" ca="1" si="66"/>
        <v>46290</v>
      </c>
      <c r="Z1429" s="35">
        <f t="shared" ca="1" si="64"/>
        <v>-567</v>
      </c>
      <c r="AA1429" s="27">
        <f t="shared" si="67"/>
        <v>3</v>
      </c>
      <c r="AB1429" s="27">
        <f t="shared" si="65"/>
        <v>2025</v>
      </c>
      <c r="AC1429" s="28">
        <v>4500020084</v>
      </c>
      <c r="AD1429" s="28">
        <v>2676</v>
      </c>
      <c r="AE1429" s="27">
        <v>4500022731</v>
      </c>
      <c r="AF1429" s="27" t="s">
        <v>471</v>
      </c>
      <c r="AG1429" s="29"/>
      <c r="AH1429" s="29"/>
      <c r="AI1429" s="27"/>
      <c r="AJ1429" s="27"/>
      <c r="AK1429" s="27"/>
      <c r="AL1429" s="27"/>
      <c r="AM1429" s="27"/>
      <c r="AN1429" s="27"/>
      <c r="AO1429" s="27">
        <v>70</v>
      </c>
      <c r="AP1429" s="27">
        <v>140</v>
      </c>
      <c r="AQ1429" s="27"/>
      <c r="AR1429" s="504"/>
      <c r="AS1429" s="332"/>
      <c r="AT1429" s="160"/>
    </row>
    <row r="1430" spans="1:46" ht="21.75" hidden="1" customHeight="1">
      <c r="A1430" s="331">
        <v>1429</v>
      </c>
      <c r="B1430" s="28" t="s">
        <v>6694</v>
      </c>
      <c r="C1430" s="28" t="s">
        <v>6722</v>
      </c>
      <c r="D1430" s="438" t="s">
        <v>6723</v>
      </c>
      <c r="E1430" s="361" t="str">
        <f t="shared" ca="1" si="63"/>
        <v>LOSS</v>
      </c>
      <c r="F1430" s="28" t="s">
        <v>6724</v>
      </c>
      <c r="G1430" s="28" t="s">
        <v>6725</v>
      </c>
      <c r="H1430" s="28" t="s">
        <v>261</v>
      </c>
      <c r="I1430" s="361" t="s">
        <v>243</v>
      </c>
      <c r="J1430" s="28" t="s">
        <v>2569</v>
      </c>
      <c r="K1430" s="38" t="s">
        <v>6726</v>
      </c>
      <c r="L1430" s="53">
        <v>0.995</v>
      </c>
      <c r="M1430" s="27" t="s">
        <v>365</v>
      </c>
      <c r="N1430" s="29" t="s">
        <v>6727</v>
      </c>
      <c r="O1430" s="56"/>
      <c r="P1430" s="52">
        <v>556800000</v>
      </c>
      <c r="Q1430" s="52"/>
      <c r="R1430" s="27"/>
      <c r="S1430" s="32">
        <v>352800000</v>
      </c>
      <c r="T1430" s="33"/>
      <c r="U1430" s="334">
        <v>45129</v>
      </c>
      <c r="V1430" s="334">
        <v>45494</v>
      </c>
      <c r="W1430" s="27" t="s">
        <v>250</v>
      </c>
      <c r="X1430" s="27"/>
      <c r="Y1430" s="34">
        <f t="shared" ca="1" si="66"/>
        <v>46290</v>
      </c>
      <c r="Z1430" s="35">
        <f t="shared" ca="1" si="64"/>
        <v>-796</v>
      </c>
      <c r="AA1430" s="27">
        <f t="shared" si="67"/>
        <v>7</v>
      </c>
      <c r="AB1430" s="27">
        <f t="shared" si="65"/>
        <v>2024</v>
      </c>
      <c r="AC1430" s="28">
        <v>4500018448</v>
      </c>
      <c r="AD1430" s="28">
        <v>805</v>
      </c>
      <c r="AE1430" s="27">
        <v>4500021129</v>
      </c>
      <c r="AF1430" s="27" t="s">
        <v>471</v>
      </c>
      <c r="AG1430" s="29"/>
      <c r="AH1430" s="29"/>
      <c r="AI1430" s="27"/>
      <c r="AJ1430" s="27"/>
      <c r="AK1430" s="27"/>
      <c r="AL1430" s="27"/>
      <c r="AM1430" s="27"/>
      <c r="AN1430" s="27"/>
      <c r="AO1430" s="27">
        <v>255</v>
      </c>
      <c r="AP1430" s="27"/>
      <c r="AQ1430" s="27"/>
      <c r="AR1430" s="504"/>
      <c r="AS1430" s="332" t="s">
        <v>6728</v>
      </c>
      <c r="AT1430" s="160"/>
    </row>
    <row r="1431" spans="1:46" ht="21.75" hidden="1" customHeight="1">
      <c r="A1431" s="331">
        <v>1430</v>
      </c>
      <c r="B1431" s="28" t="s">
        <v>6694</v>
      </c>
      <c r="C1431" s="28" t="s">
        <v>6729</v>
      </c>
      <c r="D1431" s="437" t="s">
        <v>6723</v>
      </c>
      <c r="E1431" s="361" t="str">
        <f t="shared" ca="1" si="63"/>
        <v>LOSS</v>
      </c>
      <c r="F1431" s="28" t="s">
        <v>6724</v>
      </c>
      <c r="G1431" s="28" t="s">
        <v>6725</v>
      </c>
      <c r="H1431" s="28" t="s">
        <v>261</v>
      </c>
      <c r="I1431" s="361" t="s">
        <v>243</v>
      </c>
      <c r="J1431" s="28" t="s">
        <v>2569</v>
      </c>
      <c r="K1431" s="38" t="s">
        <v>6726</v>
      </c>
      <c r="L1431" s="53">
        <v>0.995</v>
      </c>
      <c r="M1431" s="27" t="s">
        <v>365</v>
      </c>
      <c r="N1431" s="29" t="s">
        <v>6727</v>
      </c>
      <c r="O1431" s="56"/>
      <c r="P1431" s="52"/>
      <c r="Q1431" s="52"/>
      <c r="R1431" s="27"/>
      <c r="S1431" s="32">
        <v>120000000</v>
      </c>
      <c r="T1431" s="33"/>
      <c r="U1431" s="334">
        <v>45129</v>
      </c>
      <c r="V1431" s="334">
        <v>45494</v>
      </c>
      <c r="W1431" s="27" t="s">
        <v>250</v>
      </c>
      <c r="X1431" s="27"/>
      <c r="Y1431" s="34">
        <f t="shared" ca="1" si="66"/>
        <v>46290</v>
      </c>
      <c r="Z1431" s="35">
        <f t="shared" ca="1" si="64"/>
        <v>-796</v>
      </c>
      <c r="AA1431" s="27">
        <f t="shared" si="67"/>
        <v>7</v>
      </c>
      <c r="AB1431" s="27">
        <f t="shared" si="65"/>
        <v>2024</v>
      </c>
      <c r="AC1431" s="28">
        <v>4500018443</v>
      </c>
      <c r="AD1431" s="28">
        <v>803</v>
      </c>
      <c r="AE1431" s="27">
        <v>4500021107</v>
      </c>
      <c r="AF1431" s="27" t="s">
        <v>471</v>
      </c>
      <c r="AG1431" s="29"/>
      <c r="AH1431" s="29"/>
      <c r="AI1431" s="27"/>
      <c r="AJ1431" s="27"/>
      <c r="AK1431" s="27"/>
      <c r="AL1431" s="27"/>
      <c r="AM1431" s="27"/>
      <c r="AN1431" s="27"/>
      <c r="AO1431" s="27">
        <v>256</v>
      </c>
      <c r="AP1431" s="27"/>
      <c r="AQ1431" s="27"/>
      <c r="AR1431" s="504"/>
      <c r="AS1431" s="332" t="s">
        <v>6730</v>
      </c>
      <c r="AT1431" s="160"/>
    </row>
    <row r="1432" spans="1:46" ht="21.75" hidden="1" customHeight="1">
      <c r="A1432" s="331">
        <v>1431</v>
      </c>
      <c r="B1432" s="28" t="s">
        <v>6694</v>
      </c>
      <c r="C1432" s="28" t="s">
        <v>6731</v>
      </c>
      <c r="D1432" s="438" t="s">
        <v>6723</v>
      </c>
      <c r="E1432" s="361" t="str">
        <f t="shared" ca="1" si="63"/>
        <v>LOSS</v>
      </c>
      <c r="F1432" s="28"/>
      <c r="G1432" s="28" t="s">
        <v>6732</v>
      </c>
      <c r="H1432" s="28" t="s">
        <v>261</v>
      </c>
      <c r="I1432" s="361" t="s">
        <v>243</v>
      </c>
      <c r="J1432" s="28" t="s">
        <v>6733</v>
      </c>
      <c r="K1432" s="38" t="s">
        <v>6734</v>
      </c>
      <c r="L1432" s="53">
        <v>0.995</v>
      </c>
      <c r="M1432" s="27" t="s">
        <v>329</v>
      </c>
      <c r="N1432" s="29" t="s">
        <v>6735</v>
      </c>
      <c r="O1432" s="56"/>
      <c r="P1432" s="52">
        <v>372000000</v>
      </c>
      <c r="Q1432" s="52"/>
      <c r="R1432" s="56"/>
      <c r="S1432" s="32">
        <v>103800000</v>
      </c>
      <c r="T1432" s="33"/>
      <c r="U1432" s="334">
        <v>45150</v>
      </c>
      <c r="V1432" s="334">
        <v>45880</v>
      </c>
      <c r="W1432" s="27" t="s">
        <v>250</v>
      </c>
      <c r="X1432" s="27"/>
      <c r="Y1432" s="34">
        <f t="shared" ca="1" si="66"/>
        <v>46290</v>
      </c>
      <c r="Z1432" s="35">
        <f t="shared" ca="1" si="64"/>
        <v>-410</v>
      </c>
      <c r="AA1432" s="27">
        <f t="shared" si="67"/>
        <v>8</v>
      </c>
      <c r="AB1432" s="27">
        <f t="shared" si="65"/>
        <v>2025</v>
      </c>
      <c r="AC1432" s="28" t="s">
        <v>3371</v>
      </c>
      <c r="AD1432" s="28" t="s">
        <v>6736</v>
      </c>
      <c r="AE1432" s="27">
        <v>4500020944</v>
      </c>
      <c r="AF1432" s="27" t="s">
        <v>471</v>
      </c>
      <c r="AG1432" s="29"/>
      <c r="AH1432" s="29"/>
      <c r="AI1432" s="27"/>
      <c r="AJ1432" s="27"/>
      <c r="AK1432" s="27"/>
      <c r="AL1432" s="27"/>
      <c r="AM1432" s="27"/>
      <c r="AN1432" s="27"/>
      <c r="AO1432" s="27">
        <v>191</v>
      </c>
      <c r="AP1432" s="27"/>
      <c r="AQ1432" s="27"/>
      <c r="AR1432" s="504"/>
      <c r="AS1432" s="332" t="s">
        <v>6737</v>
      </c>
      <c r="AT1432" s="160"/>
    </row>
    <row r="1433" spans="1:46" ht="21.75" hidden="1" customHeight="1">
      <c r="A1433" s="331">
        <v>1432</v>
      </c>
      <c r="B1433" s="28" t="s">
        <v>6694</v>
      </c>
      <c r="C1433" s="28" t="s">
        <v>6731</v>
      </c>
      <c r="D1433" s="437" t="s">
        <v>6723</v>
      </c>
      <c r="E1433" s="361" t="str">
        <f t="shared" ca="1" si="63"/>
        <v>LOSS</v>
      </c>
      <c r="F1433" s="27"/>
      <c r="G1433" s="28" t="s">
        <v>6732</v>
      </c>
      <c r="H1433" s="28" t="s">
        <v>261</v>
      </c>
      <c r="I1433" s="361" t="s">
        <v>243</v>
      </c>
      <c r="J1433" s="28" t="s">
        <v>6738</v>
      </c>
      <c r="K1433" s="38" t="s">
        <v>6734</v>
      </c>
      <c r="L1433" s="53">
        <v>0.995</v>
      </c>
      <c r="M1433" s="27" t="s">
        <v>329</v>
      </c>
      <c r="N1433" s="29" t="s">
        <v>6739</v>
      </c>
      <c r="O1433" s="56"/>
      <c r="P1433" s="61">
        <v>703000000</v>
      </c>
      <c r="Q1433" s="61"/>
      <c r="R1433" s="56"/>
      <c r="S1433" s="33">
        <v>43418375</v>
      </c>
      <c r="T1433" s="33"/>
      <c r="U1433" s="334">
        <v>45194</v>
      </c>
      <c r="V1433" s="334">
        <v>45880</v>
      </c>
      <c r="W1433" s="27" t="s">
        <v>250</v>
      </c>
      <c r="X1433" s="27"/>
      <c r="Y1433" s="34">
        <f t="shared" ca="1" si="66"/>
        <v>46290</v>
      </c>
      <c r="Z1433" s="35">
        <f t="shared" ca="1" si="64"/>
        <v>-410</v>
      </c>
      <c r="AA1433" s="27">
        <f t="shared" si="67"/>
        <v>8</v>
      </c>
      <c r="AB1433" s="27">
        <f t="shared" si="65"/>
        <v>2025</v>
      </c>
      <c r="AC1433" s="28">
        <v>4500020944</v>
      </c>
      <c r="AD1433" s="28" t="s">
        <v>6740</v>
      </c>
      <c r="AE1433" s="27">
        <v>4500021520</v>
      </c>
      <c r="AF1433" s="27" t="s">
        <v>471</v>
      </c>
      <c r="AG1433" s="29"/>
      <c r="AH1433" s="29"/>
      <c r="AI1433" s="27"/>
      <c r="AJ1433" s="27"/>
      <c r="AK1433" s="27"/>
      <c r="AL1433" s="27"/>
      <c r="AM1433" s="27"/>
      <c r="AN1433" s="27"/>
      <c r="AO1433" s="27">
        <v>298</v>
      </c>
      <c r="AP1433" s="27"/>
      <c r="AQ1433" s="27"/>
      <c r="AR1433" s="504"/>
      <c r="AS1433" s="332" t="s">
        <v>6710</v>
      </c>
      <c r="AT1433" s="160"/>
    </row>
    <row r="1434" spans="1:46" ht="21.75" hidden="1" customHeight="1">
      <c r="A1434" s="331">
        <v>1433</v>
      </c>
      <c r="B1434" s="28" t="s">
        <v>6694</v>
      </c>
      <c r="C1434" s="28" t="s">
        <v>6741</v>
      </c>
      <c r="D1434" s="438" t="s">
        <v>6723</v>
      </c>
      <c r="E1434" s="361" t="str">
        <f t="shared" ca="1" si="63"/>
        <v>LOSS</v>
      </c>
      <c r="F1434" s="27"/>
      <c r="G1434" s="28" t="s">
        <v>6732</v>
      </c>
      <c r="H1434" s="28" t="s">
        <v>261</v>
      </c>
      <c r="I1434" s="361" t="s">
        <v>243</v>
      </c>
      <c r="J1434" s="28" t="s">
        <v>6733</v>
      </c>
      <c r="K1434" s="38" t="s">
        <v>6734</v>
      </c>
      <c r="L1434" s="53">
        <v>0.995</v>
      </c>
      <c r="M1434" s="27" t="s">
        <v>329</v>
      </c>
      <c r="N1434" s="29" t="s">
        <v>6739</v>
      </c>
      <c r="O1434" s="56"/>
      <c r="P1434" s="52">
        <f>31000000*12</f>
        <v>372000000</v>
      </c>
      <c r="Q1434" s="52"/>
      <c r="R1434" s="56"/>
      <c r="S1434" s="32">
        <f>(6000000*24)+3000000</f>
        <v>147000000</v>
      </c>
      <c r="T1434" s="33"/>
      <c r="U1434" s="334">
        <v>45194</v>
      </c>
      <c r="V1434" s="334">
        <v>45880</v>
      </c>
      <c r="W1434" s="27" t="s">
        <v>250</v>
      </c>
      <c r="X1434" s="27"/>
      <c r="Y1434" s="34">
        <f t="shared" ca="1" si="66"/>
        <v>46290</v>
      </c>
      <c r="Z1434" s="35">
        <f t="shared" ca="1" si="64"/>
        <v>-410</v>
      </c>
      <c r="AA1434" s="27">
        <f t="shared" si="67"/>
        <v>8</v>
      </c>
      <c r="AB1434" s="27">
        <f t="shared" si="65"/>
        <v>2025</v>
      </c>
      <c r="AC1434" s="28" t="s">
        <v>3371</v>
      </c>
      <c r="AD1434" s="28" t="s">
        <v>6742</v>
      </c>
      <c r="AE1434" s="27">
        <v>4500021130</v>
      </c>
      <c r="AF1434" s="27" t="s">
        <v>471</v>
      </c>
      <c r="AG1434" s="29"/>
      <c r="AH1434" s="29"/>
      <c r="AI1434" s="27"/>
      <c r="AJ1434" s="27"/>
      <c r="AK1434" s="27"/>
      <c r="AL1434" s="27"/>
      <c r="AM1434" s="27"/>
      <c r="AN1434" s="27"/>
      <c r="AO1434" s="27">
        <v>299</v>
      </c>
      <c r="AP1434" s="27"/>
      <c r="AQ1434" s="27"/>
      <c r="AR1434" s="504"/>
      <c r="AS1434" s="332" t="s">
        <v>6743</v>
      </c>
      <c r="AT1434" s="160"/>
    </row>
    <row r="1435" spans="1:46" ht="21.75" hidden="1" customHeight="1">
      <c r="A1435" s="331">
        <v>1434</v>
      </c>
      <c r="B1435" s="28" t="s">
        <v>6694</v>
      </c>
      <c r="C1435" s="28" t="s">
        <v>6701</v>
      </c>
      <c r="D1435" s="437" t="s">
        <v>6723</v>
      </c>
      <c r="E1435" s="361" t="str">
        <f t="shared" ca="1" si="63"/>
        <v>LOSS</v>
      </c>
      <c r="F1435" s="27" t="s">
        <v>6744</v>
      </c>
      <c r="G1435" s="28" t="s">
        <v>6745</v>
      </c>
      <c r="H1435" s="28" t="s">
        <v>261</v>
      </c>
      <c r="I1435" s="361" t="s">
        <v>243</v>
      </c>
      <c r="J1435" s="28" t="s">
        <v>6704</v>
      </c>
      <c r="K1435" s="63" t="s">
        <v>6746</v>
      </c>
      <c r="L1435" s="53">
        <v>0.995</v>
      </c>
      <c r="M1435" s="27" t="s">
        <v>365</v>
      </c>
      <c r="N1435" s="29" t="s">
        <v>4750</v>
      </c>
      <c r="O1435" s="56"/>
      <c r="P1435" s="61">
        <f>4800000*12</f>
        <v>57600000</v>
      </c>
      <c r="Q1435" s="61"/>
      <c r="R1435" s="56"/>
      <c r="S1435" s="33">
        <f>385000*12</f>
        <v>4620000</v>
      </c>
      <c r="T1435" s="33"/>
      <c r="U1435" s="334">
        <v>45209</v>
      </c>
      <c r="V1435" s="334">
        <v>45574</v>
      </c>
      <c r="W1435" s="27" t="s">
        <v>250</v>
      </c>
      <c r="X1435" s="27"/>
      <c r="Y1435" s="34">
        <f t="shared" ca="1" si="66"/>
        <v>46290</v>
      </c>
      <c r="Z1435" s="35">
        <f t="shared" ca="1" si="64"/>
        <v>-716</v>
      </c>
      <c r="AA1435" s="27">
        <f t="shared" si="67"/>
        <v>10</v>
      </c>
      <c r="AB1435" s="27">
        <f t="shared" si="65"/>
        <v>2024</v>
      </c>
      <c r="AC1435" s="28" t="s">
        <v>6747</v>
      </c>
      <c r="AD1435" s="28" t="s">
        <v>6748</v>
      </c>
      <c r="AE1435" s="27">
        <v>4500021654</v>
      </c>
      <c r="AF1435" s="27" t="s">
        <v>471</v>
      </c>
      <c r="AG1435" s="29" t="s">
        <v>6708</v>
      </c>
      <c r="AH1435" s="29" t="s">
        <v>6709</v>
      </c>
      <c r="AI1435" s="27"/>
      <c r="AJ1435" s="27"/>
      <c r="AK1435" s="27"/>
      <c r="AL1435" s="27"/>
      <c r="AM1435" s="27"/>
      <c r="AN1435" s="27"/>
      <c r="AO1435" s="27">
        <v>370</v>
      </c>
      <c r="AP1435" s="27"/>
      <c r="AQ1435" s="27"/>
      <c r="AR1435" s="504"/>
      <c r="AS1435" s="332"/>
      <c r="AT1435" s="160"/>
    </row>
    <row r="1436" spans="1:46" ht="21.75" hidden="1" customHeight="1">
      <c r="A1436" s="331">
        <v>1435</v>
      </c>
      <c r="B1436" s="28" t="s">
        <v>57</v>
      </c>
      <c r="C1436" s="28" t="s">
        <v>6749</v>
      </c>
      <c r="D1436" s="438" t="s">
        <v>6750</v>
      </c>
      <c r="E1436" s="361" t="str">
        <f t="shared" ca="1" si="63"/>
        <v>LOSS</v>
      </c>
      <c r="F1436" s="28" t="s">
        <v>6751</v>
      </c>
      <c r="G1436" s="28" t="s">
        <v>6752</v>
      </c>
      <c r="H1436" s="28" t="s">
        <v>261</v>
      </c>
      <c r="I1436" s="361" t="s">
        <v>243</v>
      </c>
      <c r="J1436" s="28" t="s">
        <v>6753</v>
      </c>
      <c r="K1436" s="38" t="s">
        <v>6754</v>
      </c>
      <c r="L1436" s="60">
        <v>0.995</v>
      </c>
      <c r="M1436" s="27" t="s">
        <v>365</v>
      </c>
      <c r="N1436" s="29" t="s">
        <v>6755</v>
      </c>
      <c r="O1436" s="56"/>
      <c r="P1436" s="52">
        <v>870000000</v>
      </c>
      <c r="Q1436" s="52"/>
      <c r="R1436" s="27"/>
      <c r="S1436" s="32">
        <v>240000000</v>
      </c>
      <c r="T1436" s="33"/>
      <c r="U1436" s="334">
        <v>45219</v>
      </c>
      <c r="V1436" s="334">
        <v>45310</v>
      </c>
      <c r="W1436" s="27" t="s">
        <v>245</v>
      </c>
      <c r="X1436" s="27"/>
      <c r="Y1436" s="34">
        <f t="shared" ca="1" si="66"/>
        <v>46290</v>
      </c>
      <c r="Z1436" s="35">
        <f t="shared" ca="1" si="64"/>
        <v>-980</v>
      </c>
      <c r="AA1436" s="27">
        <f t="shared" si="67"/>
        <v>1</v>
      </c>
      <c r="AB1436" s="27">
        <f t="shared" si="65"/>
        <v>2024</v>
      </c>
      <c r="AC1436" s="28">
        <v>4500020865</v>
      </c>
      <c r="AD1436" s="28">
        <v>1952</v>
      </c>
      <c r="AE1436" s="27">
        <v>4500022126</v>
      </c>
      <c r="AF1436" s="27" t="s">
        <v>471</v>
      </c>
      <c r="AG1436" s="29" t="s">
        <v>6756</v>
      </c>
      <c r="AH1436" s="29" t="s">
        <v>6757</v>
      </c>
      <c r="AI1436" s="27"/>
      <c r="AJ1436" s="27"/>
      <c r="AK1436" s="27"/>
      <c r="AL1436" s="27"/>
      <c r="AM1436" s="27"/>
      <c r="AN1436" s="27" t="s">
        <v>5019</v>
      </c>
      <c r="AO1436" s="27" t="s">
        <v>6758</v>
      </c>
      <c r="AP1436" s="27"/>
      <c r="AQ1436" s="27"/>
      <c r="AR1436" s="504"/>
      <c r="AS1436" s="332" t="s">
        <v>6759</v>
      </c>
      <c r="AT1436" s="160"/>
    </row>
    <row r="1437" spans="1:46" ht="21.75" hidden="1" customHeight="1">
      <c r="A1437" s="331">
        <v>1436</v>
      </c>
      <c r="B1437" s="28" t="s">
        <v>57</v>
      </c>
      <c r="C1437" s="28" t="s">
        <v>2616</v>
      </c>
      <c r="D1437" s="437" t="s">
        <v>6750</v>
      </c>
      <c r="E1437" s="361" t="str">
        <f t="shared" ca="1" si="63"/>
        <v>LOSS</v>
      </c>
      <c r="F1437" s="28" t="s">
        <v>115</v>
      </c>
      <c r="G1437" s="28" t="s">
        <v>6760</v>
      </c>
      <c r="H1437" s="28" t="s">
        <v>261</v>
      </c>
      <c r="I1437" s="361" t="s">
        <v>243</v>
      </c>
      <c r="J1437" s="28" t="s">
        <v>2618</v>
      </c>
      <c r="K1437" s="38" t="s">
        <v>6761</v>
      </c>
      <c r="L1437" s="51">
        <v>0.995</v>
      </c>
      <c r="M1437" s="27" t="s">
        <v>353</v>
      </c>
      <c r="N1437" s="29" t="s">
        <v>6762</v>
      </c>
      <c r="O1437" s="56"/>
      <c r="P1437" s="61">
        <v>384057600</v>
      </c>
      <c r="Q1437" s="61"/>
      <c r="R1437" s="27"/>
      <c r="S1437" s="33">
        <v>210000027</v>
      </c>
      <c r="T1437" s="33"/>
      <c r="U1437" s="334">
        <v>45160</v>
      </c>
      <c r="V1437" s="334">
        <v>45525</v>
      </c>
      <c r="W1437" s="27" t="s">
        <v>250</v>
      </c>
      <c r="X1437" s="27"/>
      <c r="Y1437" s="34">
        <f t="shared" ca="1" si="66"/>
        <v>46290</v>
      </c>
      <c r="Z1437" s="35">
        <f t="shared" ca="1" si="64"/>
        <v>-765</v>
      </c>
      <c r="AA1437" s="27">
        <f t="shared" si="67"/>
        <v>8</v>
      </c>
      <c r="AB1437" s="27">
        <f t="shared" si="65"/>
        <v>2024</v>
      </c>
      <c r="AC1437" s="28">
        <v>4500018763</v>
      </c>
      <c r="AD1437" s="28" t="s">
        <v>6763</v>
      </c>
      <c r="AE1437" s="27">
        <v>4500021171</v>
      </c>
      <c r="AF1437" s="27" t="s">
        <v>471</v>
      </c>
      <c r="AG1437" s="29"/>
      <c r="AH1437" s="29"/>
      <c r="AI1437" s="27"/>
      <c r="AJ1437" s="27"/>
      <c r="AK1437" s="27"/>
      <c r="AL1437" s="27"/>
      <c r="AM1437" s="27"/>
      <c r="AN1437" s="27"/>
      <c r="AO1437" s="27">
        <v>207</v>
      </c>
      <c r="AP1437" s="27"/>
      <c r="AQ1437" s="27"/>
      <c r="AR1437" s="504"/>
      <c r="AS1437" s="332" t="s">
        <v>6728</v>
      </c>
      <c r="AT1437" s="160"/>
    </row>
    <row r="1438" spans="1:46" ht="21.75" hidden="1" customHeight="1">
      <c r="A1438" s="331">
        <v>1437</v>
      </c>
      <c r="B1438" s="28" t="s">
        <v>6764</v>
      </c>
      <c r="C1438" s="28" t="s">
        <v>6765</v>
      </c>
      <c r="D1438" s="438" t="s">
        <v>6766</v>
      </c>
      <c r="E1438" s="361" t="str">
        <f t="shared" ca="1" si="63"/>
        <v>LOSS</v>
      </c>
      <c r="F1438" s="28" t="s">
        <v>6767</v>
      </c>
      <c r="G1438" s="28" t="s">
        <v>6768</v>
      </c>
      <c r="H1438" s="28" t="s">
        <v>261</v>
      </c>
      <c r="I1438" s="361" t="s">
        <v>243</v>
      </c>
      <c r="J1438" s="28" t="s">
        <v>70</v>
      </c>
      <c r="K1438" s="38" t="s">
        <v>6769</v>
      </c>
      <c r="L1438" s="60">
        <v>0.995</v>
      </c>
      <c r="M1438" s="27" t="s">
        <v>365</v>
      </c>
      <c r="N1438" s="27" t="s">
        <v>362</v>
      </c>
      <c r="O1438" s="56"/>
      <c r="P1438" s="52">
        <v>420000000</v>
      </c>
      <c r="Q1438" s="52"/>
      <c r="R1438" s="56"/>
      <c r="S1438" s="32">
        <f>12500000*12</f>
        <v>150000000</v>
      </c>
      <c r="T1438" s="33"/>
      <c r="U1438" s="334">
        <v>45824</v>
      </c>
      <c r="V1438" s="334">
        <v>45823</v>
      </c>
      <c r="W1438" s="27" t="s">
        <v>250</v>
      </c>
      <c r="X1438" s="27"/>
      <c r="Y1438" s="34">
        <f t="shared" ca="1" si="66"/>
        <v>46290</v>
      </c>
      <c r="Z1438" s="35">
        <f t="shared" ca="1" si="64"/>
        <v>-467</v>
      </c>
      <c r="AA1438" s="27">
        <f t="shared" si="67"/>
        <v>6</v>
      </c>
      <c r="AB1438" s="27">
        <f t="shared" si="65"/>
        <v>2025</v>
      </c>
      <c r="AC1438" s="28">
        <v>4500020613</v>
      </c>
      <c r="AD1438" s="28" t="s">
        <v>6770</v>
      </c>
      <c r="AE1438" s="27">
        <v>4500022442</v>
      </c>
      <c r="AF1438" s="27" t="s">
        <v>471</v>
      </c>
      <c r="AG1438" s="29" t="s">
        <v>6771</v>
      </c>
      <c r="AH1438" s="29" t="s">
        <v>6772</v>
      </c>
      <c r="AI1438" s="27"/>
      <c r="AJ1438" s="27"/>
      <c r="AK1438" s="27"/>
      <c r="AL1438" s="27"/>
      <c r="AM1438" s="27"/>
      <c r="AN1438" s="27"/>
      <c r="AO1438" s="27">
        <v>140</v>
      </c>
      <c r="AP1438" s="27">
        <v>130</v>
      </c>
      <c r="AQ1438" s="27"/>
      <c r="AR1438" s="504"/>
      <c r="AS1438" s="332"/>
      <c r="AT1438" s="160"/>
    </row>
    <row r="1439" spans="1:46" ht="21.75" hidden="1" customHeight="1">
      <c r="A1439" s="331">
        <v>1438</v>
      </c>
      <c r="B1439" s="28" t="s">
        <v>3409</v>
      </c>
      <c r="C1439" s="28" t="s">
        <v>6773</v>
      </c>
      <c r="D1439" s="437" t="s">
        <v>6774</v>
      </c>
      <c r="E1439" s="361" t="str">
        <f t="shared" ca="1" si="63"/>
        <v>LOSS</v>
      </c>
      <c r="F1439" s="27"/>
      <c r="G1439" s="28" t="s">
        <v>6775</v>
      </c>
      <c r="H1439" s="28" t="s">
        <v>261</v>
      </c>
      <c r="I1439" s="361" t="s">
        <v>243</v>
      </c>
      <c r="J1439" s="28"/>
      <c r="K1439" s="28"/>
      <c r="L1439" s="60">
        <v>0.98</v>
      </c>
      <c r="M1439" s="27" t="s">
        <v>6776</v>
      </c>
      <c r="N1439" s="29" t="s">
        <v>468</v>
      </c>
      <c r="O1439" s="56"/>
      <c r="P1439" s="52">
        <v>1018500000</v>
      </c>
      <c r="Q1439" s="52"/>
      <c r="R1439" s="27"/>
      <c r="S1439" s="33">
        <v>545000000</v>
      </c>
      <c r="T1439" s="33"/>
      <c r="U1439" s="334">
        <v>44287</v>
      </c>
      <c r="V1439" s="334">
        <v>45382</v>
      </c>
      <c r="W1439" s="27" t="s">
        <v>245</v>
      </c>
      <c r="X1439" s="27"/>
      <c r="Y1439" s="34">
        <f t="shared" ca="1" si="66"/>
        <v>46290</v>
      </c>
      <c r="Z1439" s="35">
        <f t="shared" ca="1" si="64"/>
        <v>-908</v>
      </c>
      <c r="AA1439" s="27">
        <f t="shared" si="67"/>
        <v>3</v>
      </c>
      <c r="AB1439" s="27">
        <f t="shared" si="65"/>
        <v>2024</v>
      </c>
      <c r="AC1439" s="28"/>
      <c r="AD1439" s="28"/>
      <c r="AE1439" s="27">
        <v>4500015965</v>
      </c>
      <c r="AF1439" s="27" t="s">
        <v>471</v>
      </c>
      <c r="AG1439" s="29" t="s">
        <v>6777</v>
      </c>
      <c r="AH1439" s="29" t="s">
        <v>6778</v>
      </c>
      <c r="AI1439" s="27"/>
      <c r="AJ1439" s="27"/>
      <c r="AK1439" s="27"/>
      <c r="AL1439" s="27"/>
      <c r="AM1439" s="27"/>
      <c r="AN1439" s="27"/>
      <c r="AO1439" s="27">
        <v>26</v>
      </c>
      <c r="AP1439" s="27"/>
      <c r="AQ1439" s="27"/>
      <c r="AR1439" s="504"/>
      <c r="AS1439" s="332" t="s">
        <v>6779</v>
      </c>
      <c r="AT1439" s="160"/>
    </row>
    <row r="1440" spans="1:46" ht="21.75" hidden="1" customHeight="1">
      <c r="A1440" s="331">
        <v>1439</v>
      </c>
      <c r="B1440" s="28" t="s">
        <v>3409</v>
      </c>
      <c r="C1440" s="28" t="s">
        <v>6780</v>
      </c>
      <c r="D1440" s="438" t="s">
        <v>6774</v>
      </c>
      <c r="E1440" s="361" t="str">
        <f t="shared" ca="1" si="63"/>
        <v>LOSS</v>
      </c>
      <c r="F1440" s="28" t="s">
        <v>6781</v>
      </c>
      <c r="G1440" s="28" t="s">
        <v>6782</v>
      </c>
      <c r="H1440" s="28" t="s">
        <v>261</v>
      </c>
      <c r="I1440" s="361" t="s">
        <v>243</v>
      </c>
      <c r="J1440" s="28" t="s">
        <v>2016</v>
      </c>
      <c r="K1440" s="38" t="s">
        <v>6783</v>
      </c>
      <c r="L1440" s="51">
        <v>0.99</v>
      </c>
      <c r="M1440" s="27" t="s">
        <v>365</v>
      </c>
      <c r="N1440" s="29" t="s">
        <v>6735</v>
      </c>
      <c r="O1440" s="56"/>
      <c r="P1440" s="31">
        <v>297000000</v>
      </c>
      <c r="Q1440" s="31"/>
      <c r="R1440" s="56"/>
      <c r="S1440" s="32">
        <v>180000000</v>
      </c>
      <c r="T1440" s="33"/>
      <c r="U1440" s="334">
        <v>45292</v>
      </c>
      <c r="V1440" s="334">
        <v>45657</v>
      </c>
      <c r="W1440" s="27" t="s">
        <v>250</v>
      </c>
      <c r="X1440" s="27"/>
      <c r="Y1440" s="34">
        <f t="shared" ca="1" si="66"/>
        <v>46290</v>
      </c>
      <c r="Z1440" s="35">
        <f t="shared" ca="1" si="64"/>
        <v>-633</v>
      </c>
      <c r="AA1440" s="27">
        <f t="shared" si="67"/>
        <v>12</v>
      </c>
      <c r="AB1440" s="27">
        <f t="shared" si="65"/>
        <v>2024</v>
      </c>
      <c r="AC1440" s="28">
        <v>4500019148</v>
      </c>
      <c r="AD1440" s="28">
        <v>2223</v>
      </c>
      <c r="AE1440" s="27">
        <v>4500022108</v>
      </c>
      <c r="AF1440" s="27" t="s">
        <v>471</v>
      </c>
      <c r="AG1440" s="29" t="s">
        <v>6777</v>
      </c>
      <c r="AH1440" s="29" t="s">
        <v>6778</v>
      </c>
      <c r="AI1440" s="27"/>
      <c r="AJ1440" s="27"/>
      <c r="AK1440" s="27"/>
      <c r="AL1440" s="27"/>
      <c r="AM1440" s="27"/>
      <c r="AN1440" s="27" t="s">
        <v>6784</v>
      </c>
      <c r="AO1440" s="27" t="s">
        <v>1054</v>
      </c>
      <c r="AP1440" s="27"/>
      <c r="AQ1440" s="27"/>
      <c r="AR1440" s="504"/>
      <c r="AS1440" s="332"/>
      <c r="AT1440" s="160"/>
    </row>
    <row r="1441" spans="1:46" ht="21.75" hidden="1" customHeight="1">
      <c r="A1441" s="331">
        <v>1440</v>
      </c>
      <c r="B1441" s="28" t="s">
        <v>3409</v>
      </c>
      <c r="C1441" s="28" t="s">
        <v>684</v>
      </c>
      <c r="D1441" s="437" t="s">
        <v>6774</v>
      </c>
      <c r="E1441" s="361" t="str">
        <f t="shared" ca="1" si="63"/>
        <v>LOSS</v>
      </c>
      <c r="F1441" s="28"/>
      <c r="G1441" s="28" t="s">
        <v>6785</v>
      </c>
      <c r="H1441" s="28" t="s">
        <v>261</v>
      </c>
      <c r="I1441" s="361" t="s">
        <v>243</v>
      </c>
      <c r="J1441" s="28" t="s">
        <v>2449</v>
      </c>
      <c r="K1441" s="38" t="s">
        <v>6786</v>
      </c>
      <c r="L1441" s="53" t="s">
        <v>6787</v>
      </c>
      <c r="M1441" s="27" t="s">
        <v>6788</v>
      </c>
      <c r="N1441" s="29" t="s">
        <v>6649</v>
      </c>
      <c r="O1441" s="56"/>
      <c r="P1441" s="52">
        <f>410300000*12</f>
        <v>4923600000</v>
      </c>
      <c r="Q1441" s="52"/>
      <c r="R1441" s="56"/>
      <c r="S1441" s="32">
        <v>48000000</v>
      </c>
      <c r="T1441" s="33"/>
      <c r="U1441" s="334">
        <v>45403</v>
      </c>
      <c r="V1441" s="334">
        <v>45767</v>
      </c>
      <c r="W1441" s="27" t="s">
        <v>250</v>
      </c>
      <c r="X1441" s="27"/>
      <c r="Y1441" s="34">
        <f t="shared" ca="1" si="66"/>
        <v>46290</v>
      </c>
      <c r="Z1441" s="35">
        <f t="shared" ca="1" si="64"/>
        <v>-523</v>
      </c>
      <c r="AA1441" s="27">
        <f t="shared" si="67"/>
        <v>4</v>
      </c>
      <c r="AB1441" s="27">
        <f t="shared" si="65"/>
        <v>2025</v>
      </c>
      <c r="AC1441" s="28">
        <v>4500020357</v>
      </c>
      <c r="AD1441" s="28" t="s">
        <v>6789</v>
      </c>
      <c r="AE1441" s="27">
        <v>4500022571</v>
      </c>
      <c r="AF1441" s="27" t="s">
        <v>471</v>
      </c>
      <c r="AG1441" s="29" t="s">
        <v>6790</v>
      </c>
      <c r="AH1441" s="29" t="s">
        <v>6791</v>
      </c>
      <c r="AI1441" s="27"/>
      <c r="AJ1441" s="27"/>
      <c r="AK1441" s="27"/>
      <c r="AL1441" s="27"/>
      <c r="AM1441" s="27"/>
      <c r="AN1441" s="27"/>
      <c r="AO1441" s="27">
        <v>106</v>
      </c>
      <c r="AP1441" s="27">
        <v>132</v>
      </c>
      <c r="AQ1441" s="27"/>
      <c r="AR1441" s="504"/>
      <c r="AS1441" s="332"/>
      <c r="AT1441" s="160"/>
    </row>
    <row r="1442" spans="1:46" ht="21.75" hidden="1" customHeight="1">
      <c r="A1442" s="331">
        <v>1441</v>
      </c>
      <c r="B1442" s="28" t="s">
        <v>3409</v>
      </c>
      <c r="C1442" s="28" t="s">
        <v>1206</v>
      </c>
      <c r="D1442" s="438" t="s">
        <v>6774</v>
      </c>
      <c r="E1442" s="361" t="str">
        <f t="shared" ca="1" si="63"/>
        <v>LOSS</v>
      </c>
      <c r="F1442" s="28"/>
      <c r="G1442" s="28" t="s">
        <v>6792</v>
      </c>
      <c r="H1442" s="28" t="s">
        <v>261</v>
      </c>
      <c r="I1442" s="361" t="s">
        <v>243</v>
      </c>
      <c r="J1442" s="28" t="s">
        <v>2647</v>
      </c>
      <c r="K1442" s="38" t="s">
        <v>6793</v>
      </c>
      <c r="L1442" s="60">
        <v>0.99</v>
      </c>
      <c r="M1442" s="27" t="s">
        <v>353</v>
      </c>
      <c r="N1442" s="27" t="s">
        <v>406</v>
      </c>
      <c r="O1442" s="56"/>
      <c r="P1442" s="52">
        <f>13000000*12</f>
        <v>156000000</v>
      </c>
      <c r="Q1442" s="52"/>
      <c r="R1442" s="27"/>
      <c r="S1442" s="32">
        <f>14000000*12</f>
        <v>168000000</v>
      </c>
      <c r="T1442" s="33"/>
      <c r="U1442" s="334">
        <v>45108</v>
      </c>
      <c r="V1442" s="334">
        <v>45473</v>
      </c>
      <c r="W1442" s="27" t="s">
        <v>250</v>
      </c>
      <c r="X1442" s="27"/>
      <c r="Y1442" s="34">
        <f t="shared" ca="1" si="66"/>
        <v>46290</v>
      </c>
      <c r="Z1442" s="35">
        <f t="shared" ca="1" si="64"/>
        <v>-817</v>
      </c>
      <c r="AA1442" s="27">
        <f t="shared" si="67"/>
        <v>6</v>
      </c>
      <c r="AB1442" s="27">
        <v>2024</v>
      </c>
      <c r="AC1442" s="28" t="s">
        <v>6794</v>
      </c>
      <c r="AD1442" s="28" t="s">
        <v>6795</v>
      </c>
      <c r="AE1442" s="27">
        <v>4500020786</v>
      </c>
      <c r="AF1442" s="27" t="s">
        <v>471</v>
      </c>
      <c r="AG1442" s="29" t="s">
        <v>6777</v>
      </c>
      <c r="AH1442" s="29" t="s">
        <v>6778</v>
      </c>
      <c r="AI1442" s="27"/>
      <c r="AJ1442" s="27"/>
      <c r="AK1442" s="27"/>
      <c r="AL1442" s="27"/>
      <c r="AM1442" s="27"/>
      <c r="AN1442" s="27"/>
      <c r="AO1442" s="27">
        <v>166</v>
      </c>
      <c r="AP1442" s="27"/>
      <c r="AQ1442" s="27"/>
      <c r="AR1442" s="504"/>
      <c r="AS1442" s="332"/>
      <c r="AT1442" s="160"/>
    </row>
    <row r="1443" spans="1:46" ht="21.75" hidden="1" customHeight="1">
      <c r="A1443" s="331">
        <v>1442</v>
      </c>
      <c r="B1443" s="28" t="s">
        <v>3409</v>
      </c>
      <c r="C1443" s="28" t="s">
        <v>1206</v>
      </c>
      <c r="D1443" s="437" t="s">
        <v>6774</v>
      </c>
      <c r="E1443" s="361" t="str">
        <f t="shared" ca="1" si="63"/>
        <v>LOSS</v>
      </c>
      <c r="F1443" s="28"/>
      <c r="G1443" s="28" t="s">
        <v>6792</v>
      </c>
      <c r="H1443" s="28" t="s">
        <v>261</v>
      </c>
      <c r="I1443" s="361" t="s">
        <v>243</v>
      </c>
      <c r="J1443" s="28" t="s">
        <v>2647</v>
      </c>
      <c r="K1443" s="38" t="s">
        <v>6793</v>
      </c>
      <c r="L1443" s="60">
        <v>0.99</v>
      </c>
      <c r="M1443" s="27" t="s">
        <v>353</v>
      </c>
      <c r="N1443" s="27" t="s">
        <v>406</v>
      </c>
      <c r="O1443" s="56"/>
      <c r="P1443" s="52">
        <f>13000000*12</f>
        <v>156000000</v>
      </c>
      <c r="Q1443" s="52"/>
      <c r="R1443" s="56"/>
      <c r="S1443" s="32">
        <f>14000000*12</f>
        <v>168000000</v>
      </c>
      <c r="T1443" s="33"/>
      <c r="U1443" s="334">
        <v>45474</v>
      </c>
      <c r="V1443" s="334">
        <v>45838</v>
      </c>
      <c r="W1443" s="27" t="s">
        <v>250</v>
      </c>
      <c r="X1443" s="27"/>
      <c r="Y1443" s="34">
        <f t="shared" ca="1" si="66"/>
        <v>46290</v>
      </c>
      <c r="Z1443" s="35">
        <f t="shared" ca="1" si="64"/>
        <v>-452</v>
      </c>
      <c r="AA1443" s="27">
        <f t="shared" si="67"/>
        <v>6</v>
      </c>
      <c r="AB1443" s="27">
        <f t="shared" ref="AB1443:AB1474" si="68">YEAR(V1443)</f>
        <v>2025</v>
      </c>
      <c r="AC1443" s="28" t="s">
        <v>6796</v>
      </c>
      <c r="AD1443" s="28" t="s">
        <v>6797</v>
      </c>
      <c r="AE1443" s="27">
        <v>4500022924</v>
      </c>
      <c r="AF1443" s="27" t="s">
        <v>471</v>
      </c>
      <c r="AG1443" s="29" t="s">
        <v>6777</v>
      </c>
      <c r="AH1443" s="29" t="s">
        <v>6778</v>
      </c>
      <c r="AI1443" s="27"/>
      <c r="AJ1443" s="27"/>
      <c r="AK1443" s="27"/>
      <c r="AL1443" s="27"/>
      <c r="AM1443" s="27"/>
      <c r="AN1443" s="27"/>
      <c r="AO1443" s="27"/>
      <c r="AP1443" s="27">
        <v>237</v>
      </c>
      <c r="AQ1443" s="27"/>
      <c r="AR1443" s="504"/>
      <c r="AS1443" s="332"/>
      <c r="AT1443" s="160"/>
    </row>
    <row r="1444" spans="1:46" ht="21.75" hidden="1" customHeight="1">
      <c r="A1444" s="331">
        <v>1443</v>
      </c>
      <c r="B1444" s="28" t="s">
        <v>3409</v>
      </c>
      <c r="C1444" s="28" t="s">
        <v>6798</v>
      </c>
      <c r="D1444" s="438" t="s">
        <v>6774</v>
      </c>
      <c r="E1444" s="361" t="str">
        <f t="shared" ca="1" si="63"/>
        <v>LOSS</v>
      </c>
      <c r="F1444" s="27"/>
      <c r="G1444" s="28" t="s">
        <v>6799</v>
      </c>
      <c r="H1444" s="28" t="s">
        <v>261</v>
      </c>
      <c r="I1444" s="361" t="s">
        <v>243</v>
      </c>
      <c r="J1444" s="28" t="s">
        <v>6800</v>
      </c>
      <c r="K1444" s="63" t="s">
        <v>6801</v>
      </c>
      <c r="L1444" s="53">
        <v>0.99</v>
      </c>
      <c r="M1444" s="27" t="s">
        <v>365</v>
      </c>
      <c r="N1444" s="29" t="s">
        <v>6802</v>
      </c>
      <c r="O1444" s="56"/>
      <c r="P1444" s="61">
        <v>91900000</v>
      </c>
      <c r="Q1444" s="61"/>
      <c r="R1444" s="56"/>
      <c r="S1444" s="33">
        <v>47000000</v>
      </c>
      <c r="T1444" s="33"/>
      <c r="U1444" s="334">
        <v>45209</v>
      </c>
      <c r="V1444" s="334">
        <v>45574</v>
      </c>
      <c r="W1444" s="27" t="s">
        <v>250</v>
      </c>
      <c r="X1444" s="27"/>
      <c r="Y1444" s="34">
        <f t="shared" ca="1" si="66"/>
        <v>46290</v>
      </c>
      <c r="Z1444" s="35">
        <f t="shared" ca="1" si="64"/>
        <v>-716</v>
      </c>
      <c r="AA1444" s="27">
        <f t="shared" si="67"/>
        <v>10</v>
      </c>
      <c r="AB1444" s="27">
        <f t="shared" si="68"/>
        <v>2024</v>
      </c>
      <c r="AC1444" s="28"/>
      <c r="AD1444" s="28">
        <v>1607</v>
      </c>
      <c r="AE1444" s="27">
        <v>4500021519</v>
      </c>
      <c r="AF1444" s="27" t="s">
        <v>471</v>
      </c>
      <c r="AG1444" s="160" t="s">
        <v>6790</v>
      </c>
      <c r="AH1444" s="160" t="s">
        <v>6803</v>
      </c>
      <c r="AI1444" s="27"/>
      <c r="AJ1444" s="27"/>
      <c r="AK1444" s="27"/>
      <c r="AL1444" s="27"/>
      <c r="AM1444" s="27"/>
      <c r="AN1444" s="27"/>
      <c r="AO1444" s="27">
        <v>295</v>
      </c>
      <c r="AP1444" s="27"/>
      <c r="AQ1444" s="27"/>
      <c r="AR1444" s="504"/>
      <c r="AS1444" s="332" t="s">
        <v>6804</v>
      </c>
      <c r="AT1444" s="160"/>
    </row>
    <row r="1445" spans="1:46" ht="21.75" hidden="1" customHeight="1">
      <c r="A1445" s="331">
        <v>1444</v>
      </c>
      <c r="B1445" s="28" t="s">
        <v>3409</v>
      </c>
      <c r="C1445" s="28" t="s">
        <v>322</v>
      </c>
      <c r="D1445" s="437" t="s">
        <v>6774</v>
      </c>
      <c r="E1445" s="361" t="str">
        <f t="shared" ca="1" si="63"/>
        <v>LOSS</v>
      </c>
      <c r="F1445" s="28" t="s">
        <v>6805</v>
      </c>
      <c r="G1445" s="28" t="s">
        <v>6806</v>
      </c>
      <c r="H1445" s="28" t="s">
        <v>261</v>
      </c>
      <c r="I1445" s="361" t="s">
        <v>243</v>
      </c>
      <c r="J1445" s="28" t="s">
        <v>6807</v>
      </c>
      <c r="K1445" s="38" t="s">
        <v>6808</v>
      </c>
      <c r="L1445" s="53">
        <v>0.99</v>
      </c>
      <c r="M1445" s="27" t="s">
        <v>365</v>
      </c>
      <c r="N1445" s="29" t="s">
        <v>6802</v>
      </c>
      <c r="O1445" s="56"/>
      <c r="P1445" s="61">
        <v>274800000</v>
      </c>
      <c r="Q1445" s="61"/>
      <c r="R1445" s="56"/>
      <c r="S1445" s="33">
        <v>72000000</v>
      </c>
      <c r="T1445" s="33"/>
      <c r="U1445" s="334">
        <v>45215</v>
      </c>
      <c r="V1445" s="334">
        <v>45580</v>
      </c>
      <c r="W1445" s="27" t="s">
        <v>250</v>
      </c>
      <c r="X1445" s="27"/>
      <c r="Y1445" s="34">
        <f t="shared" ca="1" si="66"/>
        <v>46290</v>
      </c>
      <c r="Z1445" s="35">
        <f t="shared" ca="1" si="64"/>
        <v>-710</v>
      </c>
      <c r="AA1445" s="27">
        <f t="shared" si="67"/>
        <v>10</v>
      </c>
      <c r="AB1445" s="27">
        <f t="shared" si="68"/>
        <v>2024</v>
      </c>
      <c r="AC1445" s="28">
        <v>4500019004</v>
      </c>
      <c r="AD1445" s="28">
        <v>1605</v>
      </c>
      <c r="AE1445" s="27">
        <v>4500021623</v>
      </c>
      <c r="AF1445" s="27" t="s">
        <v>471</v>
      </c>
      <c r="AG1445" s="160" t="s">
        <v>6790</v>
      </c>
      <c r="AH1445" s="160" t="s">
        <v>6803</v>
      </c>
      <c r="AI1445" s="27"/>
      <c r="AJ1445" s="27"/>
      <c r="AK1445" s="27"/>
      <c r="AL1445" s="27"/>
      <c r="AM1445" s="27"/>
      <c r="AN1445" s="27"/>
      <c r="AO1445" s="27">
        <v>381</v>
      </c>
      <c r="AP1445" s="27"/>
      <c r="AQ1445" s="27"/>
      <c r="AR1445" s="504"/>
      <c r="AS1445" s="332"/>
      <c r="AT1445" s="160"/>
    </row>
    <row r="1446" spans="1:46" ht="21.75" hidden="1" customHeight="1">
      <c r="A1446" s="331">
        <v>1445</v>
      </c>
      <c r="B1446" s="28" t="s">
        <v>2354</v>
      </c>
      <c r="C1446" s="28" t="s">
        <v>6809</v>
      </c>
      <c r="D1446" s="438" t="s">
        <v>6810</v>
      </c>
      <c r="E1446" s="361" t="str">
        <f t="shared" ca="1" si="63"/>
        <v>LOSS</v>
      </c>
      <c r="F1446" s="27"/>
      <c r="G1446" s="28"/>
      <c r="H1446" s="28" t="s">
        <v>261</v>
      </c>
      <c r="I1446" s="361" t="s">
        <v>243</v>
      </c>
      <c r="J1446" s="28"/>
      <c r="K1446" s="28"/>
      <c r="L1446" s="27"/>
      <c r="M1446" s="27" t="s">
        <v>365</v>
      </c>
      <c r="N1446" s="29" t="s">
        <v>417</v>
      </c>
      <c r="O1446" s="56"/>
      <c r="P1446" s="52"/>
      <c r="Q1446" s="52"/>
      <c r="R1446" s="56"/>
      <c r="S1446" s="33">
        <v>10800000</v>
      </c>
      <c r="T1446" s="33"/>
      <c r="U1446" s="334">
        <v>44197</v>
      </c>
      <c r="V1446" s="334">
        <v>44561</v>
      </c>
      <c r="W1446" s="27" t="s">
        <v>245</v>
      </c>
      <c r="X1446" s="27"/>
      <c r="Y1446" s="34">
        <f t="shared" ca="1" si="66"/>
        <v>46290</v>
      </c>
      <c r="Z1446" s="35">
        <f t="shared" ca="1" si="64"/>
        <v>-1729</v>
      </c>
      <c r="AA1446" s="27">
        <f t="shared" si="67"/>
        <v>12</v>
      </c>
      <c r="AB1446" s="27">
        <f t="shared" si="68"/>
        <v>2021</v>
      </c>
      <c r="AC1446" s="28"/>
      <c r="AD1446" s="28"/>
      <c r="AE1446" s="47">
        <v>4500015492</v>
      </c>
      <c r="AF1446" s="27" t="s">
        <v>471</v>
      </c>
      <c r="AG1446" s="29"/>
      <c r="AH1446" s="29"/>
      <c r="AI1446" s="27"/>
      <c r="AJ1446" s="27"/>
      <c r="AK1446" s="27"/>
      <c r="AL1446" s="27"/>
      <c r="AM1446" s="27"/>
      <c r="AN1446" s="27"/>
      <c r="AO1446" s="27">
        <v>367</v>
      </c>
      <c r="AP1446" s="27"/>
      <c r="AQ1446" s="27"/>
      <c r="AR1446" s="504"/>
      <c r="AS1446" s="332"/>
      <c r="AT1446" s="160"/>
    </row>
    <row r="1447" spans="1:46" ht="21.75" hidden="1" customHeight="1">
      <c r="A1447" s="331">
        <v>1446</v>
      </c>
      <c r="B1447" s="28" t="s">
        <v>2354</v>
      </c>
      <c r="C1447" s="28" t="s">
        <v>6811</v>
      </c>
      <c r="D1447" s="437" t="s">
        <v>6810</v>
      </c>
      <c r="E1447" s="361" t="str">
        <f t="shared" ca="1" si="63"/>
        <v>LOSS</v>
      </c>
      <c r="F1447" s="27" t="s">
        <v>6812</v>
      </c>
      <c r="G1447" s="28" t="s">
        <v>6813</v>
      </c>
      <c r="H1447" s="28" t="s">
        <v>261</v>
      </c>
      <c r="I1447" s="361" t="s">
        <v>243</v>
      </c>
      <c r="J1447" s="28"/>
      <c r="K1447" s="38" t="s">
        <v>6814</v>
      </c>
      <c r="L1447" s="48"/>
      <c r="M1447" s="27" t="s">
        <v>365</v>
      </c>
      <c r="N1447" s="29" t="s">
        <v>6649</v>
      </c>
      <c r="O1447" s="56"/>
      <c r="P1447" s="64"/>
      <c r="Q1447" s="64"/>
      <c r="R1447" s="56"/>
      <c r="S1447" s="33">
        <v>21600000</v>
      </c>
      <c r="T1447" s="33"/>
      <c r="U1447" s="334">
        <v>44197</v>
      </c>
      <c r="V1447" s="334">
        <v>44561</v>
      </c>
      <c r="W1447" s="27" t="s">
        <v>245</v>
      </c>
      <c r="X1447" s="27"/>
      <c r="Y1447" s="34">
        <f t="shared" ca="1" si="66"/>
        <v>46290</v>
      </c>
      <c r="Z1447" s="35">
        <f t="shared" ca="1" si="64"/>
        <v>-1729</v>
      </c>
      <c r="AA1447" s="27">
        <f t="shared" si="67"/>
        <v>12</v>
      </c>
      <c r="AB1447" s="27">
        <f t="shared" si="68"/>
        <v>2021</v>
      </c>
      <c r="AC1447" s="38"/>
      <c r="AD1447" s="38" t="s">
        <v>115</v>
      </c>
      <c r="AE1447" s="47">
        <v>4500015617</v>
      </c>
      <c r="AF1447" s="27" t="s">
        <v>471</v>
      </c>
      <c r="AG1447" s="29"/>
      <c r="AH1447" s="29"/>
      <c r="AI1447" s="27"/>
      <c r="AJ1447" s="27"/>
      <c r="AK1447" s="27"/>
      <c r="AL1447" s="27"/>
      <c r="AM1447" s="27"/>
      <c r="AN1447" s="27"/>
      <c r="AO1447" s="27">
        <v>206</v>
      </c>
      <c r="AP1447" s="27"/>
      <c r="AQ1447" s="27"/>
      <c r="AR1447" s="504"/>
      <c r="AS1447" s="333" t="s">
        <v>115</v>
      </c>
      <c r="AT1447" s="160"/>
    </row>
    <row r="1448" spans="1:46" ht="21.75" hidden="1" customHeight="1">
      <c r="A1448" s="331">
        <v>1447</v>
      </c>
      <c r="B1448" s="28" t="s">
        <v>2354</v>
      </c>
      <c r="C1448" s="28" t="s">
        <v>6815</v>
      </c>
      <c r="D1448" s="438" t="s">
        <v>6810</v>
      </c>
      <c r="E1448" s="361" t="str">
        <f t="shared" ca="1" si="63"/>
        <v>LOSS</v>
      </c>
      <c r="F1448" s="27"/>
      <c r="G1448" s="28" t="s">
        <v>6816</v>
      </c>
      <c r="H1448" s="28" t="s">
        <v>261</v>
      </c>
      <c r="I1448" s="361" t="s">
        <v>243</v>
      </c>
      <c r="J1448" s="28"/>
      <c r="K1448" s="38" t="s">
        <v>6817</v>
      </c>
      <c r="L1448" s="48"/>
      <c r="M1448" s="27" t="s">
        <v>6776</v>
      </c>
      <c r="N1448" s="29" t="s">
        <v>389</v>
      </c>
      <c r="O1448" s="56"/>
      <c r="P1448" s="52"/>
      <c r="Q1448" s="52"/>
      <c r="R1448" s="56"/>
      <c r="S1448" s="33">
        <v>1500000</v>
      </c>
      <c r="T1448" s="33"/>
      <c r="U1448" s="334">
        <v>44376</v>
      </c>
      <c r="V1448" s="334">
        <v>44377</v>
      </c>
      <c r="W1448" s="27" t="s">
        <v>245</v>
      </c>
      <c r="X1448" s="27"/>
      <c r="Y1448" s="34">
        <f t="shared" ca="1" si="66"/>
        <v>46290</v>
      </c>
      <c r="Z1448" s="35">
        <f t="shared" ca="1" si="64"/>
        <v>-1913</v>
      </c>
      <c r="AA1448" s="27">
        <f t="shared" si="67"/>
        <v>6</v>
      </c>
      <c r="AB1448" s="27">
        <f t="shared" si="68"/>
        <v>2021</v>
      </c>
      <c r="AC1448" s="28"/>
      <c r="AD1448" s="28"/>
      <c r="AE1448" s="47">
        <v>4500016357</v>
      </c>
      <c r="AF1448" s="27" t="s">
        <v>471</v>
      </c>
      <c r="AG1448" s="29"/>
      <c r="AH1448" s="29"/>
      <c r="AI1448" s="27"/>
      <c r="AJ1448" s="27"/>
      <c r="AK1448" s="27"/>
      <c r="AL1448" s="27"/>
      <c r="AM1448" s="27"/>
      <c r="AN1448" s="27"/>
      <c r="AO1448" s="27">
        <v>105</v>
      </c>
      <c r="AP1448" s="27"/>
      <c r="AQ1448" s="27"/>
      <c r="AR1448" s="504"/>
      <c r="AS1448" s="332"/>
      <c r="AT1448" s="160"/>
    </row>
    <row r="1449" spans="1:46" ht="21.75" hidden="1" customHeight="1">
      <c r="A1449" s="331">
        <v>1448</v>
      </c>
      <c r="B1449" s="28" t="s">
        <v>6818</v>
      </c>
      <c r="C1449" s="28" t="s">
        <v>6819</v>
      </c>
      <c r="D1449" s="437" t="s">
        <v>6810</v>
      </c>
      <c r="E1449" s="361" t="str">
        <f t="shared" ca="1" si="63"/>
        <v>LOSS</v>
      </c>
      <c r="F1449" s="27" t="s">
        <v>6820</v>
      </c>
      <c r="G1449" s="28" t="s">
        <v>6821</v>
      </c>
      <c r="H1449" s="28" t="s">
        <v>261</v>
      </c>
      <c r="I1449" s="361" t="s">
        <v>243</v>
      </c>
      <c r="J1449" s="28" t="s">
        <v>6822</v>
      </c>
      <c r="K1449" s="38" t="s">
        <v>6823</v>
      </c>
      <c r="L1449" s="62">
        <v>0.995</v>
      </c>
      <c r="M1449" s="27" t="s">
        <v>365</v>
      </c>
      <c r="N1449" s="29" t="s">
        <v>6824</v>
      </c>
      <c r="O1449" s="56"/>
      <c r="P1449" s="52">
        <v>345088000</v>
      </c>
      <c r="Q1449" s="52"/>
      <c r="R1449" s="56"/>
      <c r="S1449" s="33">
        <v>113000000</v>
      </c>
      <c r="T1449" s="33"/>
      <c r="U1449" s="334">
        <v>44562</v>
      </c>
      <c r="V1449" s="334">
        <v>44742</v>
      </c>
      <c r="W1449" s="27" t="s">
        <v>245</v>
      </c>
      <c r="X1449" s="27"/>
      <c r="Y1449" s="34">
        <f t="shared" ca="1" si="66"/>
        <v>46290</v>
      </c>
      <c r="Z1449" s="35">
        <f t="shared" ca="1" si="64"/>
        <v>-1548</v>
      </c>
      <c r="AA1449" s="27">
        <f t="shared" si="67"/>
        <v>6</v>
      </c>
      <c r="AB1449" s="27">
        <f t="shared" si="68"/>
        <v>2022</v>
      </c>
      <c r="AC1449" s="28"/>
      <c r="AD1449" s="28">
        <v>17319</v>
      </c>
      <c r="AE1449" s="47">
        <v>4500017259</v>
      </c>
      <c r="AF1449" s="27" t="s">
        <v>471</v>
      </c>
      <c r="AG1449" s="29"/>
      <c r="AH1449" s="29"/>
      <c r="AI1449" s="27"/>
      <c r="AJ1449" s="27"/>
      <c r="AK1449" s="27"/>
      <c r="AL1449" s="27"/>
      <c r="AM1449" s="27"/>
      <c r="AN1449" s="27"/>
      <c r="AO1449" s="27">
        <v>323</v>
      </c>
      <c r="AP1449" s="27"/>
      <c r="AQ1449" s="27"/>
      <c r="AR1449" s="504"/>
      <c r="AS1449" s="332"/>
      <c r="AT1449" s="160"/>
    </row>
    <row r="1450" spans="1:46" ht="21.75" hidden="1" customHeight="1">
      <c r="A1450" s="331">
        <v>1449</v>
      </c>
      <c r="B1450" s="28" t="s">
        <v>2354</v>
      </c>
      <c r="C1450" s="28" t="s">
        <v>6825</v>
      </c>
      <c r="D1450" s="438" t="s">
        <v>6810</v>
      </c>
      <c r="E1450" s="361" t="str">
        <f t="shared" ca="1" si="63"/>
        <v>LOSS</v>
      </c>
      <c r="F1450" s="28"/>
      <c r="G1450" s="28" t="s">
        <v>6826</v>
      </c>
      <c r="H1450" s="28" t="s">
        <v>261</v>
      </c>
      <c r="I1450" s="361" t="s">
        <v>243</v>
      </c>
      <c r="J1450" s="28" t="s">
        <v>6827</v>
      </c>
      <c r="K1450" s="38" t="s">
        <v>6828</v>
      </c>
      <c r="L1450" s="53">
        <v>0.995</v>
      </c>
      <c r="M1450" s="27" t="s">
        <v>329</v>
      </c>
      <c r="N1450" s="29" t="s">
        <v>6802</v>
      </c>
      <c r="O1450" s="56"/>
      <c r="P1450" s="52">
        <v>110500000</v>
      </c>
      <c r="Q1450" s="52"/>
      <c r="R1450" s="56"/>
      <c r="S1450" s="32">
        <v>86000000</v>
      </c>
      <c r="T1450" s="33"/>
      <c r="U1450" s="334">
        <v>44785</v>
      </c>
      <c r="V1450" s="334">
        <v>45515</v>
      </c>
      <c r="W1450" s="27" t="s">
        <v>250</v>
      </c>
      <c r="X1450" s="27"/>
      <c r="Y1450" s="34">
        <f t="shared" ca="1" si="66"/>
        <v>46290</v>
      </c>
      <c r="Z1450" s="35">
        <f t="shared" ca="1" si="64"/>
        <v>-775</v>
      </c>
      <c r="AA1450" s="27">
        <f t="shared" si="67"/>
        <v>8</v>
      </c>
      <c r="AB1450" s="27">
        <f t="shared" si="68"/>
        <v>2024</v>
      </c>
      <c r="AC1450" s="28"/>
      <c r="AD1450" s="28" t="s">
        <v>6829</v>
      </c>
      <c r="AE1450" s="47">
        <v>4500018182</v>
      </c>
      <c r="AF1450" s="27" t="s">
        <v>471</v>
      </c>
      <c r="AG1450" s="29"/>
      <c r="AH1450" s="29"/>
      <c r="AI1450" s="27"/>
      <c r="AJ1450" s="27"/>
      <c r="AK1450" s="27"/>
      <c r="AL1450" s="27"/>
      <c r="AM1450" s="27"/>
      <c r="AN1450" s="27"/>
      <c r="AO1450" s="27">
        <v>174</v>
      </c>
      <c r="AP1450" s="27"/>
      <c r="AQ1450" s="27"/>
      <c r="AR1450" s="504"/>
      <c r="AS1450" s="332"/>
      <c r="AT1450" s="160"/>
    </row>
    <row r="1451" spans="1:46" ht="21.75" hidden="1" customHeight="1">
      <c r="A1451" s="331">
        <v>1450</v>
      </c>
      <c r="B1451" s="28" t="s">
        <v>2354</v>
      </c>
      <c r="C1451" s="28" t="s">
        <v>6830</v>
      </c>
      <c r="D1451" s="437" t="s">
        <v>6810</v>
      </c>
      <c r="E1451" s="361" t="str">
        <f t="shared" ca="1" si="63"/>
        <v>LOSS</v>
      </c>
      <c r="F1451" s="28" t="s">
        <v>6831</v>
      </c>
      <c r="G1451" s="28" t="s">
        <v>6832</v>
      </c>
      <c r="H1451" s="28" t="s">
        <v>261</v>
      </c>
      <c r="I1451" s="361" t="s">
        <v>243</v>
      </c>
      <c r="J1451" s="28" t="s">
        <v>6833</v>
      </c>
      <c r="K1451" s="38" t="s">
        <v>6834</v>
      </c>
      <c r="L1451" s="60">
        <v>0.995</v>
      </c>
      <c r="M1451" s="27" t="s">
        <v>329</v>
      </c>
      <c r="N1451" s="29" t="s">
        <v>6835</v>
      </c>
      <c r="O1451" s="56"/>
      <c r="P1451" s="52">
        <f>3000000*12</f>
        <v>36000000</v>
      </c>
      <c r="Q1451" s="52"/>
      <c r="R1451" s="56"/>
      <c r="S1451" s="32">
        <f>1200000*12</f>
        <v>14400000</v>
      </c>
      <c r="T1451" s="33"/>
      <c r="U1451" s="334">
        <v>45108</v>
      </c>
      <c r="V1451" s="334">
        <v>45473</v>
      </c>
      <c r="W1451" s="27" t="s">
        <v>250</v>
      </c>
      <c r="X1451" s="27"/>
      <c r="Y1451" s="34">
        <f t="shared" ca="1" si="66"/>
        <v>46290</v>
      </c>
      <c r="Z1451" s="35">
        <f t="shared" ca="1" si="64"/>
        <v>-817</v>
      </c>
      <c r="AA1451" s="27">
        <f t="shared" si="67"/>
        <v>6</v>
      </c>
      <c r="AB1451" s="27">
        <f t="shared" si="68"/>
        <v>2024</v>
      </c>
      <c r="AC1451" s="28" t="s">
        <v>6836</v>
      </c>
      <c r="AD1451" s="28" t="s">
        <v>6837</v>
      </c>
      <c r="AE1451" s="47" t="s">
        <v>6838</v>
      </c>
      <c r="AF1451" s="27" t="s">
        <v>471</v>
      </c>
      <c r="AG1451" s="29"/>
      <c r="AH1451" s="29"/>
      <c r="AI1451" s="27"/>
      <c r="AJ1451" s="27"/>
      <c r="AK1451" s="27"/>
      <c r="AL1451" s="27"/>
      <c r="AM1451" s="27"/>
      <c r="AN1451" s="27"/>
      <c r="AO1451" s="27">
        <v>141</v>
      </c>
      <c r="AP1451" s="27"/>
      <c r="AQ1451" s="27"/>
      <c r="AR1451" s="504"/>
      <c r="AS1451" s="332"/>
      <c r="AT1451" s="160"/>
    </row>
    <row r="1452" spans="1:46" ht="21.75" hidden="1" customHeight="1">
      <c r="A1452" s="331">
        <v>1451</v>
      </c>
      <c r="B1452" s="28" t="s">
        <v>2354</v>
      </c>
      <c r="C1452" s="28" t="s">
        <v>6839</v>
      </c>
      <c r="D1452" s="438" t="s">
        <v>6810</v>
      </c>
      <c r="E1452" s="361" t="str">
        <f t="shared" ca="1" si="63"/>
        <v>LOSS</v>
      </c>
      <c r="F1452" s="28"/>
      <c r="G1452" s="28" t="s">
        <v>6840</v>
      </c>
      <c r="H1452" s="28" t="s">
        <v>261</v>
      </c>
      <c r="I1452" s="361" t="s">
        <v>243</v>
      </c>
      <c r="J1452" s="28" t="s">
        <v>2265</v>
      </c>
      <c r="K1452" s="38" t="s">
        <v>6841</v>
      </c>
      <c r="L1452" s="60">
        <v>0.995</v>
      </c>
      <c r="M1452" s="27" t="s">
        <v>329</v>
      </c>
      <c r="N1452" s="29" t="s">
        <v>417</v>
      </c>
      <c r="O1452" s="56"/>
      <c r="P1452" s="52">
        <v>86500000</v>
      </c>
      <c r="Q1452" s="52"/>
      <c r="R1452" s="56"/>
      <c r="S1452" s="32">
        <v>27200000</v>
      </c>
      <c r="T1452" s="33"/>
      <c r="U1452" s="334">
        <v>45078</v>
      </c>
      <c r="V1452" s="334">
        <v>45443</v>
      </c>
      <c r="W1452" s="27" t="s">
        <v>245</v>
      </c>
      <c r="X1452" s="27"/>
      <c r="Y1452" s="34">
        <f t="shared" ca="1" si="66"/>
        <v>46290</v>
      </c>
      <c r="Z1452" s="35">
        <f t="shared" ca="1" si="64"/>
        <v>-847</v>
      </c>
      <c r="AA1452" s="27">
        <f t="shared" si="67"/>
        <v>5</v>
      </c>
      <c r="AB1452" s="27">
        <f t="shared" si="68"/>
        <v>2024</v>
      </c>
      <c r="AC1452" s="28"/>
      <c r="AD1452" s="28">
        <v>21669</v>
      </c>
      <c r="AE1452" s="47">
        <v>4500020151</v>
      </c>
      <c r="AF1452" s="27" t="s">
        <v>471</v>
      </c>
      <c r="AG1452" s="29"/>
      <c r="AH1452" s="29"/>
      <c r="AI1452" s="27"/>
      <c r="AJ1452" s="27"/>
      <c r="AK1452" s="27"/>
      <c r="AL1452" s="27"/>
      <c r="AM1452" s="27"/>
      <c r="AN1452" s="27"/>
      <c r="AO1452" s="27">
        <v>189</v>
      </c>
      <c r="AP1452" s="27"/>
      <c r="AQ1452" s="27"/>
      <c r="AR1452" s="504"/>
      <c r="AS1452" s="332" t="s">
        <v>6842</v>
      </c>
      <c r="AT1452" s="160"/>
    </row>
    <row r="1453" spans="1:46" ht="21.75" hidden="1" customHeight="1">
      <c r="A1453" s="331">
        <v>1452</v>
      </c>
      <c r="B1453" s="28" t="s">
        <v>2354</v>
      </c>
      <c r="C1453" s="28" t="s">
        <v>2712</v>
      </c>
      <c r="D1453" s="437" t="s">
        <v>6810</v>
      </c>
      <c r="E1453" s="361" t="str">
        <f t="shared" ca="1" si="63"/>
        <v>LOSS</v>
      </c>
      <c r="F1453" s="28"/>
      <c r="G1453" s="28" t="s">
        <v>6843</v>
      </c>
      <c r="H1453" s="28" t="s">
        <v>261</v>
      </c>
      <c r="I1453" s="361" t="s">
        <v>243</v>
      </c>
      <c r="J1453" s="28" t="s">
        <v>6844</v>
      </c>
      <c r="K1453" s="38" t="s">
        <v>6845</v>
      </c>
      <c r="L1453" s="53">
        <v>0.995</v>
      </c>
      <c r="M1453" s="27" t="s">
        <v>329</v>
      </c>
      <c r="N1453" s="29" t="s">
        <v>417</v>
      </c>
      <c r="O1453" s="56"/>
      <c r="P1453" s="52">
        <v>112745460</v>
      </c>
      <c r="Q1453" s="52"/>
      <c r="R1453" s="56"/>
      <c r="S1453" s="32">
        <v>111548412</v>
      </c>
      <c r="T1453" s="33"/>
      <c r="U1453" s="334">
        <v>45108</v>
      </c>
      <c r="V1453" s="334">
        <v>45473</v>
      </c>
      <c r="W1453" s="27" t="s">
        <v>250</v>
      </c>
      <c r="X1453" s="27"/>
      <c r="Y1453" s="34">
        <f t="shared" ca="1" si="66"/>
        <v>46290</v>
      </c>
      <c r="Z1453" s="35">
        <f t="shared" ca="1" si="64"/>
        <v>-817</v>
      </c>
      <c r="AA1453" s="27">
        <f t="shared" si="67"/>
        <v>6</v>
      </c>
      <c r="AB1453" s="27">
        <f t="shared" si="68"/>
        <v>2024</v>
      </c>
      <c r="AC1453" s="28">
        <v>4500018114</v>
      </c>
      <c r="AD1453" s="28">
        <v>539</v>
      </c>
      <c r="AE1453" s="47">
        <v>4500021003</v>
      </c>
      <c r="AF1453" s="27" t="s">
        <v>471</v>
      </c>
      <c r="AG1453" s="29"/>
      <c r="AH1453" s="29"/>
      <c r="AI1453" s="27"/>
      <c r="AJ1453" s="27"/>
      <c r="AK1453" s="27"/>
      <c r="AL1453" s="27"/>
      <c r="AM1453" s="27"/>
      <c r="AN1453" s="27"/>
      <c r="AO1453" s="27">
        <v>202</v>
      </c>
      <c r="AP1453" s="27"/>
      <c r="AQ1453" s="27"/>
      <c r="AR1453" s="504"/>
      <c r="AS1453" s="332" t="s">
        <v>6728</v>
      </c>
      <c r="AT1453" s="160"/>
    </row>
    <row r="1454" spans="1:46" ht="21.75" hidden="1" customHeight="1">
      <c r="A1454" s="331">
        <v>1453</v>
      </c>
      <c r="B1454" s="28" t="s">
        <v>2354</v>
      </c>
      <c r="C1454" s="28" t="s">
        <v>1804</v>
      </c>
      <c r="D1454" s="438" t="s">
        <v>6810</v>
      </c>
      <c r="E1454" s="361" t="str">
        <f t="shared" ca="1" si="63"/>
        <v>LOSS</v>
      </c>
      <c r="F1454" s="28"/>
      <c r="G1454" s="28" t="s">
        <v>6846</v>
      </c>
      <c r="H1454" s="28" t="s">
        <v>261</v>
      </c>
      <c r="I1454" s="361" t="s">
        <v>243</v>
      </c>
      <c r="J1454" s="28" t="s">
        <v>6847</v>
      </c>
      <c r="K1454" s="38" t="s">
        <v>6848</v>
      </c>
      <c r="L1454" s="53">
        <v>0.995</v>
      </c>
      <c r="M1454" s="27" t="s">
        <v>365</v>
      </c>
      <c r="N1454" s="29" t="s">
        <v>494</v>
      </c>
      <c r="O1454" s="56"/>
      <c r="P1454" s="52">
        <v>112745460</v>
      </c>
      <c r="Q1454" s="52"/>
      <c r="R1454" s="56"/>
      <c r="S1454" s="32">
        <v>111548412</v>
      </c>
      <c r="T1454" s="33"/>
      <c r="U1454" s="334">
        <v>45108</v>
      </c>
      <c r="V1454" s="334">
        <v>45473</v>
      </c>
      <c r="W1454" s="27" t="s">
        <v>250</v>
      </c>
      <c r="X1454" s="27"/>
      <c r="Y1454" s="34">
        <f t="shared" ca="1" si="66"/>
        <v>46290</v>
      </c>
      <c r="Z1454" s="35">
        <f t="shared" ca="1" si="64"/>
        <v>-817</v>
      </c>
      <c r="AA1454" s="27">
        <f t="shared" si="67"/>
        <v>6</v>
      </c>
      <c r="AB1454" s="27">
        <f t="shared" si="68"/>
        <v>2024</v>
      </c>
      <c r="AC1454" s="28">
        <v>4500018114</v>
      </c>
      <c r="AD1454" s="28">
        <v>539</v>
      </c>
      <c r="AE1454" s="47">
        <v>4500021003</v>
      </c>
      <c r="AF1454" s="27" t="s">
        <v>471</v>
      </c>
      <c r="AG1454" s="29"/>
      <c r="AH1454" s="29"/>
      <c r="AI1454" s="27"/>
      <c r="AJ1454" s="27"/>
      <c r="AK1454" s="27"/>
      <c r="AL1454" s="27"/>
      <c r="AM1454" s="27"/>
      <c r="AN1454" s="27"/>
      <c r="AO1454" s="27">
        <v>202</v>
      </c>
      <c r="AP1454" s="27"/>
      <c r="AQ1454" s="27"/>
      <c r="AR1454" s="504"/>
      <c r="AS1454" s="332"/>
      <c r="AT1454" s="160"/>
    </row>
    <row r="1455" spans="1:46" ht="21.75" hidden="1" customHeight="1">
      <c r="A1455" s="331">
        <v>1454</v>
      </c>
      <c r="B1455" s="28" t="s">
        <v>2354</v>
      </c>
      <c r="C1455" s="28" t="s">
        <v>2689</v>
      </c>
      <c r="D1455" s="437" t="s">
        <v>6810</v>
      </c>
      <c r="E1455" s="361" t="str">
        <f t="shared" ca="1" si="63"/>
        <v>LOSS</v>
      </c>
      <c r="F1455" s="28"/>
      <c r="G1455" s="28" t="s">
        <v>6849</v>
      </c>
      <c r="H1455" s="28" t="s">
        <v>261</v>
      </c>
      <c r="I1455" s="361" t="s">
        <v>243</v>
      </c>
      <c r="J1455" s="28" t="s">
        <v>6850</v>
      </c>
      <c r="K1455" s="38" t="s">
        <v>6851</v>
      </c>
      <c r="L1455" s="53" t="s">
        <v>4749</v>
      </c>
      <c r="M1455" s="27" t="s">
        <v>365</v>
      </c>
      <c r="N1455" s="29" t="s">
        <v>417</v>
      </c>
      <c r="O1455" s="56"/>
      <c r="P1455" s="52">
        <v>57152000</v>
      </c>
      <c r="Q1455" s="52"/>
      <c r="R1455" s="56"/>
      <c r="S1455" s="32">
        <v>20000000</v>
      </c>
      <c r="T1455" s="33"/>
      <c r="U1455" s="334">
        <v>45160</v>
      </c>
      <c r="V1455" s="334">
        <v>45525</v>
      </c>
      <c r="W1455" s="27" t="s">
        <v>250</v>
      </c>
      <c r="X1455" s="27"/>
      <c r="Y1455" s="34">
        <f t="shared" ca="1" si="66"/>
        <v>46290</v>
      </c>
      <c r="Z1455" s="35">
        <f t="shared" ca="1" si="64"/>
        <v>-765</v>
      </c>
      <c r="AA1455" s="27">
        <f t="shared" si="67"/>
        <v>8</v>
      </c>
      <c r="AB1455" s="27">
        <f t="shared" si="68"/>
        <v>2024</v>
      </c>
      <c r="AC1455" s="28" t="s">
        <v>479</v>
      </c>
      <c r="AD1455" s="28">
        <v>906</v>
      </c>
      <c r="AE1455" s="47">
        <v>4500020994</v>
      </c>
      <c r="AF1455" s="27" t="s">
        <v>471</v>
      </c>
      <c r="AG1455" s="29"/>
      <c r="AH1455" s="29"/>
      <c r="AI1455" s="27"/>
      <c r="AJ1455" s="27"/>
      <c r="AK1455" s="27"/>
      <c r="AL1455" s="27"/>
      <c r="AM1455" s="27"/>
      <c r="AN1455" s="27"/>
      <c r="AO1455" s="27">
        <v>282</v>
      </c>
      <c r="AP1455" s="27"/>
      <c r="AQ1455" s="27"/>
      <c r="AR1455" s="504"/>
      <c r="AS1455" s="332" t="s">
        <v>6730</v>
      </c>
      <c r="AT1455" s="160"/>
    </row>
    <row r="1456" spans="1:46" ht="21.75" hidden="1" customHeight="1">
      <c r="A1456" s="331">
        <v>1455</v>
      </c>
      <c r="B1456" s="28" t="s">
        <v>2354</v>
      </c>
      <c r="C1456" s="28" t="s">
        <v>2331</v>
      </c>
      <c r="D1456" s="438" t="s">
        <v>6810</v>
      </c>
      <c r="E1456" s="361" t="str">
        <f t="shared" ca="1" si="63"/>
        <v>LOSS</v>
      </c>
      <c r="F1456" s="28"/>
      <c r="G1456" s="28" t="s">
        <v>6852</v>
      </c>
      <c r="H1456" s="28" t="s">
        <v>261</v>
      </c>
      <c r="I1456" s="361" t="s">
        <v>243</v>
      </c>
      <c r="J1456" s="28" t="s">
        <v>6853</v>
      </c>
      <c r="K1456" s="38" t="s">
        <v>6854</v>
      </c>
      <c r="L1456" s="53" t="s">
        <v>4749</v>
      </c>
      <c r="M1456" s="27" t="s">
        <v>6855</v>
      </c>
      <c r="N1456" s="29" t="s">
        <v>6856</v>
      </c>
      <c r="O1456" s="56"/>
      <c r="P1456" s="52">
        <v>474000000</v>
      </c>
      <c r="Q1456" s="52"/>
      <c r="R1456" s="56"/>
      <c r="S1456" s="32">
        <v>96000000</v>
      </c>
      <c r="T1456" s="33"/>
      <c r="U1456" s="334">
        <v>45200</v>
      </c>
      <c r="V1456" s="334">
        <v>45565</v>
      </c>
      <c r="W1456" s="27" t="s">
        <v>250</v>
      </c>
      <c r="X1456" s="27"/>
      <c r="Y1456" s="34">
        <f t="shared" ca="1" si="66"/>
        <v>46290</v>
      </c>
      <c r="Z1456" s="35">
        <f t="shared" ca="1" si="64"/>
        <v>-725</v>
      </c>
      <c r="AA1456" s="27">
        <f t="shared" si="67"/>
        <v>9</v>
      </c>
      <c r="AB1456" s="27">
        <f t="shared" si="68"/>
        <v>2024</v>
      </c>
      <c r="AC1456" s="28" t="s">
        <v>6857</v>
      </c>
      <c r="AD1456" s="28">
        <v>1092</v>
      </c>
      <c r="AE1456" s="47">
        <v>4500021199</v>
      </c>
      <c r="AF1456" s="27" t="s">
        <v>471</v>
      </c>
      <c r="AG1456" s="29"/>
      <c r="AH1456" s="29"/>
      <c r="AI1456" s="27"/>
      <c r="AJ1456" s="27"/>
      <c r="AK1456" s="27"/>
      <c r="AL1456" s="27"/>
      <c r="AM1456" s="27"/>
      <c r="AN1456" s="27"/>
      <c r="AO1456" s="27">
        <v>239</v>
      </c>
      <c r="AP1456" s="27"/>
      <c r="AQ1456" s="27"/>
      <c r="AR1456" s="504"/>
      <c r="AS1456" s="332" t="s">
        <v>6858</v>
      </c>
      <c r="AT1456" s="160"/>
    </row>
    <row r="1457" spans="1:46" ht="21.75" hidden="1" customHeight="1">
      <c r="A1457" s="331">
        <v>1456</v>
      </c>
      <c r="B1457" s="28" t="s">
        <v>2354</v>
      </c>
      <c r="C1457" s="28" t="s">
        <v>6859</v>
      </c>
      <c r="D1457" s="437" t="s">
        <v>6810</v>
      </c>
      <c r="E1457" s="361" t="str">
        <f t="shared" ca="1" si="63"/>
        <v>LOSS</v>
      </c>
      <c r="F1457" s="27"/>
      <c r="G1457" s="28" t="s">
        <v>6860</v>
      </c>
      <c r="H1457" s="28" t="s">
        <v>261</v>
      </c>
      <c r="I1457" s="361" t="s">
        <v>243</v>
      </c>
      <c r="J1457" s="28" t="s">
        <v>6861</v>
      </c>
      <c r="K1457" s="63">
        <v>111205023926</v>
      </c>
      <c r="L1457" s="53">
        <v>0.995</v>
      </c>
      <c r="M1457" s="27" t="s">
        <v>329</v>
      </c>
      <c r="N1457" s="29" t="s">
        <v>417</v>
      </c>
      <c r="O1457" s="56"/>
      <c r="P1457" s="61">
        <v>45700000</v>
      </c>
      <c r="Q1457" s="61"/>
      <c r="R1457" s="56"/>
      <c r="S1457" s="33">
        <v>21000000</v>
      </c>
      <c r="T1457" s="33"/>
      <c r="U1457" s="334">
        <v>45194</v>
      </c>
      <c r="V1457" s="334">
        <v>45559</v>
      </c>
      <c r="W1457" s="27" t="s">
        <v>250</v>
      </c>
      <c r="X1457" s="27"/>
      <c r="Y1457" s="34">
        <f t="shared" ca="1" si="66"/>
        <v>46290</v>
      </c>
      <c r="Z1457" s="35">
        <f t="shared" ca="1" si="64"/>
        <v>-731</v>
      </c>
      <c r="AA1457" s="27">
        <f t="shared" si="67"/>
        <v>9</v>
      </c>
      <c r="AB1457" s="27">
        <f t="shared" si="68"/>
        <v>2024</v>
      </c>
      <c r="AC1457" s="28" t="s">
        <v>479</v>
      </c>
      <c r="AD1457" s="28" t="s">
        <v>6862</v>
      </c>
      <c r="AE1457" s="47" t="s">
        <v>6863</v>
      </c>
      <c r="AF1457" s="27" t="s">
        <v>471</v>
      </c>
      <c r="AG1457" s="29"/>
      <c r="AH1457" s="29"/>
      <c r="AI1457" s="27"/>
      <c r="AJ1457" s="27"/>
      <c r="AK1457" s="27"/>
      <c r="AL1457" s="27"/>
      <c r="AM1457" s="27"/>
      <c r="AN1457" s="27"/>
      <c r="AO1457" s="27">
        <v>279</v>
      </c>
      <c r="AP1457" s="27"/>
      <c r="AQ1457" s="27"/>
      <c r="AR1457" s="504"/>
      <c r="AS1457" s="332" t="s">
        <v>6737</v>
      </c>
      <c r="AT1457" s="160"/>
    </row>
    <row r="1458" spans="1:46" ht="21.75" hidden="1" customHeight="1">
      <c r="A1458" s="331">
        <v>1457</v>
      </c>
      <c r="B1458" s="28" t="s">
        <v>2354</v>
      </c>
      <c r="C1458" s="28" t="s">
        <v>1297</v>
      </c>
      <c r="D1458" s="438" t="s">
        <v>6810</v>
      </c>
      <c r="E1458" s="361" t="str">
        <f t="shared" ca="1" si="63"/>
        <v>LOSS</v>
      </c>
      <c r="F1458" s="28"/>
      <c r="G1458" s="28" t="s">
        <v>6864</v>
      </c>
      <c r="H1458" s="28" t="s">
        <v>261</v>
      </c>
      <c r="I1458" s="361" t="s">
        <v>243</v>
      </c>
      <c r="J1458" s="28" t="s">
        <v>6865</v>
      </c>
      <c r="K1458" s="38" t="s">
        <v>6866</v>
      </c>
      <c r="L1458" s="53">
        <v>0.995</v>
      </c>
      <c r="M1458" s="27" t="s">
        <v>353</v>
      </c>
      <c r="N1458" s="29" t="s">
        <v>362</v>
      </c>
      <c r="O1458" s="56"/>
      <c r="P1458" s="61">
        <v>115200000</v>
      </c>
      <c r="Q1458" s="61"/>
      <c r="R1458" s="56"/>
      <c r="S1458" s="33">
        <v>105153000</v>
      </c>
      <c r="T1458" s="33"/>
      <c r="U1458" s="334">
        <v>45116</v>
      </c>
      <c r="V1458" s="334">
        <v>45481</v>
      </c>
      <c r="W1458" s="27" t="s">
        <v>250</v>
      </c>
      <c r="X1458" s="27"/>
      <c r="Y1458" s="34">
        <f t="shared" ca="1" si="66"/>
        <v>46290</v>
      </c>
      <c r="Z1458" s="35">
        <f t="shared" ca="1" si="64"/>
        <v>-809</v>
      </c>
      <c r="AA1458" s="27">
        <f t="shared" si="67"/>
        <v>7</v>
      </c>
      <c r="AB1458" s="27">
        <f t="shared" si="68"/>
        <v>2024</v>
      </c>
      <c r="AC1458" s="28">
        <v>4500018399</v>
      </c>
      <c r="AD1458" s="28">
        <v>756</v>
      </c>
      <c r="AE1458" s="47">
        <v>4500021106</v>
      </c>
      <c r="AF1458" s="27" t="s">
        <v>471</v>
      </c>
      <c r="AG1458" s="29"/>
      <c r="AH1458" s="29"/>
      <c r="AI1458" s="27"/>
      <c r="AJ1458" s="27"/>
      <c r="AK1458" s="27"/>
      <c r="AL1458" s="27"/>
      <c r="AM1458" s="27"/>
      <c r="AN1458" s="27"/>
      <c r="AO1458" s="27">
        <v>373</v>
      </c>
      <c r="AP1458" s="27"/>
      <c r="AQ1458" s="27"/>
      <c r="AR1458" s="504"/>
      <c r="AS1458" s="332"/>
      <c r="AT1458" s="160"/>
    </row>
    <row r="1459" spans="1:46" ht="21.75" hidden="1" customHeight="1">
      <c r="A1459" s="331">
        <v>1458</v>
      </c>
      <c r="B1459" s="28" t="s">
        <v>1554</v>
      </c>
      <c r="C1459" s="28" t="s">
        <v>6867</v>
      </c>
      <c r="D1459" s="437" t="s">
        <v>6868</v>
      </c>
      <c r="E1459" s="361" t="str">
        <f t="shared" ca="1" si="63"/>
        <v>LOSS</v>
      </c>
      <c r="F1459" s="28" t="s">
        <v>115</v>
      </c>
      <c r="G1459" s="28" t="s">
        <v>6869</v>
      </c>
      <c r="H1459" s="28" t="s">
        <v>261</v>
      </c>
      <c r="I1459" s="361" t="s">
        <v>243</v>
      </c>
      <c r="J1459" s="28" t="s">
        <v>6870</v>
      </c>
      <c r="K1459" s="38" t="s">
        <v>6871</v>
      </c>
      <c r="L1459" s="51">
        <v>0.995</v>
      </c>
      <c r="M1459" s="27" t="s">
        <v>6872</v>
      </c>
      <c r="N1459" s="29" t="s">
        <v>4750</v>
      </c>
      <c r="O1459" s="56"/>
      <c r="P1459" s="52">
        <v>109200000</v>
      </c>
      <c r="Q1459" s="52"/>
      <c r="R1459" s="56"/>
      <c r="S1459" s="32">
        <v>38400000</v>
      </c>
      <c r="T1459" s="33"/>
      <c r="U1459" s="334">
        <v>45292</v>
      </c>
      <c r="V1459" s="334">
        <v>45657</v>
      </c>
      <c r="W1459" s="27" t="s">
        <v>250</v>
      </c>
      <c r="X1459" s="27" t="s">
        <v>306</v>
      </c>
      <c r="Y1459" s="34">
        <f t="shared" ca="1" si="66"/>
        <v>46290</v>
      </c>
      <c r="Z1459" s="35">
        <f t="shared" ca="1" si="64"/>
        <v>-633</v>
      </c>
      <c r="AA1459" s="27">
        <f t="shared" si="67"/>
        <v>12</v>
      </c>
      <c r="AB1459" s="27">
        <f t="shared" si="68"/>
        <v>2024</v>
      </c>
      <c r="AC1459" s="28">
        <v>4500019777</v>
      </c>
      <c r="AD1459" s="28">
        <v>2417</v>
      </c>
      <c r="AE1459" s="27">
        <v>4500022180</v>
      </c>
      <c r="AF1459" s="27" t="s">
        <v>471</v>
      </c>
      <c r="AG1459" s="29" t="s">
        <v>6873</v>
      </c>
      <c r="AH1459" s="29" t="s">
        <v>6874</v>
      </c>
      <c r="AI1459" s="27"/>
      <c r="AJ1459" s="27"/>
      <c r="AK1459" s="27"/>
      <c r="AL1459" s="27"/>
      <c r="AM1459" s="27"/>
      <c r="AN1459" s="27" t="s">
        <v>6875</v>
      </c>
      <c r="AO1459" s="27" t="s">
        <v>6527</v>
      </c>
      <c r="AP1459" s="27"/>
      <c r="AQ1459" s="27"/>
      <c r="AR1459" s="504"/>
      <c r="AS1459" s="332"/>
      <c r="AT1459" s="160"/>
    </row>
    <row r="1460" spans="1:46" ht="21.75" hidden="1" customHeight="1">
      <c r="A1460" s="331">
        <v>1459</v>
      </c>
      <c r="B1460" s="28" t="s">
        <v>2200</v>
      </c>
      <c r="C1460" s="28" t="s">
        <v>2201</v>
      </c>
      <c r="D1460" s="438" t="s">
        <v>6868</v>
      </c>
      <c r="E1460" s="361" t="str">
        <f t="shared" ca="1" si="63"/>
        <v>LOSS</v>
      </c>
      <c r="F1460" s="28"/>
      <c r="G1460" s="28" t="s">
        <v>6876</v>
      </c>
      <c r="H1460" s="28" t="s">
        <v>261</v>
      </c>
      <c r="I1460" s="361" t="s">
        <v>243</v>
      </c>
      <c r="J1460" s="28" t="s">
        <v>1567</v>
      </c>
      <c r="K1460" s="38" t="s">
        <v>6877</v>
      </c>
      <c r="L1460" s="60">
        <v>0.995</v>
      </c>
      <c r="M1460" s="27" t="s">
        <v>329</v>
      </c>
      <c r="N1460" s="29" t="s">
        <v>494</v>
      </c>
      <c r="O1460" s="56"/>
      <c r="P1460" s="52">
        <v>107274240</v>
      </c>
      <c r="Q1460" s="52"/>
      <c r="R1460" s="27"/>
      <c r="S1460" s="32">
        <v>81600000</v>
      </c>
      <c r="T1460" s="33"/>
      <c r="U1460" s="334">
        <v>44986</v>
      </c>
      <c r="V1460" s="334">
        <v>45351</v>
      </c>
      <c r="W1460" s="27" t="s">
        <v>245</v>
      </c>
      <c r="X1460" s="27"/>
      <c r="Y1460" s="34">
        <f t="shared" ca="1" si="66"/>
        <v>46290</v>
      </c>
      <c r="Z1460" s="35">
        <f t="shared" ca="1" si="64"/>
        <v>-939</v>
      </c>
      <c r="AA1460" s="27">
        <f t="shared" si="67"/>
        <v>2</v>
      </c>
      <c r="AB1460" s="27">
        <f t="shared" si="68"/>
        <v>2024</v>
      </c>
      <c r="AC1460" s="28">
        <v>4500017681</v>
      </c>
      <c r="AD1460" s="28">
        <v>21045</v>
      </c>
      <c r="AE1460" s="27">
        <v>4500019916</v>
      </c>
      <c r="AF1460" s="27" t="s">
        <v>471</v>
      </c>
      <c r="AG1460" s="29"/>
      <c r="AH1460" s="29"/>
      <c r="AI1460" s="27"/>
      <c r="AJ1460" s="27"/>
      <c r="AK1460" s="27"/>
      <c r="AL1460" s="27"/>
      <c r="AM1460" s="27"/>
      <c r="AN1460" s="27"/>
      <c r="AO1460" s="27">
        <v>19</v>
      </c>
      <c r="AP1460" s="27"/>
      <c r="AQ1460" s="27"/>
      <c r="AR1460" s="504"/>
      <c r="AS1460" s="332"/>
      <c r="AT1460" s="160"/>
    </row>
    <row r="1461" spans="1:46" ht="21.75" hidden="1" customHeight="1">
      <c r="A1461" s="331">
        <v>1460</v>
      </c>
      <c r="B1461" s="28" t="s">
        <v>2200</v>
      </c>
      <c r="C1461" s="28" t="s">
        <v>2520</v>
      </c>
      <c r="D1461" s="437" t="s">
        <v>6868</v>
      </c>
      <c r="E1461" s="361" t="str">
        <f t="shared" ca="1" si="63"/>
        <v>LOSS</v>
      </c>
      <c r="F1461" s="28"/>
      <c r="G1461" s="28" t="s">
        <v>6878</v>
      </c>
      <c r="H1461" s="28" t="s">
        <v>261</v>
      </c>
      <c r="I1461" s="361" t="s">
        <v>243</v>
      </c>
      <c r="J1461" s="28" t="s">
        <v>6879</v>
      </c>
      <c r="K1461" s="28" t="s">
        <v>6880</v>
      </c>
      <c r="L1461" s="60">
        <v>0.995</v>
      </c>
      <c r="M1461" s="27" t="s">
        <v>329</v>
      </c>
      <c r="N1461" s="29" t="s">
        <v>417</v>
      </c>
      <c r="O1461" s="56"/>
      <c r="P1461" s="52">
        <v>48600000</v>
      </c>
      <c r="Q1461" s="52"/>
      <c r="R1461" s="27"/>
      <c r="S1461" s="32">
        <v>42000000</v>
      </c>
      <c r="T1461" s="33"/>
      <c r="U1461" s="334">
        <v>44961</v>
      </c>
      <c r="V1461" s="334">
        <v>45325</v>
      </c>
      <c r="W1461" s="27" t="s">
        <v>245</v>
      </c>
      <c r="X1461" s="27"/>
      <c r="Y1461" s="34">
        <f t="shared" ca="1" si="66"/>
        <v>46290</v>
      </c>
      <c r="Z1461" s="35">
        <f t="shared" ca="1" si="64"/>
        <v>-965</v>
      </c>
      <c r="AA1461" s="27">
        <f t="shared" si="67"/>
        <v>2</v>
      </c>
      <c r="AB1461" s="27">
        <f t="shared" si="68"/>
        <v>2024</v>
      </c>
      <c r="AC1461" s="28">
        <v>4500017527</v>
      </c>
      <c r="AD1461" s="28">
        <v>21054</v>
      </c>
      <c r="AE1461" s="27">
        <v>4500019915</v>
      </c>
      <c r="AF1461" s="27" t="s">
        <v>471</v>
      </c>
      <c r="AG1461" s="29"/>
      <c r="AH1461" s="29"/>
      <c r="AI1461" s="27"/>
      <c r="AJ1461" s="27"/>
      <c r="AK1461" s="27"/>
      <c r="AL1461" s="27"/>
      <c r="AM1461" s="27"/>
      <c r="AN1461" s="27"/>
      <c r="AO1461" s="27">
        <v>16</v>
      </c>
      <c r="AP1461" s="27"/>
      <c r="AQ1461" s="27"/>
      <c r="AR1461" s="504"/>
      <c r="AS1461" s="332"/>
      <c r="AT1461" s="160"/>
    </row>
    <row r="1462" spans="1:46" ht="21.75" hidden="1" customHeight="1">
      <c r="A1462" s="331">
        <v>1461</v>
      </c>
      <c r="B1462" s="28" t="s">
        <v>1554</v>
      </c>
      <c r="C1462" s="28" t="s">
        <v>6881</v>
      </c>
      <c r="D1462" s="438" t="s">
        <v>6868</v>
      </c>
      <c r="E1462" s="361" t="str">
        <f t="shared" ca="1" si="63"/>
        <v>LOSS</v>
      </c>
      <c r="F1462" s="29" t="s">
        <v>6882</v>
      </c>
      <c r="G1462" s="28" t="s">
        <v>6883</v>
      </c>
      <c r="H1462" s="28" t="s">
        <v>261</v>
      </c>
      <c r="I1462" s="361" t="s">
        <v>243</v>
      </c>
      <c r="J1462" s="28" t="s">
        <v>2621</v>
      </c>
      <c r="K1462" s="38" t="s">
        <v>6884</v>
      </c>
      <c r="L1462" s="51">
        <v>0.995</v>
      </c>
      <c r="M1462" s="27" t="s">
        <v>329</v>
      </c>
      <c r="N1462" s="29" t="s">
        <v>6885</v>
      </c>
      <c r="O1462" s="56"/>
      <c r="P1462" s="61">
        <v>56400000</v>
      </c>
      <c r="Q1462" s="61"/>
      <c r="R1462" s="27"/>
      <c r="S1462" s="33">
        <v>42000023</v>
      </c>
      <c r="T1462" s="33"/>
      <c r="U1462" s="334">
        <v>45140</v>
      </c>
      <c r="V1462" s="334">
        <v>45505</v>
      </c>
      <c r="W1462" s="27" t="s">
        <v>250</v>
      </c>
      <c r="X1462" s="27"/>
      <c r="Y1462" s="34">
        <f t="shared" ca="1" si="66"/>
        <v>46290</v>
      </c>
      <c r="Z1462" s="35">
        <f t="shared" ca="1" si="64"/>
        <v>-785</v>
      </c>
      <c r="AA1462" s="27">
        <f t="shared" si="67"/>
        <v>8</v>
      </c>
      <c r="AB1462" s="27">
        <f t="shared" si="68"/>
        <v>2024</v>
      </c>
      <c r="AC1462" s="28">
        <v>4500018575</v>
      </c>
      <c r="AD1462" s="28" t="s">
        <v>6886</v>
      </c>
      <c r="AE1462" s="27">
        <v>4500021377</v>
      </c>
      <c r="AF1462" s="27" t="s">
        <v>471</v>
      </c>
      <c r="AG1462" s="29"/>
      <c r="AH1462" s="29"/>
      <c r="AI1462" s="27"/>
      <c r="AJ1462" s="27"/>
      <c r="AK1462" s="27"/>
      <c r="AL1462" s="27"/>
      <c r="AM1462" s="27"/>
      <c r="AN1462" s="27"/>
      <c r="AO1462" s="27">
        <v>289</v>
      </c>
      <c r="AP1462" s="27"/>
      <c r="AQ1462" s="27"/>
      <c r="AR1462" s="504"/>
      <c r="AS1462" s="332"/>
      <c r="AT1462" s="160"/>
    </row>
    <row r="1463" spans="1:46" ht="21.75" hidden="1" customHeight="1">
      <c r="A1463" s="331">
        <v>1462</v>
      </c>
      <c r="B1463" s="28" t="s">
        <v>1554</v>
      </c>
      <c r="C1463" s="28" t="s">
        <v>6887</v>
      </c>
      <c r="D1463" s="437" t="s">
        <v>6868</v>
      </c>
      <c r="E1463" s="361" t="str">
        <f t="shared" ca="1" si="63"/>
        <v>LOSS</v>
      </c>
      <c r="F1463" s="28"/>
      <c r="G1463" s="28" t="s">
        <v>6888</v>
      </c>
      <c r="H1463" s="28" t="s">
        <v>261</v>
      </c>
      <c r="I1463" s="361" t="s">
        <v>243</v>
      </c>
      <c r="J1463" s="28" t="s">
        <v>6889</v>
      </c>
      <c r="K1463" s="38" t="s">
        <v>6890</v>
      </c>
      <c r="L1463" s="53">
        <v>0.995</v>
      </c>
      <c r="M1463" s="27" t="s">
        <v>329</v>
      </c>
      <c r="N1463" s="29" t="s">
        <v>6885</v>
      </c>
      <c r="O1463" s="56"/>
      <c r="P1463" s="61">
        <v>31200000</v>
      </c>
      <c r="Q1463" s="61"/>
      <c r="R1463" s="56"/>
      <c r="S1463" s="32">
        <v>18000000</v>
      </c>
      <c r="T1463" s="33"/>
      <c r="U1463" s="334">
        <v>45171</v>
      </c>
      <c r="V1463" s="334">
        <v>45536</v>
      </c>
      <c r="W1463" s="27" t="s">
        <v>250</v>
      </c>
      <c r="X1463" s="27"/>
      <c r="Y1463" s="34">
        <f t="shared" ca="1" si="66"/>
        <v>46290</v>
      </c>
      <c r="Z1463" s="35">
        <f t="shared" ca="1" si="64"/>
        <v>-754</v>
      </c>
      <c r="AA1463" s="27">
        <f t="shared" si="67"/>
        <v>9</v>
      </c>
      <c r="AB1463" s="27">
        <f t="shared" si="68"/>
        <v>2024</v>
      </c>
      <c r="AC1463" s="28">
        <v>4500018651</v>
      </c>
      <c r="AD1463" s="28" t="s">
        <v>6891</v>
      </c>
      <c r="AE1463" s="27">
        <v>4500021334</v>
      </c>
      <c r="AF1463" s="27" t="s">
        <v>471</v>
      </c>
      <c r="AG1463" s="29"/>
      <c r="AH1463" s="29"/>
      <c r="AI1463" s="27"/>
      <c r="AJ1463" s="27"/>
      <c r="AK1463" s="27"/>
      <c r="AL1463" s="27"/>
      <c r="AM1463" s="27"/>
      <c r="AN1463" s="27"/>
      <c r="AO1463" s="27">
        <v>288</v>
      </c>
      <c r="AP1463" s="27"/>
      <c r="AQ1463" s="27"/>
      <c r="AR1463" s="504"/>
      <c r="AS1463" s="332"/>
      <c r="AT1463" s="160"/>
    </row>
    <row r="1464" spans="1:46" ht="21.75" hidden="1" customHeight="1">
      <c r="A1464" s="331">
        <v>1463</v>
      </c>
      <c r="B1464" s="28" t="s">
        <v>4218</v>
      </c>
      <c r="C1464" s="28" t="s">
        <v>6629</v>
      </c>
      <c r="D1464" s="438" t="s">
        <v>6892</v>
      </c>
      <c r="E1464" s="361" t="str">
        <f t="shared" ca="1" si="63"/>
        <v>LOSS</v>
      </c>
      <c r="F1464" s="28"/>
      <c r="G1464" s="28" t="s">
        <v>6893</v>
      </c>
      <c r="H1464" s="28" t="s">
        <v>261</v>
      </c>
      <c r="I1464" s="361" t="s">
        <v>243</v>
      </c>
      <c r="J1464" s="28" t="s">
        <v>2085</v>
      </c>
      <c r="K1464" s="38" t="s">
        <v>6894</v>
      </c>
      <c r="L1464" s="53" t="s">
        <v>6895</v>
      </c>
      <c r="M1464" s="27" t="s">
        <v>6896</v>
      </c>
      <c r="N1464" s="29" t="s">
        <v>6897</v>
      </c>
      <c r="O1464" s="56"/>
      <c r="P1464" s="52">
        <v>86618184</v>
      </c>
      <c r="Q1464" s="52"/>
      <c r="R1464" s="56"/>
      <c r="S1464" s="32">
        <v>40800020</v>
      </c>
      <c r="T1464" s="33"/>
      <c r="U1464" s="334">
        <v>45178</v>
      </c>
      <c r="V1464" s="334">
        <v>45543</v>
      </c>
      <c r="W1464" s="27" t="s">
        <v>250</v>
      </c>
      <c r="X1464" s="27"/>
      <c r="Y1464" s="34">
        <f t="shared" ca="1" si="66"/>
        <v>46290</v>
      </c>
      <c r="Z1464" s="35">
        <f t="shared" ca="1" si="64"/>
        <v>-747</v>
      </c>
      <c r="AA1464" s="27">
        <f t="shared" si="67"/>
        <v>9</v>
      </c>
      <c r="AB1464" s="27">
        <f t="shared" si="68"/>
        <v>2024</v>
      </c>
      <c r="AC1464" s="28">
        <v>4500018454</v>
      </c>
      <c r="AD1464" s="28" t="s">
        <v>6898</v>
      </c>
      <c r="AE1464" s="27">
        <v>4500021249</v>
      </c>
      <c r="AF1464" s="27" t="s">
        <v>471</v>
      </c>
      <c r="AG1464" s="29" t="s">
        <v>6899</v>
      </c>
      <c r="AH1464" s="29" t="s">
        <v>6900</v>
      </c>
      <c r="AI1464" s="27"/>
      <c r="AJ1464" s="27"/>
      <c r="AK1464" s="27"/>
      <c r="AL1464" s="27"/>
      <c r="AM1464" s="27"/>
      <c r="AN1464" s="27"/>
      <c r="AO1464" s="27">
        <v>248</v>
      </c>
      <c r="AP1464" s="27"/>
      <c r="AQ1464" s="27"/>
      <c r="AR1464" s="504"/>
      <c r="AS1464" s="332"/>
      <c r="AT1464" s="160"/>
    </row>
    <row r="1465" spans="1:46" ht="21.75" hidden="1" customHeight="1">
      <c r="A1465" s="331">
        <v>1464</v>
      </c>
      <c r="B1465" s="28" t="s">
        <v>6901</v>
      </c>
      <c r="C1465" s="28" t="s">
        <v>6902</v>
      </c>
      <c r="D1465" s="437" t="s">
        <v>6903</v>
      </c>
      <c r="E1465" s="361" t="str">
        <f t="shared" ca="1" si="63"/>
        <v>LOSS</v>
      </c>
      <c r="F1465" s="28" t="s">
        <v>6904</v>
      </c>
      <c r="G1465" s="28" t="s">
        <v>6905</v>
      </c>
      <c r="H1465" s="28" t="s">
        <v>261</v>
      </c>
      <c r="I1465" s="361" t="s">
        <v>243</v>
      </c>
      <c r="J1465" s="28" t="s">
        <v>6906</v>
      </c>
      <c r="K1465" s="38" t="s">
        <v>6907</v>
      </c>
      <c r="L1465" s="53">
        <v>0.995</v>
      </c>
      <c r="M1465" s="27" t="s">
        <v>365</v>
      </c>
      <c r="N1465" s="29" t="s">
        <v>389</v>
      </c>
      <c r="O1465" s="56"/>
      <c r="P1465" s="52">
        <v>172200000</v>
      </c>
      <c r="Q1465" s="52"/>
      <c r="R1465" s="27"/>
      <c r="S1465" s="32">
        <v>132600000</v>
      </c>
      <c r="T1465" s="33"/>
      <c r="U1465" s="334">
        <v>44864</v>
      </c>
      <c r="V1465" s="334">
        <v>45228</v>
      </c>
      <c r="W1465" s="27" t="s">
        <v>245</v>
      </c>
      <c r="X1465" s="27"/>
      <c r="Y1465" s="34">
        <f t="shared" ca="1" si="66"/>
        <v>46290</v>
      </c>
      <c r="Z1465" s="35">
        <f t="shared" ca="1" si="64"/>
        <v>-1062</v>
      </c>
      <c r="AA1465" s="27">
        <f t="shared" si="67"/>
        <v>10</v>
      </c>
      <c r="AB1465" s="27">
        <f t="shared" si="68"/>
        <v>2023</v>
      </c>
      <c r="AC1465" s="28">
        <v>4500017076</v>
      </c>
      <c r="AD1465" s="28">
        <v>19601</v>
      </c>
      <c r="AE1465" s="27">
        <v>4500018695</v>
      </c>
      <c r="AF1465" s="27" t="s">
        <v>471</v>
      </c>
      <c r="AG1465" s="29"/>
      <c r="AH1465" s="29"/>
      <c r="AI1465" s="27"/>
      <c r="AJ1465" s="27"/>
      <c r="AK1465" s="27"/>
      <c r="AL1465" s="27"/>
      <c r="AM1465" s="27"/>
      <c r="AN1465" s="27"/>
      <c r="AO1465" s="27">
        <v>282</v>
      </c>
      <c r="AP1465" s="27"/>
      <c r="AQ1465" s="27"/>
      <c r="AR1465" s="504"/>
      <c r="AS1465" s="332"/>
      <c r="AT1465" s="160"/>
    </row>
    <row r="1466" spans="1:46" ht="21.75" hidden="1" customHeight="1">
      <c r="A1466" s="331">
        <v>1465</v>
      </c>
      <c r="B1466" s="28" t="s">
        <v>6908</v>
      </c>
      <c r="C1466" s="28" t="s">
        <v>322</v>
      </c>
      <c r="D1466" s="438" t="s">
        <v>6903</v>
      </c>
      <c r="E1466" s="361" t="str">
        <f t="shared" ca="1" si="63"/>
        <v>LOSS</v>
      </c>
      <c r="F1466" s="28"/>
      <c r="G1466" s="28" t="s">
        <v>6909</v>
      </c>
      <c r="H1466" s="28" t="s">
        <v>261</v>
      </c>
      <c r="I1466" s="361" t="s">
        <v>243</v>
      </c>
      <c r="J1466" s="28" t="s">
        <v>2335</v>
      </c>
      <c r="K1466" s="38" t="s">
        <v>6910</v>
      </c>
      <c r="L1466" s="53">
        <v>0.995</v>
      </c>
      <c r="M1466" s="27" t="s">
        <v>329</v>
      </c>
      <c r="N1466" s="29" t="s">
        <v>6802</v>
      </c>
      <c r="O1466" s="56"/>
      <c r="P1466" s="52">
        <v>60000000</v>
      </c>
      <c r="Q1466" s="52"/>
      <c r="R1466" s="56"/>
      <c r="S1466" s="32">
        <v>48000000</v>
      </c>
      <c r="T1466" s="33"/>
      <c r="U1466" s="334">
        <v>45209</v>
      </c>
      <c r="V1466" s="334">
        <v>45574</v>
      </c>
      <c r="W1466" s="27" t="s">
        <v>250</v>
      </c>
      <c r="X1466" s="27"/>
      <c r="Y1466" s="34">
        <f t="shared" ca="1" si="66"/>
        <v>46290</v>
      </c>
      <c r="Z1466" s="35">
        <f t="shared" ca="1" si="64"/>
        <v>-716</v>
      </c>
      <c r="AA1466" s="27">
        <f t="shared" si="67"/>
        <v>10</v>
      </c>
      <c r="AB1466" s="27">
        <f t="shared" si="68"/>
        <v>2024</v>
      </c>
      <c r="AC1466" s="28">
        <v>4500018777</v>
      </c>
      <c r="AD1466" s="28">
        <v>1750</v>
      </c>
      <c r="AE1466" s="27">
        <v>4500022016</v>
      </c>
      <c r="AF1466" s="27" t="s">
        <v>471</v>
      </c>
      <c r="AG1466" s="29" t="s">
        <v>5611</v>
      </c>
      <c r="AH1466" s="29" t="s">
        <v>6911</v>
      </c>
      <c r="AI1466" s="27"/>
      <c r="AJ1466" s="27"/>
      <c r="AK1466" s="27"/>
      <c r="AL1466" s="27"/>
      <c r="AM1466" s="27"/>
      <c r="AN1466" s="27" t="s">
        <v>6912</v>
      </c>
      <c r="AO1466" s="27" t="s">
        <v>6913</v>
      </c>
      <c r="AP1466" s="27"/>
      <c r="AQ1466" s="27"/>
      <c r="AR1466" s="504"/>
      <c r="AS1466" s="332"/>
      <c r="AT1466" s="160"/>
    </row>
    <row r="1467" spans="1:46" ht="21.75" hidden="1" customHeight="1">
      <c r="A1467" s="331">
        <v>1466</v>
      </c>
      <c r="B1467" s="28" t="s">
        <v>6908</v>
      </c>
      <c r="C1467" s="28" t="s">
        <v>6914</v>
      </c>
      <c r="D1467" s="437" t="s">
        <v>6903</v>
      </c>
      <c r="E1467" s="361" t="str">
        <f t="shared" ca="1" si="63"/>
        <v>LOSS</v>
      </c>
      <c r="F1467" s="28" t="s">
        <v>6915</v>
      </c>
      <c r="G1467" s="28" t="s">
        <v>6916</v>
      </c>
      <c r="H1467" s="28" t="s">
        <v>261</v>
      </c>
      <c r="I1467" s="361" t="s">
        <v>243</v>
      </c>
      <c r="J1467" s="28" t="s">
        <v>6917</v>
      </c>
      <c r="K1467" s="63" t="s">
        <v>6918</v>
      </c>
      <c r="L1467" s="53">
        <v>0.995</v>
      </c>
      <c r="M1467" s="27" t="s">
        <v>6919</v>
      </c>
      <c r="N1467" s="29" t="s">
        <v>362</v>
      </c>
      <c r="O1467" s="56"/>
      <c r="P1467" s="61">
        <v>264000000</v>
      </c>
      <c r="Q1467" s="61"/>
      <c r="R1467" s="56"/>
      <c r="S1467" s="33">
        <v>210000000</v>
      </c>
      <c r="T1467" s="33"/>
      <c r="U1467" s="334">
        <v>45172</v>
      </c>
      <c r="V1467" s="334">
        <v>45537</v>
      </c>
      <c r="W1467" s="27" t="s">
        <v>250</v>
      </c>
      <c r="X1467" s="27"/>
      <c r="Y1467" s="34">
        <f t="shared" ca="1" si="66"/>
        <v>46290</v>
      </c>
      <c r="Z1467" s="35">
        <f t="shared" ca="1" si="64"/>
        <v>-753</v>
      </c>
      <c r="AA1467" s="27">
        <f t="shared" si="67"/>
        <v>9</v>
      </c>
      <c r="AB1467" s="27">
        <f t="shared" si="68"/>
        <v>2024</v>
      </c>
      <c r="AC1467" s="28" t="s">
        <v>6920</v>
      </c>
      <c r="AD1467" s="28">
        <v>1253</v>
      </c>
      <c r="AE1467" s="27">
        <v>4500021248</v>
      </c>
      <c r="AF1467" s="27" t="s">
        <v>471</v>
      </c>
      <c r="AG1467" s="29"/>
      <c r="AH1467" s="29"/>
      <c r="AI1467" s="27"/>
      <c r="AJ1467" s="27"/>
      <c r="AK1467" s="27"/>
      <c r="AL1467" s="27"/>
      <c r="AM1467" s="27"/>
      <c r="AN1467" s="27"/>
      <c r="AO1467" s="27">
        <v>250</v>
      </c>
      <c r="AP1467" s="27"/>
      <c r="AQ1467" s="27"/>
      <c r="AR1467" s="504"/>
      <c r="AS1467" s="332" t="s">
        <v>6921</v>
      </c>
      <c r="AT1467" s="160"/>
    </row>
    <row r="1468" spans="1:46" ht="21.75" hidden="1" customHeight="1">
      <c r="A1468" s="331">
        <v>1467</v>
      </c>
      <c r="B1468" s="28" t="s">
        <v>6922</v>
      </c>
      <c r="C1468" s="28" t="s">
        <v>2702</v>
      </c>
      <c r="D1468" s="438" t="s">
        <v>6923</v>
      </c>
      <c r="E1468" s="361" t="str">
        <f t="shared" ca="1" si="63"/>
        <v>LOSS</v>
      </c>
      <c r="F1468" s="28" t="s">
        <v>6924</v>
      </c>
      <c r="G1468" s="28" t="s">
        <v>6925</v>
      </c>
      <c r="H1468" s="28" t="s">
        <v>261</v>
      </c>
      <c r="I1468" s="361" t="s">
        <v>243</v>
      </c>
      <c r="J1468" s="28" t="s">
        <v>6926</v>
      </c>
      <c r="K1468" s="38" t="s">
        <v>6927</v>
      </c>
      <c r="L1468" s="51">
        <v>0.995</v>
      </c>
      <c r="M1468" s="27" t="s">
        <v>365</v>
      </c>
      <c r="N1468" s="29" t="s">
        <v>354</v>
      </c>
      <c r="O1468" s="56"/>
      <c r="P1468" s="52">
        <v>54000000</v>
      </c>
      <c r="Q1468" s="52"/>
      <c r="R1468" s="56"/>
      <c r="S1468" s="32">
        <v>24000008</v>
      </c>
      <c r="T1468" s="33"/>
      <c r="U1468" s="334">
        <v>45280</v>
      </c>
      <c r="V1468" s="334">
        <v>45645</v>
      </c>
      <c r="W1468" s="27" t="s">
        <v>250</v>
      </c>
      <c r="X1468" s="27"/>
      <c r="Y1468" s="34">
        <f t="shared" ca="1" si="66"/>
        <v>46290</v>
      </c>
      <c r="Z1468" s="35">
        <f t="shared" ca="1" si="64"/>
        <v>-645</v>
      </c>
      <c r="AA1468" s="27">
        <f t="shared" si="67"/>
        <v>12</v>
      </c>
      <c r="AB1468" s="27">
        <f t="shared" si="68"/>
        <v>2024</v>
      </c>
      <c r="AC1468" s="28">
        <v>4500019474</v>
      </c>
      <c r="AD1468" s="28">
        <v>2214</v>
      </c>
      <c r="AE1468" s="27">
        <v>4500022119</v>
      </c>
      <c r="AF1468" s="27" t="s">
        <v>471</v>
      </c>
      <c r="AG1468" s="29" t="s">
        <v>6928</v>
      </c>
      <c r="AH1468" s="29" t="s">
        <v>6929</v>
      </c>
      <c r="AI1468" s="27"/>
      <c r="AJ1468" s="27"/>
      <c r="AK1468" s="27"/>
      <c r="AL1468" s="27"/>
      <c r="AM1468" s="27"/>
      <c r="AN1468" s="27" t="s">
        <v>6930</v>
      </c>
      <c r="AO1468" s="27" t="s">
        <v>6931</v>
      </c>
      <c r="AP1468" s="27"/>
      <c r="AQ1468" s="27"/>
      <c r="AR1468" s="504"/>
      <c r="AS1468" s="332"/>
      <c r="AT1468" s="160"/>
    </row>
    <row r="1469" spans="1:46" ht="21.75" hidden="1" customHeight="1">
      <c r="A1469" s="331">
        <v>1468</v>
      </c>
      <c r="B1469" s="28" t="s">
        <v>6932</v>
      </c>
      <c r="C1469" s="28" t="s">
        <v>670</v>
      </c>
      <c r="D1469" s="437" t="s">
        <v>6933</v>
      </c>
      <c r="E1469" s="361" t="str">
        <f t="shared" ca="1" si="63"/>
        <v>LOSS</v>
      </c>
      <c r="F1469" s="28" t="s">
        <v>6934</v>
      </c>
      <c r="G1469" s="28" t="s">
        <v>6935</v>
      </c>
      <c r="H1469" s="28" t="s">
        <v>261</v>
      </c>
      <c r="I1469" s="361" t="s">
        <v>243</v>
      </c>
      <c r="J1469" s="28" t="s">
        <v>6936</v>
      </c>
      <c r="K1469" s="38" t="s">
        <v>6937</v>
      </c>
      <c r="L1469" s="53" t="s">
        <v>4749</v>
      </c>
      <c r="M1469" s="27" t="s">
        <v>365</v>
      </c>
      <c r="N1469" s="29" t="s">
        <v>362</v>
      </c>
      <c r="O1469" s="56"/>
      <c r="P1469" s="52">
        <v>222000000</v>
      </c>
      <c r="Q1469" s="52"/>
      <c r="R1469" s="27"/>
      <c r="S1469" s="32">
        <v>126000000</v>
      </c>
      <c r="T1469" s="33"/>
      <c r="U1469" s="334">
        <v>45178</v>
      </c>
      <c r="V1469" s="334">
        <v>45543</v>
      </c>
      <c r="W1469" s="27" t="s">
        <v>250</v>
      </c>
      <c r="X1469" s="27"/>
      <c r="Y1469" s="34">
        <f t="shared" ca="1" si="66"/>
        <v>46290</v>
      </c>
      <c r="Z1469" s="35">
        <f t="shared" ca="1" si="64"/>
        <v>-747</v>
      </c>
      <c r="AA1469" s="27">
        <f t="shared" si="67"/>
        <v>9</v>
      </c>
      <c r="AB1469" s="27">
        <f t="shared" si="68"/>
        <v>2024</v>
      </c>
      <c r="AC1469" s="28">
        <v>4500017711</v>
      </c>
      <c r="AD1469" s="28" t="s">
        <v>6938</v>
      </c>
      <c r="AE1469" s="27">
        <v>4500021200</v>
      </c>
      <c r="AF1469" s="27" t="s">
        <v>471</v>
      </c>
      <c r="AG1469" s="29" t="s">
        <v>6939</v>
      </c>
      <c r="AH1469" s="29" t="s">
        <v>6940</v>
      </c>
      <c r="AI1469" s="27"/>
      <c r="AJ1469" s="27"/>
      <c r="AK1469" s="27"/>
      <c r="AL1469" s="27"/>
      <c r="AM1469" s="27"/>
      <c r="AN1469" s="27"/>
      <c r="AO1469" s="27">
        <v>240</v>
      </c>
      <c r="AP1469" s="27"/>
      <c r="AQ1469" s="27"/>
      <c r="AR1469" s="504"/>
      <c r="AS1469" s="332"/>
      <c r="AT1469" s="160"/>
    </row>
    <row r="1470" spans="1:46" ht="21.75" hidden="1" customHeight="1">
      <c r="A1470" s="331">
        <v>1469</v>
      </c>
      <c r="B1470" s="28" t="s">
        <v>1301</v>
      </c>
      <c r="C1470" s="28" t="s">
        <v>6941</v>
      </c>
      <c r="D1470" s="445"/>
      <c r="E1470" s="361" t="str">
        <f t="shared" ca="1" si="63"/>
        <v>LOSS</v>
      </c>
      <c r="F1470" s="27"/>
      <c r="G1470" s="28" t="s">
        <v>6942</v>
      </c>
      <c r="H1470" s="28" t="s">
        <v>261</v>
      </c>
      <c r="I1470" s="361" t="s">
        <v>243</v>
      </c>
      <c r="J1470" s="28"/>
      <c r="K1470" s="57">
        <v>1000024892</v>
      </c>
      <c r="L1470" s="35"/>
      <c r="M1470" s="27" t="s">
        <v>6943</v>
      </c>
      <c r="N1470" s="29" t="s">
        <v>6802</v>
      </c>
      <c r="O1470" s="56"/>
      <c r="P1470" s="52"/>
      <c r="Q1470" s="52"/>
      <c r="R1470" s="27"/>
      <c r="S1470" s="33">
        <v>1370982</v>
      </c>
      <c r="T1470" s="33"/>
      <c r="U1470" s="334">
        <v>44197</v>
      </c>
      <c r="V1470" s="334">
        <v>44213</v>
      </c>
      <c r="W1470" s="27" t="s">
        <v>245</v>
      </c>
      <c r="X1470" s="27"/>
      <c r="Y1470" s="34">
        <f t="shared" ca="1" si="66"/>
        <v>46290</v>
      </c>
      <c r="Z1470" s="35">
        <f t="shared" ca="1" si="64"/>
        <v>-2077</v>
      </c>
      <c r="AA1470" s="27">
        <f t="shared" si="67"/>
        <v>1</v>
      </c>
      <c r="AB1470" s="27">
        <f t="shared" si="68"/>
        <v>2021</v>
      </c>
      <c r="AC1470" s="28"/>
      <c r="AD1470" s="28"/>
      <c r="AE1470" s="27">
        <v>4500015922</v>
      </c>
      <c r="AF1470" s="27" t="s">
        <v>471</v>
      </c>
      <c r="AG1470" s="29"/>
      <c r="AH1470" s="29"/>
      <c r="AI1470" s="27"/>
      <c r="AJ1470" s="27"/>
      <c r="AK1470" s="27"/>
      <c r="AL1470" s="27"/>
      <c r="AM1470" s="27"/>
      <c r="AN1470" s="27"/>
      <c r="AO1470" s="27">
        <v>170</v>
      </c>
      <c r="AP1470" s="27"/>
      <c r="AQ1470" s="27"/>
      <c r="AR1470" s="504"/>
      <c r="AS1470" s="332"/>
      <c r="AT1470" s="160"/>
    </row>
    <row r="1471" spans="1:46" ht="21.75" hidden="1" customHeight="1">
      <c r="A1471" s="331">
        <v>1470</v>
      </c>
      <c r="B1471" s="28" t="s">
        <v>1301</v>
      </c>
      <c r="C1471" s="28" t="s">
        <v>1327</v>
      </c>
      <c r="D1471" s="437" t="s">
        <v>6944</v>
      </c>
      <c r="E1471" s="361" t="str">
        <f t="shared" ca="1" si="63"/>
        <v>LOSS</v>
      </c>
      <c r="F1471" s="28" t="s">
        <v>6945</v>
      </c>
      <c r="G1471" s="28" t="s">
        <v>6946</v>
      </c>
      <c r="H1471" s="28" t="s">
        <v>261</v>
      </c>
      <c r="I1471" s="361" t="s">
        <v>243</v>
      </c>
      <c r="J1471" s="28" t="s">
        <v>2527</v>
      </c>
      <c r="K1471" s="38" t="s">
        <v>6947</v>
      </c>
      <c r="L1471" s="62">
        <v>0.95</v>
      </c>
      <c r="M1471" s="27" t="s">
        <v>6948</v>
      </c>
      <c r="N1471" s="29" t="s">
        <v>6949</v>
      </c>
      <c r="O1471" s="56"/>
      <c r="P1471" s="52">
        <v>818181</v>
      </c>
      <c r="Q1471" s="52"/>
      <c r="R1471" s="27"/>
      <c r="S1471" s="32">
        <v>13727273</v>
      </c>
      <c r="T1471" s="33"/>
      <c r="U1471" s="334">
        <v>44593</v>
      </c>
      <c r="V1471" s="334">
        <v>44620</v>
      </c>
      <c r="W1471" s="27" t="s">
        <v>245</v>
      </c>
      <c r="X1471" s="27"/>
      <c r="Y1471" s="34">
        <f t="shared" ca="1" si="66"/>
        <v>46290</v>
      </c>
      <c r="Z1471" s="35">
        <f t="shared" ca="1" si="64"/>
        <v>-1670</v>
      </c>
      <c r="AA1471" s="27">
        <f t="shared" si="67"/>
        <v>2</v>
      </c>
      <c r="AB1471" s="27">
        <f t="shared" si="68"/>
        <v>2022</v>
      </c>
      <c r="AC1471" s="28"/>
      <c r="AD1471" s="28">
        <v>17840</v>
      </c>
      <c r="AE1471" s="27">
        <v>4500017628</v>
      </c>
      <c r="AF1471" s="27" t="s">
        <v>471</v>
      </c>
      <c r="AG1471" s="29"/>
      <c r="AH1471" s="29"/>
      <c r="AI1471" s="27"/>
      <c r="AJ1471" s="27"/>
      <c r="AK1471" s="27"/>
      <c r="AL1471" s="27"/>
      <c r="AM1471" s="27"/>
      <c r="AN1471" s="27"/>
      <c r="AO1471" s="27">
        <v>40</v>
      </c>
      <c r="AP1471" s="27"/>
      <c r="AQ1471" s="27"/>
      <c r="AR1471" s="504"/>
      <c r="AS1471" s="332" t="s">
        <v>6950</v>
      </c>
      <c r="AT1471" s="160"/>
    </row>
    <row r="1472" spans="1:46" ht="21.75" hidden="1" customHeight="1">
      <c r="A1472" s="331">
        <v>1471</v>
      </c>
      <c r="B1472" s="28" t="s">
        <v>1301</v>
      </c>
      <c r="C1472" s="28" t="s">
        <v>1327</v>
      </c>
      <c r="D1472" s="438" t="s">
        <v>6944</v>
      </c>
      <c r="E1472" s="361" t="str">
        <f t="shared" ca="1" si="63"/>
        <v>LOSS</v>
      </c>
      <c r="F1472" s="28" t="s">
        <v>6945</v>
      </c>
      <c r="G1472" s="28"/>
      <c r="H1472" s="28" t="s">
        <v>261</v>
      </c>
      <c r="I1472" s="361" t="s">
        <v>243</v>
      </c>
      <c r="J1472" s="28"/>
      <c r="K1472" s="38"/>
      <c r="L1472" s="62">
        <v>0.95</v>
      </c>
      <c r="M1472" s="27" t="s">
        <v>6948</v>
      </c>
      <c r="N1472" s="29"/>
      <c r="O1472" s="56"/>
      <c r="P1472" s="52">
        <v>10940905</v>
      </c>
      <c r="Q1472" s="52"/>
      <c r="R1472" s="27"/>
      <c r="S1472" s="32">
        <v>36954546</v>
      </c>
      <c r="T1472" s="33"/>
      <c r="U1472" s="334">
        <v>44562</v>
      </c>
      <c r="V1472" s="334">
        <v>44592</v>
      </c>
      <c r="W1472" s="27" t="s">
        <v>245</v>
      </c>
      <c r="X1472" s="27"/>
      <c r="Y1472" s="34">
        <f t="shared" ca="1" si="66"/>
        <v>46290</v>
      </c>
      <c r="Z1472" s="35">
        <f t="shared" ca="1" si="64"/>
        <v>-1698</v>
      </c>
      <c r="AA1472" s="27">
        <f t="shared" si="67"/>
        <v>1</v>
      </c>
      <c r="AB1472" s="27">
        <f t="shared" si="68"/>
        <v>2022</v>
      </c>
      <c r="AC1472" s="28"/>
      <c r="AD1472" s="28">
        <v>17639</v>
      </c>
      <c r="AE1472" s="27">
        <v>4500017570</v>
      </c>
      <c r="AF1472" s="27" t="s">
        <v>471</v>
      </c>
      <c r="AG1472" s="29"/>
      <c r="AH1472" s="29"/>
      <c r="AI1472" s="27"/>
      <c r="AJ1472" s="27"/>
      <c r="AK1472" s="27"/>
      <c r="AL1472" s="27"/>
      <c r="AM1472" s="27"/>
      <c r="AN1472" s="27"/>
      <c r="AO1472" s="27">
        <v>41</v>
      </c>
      <c r="AP1472" s="27"/>
      <c r="AQ1472" s="27"/>
      <c r="AR1472" s="504"/>
      <c r="AS1472" s="332" t="s">
        <v>6950</v>
      </c>
      <c r="AT1472" s="160"/>
    </row>
    <row r="1473" spans="1:46" ht="21.75" hidden="1" customHeight="1">
      <c r="A1473" s="331">
        <v>1472</v>
      </c>
      <c r="B1473" s="28" t="s">
        <v>1301</v>
      </c>
      <c r="C1473" s="28" t="s">
        <v>1327</v>
      </c>
      <c r="D1473" s="437" t="s">
        <v>6944</v>
      </c>
      <c r="E1473" s="361" t="str">
        <f t="shared" ca="1" si="63"/>
        <v>LOSS</v>
      </c>
      <c r="F1473" s="28" t="s">
        <v>6945</v>
      </c>
      <c r="G1473" s="28"/>
      <c r="H1473" s="28" t="s">
        <v>261</v>
      </c>
      <c r="I1473" s="361" t="s">
        <v>243</v>
      </c>
      <c r="J1473" s="28"/>
      <c r="K1473" s="38"/>
      <c r="L1473" s="62">
        <v>0.95</v>
      </c>
      <c r="M1473" s="27" t="s">
        <v>6948</v>
      </c>
      <c r="N1473" s="29"/>
      <c r="O1473" s="56"/>
      <c r="P1473" s="52">
        <v>154344727</v>
      </c>
      <c r="Q1473" s="52"/>
      <c r="R1473" s="27"/>
      <c r="S1473" s="32">
        <v>99372728</v>
      </c>
      <c r="T1473" s="33"/>
      <c r="U1473" s="334">
        <v>44562</v>
      </c>
      <c r="V1473" s="334">
        <v>44592</v>
      </c>
      <c r="W1473" s="27" t="s">
        <v>245</v>
      </c>
      <c r="X1473" s="27"/>
      <c r="Y1473" s="34">
        <f t="shared" ca="1" si="66"/>
        <v>46290</v>
      </c>
      <c r="Z1473" s="35">
        <f t="shared" ca="1" si="64"/>
        <v>-1698</v>
      </c>
      <c r="AA1473" s="27">
        <f t="shared" si="67"/>
        <v>1</v>
      </c>
      <c r="AB1473" s="27">
        <f t="shared" si="68"/>
        <v>2022</v>
      </c>
      <c r="AC1473" s="28"/>
      <c r="AD1473" s="28">
        <v>17562</v>
      </c>
      <c r="AE1473" s="27">
        <v>4500017364</v>
      </c>
      <c r="AF1473" s="27" t="s">
        <v>471</v>
      </c>
      <c r="AG1473" s="29"/>
      <c r="AH1473" s="29"/>
      <c r="AI1473" s="27"/>
      <c r="AJ1473" s="27"/>
      <c r="AK1473" s="27"/>
      <c r="AL1473" s="27"/>
      <c r="AM1473" s="27"/>
      <c r="AN1473" s="27"/>
      <c r="AO1473" s="27">
        <v>42</v>
      </c>
      <c r="AP1473" s="27"/>
      <c r="AQ1473" s="27"/>
      <c r="AR1473" s="504"/>
      <c r="AS1473" s="332" t="s">
        <v>6950</v>
      </c>
      <c r="AT1473" s="160"/>
    </row>
    <row r="1474" spans="1:46" ht="21.75" hidden="1" customHeight="1">
      <c r="A1474" s="331">
        <v>1473</v>
      </c>
      <c r="B1474" s="28" t="s">
        <v>1301</v>
      </c>
      <c r="C1474" s="28" t="s">
        <v>684</v>
      </c>
      <c r="D1474" s="438" t="s">
        <v>6944</v>
      </c>
      <c r="E1474" s="361" t="str">
        <f t="shared" ref="E1474:E1537" ca="1" si="69">IF(Z1474&lt;=0, "LOSS",IF(Z1474&lt;=15, "CRITICAL",IF(Z1474&lt;=30, "WARNING",IF(Z1474&lt;60, "ATTENTION", "ON TRACK"))))</f>
        <v>LOSS</v>
      </c>
      <c r="F1474" s="28"/>
      <c r="G1474" s="28" t="s">
        <v>6951</v>
      </c>
      <c r="H1474" s="28" t="s">
        <v>261</v>
      </c>
      <c r="I1474" s="361" t="s">
        <v>243</v>
      </c>
      <c r="J1474" s="28" t="s">
        <v>6952</v>
      </c>
      <c r="K1474" s="38" t="s">
        <v>6953</v>
      </c>
      <c r="L1474" s="60">
        <v>0.995</v>
      </c>
      <c r="M1474" s="27" t="s">
        <v>329</v>
      </c>
      <c r="N1474" s="29" t="s">
        <v>362</v>
      </c>
      <c r="O1474" s="56"/>
      <c r="P1474" s="52">
        <v>96744000</v>
      </c>
      <c r="Q1474" s="52"/>
      <c r="R1474" s="56"/>
      <c r="S1474" s="32">
        <f>4500000*12</f>
        <v>54000000</v>
      </c>
      <c r="T1474" s="33"/>
      <c r="U1474" s="334">
        <v>45361</v>
      </c>
      <c r="V1474" s="334">
        <v>45725</v>
      </c>
      <c r="W1474" s="27" t="s">
        <v>250</v>
      </c>
      <c r="X1474" s="27"/>
      <c r="Y1474" s="34">
        <f t="shared" ca="1" si="66"/>
        <v>46290</v>
      </c>
      <c r="Z1474" s="35">
        <f t="shared" ca="1" si="64"/>
        <v>-565</v>
      </c>
      <c r="AA1474" s="27">
        <f t="shared" si="67"/>
        <v>3</v>
      </c>
      <c r="AB1474" s="27">
        <f t="shared" si="68"/>
        <v>2025</v>
      </c>
      <c r="AC1474" s="28">
        <v>4500020127</v>
      </c>
      <c r="AD1474" s="28" t="s">
        <v>6954</v>
      </c>
      <c r="AE1474" s="27">
        <v>4500022401</v>
      </c>
      <c r="AF1474" s="27" t="s">
        <v>471</v>
      </c>
      <c r="AG1474" s="29" t="s">
        <v>6955</v>
      </c>
      <c r="AH1474" s="29" t="s">
        <v>6956</v>
      </c>
      <c r="AI1474" s="27"/>
      <c r="AJ1474" s="27"/>
      <c r="AK1474" s="27"/>
      <c r="AL1474" s="27"/>
      <c r="AM1474" s="27"/>
      <c r="AN1474" s="27"/>
      <c r="AO1474" s="27" t="s">
        <v>6957</v>
      </c>
      <c r="AP1474" s="27" t="s">
        <v>6958</v>
      </c>
      <c r="AQ1474" s="27"/>
      <c r="AR1474" s="504"/>
      <c r="AS1474" s="332"/>
      <c r="AT1474" s="160"/>
    </row>
    <row r="1475" spans="1:46" ht="21.75" hidden="1" customHeight="1">
      <c r="A1475" s="331">
        <v>1474</v>
      </c>
      <c r="B1475" s="28" t="s">
        <v>1301</v>
      </c>
      <c r="C1475" s="28" t="s">
        <v>6959</v>
      </c>
      <c r="D1475" s="437" t="s">
        <v>6944</v>
      </c>
      <c r="E1475" s="361" t="str">
        <f t="shared" ca="1" si="69"/>
        <v>LOSS</v>
      </c>
      <c r="F1475" s="28" t="s">
        <v>6960</v>
      </c>
      <c r="G1475" s="28" t="s">
        <v>6961</v>
      </c>
      <c r="H1475" s="28" t="s">
        <v>261</v>
      </c>
      <c r="I1475" s="361" t="s">
        <v>243</v>
      </c>
      <c r="J1475" s="28" t="s">
        <v>6962</v>
      </c>
      <c r="K1475" s="38" t="s">
        <v>6963</v>
      </c>
      <c r="L1475" s="60">
        <v>0.995</v>
      </c>
      <c r="M1475" s="27" t="s">
        <v>365</v>
      </c>
      <c r="N1475" s="29" t="s">
        <v>6735</v>
      </c>
      <c r="O1475" s="56"/>
      <c r="P1475" s="52">
        <v>80400000</v>
      </c>
      <c r="Q1475" s="52"/>
      <c r="R1475" s="56"/>
      <c r="S1475" s="32">
        <f>3500000*12</f>
        <v>42000000</v>
      </c>
      <c r="T1475" s="33"/>
      <c r="U1475" s="334">
        <v>45474</v>
      </c>
      <c r="V1475" s="334">
        <v>45838</v>
      </c>
      <c r="W1475" s="27" t="s">
        <v>245</v>
      </c>
      <c r="X1475" s="27"/>
      <c r="Y1475" s="34">
        <f t="shared" ca="1" si="66"/>
        <v>46290</v>
      </c>
      <c r="Z1475" s="35">
        <f t="shared" ca="1" si="64"/>
        <v>-452</v>
      </c>
      <c r="AA1475" s="27">
        <f t="shared" si="67"/>
        <v>6</v>
      </c>
      <c r="AB1475" s="27">
        <f t="shared" ref="AB1475:AB1506" si="70">YEAR(V1475)</f>
        <v>2025</v>
      </c>
      <c r="AC1475" s="28">
        <v>4500020616</v>
      </c>
      <c r="AD1475" s="28">
        <v>3216</v>
      </c>
      <c r="AE1475" s="27">
        <v>4500022678</v>
      </c>
      <c r="AF1475" s="27" t="s">
        <v>471</v>
      </c>
      <c r="AG1475" s="29" t="s">
        <v>6955</v>
      </c>
      <c r="AH1475" s="29" t="s">
        <v>6956</v>
      </c>
      <c r="AI1475" s="27"/>
      <c r="AJ1475" s="27"/>
      <c r="AK1475" s="27"/>
      <c r="AL1475" s="27"/>
      <c r="AM1475" s="27"/>
      <c r="AN1475" s="27"/>
      <c r="AO1475" s="27">
        <v>142</v>
      </c>
      <c r="AP1475" s="27">
        <v>141</v>
      </c>
      <c r="AQ1475" s="27"/>
      <c r="AR1475" s="504"/>
      <c r="AS1475" s="332"/>
      <c r="AT1475" s="160"/>
    </row>
    <row r="1476" spans="1:46" ht="21.75" hidden="1" customHeight="1">
      <c r="A1476" s="331">
        <v>1475</v>
      </c>
      <c r="B1476" s="28" t="s">
        <v>6964</v>
      </c>
      <c r="C1476" s="28" t="s">
        <v>6965</v>
      </c>
      <c r="D1476" s="438" t="s">
        <v>6966</v>
      </c>
      <c r="E1476" s="361" t="str">
        <f t="shared" ca="1" si="69"/>
        <v>LOSS</v>
      </c>
      <c r="F1476" s="28"/>
      <c r="G1476" s="28" t="s">
        <v>6967</v>
      </c>
      <c r="H1476" s="28" t="s">
        <v>261</v>
      </c>
      <c r="I1476" s="361" t="s">
        <v>243</v>
      </c>
      <c r="J1476" s="28" t="s">
        <v>4899</v>
      </c>
      <c r="K1476" s="38" t="s">
        <v>6968</v>
      </c>
      <c r="L1476" s="60">
        <v>0.995</v>
      </c>
      <c r="M1476" s="27" t="s">
        <v>365</v>
      </c>
      <c r="N1476" s="29" t="s">
        <v>362</v>
      </c>
      <c r="O1476" s="56"/>
      <c r="P1476" s="52">
        <v>180000000</v>
      </c>
      <c r="Q1476" s="52"/>
      <c r="R1476" s="56"/>
      <c r="S1476" s="32">
        <f>8000000*12</f>
        <v>96000000</v>
      </c>
      <c r="T1476" s="33"/>
      <c r="U1476" s="334">
        <v>45465</v>
      </c>
      <c r="V1476" s="334">
        <v>45829</v>
      </c>
      <c r="W1476" s="27" t="s">
        <v>245</v>
      </c>
      <c r="X1476" s="27"/>
      <c r="Y1476" s="34">
        <f t="shared" ca="1" si="66"/>
        <v>46290</v>
      </c>
      <c r="Z1476" s="35">
        <f t="shared" ca="1" si="64"/>
        <v>-461</v>
      </c>
      <c r="AA1476" s="27">
        <f t="shared" si="67"/>
        <v>6</v>
      </c>
      <c r="AB1476" s="27">
        <f t="shared" si="70"/>
        <v>2025</v>
      </c>
      <c r="AC1476" s="28">
        <v>4500020615</v>
      </c>
      <c r="AD1476" s="28">
        <v>2911</v>
      </c>
      <c r="AE1476" s="27">
        <v>4500022407</v>
      </c>
      <c r="AF1476" s="27" t="s">
        <v>471</v>
      </c>
      <c r="AG1476" s="29" t="s">
        <v>6969</v>
      </c>
      <c r="AH1476" s="29" t="s">
        <v>6970</v>
      </c>
      <c r="AI1476" s="27"/>
      <c r="AJ1476" s="27"/>
      <c r="AK1476" s="27"/>
      <c r="AL1476" s="27"/>
      <c r="AM1476" s="27"/>
      <c r="AN1476" s="27"/>
      <c r="AO1476" s="27">
        <v>145</v>
      </c>
      <c r="AP1476" s="27" t="s">
        <v>6971</v>
      </c>
      <c r="AQ1476" s="27"/>
      <c r="AR1476" s="504"/>
      <c r="AS1476" s="332" t="s">
        <v>6972</v>
      </c>
      <c r="AT1476" s="160"/>
    </row>
    <row r="1477" spans="1:46" ht="21.75" hidden="1" customHeight="1">
      <c r="A1477" s="331">
        <v>1476</v>
      </c>
      <c r="B1477" s="28" t="s">
        <v>6964</v>
      </c>
      <c r="C1477" s="28" t="s">
        <v>684</v>
      </c>
      <c r="D1477" s="437" t="s">
        <v>6966</v>
      </c>
      <c r="E1477" s="361" t="str">
        <f t="shared" ca="1" si="69"/>
        <v>LOSS</v>
      </c>
      <c r="F1477" s="28" t="s">
        <v>6973</v>
      </c>
      <c r="G1477" s="28" t="s">
        <v>6974</v>
      </c>
      <c r="H1477" s="28" t="s">
        <v>261</v>
      </c>
      <c r="I1477" s="361" t="s">
        <v>243</v>
      </c>
      <c r="J1477" s="28" t="s">
        <v>2329</v>
      </c>
      <c r="K1477" s="38" t="s">
        <v>6975</v>
      </c>
      <c r="L1477" s="53">
        <v>0.995</v>
      </c>
      <c r="M1477" s="27" t="s">
        <v>329</v>
      </c>
      <c r="N1477" s="27" t="s">
        <v>354</v>
      </c>
      <c r="O1477" s="56"/>
      <c r="P1477" s="61">
        <f>2500000*12</f>
        <v>30000000</v>
      </c>
      <c r="Q1477" s="61"/>
      <c r="R1477" s="56"/>
      <c r="S1477" s="33">
        <v>78000000</v>
      </c>
      <c r="T1477" s="33"/>
      <c r="U1477" s="334">
        <v>45231</v>
      </c>
      <c r="V1477" s="334">
        <v>45596</v>
      </c>
      <c r="W1477" s="27" t="s">
        <v>250</v>
      </c>
      <c r="X1477" s="27"/>
      <c r="Y1477" s="34">
        <f t="shared" ca="1" si="66"/>
        <v>46290</v>
      </c>
      <c r="Z1477" s="35">
        <f t="shared" ref="Z1477:Z1540" ca="1" si="71">V1477-Y1477</f>
        <v>-694</v>
      </c>
      <c r="AA1477" s="27">
        <f t="shared" si="67"/>
        <v>10</v>
      </c>
      <c r="AB1477" s="27">
        <f t="shared" si="70"/>
        <v>2024</v>
      </c>
      <c r="AC1477" s="28">
        <v>4500018817</v>
      </c>
      <c r="AD1477" s="28" t="s">
        <v>6976</v>
      </c>
      <c r="AE1477" s="27">
        <v>4500021653</v>
      </c>
      <c r="AF1477" s="27" t="s">
        <v>471</v>
      </c>
      <c r="AG1477" s="81" t="s">
        <v>6977</v>
      </c>
      <c r="AH1477" s="81" t="s">
        <v>6978</v>
      </c>
      <c r="AI1477" s="27"/>
      <c r="AJ1477" s="27"/>
      <c r="AK1477" s="27"/>
      <c r="AL1477" s="27"/>
      <c r="AM1477" s="27"/>
      <c r="AN1477" s="27" t="s">
        <v>6979</v>
      </c>
      <c r="AO1477" s="27" t="s">
        <v>6980</v>
      </c>
      <c r="AP1477" s="27"/>
      <c r="AQ1477" s="27"/>
      <c r="AR1477" s="504"/>
      <c r="AS1477" s="332"/>
      <c r="AT1477" s="160"/>
    </row>
    <row r="1478" spans="1:46" ht="21.75" hidden="1" customHeight="1">
      <c r="A1478" s="331">
        <v>1477</v>
      </c>
      <c r="B1478" s="28" t="s">
        <v>119</v>
      </c>
      <c r="C1478" s="28" t="s">
        <v>2578</v>
      </c>
      <c r="D1478" s="438" t="s">
        <v>843</v>
      </c>
      <c r="E1478" s="361" t="str">
        <f t="shared" ca="1" si="69"/>
        <v>LOSS</v>
      </c>
      <c r="F1478" s="28"/>
      <c r="G1478" s="28" t="s">
        <v>6981</v>
      </c>
      <c r="H1478" s="28" t="s">
        <v>261</v>
      </c>
      <c r="I1478" s="361" t="s">
        <v>243</v>
      </c>
      <c r="J1478" s="28" t="s">
        <v>2579</v>
      </c>
      <c r="K1478" s="38" t="s">
        <v>6982</v>
      </c>
      <c r="L1478" s="53" t="s">
        <v>6983</v>
      </c>
      <c r="M1478" s="27" t="s">
        <v>365</v>
      </c>
      <c r="N1478" s="29" t="s">
        <v>494</v>
      </c>
      <c r="O1478" s="56"/>
      <c r="P1478" s="52">
        <v>120000000</v>
      </c>
      <c r="Q1478" s="52"/>
      <c r="R1478" s="27"/>
      <c r="S1478" s="32">
        <v>90000000</v>
      </c>
      <c r="T1478" s="33"/>
      <c r="U1478" s="334">
        <v>44774</v>
      </c>
      <c r="V1478" s="334">
        <v>45138</v>
      </c>
      <c r="W1478" s="27" t="s">
        <v>245</v>
      </c>
      <c r="X1478" s="27"/>
      <c r="Y1478" s="34">
        <f t="shared" ca="1" si="66"/>
        <v>46290</v>
      </c>
      <c r="Z1478" s="35">
        <f t="shared" ca="1" si="71"/>
        <v>-1152</v>
      </c>
      <c r="AA1478" s="27">
        <f t="shared" si="67"/>
        <v>7</v>
      </c>
      <c r="AB1478" s="27">
        <f t="shared" si="70"/>
        <v>2023</v>
      </c>
      <c r="AC1478" s="28">
        <v>4500016433</v>
      </c>
      <c r="AD1478" s="28">
        <v>19191</v>
      </c>
      <c r="AE1478" s="27">
        <v>4500018422</v>
      </c>
      <c r="AF1478" s="27" t="s">
        <v>471</v>
      </c>
      <c r="AG1478" s="29"/>
      <c r="AH1478" s="29"/>
      <c r="AI1478" s="27"/>
      <c r="AJ1478" s="27"/>
      <c r="AK1478" s="27"/>
      <c r="AL1478" s="27"/>
      <c r="AM1478" s="27"/>
      <c r="AN1478" s="27"/>
      <c r="AO1478" s="27">
        <v>227</v>
      </c>
      <c r="AP1478" s="27"/>
      <c r="AQ1478" s="27"/>
      <c r="AR1478" s="504"/>
      <c r="AS1478" s="332"/>
      <c r="AT1478" s="160"/>
    </row>
    <row r="1479" spans="1:46" ht="21.75" hidden="1" customHeight="1">
      <c r="A1479" s="331">
        <v>1478</v>
      </c>
      <c r="B1479" s="264" t="s">
        <v>450</v>
      </c>
      <c r="C1479" s="28" t="s">
        <v>6984</v>
      </c>
      <c r="D1479" s="437" t="s">
        <v>843</v>
      </c>
      <c r="E1479" s="361" t="str">
        <f t="shared" ca="1" si="69"/>
        <v>LOSS</v>
      </c>
      <c r="F1479" s="28"/>
      <c r="G1479" s="28" t="s">
        <v>6985</v>
      </c>
      <c r="H1479" s="28" t="s">
        <v>261</v>
      </c>
      <c r="I1479" s="361" t="s">
        <v>243</v>
      </c>
      <c r="J1479" s="28" t="s">
        <v>1896</v>
      </c>
      <c r="K1479" s="38" t="s">
        <v>6986</v>
      </c>
      <c r="L1479" s="53">
        <v>0.995</v>
      </c>
      <c r="M1479" s="27" t="s">
        <v>6987</v>
      </c>
      <c r="N1479" s="29" t="s">
        <v>6649</v>
      </c>
      <c r="O1479" s="56"/>
      <c r="P1479" s="52">
        <v>66000000</v>
      </c>
      <c r="Q1479" s="52"/>
      <c r="R1479" s="27"/>
      <c r="S1479" s="32">
        <v>30000000</v>
      </c>
      <c r="T1479" s="33"/>
      <c r="U1479" s="334">
        <v>44197</v>
      </c>
      <c r="V1479" s="334">
        <v>44316</v>
      </c>
      <c r="W1479" s="27" t="s">
        <v>245</v>
      </c>
      <c r="X1479" s="27"/>
      <c r="Y1479" s="34">
        <f t="shared" ca="1" si="66"/>
        <v>46290</v>
      </c>
      <c r="Z1479" s="35">
        <f t="shared" ca="1" si="71"/>
        <v>-1974</v>
      </c>
      <c r="AA1479" s="27">
        <f t="shared" si="67"/>
        <v>4</v>
      </c>
      <c r="AB1479" s="27">
        <f t="shared" si="70"/>
        <v>2021</v>
      </c>
      <c r="AC1479" s="28">
        <v>4500012201</v>
      </c>
      <c r="AD1479" s="28">
        <v>19588</v>
      </c>
      <c r="AE1479" s="27">
        <v>4500018686</v>
      </c>
      <c r="AF1479" s="27" t="s">
        <v>471</v>
      </c>
      <c r="AG1479" s="29"/>
      <c r="AH1479" s="29"/>
      <c r="AI1479" s="27"/>
      <c r="AJ1479" s="27"/>
      <c r="AK1479" s="27"/>
      <c r="AL1479" s="27"/>
      <c r="AM1479" s="27"/>
      <c r="AN1479" s="27"/>
      <c r="AO1479" s="27">
        <v>285</v>
      </c>
      <c r="AP1479" s="27"/>
      <c r="AQ1479" s="27"/>
      <c r="AR1479" s="504"/>
      <c r="AS1479" s="332" t="s">
        <v>6988</v>
      </c>
      <c r="AT1479" s="160"/>
    </row>
    <row r="1480" spans="1:46" ht="21.75" hidden="1" customHeight="1">
      <c r="A1480" s="331">
        <v>1479</v>
      </c>
      <c r="B1480" s="28" t="s">
        <v>119</v>
      </c>
      <c r="C1480" s="28" t="s">
        <v>6989</v>
      </c>
      <c r="D1480" s="438" t="s">
        <v>452</v>
      </c>
      <c r="E1480" s="361" t="str">
        <f t="shared" ca="1" si="69"/>
        <v>LOSS</v>
      </c>
      <c r="F1480" s="71" t="s">
        <v>6990</v>
      </c>
      <c r="G1480" s="71" t="s">
        <v>6991</v>
      </c>
      <c r="H1480" s="28" t="s">
        <v>261</v>
      </c>
      <c r="I1480" s="361" t="s">
        <v>243</v>
      </c>
      <c r="J1480" s="28" t="s">
        <v>1654</v>
      </c>
      <c r="K1480" s="38" t="s">
        <v>6992</v>
      </c>
      <c r="L1480" s="51">
        <v>0.995</v>
      </c>
      <c r="M1480" s="27" t="s">
        <v>365</v>
      </c>
      <c r="N1480" s="27" t="s">
        <v>406</v>
      </c>
      <c r="O1480" s="56"/>
      <c r="P1480" s="31">
        <f>10000000*12</f>
        <v>120000000</v>
      </c>
      <c r="Q1480" s="31"/>
      <c r="R1480" s="56"/>
      <c r="S1480" s="32">
        <v>144000000</v>
      </c>
      <c r="T1480" s="33"/>
      <c r="U1480" s="334">
        <v>45266</v>
      </c>
      <c r="V1480" s="334">
        <v>45631</v>
      </c>
      <c r="W1480" s="27" t="s">
        <v>250</v>
      </c>
      <c r="X1480" s="27"/>
      <c r="Y1480" s="34">
        <f t="shared" ca="1" si="66"/>
        <v>46290</v>
      </c>
      <c r="Z1480" s="35">
        <f t="shared" ca="1" si="71"/>
        <v>-659</v>
      </c>
      <c r="AA1480" s="27">
        <f t="shared" si="67"/>
        <v>12</v>
      </c>
      <c r="AB1480" s="27">
        <f t="shared" si="70"/>
        <v>2024</v>
      </c>
      <c r="AC1480" s="28"/>
      <c r="AD1480" s="28" t="s">
        <v>6993</v>
      </c>
      <c r="AE1480" s="27">
        <v>4500021849</v>
      </c>
      <c r="AF1480" s="27" t="s">
        <v>471</v>
      </c>
      <c r="AG1480" s="29" t="s">
        <v>6994</v>
      </c>
      <c r="AH1480" s="29" t="s">
        <v>6995</v>
      </c>
      <c r="AI1480" s="27"/>
      <c r="AJ1480" s="27"/>
      <c r="AK1480" s="27"/>
      <c r="AL1480" s="27"/>
      <c r="AM1480" s="27"/>
      <c r="AN1480" s="27" t="s">
        <v>6996</v>
      </c>
      <c r="AO1480" s="27" t="s">
        <v>6997</v>
      </c>
      <c r="AP1480" s="27"/>
      <c r="AQ1480" s="27"/>
      <c r="AR1480" s="504"/>
      <c r="AS1480" s="332"/>
      <c r="AT1480" s="160"/>
    </row>
    <row r="1481" spans="1:46" ht="21.75" hidden="1" customHeight="1">
      <c r="A1481" s="331">
        <v>1480</v>
      </c>
      <c r="B1481" s="28" t="s">
        <v>119</v>
      </c>
      <c r="C1481" s="28" t="s">
        <v>2203</v>
      </c>
      <c r="D1481" s="437" t="s">
        <v>452</v>
      </c>
      <c r="E1481" s="361" t="str">
        <f t="shared" ca="1" si="69"/>
        <v>LOSS</v>
      </c>
      <c r="F1481" s="28"/>
      <c r="G1481" s="28" t="s">
        <v>6998</v>
      </c>
      <c r="H1481" s="28" t="s">
        <v>261</v>
      </c>
      <c r="I1481" s="361" t="s">
        <v>243</v>
      </c>
      <c r="J1481" s="28" t="s">
        <v>1525</v>
      </c>
      <c r="K1481" s="38" t="s">
        <v>6999</v>
      </c>
      <c r="L1481" s="60">
        <v>0.995</v>
      </c>
      <c r="M1481" s="27" t="s">
        <v>365</v>
      </c>
      <c r="N1481" s="29" t="s">
        <v>354</v>
      </c>
      <c r="O1481" s="56"/>
      <c r="P1481" s="52">
        <v>78000000</v>
      </c>
      <c r="Q1481" s="52"/>
      <c r="R1481" s="27"/>
      <c r="S1481" s="32">
        <v>51666670</v>
      </c>
      <c r="T1481" s="33"/>
      <c r="U1481" s="334">
        <v>45317</v>
      </c>
      <c r="V1481" s="334">
        <v>45688</v>
      </c>
      <c r="W1481" s="27" t="s">
        <v>245</v>
      </c>
      <c r="X1481" s="27"/>
      <c r="Y1481" s="34">
        <f t="shared" ca="1" si="66"/>
        <v>46290</v>
      </c>
      <c r="Z1481" s="35">
        <f t="shared" ca="1" si="71"/>
        <v>-602</v>
      </c>
      <c r="AA1481" s="27">
        <f t="shared" si="67"/>
        <v>1</v>
      </c>
      <c r="AB1481" s="27">
        <f t="shared" si="70"/>
        <v>2025</v>
      </c>
      <c r="AC1481" s="28">
        <v>4500019931</v>
      </c>
      <c r="AD1481" s="28" t="s">
        <v>7000</v>
      </c>
      <c r="AE1481" s="27">
        <v>4500022622</v>
      </c>
      <c r="AF1481" s="27" t="s">
        <v>471</v>
      </c>
      <c r="AG1481" s="29" t="s">
        <v>6994</v>
      </c>
      <c r="AH1481" s="29" t="s">
        <v>7001</v>
      </c>
      <c r="AI1481" s="27"/>
      <c r="AJ1481" s="27"/>
      <c r="AK1481" s="27"/>
      <c r="AL1481" s="27"/>
      <c r="AM1481" s="27"/>
      <c r="AN1481" s="27"/>
      <c r="AO1481" s="27">
        <v>18</v>
      </c>
      <c r="AP1481" s="27">
        <v>139</v>
      </c>
      <c r="AQ1481" s="27"/>
      <c r="AR1481" s="504"/>
      <c r="AS1481" s="332" t="s">
        <v>7002</v>
      </c>
      <c r="AT1481" s="160"/>
    </row>
    <row r="1482" spans="1:46" ht="21.75" hidden="1" customHeight="1">
      <c r="A1482" s="331">
        <v>1481</v>
      </c>
      <c r="B1482" s="28" t="s">
        <v>119</v>
      </c>
      <c r="C1482" s="28" t="s">
        <v>7003</v>
      </c>
      <c r="D1482" s="438" t="s">
        <v>452</v>
      </c>
      <c r="E1482" s="361" t="str">
        <f t="shared" ca="1" si="69"/>
        <v>LOSS</v>
      </c>
      <c r="F1482" s="28"/>
      <c r="G1482" s="28" t="s">
        <v>7004</v>
      </c>
      <c r="H1482" s="28" t="s">
        <v>261</v>
      </c>
      <c r="I1482" s="361" t="s">
        <v>243</v>
      </c>
      <c r="J1482" s="28" t="s">
        <v>7005</v>
      </c>
      <c r="K1482" s="38" t="s">
        <v>7006</v>
      </c>
      <c r="L1482" s="60">
        <v>0.995</v>
      </c>
      <c r="M1482" s="27" t="s">
        <v>329</v>
      </c>
      <c r="N1482" s="29" t="s">
        <v>6802</v>
      </c>
      <c r="O1482" s="56"/>
      <c r="P1482" s="52">
        <v>120000000</v>
      </c>
      <c r="Q1482" s="52"/>
      <c r="R1482" s="56"/>
      <c r="S1482" s="32">
        <f>4500000*12</f>
        <v>54000000</v>
      </c>
      <c r="T1482" s="33"/>
      <c r="U1482" s="334">
        <v>45344</v>
      </c>
      <c r="V1482" s="334">
        <v>45709</v>
      </c>
      <c r="W1482" s="27" t="s">
        <v>245</v>
      </c>
      <c r="X1482" s="27"/>
      <c r="Y1482" s="34">
        <f t="shared" ca="1" si="66"/>
        <v>46290</v>
      </c>
      <c r="Z1482" s="35">
        <f t="shared" ca="1" si="71"/>
        <v>-581</v>
      </c>
      <c r="AA1482" s="27">
        <f t="shared" si="67"/>
        <v>2</v>
      </c>
      <c r="AB1482" s="27">
        <f t="shared" si="70"/>
        <v>2025</v>
      </c>
      <c r="AC1482" s="28">
        <v>4500020059</v>
      </c>
      <c r="AD1482" s="28">
        <v>2472</v>
      </c>
      <c r="AE1482" s="27">
        <v>4500022242</v>
      </c>
      <c r="AF1482" s="27" t="s">
        <v>471</v>
      </c>
      <c r="AG1482" s="29" t="s">
        <v>6994</v>
      </c>
      <c r="AH1482" s="29" t="s">
        <v>7001</v>
      </c>
      <c r="AI1482" s="27"/>
      <c r="AJ1482" s="27"/>
      <c r="AK1482" s="27"/>
      <c r="AL1482" s="27"/>
      <c r="AM1482" s="27"/>
      <c r="AN1482" s="27"/>
      <c r="AO1482" s="27">
        <v>84</v>
      </c>
      <c r="AP1482" s="27" t="s">
        <v>7007</v>
      </c>
      <c r="AQ1482" s="27"/>
      <c r="AR1482" s="504"/>
      <c r="AS1482" s="332" t="s">
        <v>7008</v>
      </c>
      <c r="AT1482" s="160"/>
    </row>
    <row r="1483" spans="1:46" ht="21.75" hidden="1" customHeight="1">
      <c r="A1483" s="331">
        <v>1482</v>
      </c>
      <c r="B1483" s="28" t="s">
        <v>119</v>
      </c>
      <c r="C1483" s="28" t="s">
        <v>7009</v>
      </c>
      <c r="D1483" s="437" t="s">
        <v>452</v>
      </c>
      <c r="E1483" s="361" t="str">
        <f t="shared" ca="1" si="69"/>
        <v>LOSS</v>
      </c>
      <c r="F1483" s="28" t="s">
        <v>115</v>
      </c>
      <c r="G1483" s="28" t="s">
        <v>7010</v>
      </c>
      <c r="H1483" s="28" t="s">
        <v>261</v>
      </c>
      <c r="I1483" s="361" t="s">
        <v>243</v>
      </c>
      <c r="J1483" s="28" t="s">
        <v>7011</v>
      </c>
      <c r="K1483" s="38" t="s">
        <v>7012</v>
      </c>
      <c r="L1483" s="60">
        <v>0.995</v>
      </c>
      <c r="M1483" s="27" t="s">
        <v>353</v>
      </c>
      <c r="N1483" s="29" t="s">
        <v>7013</v>
      </c>
      <c r="O1483" s="56"/>
      <c r="P1483" s="52">
        <v>576000000</v>
      </c>
      <c r="Q1483" s="52"/>
      <c r="R1483" s="27"/>
      <c r="S1483" s="32">
        <v>300000000</v>
      </c>
      <c r="T1483" s="33"/>
      <c r="U1483" s="334">
        <v>45474</v>
      </c>
      <c r="V1483" s="334">
        <v>45838</v>
      </c>
      <c r="W1483" s="27" t="s">
        <v>245</v>
      </c>
      <c r="X1483" s="27"/>
      <c r="Y1483" s="34">
        <f t="shared" ref="Y1483:Y1546" ca="1" si="72">TODAY()</f>
        <v>46290</v>
      </c>
      <c r="Z1483" s="35">
        <f t="shared" ca="1" si="71"/>
        <v>-452</v>
      </c>
      <c r="AA1483" s="27">
        <f t="shared" si="67"/>
        <v>6</v>
      </c>
      <c r="AB1483" s="27">
        <f t="shared" si="70"/>
        <v>2025</v>
      </c>
      <c r="AC1483" s="28">
        <v>4500020642</v>
      </c>
      <c r="AD1483" s="28">
        <v>3218</v>
      </c>
      <c r="AE1483" s="27">
        <v>4500022679</v>
      </c>
      <c r="AF1483" s="27" t="s">
        <v>471</v>
      </c>
      <c r="AG1483" s="29" t="s">
        <v>6994</v>
      </c>
      <c r="AH1483" s="29" t="s">
        <v>7001</v>
      </c>
      <c r="AI1483" s="27"/>
      <c r="AJ1483" s="27"/>
      <c r="AK1483" s="27"/>
      <c r="AL1483" s="27"/>
      <c r="AM1483" s="27"/>
      <c r="AN1483" s="27"/>
      <c r="AO1483" s="27">
        <v>14</v>
      </c>
      <c r="AP1483" s="27">
        <v>136</v>
      </c>
      <c r="AQ1483" s="27"/>
      <c r="AR1483" s="504"/>
      <c r="AS1483" s="332" t="s">
        <v>7002</v>
      </c>
      <c r="AT1483" s="160"/>
    </row>
    <row r="1484" spans="1:46" ht="21.75" hidden="1" customHeight="1">
      <c r="A1484" s="331">
        <v>1483</v>
      </c>
      <c r="B1484" s="28" t="s">
        <v>119</v>
      </c>
      <c r="C1484" s="28" t="s">
        <v>1299</v>
      </c>
      <c r="D1484" s="438" t="s">
        <v>452</v>
      </c>
      <c r="E1484" s="361" t="str">
        <f t="shared" ca="1" si="69"/>
        <v>LOSS</v>
      </c>
      <c r="F1484" s="28" t="s">
        <v>7014</v>
      </c>
      <c r="G1484" s="28" t="s">
        <v>7015</v>
      </c>
      <c r="H1484" s="28" t="s">
        <v>261</v>
      </c>
      <c r="I1484" s="361" t="s">
        <v>243</v>
      </c>
      <c r="J1484" s="28" t="s">
        <v>7016</v>
      </c>
      <c r="K1484" s="38" t="s">
        <v>7017</v>
      </c>
      <c r="L1484" s="60">
        <v>0.995</v>
      </c>
      <c r="M1484" s="27" t="s">
        <v>365</v>
      </c>
      <c r="N1484" s="29" t="s">
        <v>389</v>
      </c>
      <c r="O1484" s="56"/>
      <c r="P1484" s="52">
        <v>785400000</v>
      </c>
      <c r="Q1484" s="52"/>
      <c r="R1484" s="27"/>
      <c r="S1484" s="32">
        <v>202666684</v>
      </c>
      <c r="T1484" s="33"/>
      <c r="U1484" s="334">
        <v>45026</v>
      </c>
      <c r="V1484" s="334">
        <v>45391</v>
      </c>
      <c r="W1484" s="27" t="s">
        <v>245</v>
      </c>
      <c r="X1484" s="27"/>
      <c r="Y1484" s="34">
        <f t="shared" ca="1" si="72"/>
        <v>46290</v>
      </c>
      <c r="Z1484" s="35">
        <f t="shared" ca="1" si="71"/>
        <v>-899</v>
      </c>
      <c r="AA1484" s="27">
        <f t="shared" ref="AA1484:AA1547" si="73">MONTH(V1484)</f>
        <v>4</v>
      </c>
      <c r="AB1484" s="27">
        <f t="shared" si="70"/>
        <v>2024</v>
      </c>
      <c r="AC1484" s="28">
        <v>4500019380</v>
      </c>
      <c r="AD1484" s="28">
        <v>21886</v>
      </c>
      <c r="AE1484" s="27">
        <v>4500020481</v>
      </c>
      <c r="AF1484" s="27" t="s">
        <v>471</v>
      </c>
      <c r="AG1484" s="29"/>
      <c r="AH1484" s="29"/>
      <c r="AI1484" s="27"/>
      <c r="AJ1484" s="27"/>
      <c r="AK1484" s="27"/>
      <c r="AL1484" s="27"/>
      <c r="AM1484" s="27"/>
      <c r="AN1484" s="27"/>
      <c r="AO1484" s="27">
        <v>144</v>
      </c>
      <c r="AP1484" s="27"/>
      <c r="AQ1484" s="27"/>
      <c r="AR1484" s="504"/>
      <c r="AS1484" s="332" t="s">
        <v>7018</v>
      </c>
      <c r="AT1484" s="160"/>
    </row>
    <row r="1485" spans="1:46" ht="21.75" hidden="1" customHeight="1">
      <c r="A1485" s="331">
        <v>1484</v>
      </c>
      <c r="B1485" s="28" t="s">
        <v>119</v>
      </c>
      <c r="C1485" s="28" t="s">
        <v>1299</v>
      </c>
      <c r="D1485" s="437" t="s">
        <v>452</v>
      </c>
      <c r="E1485" s="361" t="str">
        <f t="shared" ca="1" si="69"/>
        <v>LOSS</v>
      </c>
      <c r="F1485" s="28" t="s">
        <v>7019</v>
      </c>
      <c r="G1485" s="28" t="s">
        <v>7019</v>
      </c>
      <c r="H1485" s="28" t="s">
        <v>261</v>
      </c>
      <c r="I1485" s="361" t="s">
        <v>243</v>
      </c>
      <c r="J1485" s="28" t="s">
        <v>7020</v>
      </c>
      <c r="K1485" s="38" t="s">
        <v>7021</v>
      </c>
      <c r="L1485" s="51">
        <v>0.995</v>
      </c>
      <c r="M1485" s="27" t="s">
        <v>329</v>
      </c>
      <c r="N1485" s="29" t="s">
        <v>389</v>
      </c>
      <c r="O1485" s="56"/>
      <c r="P1485" s="61">
        <v>499000000</v>
      </c>
      <c r="Q1485" s="61"/>
      <c r="R1485" s="56">
        <v>2500000</v>
      </c>
      <c r="S1485" s="33">
        <v>362500000</v>
      </c>
      <c r="T1485" s="33"/>
      <c r="U1485" s="334">
        <v>45091</v>
      </c>
      <c r="V1485" s="334">
        <v>45517</v>
      </c>
      <c r="W1485" s="27" t="s">
        <v>250</v>
      </c>
      <c r="X1485" s="27"/>
      <c r="Y1485" s="34">
        <f t="shared" ca="1" si="72"/>
        <v>46290</v>
      </c>
      <c r="Z1485" s="35">
        <f t="shared" ca="1" si="71"/>
        <v>-773</v>
      </c>
      <c r="AA1485" s="27">
        <f t="shared" si="73"/>
        <v>8</v>
      </c>
      <c r="AB1485" s="27">
        <f t="shared" si="70"/>
        <v>2024</v>
      </c>
      <c r="AC1485" s="28" t="s">
        <v>3371</v>
      </c>
      <c r="AD1485" s="28" t="s">
        <v>7022</v>
      </c>
      <c r="AE1485" s="27">
        <v>4500020213</v>
      </c>
      <c r="AF1485" s="27" t="s">
        <v>471</v>
      </c>
      <c r="AG1485" s="29"/>
      <c r="AH1485" s="29"/>
      <c r="AI1485" s="27"/>
      <c r="AJ1485" s="27"/>
      <c r="AK1485" s="27"/>
      <c r="AL1485" s="27"/>
      <c r="AM1485" s="27"/>
      <c r="AN1485" s="27"/>
      <c r="AO1485" s="27">
        <v>324</v>
      </c>
      <c r="AP1485" s="27"/>
      <c r="AQ1485" s="27"/>
      <c r="AR1485" s="504"/>
      <c r="AS1485" s="332"/>
      <c r="AT1485" s="160"/>
    </row>
    <row r="1486" spans="1:46" ht="21.75" hidden="1" customHeight="1">
      <c r="A1486" s="331">
        <v>1485</v>
      </c>
      <c r="B1486" s="28" t="s">
        <v>119</v>
      </c>
      <c r="C1486" s="28" t="s">
        <v>2296</v>
      </c>
      <c r="D1486" s="438" t="s">
        <v>452</v>
      </c>
      <c r="E1486" s="361" t="str">
        <f t="shared" ca="1" si="69"/>
        <v>LOSS</v>
      </c>
      <c r="F1486" s="28"/>
      <c r="G1486" s="28" t="s">
        <v>7023</v>
      </c>
      <c r="H1486" s="28" t="s">
        <v>261</v>
      </c>
      <c r="I1486" s="361" t="s">
        <v>243</v>
      </c>
      <c r="J1486" s="28" t="s">
        <v>1656</v>
      </c>
      <c r="K1486" s="38" t="s">
        <v>7024</v>
      </c>
      <c r="L1486" s="53">
        <v>0.995</v>
      </c>
      <c r="M1486" s="27" t="s">
        <v>329</v>
      </c>
      <c r="N1486" s="29" t="s">
        <v>354</v>
      </c>
      <c r="O1486" s="56"/>
      <c r="P1486" s="61">
        <v>162000000</v>
      </c>
      <c r="Q1486" s="61"/>
      <c r="R1486" s="56"/>
      <c r="S1486" s="32">
        <v>102000014</v>
      </c>
      <c r="T1486" s="33"/>
      <c r="U1486" s="334">
        <v>45215</v>
      </c>
      <c r="V1486" s="334">
        <v>45580</v>
      </c>
      <c r="W1486" s="27" t="s">
        <v>250</v>
      </c>
      <c r="X1486" s="27"/>
      <c r="Y1486" s="34">
        <f t="shared" ca="1" si="72"/>
        <v>46290</v>
      </c>
      <c r="Z1486" s="35">
        <f t="shared" ca="1" si="71"/>
        <v>-710</v>
      </c>
      <c r="AA1486" s="27">
        <f t="shared" si="73"/>
        <v>10</v>
      </c>
      <c r="AB1486" s="27">
        <f t="shared" si="70"/>
        <v>2024</v>
      </c>
      <c r="AC1486" s="28">
        <v>4500018886</v>
      </c>
      <c r="AD1486" s="28">
        <v>1682</v>
      </c>
      <c r="AE1486" s="27">
        <v>4500021534</v>
      </c>
      <c r="AF1486" s="27" t="s">
        <v>471</v>
      </c>
      <c r="AG1486" s="29"/>
      <c r="AH1486" s="29"/>
      <c r="AI1486" s="27"/>
      <c r="AJ1486" s="27"/>
      <c r="AK1486" s="27"/>
      <c r="AL1486" s="27"/>
      <c r="AM1486" s="27"/>
      <c r="AN1486" s="27"/>
      <c r="AO1486" s="27">
        <v>294</v>
      </c>
      <c r="AP1486" s="27"/>
      <c r="AQ1486" s="27"/>
      <c r="AR1486" s="504"/>
      <c r="AS1486" s="332"/>
      <c r="AT1486" s="160"/>
    </row>
    <row r="1487" spans="1:46" ht="21.75" hidden="1" customHeight="1">
      <c r="A1487" s="331">
        <v>1486</v>
      </c>
      <c r="B1487" s="28" t="s">
        <v>119</v>
      </c>
      <c r="C1487" s="28" t="s">
        <v>2741</v>
      </c>
      <c r="D1487" s="437" t="s">
        <v>452</v>
      </c>
      <c r="E1487" s="361" t="str">
        <f t="shared" ca="1" si="69"/>
        <v>LOSS</v>
      </c>
      <c r="F1487" s="28" t="s">
        <v>7025</v>
      </c>
      <c r="G1487" s="28" t="s">
        <v>7026</v>
      </c>
      <c r="H1487" s="28" t="s">
        <v>261</v>
      </c>
      <c r="I1487" s="361" t="s">
        <v>243</v>
      </c>
      <c r="J1487" s="28" t="s">
        <v>2742</v>
      </c>
      <c r="K1487" s="38" t="s">
        <v>7027</v>
      </c>
      <c r="L1487" s="51">
        <v>0.995</v>
      </c>
      <c r="M1487" s="27" t="s">
        <v>365</v>
      </c>
      <c r="N1487" s="29" t="s">
        <v>494</v>
      </c>
      <c r="O1487" s="56"/>
      <c r="P1487" s="61">
        <v>168000000</v>
      </c>
      <c r="Q1487" s="61"/>
      <c r="R1487" s="27"/>
      <c r="S1487" s="33">
        <v>90000000</v>
      </c>
      <c r="T1487" s="33"/>
      <c r="U1487" s="334">
        <v>45292</v>
      </c>
      <c r="V1487" s="334">
        <v>45657</v>
      </c>
      <c r="W1487" s="27" t="s">
        <v>245</v>
      </c>
      <c r="X1487" s="27"/>
      <c r="Y1487" s="34">
        <f t="shared" ca="1" si="72"/>
        <v>46290</v>
      </c>
      <c r="Z1487" s="35">
        <f t="shared" ca="1" si="71"/>
        <v>-633</v>
      </c>
      <c r="AA1487" s="27">
        <f t="shared" si="73"/>
        <v>12</v>
      </c>
      <c r="AB1487" s="27">
        <f t="shared" si="70"/>
        <v>2024</v>
      </c>
      <c r="AC1487" s="28">
        <v>4500019445</v>
      </c>
      <c r="AD1487" s="28">
        <v>2102</v>
      </c>
      <c r="AE1487" s="27">
        <v>4500021835</v>
      </c>
      <c r="AF1487" s="27" t="s">
        <v>471</v>
      </c>
      <c r="AG1487" s="29"/>
      <c r="AH1487" s="29"/>
      <c r="AI1487" s="27"/>
      <c r="AJ1487" s="27"/>
      <c r="AK1487" s="27"/>
      <c r="AL1487" s="27"/>
      <c r="AM1487" s="27"/>
      <c r="AN1487" s="27"/>
      <c r="AO1487" s="27"/>
      <c r="AP1487" s="27"/>
      <c r="AQ1487" s="27"/>
      <c r="AR1487" s="504"/>
      <c r="AS1487" s="332" t="s">
        <v>7002</v>
      </c>
      <c r="AT1487" s="160"/>
    </row>
    <row r="1488" spans="1:46" ht="21.75" hidden="1" customHeight="1">
      <c r="A1488" s="331">
        <v>1487</v>
      </c>
      <c r="B1488" s="28" t="s">
        <v>119</v>
      </c>
      <c r="C1488" s="28" t="s">
        <v>7028</v>
      </c>
      <c r="D1488" s="438" t="s">
        <v>452</v>
      </c>
      <c r="E1488" s="361" t="str">
        <f t="shared" ca="1" si="69"/>
        <v>LOSS</v>
      </c>
      <c r="F1488" s="28" t="s">
        <v>7029</v>
      </c>
      <c r="G1488" s="28" t="s">
        <v>7030</v>
      </c>
      <c r="H1488" s="28" t="s">
        <v>261</v>
      </c>
      <c r="I1488" s="361" t="s">
        <v>243</v>
      </c>
      <c r="J1488" s="28" t="s">
        <v>766</v>
      </c>
      <c r="K1488" s="38" t="s">
        <v>7031</v>
      </c>
      <c r="L1488" s="51">
        <v>0.995</v>
      </c>
      <c r="M1488" s="27" t="s">
        <v>365</v>
      </c>
      <c r="N1488" s="29" t="s">
        <v>389</v>
      </c>
      <c r="O1488" s="56"/>
      <c r="P1488" s="61">
        <v>354000000</v>
      </c>
      <c r="Q1488" s="61"/>
      <c r="R1488" s="56"/>
      <c r="S1488" s="33">
        <v>180000000</v>
      </c>
      <c r="T1488" s="33"/>
      <c r="U1488" s="334">
        <v>45270</v>
      </c>
      <c r="V1488" s="334">
        <v>45635</v>
      </c>
      <c r="W1488" s="27" t="s">
        <v>250</v>
      </c>
      <c r="X1488" s="27"/>
      <c r="Y1488" s="34">
        <f t="shared" ca="1" si="72"/>
        <v>46290</v>
      </c>
      <c r="Z1488" s="35">
        <f t="shared" ca="1" si="71"/>
        <v>-655</v>
      </c>
      <c r="AA1488" s="27">
        <f t="shared" si="73"/>
        <v>12</v>
      </c>
      <c r="AB1488" s="27">
        <f t="shared" si="70"/>
        <v>2024</v>
      </c>
      <c r="AC1488" s="28">
        <v>4500019393</v>
      </c>
      <c r="AD1488" s="28">
        <v>2099</v>
      </c>
      <c r="AE1488" s="27">
        <v>4500021798</v>
      </c>
      <c r="AF1488" s="27" t="s">
        <v>471</v>
      </c>
      <c r="AG1488" s="29"/>
      <c r="AH1488" s="29"/>
      <c r="AI1488" s="27"/>
      <c r="AJ1488" s="27"/>
      <c r="AK1488" s="27"/>
      <c r="AL1488" s="27"/>
      <c r="AM1488" s="27"/>
      <c r="AN1488" s="27"/>
      <c r="AO1488" s="27"/>
      <c r="AP1488" s="27"/>
      <c r="AQ1488" s="27"/>
      <c r="AR1488" s="504"/>
      <c r="AS1488" s="332"/>
      <c r="AT1488" s="160"/>
    </row>
    <row r="1489" spans="1:46" ht="21.75" hidden="1" customHeight="1">
      <c r="A1489" s="331">
        <v>1488</v>
      </c>
      <c r="B1489" s="28" t="s">
        <v>119</v>
      </c>
      <c r="C1489" s="28" t="s">
        <v>7032</v>
      </c>
      <c r="D1489" s="437" t="s">
        <v>452</v>
      </c>
      <c r="E1489" s="361" t="str">
        <f t="shared" ca="1" si="69"/>
        <v>LOSS</v>
      </c>
      <c r="F1489" s="27" t="s">
        <v>7033</v>
      </c>
      <c r="G1489" s="28" t="s">
        <v>7034</v>
      </c>
      <c r="H1489" s="28" t="s">
        <v>261</v>
      </c>
      <c r="I1489" s="361" t="s">
        <v>243</v>
      </c>
      <c r="J1489" s="28" t="s">
        <v>1536</v>
      </c>
      <c r="K1489" s="38" t="s">
        <v>7035</v>
      </c>
      <c r="L1489" s="51">
        <v>0.995</v>
      </c>
      <c r="M1489" s="27" t="s">
        <v>365</v>
      </c>
      <c r="N1489" s="29" t="s">
        <v>362</v>
      </c>
      <c r="O1489" s="56"/>
      <c r="P1489" s="61">
        <v>378000000</v>
      </c>
      <c r="Q1489" s="61"/>
      <c r="R1489" s="27"/>
      <c r="S1489" s="33">
        <v>120000000</v>
      </c>
      <c r="T1489" s="33"/>
      <c r="U1489" s="334">
        <v>45292</v>
      </c>
      <c r="V1489" s="334">
        <v>45657</v>
      </c>
      <c r="W1489" s="27" t="s">
        <v>250</v>
      </c>
      <c r="X1489" s="27"/>
      <c r="Y1489" s="34">
        <f t="shared" ca="1" si="72"/>
        <v>46290</v>
      </c>
      <c r="Z1489" s="35">
        <f t="shared" ca="1" si="71"/>
        <v>-633</v>
      </c>
      <c r="AA1489" s="27">
        <f t="shared" si="73"/>
        <v>12</v>
      </c>
      <c r="AB1489" s="27">
        <f t="shared" si="70"/>
        <v>2024</v>
      </c>
      <c r="AC1489" s="28">
        <v>4500019389</v>
      </c>
      <c r="AD1489" s="28" t="s">
        <v>7036</v>
      </c>
      <c r="AE1489" s="27">
        <v>4500021837</v>
      </c>
      <c r="AF1489" s="27" t="s">
        <v>471</v>
      </c>
      <c r="AG1489" s="29"/>
      <c r="AH1489" s="29"/>
      <c r="AI1489" s="27"/>
      <c r="AJ1489" s="27"/>
      <c r="AK1489" s="27"/>
      <c r="AL1489" s="27"/>
      <c r="AM1489" s="27"/>
      <c r="AN1489" s="27"/>
      <c r="AO1489" s="27"/>
      <c r="AP1489" s="27"/>
      <c r="AQ1489" s="27"/>
      <c r="AR1489" s="504"/>
      <c r="AS1489" s="332" t="s">
        <v>7002</v>
      </c>
      <c r="AT1489" s="160"/>
    </row>
    <row r="1490" spans="1:46" ht="21.75" hidden="1" customHeight="1">
      <c r="A1490" s="331">
        <v>1489</v>
      </c>
      <c r="B1490" s="28" t="s">
        <v>321</v>
      </c>
      <c r="C1490" s="28" t="s">
        <v>7037</v>
      </c>
      <c r="D1490" s="438" t="s">
        <v>323</v>
      </c>
      <c r="E1490" s="361" t="str">
        <f t="shared" ca="1" si="69"/>
        <v>LOSS</v>
      </c>
      <c r="F1490" s="28"/>
      <c r="G1490" s="28"/>
      <c r="H1490" s="28" t="s">
        <v>261</v>
      </c>
      <c r="I1490" s="361" t="s">
        <v>243</v>
      </c>
      <c r="J1490" s="28" t="s">
        <v>7038</v>
      </c>
      <c r="K1490" s="38" t="s">
        <v>7039</v>
      </c>
      <c r="L1490" s="60">
        <v>0.999</v>
      </c>
      <c r="M1490" s="27" t="s">
        <v>329</v>
      </c>
      <c r="N1490" s="27" t="s">
        <v>6885</v>
      </c>
      <c r="O1490" s="56"/>
      <c r="P1490" s="52">
        <v>87480000</v>
      </c>
      <c r="Q1490" s="52"/>
      <c r="R1490" s="27"/>
      <c r="S1490" s="32">
        <v>74400000</v>
      </c>
      <c r="T1490" s="33"/>
      <c r="U1490" s="334">
        <v>44927</v>
      </c>
      <c r="V1490" s="334">
        <v>45291</v>
      </c>
      <c r="W1490" s="27" t="s">
        <v>245</v>
      </c>
      <c r="X1490" s="27"/>
      <c r="Y1490" s="34">
        <f t="shared" ca="1" si="72"/>
        <v>46290</v>
      </c>
      <c r="Z1490" s="35">
        <f t="shared" ca="1" si="71"/>
        <v>-999</v>
      </c>
      <c r="AA1490" s="27">
        <f t="shared" si="73"/>
        <v>12</v>
      </c>
      <c r="AB1490" s="27">
        <f t="shared" si="70"/>
        <v>2023</v>
      </c>
      <c r="AC1490" s="28">
        <v>4500019430</v>
      </c>
      <c r="AD1490" s="28">
        <v>20889</v>
      </c>
      <c r="AE1490" s="27">
        <v>4500019778</v>
      </c>
      <c r="AF1490" s="27" t="s">
        <v>471</v>
      </c>
      <c r="AG1490" s="29"/>
      <c r="AH1490" s="29"/>
      <c r="AI1490" s="27"/>
      <c r="AJ1490" s="27"/>
      <c r="AK1490" s="27"/>
      <c r="AL1490" s="27"/>
      <c r="AM1490" s="27"/>
      <c r="AN1490" s="27"/>
      <c r="AO1490" s="27">
        <v>107</v>
      </c>
      <c r="AP1490" s="27"/>
      <c r="AQ1490" s="27"/>
      <c r="AR1490" s="504"/>
      <c r="AS1490" s="332"/>
      <c r="AT1490" s="160"/>
    </row>
    <row r="1491" spans="1:46" ht="21.75" hidden="1" customHeight="1">
      <c r="A1491" s="331">
        <v>1490</v>
      </c>
      <c r="B1491" s="28" t="s">
        <v>1160</v>
      </c>
      <c r="C1491" s="28" t="s">
        <v>7040</v>
      </c>
      <c r="D1491" s="437" t="s">
        <v>7041</v>
      </c>
      <c r="E1491" s="361" t="str">
        <f t="shared" ca="1" si="69"/>
        <v>LOSS</v>
      </c>
      <c r="F1491" s="27" t="s">
        <v>7042</v>
      </c>
      <c r="G1491" s="28" t="s">
        <v>7043</v>
      </c>
      <c r="H1491" s="28" t="s">
        <v>261</v>
      </c>
      <c r="I1491" s="361" t="s">
        <v>243</v>
      </c>
      <c r="J1491" s="28" t="s">
        <v>7044</v>
      </c>
      <c r="K1491" s="28"/>
      <c r="L1491" s="27"/>
      <c r="M1491" s="27" t="s">
        <v>329</v>
      </c>
      <c r="N1491" s="29" t="s">
        <v>6885</v>
      </c>
      <c r="O1491" s="56"/>
      <c r="P1491" s="52">
        <v>27000000</v>
      </c>
      <c r="Q1491" s="52"/>
      <c r="R1491" s="27"/>
      <c r="S1491" s="33">
        <v>18000000</v>
      </c>
      <c r="T1491" s="33"/>
      <c r="U1491" s="334">
        <v>44501</v>
      </c>
      <c r="V1491" s="334">
        <v>44865</v>
      </c>
      <c r="W1491" s="27" t="s">
        <v>245</v>
      </c>
      <c r="X1491" s="27"/>
      <c r="Y1491" s="34">
        <f t="shared" ca="1" si="72"/>
        <v>46290</v>
      </c>
      <c r="Z1491" s="35">
        <f t="shared" ca="1" si="71"/>
        <v>-1425</v>
      </c>
      <c r="AA1491" s="27">
        <f t="shared" si="73"/>
        <v>10</v>
      </c>
      <c r="AB1491" s="27">
        <f t="shared" si="70"/>
        <v>2022</v>
      </c>
      <c r="AC1491" s="28">
        <v>4500015208</v>
      </c>
      <c r="AD1491" s="28"/>
      <c r="AE1491" s="27">
        <v>4500016841</v>
      </c>
      <c r="AF1491" s="27" t="s">
        <v>471</v>
      </c>
      <c r="AG1491" s="29"/>
      <c r="AH1491" s="29"/>
      <c r="AI1491" s="27"/>
      <c r="AJ1491" s="27"/>
      <c r="AK1491" s="27"/>
      <c r="AL1491" s="27"/>
      <c r="AM1491" s="27"/>
      <c r="AN1491" s="27"/>
      <c r="AO1491" s="27">
        <v>314</v>
      </c>
      <c r="AP1491" s="27"/>
      <c r="AQ1491" s="27"/>
      <c r="AR1491" s="504"/>
      <c r="AS1491" s="332" t="s">
        <v>7045</v>
      </c>
      <c r="AT1491" s="160"/>
    </row>
    <row r="1492" spans="1:46" ht="21.75" hidden="1" customHeight="1">
      <c r="A1492" s="331">
        <v>1491</v>
      </c>
      <c r="B1492" s="28" t="s">
        <v>7046</v>
      </c>
      <c r="C1492" s="28" t="s">
        <v>2712</v>
      </c>
      <c r="D1492" s="438" t="s">
        <v>7047</v>
      </c>
      <c r="E1492" s="361" t="str">
        <f t="shared" ca="1" si="69"/>
        <v>LOSS</v>
      </c>
      <c r="F1492" s="28"/>
      <c r="G1492" s="28" t="s">
        <v>7048</v>
      </c>
      <c r="H1492" s="28" t="s">
        <v>261</v>
      </c>
      <c r="I1492" s="361" t="s">
        <v>243</v>
      </c>
      <c r="J1492" s="28" t="s">
        <v>2384</v>
      </c>
      <c r="K1492" s="38" t="s">
        <v>7049</v>
      </c>
      <c r="L1492" s="53">
        <v>0.995</v>
      </c>
      <c r="M1492" s="27" t="s">
        <v>329</v>
      </c>
      <c r="N1492" s="29" t="s">
        <v>6897</v>
      </c>
      <c r="O1492" s="56"/>
      <c r="P1492" s="52">
        <v>45818184</v>
      </c>
      <c r="Q1492" s="52"/>
      <c r="R1492" s="27"/>
      <c r="S1492" s="32">
        <v>60000000</v>
      </c>
      <c r="T1492" s="33"/>
      <c r="U1492" s="334">
        <v>44825</v>
      </c>
      <c r="V1492" s="334">
        <v>45189</v>
      </c>
      <c r="W1492" s="27" t="s">
        <v>245</v>
      </c>
      <c r="X1492" s="27"/>
      <c r="Y1492" s="34">
        <f t="shared" ca="1" si="72"/>
        <v>46290</v>
      </c>
      <c r="Z1492" s="35">
        <f t="shared" ca="1" si="71"/>
        <v>-1101</v>
      </c>
      <c r="AA1492" s="27">
        <f t="shared" si="73"/>
        <v>9</v>
      </c>
      <c r="AB1492" s="27">
        <f t="shared" si="70"/>
        <v>2023</v>
      </c>
      <c r="AC1492" s="28">
        <v>4500016774</v>
      </c>
      <c r="AD1492" s="28">
        <v>19743</v>
      </c>
      <c r="AE1492" s="27">
        <v>4500018820</v>
      </c>
      <c r="AF1492" s="27" t="s">
        <v>471</v>
      </c>
      <c r="AG1492" s="29"/>
      <c r="AH1492" s="29"/>
      <c r="AI1492" s="27"/>
      <c r="AJ1492" s="27"/>
      <c r="AK1492" s="27"/>
      <c r="AL1492" s="27"/>
      <c r="AM1492" s="27"/>
      <c r="AN1492" s="27"/>
      <c r="AO1492" s="27">
        <v>299</v>
      </c>
      <c r="AP1492" s="27"/>
      <c r="AQ1492" s="27"/>
      <c r="AR1492" s="504"/>
      <c r="AS1492" s="332"/>
      <c r="AT1492" s="160"/>
    </row>
    <row r="1493" spans="1:46" ht="21.75" hidden="1" customHeight="1">
      <c r="A1493" s="331">
        <v>1492</v>
      </c>
      <c r="B1493" s="28" t="s">
        <v>7050</v>
      </c>
      <c r="C1493" s="28" t="s">
        <v>7051</v>
      </c>
      <c r="D1493" s="437" t="s">
        <v>7052</v>
      </c>
      <c r="E1493" s="361" t="str">
        <f t="shared" ca="1" si="69"/>
        <v>LOSS</v>
      </c>
      <c r="F1493" s="27"/>
      <c r="G1493" s="28" t="s">
        <v>7053</v>
      </c>
      <c r="H1493" s="28" t="s">
        <v>261</v>
      </c>
      <c r="I1493" s="361" t="s">
        <v>243</v>
      </c>
      <c r="J1493" s="28" t="s">
        <v>7054</v>
      </c>
      <c r="K1493" s="38" t="s">
        <v>7055</v>
      </c>
      <c r="L1493" s="62">
        <v>0.99</v>
      </c>
      <c r="M1493" s="27" t="s">
        <v>329</v>
      </c>
      <c r="N1493" s="29" t="s">
        <v>6835</v>
      </c>
      <c r="O1493" s="56"/>
      <c r="P1493" s="52"/>
      <c r="Q1493" s="52"/>
      <c r="R1493" s="27"/>
      <c r="S1493" s="33">
        <v>4050000</v>
      </c>
      <c r="T1493" s="33"/>
      <c r="U1493" s="334">
        <v>44470</v>
      </c>
      <c r="V1493" s="334">
        <v>44561</v>
      </c>
      <c r="W1493" s="27" t="s">
        <v>245</v>
      </c>
      <c r="X1493" s="27"/>
      <c r="Y1493" s="34">
        <f t="shared" ca="1" si="72"/>
        <v>46290</v>
      </c>
      <c r="Z1493" s="35">
        <f t="shared" ca="1" si="71"/>
        <v>-1729</v>
      </c>
      <c r="AA1493" s="27">
        <f t="shared" si="73"/>
        <v>12</v>
      </c>
      <c r="AB1493" s="27">
        <f t="shared" si="70"/>
        <v>2021</v>
      </c>
      <c r="AC1493" s="28"/>
      <c r="AD1493" s="28">
        <v>17432</v>
      </c>
      <c r="AE1493" s="27">
        <v>4500017292</v>
      </c>
      <c r="AF1493" s="27" t="s">
        <v>471</v>
      </c>
      <c r="AG1493" s="29"/>
      <c r="AH1493" s="29"/>
      <c r="AI1493" s="27"/>
      <c r="AJ1493" s="27"/>
      <c r="AK1493" s="27"/>
      <c r="AL1493" s="27"/>
      <c r="AM1493" s="27"/>
      <c r="AN1493" s="27"/>
      <c r="AO1493" s="27"/>
      <c r="AP1493" s="27"/>
      <c r="AQ1493" s="27"/>
      <c r="AR1493" s="504"/>
      <c r="AS1493" s="332" t="s">
        <v>7056</v>
      </c>
      <c r="AT1493" s="160"/>
    </row>
    <row r="1494" spans="1:46" ht="21.75" hidden="1" customHeight="1">
      <c r="A1494" s="331">
        <v>1493</v>
      </c>
      <c r="B1494" s="28" t="s">
        <v>7050</v>
      </c>
      <c r="C1494" s="28" t="s">
        <v>7051</v>
      </c>
      <c r="D1494" s="438" t="s">
        <v>7052</v>
      </c>
      <c r="E1494" s="361" t="str">
        <f t="shared" ca="1" si="69"/>
        <v>LOSS</v>
      </c>
      <c r="F1494" s="27"/>
      <c r="G1494" s="28" t="s">
        <v>7057</v>
      </c>
      <c r="H1494" s="28" t="s">
        <v>261</v>
      </c>
      <c r="I1494" s="361" t="s">
        <v>243</v>
      </c>
      <c r="J1494" s="28" t="s">
        <v>7058</v>
      </c>
      <c r="K1494" s="38" t="s">
        <v>7059</v>
      </c>
      <c r="L1494" s="62">
        <v>0.99</v>
      </c>
      <c r="M1494" s="27" t="s">
        <v>329</v>
      </c>
      <c r="N1494" s="29" t="s">
        <v>6835</v>
      </c>
      <c r="O1494" s="56"/>
      <c r="P1494" s="52"/>
      <c r="Q1494" s="52"/>
      <c r="R1494" s="27"/>
      <c r="S1494" s="33">
        <v>4050000</v>
      </c>
      <c r="T1494" s="33"/>
      <c r="U1494" s="334">
        <v>44470</v>
      </c>
      <c r="V1494" s="334">
        <v>44561</v>
      </c>
      <c r="W1494" s="27" t="s">
        <v>245</v>
      </c>
      <c r="X1494" s="27"/>
      <c r="Y1494" s="34">
        <f t="shared" ca="1" si="72"/>
        <v>46290</v>
      </c>
      <c r="Z1494" s="35">
        <f t="shared" ca="1" si="71"/>
        <v>-1729</v>
      </c>
      <c r="AA1494" s="27">
        <f t="shared" si="73"/>
        <v>12</v>
      </c>
      <c r="AB1494" s="27">
        <f t="shared" si="70"/>
        <v>2021</v>
      </c>
      <c r="AC1494" s="28"/>
      <c r="AD1494" s="28">
        <v>17431</v>
      </c>
      <c r="AE1494" s="27">
        <v>4500017291</v>
      </c>
      <c r="AF1494" s="27" t="s">
        <v>471</v>
      </c>
      <c r="AG1494" s="29"/>
      <c r="AH1494" s="29"/>
      <c r="AI1494" s="27"/>
      <c r="AJ1494" s="27"/>
      <c r="AK1494" s="27"/>
      <c r="AL1494" s="27"/>
      <c r="AM1494" s="27"/>
      <c r="AN1494" s="27"/>
      <c r="AO1494" s="27"/>
      <c r="AP1494" s="27"/>
      <c r="AQ1494" s="27"/>
      <c r="AR1494" s="504"/>
      <c r="AS1494" s="332" t="s">
        <v>7056</v>
      </c>
      <c r="AT1494" s="160"/>
    </row>
    <row r="1495" spans="1:46" ht="21.75" hidden="1" customHeight="1">
      <c r="A1495" s="331">
        <v>1494</v>
      </c>
      <c r="B1495" s="159" t="s">
        <v>1744</v>
      </c>
      <c r="C1495" s="28" t="s">
        <v>7060</v>
      </c>
      <c r="D1495" s="437" t="s">
        <v>7061</v>
      </c>
      <c r="E1495" s="361" t="str">
        <f t="shared" ca="1" si="69"/>
        <v>LOSS</v>
      </c>
      <c r="F1495" s="28"/>
      <c r="G1495" s="28" t="s">
        <v>7062</v>
      </c>
      <c r="H1495" s="28" t="s">
        <v>261</v>
      </c>
      <c r="I1495" s="361" t="s">
        <v>243</v>
      </c>
      <c r="J1495" s="28" t="s">
        <v>7063</v>
      </c>
      <c r="K1495" s="38" t="s">
        <v>7064</v>
      </c>
      <c r="L1495" s="51">
        <v>0.995</v>
      </c>
      <c r="M1495" s="27" t="s">
        <v>7065</v>
      </c>
      <c r="N1495" s="29" t="s">
        <v>7066</v>
      </c>
      <c r="O1495" s="56"/>
      <c r="P1495" s="52">
        <v>84000000</v>
      </c>
      <c r="Q1495" s="52"/>
      <c r="R1495" s="56"/>
      <c r="S1495" s="32">
        <v>54000000</v>
      </c>
      <c r="T1495" s="33"/>
      <c r="U1495" s="334">
        <v>45275</v>
      </c>
      <c r="V1495" s="334">
        <v>45640</v>
      </c>
      <c r="W1495" s="27" t="s">
        <v>250</v>
      </c>
      <c r="X1495" s="27"/>
      <c r="Y1495" s="34">
        <f t="shared" ca="1" si="72"/>
        <v>46290</v>
      </c>
      <c r="Z1495" s="35">
        <f t="shared" ca="1" si="71"/>
        <v>-650</v>
      </c>
      <c r="AA1495" s="27">
        <f t="shared" si="73"/>
        <v>12</v>
      </c>
      <c r="AB1495" s="27">
        <f t="shared" si="70"/>
        <v>2024</v>
      </c>
      <c r="AC1495" s="28">
        <v>4500019209</v>
      </c>
      <c r="AD1495" s="28" t="s">
        <v>7067</v>
      </c>
      <c r="AE1495" s="27">
        <v>4500021797</v>
      </c>
      <c r="AF1495" s="27" t="s">
        <v>471</v>
      </c>
      <c r="AG1495" s="29" t="s">
        <v>7068</v>
      </c>
      <c r="AH1495" s="29" t="s">
        <v>7069</v>
      </c>
      <c r="AI1495" s="27"/>
      <c r="AJ1495" s="27"/>
      <c r="AK1495" s="27"/>
      <c r="AL1495" s="27"/>
      <c r="AM1495" s="27"/>
      <c r="AN1495" s="27">
        <v>368</v>
      </c>
      <c r="AO1495" s="27">
        <v>407</v>
      </c>
      <c r="AP1495" s="27"/>
      <c r="AQ1495" s="27"/>
      <c r="AR1495" s="504"/>
      <c r="AS1495" s="332"/>
      <c r="AT1495" s="160"/>
    </row>
    <row r="1496" spans="1:46" ht="21.75" hidden="1" customHeight="1">
      <c r="A1496" s="331">
        <v>1495</v>
      </c>
      <c r="B1496" s="28" t="s">
        <v>1618</v>
      </c>
      <c r="C1496" s="28" t="s">
        <v>1619</v>
      </c>
      <c r="D1496" s="438" t="s">
        <v>1620</v>
      </c>
      <c r="E1496" s="361" t="str">
        <f t="shared" ca="1" si="69"/>
        <v>LOSS</v>
      </c>
      <c r="F1496" s="29" t="s">
        <v>7070</v>
      </c>
      <c r="G1496" s="28" t="s">
        <v>7071</v>
      </c>
      <c r="H1496" s="28" t="s">
        <v>261</v>
      </c>
      <c r="I1496" s="361" t="s">
        <v>243</v>
      </c>
      <c r="J1496" s="28" t="s">
        <v>7072</v>
      </c>
      <c r="K1496" s="38" t="s">
        <v>7073</v>
      </c>
      <c r="L1496" s="60">
        <v>0.995</v>
      </c>
      <c r="M1496" s="27" t="s">
        <v>365</v>
      </c>
      <c r="N1496" s="29" t="s">
        <v>6649</v>
      </c>
      <c r="O1496" s="56"/>
      <c r="P1496" s="52">
        <v>72000000</v>
      </c>
      <c r="Q1496" s="52"/>
      <c r="R1496" s="56"/>
      <c r="S1496" s="32">
        <f>3000000*12</f>
        <v>36000000</v>
      </c>
      <c r="T1496" s="33"/>
      <c r="U1496" s="334">
        <v>45432</v>
      </c>
      <c r="V1496" s="334">
        <v>45796</v>
      </c>
      <c r="W1496" s="27" t="s">
        <v>250</v>
      </c>
      <c r="X1496" s="27"/>
      <c r="Y1496" s="34">
        <f t="shared" ca="1" si="72"/>
        <v>46290</v>
      </c>
      <c r="Z1496" s="35">
        <f t="shared" ca="1" si="71"/>
        <v>-494</v>
      </c>
      <c r="AA1496" s="27">
        <f t="shared" si="73"/>
        <v>5</v>
      </c>
      <c r="AB1496" s="27">
        <f t="shared" si="70"/>
        <v>2025</v>
      </c>
      <c r="AC1496" s="28">
        <v>4500020480</v>
      </c>
      <c r="AD1496" s="28" t="s">
        <v>7074</v>
      </c>
      <c r="AE1496" s="27">
        <v>4500022241</v>
      </c>
      <c r="AF1496" s="27" t="s">
        <v>471</v>
      </c>
      <c r="AG1496" s="29" t="s">
        <v>7075</v>
      </c>
      <c r="AH1496" s="29" t="s">
        <v>7076</v>
      </c>
      <c r="AI1496" s="27"/>
      <c r="AJ1496" s="27"/>
      <c r="AK1496" s="27"/>
      <c r="AL1496" s="27"/>
      <c r="AM1496" s="27"/>
      <c r="AN1496" s="27"/>
      <c r="AO1496" s="27"/>
      <c r="AP1496" s="27" t="s">
        <v>7077</v>
      </c>
      <c r="AQ1496" s="27"/>
      <c r="AR1496" s="504"/>
      <c r="AS1496" s="332"/>
      <c r="AT1496" s="160"/>
    </row>
    <row r="1497" spans="1:46" ht="21.75" hidden="1" customHeight="1">
      <c r="A1497" s="331">
        <v>1496</v>
      </c>
      <c r="B1497" s="28" t="s">
        <v>7078</v>
      </c>
      <c r="C1497" s="28" t="s">
        <v>7079</v>
      </c>
      <c r="D1497" s="437" t="s">
        <v>1701</v>
      </c>
      <c r="E1497" s="361" t="str">
        <f t="shared" ca="1" si="69"/>
        <v>LOSS</v>
      </c>
      <c r="F1497" s="27" t="s">
        <v>7080</v>
      </c>
      <c r="G1497" s="28" t="s">
        <v>7081</v>
      </c>
      <c r="H1497" s="28" t="s">
        <v>261</v>
      </c>
      <c r="I1497" s="361" t="s">
        <v>243</v>
      </c>
      <c r="J1497" s="28" t="s">
        <v>7082</v>
      </c>
      <c r="K1497" s="28" t="s">
        <v>7083</v>
      </c>
      <c r="L1497" s="27"/>
      <c r="M1497" s="27" t="s">
        <v>7084</v>
      </c>
      <c r="N1497" s="29" t="s">
        <v>389</v>
      </c>
      <c r="O1497" s="56"/>
      <c r="P1497" s="61">
        <v>265200000</v>
      </c>
      <c r="Q1497" s="61"/>
      <c r="R1497" s="27"/>
      <c r="S1497" s="33">
        <v>225000000</v>
      </c>
      <c r="T1497" s="33"/>
      <c r="U1497" s="334">
        <v>44378</v>
      </c>
      <c r="V1497" s="334">
        <v>44651</v>
      </c>
      <c r="W1497" s="27" t="s">
        <v>245</v>
      </c>
      <c r="X1497" s="27"/>
      <c r="Y1497" s="34">
        <f t="shared" ca="1" si="72"/>
        <v>46290</v>
      </c>
      <c r="Z1497" s="35">
        <f t="shared" ca="1" si="71"/>
        <v>-1639</v>
      </c>
      <c r="AA1497" s="27">
        <f t="shared" si="73"/>
        <v>3</v>
      </c>
      <c r="AB1497" s="27">
        <f t="shared" si="70"/>
        <v>2022</v>
      </c>
      <c r="AC1497" s="28">
        <v>4500014943</v>
      </c>
      <c r="AD1497" s="28">
        <v>16173</v>
      </c>
      <c r="AE1497" s="27">
        <v>4500016471</v>
      </c>
      <c r="AF1497" s="27" t="s">
        <v>471</v>
      </c>
      <c r="AG1497" s="29"/>
      <c r="AH1497" s="29"/>
      <c r="AI1497" s="27"/>
      <c r="AJ1497" s="27"/>
      <c r="AK1497" s="27"/>
      <c r="AL1497" s="27"/>
      <c r="AM1497" s="27"/>
      <c r="AN1497" s="27"/>
      <c r="AO1497" s="27">
        <v>231</v>
      </c>
      <c r="AP1497" s="27"/>
      <c r="AQ1497" s="27"/>
      <c r="AR1497" s="504"/>
      <c r="AS1497" s="332"/>
      <c r="AT1497" s="160"/>
    </row>
    <row r="1498" spans="1:46" ht="21.75" hidden="1" customHeight="1">
      <c r="A1498" s="331">
        <v>1497</v>
      </c>
      <c r="B1498" s="28" t="s">
        <v>7078</v>
      </c>
      <c r="C1498" s="28" t="s">
        <v>7085</v>
      </c>
      <c r="D1498" s="438" t="s">
        <v>1701</v>
      </c>
      <c r="E1498" s="361" t="str">
        <f t="shared" ca="1" si="69"/>
        <v>LOSS</v>
      </c>
      <c r="F1498" s="27" t="s">
        <v>7080</v>
      </c>
      <c r="G1498" s="28" t="s">
        <v>7086</v>
      </c>
      <c r="H1498" s="28" t="s">
        <v>261</v>
      </c>
      <c r="I1498" s="361" t="s">
        <v>243</v>
      </c>
      <c r="J1498" s="28"/>
      <c r="K1498" s="28" t="s">
        <v>7087</v>
      </c>
      <c r="L1498" s="27"/>
      <c r="M1498" s="27" t="s">
        <v>7084</v>
      </c>
      <c r="N1498" s="29" t="s">
        <v>7088</v>
      </c>
      <c r="O1498" s="56"/>
      <c r="P1498" s="52"/>
      <c r="Q1498" s="52"/>
      <c r="R1498" s="27"/>
      <c r="S1498" s="33">
        <v>225000000</v>
      </c>
      <c r="T1498" s="33"/>
      <c r="U1498" s="334">
        <v>44378</v>
      </c>
      <c r="V1498" s="334">
        <v>44651</v>
      </c>
      <c r="W1498" s="27" t="s">
        <v>245</v>
      </c>
      <c r="X1498" s="27"/>
      <c r="Y1498" s="34">
        <f t="shared" ca="1" si="72"/>
        <v>46290</v>
      </c>
      <c r="Z1498" s="35">
        <f t="shared" ca="1" si="71"/>
        <v>-1639</v>
      </c>
      <c r="AA1498" s="27">
        <f t="shared" si="73"/>
        <v>3</v>
      </c>
      <c r="AB1498" s="27">
        <f t="shared" si="70"/>
        <v>2022</v>
      </c>
      <c r="AC1498" s="28"/>
      <c r="AD1498" s="28">
        <v>16173</v>
      </c>
      <c r="AE1498" s="27">
        <v>4500016471</v>
      </c>
      <c r="AF1498" s="27" t="s">
        <v>471</v>
      </c>
      <c r="AG1498" s="29"/>
      <c r="AH1498" s="29"/>
      <c r="AI1498" s="27"/>
      <c r="AJ1498" s="27"/>
      <c r="AK1498" s="27"/>
      <c r="AL1498" s="27"/>
      <c r="AM1498" s="27"/>
      <c r="AN1498" s="27"/>
      <c r="AO1498" s="27">
        <v>231</v>
      </c>
      <c r="AP1498" s="27"/>
      <c r="AQ1498" s="27"/>
      <c r="AR1498" s="504"/>
      <c r="AS1498" s="332"/>
      <c r="AT1498" s="160"/>
    </row>
    <row r="1499" spans="1:46" ht="21.75" hidden="1" customHeight="1">
      <c r="A1499" s="331">
        <v>1498</v>
      </c>
      <c r="B1499" s="28" t="s">
        <v>7078</v>
      </c>
      <c r="C1499" s="28" t="s">
        <v>1327</v>
      </c>
      <c r="D1499" s="437" t="s">
        <v>7089</v>
      </c>
      <c r="E1499" s="361" t="str">
        <f t="shared" ca="1" si="69"/>
        <v>LOSS</v>
      </c>
      <c r="F1499" s="27"/>
      <c r="G1499" s="28"/>
      <c r="H1499" s="28" t="s">
        <v>261</v>
      </c>
      <c r="I1499" s="361" t="s">
        <v>243</v>
      </c>
      <c r="J1499" s="28" t="s">
        <v>1329</v>
      </c>
      <c r="K1499" s="38" t="s">
        <v>7090</v>
      </c>
      <c r="L1499" s="62">
        <v>0.995</v>
      </c>
      <c r="M1499" s="27" t="s">
        <v>7091</v>
      </c>
      <c r="N1499" s="29" t="s">
        <v>6762</v>
      </c>
      <c r="O1499" s="56"/>
      <c r="P1499" s="52">
        <v>54545454</v>
      </c>
      <c r="Q1499" s="52"/>
      <c r="R1499" s="27"/>
      <c r="S1499" s="33">
        <v>608240000</v>
      </c>
      <c r="T1499" s="33"/>
      <c r="U1499" s="334">
        <v>44562</v>
      </c>
      <c r="V1499" s="334">
        <v>44620</v>
      </c>
      <c r="W1499" s="27" t="s">
        <v>245</v>
      </c>
      <c r="X1499" s="27"/>
      <c r="Y1499" s="34">
        <f t="shared" ca="1" si="72"/>
        <v>46290</v>
      </c>
      <c r="Z1499" s="35">
        <f t="shared" ca="1" si="71"/>
        <v>-1670</v>
      </c>
      <c r="AA1499" s="27">
        <f t="shared" si="73"/>
        <v>2</v>
      </c>
      <c r="AB1499" s="27">
        <f t="shared" si="70"/>
        <v>2022</v>
      </c>
      <c r="AC1499" s="28"/>
      <c r="AD1499" s="28">
        <v>17601</v>
      </c>
      <c r="AE1499" s="27">
        <v>4500017488</v>
      </c>
      <c r="AF1499" s="27" t="s">
        <v>471</v>
      </c>
      <c r="AG1499" s="29"/>
      <c r="AH1499" s="29"/>
      <c r="AI1499" s="27"/>
      <c r="AJ1499" s="27"/>
      <c r="AK1499" s="27"/>
      <c r="AL1499" s="27"/>
      <c r="AM1499" s="27"/>
      <c r="AN1499" s="27"/>
      <c r="AO1499" s="27">
        <v>51</v>
      </c>
      <c r="AP1499" s="27"/>
      <c r="AQ1499" s="27"/>
      <c r="AR1499" s="504"/>
      <c r="AS1499" s="332" t="s">
        <v>6950</v>
      </c>
      <c r="AT1499" s="160"/>
    </row>
    <row r="1500" spans="1:46" ht="21.75" hidden="1" customHeight="1">
      <c r="A1500" s="331">
        <v>1499</v>
      </c>
      <c r="B1500" s="28" t="s">
        <v>7092</v>
      </c>
      <c r="C1500" s="28" t="s">
        <v>7093</v>
      </c>
      <c r="D1500" s="438" t="s">
        <v>7089</v>
      </c>
      <c r="E1500" s="361" t="str">
        <f t="shared" ca="1" si="69"/>
        <v>LOSS</v>
      </c>
      <c r="F1500" s="28" t="s">
        <v>115</v>
      </c>
      <c r="G1500" s="28" t="s">
        <v>7094</v>
      </c>
      <c r="H1500" s="28" t="s">
        <v>261</v>
      </c>
      <c r="I1500" s="361" t="s">
        <v>243</v>
      </c>
      <c r="J1500" s="28" t="s">
        <v>7095</v>
      </c>
      <c r="K1500" s="38" t="s">
        <v>7096</v>
      </c>
      <c r="L1500" s="53">
        <v>0.995</v>
      </c>
      <c r="M1500" s="27" t="s">
        <v>365</v>
      </c>
      <c r="N1500" s="29" t="s">
        <v>494</v>
      </c>
      <c r="O1500" s="56"/>
      <c r="P1500" s="52">
        <f>10500000*12</f>
        <v>126000000</v>
      </c>
      <c r="Q1500" s="52"/>
      <c r="R1500" s="56"/>
      <c r="S1500" s="32">
        <v>92400000</v>
      </c>
      <c r="T1500" s="33"/>
      <c r="U1500" s="334">
        <v>45463</v>
      </c>
      <c r="V1500" s="334">
        <v>45827</v>
      </c>
      <c r="W1500" s="27" t="s">
        <v>250</v>
      </c>
      <c r="X1500" s="27"/>
      <c r="Y1500" s="34">
        <f t="shared" ca="1" si="72"/>
        <v>46290</v>
      </c>
      <c r="Z1500" s="35">
        <f t="shared" ca="1" si="71"/>
        <v>-463</v>
      </c>
      <c r="AA1500" s="27">
        <f t="shared" si="73"/>
        <v>6</v>
      </c>
      <c r="AB1500" s="27">
        <f t="shared" si="70"/>
        <v>2025</v>
      </c>
      <c r="AC1500" s="28">
        <v>4500018070</v>
      </c>
      <c r="AD1500" s="28" t="s">
        <v>7097</v>
      </c>
      <c r="AE1500" s="27">
        <v>4500022572</v>
      </c>
      <c r="AF1500" s="27" t="s">
        <v>471</v>
      </c>
      <c r="AG1500" s="29" t="s">
        <v>7098</v>
      </c>
      <c r="AH1500" s="29" t="s">
        <v>7099</v>
      </c>
      <c r="AI1500" s="27"/>
      <c r="AJ1500" s="27"/>
      <c r="AK1500" s="27"/>
      <c r="AL1500" s="27"/>
      <c r="AM1500" s="27"/>
      <c r="AN1500" s="27"/>
      <c r="AO1500" s="27">
        <v>135</v>
      </c>
      <c r="AP1500" s="27">
        <v>133</v>
      </c>
      <c r="AQ1500" s="27"/>
      <c r="AR1500" s="504"/>
      <c r="AS1500" s="332"/>
      <c r="AT1500" s="160"/>
    </row>
    <row r="1501" spans="1:46" ht="21.75" hidden="1" customHeight="1">
      <c r="A1501" s="331">
        <v>1500</v>
      </c>
      <c r="B1501" s="28" t="s">
        <v>7092</v>
      </c>
      <c r="C1501" s="28" t="s">
        <v>7100</v>
      </c>
      <c r="D1501" s="437" t="s">
        <v>7089</v>
      </c>
      <c r="E1501" s="361" t="str">
        <f t="shared" ca="1" si="69"/>
        <v>LOSS</v>
      </c>
      <c r="F1501" s="28" t="s">
        <v>7101</v>
      </c>
      <c r="G1501" s="28" t="s">
        <v>7102</v>
      </c>
      <c r="H1501" s="28" t="s">
        <v>261</v>
      </c>
      <c r="I1501" s="361" t="s">
        <v>243</v>
      </c>
      <c r="J1501" s="28" t="s">
        <v>2294</v>
      </c>
      <c r="K1501" s="38" t="s">
        <v>7103</v>
      </c>
      <c r="L1501" s="53">
        <v>0.995</v>
      </c>
      <c r="M1501" s="27" t="s">
        <v>365</v>
      </c>
      <c r="N1501" s="29" t="s">
        <v>417</v>
      </c>
      <c r="O1501" s="56"/>
      <c r="P1501" s="52">
        <v>84000000</v>
      </c>
      <c r="Q1501" s="52"/>
      <c r="R1501" s="27"/>
      <c r="S1501" s="32">
        <v>36000000</v>
      </c>
      <c r="T1501" s="33"/>
      <c r="U1501" s="334">
        <v>44896</v>
      </c>
      <c r="V1501" s="334">
        <v>45260</v>
      </c>
      <c r="W1501" s="27" t="s">
        <v>245</v>
      </c>
      <c r="X1501" s="27"/>
      <c r="Y1501" s="34">
        <f t="shared" ca="1" si="72"/>
        <v>46290</v>
      </c>
      <c r="Z1501" s="35">
        <f t="shared" ca="1" si="71"/>
        <v>-1030</v>
      </c>
      <c r="AA1501" s="27">
        <f t="shared" si="73"/>
        <v>11</v>
      </c>
      <c r="AB1501" s="27">
        <f t="shared" si="70"/>
        <v>2023</v>
      </c>
      <c r="AC1501" s="28">
        <v>4500017175</v>
      </c>
      <c r="AD1501" s="28">
        <v>19940</v>
      </c>
      <c r="AE1501" s="27">
        <v>4500018893</v>
      </c>
      <c r="AF1501" s="27" t="s">
        <v>471</v>
      </c>
      <c r="AG1501" s="29"/>
      <c r="AH1501" s="29"/>
      <c r="AI1501" s="27"/>
      <c r="AJ1501" s="27"/>
      <c r="AK1501" s="27"/>
      <c r="AL1501" s="27"/>
      <c r="AM1501" s="27"/>
      <c r="AN1501" s="27"/>
      <c r="AO1501" s="27">
        <v>316</v>
      </c>
      <c r="AP1501" s="27"/>
      <c r="AQ1501" s="27"/>
      <c r="AR1501" s="504"/>
      <c r="AS1501" s="332"/>
      <c r="AT1501" s="160"/>
    </row>
    <row r="1502" spans="1:46" ht="21.75" hidden="1" customHeight="1">
      <c r="A1502" s="331">
        <v>1501</v>
      </c>
      <c r="B1502" s="28" t="s">
        <v>7078</v>
      </c>
      <c r="C1502" s="28" t="s">
        <v>1206</v>
      </c>
      <c r="D1502" s="438" t="s">
        <v>7089</v>
      </c>
      <c r="E1502" s="361" t="str">
        <f t="shared" ca="1" si="69"/>
        <v>LOSS</v>
      </c>
      <c r="F1502" s="28" t="s">
        <v>7104</v>
      </c>
      <c r="G1502" s="28" t="s">
        <v>7105</v>
      </c>
      <c r="H1502" s="28" t="s">
        <v>261</v>
      </c>
      <c r="I1502" s="361" t="s">
        <v>243</v>
      </c>
      <c r="J1502" s="28" t="s">
        <v>7106</v>
      </c>
      <c r="K1502" s="38" t="s">
        <v>7107</v>
      </c>
      <c r="L1502" s="53">
        <v>0.99</v>
      </c>
      <c r="M1502" s="27" t="s">
        <v>329</v>
      </c>
      <c r="N1502" s="29" t="s">
        <v>417</v>
      </c>
      <c r="O1502" s="56"/>
      <c r="P1502" s="52">
        <v>8100000</v>
      </c>
      <c r="Q1502" s="52"/>
      <c r="R1502" s="27"/>
      <c r="S1502" s="32">
        <v>4574000</v>
      </c>
      <c r="T1502" s="33"/>
      <c r="U1502" s="334">
        <v>44665</v>
      </c>
      <c r="V1502" s="334">
        <v>44694</v>
      </c>
      <c r="W1502" s="27" t="s">
        <v>245</v>
      </c>
      <c r="X1502" s="27"/>
      <c r="Y1502" s="34">
        <f t="shared" ca="1" si="72"/>
        <v>46290</v>
      </c>
      <c r="Z1502" s="35">
        <f t="shared" ca="1" si="71"/>
        <v>-1596</v>
      </c>
      <c r="AA1502" s="27">
        <f t="shared" si="73"/>
        <v>5</v>
      </c>
      <c r="AB1502" s="27">
        <f t="shared" si="70"/>
        <v>2022</v>
      </c>
      <c r="AC1502" s="28">
        <v>4500015653</v>
      </c>
      <c r="AD1502" s="28">
        <v>19712</v>
      </c>
      <c r="AE1502" s="27">
        <v>4500018776</v>
      </c>
      <c r="AF1502" s="27" t="s">
        <v>471</v>
      </c>
      <c r="AG1502" s="29"/>
      <c r="AH1502" s="29"/>
      <c r="AI1502" s="27"/>
      <c r="AJ1502" s="27"/>
      <c r="AK1502" s="27"/>
      <c r="AL1502" s="27"/>
      <c r="AM1502" s="27"/>
      <c r="AN1502" s="27"/>
      <c r="AO1502" s="27">
        <v>295</v>
      </c>
      <c r="AP1502" s="27"/>
      <c r="AQ1502" s="27"/>
      <c r="AR1502" s="504"/>
      <c r="AS1502" s="332"/>
      <c r="AT1502" s="160"/>
    </row>
    <row r="1503" spans="1:46" ht="21.75" hidden="1" customHeight="1">
      <c r="A1503" s="331">
        <v>1502</v>
      </c>
      <c r="B1503" s="28" t="s">
        <v>7092</v>
      </c>
      <c r="C1503" s="28" t="s">
        <v>7108</v>
      </c>
      <c r="D1503" s="437" t="s">
        <v>7089</v>
      </c>
      <c r="E1503" s="361" t="str">
        <f t="shared" ca="1" si="69"/>
        <v>LOSS</v>
      </c>
      <c r="F1503" s="28"/>
      <c r="G1503" s="28" t="s">
        <v>7109</v>
      </c>
      <c r="H1503" s="28" t="s">
        <v>261</v>
      </c>
      <c r="I1503" s="361" t="s">
        <v>243</v>
      </c>
      <c r="J1503" s="28" t="s">
        <v>7110</v>
      </c>
      <c r="K1503" s="38" t="s">
        <v>7111</v>
      </c>
      <c r="L1503" s="51">
        <v>0.995</v>
      </c>
      <c r="M1503" s="27" t="s">
        <v>365</v>
      </c>
      <c r="N1503" s="29" t="s">
        <v>389</v>
      </c>
      <c r="O1503" s="56"/>
      <c r="P1503" s="52">
        <v>404700000</v>
      </c>
      <c r="Q1503" s="52"/>
      <c r="R1503" s="27"/>
      <c r="S1503" s="32">
        <f>52000000*7.1</f>
        <v>369200000</v>
      </c>
      <c r="T1503" s="33"/>
      <c r="U1503" s="334">
        <v>45197</v>
      </c>
      <c r="V1503" s="334">
        <v>45412</v>
      </c>
      <c r="W1503" s="27" t="s">
        <v>250</v>
      </c>
      <c r="X1503" s="27"/>
      <c r="Y1503" s="34">
        <f t="shared" ca="1" si="72"/>
        <v>46290</v>
      </c>
      <c r="Z1503" s="35">
        <f t="shared" ca="1" si="71"/>
        <v>-878</v>
      </c>
      <c r="AA1503" s="27">
        <f t="shared" si="73"/>
        <v>4</v>
      </c>
      <c r="AB1503" s="27">
        <f t="shared" si="70"/>
        <v>2024</v>
      </c>
      <c r="AC1503" s="27"/>
      <c r="AD1503" s="28" t="s">
        <v>7112</v>
      </c>
      <c r="AE1503" s="27">
        <v>4500022107</v>
      </c>
      <c r="AF1503" s="27" t="s">
        <v>471</v>
      </c>
      <c r="AG1503" s="29" t="s">
        <v>7098</v>
      </c>
      <c r="AH1503" s="29" t="s">
        <v>7099</v>
      </c>
      <c r="AI1503" s="27"/>
      <c r="AJ1503" s="27"/>
      <c r="AK1503" s="27"/>
      <c r="AL1503" s="27"/>
      <c r="AM1503" s="27"/>
      <c r="AN1503" s="27">
        <v>231</v>
      </c>
      <c r="AO1503" s="27">
        <v>411</v>
      </c>
      <c r="AP1503" s="27"/>
      <c r="AQ1503" s="27"/>
      <c r="AR1503" s="504"/>
      <c r="AS1503" s="332" t="s">
        <v>7113</v>
      </c>
      <c r="AT1503" s="160"/>
    </row>
    <row r="1504" spans="1:46" ht="21.75" hidden="1" customHeight="1">
      <c r="A1504" s="331">
        <v>1503</v>
      </c>
      <c r="B1504" s="28" t="s">
        <v>7092</v>
      </c>
      <c r="C1504" s="28" t="s">
        <v>1431</v>
      </c>
      <c r="D1504" s="438" t="s">
        <v>7089</v>
      </c>
      <c r="E1504" s="361" t="str">
        <f t="shared" ca="1" si="69"/>
        <v>LOSS</v>
      </c>
      <c r="F1504" s="29"/>
      <c r="G1504" s="28" t="s">
        <v>7114</v>
      </c>
      <c r="H1504" s="28" t="s">
        <v>261</v>
      </c>
      <c r="I1504" s="361" t="s">
        <v>243</v>
      </c>
      <c r="J1504" s="28" t="s">
        <v>1433</v>
      </c>
      <c r="K1504" s="38" t="s">
        <v>7115</v>
      </c>
      <c r="L1504" s="51">
        <v>0.995</v>
      </c>
      <c r="M1504" s="27" t="s">
        <v>353</v>
      </c>
      <c r="N1504" s="29" t="s">
        <v>468</v>
      </c>
      <c r="O1504" s="56"/>
      <c r="P1504" s="52">
        <v>264000000</v>
      </c>
      <c r="Q1504" s="52"/>
      <c r="R1504" s="27"/>
      <c r="S1504" s="32">
        <v>96000000</v>
      </c>
      <c r="T1504" s="33"/>
      <c r="U1504" s="334">
        <v>44927</v>
      </c>
      <c r="V1504" s="334">
        <v>45291</v>
      </c>
      <c r="W1504" s="27" t="s">
        <v>245</v>
      </c>
      <c r="X1504" s="27"/>
      <c r="Y1504" s="34">
        <f t="shared" ca="1" si="72"/>
        <v>46290</v>
      </c>
      <c r="Z1504" s="35">
        <f t="shared" ca="1" si="71"/>
        <v>-999</v>
      </c>
      <c r="AA1504" s="27">
        <f t="shared" si="73"/>
        <v>12</v>
      </c>
      <c r="AB1504" s="27">
        <f t="shared" si="70"/>
        <v>2023</v>
      </c>
      <c r="AC1504" s="28">
        <v>4500017999</v>
      </c>
      <c r="AD1504" s="28">
        <v>20946</v>
      </c>
      <c r="AE1504" s="27">
        <v>4500019854</v>
      </c>
      <c r="AF1504" s="27" t="s">
        <v>471</v>
      </c>
      <c r="AG1504" s="29"/>
      <c r="AH1504" s="29"/>
      <c r="AI1504" s="27"/>
      <c r="AJ1504" s="27"/>
      <c r="AK1504" s="27"/>
      <c r="AL1504" s="27"/>
      <c r="AM1504" s="27"/>
      <c r="AN1504" s="27"/>
      <c r="AO1504" s="27" t="s">
        <v>7116</v>
      </c>
      <c r="AP1504" s="27"/>
      <c r="AQ1504" s="27"/>
      <c r="AR1504" s="504"/>
      <c r="AS1504" s="332"/>
      <c r="AT1504" s="160"/>
    </row>
    <row r="1505" spans="1:46" ht="21.75" hidden="1" customHeight="1">
      <c r="A1505" s="331">
        <v>1504</v>
      </c>
      <c r="B1505" s="28" t="s">
        <v>7092</v>
      </c>
      <c r="C1505" s="28" t="s">
        <v>1764</v>
      </c>
      <c r="D1505" s="437" t="s">
        <v>7089</v>
      </c>
      <c r="E1505" s="361" t="str">
        <f t="shared" ca="1" si="69"/>
        <v>LOSS</v>
      </c>
      <c r="F1505" s="28" t="s">
        <v>7117</v>
      </c>
      <c r="G1505" s="28" t="s">
        <v>7118</v>
      </c>
      <c r="H1505" s="28" t="s">
        <v>261</v>
      </c>
      <c r="I1505" s="361" t="s">
        <v>243</v>
      </c>
      <c r="J1505" s="28" t="s">
        <v>2262</v>
      </c>
      <c r="K1505" s="38" t="s">
        <v>7119</v>
      </c>
      <c r="L1505" s="51">
        <v>0.995</v>
      </c>
      <c r="M1505" s="27" t="s">
        <v>329</v>
      </c>
      <c r="N1505" s="29" t="s">
        <v>354</v>
      </c>
      <c r="O1505" s="56"/>
      <c r="P1505" s="52">
        <v>204000000</v>
      </c>
      <c r="Q1505" s="52"/>
      <c r="R1505" s="56"/>
      <c r="S1505" s="32">
        <f>6000000*12</f>
        <v>72000000</v>
      </c>
      <c r="T1505" s="33"/>
      <c r="U1505" s="334">
        <v>45297</v>
      </c>
      <c r="V1505" s="334">
        <v>45662</v>
      </c>
      <c r="W1505" s="27" t="s">
        <v>250</v>
      </c>
      <c r="X1505" s="27"/>
      <c r="Y1505" s="34">
        <f t="shared" ca="1" si="72"/>
        <v>46290</v>
      </c>
      <c r="Z1505" s="35">
        <f t="shared" ca="1" si="71"/>
        <v>-628</v>
      </c>
      <c r="AA1505" s="27">
        <f t="shared" si="73"/>
        <v>1</v>
      </c>
      <c r="AB1505" s="27">
        <f t="shared" si="70"/>
        <v>2025</v>
      </c>
      <c r="AC1505" s="28">
        <v>4500019860</v>
      </c>
      <c r="AD1505" s="28" t="s">
        <v>7120</v>
      </c>
      <c r="AE1505" s="27">
        <v>4500022111</v>
      </c>
      <c r="AF1505" s="27" t="s">
        <v>471</v>
      </c>
      <c r="AG1505" s="29" t="s">
        <v>7098</v>
      </c>
      <c r="AH1505" s="29" t="s">
        <v>7099</v>
      </c>
      <c r="AI1505" s="27"/>
      <c r="AJ1505" s="27"/>
      <c r="AK1505" s="27"/>
      <c r="AL1505" s="27"/>
      <c r="AM1505" s="27"/>
      <c r="AN1505" s="27"/>
      <c r="AO1505" s="27" t="s">
        <v>7121</v>
      </c>
      <c r="AP1505" s="27" t="s">
        <v>7122</v>
      </c>
      <c r="AQ1505" s="27"/>
      <c r="AR1505" s="504"/>
      <c r="AS1505" s="332"/>
      <c r="AT1505" s="160"/>
    </row>
    <row r="1506" spans="1:46" ht="21.75" hidden="1" customHeight="1">
      <c r="A1506" s="331">
        <v>1505</v>
      </c>
      <c r="B1506" s="28" t="s">
        <v>7092</v>
      </c>
      <c r="C1506" s="28" t="s">
        <v>7123</v>
      </c>
      <c r="D1506" s="438" t="s">
        <v>7124</v>
      </c>
      <c r="E1506" s="361" t="str">
        <f t="shared" ca="1" si="69"/>
        <v>LOSS</v>
      </c>
      <c r="F1506" s="29" t="s">
        <v>115</v>
      </c>
      <c r="G1506" s="38" t="s">
        <v>7125</v>
      </c>
      <c r="H1506" s="28" t="s">
        <v>261</v>
      </c>
      <c r="I1506" s="361" t="s">
        <v>243</v>
      </c>
      <c r="J1506" s="28" t="s">
        <v>7126</v>
      </c>
      <c r="K1506" s="38" t="s">
        <v>7127</v>
      </c>
      <c r="L1506" s="51">
        <v>0.995</v>
      </c>
      <c r="M1506" s="27" t="s">
        <v>7128</v>
      </c>
      <c r="N1506" s="29" t="s">
        <v>494</v>
      </c>
      <c r="O1506" s="56"/>
      <c r="P1506" s="52">
        <v>600000000</v>
      </c>
      <c r="Q1506" s="52"/>
      <c r="R1506" s="56"/>
      <c r="S1506" s="32">
        <f>11500000*12</f>
        <v>138000000</v>
      </c>
      <c r="T1506" s="33"/>
      <c r="U1506" s="334">
        <v>45309</v>
      </c>
      <c r="V1506" s="334">
        <v>45674</v>
      </c>
      <c r="W1506" s="27" t="s">
        <v>245</v>
      </c>
      <c r="X1506" s="27"/>
      <c r="Y1506" s="34">
        <f t="shared" ca="1" si="72"/>
        <v>46290</v>
      </c>
      <c r="Z1506" s="35">
        <f t="shared" ca="1" si="71"/>
        <v>-616</v>
      </c>
      <c r="AA1506" s="27">
        <f t="shared" si="73"/>
        <v>1</v>
      </c>
      <c r="AB1506" s="27">
        <f t="shared" si="70"/>
        <v>2025</v>
      </c>
      <c r="AC1506" s="28">
        <v>4500019861</v>
      </c>
      <c r="AD1506" s="28">
        <v>2360</v>
      </c>
      <c r="AE1506" s="27">
        <v>4500022182</v>
      </c>
      <c r="AF1506" s="27" t="s">
        <v>471</v>
      </c>
      <c r="AG1506" s="29" t="s">
        <v>7098</v>
      </c>
      <c r="AH1506" s="29" t="s">
        <v>7099</v>
      </c>
      <c r="AI1506" s="27"/>
      <c r="AJ1506" s="27"/>
      <c r="AK1506" s="27"/>
      <c r="AL1506" s="27"/>
      <c r="AM1506" s="27"/>
      <c r="AN1506" s="27"/>
      <c r="AO1506" s="27" t="s">
        <v>7129</v>
      </c>
      <c r="AP1506" s="27" t="s">
        <v>7130</v>
      </c>
      <c r="AQ1506" s="27"/>
      <c r="AR1506" s="504"/>
      <c r="AS1506" s="332"/>
      <c r="AT1506" s="160"/>
    </row>
    <row r="1507" spans="1:46" ht="21.75" hidden="1" customHeight="1">
      <c r="A1507" s="331">
        <v>1506</v>
      </c>
      <c r="B1507" s="28" t="s">
        <v>165</v>
      </c>
      <c r="C1507" s="28" t="s">
        <v>2495</v>
      </c>
      <c r="D1507" s="437" t="s">
        <v>7089</v>
      </c>
      <c r="E1507" s="361" t="str">
        <f t="shared" ca="1" si="69"/>
        <v>LOSS</v>
      </c>
      <c r="F1507" s="28"/>
      <c r="G1507" s="28" t="s">
        <v>7131</v>
      </c>
      <c r="H1507" s="28" t="s">
        <v>261</v>
      </c>
      <c r="I1507" s="361" t="s">
        <v>243</v>
      </c>
      <c r="J1507" s="28" t="s">
        <v>166</v>
      </c>
      <c r="K1507" s="38" t="s">
        <v>7132</v>
      </c>
      <c r="L1507" s="60">
        <v>0.995</v>
      </c>
      <c r="M1507" s="27" t="s">
        <v>7133</v>
      </c>
      <c r="N1507" s="29" t="s">
        <v>494</v>
      </c>
      <c r="O1507" s="56"/>
      <c r="P1507" s="52">
        <v>420000000</v>
      </c>
      <c r="Q1507" s="52"/>
      <c r="R1507" s="56"/>
      <c r="S1507" s="32">
        <f>10000000*12</f>
        <v>120000000</v>
      </c>
      <c r="T1507" s="33"/>
      <c r="U1507" s="334">
        <v>45323</v>
      </c>
      <c r="V1507" s="334">
        <v>45688</v>
      </c>
      <c r="W1507" s="27" t="s">
        <v>245</v>
      </c>
      <c r="X1507" s="27"/>
      <c r="Y1507" s="34">
        <f t="shared" ca="1" si="72"/>
        <v>46290</v>
      </c>
      <c r="Z1507" s="35">
        <f t="shared" ca="1" si="71"/>
        <v>-602</v>
      </c>
      <c r="AA1507" s="27">
        <f t="shared" si="73"/>
        <v>1</v>
      </c>
      <c r="AB1507" s="27">
        <f t="shared" ref="AB1507:AB1538" si="74">YEAR(V1507)</f>
        <v>2025</v>
      </c>
      <c r="AC1507" s="28">
        <v>4500019956</v>
      </c>
      <c r="AD1507" s="28">
        <v>2503</v>
      </c>
      <c r="AE1507" s="27">
        <v>4500022412</v>
      </c>
      <c r="AF1507" s="27" t="s">
        <v>471</v>
      </c>
      <c r="AG1507" s="29" t="s">
        <v>7098</v>
      </c>
      <c r="AH1507" s="29" t="s">
        <v>7099</v>
      </c>
      <c r="AI1507" s="27"/>
      <c r="AJ1507" s="27"/>
      <c r="AK1507" s="27"/>
      <c r="AL1507" s="27"/>
      <c r="AM1507" s="27"/>
      <c r="AN1507" s="27"/>
      <c r="AO1507" s="27" t="s">
        <v>7134</v>
      </c>
      <c r="AP1507" s="27" t="s">
        <v>7135</v>
      </c>
      <c r="AQ1507" s="27"/>
      <c r="AR1507" s="504"/>
      <c r="AS1507" s="332"/>
      <c r="AT1507" s="160"/>
    </row>
    <row r="1508" spans="1:46" ht="21.75" hidden="1" customHeight="1">
      <c r="A1508" s="331">
        <v>1507</v>
      </c>
      <c r="B1508" s="28" t="s">
        <v>165</v>
      </c>
      <c r="C1508" s="28" t="s">
        <v>2495</v>
      </c>
      <c r="D1508" s="438" t="s">
        <v>7089</v>
      </c>
      <c r="E1508" s="361" t="str">
        <f t="shared" ca="1" si="69"/>
        <v>LOSS</v>
      </c>
      <c r="F1508" s="28"/>
      <c r="G1508" s="28" t="s">
        <v>7131</v>
      </c>
      <c r="H1508" s="29" t="s">
        <v>2748</v>
      </c>
      <c r="I1508" s="29" t="s">
        <v>346</v>
      </c>
      <c r="J1508" s="28" t="s">
        <v>166</v>
      </c>
      <c r="K1508" s="38"/>
      <c r="L1508" s="60"/>
      <c r="M1508" s="27"/>
      <c r="N1508" s="29"/>
      <c r="O1508" s="56"/>
      <c r="P1508" s="52">
        <v>420000000</v>
      </c>
      <c r="Q1508" s="52"/>
      <c r="R1508" s="27"/>
      <c r="S1508" s="32">
        <v>5000000</v>
      </c>
      <c r="T1508" s="33"/>
      <c r="U1508" s="334">
        <v>45323</v>
      </c>
      <c r="V1508" s="334">
        <v>45688</v>
      </c>
      <c r="W1508" s="27" t="s">
        <v>245</v>
      </c>
      <c r="X1508" s="27"/>
      <c r="Y1508" s="34">
        <f t="shared" ca="1" si="72"/>
        <v>46290</v>
      </c>
      <c r="Z1508" s="35">
        <f t="shared" ca="1" si="71"/>
        <v>-602</v>
      </c>
      <c r="AA1508" s="27">
        <f t="shared" si="73"/>
        <v>1</v>
      </c>
      <c r="AB1508" s="27">
        <f t="shared" si="74"/>
        <v>2025</v>
      </c>
      <c r="AC1508" s="28">
        <v>4500019956</v>
      </c>
      <c r="AD1508" s="28">
        <v>2503</v>
      </c>
      <c r="AE1508" s="27">
        <v>4500022413</v>
      </c>
      <c r="AF1508" s="27" t="s">
        <v>339</v>
      </c>
      <c r="AG1508" s="29" t="s">
        <v>7098</v>
      </c>
      <c r="AH1508" s="28" t="s">
        <v>7099</v>
      </c>
      <c r="AI1508" s="27"/>
      <c r="AJ1508" s="27"/>
      <c r="AK1508" s="27"/>
      <c r="AL1508" s="27"/>
      <c r="AM1508" s="27"/>
      <c r="AN1508" s="27"/>
      <c r="AO1508" s="27" t="s">
        <v>7134</v>
      </c>
      <c r="AP1508" s="27" t="s">
        <v>7136</v>
      </c>
      <c r="AQ1508" s="27"/>
      <c r="AR1508" s="504"/>
      <c r="AS1508" s="332"/>
      <c r="AT1508" s="160"/>
    </row>
    <row r="1509" spans="1:46" ht="21.75" hidden="1" customHeight="1">
      <c r="A1509" s="331">
        <v>1508</v>
      </c>
      <c r="B1509" s="28" t="s">
        <v>7092</v>
      </c>
      <c r="C1509" s="28" t="s">
        <v>7137</v>
      </c>
      <c r="D1509" s="437" t="s">
        <v>7089</v>
      </c>
      <c r="E1509" s="361" t="str">
        <f t="shared" ca="1" si="69"/>
        <v>LOSS</v>
      </c>
      <c r="F1509" s="28"/>
      <c r="G1509" s="28" t="s">
        <v>7138</v>
      </c>
      <c r="H1509" s="28" t="s">
        <v>261</v>
      </c>
      <c r="I1509" s="361" t="s">
        <v>243</v>
      </c>
      <c r="J1509" s="28" t="s">
        <v>7139</v>
      </c>
      <c r="K1509" s="38" t="s">
        <v>7140</v>
      </c>
      <c r="L1509" s="60">
        <v>0.995</v>
      </c>
      <c r="M1509" s="27" t="s">
        <v>329</v>
      </c>
      <c r="N1509" s="29" t="s">
        <v>354</v>
      </c>
      <c r="O1509" s="56"/>
      <c r="P1509" s="52">
        <v>72000000</v>
      </c>
      <c r="Q1509" s="52"/>
      <c r="R1509" s="56"/>
      <c r="S1509" s="32">
        <f>4500000*12</f>
        <v>54000000</v>
      </c>
      <c r="T1509" s="33"/>
      <c r="U1509" s="334">
        <v>45436</v>
      </c>
      <c r="V1509" s="334">
        <v>45800</v>
      </c>
      <c r="W1509" s="27" t="s">
        <v>250</v>
      </c>
      <c r="X1509" s="27"/>
      <c r="Y1509" s="34">
        <f t="shared" ca="1" si="72"/>
        <v>46290</v>
      </c>
      <c r="Z1509" s="35">
        <f t="shared" ca="1" si="71"/>
        <v>-490</v>
      </c>
      <c r="AA1509" s="27">
        <f t="shared" si="73"/>
        <v>5</v>
      </c>
      <c r="AB1509" s="27">
        <f t="shared" si="74"/>
        <v>2025</v>
      </c>
      <c r="AC1509" s="28">
        <v>4500020207</v>
      </c>
      <c r="AD1509" s="28">
        <v>2506</v>
      </c>
      <c r="AE1509" s="27">
        <v>4500022211</v>
      </c>
      <c r="AF1509" s="27" t="s">
        <v>471</v>
      </c>
      <c r="AG1509" s="29" t="s">
        <v>7098</v>
      </c>
      <c r="AH1509" s="29" t="s">
        <v>7099</v>
      </c>
      <c r="AI1509" s="27"/>
      <c r="AJ1509" s="27"/>
      <c r="AK1509" s="27"/>
      <c r="AL1509" s="27"/>
      <c r="AM1509" s="27"/>
      <c r="AN1509" s="27"/>
      <c r="AO1509" s="27" t="s">
        <v>5782</v>
      </c>
      <c r="AP1509" s="27" t="s">
        <v>7141</v>
      </c>
      <c r="AQ1509" s="27"/>
      <c r="AR1509" s="504"/>
      <c r="AS1509" s="332"/>
      <c r="AT1509" s="160"/>
    </row>
    <row r="1510" spans="1:46" ht="21.75" hidden="1" customHeight="1">
      <c r="A1510" s="331">
        <v>1509</v>
      </c>
      <c r="B1510" s="28" t="s">
        <v>7092</v>
      </c>
      <c r="C1510" s="28" t="s">
        <v>7142</v>
      </c>
      <c r="D1510" s="438" t="s">
        <v>7089</v>
      </c>
      <c r="E1510" s="361" t="str">
        <f t="shared" ca="1" si="69"/>
        <v>LOSS</v>
      </c>
      <c r="F1510" s="28" t="s">
        <v>7143</v>
      </c>
      <c r="G1510" s="28" t="s">
        <v>7144</v>
      </c>
      <c r="H1510" s="28" t="s">
        <v>261</v>
      </c>
      <c r="I1510" s="361" t="s">
        <v>243</v>
      </c>
      <c r="J1510" s="28" t="s">
        <v>2342</v>
      </c>
      <c r="K1510" s="38" t="s">
        <v>7145</v>
      </c>
      <c r="L1510" s="60">
        <v>0.995</v>
      </c>
      <c r="M1510" s="27" t="s">
        <v>329</v>
      </c>
      <c r="N1510" s="29" t="s">
        <v>6885</v>
      </c>
      <c r="O1510" s="56"/>
      <c r="P1510" s="52">
        <v>37207200</v>
      </c>
      <c r="Q1510" s="52"/>
      <c r="R1510" s="56"/>
      <c r="S1510" s="32">
        <f>2100000*12</f>
        <v>25200000</v>
      </c>
      <c r="T1510" s="33"/>
      <c r="U1510" s="334">
        <v>45474</v>
      </c>
      <c r="V1510" s="334">
        <v>45838</v>
      </c>
      <c r="W1510" s="27" t="s">
        <v>245</v>
      </c>
      <c r="X1510" s="27"/>
      <c r="Y1510" s="34">
        <f t="shared" ca="1" si="72"/>
        <v>46290</v>
      </c>
      <c r="Z1510" s="35">
        <f t="shared" ca="1" si="71"/>
        <v>-452</v>
      </c>
      <c r="AA1510" s="27">
        <f t="shared" si="73"/>
        <v>6</v>
      </c>
      <c r="AB1510" s="27">
        <f t="shared" si="74"/>
        <v>2025</v>
      </c>
      <c r="AC1510" s="28">
        <v>4500020800</v>
      </c>
      <c r="AD1510" s="28">
        <v>2902</v>
      </c>
      <c r="AE1510" s="27">
        <v>4500022443</v>
      </c>
      <c r="AF1510" s="27" t="s">
        <v>471</v>
      </c>
      <c r="AG1510" s="29" t="s">
        <v>7098</v>
      </c>
      <c r="AH1510" s="29" t="s">
        <v>7099</v>
      </c>
      <c r="AI1510" s="27"/>
      <c r="AJ1510" s="27"/>
      <c r="AK1510" s="27"/>
      <c r="AL1510" s="27"/>
      <c r="AM1510" s="27"/>
      <c r="AN1510" s="27"/>
      <c r="AO1510" s="27" t="s">
        <v>7146</v>
      </c>
      <c r="AP1510" s="27" t="s">
        <v>7147</v>
      </c>
      <c r="AQ1510" s="27"/>
      <c r="AR1510" s="504"/>
      <c r="AS1510" s="332"/>
      <c r="AT1510" s="160"/>
    </row>
    <row r="1511" spans="1:46" ht="21.75" hidden="1" customHeight="1">
      <c r="A1511" s="331">
        <v>1510</v>
      </c>
      <c r="B1511" s="28" t="s">
        <v>7092</v>
      </c>
      <c r="C1511" s="28" t="s">
        <v>7148</v>
      </c>
      <c r="D1511" s="437" t="s">
        <v>7149</v>
      </c>
      <c r="E1511" s="361" t="str">
        <f t="shared" ca="1" si="69"/>
        <v>LOSS</v>
      </c>
      <c r="F1511" s="29"/>
      <c r="G1511" s="28" t="s">
        <v>7150</v>
      </c>
      <c r="H1511" s="28" t="s">
        <v>261</v>
      </c>
      <c r="I1511" s="361" t="s">
        <v>243</v>
      </c>
      <c r="J1511" s="28" t="s">
        <v>7151</v>
      </c>
      <c r="K1511" s="38" t="s">
        <v>7152</v>
      </c>
      <c r="L1511" s="51">
        <v>0.995</v>
      </c>
      <c r="M1511" s="27" t="s">
        <v>7153</v>
      </c>
      <c r="N1511" s="29" t="s">
        <v>494</v>
      </c>
      <c r="O1511" s="56"/>
      <c r="P1511" s="61">
        <v>73200000</v>
      </c>
      <c r="Q1511" s="61"/>
      <c r="R1511" s="56">
        <v>4000000</v>
      </c>
      <c r="S1511" s="33">
        <v>58000000</v>
      </c>
      <c r="T1511" s="33"/>
      <c r="U1511" s="334">
        <v>45201</v>
      </c>
      <c r="V1511" s="334">
        <v>45566</v>
      </c>
      <c r="W1511" s="27" t="s">
        <v>245</v>
      </c>
      <c r="X1511" s="27"/>
      <c r="Y1511" s="34">
        <f t="shared" ca="1" si="72"/>
        <v>46290</v>
      </c>
      <c r="Z1511" s="35">
        <f t="shared" ca="1" si="71"/>
        <v>-724</v>
      </c>
      <c r="AA1511" s="27">
        <f t="shared" si="73"/>
        <v>10</v>
      </c>
      <c r="AB1511" s="27">
        <f t="shared" si="74"/>
        <v>2024</v>
      </c>
      <c r="AC1511" s="28"/>
      <c r="AD1511" s="28">
        <v>1434</v>
      </c>
      <c r="AE1511" s="27">
        <v>4500021343</v>
      </c>
      <c r="AF1511" s="27" t="s">
        <v>471</v>
      </c>
      <c r="AG1511" s="29" t="s">
        <v>7098</v>
      </c>
      <c r="AH1511" s="29" t="s">
        <v>7099</v>
      </c>
      <c r="AI1511" s="27"/>
      <c r="AJ1511" s="27"/>
      <c r="AK1511" s="27"/>
      <c r="AL1511" s="27"/>
      <c r="AM1511" s="27"/>
      <c r="AN1511" s="27"/>
      <c r="AO1511" s="27" t="s">
        <v>7154</v>
      </c>
      <c r="AP1511" s="27"/>
      <c r="AQ1511" s="27"/>
      <c r="AR1511" s="504"/>
      <c r="AS1511" s="475" t="s">
        <v>7155</v>
      </c>
      <c r="AT1511" s="160"/>
    </row>
    <row r="1512" spans="1:46" ht="21.75" hidden="1" customHeight="1">
      <c r="A1512" s="331">
        <v>1511</v>
      </c>
      <c r="B1512" s="28" t="s">
        <v>7092</v>
      </c>
      <c r="C1512" s="28" t="s">
        <v>7148</v>
      </c>
      <c r="D1512" s="438" t="s">
        <v>7149</v>
      </c>
      <c r="E1512" s="361" t="str">
        <f t="shared" ca="1" si="69"/>
        <v>LOSS</v>
      </c>
      <c r="F1512" s="29" t="s">
        <v>115</v>
      </c>
      <c r="G1512" s="28" t="s">
        <v>7150</v>
      </c>
      <c r="H1512" s="28" t="s">
        <v>261</v>
      </c>
      <c r="I1512" s="361" t="s">
        <v>243</v>
      </c>
      <c r="J1512" s="28" t="s">
        <v>7156</v>
      </c>
      <c r="K1512" s="38" t="s">
        <v>7157</v>
      </c>
      <c r="L1512" s="51">
        <v>0.995</v>
      </c>
      <c r="M1512" s="27" t="s">
        <v>7153</v>
      </c>
      <c r="N1512" s="29" t="s">
        <v>362</v>
      </c>
      <c r="O1512" s="56"/>
      <c r="P1512" s="61">
        <v>154200000</v>
      </c>
      <c r="Q1512" s="61"/>
      <c r="R1512" s="56">
        <v>4000000</v>
      </c>
      <c r="S1512" s="33">
        <v>106000000</v>
      </c>
      <c r="T1512" s="33"/>
      <c r="U1512" s="334">
        <v>45196</v>
      </c>
      <c r="V1512" s="334">
        <v>45561</v>
      </c>
      <c r="W1512" s="27" t="s">
        <v>250</v>
      </c>
      <c r="X1512" s="27"/>
      <c r="Y1512" s="34">
        <f t="shared" ca="1" si="72"/>
        <v>46290</v>
      </c>
      <c r="Z1512" s="35">
        <f t="shared" ca="1" si="71"/>
        <v>-729</v>
      </c>
      <c r="AA1512" s="27">
        <f t="shared" si="73"/>
        <v>9</v>
      </c>
      <c r="AB1512" s="27">
        <f t="shared" si="74"/>
        <v>2024</v>
      </c>
      <c r="AC1512" s="28"/>
      <c r="AD1512" s="28" t="s">
        <v>7158</v>
      </c>
      <c r="AE1512" s="27">
        <v>4500021344</v>
      </c>
      <c r="AF1512" s="27" t="s">
        <v>471</v>
      </c>
      <c r="AG1512" s="29" t="s">
        <v>7098</v>
      </c>
      <c r="AH1512" s="29" t="s">
        <v>7099</v>
      </c>
      <c r="AI1512" s="27"/>
      <c r="AJ1512" s="27"/>
      <c r="AK1512" s="27"/>
      <c r="AL1512" s="27"/>
      <c r="AM1512" s="27"/>
      <c r="AN1512" s="27"/>
      <c r="AO1512" s="27" t="s">
        <v>7159</v>
      </c>
      <c r="AP1512" s="27"/>
      <c r="AQ1512" s="27"/>
      <c r="AR1512" s="504"/>
      <c r="AS1512" s="332" t="s">
        <v>7160</v>
      </c>
      <c r="AT1512" s="160"/>
    </row>
    <row r="1513" spans="1:46" ht="21.75" hidden="1" customHeight="1">
      <c r="A1513" s="331">
        <v>1512</v>
      </c>
      <c r="B1513" s="28" t="s">
        <v>5947</v>
      </c>
      <c r="C1513" s="28" t="s">
        <v>2868</v>
      </c>
      <c r="D1513" s="437" t="s">
        <v>7161</v>
      </c>
      <c r="E1513" s="361" t="str">
        <f t="shared" ca="1" si="69"/>
        <v>LOSS</v>
      </c>
      <c r="F1513" s="28"/>
      <c r="G1513" s="28" t="s">
        <v>7162</v>
      </c>
      <c r="H1513" s="28" t="s">
        <v>261</v>
      </c>
      <c r="I1513" s="361" t="s">
        <v>243</v>
      </c>
      <c r="J1513" s="28" t="s">
        <v>7163</v>
      </c>
      <c r="K1513" s="38" t="s">
        <v>7164</v>
      </c>
      <c r="L1513" s="60">
        <v>0.995</v>
      </c>
      <c r="M1513" s="27" t="s">
        <v>6776</v>
      </c>
      <c r="N1513" s="29" t="s">
        <v>354</v>
      </c>
      <c r="O1513" s="56"/>
      <c r="P1513" s="52">
        <v>0</v>
      </c>
      <c r="Q1513" s="52"/>
      <c r="R1513" s="56"/>
      <c r="S1513" s="32">
        <v>24000000</v>
      </c>
      <c r="T1513" s="33"/>
      <c r="U1513" s="334">
        <v>45383</v>
      </c>
      <c r="V1513" s="334">
        <v>45747</v>
      </c>
      <c r="W1513" s="27" t="s">
        <v>250</v>
      </c>
      <c r="X1513" s="27"/>
      <c r="Y1513" s="34">
        <f t="shared" ca="1" si="72"/>
        <v>46290</v>
      </c>
      <c r="Z1513" s="35">
        <f t="shared" ca="1" si="71"/>
        <v>-543</v>
      </c>
      <c r="AA1513" s="27">
        <f t="shared" si="73"/>
        <v>3</v>
      </c>
      <c r="AB1513" s="27">
        <f t="shared" si="74"/>
        <v>2025</v>
      </c>
      <c r="AC1513" s="28">
        <v>4500020089</v>
      </c>
      <c r="AD1513" s="28" t="s">
        <v>7165</v>
      </c>
      <c r="AE1513" s="48">
        <v>4500022406</v>
      </c>
      <c r="AF1513" s="27" t="s">
        <v>471</v>
      </c>
      <c r="AG1513" s="29" t="s">
        <v>7166</v>
      </c>
      <c r="AH1513" s="29" t="s">
        <v>7167</v>
      </c>
      <c r="AI1513" s="27"/>
      <c r="AJ1513" s="27"/>
      <c r="AK1513" s="27"/>
      <c r="AL1513" s="27"/>
      <c r="AM1513" s="27"/>
      <c r="AN1513" s="27"/>
      <c r="AO1513" s="27">
        <v>109</v>
      </c>
      <c r="AP1513" s="27">
        <v>185</v>
      </c>
      <c r="AQ1513" s="27"/>
      <c r="AR1513" s="504"/>
      <c r="AS1513" s="332"/>
      <c r="AT1513" s="160"/>
    </row>
    <row r="1514" spans="1:46" ht="21.75" hidden="1" customHeight="1">
      <c r="A1514" s="331">
        <v>1513</v>
      </c>
      <c r="B1514" s="28" t="s">
        <v>5947</v>
      </c>
      <c r="C1514" s="28" t="s">
        <v>2868</v>
      </c>
      <c r="D1514" s="438" t="s">
        <v>7161</v>
      </c>
      <c r="E1514" s="361" t="str">
        <f t="shared" ca="1" si="69"/>
        <v>LOSS</v>
      </c>
      <c r="F1514" s="29"/>
      <c r="G1514" s="28" t="s">
        <v>7168</v>
      </c>
      <c r="H1514" s="28" t="s">
        <v>261</v>
      </c>
      <c r="I1514" s="361" t="s">
        <v>243</v>
      </c>
      <c r="J1514" s="28" t="s">
        <v>1837</v>
      </c>
      <c r="K1514" s="38" t="s">
        <v>7169</v>
      </c>
      <c r="L1514" s="27" t="s">
        <v>4749</v>
      </c>
      <c r="M1514" s="27" t="s">
        <v>329</v>
      </c>
      <c r="N1514" s="29" t="s">
        <v>389</v>
      </c>
      <c r="O1514" s="56"/>
      <c r="P1514" s="61">
        <f>41000000*12</f>
        <v>492000000</v>
      </c>
      <c r="Q1514" s="61"/>
      <c r="R1514" s="27"/>
      <c r="S1514" s="33">
        <v>120000003</v>
      </c>
      <c r="T1514" s="33"/>
      <c r="U1514" s="334">
        <v>45116</v>
      </c>
      <c r="V1514" s="334">
        <v>45481</v>
      </c>
      <c r="W1514" s="27" t="s">
        <v>250</v>
      </c>
      <c r="X1514" s="27"/>
      <c r="Y1514" s="34">
        <f t="shared" ca="1" si="72"/>
        <v>46290</v>
      </c>
      <c r="Z1514" s="35">
        <f t="shared" ca="1" si="71"/>
        <v>-809</v>
      </c>
      <c r="AA1514" s="27">
        <f t="shared" si="73"/>
        <v>7</v>
      </c>
      <c r="AB1514" s="27">
        <f t="shared" si="74"/>
        <v>2024</v>
      </c>
      <c r="AC1514" s="28" t="s">
        <v>7170</v>
      </c>
      <c r="AD1514" s="28" t="s">
        <v>7171</v>
      </c>
      <c r="AE1514" s="27">
        <v>4500020920</v>
      </c>
      <c r="AF1514" s="27" t="s">
        <v>471</v>
      </c>
      <c r="AG1514" s="29" t="s">
        <v>7166</v>
      </c>
      <c r="AH1514" s="29" t="s">
        <v>7167</v>
      </c>
      <c r="AI1514" s="27"/>
      <c r="AJ1514" s="27"/>
      <c r="AK1514" s="27"/>
      <c r="AL1514" s="27"/>
      <c r="AM1514" s="27"/>
      <c r="AN1514" s="27"/>
      <c r="AO1514" s="27">
        <v>151</v>
      </c>
      <c r="AP1514" s="27"/>
      <c r="AQ1514" s="27"/>
      <c r="AR1514" s="504"/>
      <c r="AS1514" s="332"/>
      <c r="AT1514" s="160"/>
    </row>
    <row r="1515" spans="1:46" ht="21.75" hidden="1" customHeight="1">
      <c r="A1515" s="331">
        <v>1514</v>
      </c>
      <c r="B1515" s="28" t="s">
        <v>7172</v>
      </c>
      <c r="C1515" s="28" t="s">
        <v>1375</v>
      </c>
      <c r="D1515" s="446"/>
      <c r="E1515" s="361" t="str">
        <f t="shared" ca="1" si="69"/>
        <v>LOSS</v>
      </c>
      <c r="F1515" s="28"/>
      <c r="G1515" s="28" t="s">
        <v>7173</v>
      </c>
      <c r="H1515" s="28" t="s">
        <v>261</v>
      </c>
      <c r="I1515" s="361" t="s">
        <v>243</v>
      </c>
      <c r="J1515" s="28" t="s">
        <v>1377</v>
      </c>
      <c r="K1515" s="38" t="s">
        <v>7174</v>
      </c>
      <c r="L1515" s="53">
        <v>0.995</v>
      </c>
      <c r="M1515" s="27" t="s">
        <v>329</v>
      </c>
      <c r="N1515" s="29" t="s">
        <v>468</v>
      </c>
      <c r="O1515" s="56"/>
      <c r="P1515" s="52">
        <v>120000000</v>
      </c>
      <c r="Q1515" s="52"/>
      <c r="R1515" s="56"/>
      <c r="S1515" s="32">
        <v>61800000</v>
      </c>
      <c r="T1515" s="33"/>
      <c r="U1515" s="334">
        <v>45170</v>
      </c>
      <c r="V1515" s="334">
        <v>45535</v>
      </c>
      <c r="W1515" s="27" t="s">
        <v>245</v>
      </c>
      <c r="X1515" s="27"/>
      <c r="Y1515" s="34">
        <f t="shared" ca="1" si="72"/>
        <v>46290</v>
      </c>
      <c r="Z1515" s="35">
        <f t="shared" ca="1" si="71"/>
        <v>-755</v>
      </c>
      <c r="AA1515" s="27">
        <f t="shared" si="73"/>
        <v>8</v>
      </c>
      <c r="AB1515" s="27">
        <f t="shared" si="74"/>
        <v>2024</v>
      </c>
      <c r="AC1515" s="28">
        <v>4500018424</v>
      </c>
      <c r="AD1515" s="28">
        <v>847</v>
      </c>
      <c r="AE1515" s="27">
        <v>4500020921</v>
      </c>
      <c r="AF1515" s="27" t="s">
        <v>471</v>
      </c>
      <c r="AG1515" s="29"/>
      <c r="AH1515" s="29"/>
      <c r="AI1515" s="27"/>
      <c r="AJ1515" s="27"/>
      <c r="AK1515" s="27"/>
      <c r="AL1515" s="27"/>
      <c r="AM1515" s="27"/>
      <c r="AN1515" s="27"/>
      <c r="AO1515" s="27">
        <v>155</v>
      </c>
      <c r="AP1515" s="27"/>
      <c r="AQ1515" s="27"/>
      <c r="AR1515" s="504"/>
      <c r="AS1515" s="332"/>
      <c r="AT1515" s="160"/>
    </row>
    <row r="1516" spans="1:46" ht="21.75" hidden="1" customHeight="1">
      <c r="A1516" s="331">
        <v>1515</v>
      </c>
      <c r="B1516" s="28" t="s">
        <v>6057</v>
      </c>
      <c r="C1516" s="28" t="s">
        <v>2674</v>
      </c>
      <c r="D1516" s="438" t="s">
        <v>7175</v>
      </c>
      <c r="E1516" s="361" t="str">
        <f t="shared" ca="1" si="69"/>
        <v>LOSS</v>
      </c>
      <c r="F1516" s="28" t="s">
        <v>7176</v>
      </c>
      <c r="G1516" s="28" t="s">
        <v>7177</v>
      </c>
      <c r="H1516" s="28" t="s">
        <v>261</v>
      </c>
      <c r="I1516" s="361" t="s">
        <v>243</v>
      </c>
      <c r="J1516" s="28" t="s">
        <v>7178</v>
      </c>
      <c r="K1516" s="38" t="s">
        <v>7179</v>
      </c>
      <c r="L1516" s="51">
        <v>0.995</v>
      </c>
      <c r="M1516" s="27" t="s">
        <v>329</v>
      </c>
      <c r="N1516" s="29" t="s">
        <v>468</v>
      </c>
      <c r="O1516" s="56"/>
      <c r="P1516" s="52">
        <v>37200000</v>
      </c>
      <c r="Q1516" s="52"/>
      <c r="R1516" s="56"/>
      <c r="S1516" s="32">
        <v>12000000</v>
      </c>
      <c r="T1516" s="33"/>
      <c r="U1516" s="334">
        <v>45247</v>
      </c>
      <c r="V1516" s="334">
        <v>45612</v>
      </c>
      <c r="W1516" s="27" t="s">
        <v>245</v>
      </c>
      <c r="X1516" s="27"/>
      <c r="Y1516" s="34">
        <f t="shared" ca="1" si="72"/>
        <v>46290</v>
      </c>
      <c r="Z1516" s="35">
        <f t="shared" ca="1" si="71"/>
        <v>-678</v>
      </c>
      <c r="AA1516" s="27">
        <f t="shared" si="73"/>
        <v>11</v>
      </c>
      <c r="AB1516" s="27">
        <f t="shared" si="74"/>
        <v>2024</v>
      </c>
      <c r="AC1516" s="28">
        <v>4500019444</v>
      </c>
      <c r="AD1516" s="28">
        <v>2217</v>
      </c>
      <c r="AE1516" s="27">
        <v>4500021924</v>
      </c>
      <c r="AF1516" s="27" t="s">
        <v>471</v>
      </c>
      <c r="AG1516" s="29" t="s">
        <v>7180</v>
      </c>
      <c r="AH1516" s="29" t="s">
        <v>7181</v>
      </c>
      <c r="AI1516" s="27"/>
      <c r="AJ1516" s="27"/>
      <c r="AK1516" s="27"/>
      <c r="AL1516" s="27"/>
      <c r="AM1516" s="27"/>
      <c r="AN1516" s="27" t="s">
        <v>7182</v>
      </c>
      <c r="AO1516" s="27" t="s">
        <v>7183</v>
      </c>
      <c r="AP1516" s="27"/>
      <c r="AQ1516" s="27"/>
      <c r="AR1516" s="504"/>
      <c r="AS1516" s="332"/>
      <c r="AT1516" s="160"/>
    </row>
    <row r="1517" spans="1:46" ht="21.75" hidden="1" customHeight="1">
      <c r="A1517" s="331">
        <v>1516</v>
      </c>
      <c r="B1517" s="28" t="s">
        <v>6057</v>
      </c>
      <c r="C1517" s="28" t="s">
        <v>7184</v>
      </c>
      <c r="D1517" s="437" t="s">
        <v>7175</v>
      </c>
      <c r="E1517" s="361" t="str">
        <f t="shared" ca="1" si="69"/>
        <v>LOSS</v>
      </c>
      <c r="F1517" s="28"/>
      <c r="G1517" s="38" t="s">
        <v>7185</v>
      </c>
      <c r="H1517" s="28" t="s">
        <v>261</v>
      </c>
      <c r="I1517" s="361" t="s">
        <v>243</v>
      </c>
      <c r="J1517" s="28" t="s">
        <v>1323</v>
      </c>
      <c r="K1517" s="38" t="s">
        <v>7186</v>
      </c>
      <c r="L1517" s="53">
        <v>0.995</v>
      </c>
      <c r="M1517" s="27" t="s">
        <v>329</v>
      </c>
      <c r="N1517" s="29" t="s">
        <v>417</v>
      </c>
      <c r="O1517" s="56"/>
      <c r="P1517" s="52">
        <v>72000000</v>
      </c>
      <c r="Q1517" s="52"/>
      <c r="R1517" s="27"/>
      <c r="S1517" s="32">
        <v>36000000</v>
      </c>
      <c r="T1517" s="33"/>
      <c r="U1517" s="334">
        <v>45108</v>
      </c>
      <c r="V1517" s="334">
        <v>45473</v>
      </c>
      <c r="W1517" s="27" t="s">
        <v>245</v>
      </c>
      <c r="X1517" s="27"/>
      <c r="Y1517" s="34">
        <f t="shared" ca="1" si="72"/>
        <v>46290</v>
      </c>
      <c r="Z1517" s="35">
        <f t="shared" ca="1" si="71"/>
        <v>-817</v>
      </c>
      <c r="AA1517" s="27">
        <f t="shared" si="73"/>
        <v>6</v>
      </c>
      <c r="AB1517" s="27">
        <f t="shared" si="74"/>
        <v>2024</v>
      </c>
      <c r="AC1517" s="28">
        <v>4500018213</v>
      </c>
      <c r="AD1517" s="28">
        <v>235</v>
      </c>
      <c r="AE1517" s="27">
        <v>4500020617</v>
      </c>
      <c r="AF1517" s="27" t="s">
        <v>471</v>
      </c>
      <c r="AG1517" s="29" t="s">
        <v>7180</v>
      </c>
      <c r="AH1517" s="29" t="s">
        <v>7181</v>
      </c>
      <c r="AI1517" s="27"/>
      <c r="AJ1517" s="27"/>
      <c r="AK1517" s="27"/>
      <c r="AL1517" s="27"/>
      <c r="AM1517" s="27"/>
      <c r="AN1517" s="27"/>
      <c r="AO1517" s="27">
        <v>266</v>
      </c>
      <c r="AP1517" s="27"/>
      <c r="AQ1517" s="27"/>
      <c r="AR1517" s="504"/>
      <c r="AS1517" s="332" t="s">
        <v>7187</v>
      </c>
      <c r="AT1517" s="160"/>
    </row>
    <row r="1518" spans="1:46" ht="21.75" hidden="1" customHeight="1">
      <c r="A1518" s="331">
        <v>1517</v>
      </c>
      <c r="B1518" s="28" t="s">
        <v>6057</v>
      </c>
      <c r="C1518" s="28" t="s">
        <v>7188</v>
      </c>
      <c r="D1518" s="438" t="s">
        <v>7175</v>
      </c>
      <c r="E1518" s="361" t="str">
        <f t="shared" ca="1" si="69"/>
        <v>LOSS</v>
      </c>
      <c r="F1518" s="28" t="s">
        <v>7189</v>
      </c>
      <c r="G1518" s="28" t="s">
        <v>7190</v>
      </c>
      <c r="H1518" s="28" t="s">
        <v>261</v>
      </c>
      <c r="I1518" s="361" t="s">
        <v>243</v>
      </c>
      <c r="J1518" s="28" t="s">
        <v>7191</v>
      </c>
      <c r="K1518" s="63" t="s">
        <v>7192</v>
      </c>
      <c r="L1518" s="53">
        <v>0.995</v>
      </c>
      <c r="M1518" s="27" t="s">
        <v>6788</v>
      </c>
      <c r="N1518" s="29" t="s">
        <v>7193</v>
      </c>
      <c r="O1518" s="56"/>
      <c r="P1518" s="61">
        <v>171500000</v>
      </c>
      <c r="Q1518" s="61"/>
      <c r="R1518" s="56">
        <v>7000000</v>
      </c>
      <c r="S1518" s="33">
        <v>121000012</v>
      </c>
      <c r="T1518" s="33"/>
      <c r="U1518" s="334">
        <v>45229</v>
      </c>
      <c r="V1518" s="334">
        <v>45594</v>
      </c>
      <c r="W1518" s="27" t="s">
        <v>250</v>
      </c>
      <c r="X1518" s="27"/>
      <c r="Y1518" s="34">
        <f t="shared" ca="1" si="72"/>
        <v>46290</v>
      </c>
      <c r="Z1518" s="35">
        <f t="shared" ca="1" si="71"/>
        <v>-696</v>
      </c>
      <c r="AA1518" s="27">
        <f t="shared" si="73"/>
        <v>10</v>
      </c>
      <c r="AB1518" s="27">
        <f t="shared" si="74"/>
        <v>2024</v>
      </c>
      <c r="AC1518" s="28"/>
      <c r="AD1518" s="28" t="s">
        <v>7194</v>
      </c>
      <c r="AE1518" s="27">
        <v>4500021050</v>
      </c>
      <c r="AF1518" s="27" t="s">
        <v>471</v>
      </c>
      <c r="AG1518" s="29" t="s">
        <v>7180</v>
      </c>
      <c r="AH1518" s="29" t="s">
        <v>7181</v>
      </c>
      <c r="AI1518" s="27"/>
      <c r="AJ1518" s="27"/>
      <c r="AK1518" s="27"/>
      <c r="AL1518" s="27"/>
      <c r="AM1518" s="27"/>
      <c r="AN1518" s="27"/>
      <c r="AO1518" s="27">
        <v>380</v>
      </c>
      <c r="AP1518" s="27"/>
      <c r="AQ1518" s="27"/>
      <c r="AR1518" s="504"/>
      <c r="AS1518" s="332"/>
      <c r="AT1518" s="160"/>
    </row>
    <row r="1519" spans="1:46" ht="21.75" hidden="1" customHeight="1">
      <c r="A1519" s="331">
        <v>1518</v>
      </c>
      <c r="B1519" s="28" t="s">
        <v>7195</v>
      </c>
      <c r="C1519" s="28" t="s">
        <v>7196</v>
      </c>
      <c r="D1519" s="437" t="s">
        <v>7197</v>
      </c>
      <c r="E1519" s="361" t="str">
        <f t="shared" ca="1" si="69"/>
        <v>LOSS</v>
      </c>
      <c r="F1519" s="29"/>
      <c r="G1519" s="28" t="s">
        <v>7198</v>
      </c>
      <c r="H1519" s="28" t="s">
        <v>2748</v>
      </c>
      <c r="I1519" s="160" t="s">
        <v>346</v>
      </c>
      <c r="J1519" s="28" t="s">
        <v>7199</v>
      </c>
      <c r="K1519" s="63"/>
      <c r="L1519" s="53"/>
      <c r="M1519" s="27"/>
      <c r="N1519" s="29"/>
      <c r="O1519" s="197">
        <f>3500000</f>
        <v>3500000</v>
      </c>
      <c r="P1519" s="31">
        <f>2500000*12</f>
        <v>30000000</v>
      </c>
      <c r="Q1519" s="31"/>
      <c r="R1519" s="30"/>
      <c r="S1519" s="32">
        <v>5000000</v>
      </c>
      <c r="T1519" s="33"/>
      <c r="U1519" s="334">
        <v>45523</v>
      </c>
      <c r="V1519" s="334">
        <v>45887</v>
      </c>
      <c r="W1519" s="27" t="s">
        <v>250</v>
      </c>
      <c r="X1519" s="27"/>
      <c r="Y1519" s="34">
        <f t="shared" ca="1" si="72"/>
        <v>46290</v>
      </c>
      <c r="Z1519" s="35">
        <f t="shared" ca="1" si="71"/>
        <v>-403</v>
      </c>
      <c r="AA1519" s="27">
        <f t="shared" si="73"/>
        <v>8</v>
      </c>
      <c r="AB1519" s="27">
        <f t="shared" si="74"/>
        <v>2025</v>
      </c>
      <c r="AC1519" s="28"/>
      <c r="AD1519" s="28" t="s">
        <v>7200</v>
      </c>
      <c r="AE1519" s="27">
        <v>4500021050</v>
      </c>
      <c r="AF1519" s="27" t="s">
        <v>333</v>
      </c>
      <c r="AG1519" s="29" t="s">
        <v>7195</v>
      </c>
      <c r="AH1519" s="28" t="s">
        <v>7201</v>
      </c>
      <c r="AI1519" s="27"/>
      <c r="AJ1519" s="27"/>
      <c r="AK1519" s="27"/>
      <c r="AL1519" s="27"/>
      <c r="AM1519" s="27"/>
      <c r="AN1519" s="27"/>
      <c r="AO1519" s="27"/>
      <c r="AP1519" s="27" t="s">
        <v>7202</v>
      </c>
      <c r="AQ1519" s="27"/>
      <c r="AR1519" s="504"/>
      <c r="AS1519" s="332"/>
      <c r="AT1519" s="160"/>
    </row>
    <row r="1520" spans="1:46" ht="21.75" hidden="1" customHeight="1">
      <c r="A1520" s="331">
        <v>1519</v>
      </c>
      <c r="B1520" s="28" t="s">
        <v>7203</v>
      </c>
      <c r="C1520" s="28" t="s">
        <v>7204</v>
      </c>
      <c r="D1520" s="438" t="s">
        <v>7205</v>
      </c>
      <c r="E1520" s="361" t="str">
        <f t="shared" ca="1" si="69"/>
        <v>LOSS</v>
      </c>
      <c r="F1520" s="28"/>
      <c r="G1520" s="28" t="s">
        <v>7206</v>
      </c>
      <c r="H1520" s="28" t="s">
        <v>261</v>
      </c>
      <c r="I1520" s="361" t="s">
        <v>243</v>
      </c>
      <c r="J1520" s="28" t="s">
        <v>7207</v>
      </c>
      <c r="K1520" s="38" t="s">
        <v>7208</v>
      </c>
      <c r="L1520" s="51">
        <v>0.995</v>
      </c>
      <c r="M1520" s="27" t="s">
        <v>365</v>
      </c>
      <c r="N1520" s="29" t="s">
        <v>362</v>
      </c>
      <c r="O1520" s="56"/>
      <c r="P1520" s="52">
        <v>29400000</v>
      </c>
      <c r="Q1520" s="52"/>
      <c r="R1520" s="27"/>
      <c r="S1520" s="32">
        <v>120000000</v>
      </c>
      <c r="T1520" s="33"/>
      <c r="U1520" s="334">
        <v>44927</v>
      </c>
      <c r="V1520" s="334">
        <v>45291</v>
      </c>
      <c r="W1520" s="27" t="s">
        <v>245</v>
      </c>
      <c r="X1520" s="27"/>
      <c r="Y1520" s="34">
        <f t="shared" ca="1" si="72"/>
        <v>46290</v>
      </c>
      <c r="Z1520" s="35">
        <f t="shared" ca="1" si="71"/>
        <v>-999</v>
      </c>
      <c r="AA1520" s="27">
        <f t="shared" si="73"/>
        <v>12</v>
      </c>
      <c r="AB1520" s="27">
        <f t="shared" si="74"/>
        <v>2023</v>
      </c>
      <c r="AC1520" s="28">
        <v>4500017748</v>
      </c>
      <c r="AD1520" s="28">
        <v>12001</v>
      </c>
      <c r="AE1520" s="27">
        <v>4500019896</v>
      </c>
      <c r="AF1520" s="27" t="s">
        <v>471</v>
      </c>
      <c r="AG1520" s="29"/>
      <c r="AH1520" s="29"/>
      <c r="AI1520" s="27"/>
      <c r="AJ1520" s="27"/>
      <c r="AK1520" s="27"/>
      <c r="AL1520" s="27"/>
      <c r="AM1520" s="27"/>
      <c r="AN1520" s="27"/>
      <c r="AO1520" s="27">
        <v>4</v>
      </c>
      <c r="AP1520" s="27"/>
      <c r="AQ1520" s="27"/>
      <c r="AR1520" s="504"/>
      <c r="AS1520" s="332" t="s">
        <v>7209</v>
      </c>
      <c r="AT1520" s="160"/>
    </row>
    <row r="1521" spans="1:46" ht="21.75" hidden="1" customHeight="1">
      <c r="A1521" s="331">
        <v>1520</v>
      </c>
      <c r="B1521" s="28" t="s">
        <v>7203</v>
      </c>
      <c r="C1521" s="28" t="s">
        <v>7204</v>
      </c>
      <c r="D1521" s="437" t="s">
        <v>7205</v>
      </c>
      <c r="E1521" s="361" t="str">
        <f t="shared" ca="1" si="69"/>
        <v>LOSS</v>
      </c>
      <c r="F1521" s="27"/>
      <c r="G1521" s="28" t="s">
        <v>7206</v>
      </c>
      <c r="H1521" s="28" t="s">
        <v>261</v>
      </c>
      <c r="I1521" s="361" t="s">
        <v>243</v>
      </c>
      <c r="J1521" s="28" t="s">
        <v>7210</v>
      </c>
      <c r="K1521" s="63" t="s">
        <v>7211</v>
      </c>
      <c r="L1521" s="53">
        <v>0.995</v>
      </c>
      <c r="M1521" s="27" t="s">
        <v>365</v>
      </c>
      <c r="N1521" s="29" t="s">
        <v>389</v>
      </c>
      <c r="O1521" s="56"/>
      <c r="P1521" s="61">
        <v>49500000</v>
      </c>
      <c r="Q1521" s="61"/>
      <c r="R1521" s="27"/>
      <c r="S1521" s="33">
        <v>12000000</v>
      </c>
      <c r="T1521" s="33"/>
      <c r="U1521" s="334">
        <v>45231</v>
      </c>
      <c r="V1521" s="334">
        <v>45291</v>
      </c>
      <c r="W1521" s="27" t="s">
        <v>245</v>
      </c>
      <c r="X1521" s="27"/>
      <c r="Y1521" s="34">
        <f t="shared" ca="1" si="72"/>
        <v>46290</v>
      </c>
      <c r="Z1521" s="35">
        <f t="shared" ca="1" si="71"/>
        <v>-999</v>
      </c>
      <c r="AA1521" s="27">
        <f t="shared" si="73"/>
        <v>12</v>
      </c>
      <c r="AB1521" s="27">
        <f t="shared" si="74"/>
        <v>2023</v>
      </c>
      <c r="AC1521" s="28">
        <v>4500019896</v>
      </c>
      <c r="AD1521" s="28">
        <v>1548</v>
      </c>
      <c r="AE1521" s="27">
        <v>4500021578</v>
      </c>
      <c r="AF1521" s="27" t="s">
        <v>471</v>
      </c>
      <c r="AG1521" s="29"/>
      <c r="AH1521" s="29"/>
      <c r="AI1521" s="27"/>
      <c r="AJ1521" s="27"/>
      <c r="AK1521" s="27"/>
      <c r="AL1521" s="27"/>
      <c r="AM1521" s="27"/>
      <c r="AN1521" s="27"/>
      <c r="AO1521" s="27">
        <v>371</v>
      </c>
      <c r="AP1521" s="27"/>
      <c r="AQ1521" s="27"/>
      <c r="AR1521" s="504"/>
      <c r="AS1521" s="332" t="s">
        <v>7209</v>
      </c>
      <c r="AT1521" s="160"/>
    </row>
    <row r="1522" spans="1:46" ht="21.75" hidden="1" customHeight="1">
      <c r="A1522" s="331">
        <v>1521</v>
      </c>
      <c r="B1522" s="28" t="s">
        <v>7212</v>
      </c>
      <c r="C1522" s="28" t="s">
        <v>2641</v>
      </c>
      <c r="D1522" s="438" t="s">
        <v>7213</v>
      </c>
      <c r="E1522" s="361" t="str">
        <f t="shared" ca="1" si="69"/>
        <v>LOSS</v>
      </c>
      <c r="F1522" s="27"/>
      <c r="G1522" s="28" t="s">
        <v>7214</v>
      </c>
      <c r="H1522" s="28" t="s">
        <v>261</v>
      </c>
      <c r="I1522" s="361" t="s">
        <v>243</v>
      </c>
      <c r="J1522" s="28" t="s">
        <v>7215</v>
      </c>
      <c r="K1522" s="38" t="s">
        <v>7216</v>
      </c>
      <c r="L1522" s="62"/>
      <c r="M1522" s="27" t="s">
        <v>6776</v>
      </c>
      <c r="N1522" s="29" t="s">
        <v>389</v>
      </c>
      <c r="O1522" s="56"/>
      <c r="P1522" s="52"/>
      <c r="Q1522" s="52"/>
      <c r="R1522" s="27"/>
      <c r="S1522" s="33">
        <v>103000000</v>
      </c>
      <c r="T1522" s="33"/>
      <c r="U1522" s="334">
        <v>44531</v>
      </c>
      <c r="V1522" s="334">
        <v>44895</v>
      </c>
      <c r="W1522" s="27" t="s">
        <v>245</v>
      </c>
      <c r="X1522" s="27"/>
      <c r="Y1522" s="34">
        <f t="shared" ca="1" si="72"/>
        <v>46290</v>
      </c>
      <c r="Z1522" s="35">
        <f t="shared" ca="1" si="71"/>
        <v>-1395</v>
      </c>
      <c r="AA1522" s="27">
        <f t="shared" si="73"/>
        <v>11</v>
      </c>
      <c r="AB1522" s="27">
        <f t="shared" si="74"/>
        <v>2022</v>
      </c>
      <c r="AC1522" s="28"/>
      <c r="AD1522" s="28">
        <v>17250</v>
      </c>
      <c r="AE1522" s="27">
        <v>4500017257</v>
      </c>
      <c r="AF1522" s="27" t="s">
        <v>471</v>
      </c>
      <c r="AG1522" s="29"/>
      <c r="AH1522" s="29"/>
      <c r="AI1522" s="27"/>
      <c r="AJ1522" s="27"/>
      <c r="AK1522" s="27"/>
      <c r="AL1522" s="27"/>
      <c r="AM1522" s="27"/>
      <c r="AN1522" s="27"/>
      <c r="AO1522" s="27">
        <v>334</v>
      </c>
      <c r="AP1522" s="27"/>
      <c r="AQ1522" s="27"/>
      <c r="AR1522" s="504"/>
      <c r="AS1522" s="332" t="s">
        <v>7217</v>
      </c>
      <c r="AT1522" s="160"/>
    </row>
    <row r="1523" spans="1:46" ht="21.75" hidden="1" customHeight="1">
      <c r="A1523" s="331">
        <v>1522</v>
      </c>
      <c r="B1523" s="28" t="s">
        <v>7212</v>
      </c>
      <c r="C1523" s="28" t="s">
        <v>2641</v>
      </c>
      <c r="D1523" s="437" t="s">
        <v>7213</v>
      </c>
      <c r="E1523" s="361" t="str">
        <f t="shared" ca="1" si="69"/>
        <v>LOSS</v>
      </c>
      <c r="F1523" s="28"/>
      <c r="G1523" s="28" t="s">
        <v>7218</v>
      </c>
      <c r="H1523" s="28" t="s">
        <v>261</v>
      </c>
      <c r="I1523" s="361" t="s">
        <v>243</v>
      </c>
      <c r="J1523" s="28" t="s">
        <v>7219</v>
      </c>
      <c r="K1523" s="38" t="s">
        <v>7220</v>
      </c>
      <c r="L1523" s="62">
        <v>0.995</v>
      </c>
      <c r="M1523" s="27" t="s">
        <v>365</v>
      </c>
      <c r="N1523" s="29" t="s">
        <v>6739</v>
      </c>
      <c r="O1523" s="56"/>
      <c r="P1523" s="52">
        <v>114000000</v>
      </c>
      <c r="Q1523" s="52"/>
      <c r="R1523" s="27"/>
      <c r="S1523" s="32">
        <v>66000000</v>
      </c>
      <c r="T1523" s="33"/>
      <c r="U1523" s="334">
        <v>44293</v>
      </c>
      <c r="V1523" s="334">
        <v>44657</v>
      </c>
      <c r="W1523" s="27" t="s">
        <v>245</v>
      </c>
      <c r="X1523" s="27"/>
      <c r="Y1523" s="34">
        <f t="shared" ca="1" si="72"/>
        <v>46290</v>
      </c>
      <c r="Z1523" s="35">
        <f t="shared" ca="1" si="71"/>
        <v>-1633</v>
      </c>
      <c r="AA1523" s="27">
        <f t="shared" si="73"/>
        <v>4</v>
      </c>
      <c r="AB1523" s="27">
        <f t="shared" si="74"/>
        <v>2022</v>
      </c>
      <c r="AC1523" s="28"/>
      <c r="AD1523" s="28">
        <v>18289</v>
      </c>
      <c r="AE1523" s="27">
        <v>4500017818</v>
      </c>
      <c r="AF1523" s="27" t="s">
        <v>471</v>
      </c>
      <c r="AG1523" s="29"/>
      <c r="AH1523" s="29"/>
      <c r="AI1523" s="27"/>
      <c r="AJ1523" s="27"/>
      <c r="AK1523" s="27"/>
      <c r="AL1523" s="27"/>
      <c r="AM1523" s="27"/>
      <c r="AN1523" s="27"/>
      <c r="AO1523" s="27">
        <v>116</v>
      </c>
      <c r="AP1523" s="27"/>
      <c r="AQ1523" s="27"/>
      <c r="AR1523" s="504"/>
      <c r="AS1523" s="332"/>
      <c r="AT1523" s="160"/>
    </row>
    <row r="1524" spans="1:46" ht="21.75" hidden="1" customHeight="1">
      <c r="A1524" s="331">
        <v>1523</v>
      </c>
      <c r="B1524" s="28" t="s">
        <v>7212</v>
      </c>
      <c r="C1524" s="28" t="s">
        <v>2641</v>
      </c>
      <c r="D1524" s="438" t="s">
        <v>7213</v>
      </c>
      <c r="E1524" s="361" t="str">
        <f t="shared" ca="1" si="69"/>
        <v>LOSS</v>
      </c>
      <c r="F1524" s="28"/>
      <c r="G1524" s="28" t="s">
        <v>7218</v>
      </c>
      <c r="H1524" s="28" t="s">
        <v>261</v>
      </c>
      <c r="I1524" s="361" t="s">
        <v>243</v>
      </c>
      <c r="J1524" s="28" t="s">
        <v>2642</v>
      </c>
      <c r="K1524" s="38" t="s">
        <v>7221</v>
      </c>
      <c r="L1524" s="53">
        <v>0.995</v>
      </c>
      <c r="M1524" s="27" t="s">
        <v>365</v>
      </c>
      <c r="N1524" s="29" t="s">
        <v>417</v>
      </c>
      <c r="O1524" s="56"/>
      <c r="P1524" s="52">
        <v>108750000</v>
      </c>
      <c r="Q1524" s="52"/>
      <c r="R1524" s="27"/>
      <c r="S1524" s="32">
        <v>54000000</v>
      </c>
      <c r="T1524" s="33"/>
      <c r="U1524" s="334">
        <v>44743</v>
      </c>
      <c r="V1524" s="334">
        <v>45107</v>
      </c>
      <c r="W1524" s="27" t="s">
        <v>245</v>
      </c>
      <c r="X1524" s="27"/>
      <c r="Y1524" s="34">
        <f t="shared" ca="1" si="72"/>
        <v>46290</v>
      </c>
      <c r="Z1524" s="35">
        <f t="shared" ca="1" si="71"/>
        <v>-1183</v>
      </c>
      <c r="AA1524" s="27">
        <f t="shared" si="73"/>
        <v>6</v>
      </c>
      <c r="AB1524" s="27">
        <f t="shared" si="74"/>
        <v>2023</v>
      </c>
      <c r="AC1524" s="28">
        <v>4500016496</v>
      </c>
      <c r="AD1524" s="28">
        <v>19052</v>
      </c>
      <c r="AE1524" s="27">
        <v>4500018322</v>
      </c>
      <c r="AF1524" s="27" t="s">
        <v>471</v>
      </c>
      <c r="AG1524" s="29"/>
      <c r="AH1524" s="29"/>
      <c r="AI1524" s="27"/>
      <c r="AJ1524" s="27"/>
      <c r="AK1524" s="27"/>
      <c r="AL1524" s="27"/>
      <c r="AM1524" s="27"/>
      <c r="AN1524" s="27"/>
      <c r="AO1524" s="27">
        <v>189</v>
      </c>
      <c r="AP1524" s="27"/>
      <c r="AQ1524" s="27"/>
      <c r="AR1524" s="504"/>
      <c r="AS1524" s="332"/>
      <c r="AT1524" s="160"/>
    </row>
    <row r="1525" spans="1:46" ht="21.75" hidden="1" customHeight="1">
      <c r="A1525" s="331">
        <v>1524</v>
      </c>
      <c r="B1525" s="28" t="s">
        <v>7212</v>
      </c>
      <c r="C1525" s="28" t="s">
        <v>2641</v>
      </c>
      <c r="D1525" s="437" t="s">
        <v>7213</v>
      </c>
      <c r="E1525" s="361" t="str">
        <f t="shared" ca="1" si="69"/>
        <v>LOSS</v>
      </c>
      <c r="F1525" s="28"/>
      <c r="G1525" s="28" t="s">
        <v>7218</v>
      </c>
      <c r="H1525" s="28" t="s">
        <v>261</v>
      </c>
      <c r="I1525" s="361" t="s">
        <v>243</v>
      </c>
      <c r="J1525" s="28" t="s">
        <v>2642</v>
      </c>
      <c r="K1525" s="38" t="s">
        <v>7222</v>
      </c>
      <c r="L1525" s="53">
        <v>0.995</v>
      </c>
      <c r="M1525" s="27" t="s">
        <v>329</v>
      </c>
      <c r="N1525" s="29" t="s">
        <v>6897</v>
      </c>
      <c r="O1525" s="56"/>
      <c r="P1525" s="52">
        <v>108750000</v>
      </c>
      <c r="Q1525" s="52"/>
      <c r="R1525" s="27"/>
      <c r="S1525" s="32">
        <v>54000000</v>
      </c>
      <c r="T1525" s="33"/>
      <c r="U1525" s="334">
        <v>44743</v>
      </c>
      <c r="V1525" s="334">
        <v>44773</v>
      </c>
      <c r="W1525" s="27" t="s">
        <v>245</v>
      </c>
      <c r="X1525" s="27"/>
      <c r="Y1525" s="34">
        <f t="shared" ca="1" si="72"/>
        <v>46290</v>
      </c>
      <c r="Z1525" s="35">
        <f t="shared" ca="1" si="71"/>
        <v>-1517</v>
      </c>
      <c r="AA1525" s="27">
        <f t="shared" si="73"/>
        <v>7</v>
      </c>
      <c r="AB1525" s="27">
        <f t="shared" si="74"/>
        <v>2022</v>
      </c>
      <c r="AC1525" s="28">
        <v>4500016496</v>
      </c>
      <c r="AD1525" s="28">
        <v>19052</v>
      </c>
      <c r="AE1525" s="27">
        <v>4500018322</v>
      </c>
      <c r="AF1525" s="27" t="s">
        <v>471</v>
      </c>
      <c r="AG1525" s="29"/>
      <c r="AH1525" s="29"/>
      <c r="AI1525" s="27"/>
      <c r="AJ1525" s="27"/>
      <c r="AK1525" s="27"/>
      <c r="AL1525" s="27"/>
      <c r="AM1525" s="27"/>
      <c r="AN1525" s="27"/>
      <c r="AO1525" s="27">
        <v>189</v>
      </c>
      <c r="AP1525" s="27"/>
      <c r="AQ1525" s="27"/>
      <c r="AR1525" s="504"/>
      <c r="AS1525" s="332"/>
      <c r="AT1525" s="160"/>
    </row>
    <row r="1526" spans="1:46" ht="21.75" hidden="1" customHeight="1">
      <c r="A1526" s="331">
        <v>1525</v>
      </c>
      <c r="B1526" s="28" t="s">
        <v>7212</v>
      </c>
      <c r="C1526" s="28" t="s">
        <v>2641</v>
      </c>
      <c r="D1526" s="438" t="s">
        <v>7213</v>
      </c>
      <c r="E1526" s="361" t="str">
        <f t="shared" ca="1" si="69"/>
        <v>LOSS</v>
      </c>
      <c r="F1526" s="28"/>
      <c r="G1526" s="28" t="s">
        <v>7218</v>
      </c>
      <c r="H1526" s="28" t="s">
        <v>261</v>
      </c>
      <c r="I1526" s="361" t="s">
        <v>243</v>
      </c>
      <c r="J1526" s="28" t="s">
        <v>2642</v>
      </c>
      <c r="K1526" s="38" t="s">
        <v>7223</v>
      </c>
      <c r="L1526" s="53">
        <v>0.995</v>
      </c>
      <c r="M1526" s="27" t="s">
        <v>365</v>
      </c>
      <c r="N1526" s="29" t="s">
        <v>7224</v>
      </c>
      <c r="O1526" s="56"/>
      <c r="P1526" s="52">
        <v>108750000</v>
      </c>
      <c r="Q1526" s="52"/>
      <c r="R1526" s="27"/>
      <c r="S1526" s="32">
        <v>54000000</v>
      </c>
      <c r="T1526" s="33"/>
      <c r="U1526" s="334">
        <v>44743</v>
      </c>
      <c r="V1526" s="334">
        <v>44773</v>
      </c>
      <c r="W1526" s="27" t="s">
        <v>245</v>
      </c>
      <c r="X1526" s="27"/>
      <c r="Y1526" s="34">
        <f t="shared" ca="1" si="72"/>
        <v>46290</v>
      </c>
      <c r="Z1526" s="35">
        <f t="shared" ca="1" si="71"/>
        <v>-1517</v>
      </c>
      <c r="AA1526" s="27">
        <f t="shared" si="73"/>
        <v>7</v>
      </c>
      <c r="AB1526" s="27">
        <f t="shared" si="74"/>
        <v>2022</v>
      </c>
      <c r="AC1526" s="28">
        <v>4500016496</v>
      </c>
      <c r="AD1526" s="28">
        <v>19052</v>
      </c>
      <c r="AE1526" s="27">
        <v>4500018322</v>
      </c>
      <c r="AF1526" s="27" t="s">
        <v>471</v>
      </c>
      <c r="AG1526" s="29"/>
      <c r="AH1526" s="29"/>
      <c r="AI1526" s="27"/>
      <c r="AJ1526" s="27"/>
      <c r="AK1526" s="27"/>
      <c r="AL1526" s="27"/>
      <c r="AM1526" s="27"/>
      <c r="AN1526" s="27"/>
      <c r="AO1526" s="27">
        <v>189</v>
      </c>
      <c r="AP1526" s="27"/>
      <c r="AQ1526" s="27"/>
      <c r="AR1526" s="504"/>
      <c r="AS1526" s="332"/>
      <c r="AT1526" s="160"/>
    </row>
    <row r="1527" spans="1:46" ht="21.75" hidden="1" customHeight="1">
      <c r="A1527" s="331">
        <v>1526</v>
      </c>
      <c r="B1527" s="361" t="s">
        <v>664</v>
      </c>
      <c r="C1527" s="28" t="s">
        <v>7225</v>
      </c>
      <c r="D1527" s="437" t="s">
        <v>7226</v>
      </c>
      <c r="E1527" s="361" t="str">
        <f t="shared" ca="1" si="69"/>
        <v>LOSS</v>
      </c>
      <c r="F1527" s="29"/>
      <c r="G1527" s="28" t="s">
        <v>7227</v>
      </c>
      <c r="H1527" s="28" t="s">
        <v>261</v>
      </c>
      <c r="I1527" s="361" t="s">
        <v>243</v>
      </c>
      <c r="J1527" s="28" t="s">
        <v>7228</v>
      </c>
      <c r="K1527" s="28"/>
      <c r="L1527" s="27"/>
      <c r="M1527" s="27" t="s">
        <v>329</v>
      </c>
      <c r="N1527" s="29" t="s">
        <v>424</v>
      </c>
      <c r="O1527" s="56"/>
      <c r="P1527" s="61">
        <v>16909088</v>
      </c>
      <c r="Q1527" s="61"/>
      <c r="R1527" s="27"/>
      <c r="S1527" s="32">
        <v>12000000</v>
      </c>
      <c r="T1527" s="33"/>
      <c r="U1527" s="334">
        <v>44456</v>
      </c>
      <c r="V1527" s="334">
        <v>44820</v>
      </c>
      <c r="W1527" s="27" t="s">
        <v>245</v>
      </c>
      <c r="X1527" s="27"/>
      <c r="Y1527" s="34">
        <f t="shared" ca="1" si="72"/>
        <v>46290</v>
      </c>
      <c r="Z1527" s="35">
        <f t="shared" ca="1" si="71"/>
        <v>-1470</v>
      </c>
      <c r="AA1527" s="27">
        <f t="shared" si="73"/>
        <v>9</v>
      </c>
      <c r="AB1527" s="27">
        <f t="shared" si="74"/>
        <v>2022</v>
      </c>
      <c r="AC1527" s="28">
        <v>4500016559</v>
      </c>
      <c r="AD1527" s="28"/>
      <c r="AE1527" s="27">
        <v>4500016840</v>
      </c>
      <c r="AF1527" s="27" t="s">
        <v>471</v>
      </c>
      <c r="AG1527" s="29"/>
      <c r="AH1527" s="29"/>
      <c r="AI1527" s="27"/>
      <c r="AJ1527" s="27"/>
      <c r="AK1527" s="27"/>
      <c r="AL1527" s="27"/>
      <c r="AM1527" s="27"/>
      <c r="AN1527" s="27"/>
      <c r="AO1527" s="27">
        <v>313</v>
      </c>
      <c r="AP1527" s="27"/>
      <c r="AQ1527" s="27"/>
      <c r="AR1527" s="504"/>
      <c r="AS1527" s="332"/>
      <c r="AT1527" s="160"/>
    </row>
    <row r="1528" spans="1:46" ht="21.75" hidden="1" customHeight="1">
      <c r="A1528" s="331">
        <v>1527</v>
      </c>
      <c r="B1528" s="361" t="s">
        <v>664</v>
      </c>
      <c r="C1528" s="28" t="s">
        <v>7229</v>
      </c>
      <c r="D1528" s="438" t="s">
        <v>7226</v>
      </c>
      <c r="E1528" s="361" t="str">
        <f t="shared" ca="1" si="69"/>
        <v>LOSS</v>
      </c>
      <c r="F1528" s="27"/>
      <c r="G1528" s="28" t="s">
        <v>7230</v>
      </c>
      <c r="H1528" s="28" t="s">
        <v>261</v>
      </c>
      <c r="I1528" s="361" t="s">
        <v>243</v>
      </c>
      <c r="J1528" s="28" t="s">
        <v>7231</v>
      </c>
      <c r="K1528" s="38" t="s">
        <v>7232</v>
      </c>
      <c r="L1528" s="62">
        <v>0.995</v>
      </c>
      <c r="M1528" s="27" t="s">
        <v>329</v>
      </c>
      <c r="N1528" s="29" t="s">
        <v>6835</v>
      </c>
      <c r="O1528" s="56"/>
      <c r="P1528" s="52"/>
      <c r="Q1528" s="52"/>
      <c r="R1528" s="27"/>
      <c r="S1528" s="33">
        <v>22000000</v>
      </c>
      <c r="T1528" s="33"/>
      <c r="U1528" s="334">
        <v>44537</v>
      </c>
      <c r="V1528" s="334">
        <v>44901</v>
      </c>
      <c r="W1528" s="27" t="s">
        <v>245</v>
      </c>
      <c r="X1528" s="27"/>
      <c r="Y1528" s="34">
        <f t="shared" ca="1" si="72"/>
        <v>46290</v>
      </c>
      <c r="Z1528" s="35">
        <f t="shared" ca="1" si="71"/>
        <v>-1389</v>
      </c>
      <c r="AA1528" s="27">
        <f t="shared" si="73"/>
        <v>12</v>
      </c>
      <c r="AB1528" s="27">
        <f t="shared" si="74"/>
        <v>2022</v>
      </c>
      <c r="AC1528" s="28"/>
      <c r="AD1528" s="28">
        <v>17345</v>
      </c>
      <c r="AE1528" s="27">
        <v>4500017225</v>
      </c>
      <c r="AF1528" s="27" t="s">
        <v>471</v>
      </c>
      <c r="AG1528" s="29"/>
      <c r="AH1528" s="29"/>
      <c r="AI1528" s="27"/>
      <c r="AJ1528" s="27"/>
      <c r="AK1528" s="27"/>
      <c r="AL1528" s="27"/>
      <c r="AM1528" s="27"/>
      <c r="AN1528" s="27"/>
      <c r="AO1528" s="27">
        <v>335</v>
      </c>
      <c r="AP1528" s="27"/>
      <c r="AQ1528" s="27"/>
      <c r="AR1528" s="504"/>
      <c r="AS1528" s="332" t="s">
        <v>7217</v>
      </c>
      <c r="AT1528" s="160"/>
    </row>
    <row r="1529" spans="1:46" ht="21.75" hidden="1" customHeight="1">
      <c r="A1529" s="331">
        <v>1528</v>
      </c>
      <c r="B1529" s="361" t="s">
        <v>664</v>
      </c>
      <c r="C1529" s="28" t="s">
        <v>1470</v>
      </c>
      <c r="D1529" s="437" t="s">
        <v>7226</v>
      </c>
      <c r="E1529" s="361" t="str">
        <f t="shared" ca="1" si="69"/>
        <v>LOSS</v>
      </c>
      <c r="F1529" s="28"/>
      <c r="G1529" s="28" t="s">
        <v>7233</v>
      </c>
      <c r="H1529" s="28" t="s">
        <v>261</v>
      </c>
      <c r="I1529" s="361" t="s">
        <v>243</v>
      </c>
      <c r="J1529" s="28" t="s">
        <v>7234</v>
      </c>
      <c r="K1529" s="38" t="s">
        <v>7235</v>
      </c>
      <c r="L1529" s="53">
        <v>0.995</v>
      </c>
      <c r="M1529" s="27" t="s">
        <v>365</v>
      </c>
      <c r="N1529" s="29" t="s">
        <v>6885</v>
      </c>
      <c r="O1529" s="56"/>
      <c r="P1529" s="52">
        <v>36000000</v>
      </c>
      <c r="Q1529" s="52"/>
      <c r="R1529" s="27"/>
      <c r="S1529" s="32">
        <v>18000000</v>
      </c>
      <c r="T1529" s="33"/>
      <c r="U1529" s="334">
        <v>44819</v>
      </c>
      <c r="V1529" s="334">
        <v>45183</v>
      </c>
      <c r="W1529" s="27" t="s">
        <v>245</v>
      </c>
      <c r="X1529" s="27"/>
      <c r="Y1529" s="34">
        <f t="shared" ca="1" si="72"/>
        <v>46290</v>
      </c>
      <c r="Z1529" s="35">
        <f t="shared" ca="1" si="71"/>
        <v>-1107</v>
      </c>
      <c r="AA1529" s="27">
        <f t="shared" si="73"/>
        <v>9</v>
      </c>
      <c r="AB1529" s="27">
        <f t="shared" si="74"/>
        <v>2023</v>
      </c>
      <c r="AC1529" s="28">
        <v>4500017606</v>
      </c>
      <c r="AD1529" s="28">
        <v>19386</v>
      </c>
      <c r="AE1529" s="27">
        <v>4500018653</v>
      </c>
      <c r="AF1529" s="27" t="s">
        <v>471</v>
      </c>
      <c r="AG1529" s="29"/>
      <c r="AH1529" s="29"/>
      <c r="AI1529" s="27"/>
      <c r="AJ1529" s="27"/>
      <c r="AK1529" s="27"/>
      <c r="AL1529" s="27"/>
      <c r="AM1529" s="27"/>
      <c r="AN1529" s="27"/>
      <c r="AO1529" s="27">
        <v>278</v>
      </c>
      <c r="AP1529" s="27"/>
      <c r="AQ1529" s="27"/>
      <c r="AR1529" s="504"/>
      <c r="AS1529" s="332"/>
      <c r="AT1529" s="160"/>
    </row>
    <row r="1530" spans="1:46" ht="21.75" hidden="1" customHeight="1">
      <c r="A1530" s="331">
        <v>1529</v>
      </c>
      <c r="B1530" s="361" t="s">
        <v>664</v>
      </c>
      <c r="C1530" s="28" t="s">
        <v>585</v>
      </c>
      <c r="D1530" s="438" t="s">
        <v>7226</v>
      </c>
      <c r="E1530" s="361" t="str">
        <f t="shared" ca="1" si="69"/>
        <v>LOSS</v>
      </c>
      <c r="F1530" s="28"/>
      <c r="G1530" s="28" t="s">
        <v>7236</v>
      </c>
      <c r="H1530" s="28" t="s">
        <v>261</v>
      </c>
      <c r="I1530" s="361" t="s">
        <v>243</v>
      </c>
      <c r="J1530" s="28" t="s">
        <v>1982</v>
      </c>
      <c r="K1530" s="38" t="s">
        <v>7237</v>
      </c>
      <c r="L1530" s="51">
        <v>0.995</v>
      </c>
      <c r="M1530" s="27" t="s">
        <v>329</v>
      </c>
      <c r="N1530" s="29" t="s">
        <v>7238</v>
      </c>
      <c r="O1530" s="56"/>
      <c r="P1530" s="52">
        <v>34560000</v>
      </c>
      <c r="Q1530" s="52"/>
      <c r="R1530" s="56"/>
      <c r="S1530" s="32">
        <v>12000000</v>
      </c>
      <c r="T1530" s="33"/>
      <c r="U1530" s="334">
        <v>45269</v>
      </c>
      <c r="V1530" s="334">
        <v>45634</v>
      </c>
      <c r="W1530" s="27" t="s">
        <v>245</v>
      </c>
      <c r="X1530" s="27"/>
      <c r="Y1530" s="34">
        <f t="shared" ca="1" si="72"/>
        <v>46290</v>
      </c>
      <c r="Z1530" s="35">
        <f t="shared" ca="1" si="71"/>
        <v>-656</v>
      </c>
      <c r="AA1530" s="27">
        <f t="shared" si="73"/>
        <v>12</v>
      </c>
      <c r="AB1530" s="27">
        <f t="shared" si="74"/>
        <v>2024</v>
      </c>
      <c r="AC1530" s="28">
        <v>4500019147</v>
      </c>
      <c r="AD1530" s="28">
        <v>2358</v>
      </c>
      <c r="AE1530" s="27">
        <v>4500022036</v>
      </c>
      <c r="AF1530" s="27" t="s">
        <v>471</v>
      </c>
      <c r="AG1530" s="29" t="s">
        <v>7239</v>
      </c>
      <c r="AH1530" s="29" t="s">
        <v>7240</v>
      </c>
      <c r="AI1530" s="27"/>
      <c r="AJ1530" s="27"/>
      <c r="AK1530" s="27"/>
      <c r="AL1530" s="27"/>
      <c r="AM1530" s="27"/>
      <c r="AN1530" s="27" t="s">
        <v>7241</v>
      </c>
      <c r="AO1530" s="27" t="s">
        <v>7242</v>
      </c>
      <c r="AP1530" s="27"/>
      <c r="AQ1530" s="27"/>
      <c r="AR1530" s="504"/>
      <c r="AS1530" s="332" t="s">
        <v>7243</v>
      </c>
      <c r="AT1530" s="160"/>
    </row>
    <row r="1531" spans="1:46" ht="21.75" hidden="1" customHeight="1">
      <c r="A1531" s="331">
        <v>1530</v>
      </c>
      <c r="B1531" s="361" t="s">
        <v>664</v>
      </c>
      <c r="C1531" s="28" t="s">
        <v>6839</v>
      </c>
      <c r="D1531" s="437" t="s">
        <v>7226</v>
      </c>
      <c r="E1531" s="361" t="str">
        <f t="shared" ca="1" si="69"/>
        <v>LOSS</v>
      </c>
      <c r="F1531" s="28"/>
      <c r="G1531" s="28" t="s">
        <v>6840</v>
      </c>
      <c r="H1531" s="28" t="s">
        <v>261</v>
      </c>
      <c r="I1531" s="361" t="s">
        <v>243</v>
      </c>
      <c r="J1531" s="28" t="s">
        <v>2265</v>
      </c>
      <c r="K1531" s="38" t="s">
        <v>7244</v>
      </c>
      <c r="L1531" s="60">
        <v>0.995</v>
      </c>
      <c r="M1531" s="27" t="s">
        <v>329</v>
      </c>
      <c r="N1531" s="29" t="s">
        <v>6885</v>
      </c>
      <c r="O1531" s="56"/>
      <c r="P1531" s="52">
        <v>84000000</v>
      </c>
      <c r="Q1531" s="52"/>
      <c r="R1531" s="27"/>
      <c r="S1531" s="32">
        <v>14400000</v>
      </c>
      <c r="T1531" s="33"/>
      <c r="U1531" s="334">
        <v>45014</v>
      </c>
      <c r="V1531" s="334">
        <v>45379</v>
      </c>
      <c r="W1531" s="27" t="s">
        <v>245</v>
      </c>
      <c r="X1531" s="27"/>
      <c r="Y1531" s="34">
        <f t="shared" ca="1" si="72"/>
        <v>46290</v>
      </c>
      <c r="Z1531" s="35">
        <f t="shared" ca="1" si="71"/>
        <v>-911</v>
      </c>
      <c r="AA1531" s="27">
        <f t="shared" si="73"/>
        <v>3</v>
      </c>
      <c r="AB1531" s="27">
        <f t="shared" si="74"/>
        <v>2024</v>
      </c>
      <c r="AC1531" s="28">
        <v>4500017906</v>
      </c>
      <c r="AD1531" s="28">
        <v>21790</v>
      </c>
      <c r="AE1531" s="27">
        <v>4500020206</v>
      </c>
      <c r="AF1531" s="27" t="s">
        <v>471</v>
      </c>
      <c r="AG1531" s="29"/>
      <c r="AH1531" s="29"/>
      <c r="AI1531" s="27"/>
      <c r="AJ1531" s="27"/>
      <c r="AK1531" s="27"/>
      <c r="AL1531" s="27"/>
      <c r="AM1531" s="27"/>
      <c r="AN1531" s="27"/>
      <c r="AO1531" s="27">
        <v>92</v>
      </c>
      <c r="AP1531" s="27"/>
      <c r="AQ1531" s="27"/>
      <c r="AR1531" s="504"/>
      <c r="AS1531" s="332" t="s">
        <v>7245</v>
      </c>
      <c r="AT1531" s="160"/>
    </row>
    <row r="1532" spans="1:46" ht="21.75" hidden="1" customHeight="1">
      <c r="A1532" s="331">
        <v>1531</v>
      </c>
      <c r="B1532" s="28" t="s">
        <v>7246</v>
      </c>
      <c r="C1532" s="28" t="s">
        <v>7247</v>
      </c>
      <c r="D1532" s="438" t="s">
        <v>7248</v>
      </c>
      <c r="E1532" s="361" t="str">
        <f t="shared" ca="1" si="69"/>
        <v>LOSS</v>
      </c>
      <c r="F1532" s="28" t="s">
        <v>7249</v>
      </c>
      <c r="G1532" s="28"/>
      <c r="H1532" s="28" t="s">
        <v>261</v>
      </c>
      <c r="I1532" s="361" t="s">
        <v>243</v>
      </c>
      <c r="J1532" s="28" t="s">
        <v>1485</v>
      </c>
      <c r="K1532" s="38" t="s">
        <v>7250</v>
      </c>
      <c r="L1532" s="53">
        <v>0.995</v>
      </c>
      <c r="M1532" s="27" t="s">
        <v>7251</v>
      </c>
      <c r="N1532" s="29" t="s">
        <v>494</v>
      </c>
      <c r="O1532" s="56"/>
      <c r="P1532" s="52">
        <v>186000000</v>
      </c>
      <c r="Q1532" s="52"/>
      <c r="R1532" s="27"/>
      <c r="S1532" s="32">
        <v>66000000</v>
      </c>
      <c r="T1532" s="33"/>
      <c r="U1532" s="334">
        <v>44866</v>
      </c>
      <c r="V1532" s="334">
        <v>45230</v>
      </c>
      <c r="W1532" s="27" t="s">
        <v>245</v>
      </c>
      <c r="X1532" s="27"/>
      <c r="Y1532" s="34">
        <f t="shared" ca="1" si="72"/>
        <v>46290</v>
      </c>
      <c r="Z1532" s="35">
        <f t="shared" ca="1" si="71"/>
        <v>-1060</v>
      </c>
      <c r="AA1532" s="27">
        <f t="shared" si="73"/>
        <v>10</v>
      </c>
      <c r="AB1532" s="27">
        <f t="shared" si="74"/>
        <v>2023</v>
      </c>
      <c r="AC1532" s="28">
        <v>4500017316</v>
      </c>
      <c r="AD1532" s="28">
        <v>19926</v>
      </c>
      <c r="AE1532" s="27">
        <v>4500018896</v>
      </c>
      <c r="AF1532" s="27" t="s">
        <v>471</v>
      </c>
      <c r="AG1532" s="29"/>
      <c r="AH1532" s="29"/>
      <c r="AI1532" s="27"/>
      <c r="AJ1532" s="27"/>
      <c r="AK1532" s="27"/>
      <c r="AL1532" s="27"/>
      <c r="AM1532" s="27"/>
      <c r="AN1532" s="27"/>
      <c r="AO1532" s="27">
        <v>317</v>
      </c>
      <c r="AP1532" s="27"/>
      <c r="AQ1532" s="27"/>
      <c r="AR1532" s="504"/>
      <c r="AS1532" s="332"/>
      <c r="AT1532" s="160"/>
    </row>
    <row r="1533" spans="1:46" ht="21.75" hidden="1" customHeight="1">
      <c r="A1533" s="331">
        <v>1532</v>
      </c>
      <c r="B1533" s="28" t="s">
        <v>7252</v>
      </c>
      <c r="C1533" s="28" t="s">
        <v>7253</v>
      </c>
      <c r="D1533" s="437" t="s">
        <v>7254</v>
      </c>
      <c r="E1533" s="361" t="str">
        <f t="shared" ca="1" si="69"/>
        <v>LOSS</v>
      </c>
      <c r="F1533" s="27" t="s">
        <v>7255</v>
      </c>
      <c r="G1533" s="28" t="s">
        <v>7256</v>
      </c>
      <c r="H1533" s="28" t="s">
        <v>261</v>
      </c>
      <c r="I1533" s="361" t="s">
        <v>243</v>
      </c>
      <c r="J1533" s="28" t="s">
        <v>7257</v>
      </c>
      <c r="K1533" s="38" t="s">
        <v>7258</v>
      </c>
      <c r="L1533" s="62">
        <v>0.995</v>
      </c>
      <c r="M1533" s="27" t="s">
        <v>7259</v>
      </c>
      <c r="N1533" s="29" t="s">
        <v>417</v>
      </c>
      <c r="O1533" s="56"/>
      <c r="P1533" s="52">
        <v>101250000</v>
      </c>
      <c r="Q1533" s="52"/>
      <c r="R1533" s="27"/>
      <c r="S1533" s="33">
        <f>82000000/12</f>
        <v>6833333.333333333</v>
      </c>
      <c r="T1533" s="33"/>
      <c r="U1533" s="334">
        <v>44562</v>
      </c>
      <c r="V1533" s="334">
        <v>44926</v>
      </c>
      <c r="W1533" s="27" t="s">
        <v>245</v>
      </c>
      <c r="X1533" s="27"/>
      <c r="Y1533" s="34">
        <f t="shared" ca="1" si="72"/>
        <v>46290</v>
      </c>
      <c r="Z1533" s="35">
        <f t="shared" ca="1" si="71"/>
        <v>-1364</v>
      </c>
      <c r="AA1533" s="27">
        <f t="shared" si="73"/>
        <v>12</v>
      </c>
      <c r="AB1533" s="27">
        <f t="shared" si="74"/>
        <v>2022</v>
      </c>
      <c r="AC1533" s="28">
        <v>4500015487</v>
      </c>
      <c r="AD1533" s="28">
        <v>16939</v>
      </c>
      <c r="AE1533" s="27">
        <v>4500017463</v>
      </c>
      <c r="AF1533" s="27" t="s">
        <v>471</v>
      </c>
      <c r="AG1533" s="29"/>
      <c r="AH1533" s="29"/>
      <c r="AI1533" s="27"/>
      <c r="AJ1533" s="27"/>
      <c r="AK1533" s="27"/>
      <c r="AL1533" s="27"/>
      <c r="AM1533" s="27"/>
      <c r="AN1533" s="27"/>
      <c r="AO1533" s="27">
        <v>91</v>
      </c>
      <c r="AP1533" s="27"/>
      <c r="AQ1533" s="27"/>
      <c r="AR1533" s="504"/>
      <c r="AS1533" s="332"/>
      <c r="AT1533" s="160"/>
    </row>
    <row r="1534" spans="1:46" ht="21.75" hidden="1" customHeight="1">
      <c r="A1534" s="331">
        <v>1533</v>
      </c>
      <c r="B1534" s="28" t="s">
        <v>7252</v>
      </c>
      <c r="C1534" s="28" t="s">
        <v>7260</v>
      </c>
      <c r="D1534" s="438" t="s">
        <v>7254</v>
      </c>
      <c r="E1534" s="361" t="str">
        <f t="shared" ca="1" si="69"/>
        <v>LOSS</v>
      </c>
      <c r="F1534" s="27" t="s">
        <v>7255</v>
      </c>
      <c r="G1534" s="28" t="s">
        <v>7261</v>
      </c>
      <c r="H1534" s="28" t="s">
        <v>261</v>
      </c>
      <c r="I1534" s="361" t="s">
        <v>243</v>
      </c>
      <c r="J1534" s="28" t="s">
        <v>753</v>
      </c>
      <c r="K1534" s="38" t="s">
        <v>7262</v>
      </c>
      <c r="L1534" s="62"/>
      <c r="M1534" s="27" t="s">
        <v>7259</v>
      </c>
      <c r="N1534" s="29" t="s">
        <v>417</v>
      </c>
      <c r="O1534" s="56"/>
      <c r="P1534" s="52">
        <v>101250000</v>
      </c>
      <c r="Q1534" s="52"/>
      <c r="R1534" s="27"/>
      <c r="S1534" s="33">
        <v>82000000</v>
      </c>
      <c r="T1534" s="33"/>
      <c r="U1534" s="334">
        <v>44531</v>
      </c>
      <c r="V1534" s="334">
        <v>44926</v>
      </c>
      <c r="W1534" s="27" t="s">
        <v>245</v>
      </c>
      <c r="X1534" s="27"/>
      <c r="Y1534" s="34">
        <f t="shared" ca="1" si="72"/>
        <v>46290</v>
      </c>
      <c r="Z1534" s="35">
        <f t="shared" ca="1" si="71"/>
        <v>-1364</v>
      </c>
      <c r="AA1534" s="27">
        <f t="shared" si="73"/>
        <v>12</v>
      </c>
      <c r="AB1534" s="27">
        <f t="shared" si="74"/>
        <v>2022</v>
      </c>
      <c r="AC1534" s="28">
        <v>4500015361</v>
      </c>
      <c r="AD1534" s="28">
        <v>16939</v>
      </c>
      <c r="AE1534" s="27">
        <v>4500017463</v>
      </c>
      <c r="AF1534" s="27" t="s">
        <v>471</v>
      </c>
      <c r="AG1534" s="29"/>
      <c r="AH1534" s="29"/>
      <c r="AI1534" s="27"/>
      <c r="AJ1534" s="27"/>
      <c r="AK1534" s="27"/>
      <c r="AL1534" s="27"/>
      <c r="AM1534" s="27"/>
      <c r="AN1534" s="27"/>
      <c r="AO1534" s="27"/>
      <c r="AP1534" s="27"/>
      <c r="AQ1534" s="27"/>
      <c r="AR1534" s="504"/>
      <c r="AS1534" s="332"/>
      <c r="AT1534" s="160"/>
    </row>
    <row r="1535" spans="1:46" ht="21.75" hidden="1" customHeight="1">
      <c r="A1535" s="331">
        <v>1534</v>
      </c>
      <c r="B1535" s="28" t="s">
        <v>7263</v>
      </c>
      <c r="C1535" s="28" t="s">
        <v>1380</v>
      </c>
      <c r="D1535" s="437" t="s">
        <v>7254</v>
      </c>
      <c r="E1535" s="361" t="str">
        <f t="shared" ca="1" si="69"/>
        <v>LOSS</v>
      </c>
      <c r="F1535" s="28" t="s">
        <v>7264</v>
      </c>
      <c r="G1535" s="28" t="s">
        <v>7265</v>
      </c>
      <c r="H1535" s="28" t="s">
        <v>261</v>
      </c>
      <c r="I1535" s="361" t="s">
        <v>243</v>
      </c>
      <c r="J1535" s="28" t="s">
        <v>2252</v>
      </c>
      <c r="K1535" s="38" t="s">
        <v>7266</v>
      </c>
      <c r="L1535" s="60">
        <v>0.995</v>
      </c>
      <c r="M1535" s="27" t="s">
        <v>7267</v>
      </c>
      <c r="N1535" s="29" t="s">
        <v>494</v>
      </c>
      <c r="O1535" s="56"/>
      <c r="P1535" s="52">
        <v>120000000</v>
      </c>
      <c r="Q1535" s="52"/>
      <c r="R1535" s="56"/>
      <c r="S1535" s="32">
        <v>66000000</v>
      </c>
      <c r="T1535" s="33"/>
      <c r="U1535" s="334">
        <v>45029</v>
      </c>
      <c r="V1535" s="334">
        <v>45394</v>
      </c>
      <c r="W1535" s="27" t="s">
        <v>245</v>
      </c>
      <c r="X1535" s="27"/>
      <c r="Y1535" s="34">
        <f t="shared" ca="1" si="72"/>
        <v>46290</v>
      </c>
      <c r="Z1535" s="35">
        <f t="shared" ca="1" si="71"/>
        <v>-896</v>
      </c>
      <c r="AA1535" s="27">
        <f t="shared" si="73"/>
        <v>4</v>
      </c>
      <c r="AB1535" s="27">
        <f t="shared" si="74"/>
        <v>2024</v>
      </c>
      <c r="AC1535" s="28">
        <v>4500017846</v>
      </c>
      <c r="AD1535" s="28">
        <v>21833</v>
      </c>
      <c r="AE1535" s="27">
        <v>4500020214</v>
      </c>
      <c r="AF1535" s="27" t="s">
        <v>471</v>
      </c>
      <c r="AG1535" s="29"/>
      <c r="AH1535" s="29"/>
      <c r="AI1535" s="27"/>
      <c r="AJ1535" s="27"/>
      <c r="AK1535" s="27"/>
      <c r="AL1535" s="27"/>
      <c r="AM1535" s="27"/>
      <c r="AN1535" s="27"/>
      <c r="AO1535" s="27">
        <v>86</v>
      </c>
      <c r="AP1535" s="27"/>
      <c r="AQ1535" s="27"/>
      <c r="AR1535" s="504"/>
      <c r="AS1535" s="332" t="s">
        <v>7268</v>
      </c>
      <c r="AT1535" s="160"/>
    </row>
    <row r="1536" spans="1:46" ht="21.75" hidden="1" customHeight="1">
      <c r="A1536" s="331">
        <v>1535</v>
      </c>
      <c r="B1536" s="28" t="s">
        <v>7269</v>
      </c>
      <c r="C1536" s="28" t="s">
        <v>7270</v>
      </c>
      <c r="D1536" s="445"/>
      <c r="E1536" s="361" t="str">
        <f t="shared" ca="1" si="69"/>
        <v>LOSS</v>
      </c>
      <c r="F1536" s="27"/>
      <c r="G1536" s="28"/>
      <c r="H1536" s="28" t="s">
        <v>261</v>
      </c>
      <c r="I1536" s="361" t="s">
        <v>243</v>
      </c>
      <c r="J1536" s="28"/>
      <c r="K1536" s="57">
        <v>990000320321199</v>
      </c>
      <c r="L1536" s="35"/>
      <c r="M1536" s="27" t="s">
        <v>7271</v>
      </c>
      <c r="N1536" s="29" t="s">
        <v>417</v>
      </c>
      <c r="O1536" s="56"/>
      <c r="P1536" s="64">
        <v>792000</v>
      </c>
      <c r="Q1536" s="64"/>
      <c r="R1536" s="27"/>
      <c r="S1536" s="33">
        <v>55200000</v>
      </c>
      <c r="T1536" s="33"/>
      <c r="U1536" s="334">
        <v>44197</v>
      </c>
      <c r="V1536" s="334">
        <v>44561</v>
      </c>
      <c r="W1536" s="27" t="s">
        <v>245</v>
      </c>
      <c r="X1536" s="27"/>
      <c r="Y1536" s="34">
        <f t="shared" ca="1" si="72"/>
        <v>46290</v>
      </c>
      <c r="Z1536" s="35">
        <f t="shared" ca="1" si="71"/>
        <v>-1729</v>
      </c>
      <c r="AA1536" s="27">
        <f t="shared" si="73"/>
        <v>12</v>
      </c>
      <c r="AB1536" s="27">
        <f t="shared" si="74"/>
        <v>2021</v>
      </c>
      <c r="AC1536" s="38"/>
      <c r="AD1536" s="38" t="s">
        <v>115</v>
      </c>
      <c r="AE1536" s="27">
        <v>4500015654</v>
      </c>
      <c r="AF1536" s="27" t="s">
        <v>471</v>
      </c>
      <c r="AG1536" s="29"/>
      <c r="AH1536" s="29"/>
      <c r="AI1536" s="27"/>
      <c r="AJ1536" s="27"/>
      <c r="AK1536" s="27"/>
      <c r="AL1536" s="27"/>
      <c r="AM1536" s="27"/>
      <c r="AN1536" s="27"/>
      <c r="AO1536" s="27">
        <v>167</v>
      </c>
      <c r="AP1536" s="27"/>
      <c r="AQ1536" s="27"/>
      <c r="AR1536" s="504"/>
      <c r="AS1536" s="333" t="s">
        <v>115</v>
      </c>
      <c r="AT1536" s="160"/>
    </row>
    <row r="1537" spans="1:46" ht="21.75" hidden="1" customHeight="1">
      <c r="A1537" s="331">
        <v>1536</v>
      </c>
      <c r="B1537" s="28" t="s">
        <v>7269</v>
      </c>
      <c r="C1537" s="28" t="s">
        <v>7272</v>
      </c>
      <c r="D1537" s="446"/>
      <c r="E1537" s="361" t="str">
        <f t="shared" ca="1" si="69"/>
        <v>LOSS</v>
      </c>
      <c r="F1537" s="27"/>
      <c r="G1537" s="28" t="s">
        <v>7273</v>
      </c>
      <c r="H1537" s="28" t="s">
        <v>261</v>
      </c>
      <c r="I1537" s="361" t="s">
        <v>243</v>
      </c>
      <c r="J1537" s="28"/>
      <c r="K1537" s="63" t="s">
        <v>7274</v>
      </c>
      <c r="L1537" s="66"/>
      <c r="M1537" s="27" t="s">
        <v>7091</v>
      </c>
      <c r="N1537" s="29" t="s">
        <v>417</v>
      </c>
      <c r="O1537" s="56"/>
      <c r="P1537" s="64"/>
      <c r="Q1537" s="64"/>
      <c r="R1537" s="27"/>
      <c r="S1537" s="33">
        <v>21120000</v>
      </c>
      <c r="T1537" s="33"/>
      <c r="U1537" s="334">
        <v>44197</v>
      </c>
      <c r="V1537" s="334">
        <v>44561</v>
      </c>
      <c r="W1537" s="27" t="s">
        <v>245</v>
      </c>
      <c r="X1537" s="27"/>
      <c r="Y1537" s="34">
        <f t="shared" ca="1" si="72"/>
        <v>46290</v>
      </c>
      <c r="Z1537" s="35">
        <f t="shared" ca="1" si="71"/>
        <v>-1729</v>
      </c>
      <c r="AA1537" s="27">
        <f t="shared" si="73"/>
        <v>12</v>
      </c>
      <c r="AB1537" s="27">
        <f t="shared" si="74"/>
        <v>2021</v>
      </c>
      <c r="AC1537" s="38"/>
      <c r="AD1537" s="38" t="s">
        <v>115</v>
      </c>
      <c r="AE1537" s="27">
        <v>4500015605</v>
      </c>
      <c r="AF1537" s="27" t="s">
        <v>471</v>
      </c>
      <c r="AG1537" s="29"/>
      <c r="AH1537" s="29"/>
      <c r="AI1537" s="27"/>
      <c r="AJ1537" s="27"/>
      <c r="AK1537" s="27"/>
      <c r="AL1537" s="27"/>
      <c r="AM1537" s="27"/>
      <c r="AN1537" s="27"/>
      <c r="AO1537" s="27">
        <v>201</v>
      </c>
      <c r="AP1537" s="27"/>
      <c r="AQ1537" s="27"/>
      <c r="AR1537" s="504"/>
      <c r="AS1537" s="333" t="s">
        <v>115</v>
      </c>
      <c r="AT1537" s="160"/>
    </row>
    <row r="1538" spans="1:46" ht="21.75" hidden="1" customHeight="1">
      <c r="A1538" s="331">
        <v>1537</v>
      </c>
      <c r="B1538" s="28" t="s">
        <v>7275</v>
      </c>
      <c r="C1538" s="28" t="s">
        <v>1206</v>
      </c>
      <c r="D1538" s="438" t="s">
        <v>7276</v>
      </c>
      <c r="E1538" s="361" t="str">
        <f t="shared" ref="E1538:E1601" ca="1" si="75">IF(Z1538&lt;=0, "LOSS",IF(Z1538&lt;=15, "CRITICAL",IF(Z1538&lt;=30, "WARNING",IF(Z1538&lt;60, "ATTENTION", "ON TRACK"))))</f>
        <v>LOSS</v>
      </c>
      <c r="F1538" s="28" t="s">
        <v>7255</v>
      </c>
      <c r="G1538" s="28" t="s">
        <v>7277</v>
      </c>
      <c r="H1538" s="28" t="s">
        <v>261</v>
      </c>
      <c r="I1538" s="361" t="s">
        <v>243</v>
      </c>
      <c r="J1538" s="28" t="s">
        <v>1495</v>
      </c>
      <c r="K1538" s="38" t="s">
        <v>7278</v>
      </c>
      <c r="L1538" s="53">
        <v>0.995</v>
      </c>
      <c r="M1538" s="27" t="s">
        <v>329</v>
      </c>
      <c r="N1538" s="29" t="s">
        <v>417</v>
      </c>
      <c r="O1538" s="56"/>
      <c r="P1538" s="52">
        <v>6442419</v>
      </c>
      <c r="Q1538" s="52"/>
      <c r="R1538" s="27"/>
      <c r="S1538" s="32">
        <v>18270975</v>
      </c>
      <c r="T1538" s="33"/>
      <c r="U1538" s="334">
        <v>44546</v>
      </c>
      <c r="V1538" s="334">
        <v>44661</v>
      </c>
      <c r="W1538" s="27" t="s">
        <v>245</v>
      </c>
      <c r="X1538" s="27"/>
      <c r="Y1538" s="34">
        <f t="shared" ca="1" si="72"/>
        <v>46290</v>
      </c>
      <c r="Z1538" s="35">
        <f t="shared" ca="1" si="71"/>
        <v>-1629</v>
      </c>
      <c r="AA1538" s="27">
        <f t="shared" si="73"/>
        <v>4</v>
      </c>
      <c r="AB1538" s="27">
        <f t="shared" si="74"/>
        <v>2022</v>
      </c>
      <c r="AC1538" s="28">
        <v>4500015652</v>
      </c>
      <c r="AD1538" s="28">
        <v>17691</v>
      </c>
      <c r="AE1538" s="27">
        <v>4500017860</v>
      </c>
      <c r="AF1538" s="27" t="s">
        <v>471</v>
      </c>
      <c r="AG1538" s="29"/>
      <c r="AH1538" s="29"/>
      <c r="AI1538" s="27"/>
      <c r="AJ1538" s="27"/>
      <c r="AK1538" s="27"/>
      <c r="AL1538" s="27"/>
      <c r="AM1538" s="27"/>
      <c r="AN1538" s="27"/>
      <c r="AO1538" s="27">
        <v>113</v>
      </c>
      <c r="AP1538" s="27"/>
      <c r="AQ1538" s="27"/>
      <c r="AR1538" s="504"/>
      <c r="AS1538" s="332"/>
      <c r="AT1538" s="160"/>
    </row>
    <row r="1539" spans="1:46" ht="21.75" hidden="1" customHeight="1">
      <c r="A1539" s="331">
        <v>1538</v>
      </c>
      <c r="B1539" s="28" t="s">
        <v>7279</v>
      </c>
      <c r="C1539" s="28" t="s">
        <v>7280</v>
      </c>
      <c r="D1539" s="437" t="s">
        <v>7281</v>
      </c>
      <c r="E1539" s="361" t="str">
        <f t="shared" ca="1" si="75"/>
        <v>LOSS</v>
      </c>
      <c r="F1539" s="29"/>
      <c r="G1539" s="28" t="s">
        <v>7282</v>
      </c>
      <c r="H1539" s="28" t="s">
        <v>261</v>
      </c>
      <c r="I1539" s="361" t="s">
        <v>243</v>
      </c>
      <c r="J1539" s="28" t="s">
        <v>1349</v>
      </c>
      <c r="K1539" s="28"/>
      <c r="L1539" s="27"/>
      <c r="M1539" s="27" t="s">
        <v>6776</v>
      </c>
      <c r="N1539" s="29" t="s">
        <v>494</v>
      </c>
      <c r="O1539" s="56"/>
      <c r="P1539" s="61">
        <v>12100000</v>
      </c>
      <c r="Q1539" s="61"/>
      <c r="R1539" s="27"/>
      <c r="S1539" s="32">
        <v>3300557</v>
      </c>
      <c r="T1539" s="33"/>
      <c r="U1539" s="334">
        <v>44371</v>
      </c>
      <c r="V1539" s="334">
        <v>44764</v>
      </c>
      <c r="W1539" s="27" t="s">
        <v>245</v>
      </c>
      <c r="X1539" s="27"/>
      <c r="Y1539" s="34">
        <f t="shared" ca="1" si="72"/>
        <v>46290</v>
      </c>
      <c r="Z1539" s="35">
        <f t="shared" ca="1" si="71"/>
        <v>-1526</v>
      </c>
      <c r="AA1539" s="27">
        <f t="shared" si="73"/>
        <v>7</v>
      </c>
      <c r="AB1539" s="27">
        <f t="shared" ref="AB1539:AB1570" si="76">YEAR(V1539)</f>
        <v>2022</v>
      </c>
      <c r="AC1539" s="28">
        <v>4500014626</v>
      </c>
      <c r="AD1539" s="28">
        <v>16338</v>
      </c>
      <c r="AE1539" s="27">
        <v>4500016712</v>
      </c>
      <c r="AF1539" s="27" t="s">
        <v>471</v>
      </c>
      <c r="AG1539" s="29"/>
      <c r="AH1539" s="29"/>
      <c r="AI1539" s="27"/>
      <c r="AJ1539" s="27"/>
      <c r="AK1539" s="27"/>
      <c r="AL1539" s="27"/>
      <c r="AM1539" s="27"/>
      <c r="AN1539" s="27"/>
      <c r="AO1539" s="27">
        <v>286</v>
      </c>
      <c r="AP1539" s="27"/>
      <c r="AQ1539" s="27"/>
      <c r="AR1539" s="504"/>
      <c r="AS1539" s="332"/>
      <c r="AT1539" s="160"/>
    </row>
    <row r="1540" spans="1:46" ht="21.75" hidden="1" customHeight="1">
      <c r="A1540" s="331">
        <v>1539</v>
      </c>
      <c r="B1540" s="28" t="s">
        <v>7283</v>
      </c>
      <c r="C1540" s="28" t="s">
        <v>2440</v>
      </c>
      <c r="D1540" s="438" t="s">
        <v>7284</v>
      </c>
      <c r="E1540" s="361" t="str">
        <f t="shared" ca="1" si="75"/>
        <v>LOSS</v>
      </c>
      <c r="F1540" s="28" t="s">
        <v>7285</v>
      </c>
      <c r="G1540" s="28" t="s">
        <v>7285</v>
      </c>
      <c r="H1540" s="28" t="s">
        <v>261</v>
      </c>
      <c r="I1540" s="361" t="s">
        <v>243</v>
      </c>
      <c r="J1540" s="28" t="s">
        <v>7286</v>
      </c>
      <c r="K1540" s="38" t="s">
        <v>7287</v>
      </c>
      <c r="L1540" s="60">
        <v>0.995</v>
      </c>
      <c r="M1540" s="27" t="s">
        <v>353</v>
      </c>
      <c r="N1540" s="29" t="s">
        <v>468</v>
      </c>
      <c r="O1540" s="56"/>
      <c r="P1540" s="52">
        <v>57600000</v>
      </c>
      <c r="Q1540" s="52"/>
      <c r="R1540" s="27"/>
      <c r="S1540" s="32">
        <v>162000000</v>
      </c>
      <c r="T1540" s="33"/>
      <c r="U1540" s="334">
        <v>45034</v>
      </c>
      <c r="V1540" s="334">
        <v>45399</v>
      </c>
      <c r="W1540" s="27" t="s">
        <v>245</v>
      </c>
      <c r="X1540" s="27"/>
      <c r="Y1540" s="34">
        <f t="shared" ca="1" si="72"/>
        <v>46290</v>
      </c>
      <c r="Z1540" s="35">
        <f t="shared" ca="1" si="71"/>
        <v>-891</v>
      </c>
      <c r="AA1540" s="27">
        <f t="shared" si="73"/>
        <v>4</v>
      </c>
      <c r="AB1540" s="27">
        <f t="shared" si="76"/>
        <v>2024</v>
      </c>
      <c r="AC1540" s="28">
        <v>4500017961</v>
      </c>
      <c r="AD1540" s="28"/>
      <c r="AE1540" s="27">
        <v>4500020479</v>
      </c>
      <c r="AF1540" s="27" t="s">
        <v>471</v>
      </c>
      <c r="AG1540" s="29"/>
      <c r="AH1540" s="29"/>
      <c r="AI1540" s="27"/>
      <c r="AJ1540" s="27"/>
      <c r="AK1540" s="27"/>
      <c r="AL1540" s="27"/>
      <c r="AM1540" s="27"/>
      <c r="AN1540" s="27"/>
      <c r="AO1540" s="27">
        <v>118</v>
      </c>
      <c r="AP1540" s="27"/>
      <c r="AQ1540" s="27"/>
      <c r="AR1540" s="504"/>
      <c r="AS1540" s="332" t="s">
        <v>7288</v>
      </c>
      <c r="AT1540" s="160"/>
    </row>
    <row r="1541" spans="1:46" ht="21.75" hidden="1" customHeight="1">
      <c r="A1541" s="331">
        <v>1540</v>
      </c>
      <c r="B1541" s="28" t="s">
        <v>7289</v>
      </c>
      <c r="C1541" s="28" t="s">
        <v>7290</v>
      </c>
      <c r="D1541" s="437" t="s">
        <v>7284</v>
      </c>
      <c r="E1541" s="361" t="str">
        <f t="shared" ca="1" si="75"/>
        <v>LOSS</v>
      </c>
      <c r="F1541" s="29" t="s">
        <v>7291</v>
      </c>
      <c r="G1541" s="28" t="s">
        <v>7292</v>
      </c>
      <c r="H1541" s="28" t="s">
        <v>261</v>
      </c>
      <c r="I1541" s="361" t="s">
        <v>243</v>
      </c>
      <c r="J1541" s="28" t="s">
        <v>7293</v>
      </c>
      <c r="K1541" s="38" t="s">
        <v>7294</v>
      </c>
      <c r="L1541" s="27" t="s">
        <v>4749</v>
      </c>
      <c r="M1541" s="27" t="s">
        <v>365</v>
      </c>
      <c r="N1541" s="29" t="s">
        <v>468</v>
      </c>
      <c r="O1541" s="56"/>
      <c r="P1541" s="61">
        <v>144000000</v>
      </c>
      <c r="Q1541" s="61"/>
      <c r="R1541" s="56"/>
      <c r="S1541" s="33">
        <v>111825000</v>
      </c>
      <c r="T1541" s="33"/>
      <c r="U1541" s="334">
        <v>45087</v>
      </c>
      <c r="V1541" s="334">
        <v>45452</v>
      </c>
      <c r="W1541" s="27" t="s">
        <v>250</v>
      </c>
      <c r="X1541" s="27"/>
      <c r="Y1541" s="34">
        <f t="shared" ca="1" si="72"/>
        <v>46290</v>
      </c>
      <c r="Z1541" s="35">
        <f t="shared" ref="Z1541:Z1604" ca="1" si="77">V1541-Y1541</f>
        <v>-838</v>
      </c>
      <c r="AA1541" s="27">
        <f t="shared" si="73"/>
        <v>6</v>
      </c>
      <c r="AB1541" s="27">
        <f t="shared" si="76"/>
        <v>2024</v>
      </c>
      <c r="AC1541" s="28">
        <v>4500017931</v>
      </c>
      <c r="AD1541" s="28">
        <v>469</v>
      </c>
      <c r="AE1541" s="27">
        <v>4500021036</v>
      </c>
      <c r="AF1541" s="27" t="s">
        <v>471</v>
      </c>
      <c r="AG1541" s="29"/>
      <c r="AH1541" s="29"/>
      <c r="AI1541" s="27"/>
      <c r="AJ1541" s="27"/>
      <c r="AK1541" s="27"/>
      <c r="AL1541" s="27"/>
      <c r="AM1541" s="27"/>
      <c r="AN1541" s="27"/>
      <c r="AO1541" s="27">
        <v>246</v>
      </c>
      <c r="AP1541" s="27"/>
      <c r="AQ1541" s="27"/>
      <c r="AR1541" s="504"/>
      <c r="AS1541" s="332"/>
      <c r="AT1541" s="160"/>
    </row>
    <row r="1542" spans="1:46" ht="21.75" hidden="1" customHeight="1">
      <c r="A1542" s="331">
        <v>1541</v>
      </c>
      <c r="B1542" s="173" t="s">
        <v>7295</v>
      </c>
      <c r="C1542" s="28" t="s">
        <v>7296</v>
      </c>
      <c r="D1542" s="438" t="s">
        <v>7297</v>
      </c>
      <c r="E1542" s="361" t="str">
        <f t="shared" ca="1" si="75"/>
        <v>LOSS</v>
      </c>
      <c r="F1542" s="29"/>
      <c r="G1542" s="28" t="s">
        <v>7298</v>
      </c>
      <c r="H1542" s="28" t="s">
        <v>261</v>
      </c>
      <c r="I1542" s="361" t="s">
        <v>243</v>
      </c>
      <c r="J1542" s="28" t="s">
        <v>2037</v>
      </c>
      <c r="K1542" s="38" t="s">
        <v>7299</v>
      </c>
      <c r="L1542" s="51">
        <v>0.99</v>
      </c>
      <c r="M1542" s="27" t="s">
        <v>467</v>
      </c>
      <c r="N1542" s="29" t="s">
        <v>494</v>
      </c>
      <c r="O1542" s="56"/>
      <c r="P1542" s="61">
        <v>24000000</v>
      </c>
      <c r="Q1542" s="61"/>
      <c r="R1542" s="27"/>
      <c r="S1542" s="33">
        <v>15360000</v>
      </c>
      <c r="T1542" s="33"/>
      <c r="U1542" s="334">
        <v>45153</v>
      </c>
      <c r="V1542" s="334">
        <v>45518</v>
      </c>
      <c r="W1542" s="27" t="s">
        <v>250</v>
      </c>
      <c r="X1542" s="27"/>
      <c r="Y1542" s="34">
        <f t="shared" ca="1" si="72"/>
        <v>46290</v>
      </c>
      <c r="Z1542" s="35">
        <f t="shared" ca="1" si="77"/>
        <v>-772</v>
      </c>
      <c r="AA1542" s="27">
        <f t="shared" si="73"/>
        <v>8</v>
      </c>
      <c r="AB1542" s="27">
        <f t="shared" si="76"/>
        <v>2024</v>
      </c>
      <c r="AC1542" s="28">
        <v>4500018513</v>
      </c>
      <c r="AD1542" s="28" t="s">
        <v>7300</v>
      </c>
      <c r="AE1542" s="27">
        <v>4500021340</v>
      </c>
      <c r="AF1542" s="27" t="s">
        <v>471</v>
      </c>
      <c r="AG1542" s="29"/>
      <c r="AH1542" s="29"/>
      <c r="AI1542" s="27"/>
      <c r="AJ1542" s="27"/>
      <c r="AK1542" s="27"/>
      <c r="AL1542" s="27"/>
      <c r="AM1542" s="27"/>
      <c r="AN1542" s="27"/>
      <c r="AO1542" s="27">
        <v>287</v>
      </c>
      <c r="AP1542" s="27"/>
      <c r="AQ1542" s="27"/>
      <c r="AR1542" s="504"/>
      <c r="AS1542" s="332" t="s">
        <v>6728</v>
      </c>
      <c r="AT1542" s="160"/>
    </row>
    <row r="1543" spans="1:46" ht="21.75" hidden="1" customHeight="1">
      <c r="A1543" s="331">
        <v>1542</v>
      </c>
      <c r="B1543" s="173" t="s">
        <v>7295</v>
      </c>
      <c r="C1543" s="28" t="s">
        <v>7301</v>
      </c>
      <c r="D1543" s="437" t="s">
        <v>7302</v>
      </c>
      <c r="E1543" s="361" t="str">
        <f t="shared" ca="1" si="75"/>
        <v>LOSS</v>
      </c>
      <c r="F1543" s="29"/>
      <c r="G1543" s="28" t="s">
        <v>7303</v>
      </c>
      <c r="H1543" s="28" t="s">
        <v>261</v>
      </c>
      <c r="I1543" s="361" t="s">
        <v>243</v>
      </c>
      <c r="J1543" s="28" t="s">
        <v>7304</v>
      </c>
      <c r="K1543" s="38" t="s">
        <v>7305</v>
      </c>
      <c r="L1543" s="51">
        <v>0.98</v>
      </c>
      <c r="M1543" s="27" t="s">
        <v>7306</v>
      </c>
      <c r="N1543" s="29" t="s">
        <v>6649</v>
      </c>
      <c r="O1543" s="56"/>
      <c r="P1543" s="61">
        <f>2100000*12</f>
        <v>25200000</v>
      </c>
      <c r="Q1543" s="61"/>
      <c r="R1543" s="56"/>
      <c r="S1543" s="33">
        <v>43920000</v>
      </c>
      <c r="T1543" s="33"/>
      <c r="U1543" s="334">
        <v>45506</v>
      </c>
      <c r="V1543" s="334">
        <v>45870</v>
      </c>
      <c r="W1543" s="27" t="s">
        <v>250</v>
      </c>
      <c r="X1543" s="27"/>
      <c r="Y1543" s="34">
        <f t="shared" ca="1" si="72"/>
        <v>46290</v>
      </c>
      <c r="Z1543" s="35">
        <f t="shared" ca="1" si="77"/>
        <v>-420</v>
      </c>
      <c r="AA1543" s="27">
        <f t="shared" si="73"/>
        <v>8</v>
      </c>
      <c r="AB1543" s="27">
        <f t="shared" si="76"/>
        <v>2025</v>
      </c>
      <c r="AC1543" s="28" t="s">
        <v>7307</v>
      </c>
      <c r="AD1543" s="28" t="s">
        <v>7308</v>
      </c>
      <c r="AE1543" s="27">
        <v>4500022820</v>
      </c>
      <c r="AF1543" s="27" t="s">
        <v>471</v>
      </c>
      <c r="AG1543" s="29" t="s">
        <v>7309</v>
      </c>
      <c r="AH1543" s="29" t="s">
        <v>7310</v>
      </c>
      <c r="AI1543" s="27"/>
      <c r="AJ1543" s="27"/>
      <c r="AK1543" s="27"/>
      <c r="AL1543" s="27"/>
      <c r="AM1543" s="27"/>
      <c r="AN1543" s="27"/>
      <c r="AO1543" s="27">
        <v>72</v>
      </c>
      <c r="AP1543" s="27">
        <v>143</v>
      </c>
      <c r="AQ1543" s="27"/>
      <c r="AR1543" s="504"/>
      <c r="AS1543" s="332"/>
      <c r="AT1543" s="160"/>
    </row>
    <row r="1544" spans="1:46" ht="21.75" hidden="1" customHeight="1">
      <c r="A1544" s="331">
        <v>1543</v>
      </c>
      <c r="B1544" s="173" t="s">
        <v>7295</v>
      </c>
      <c r="C1544" s="28" t="s">
        <v>6819</v>
      </c>
      <c r="D1544" s="438" t="s">
        <v>7311</v>
      </c>
      <c r="E1544" s="361" t="str">
        <f t="shared" ca="1" si="75"/>
        <v>LOSS</v>
      </c>
      <c r="F1544" s="27" t="s">
        <v>7312</v>
      </c>
      <c r="G1544" s="28" t="s">
        <v>7313</v>
      </c>
      <c r="H1544" s="28" t="s">
        <v>261</v>
      </c>
      <c r="I1544" s="361" t="s">
        <v>243</v>
      </c>
      <c r="J1544" s="28" t="s">
        <v>7314</v>
      </c>
      <c r="K1544" s="63">
        <v>111205023251</v>
      </c>
      <c r="L1544" s="53">
        <v>0.995</v>
      </c>
      <c r="M1544" s="27" t="s">
        <v>329</v>
      </c>
      <c r="N1544" s="29" t="s">
        <v>389</v>
      </c>
      <c r="O1544" s="56"/>
      <c r="P1544" s="61">
        <v>175167000</v>
      </c>
      <c r="Q1544" s="61"/>
      <c r="R1544" s="27"/>
      <c r="S1544" s="33">
        <v>152293600</v>
      </c>
      <c r="T1544" s="33"/>
      <c r="U1544" s="334">
        <v>45078</v>
      </c>
      <c r="V1544" s="334">
        <v>45138</v>
      </c>
      <c r="W1544" s="27" t="s">
        <v>245</v>
      </c>
      <c r="X1544" s="27"/>
      <c r="Y1544" s="34">
        <f t="shared" ca="1" si="72"/>
        <v>46290</v>
      </c>
      <c r="Z1544" s="35">
        <f t="shared" ca="1" si="77"/>
        <v>-1152</v>
      </c>
      <c r="AA1544" s="27">
        <f t="shared" si="73"/>
        <v>7</v>
      </c>
      <c r="AB1544" s="27">
        <f t="shared" si="76"/>
        <v>2023</v>
      </c>
      <c r="AC1544" s="28"/>
      <c r="AD1544" s="28">
        <v>449</v>
      </c>
      <c r="AE1544" s="27">
        <v>4500020787</v>
      </c>
      <c r="AF1544" s="27" t="s">
        <v>471</v>
      </c>
      <c r="AG1544" s="29"/>
      <c r="AH1544" s="29"/>
      <c r="AI1544" s="27"/>
      <c r="AJ1544" s="27"/>
      <c r="AK1544" s="27"/>
      <c r="AL1544" s="27"/>
      <c r="AM1544" s="27"/>
      <c r="AN1544" s="27"/>
      <c r="AO1544" s="27">
        <v>201</v>
      </c>
      <c r="AP1544" s="27"/>
      <c r="AQ1544" s="27"/>
      <c r="AR1544" s="504"/>
      <c r="AS1544" s="332" t="s">
        <v>7315</v>
      </c>
      <c r="AT1544" s="160"/>
    </row>
    <row r="1545" spans="1:46" ht="21.75" hidden="1" customHeight="1">
      <c r="A1545" s="331">
        <v>1544</v>
      </c>
      <c r="B1545" s="173" t="s">
        <v>7295</v>
      </c>
      <c r="C1545" s="28" t="s">
        <v>7316</v>
      </c>
      <c r="D1545" s="437" t="s">
        <v>7317</v>
      </c>
      <c r="E1545" s="361" t="str">
        <f t="shared" ca="1" si="75"/>
        <v>LOSS</v>
      </c>
      <c r="F1545" s="28"/>
      <c r="G1545" s="28" t="s">
        <v>7318</v>
      </c>
      <c r="H1545" s="28" t="s">
        <v>261</v>
      </c>
      <c r="I1545" s="361" t="s">
        <v>243</v>
      </c>
      <c r="J1545" s="28" t="s">
        <v>1952</v>
      </c>
      <c r="K1545" s="38" t="s">
        <v>7319</v>
      </c>
      <c r="L1545" s="60">
        <v>0.98</v>
      </c>
      <c r="M1545" s="27" t="s">
        <v>329</v>
      </c>
      <c r="N1545" s="29" t="s">
        <v>6649</v>
      </c>
      <c r="O1545" s="56"/>
      <c r="P1545" s="52">
        <f>2100000*12</f>
        <v>25200000</v>
      </c>
      <c r="Q1545" s="52"/>
      <c r="R1545" s="56"/>
      <c r="S1545" s="32">
        <v>43920000</v>
      </c>
      <c r="T1545" s="33"/>
      <c r="U1545" s="334">
        <v>45451</v>
      </c>
      <c r="V1545" s="334">
        <v>45815</v>
      </c>
      <c r="W1545" s="27" t="s">
        <v>250</v>
      </c>
      <c r="X1545" s="27"/>
      <c r="Y1545" s="34">
        <f t="shared" ca="1" si="72"/>
        <v>46290</v>
      </c>
      <c r="Z1545" s="35">
        <f t="shared" ca="1" si="77"/>
        <v>-475</v>
      </c>
      <c r="AA1545" s="27">
        <f t="shared" si="73"/>
        <v>6</v>
      </c>
      <c r="AB1545" s="27">
        <f t="shared" si="76"/>
        <v>2025</v>
      </c>
      <c r="AC1545" s="28" t="s">
        <v>7320</v>
      </c>
      <c r="AD1545" s="28" t="s">
        <v>7321</v>
      </c>
      <c r="AE1545" s="27">
        <v>4500022845</v>
      </c>
      <c r="AF1545" s="27" t="s">
        <v>471</v>
      </c>
      <c r="AG1545" s="29" t="s">
        <v>7309</v>
      </c>
      <c r="AH1545" s="29" t="s">
        <v>7310</v>
      </c>
      <c r="AI1545" s="27"/>
      <c r="AJ1545" s="27"/>
      <c r="AK1545" s="27"/>
      <c r="AL1545" s="27"/>
      <c r="AM1545" s="27"/>
      <c r="AN1545" s="27"/>
      <c r="AO1545" s="27">
        <v>157</v>
      </c>
      <c r="AP1545" s="27">
        <v>142</v>
      </c>
      <c r="AQ1545" s="27"/>
      <c r="AR1545" s="504"/>
      <c r="AS1545" s="332"/>
      <c r="AT1545" s="160"/>
    </row>
    <row r="1546" spans="1:46" ht="21.75" hidden="1" customHeight="1">
      <c r="A1546" s="331">
        <v>1545</v>
      </c>
      <c r="B1546" s="173" t="s">
        <v>7295</v>
      </c>
      <c r="C1546" s="28" t="s">
        <v>1467</v>
      </c>
      <c r="D1546" s="438" t="s">
        <v>7322</v>
      </c>
      <c r="E1546" s="361" t="str">
        <f t="shared" ca="1" si="75"/>
        <v>LOSS</v>
      </c>
      <c r="F1546" s="28" t="s">
        <v>7323</v>
      </c>
      <c r="G1546" s="28" t="s">
        <v>7324</v>
      </c>
      <c r="H1546" s="28" t="s">
        <v>261</v>
      </c>
      <c r="I1546" s="361" t="s">
        <v>243</v>
      </c>
      <c r="J1546" s="28" t="s">
        <v>7325</v>
      </c>
      <c r="K1546" s="38" t="s">
        <v>7326</v>
      </c>
      <c r="L1546" s="53">
        <v>0.99</v>
      </c>
      <c r="M1546" s="27" t="s">
        <v>329</v>
      </c>
      <c r="N1546" s="29" t="s">
        <v>6835</v>
      </c>
      <c r="O1546" s="56"/>
      <c r="P1546" s="52">
        <v>72088704</v>
      </c>
      <c r="Q1546" s="52"/>
      <c r="R1546" s="56"/>
      <c r="S1546" s="32">
        <v>65280020</v>
      </c>
      <c r="T1546" s="33"/>
      <c r="U1546" s="334">
        <v>45168</v>
      </c>
      <c r="V1546" s="334">
        <v>45564</v>
      </c>
      <c r="W1546" s="27" t="s">
        <v>250</v>
      </c>
      <c r="X1546" s="27"/>
      <c r="Y1546" s="34">
        <f t="shared" ca="1" si="72"/>
        <v>46290</v>
      </c>
      <c r="Z1546" s="35">
        <f t="shared" ca="1" si="77"/>
        <v>-726</v>
      </c>
      <c r="AA1546" s="27">
        <f t="shared" si="73"/>
        <v>9</v>
      </c>
      <c r="AB1546" s="27">
        <f t="shared" si="76"/>
        <v>2024</v>
      </c>
      <c r="AC1546" s="28">
        <v>4500018574</v>
      </c>
      <c r="AD1546" s="28">
        <v>1180</v>
      </c>
      <c r="AE1546" s="27">
        <v>4500021246</v>
      </c>
      <c r="AF1546" s="27" t="s">
        <v>471</v>
      </c>
      <c r="AG1546" s="29"/>
      <c r="AH1546" s="29"/>
      <c r="AI1546" s="27"/>
      <c r="AJ1546" s="27"/>
      <c r="AK1546" s="27"/>
      <c r="AL1546" s="27"/>
      <c r="AM1546" s="27"/>
      <c r="AN1546" s="27"/>
      <c r="AO1546" s="27">
        <v>249</v>
      </c>
      <c r="AP1546" s="27"/>
      <c r="AQ1546" s="27"/>
      <c r="AR1546" s="504"/>
      <c r="AS1546" s="332"/>
      <c r="AT1546" s="160"/>
    </row>
    <row r="1547" spans="1:46" ht="21.75" hidden="1" customHeight="1">
      <c r="A1547" s="331">
        <v>1546</v>
      </c>
      <c r="B1547" s="28" t="s">
        <v>460</v>
      </c>
      <c r="C1547" s="28" t="s">
        <v>2665</v>
      </c>
      <c r="D1547" s="437" t="s">
        <v>462</v>
      </c>
      <c r="E1547" s="361" t="str">
        <f t="shared" ca="1" si="75"/>
        <v>LOSS</v>
      </c>
      <c r="F1547" s="28"/>
      <c r="G1547" s="28" t="s">
        <v>7327</v>
      </c>
      <c r="H1547" s="28" t="s">
        <v>261</v>
      </c>
      <c r="I1547" s="361" t="s">
        <v>243</v>
      </c>
      <c r="J1547" s="28" t="s">
        <v>7328</v>
      </c>
      <c r="K1547" s="38" t="s">
        <v>7329</v>
      </c>
      <c r="L1547" s="60">
        <v>0.995</v>
      </c>
      <c r="M1547" s="27" t="s">
        <v>365</v>
      </c>
      <c r="N1547" s="29" t="s">
        <v>6802</v>
      </c>
      <c r="O1547" s="56"/>
      <c r="P1547" s="52">
        <v>94800000</v>
      </c>
      <c r="Q1547" s="52"/>
      <c r="R1547" s="56"/>
      <c r="S1547" s="32">
        <f>2800000*12</f>
        <v>33600000</v>
      </c>
      <c r="T1547" s="33"/>
      <c r="U1547" s="334">
        <v>45352</v>
      </c>
      <c r="V1547" s="334">
        <v>45716</v>
      </c>
      <c r="W1547" s="27" t="s">
        <v>250</v>
      </c>
      <c r="X1547" s="27"/>
      <c r="Y1547" s="34">
        <f t="shared" ref="Y1547:Y1610" ca="1" si="78">TODAY()</f>
        <v>46290</v>
      </c>
      <c r="Z1547" s="35">
        <f t="shared" ca="1" si="77"/>
        <v>-574</v>
      </c>
      <c r="AA1547" s="27">
        <f t="shared" si="73"/>
        <v>2</v>
      </c>
      <c r="AB1547" s="27">
        <f t="shared" si="76"/>
        <v>2025</v>
      </c>
      <c r="AC1547" s="28">
        <v>450002092</v>
      </c>
      <c r="AD1547" s="28" t="s">
        <v>7330</v>
      </c>
      <c r="AE1547" s="27">
        <v>4500022183</v>
      </c>
      <c r="AF1547" s="27" t="s">
        <v>471</v>
      </c>
      <c r="AG1547" s="29" t="s">
        <v>472</v>
      </c>
      <c r="AH1547" s="29" t="s">
        <v>7331</v>
      </c>
      <c r="AI1547" s="27"/>
      <c r="AJ1547" s="27"/>
      <c r="AK1547" s="27"/>
      <c r="AL1547" s="27"/>
      <c r="AM1547" s="27"/>
      <c r="AN1547" s="27"/>
      <c r="AO1547" s="27">
        <v>69</v>
      </c>
      <c r="AP1547" s="27" t="s">
        <v>7332</v>
      </c>
      <c r="AQ1547" s="27"/>
      <c r="AR1547" s="504"/>
      <c r="AS1547" s="332"/>
      <c r="AT1547" s="160"/>
    </row>
    <row r="1548" spans="1:46" ht="21.75" hidden="1" customHeight="1">
      <c r="A1548" s="331">
        <v>1547</v>
      </c>
      <c r="B1548" s="28" t="s">
        <v>7333</v>
      </c>
      <c r="C1548" s="28" t="s">
        <v>7334</v>
      </c>
      <c r="D1548" s="438" t="s">
        <v>7335</v>
      </c>
      <c r="E1548" s="361" t="str">
        <f t="shared" ca="1" si="75"/>
        <v>LOSS</v>
      </c>
      <c r="F1548" s="27"/>
      <c r="G1548" s="28" t="s">
        <v>7336</v>
      </c>
      <c r="H1548" s="28" t="s">
        <v>261</v>
      </c>
      <c r="I1548" s="361" t="s">
        <v>243</v>
      </c>
      <c r="J1548" s="28" t="s">
        <v>7337</v>
      </c>
      <c r="K1548" s="38" t="s">
        <v>7338</v>
      </c>
      <c r="L1548" s="62">
        <v>0.99</v>
      </c>
      <c r="M1548" s="27" t="s">
        <v>365</v>
      </c>
      <c r="N1548" s="29" t="s">
        <v>362</v>
      </c>
      <c r="O1548" s="56"/>
      <c r="P1548" s="52"/>
      <c r="Q1548" s="52"/>
      <c r="R1548" s="27"/>
      <c r="S1548" s="33">
        <v>70000000</v>
      </c>
      <c r="T1548" s="33"/>
      <c r="U1548" s="334">
        <v>44517</v>
      </c>
      <c r="V1548" s="334">
        <v>44881</v>
      </c>
      <c r="W1548" s="27" t="s">
        <v>245</v>
      </c>
      <c r="X1548" s="27"/>
      <c r="Y1548" s="34">
        <f t="shared" ca="1" si="78"/>
        <v>46290</v>
      </c>
      <c r="Z1548" s="35">
        <f t="shared" ca="1" si="77"/>
        <v>-1409</v>
      </c>
      <c r="AA1548" s="27">
        <f t="shared" ref="AA1548:AA1611" si="79">MONTH(V1548)</f>
        <v>11</v>
      </c>
      <c r="AB1548" s="27">
        <f t="shared" si="76"/>
        <v>2022</v>
      </c>
      <c r="AC1548" s="28"/>
      <c r="AD1548" s="28">
        <v>17120</v>
      </c>
      <c r="AE1548" s="27">
        <v>4500017074</v>
      </c>
      <c r="AF1548" s="27" t="s">
        <v>471</v>
      </c>
      <c r="AG1548" s="29"/>
      <c r="AH1548" s="29"/>
      <c r="AI1548" s="27"/>
      <c r="AJ1548" s="27"/>
      <c r="AK1548" s="27"/>
      <c r="AL1548" s="27"/>
      <c r="AM1548" s="27"/>
      <c r="AN1548" s="27"/>
      <c r="AO1548" s="27">
        <v>329</v>
      </c>
      <c r="AP1548" s="27"/>
      <c r="AQ1548" s="27"/>
      <c r="AR1548" s="504"/>
      <c r="AS1548" s="332"/>
      <c r="AT1548" s="160"/>
    </row>
    <row r="1549" spans="1:46" ht="21.75" hidden="1" customHeight="1">
      <c r="A1549" s="331">
        <v>1548</v>
      </c>
      <c r="B1549" s="28" t="s">
        <v>7339</v>
      </c>
      <c r="C1549" s="28" t="s">
        <v>1327</v>
      </c>
      <c r="D1549" s="437" t="s">
        <v>7340</v>
      </c>
      <c r="E1549" s="361" t="str">
        <f t="shared" ca="1" si="75"/>
        <v>LOSS</v>
      </c>
      <c r="F1549" s="27"/>
      <c r="G1549" s="28"/>
      <c r="H1549" s="28" t="s">
        <v>261</v>
      </c>
      <c r="I1549" s="361" t="s">
        <v>243</v>
      </c>
      <c r="J1549" s="28" t="s">
        <v>7341</v>
      </c>
      <c r="K1549" s="38" t="s">
        <v>7342</v>
      </c>
      <c r="L1549" s="62">
        <v>0.995</v>
      </c>
      <c r="M1549" s="27" t="s">
        <v>365</v>
      </c>
      <c r="N1549" s="29" t="s">
        <v>406</v>
      </c>
      <c r="O1549" s="56"/>
      <c r="P1549" s="52">
        <v>30576000</v>
      </c>
      <c r="Q1549" s="52"/>
      <c r="R1549" s="27"/>
      <c r="S1549" s="33">
        <v>65000000</v>
      </c>
      <c r="T1549" s="33"/>
      <c r="U1549" s="334">
        <v>44579</v>
      </c>
      <c r="V1549" s="334">
        <v>44943</v>
      </c>
      <c r="W1549" s="27" t="s">
        <v>245</v>
      </c>
      <c r="X1549" s="27"/>
      <c r="Y1549" s="34">
        <f t="shared" ca="1" si="78"/>
        <v>46290</v>
      </c>
      <c r="Z1549" s="35">
        <f t="shared" ca="1" si="77"/>
        <v>-1347</v>
      </c>
      <c r="AA1549" s="27">
        <f t="shared" si="79"/>
        <v>1</v>
      </c>
      <c r="AB1549" s="27">
        <f t="shared" si="76"/>
        <v>2023</v>
      </c>
      <c r="AC1549" s="28">
        <v>4500017383</v>
      </c>
      <c r="AD1549" s="28">
        <v>17517</v>
      </c>
      <c r="AE1549" s="27">
        <v>4500017383</v>
      </c>
      <c r="AF1549" s="27" t="s">
        <v>471</v>
      </c>
      <c r="AG1549" s="29"/>
      <c r="AH1549" s="29"/>
      <c r="AI1549" s="27"/>
      <c r="AJ1549" s="27"/>
      <c r="AK1549" s="27"/>
      <c r="AL1549" s="27"/>
      <c r="AM1549" s="27"/>
      <c r="AN1549" s="27"/>
      <c r="AO1549" s="27">
        <v>39</v>
      </c>
      <c r="AP1549" s="27"/>
      <c r="AQ1549" s="27"/>
      <c r="AR1549" s="504"/>
      <c r="AS1549" s="332" t="s">
        <v>7045</v>
      </c>
      <c r="AT1549" s="160"/>
    </row>
    <row r="1550" spans="1:46" ht="21.75" hidden="1" customHeight="1">
      <c r="A1550" s="331">
        <v>1549</v>
      </c>
      <c r="B1550" s="28" t="s">
        <v>7343</v>
      </c>
      <c r="C1550" s="28" t="s">
        <v>1445</v>
      </c>
      <c r="D1550" s="445"/>
      <c r="E1550" s="361" t="str">
        <f t="shared" ca="1" si="75"/>
        <v>LOSS</v>
      </c>
      <c r="F1550" s="27"/>
      <c r="G1550" s="28"/>
      <c r="H1550" s="28" t="s">
        <v>261</v>
      </c>
      <c r="I1550" s="361" t="s">
        <v>243</v>
      </c>
      <c r="J1550" s="28"/>
      <c r="K1550" s="28"/>
      <c r="L1550" s="27"/>
      <c r="M1550" s="27" t="s">
        <v>6943</v>
      </c>
      <c r="N1550" s="29" t="s">
        <v>6649</v>
      </c>
      <c r="O1550" s="56"/>
      <c r="P1550" s="52"/>
      <c r="Q1550" s="52"/>
      <c r="R1550" s="27"/>
      <c r="S1550" s="33">
        <v>21600000</v>
      </c>
      <c r="T1550" s="33"/>
      <c r="U1550" s="334">
        <v>43647</v>
      </c>
      <c r="V1550" s="334">
        <v>44012</v>
      </c>
      <c r="W1550" s="27" t="s">
        <v>245</v>
      </c>
      <c r="X1550" s="27"/>
      <c r="Y1550" s="34">
        <f t="shared" ca="1" si="78"/>
        <v>46290</v>
      </c>
      <c r="Z1550" s="35">
        <f t="shared" ca="1" si="77"/>
        <v>-2278</v>
      </c>
      <c r="AA1550" s="27">
        <f t="shared" si="79"/>
        <v>6</v>
      </c>
      <c r="AB1550" s="27">
        <f t="shared" si="76"/>
        <v>2020</v>
      </c>
      <c r="AC1550" s="28"/>
      <c r="AD1550" s="28"/>
      <c r="AE1550" s="27">
        <v>4500012884</v>
      </c>
      <c r="AF1550" s="27" t="s">
        <v>471</v>
      </c>
      <c r="AG1550" s="29"/>
      <c r="AH1550" s="29"/>
      <c r="AI1550" s="27"/>
      <c r="AJ1550" s="27"/>
      <c r="AK1550" s="27"/>
      <c r="AL1550" s="27"/>
      <c r="AM1550" s="27"/>
      <c r="AN1550" s="27"/>
      <c r="AO1550" s="27"/>
      <c r="AP1550" s="27"/>
      <c r="AQ1550" s="27"/>
      <c r="AR1550" s="504"/>
      <c r="AS1550" s="332" t="s">
        <v>6678</v>
      </c>
      <c r="AT1550" s="160"/>
    </row>
    <row r="1551" spans="1:46" ht="21.75" hidden="1" customHeight="1">
      <c r="A1551" s="331">
        <v>1550</v>
      </c>
      <c r="B1551" s="159" t="s">
        <v>1170</v>
      </c>
      <c r="C1551" s="28" t="s">
        <v>7344</v>
      </c>
      <c r="D1551" s="437" t="s">
        <v>7345</v>
      </c>
      <c r="E1551" s="361" t="str">
        <f t="shared" ca="1" si="75"/>
        <v>LOSS</v>
      </c>
      <c r="F1551" s="28" t="s">
        <v>7346</v>
      </c>
      <c r="G1551" s="28" t="s">
        <v>7347</v>
      </c>
      <c r="H1551" s="28" t="s">
        <v>261</v>
      </c>
      <c r="I1551" s="361" t="s">
        <v>243</v>
      </c>
      <c r="J1551" s="28" t="s">
        <v>7348</v>
      </c>
      <c r="K1551" s="38" t="s">
        <v>7349</v>
      </c>
      <c r="L1551" s="51">
        <v>0.999</v>
      </c>
      <c r="M1551" s="27" t="s">
        <v>365</v>
      </c>
      <c r="N1551" s="29" t="s">
        <v>494</v>
      </c>
      <c r="O1551" s="56"/>
      <c r="P1551" s="52">
        <v>102000000</v>
      </c>
      <c r="Q1551" s="52"/>
      <c r="R1551" s="56"/>
      <c r="S1551" s="32">
        <v>70200000</v>
      </c>
      <c r="T1551" s="33"/>
      <c r="U1551" s="334">
        <v>45319</v>
      </c>
      <c r="V1551" s="334">
        <v>45684</v>
      </c>
      <c r="W1551" s="27" t="s">
        <v>250</v>
      </c>
      <c r="X1551" s="27"/>
      <c r="Y1551" s="34">
        <f t="shared" ca="1" si="78"/>
        <v>46290</v>
      </c>
      <c r="Z1551" s="35">
        <f t="shared" ca="1" si="77"/>
        <v>-606</v>
      </c>
      <c r="AA1551" s="27">
        <f t="shared" si="79"/>
        <v>1</v>
      </c>
      <c r="AB1551" s="27">
        <f t="shared" si="76"/>
        <v>2025</v>
      </c>
      <c r="AC1551" s="28">
        <v>4500019779</v>
      </c>
      <c r="AD1551" s="28" t="s">
        <v>7350</v>
      </c>
      <c r="AE1551" s="27">
        <v>4500022179</v>
      </c>
      <c r="AF1551" s="27" t="s">
        <v>471</v>
      </c>
      <c r="AG1551" s="29" t="s">
        <v>7351</v>
      </c>
      <c r="AH1551" s="29" t="s">
        <v>7352</v>
      </c>
      <c r="AI1551" s="27"/>
      <c r="AJ1551" s="27"/>
      <c r="AK1551" s="27"/>
      <c r="AL1551" s="27"/>
      <c r="AM1551" s="27"/>
      <c r="AN1551" s="27"/>
      <c r="AO1551" s="27">
        <v>42</v>
      </c>
      <c r="AP1551" s="27" t="s">
        <v>7353</v>
      </c>
      <c r="AQ1551" s="27"/>
      <c r="AR1551" s="504"/>
      <c r="AS1551" s="332"/>
      <c r="AT1551" s="160"/>
    </row>
    <row r="1552" spans="1:46" ht="21.75" hidden="1" customHeight="1">
      <c r="A1552" s="331">
        <v>1551</v>
      </c>
      <c r="B1552" s="28" t="s">
        <v>7354</v>
      </c>
      <c r="C1552" s="28" t="s">
        <v>7355</v>
      </c>
      <c r="D1552" s="438" t="s">
        <v>7356</v>
      </c>
      <c r="E1552" s="361" t="str">
        <f t="shared" ca="1" si="75"/>
        <v>LOSS</v>
      </c>
      <c r="F1552" s="29"/>
      <c r="G1552" s="28" t="s">
        <v>7357</v>
      </c>
      <c r="H1552" s="29" t="s">
        <v>2748</v>
      </c>
      <c r="I1552" s="29" t="s">
        <v>346</v>
      </c>
      <c r="J1552" s="28" t="s">
        <v>7358</v>
      </c>
      <c r="K1552" s="28"/>
      <c r="L1552" s="27"/>
      <c r="M1552" s="27"/>
      <c r="N1552" s="29"/>
      <c r="O1552" s="56"/>
      <c r="P1552" s="31">
        <f>12*139080300</f>
        <v>1668963600</v>
      </c>
      <c r="Q1552" s="31"/>
      <c r="R1552" s="27"/>
      <c r="S1552" s="32">
        <v>90000000</v>
      </c>
      <c r="T1552" s="33"/>
      <c r="U1552" s="334">
        <v>44927</v>
      </c>
      <c r="V1552" s="334">
        <v>45291</v>
      </c>
      <c r="W1552" s="27" t="s">
        <v>250</v>
      </c>
      <c r="X1552" s="27"/>
      <c r="Y1552" s="34">
        <f t="shared" ca="1" si="78"/>
        <v>46290</v>
      </c>
      <c r="Z1552" s="35">
        <f t="shared" ca="1" si="77"/>
        <v>-999</v>
      </c>
      <c r="AA1552" s="27">
        <f t="shared" si="79"/>
        <v>12</v>
      </c>
      <c r="AB1552" s="27">
        <f t="shared" si="76"/>
        <v>2023</v>
      </c>
      <c r="AC1552" s="28" t="s">
        <v>7359</v>
      </c>
      <c r="AD1552" s="28" t="s">
        <v>2649</v>
      </c>
      <c r="AE1552" s="27">
        <v>4500020531</v>
      </c>
      <c r="AF1552" s="27" t="s">
        <v>339</v>
      </c>
      <c r="AG1552" s="29"/>
      <c r="AH1552" s="28"/>
      <c r="AI1552" s="27"/>
      <c r="AJ1552" s="27"/>
      <c r="AK1552" s="27"/>
      <c r="AL1552" s="27"/>
      <c r="AM1552" s="27"/>
      <c r="AN1552" s="27" t="s">
        <v>7360</v>
      </c>
      <c r="AO1552" s="27" t="s">
        <v>7361</v>
      </c>
      <c r="AP1552" s="27"/>
      <c r="AQ1552" s="27"/>
      <c r="AR1552" s="504"/>
      <c r="AS1552" s="332" t="s">
        <v>7362</v>
      </c>
      <c r="AT1552" s="160"/>
    </row>
    <row r="1553" spans="1:46" ht="21.75" hidden="1" customHeight="1">
      <c r="A1553" s="331">
        <v>1552</v>
      </c>
      <c r="B1553" s="28" t="s">
        <v>7354</v>
      </c>
      <c r="C1553" s="28" t="s">
        <v>5269</v>
      </c>
      <c r="D1553" s="437" t="s">
        <v>7363</v>
      </c>
      <c r="E1553" s="361" t="str">
        <f t="shared" ca="1" si="75"/>
        <v>LOSS</v>
      </c>
      <c r="F1553" s="29"/>
      <c r="G1553" s="28" t="s">
        <v>5271</v>
      </c>
      <c r="H1553" s="29" t="s">
        <v>2748</v>
      </c>
      <c r="I1553" s="29" t="s">
        <v>346</v>
      </c>
      <c r="J1553" s="28" t="s">
        <v>5272</v>
      </c>
      <c r="K1553" s="28"/>
      <c r="L1553" s="27"/>
      <c r="M1553" s="27"/>
      <c r="N1553" s="29"/>
      <c r="O1553" s="56"/>
      <c r="P1553" s="31">
        <v>1668963600</v>
      </c>
      <c r="Q1553" s="31"/>
      <c r="R1553" s="27"/>
      <c r="S1553" s="32">
        <v>105010000</v>
      </c>
      <c r="T1553" s="33"/>
      <c r="U1553" s="334">
        <v>44490</v>
      </c>
      <c r="V1553" s="334">
        <v>45585</v>
      </c>
      <c r="W1553" s="27" t="s">
        <v>245</v>
      </c>
      <c r="X1553" s="27"/>
      <c r="Y1553" s="34">
        <f t="shared" ca="1" si="78"/>
        <v>46290</v>
      </c>
      <c r="Z1553" s="35">
        <f t="shared" ca="1" si="77"/>
        <v>-705</v>
      </c>
      <c r="AA1553" s="27">
        <f t="shared" si="79"/>
        <v>10</v>
      </c>
      <c r="AB1553" s="27">
        <f t="shared" si="76"/>
        <v>2024</v>
      </c>
      <c r="AC1553" s="28" t="s">
        <v>479</v>
      </c>
      <c r="AD1553" s="28" t="s">
        <v>2565</v>
      </c>
      <c r="AE1553" s="27">
        <v>4500017708</v>
      </c>
      <c r="AF1553" s="27" t="s">
        <v>339</v>
      </c>
      <c r="AG1553" s="29" t="s">
        <v>7364</v>
      </c>
      <c r="AH1553" s="28" t="s">
        <v>7365</v>
      </c>
      <c r="AI1553" s="27"/>
      <c r="AJ1553" s="27"/>
      <c r="AK1553" s="27"/>
      <c r="AL1553" s="27"/>
      <c r="AM1553" s="27"/>
      <c r="AN1553" s="27" t="s">
        <v>7366</v>
      </c>
      <c r="AO1553" s="27"/>
      <c r="AP1553" s="27"/>
      <c r="AQ1553" s="27"/>
      <c r="AR1553" s="504"/>
      <c r="AS1553" s="332" t="s">
        <v>7367</v>
      </c>
      <c r="AT1553" s="160"/>
    </row>
    <row r="1554" spans="1:46" ht="21.75" hidden="1" customHeight="1">
      <c r="A1554" s="331">
        <v>1553</v>
      </c>
      <c r="B1554" s="28" t="s">
        <v>7368</v>
      </c>
      <c r="C1554" s="28" t="s">
        <v>7369</v>
      </c>
      <c r="D1554" s="438" t="s">
        <v>7370</v>
      </c>
      <c r="E1554" s="361" t="str">
        <f t="shared" ca="1" si="75"/>
        <v>LOSS</v>
      </c>
      <c r="F1554" s="29"/>
      <c r="G1554" s="28" t="s">
        <v>7371</v>
      </c>
      <c r="H1554" s="29" t="s">
        <v>2748</v>
      </c>
      <c r="I1554" s="29" t="s">
        <v>346</v>
      </c>
      <c r="J1554" s="28" t="s">
        <v>7372</v>
      </c>
      <c r="K1554" s="28"/>
      <c r="L1554" s="27"/>
      <c r="M1554" s="27"/>
      <c r="N1554" s="29"/>
      <c r="O1554" s="56"/>
      <c r="P1554" s="31">
        <f>12*31250000</f>
        <v>375000000</v>
      </c>
      <c r="Q1554" s="31"/>
      <c r="R1554" s="27"/>
      <c r="S1554" s="32">
        <v>89400000</v>
      </c>
      <c r="T1554" s="33"/>
      <c r="U1554" s="336">
        <v>44958</v>
      </c>
      <c r="V1554" s="334">
        <v>45322</v>
      </c>
      <c r="W1554" s="27" t="s">
        <v>250</v>
      </c>
      <c r="X1554" s="27"/>
      <c r="Y1554" s="34">
        <f t="shared" ca="1" si="78"/>
        <v>46290</v>
      </c>
      <c r="Z1554" s="35">
        <f t="shared" ca="1" si="77"/>
        <v>-968</v>
      </c>
      <c r="AA1554" s="27">
        <f t="shared" si="79"/>
        <v>1</v>
      </c>
      <c r="AB1554" s="27">
        <f t="shared" si="76"/>
        <v>2024</v>
      </c>
      <c r="AC1554" s="28" t="s">
        <v>479</v>
      </c>
      <c r="AD1554" s="28" t="s">
        <v>7373</v>
      </c>
      <c r="AE1554" s="27">
        <v>4500020009</v>
      </c>
      <c r="AF1554" s="27" t="s">
        <v>339</v>
      </c>
      <c r="AG1554" s="29"/>
      <c r="AH1554" s="28"/>
      <c r="AI1554" s="27"/>
      <c r="AJ1554" s="27"/>
      <c r="AK1554" s="27"/>
      <c r="AL1554" s="27"/>
      <c r="AM1554" s="27"/>
      <c r="AN1554" s="27"/>
      <c r="AO1554" s="27" t="s">
        <v>7374</v>
      </c>
      <c r="AP1554" s="27"/>
      <c r="AQ1554" s="27"/>
      <c r="AR1554" s="504"/>
      <c r="AS1554" s="332" t="s">
        <v>7375</v>
      </c>
      <c r="AT1554" s="160"/>
    </row>
    <row r="1555" spans="1:46" ht="21.75" hidden="1" customHeight="1">
      <c r="A1555" s="331">
        <v>1554</v>
      </c>
      <c r="B1555" s="28" t="s">
        <v>7376</v>
      </c>
      <c r="C1555" s="28" t="s">
        <v>7377</v>
      </c>
      <c r="D1555" s="437" t="s">
        <v>7378</v>
      </c>
      <c r="E1555" s="361" t="str">
        <f t="shared" ca="1" si="75"/>
        <v>LOSS</v>
      </c>
      <c r="F1555" s="29"/>
      <c r="G1555" s="28" t="s">
        <v>7379</v>
      </c>
      <c r="H1555" s="29" t="s">
        <v>2748</v>
      </c>
      <c r="I1555" s="29" t="s">
        <v>346</v>
      </c>
      <c r="J1555" s="28" t="s">
        <v>7380</v>
      </c>
      <c r="K1555" s="28"/>
      <c r="L1555" s="27"/>
      <c r="M1555" s="27"/>
      <c r="N1555" s="29"/>
      <c r="O1555" s="56"/>
      <c r="P1555" s="31">
        <v>192000000</v>
      </c>
      <c r="Q1555" s="31"/>
      <c r="R1555" s="27"/>
      <c r="S1555" s="32">
        <v>28760500</v>
      </c>
      <c r="T1555" s="33"/>
      <c r="U1555" s="334">
        <v>43831</v>
      </c>
      <c r="V1555" s="334">
        <v>44196</v>
      </c>
      <c r="W1555" s="27" t="s">
        <v>250</v>
      </c>
      <c r="X1555" s="27"/>
      <c r="Y1555" s="34">
        <f t="shared" ca="1" si="78"/>
        <v>46290</v>
      </c>
      <c r="Z1555" s="35">
        <f t="shared" ca="1" si="77"/>
        <v>-2094</v>
      </c>
      <c r="AA1555" s="27">
        <f t="shared" si="79"/>
        <v>12</v>
      </c>
      <c r="AB1555" s="27">
        <f t="shared" si="76"/>
        <v>2020</v>
      </c>
      <c r="AC1555" s="46" t="s">
        <v>7381</v>
      </c>
      <c r="AD1555" s="46" t="s">
        <v>1065</v>
      </c>
      <c r="AE1555" s="47" t="s">
        <v>7382</v>
      </c>
      <c r="AF1555" s="27" t="s">
        <v>339</v>
      </c>
      <c r="AG1555" s="29" t="s">
        <v>7383</v>
      </c>
      <c r="AH1555" s="28" t="s">
        <v>7384</v>
      </c>
      <c r="AI1555" s="27" t="s">
        <v>115</v>
      </c>
      <c r="AJ1555" s="27" t="s">
        <v>7385</v>
      </c>
      <c r="AK1555" s="27" t="s">
        <v>7386</v>
      </c>
      <c r="AL1555" s="27" t="s">
        <v>7387</v>
      </c>
      <c r="AM1555" s="27"/>
      <c r="AN1555" s="27"/>
      <c r="AO1555" s="27"/>
      <c r="AP1555" s="27"/>
      <c r="AQ1555" s="27"/>
      <c r="AR1555" s="504"/>
      <c r="AS1555" s="332" t="s">
        <v>7388</v>
      </c>
      <c r="AT1555" s="160"/>
    </row>
    <row r="1556" spans="1:46" ht="21.75" hidden="1" customHeight="1">
      <c r="A1556" s="331">
        <v>1555</v>
      </c>
      <c r="B1556" s="28" t="s">
        <v>7389</v>
      </c>
      <c r="C1556" s="28" t="s">
        <v>7390</v>
      </c>
      <c r="D1556" s="438" t="s">
        <v>7391</v>
      </c>
      <c r="E1556" s="361" t="str">
        <f t="shared" ca="1" si="75"/>
        <v>LOSS</v>
      </c>
      <c r="F1556" s="29"/>
      <c r="G1556" s="28" t="s">
        <v>7392</v>
      </c>
      <c r="H1556" s="29" t="s">
        <v>2748</v>
      </c>
      <c r="I1556" s="29" t="s">
        <v>346</v>
      </c>
      <c r="J1556" s="28" t="s">
        <v>7393</v>
      </c>
      <c r="K1556" s="28"/>
      <c r="L1556" s="27"/>
      <c r="M1556" s="27"/>
      <c r="N1556" s="29"/>
      <c r="O1556" s="56"/>
      <c r="P1556" s="31">
        <v>180120000</v>
      </c>
      <c r="Q1556" s="31"/>
      <c r="R1556" s="27"/>
      <c r="S1556" s="32">
        <v>10000000</v>
      </c>
      <c r="T1556" s="33"/>
      <c r="U1556" s="334">
        <v>43508</v>
      </c>
      <c r="V1556" s="334">
        <v>43872</v>
      </c>
      <c r="W1556" s="27" t="s">
        <v>250</v>
      </c>
      <c r="X1556" s="27"/>
      <c r="Y1556" s="34">
        <f t="shared" ca="1" si="78"/>
        <v>46290</v>
      </c>
      <c r="Z1556" s="35">
        <f t="shared" ca="1" si="77"/>
        <v>-2418</v>
      </c>
      <c r="AA1556" s="27">
        <f t="shared" si="79"/>
        <v>2</v>
      </c>
      <c r="AB1556" s="27">
        <f t="shared" si="76"/>
        <v>2020</v>
      </c>
      <c r="AC1556" s="28" t="s">
        <v>479</v>
      </c>
      <c r="AD1556" s="28" t="s">
        <v>7394</v>
      </c>
      <c r="AE1556" s="27">
        <v>4500012498</v>
      </c>
      <c r="AF1556" s="27" t="s">
        <v>339</v>
      </c>
      <c r="AG1556" s="29" t="s">
        <v>7395</v>
      </c>
      <c r="AH1556" s="28" t="s">
        <v>7396</v>
      </c>
      <c r="AI1556" s="27"/>
      <c r="AJ1556" s="27"/>
      <c r="AK1556" s="27" t="s">
        <v>7397</v>
      </c>
      <c r="AL1556" s="27"/>
      <c r="AM1556" s="27"/>
      <c r="AN1556" s="27"/>
      <c r="AO1556" s="27"/>
      <c r="AP1556" s="27"/>
      <c r="AQ1556" s="27"/>
      <c r="AR1556" s="504"/>
      <c r="AS1556" s="332" t="s">
        <v>7398</v>
      </c>
      <c r="AT1556" s="160"/>
    </row>
    <row r="1557" spans="1:46" ht="21.75" hidden="1" customHeight="1">
      <c r="A1557" s="331">
        <v>1556</v>
      </c>
      <c r="B1557" s="28" t="s">
        <v>7389</v>
      </c>
      <c r="C1557" s="28" t="s">
        <v>7399</v>
      </c>
      <c r="D1557" s="437" t="s">
        <v>7400</v>
      </c>
      <c r="E1557" s="361" t="str">
        <f t="shared" ca="1" si="75"/>
        <v>LOSS</v>
      </c>
      <c r="F1557" s="29"/>
      <c r="G1557" s="28" t="s">
        <v>7401</v>
      </c>
      <c r="H1557" s="29" t="s">
        <v>2748</v>
      </c>
      <c r="I1557" s="160" t="s">
        <v>346</v>
      </c>
      <c r="J1557" s="28" t="s">
        <v>7402</v>
      </c>
      <c r="K1557" s="28"/>
      <c r="L1557" s="27"/>
      <c r="M1557" s="27"/>
      <c r="N1557" s="29"/>
      <c r="O1557" s="56"/>
      <c r="P1557" s="31">
        <v>120000000</v>
      </c>
      <c r="Q1557" s="31"/>
      <c r="R1557" s="27"/>
      <c r="S1557" s="32">
        <v>10000000</v>
      </c>
      <c r="T1557" s="33"/>
      <c r="U1557" s="334">
        <v>44501</v>
      </c>
      <c r="V1557" s="334">
        <v>45596</v>
      </c>
      <c r="W1557" s="27" t="s">
        <v>17</v>
      </c>
      <c r="X1557" s="27"/>
      <c r="Y1557" s="34">
        <f t="shared" ca="1" si="78"/>
        <v>46290</v>
      </c>
      <c r="Z1557" s="35">
        <f t="shared" ca="1" si="77"/>
        <v>-694</v>
      </c>
      <c r="AA1557" s="27">
        <f t="shared" si="79"/>
        <v>10</v>
      </c>
      <c r="AB1557" s="27">
        <f t="shared" si="76"/>
        <v>2024</v>
      </c>
      <c r="AC1557" s="28" t="s">
        <v>7403</v>
      </c>
      <c r="AD1557" s="28" t="s">
        <v>7404</v>
      </c>
      <c r="AE1557" s="27">
        <v>4500021700</v>
      </c>
      <c r="AF1557" s="27" t="s">
        <v>339</v>
      </c>
      <c r="AG1557" s="29" t="s">
        <v>7395</v>
      </c>
      <c r="AH1557" s="28" t="s">
        <v>7405</v>
      </c>
      <c r="AI1557" s="27"/>
      <c r="AJ1557" s="27"/>
      <c r="AK1557" s="27"/>
      <c r="AL1557" s="27" t="s">
        <v>7406</v>
      </c>
      <c r="AM1557" s="27"/>
      <c r="AN1557" s="27"/>
      <c r="AO1557" s="27" t="s">
        <v>7407</v>
      </c>
      <c r="AP1557" s="27"/>
      <c r="AQ1557" s="27"/>
      <c r="AR1557" s="504"/>
      <c r="AS1557" s="332" t="s">
        <v>7408</v>
      </c>
      <c r="AT1557" s="160"/>
    </row>
    <row r="1558" spans="1:46" ht="21.75" hidden="1" customHeight="1">
      <c r="A1558" s="331">
        <v>1557</v>
      </c>
      <c r="B1558" s="28" t="s">
        <v>7389</v>
      </c>
      <c r="C1558" s="28" t="s">
        <v>7409</v>
      </c>
      <c r="D1558" s="438" t="s">
        <v>7410</v>
      </c>
      <c r="E1558" s="361" t="str">
        <f t="shared" ca="1" si="75"/>
        <v>LOSS</v>
      </c>
      <c r="F1558" s="29"/>
      <c r="G1558" s="28" t="s">
        <v>7411</v>
      </c>
      <c r="H1558" s="29" t="s">
        <v>2748</v>
      </c>
      <c r="I1558" s="29" t="s">
        <v>346</v>
      </c>
      <c r="J1558" s="28" t="s">
        <v>7412</v>
      </c>
      <c r="K1558" s="28"/>
      <c r="L1558" s="27"/>
      <c r="M1558" s="27"/>
      <c r="N1558" s="29"/>
      <c r="O1558" s="56"/>
      <c r="P1558" s="31">
        <f>12*8500000</f>
        <v>102000000</v>
      </c>
      <c r="Q1558" s="31"/>
      <c r="R1558" s="27"/>
      <c r="S1558" s="32">
        <v>5000000</v>
      </c>
      <c r="T1558" s="33"/>
      <c r="U1558" s="334">
        <v>45022</v>
      </c>
      <c r="V1558" s="334">
        <v>45205</v>
      </c>
      <c r="W1558" s="27" t="s">
        <v>250</v>
      </c>
      <c r="X1558" s="27"/>
      <c r="Y1558" s="34">
        <f t="shared" ca="1" si="78"/>
        <v>46290</v>
      </c>
      <c r="Z1558" s="35">
        <f t="shared" ca="1" si="77"/>
        <v>-1085</v>
      </c>
      <c r="AA1558" s="27">
        <f t="shared" si="79"/>
        <v>10</v>
      </c>
      <c r="AB1558" s="27">
        <f t="shared" si="76"/>
        <v>2023</v>
      </c>
      <c r="AC1558" s="28" t="s">
        <v>479</v>
      </c>
      <c r="AD1558" s="28" t="s">
        <v>7413</v>
      </c>
      <c r="AE1558" s="27">
        <v>4500020509</v>
      </c>
      <c r="AF1558" s="27" t="s">
        <v>339</v>
      </c>
      <c r="AG1558" s="29" t="s">
        <v>7395</v>
      </c>
      <c r="AH1558" s="28" t="s">
        <v>7414</v>
      </c>
      <c r="AI1558" s="27"/>
      <c r="AJ1558" s="27"/>
      <c r="AK1558" s="27"/>
      <c r="AL1558" s="27"/>
      <c r="AM1558" s="27"/>
      <c r="AN1558" s="27"/>
      <c r="AO1558" s="27"/>
      <c r="AP1558" s="27"/>
      <c r="AQ1558" s="27"/>
      <c r="AR1558" s="504"/>
      <c r="AS1558" s="332" t="s">
        <v>7415</v>
      </c>
      <c r="AT1558" s="160"/>
    </row>
    <row r="1559" spans="1:46" ht="21.75" hidden="1" customHeight="1">
      <c r="A1559" s="331">
        <v>1558</v>
      </c>
      <c r="B1559" s="28" t="s">
        <v>7389</v>
      </c>
      <c r="C1559" s="28" t="s">
        <v>7416</v>
      </c>
      <c r="D1559" s="437" t="s">
        <v>7400</v>
      </c>
      <c r="E1559" s="361" t="str">
        <f t="shared" ca="1" si="75"/>
        <v>LOSS</v>
      </c>
      <c r="F1559" s="29"/>
      <c r="G1559" s="28" t="s">
        <v>7417</v>
      </c>
      <c r="H1559" s="29" t="s">
        <v>2748</v>
      </c>
      <c r="I1559" s="29" t="s">
        <v>346</v>
      </c>
      <c r="J1559" s="28" t="s">
        <v>7418</v>
      </c>
      <c r="K1559" s="28"/>
      <c r="L1559" s="27"/>
      <c r="M1559" s="27"/>
      <c r="N1559" s="29"/>
      <c r="O1559" s="56"/>
      <c r="P1559" s="31">
        <v>55000000</v>
      </c>
      <c r="Q1559" s="31"/>
      <c r="R1559" s="27"/>
      <c r="S1559" s="32">
        <v>10000000</v>
      </c>
      <c r="T1559" s="33"/>
      <c r="U1559" s="334">
        <v>43873</v>
      </c>
      <c r="V1559" s="334">
        <v>44238</v>
      </c>
      <c r="W1559" s="27" t="s">
        <v>250</v>
      </c>
      <c r="X1559" s="27"/>
      <c r="Y1559" s="34">
        <f t="shared" ca="1" si="78"/>
        <v>46290</v>
      </c>
      <c r="Z1559" s="35">
        <f t="shared" ca="1" si="77"/>
        <v>-2052</v>
      </c>
      <c r="AA1559" s="27">
        <f t="shared" si="79"/>
        <v>2</v>
      </c>
      <c r="AB1559" s="27">
        <f t="shared" si="76"/>
        <v>2021</v>
      </c>
      <c r="AC1559" s="28" t="s">
        <v>7419</v>
      </c>
      <c r="AD1559" s="28" t="s">
        <v>7420</v>
      </c>
      <c r="AE1559" s="27">
        <v>4500015158</v>
      </c>
      <c r="AF1559" s="27" t="s">
        <v>339</v>
      </c>
      <c r="AG1559" s="29" t="s">
        <v>7395</v>
      </c>
      <c r="AH1559" s="28" t="s">
        <v>7405</v>
      </c>
      <c r="AI1559" s="27"/>
      <c r="AJ1559" s="27"/>
      <c r="AK1559" s="27"/>
      <c r="AL1559" s="27" t="s">
        <v>7421</v>
      </c>
      <c r="AM1559" s="27"/>
      <c r="AN1559" s="27"/>
      <c r="AO1559" s="27"/>
      <c r="AP1559" s="27"/>
      <c r="AQ1559" s="27"/>
      <c r="AR1559" s="504"/>
      <c r="AS1559" s="332" t="s">
        <v>7422</v>
      </c>
      <c r="AT1559" s="160"/>
    </row>
    <row r="1560" spans="1:46" ht="21.75" hidden="1" customHeight="1">
      <c r="A1560" s="331">
        <v>1559</v>
      </c>
      <c r="B1560" s="28" t="s">
        <v>7389</v>
      </c>
      <c r="C1560" s="28" t="s">
        <v>1467</v>
      </c>
      <c r="D1560" s="438" t="s">
        <v>7400</v>
      </c>
      <c r="E1560" s="361" t="str">
        <f t="shared" ca="1" si="75"/>
        <v>LOSS</v>
      </c>
      <c r="F1560" s="29"/>
      <c r="G1560" s="28" t="s">
        <v>7417</v>
      </c>
      <c r="H1560" s="29" t="s">
        <v>2748</v>
      </c>
      <c r="I1560" s="160" t="s">
        <v>346</v>
      </c>
      <c r="J1560" s="28" t="s">
        <v>7423</v>
      </c>
      <c r="K1560" s="28"/>
      <c r="L1560" s="27"/>
      <c r="M1560" s="27"/>
      <c r="N1560" s="29"/>
      <c r="O1560" s="56"/>
      <c r="P1560" s="31">
        <v>119674980</v>
      </c>
      <c r="Q1560" s="31"/>
      <c r="R1560" s="27"/>
      <c r="S1560" s="32">
        <v>10000000</v>
      </c>
      <c r="T1560" s="33"/>
      <c r="U1560" s="334">
        <v>45145</v>
      </c>
      <c r="V1560" s="334">
        <v>45510</v>
      </c>
      <c r="W1560" s="27" t="s">
        <v>17</v>
      </c>
      <c r="X1560" s="27"/>
      <c r="Y1560" s="34">
        <f t="shared" ca="1" si="78"/>
        <v>46290</v>
      </c>
      <c r="Z1560" s="35">
        <f t="shared" ca="1" si="77"/>
        <v>-780</v>
      </c>
      <c r="AA1560" s="27">
        <f t="shared" si="79"/>
        <v>8</v>
      </c>
      <c r="AB1560" s="27">
        <f t="shared" si="76"/>
        <v>2024</v>
      </c>
      <c r="AC1560" s="28" t="s">
        <v>7424</v>
      </c>
      <c r="AD1560" s="28" t="s">
        <v>7425</v>
      </c>
      <c r="AE1560" s="27">
        <v>4500021198</v>
      </c>
      <c r="AF1560" s="27" t="s">
        <v>339</v>
      </c>
      <c r="AG1560" s="29" t="s">
        <v>7395</v>
      </c>
      <c r="AH1560" s="28" t="s">
        <v>7405</v>
      </c>
      <c r="AI1560" s="27"/>
      <c r="AJ1560" s="27" t="s">
        <v>7426</v>
      </c>
      <c r="AK1560" s="27" t="s">
        <v>7427</v>
      </c>
      <c r="AL1560" s="27" t="s">
        <v>7428</v>
      </c>
      <c r="AM1560" s="27" t="s">
        <v>7429</v>
      </c>
      <c r="AN1560" s="27" t="s">
        <v>7430</v>
      </c>
      <c r="AO1560" s="27" t="s">
        <v>7431</v>
      </c>
      <c r="AP1560" s="27"/>
      <c r="AQ1560" s="27"/>
      <c r="AR1560" s="504"/>
      <c r="AS1560" s="332" t="s">
        <v>7432</v>
      </c>
      <c r="AT1560" s="160"/>
    </row>
    <row r="1561" spans="1:46" ht="21.75" hidden="1" customHeight="1">
      <c r="A1561" s="331">
        <v>1560</v>
      </c>
      <c r="B1561" s="28" t="s">
        <v>7389</v>
      </c>
      <c r="C1561" s="28" t="s">
        <v>1467</v>
      </c>
      <c r="D1561" s="437" t="s">
        <v>7433</v>
      </c>
      <c r="E1561" s="361" t="str">
        <f t="shared" ca="1" si="75"/>
        <v>LOSS</v>
      </c>
      <c r="F1561" s="29" t="s">
        <v>115</v>
      </c>
      <c r="G1561" s="28" t="s">
        <v>7434</v>
      </c>
      <c r="H1561" s="29" t="s">
        <v>2748</v>
      </c>
      <c r="I1561" s="160" t="s">
        <v>346</v>
      </c>
      <c r="J1561" s="28" t="s">
        <v>7435</v>
      </c>
      <c r="K1561" s="28"/>
      <c r="L1561" s="27"/>
      <c r="M1561" s="27"/>
      <c r="N1561" s="29"/>
      <c r="O1561" s="56"/>
      <c r="P1561" s="31">
        <v>51046800</v>
      </c>
      <c r="Q1561" s="31"/>
      <c r="R1561" s="27"/>
      <c r="S1561" s="32">
        <v>10000000</v>
      </c>
      <c r="T1561" s="33"/>
      <c r="U1561" s="334">
        <v>45245</v>
      </c>
      <c r="V1561" s="334">
        <v>45610</v>
      </c>
      <c r="W1561" s="27" t="s">
        <v>17</v>
      </c>
      <c r="X1561" s="27"/>
      <c r="Y1561" s="34">
        <f t="shared" ca="1" si="78"/>
        <v>46290</v>
      </c>
      <c r="Z1561" s="35">
        <f t="shared" ca="1" si="77"/>
        <v>-680</v>
      </c>
      <c r="AA1561" s="27">
        <f t="shared" si="79"/>
        <v>11</v>
      </c>
      <c r="AB1561" s="27">
        <f t="shared" si="76"/>
        <v>2024</v>
      </c>
      <c r="AC1561" s="28" t="s">
        <v>479</v>
      </c>
      <c r="AD1561" s="28" t="s">
        <v>7436</v>
      </c>
      <c r="AE1561" s="27">
        <v>4500021820</v>
      </c>
      <c r="AF1561" s="27" t="s">
        <v>339</v>
      </c>
      <c r="AG1561" s="29" t="s">
        <v>7395</v>
      </c>
      <c r="AH1561" s="28" t="s">
        <v>7405</v>
      </c>
      <c r="AI1561" s="27"/>
      <c r="AJ1561" s="27"/>
      <c r="AK1561" s="27"/>
      <c r="AL1561" s="27"/>
      <c r="AM1561" s="27"/>
      <c r="AN1561" s="27"/>
      <c r="AO1561" s="27" t="s">
        <v>7437</v>
      </c>
      <c r="AP1561" s="27"/>
      <c r="AQ1561" s="27"/>
      <c r="AR1561" s="504"/>
      <c r="AS1561" s="332" t="s">
        <v>7408</v>
      </c>
      <c r="AT1561" s="160"/>
    </row>
    <row r="1562" spans="1:46" ht="21.75" hidden="1" customHeight="1">
      <c r="A1562" s="331">
        <v>1561</v>
      </c>
      <c r="B1562" s="28" t="s">
        <v>7389</v>
      </c>
      <c r="C1562" s="28" t="s">
        <v>1467</v>
      </c>
      <c r="D1562" s="438" t="s">
        <v>7438</v>
      </c>
      <c r="E1562" s="361" t="str">
        <f t="shared" ca="1" si="75"/>
        <v>LOSS</v>
      </c>
      <c r="F1562" s="29" t="s">
        <v>115</v>
      </c>
      <c r="G1562" s="28" t="s">
        <v>7439</v>
      </c>
      <c r="H1562" s="29" t="s">
        <v>2748</v>
      </c>
      <c r="I1562" s="160" t="s">
        <v>346</v>
      </c>
      <c r="J1562" s="28" t="s">
        <v>7440</v>
      </c>
      <c r="K1562" s="28"/>
      <c r="L1562" s="27"/>
      <c r="M1562" s="27"/>
      <c r="N1562" s="29"/>
      <c r="O1562" s="56"/>
      <c r="P1562" s="31">
        <v>55231200</v>
      </c>
      <c r="Q1562" s="31"/>
      <c r="R1562" s="27"/>
      <c r="S1562" s="32">
        <v>10000000</v>
      </c>
      <c r="T1562" s="33"/>
      <c r="U1562" s="334">
        <v>45611</v>
      </c>
      <c r="V1562" s="334">
        <v>45975</v>
      </c>
      <c r="W1562" s="27" t="s">
        <v>17</v>
      </c>
      <c r="X1562" s="27"/>
      <c r="Y1562" s="34">
        <f t="shared" ca="1" si="78"/>
        <v>46290</v>
      </c>
      <c r="Z1562" s="35">
        <f t="shared" ca="1" si="77"/>
        <v>-315</v>
      </c>
      <c r="AA1562" s="27">
        <f t="shared" si="79"/>
        <v>11</v>
      </c>
      <c r="AB1562" s="27">
        <f t="shared" si="76"/>
        <v>2025</v>
      </c>
      <c r="AC1562" s="28" t="s">
        <v>7441</v>
      </c>
      <c r="AD1562" s="28" t="s">
        <v>7442</v>
      </c>
      <c r="AE1562" s="27">
        <v>4500023382</v>
      </c>
      <c r="AF1562" s="27" t="s">
        <v>333</v>
      </c>
      <c r="AG1562" s="29" t="s">
        <v>7395</v>
      </c>
      <c r="AH1562" s="28" t="s">
        <v>7405</v>
      </c>
      <c r="AI1562" s="27"/>
      <c r="AJ1562" s="27"/>
      <c r="AK1562" s="27"/>
      <c r="AL1562" s="27"/>
      <c r="AM1562" s="27"/>
      <c r="AN1562" s="27"/>
      <c r="AO1562" s="27" t="s">
        <v>7443</v>
      </c>
      <c r="AP1562" s="27" t="s">
        <v>7444</v>
      </c>
      <c r="AQ1562" s="27"/>
      <c r="AR1562" s="504"/>
      <c r="AS1562" s="332" t="s">
        <v>7408</v>
      </c>
      <c r="AT1562" s="160"/>
    </row>
    <row r="1563" spans="1:46" ht="21.75" hidden="1" customHeight="1">
      <c r="A1563" s="331">
        <v>1562</v>
      </c>
      <c r="B1563" s="28" t="s">
        <v>206</v>
      </c>
      <c r="C1563" s="28" t="s">
        <v>7445</v>
      </c>
      <c r="D1563" s="444" t="s">
        <v>7446</v>
      </c>
      <c r="E1563" s="361" t="str">
        <f t="shared" ca="1" si="75"/>
        <v>LOSS</v>
      </c>
      <c r="F1563" s="29"/>
      <c r="G1563" s="28" t="s">
        <v>7447</v>
      </c>
      <c r="H1563" s="29" t="s">
        <v>2748</v>
      </c>
      <c r="I1563" s="29" t="s">
        <v>346</v>
      </c>
      <c r="J1563" s="28" t="s">
        <v>207</v>
      </c>
      <c r="K1563" s="28"/>
      <c r="L1563" s="27"/>
      <c r="M1563" s="27"/>
      <c r="N1563" s="29"/>
      <c r="O1563" s="56"/>
      <c r="P1563" s="31">
        <v>90000000</v>
      </c>
      <c r="Q1563" s="31"/>
      <c r="R1563" s="27"/>
      <c r="S1563" s="32">
        <v>96000000</v>
      </c>
      <c r="T1563" s="33"/>
      <c r="U1563" s="334">
        <v>44772</v>
      </c>
      <c r="V1563" s="334">
        <v>45502</v>
      </c>
      <c r="W1563" s="27" t="s">
        <v>250</v>
      </c>
      <c r="X1563" s="27"/>
      <c r="Y1563" s="34">
        <f t="shared" ca="1" si="78"/>
        <v>46290</v>
      </c>
      <c r="Z1563" s="35">
        <f t="shared" ca="1" si="77"/>
        <v>-788</v>
      </c>
      <c r="AA1563" s="27">
        <f t="shared" si="79"/>
        <v>7</v>
      </c>
      <c r="AB1563" s="27">
        <f t="shared" si="76"/>
        <v>2024</v>
      </c>
      <c r="AC1563" s="28" t="s">
        <v>7448</v>
      </c>
      <c r="AD1563" s="28" t="s">
        <v>2318</v>
      </c>
      <c r="AE1563" s="27">
        <v>4500018528</v>
      </c>
      <c r="AF1563" s="27" t="s">
        <v>339</v>
      </c>
      <c r="AG1563" s="29"/>
      <c r="AH1563" s="28"/>
      <c r="AI1563" s="27"/>
      <c r="AJ1563" s="27"/>
      <c r="AK1563" s="27"/>
      <c r="AL1563" s="27" t="s">
        <v>7449</v>
      </c>
      <c r="AM1563" s="27"/>
      <c r="AN1563" s="27" t="s">
        <v>7450</v>
      </c>
      <c r="AO1563" s="27"/>
      <c r="AP1563" s="27"/>
      <c r="AQ1563" s="27"/>
      <c r="AR1563" s="504"/>
      <c r="AS1563" s="332" t="s">
        <v>7451</v>
      </c>
      <c r="AT1563" s="160"/>
    </row>
    <row r="1564" spans="1:46" ht="21.75" hidden="1" customHeight="1">
      <c r="A1564" s="331">
        <v>1563</v>
      </c>
      <c r="B1564" s="28" t="s">
        <v>206</v>
      </c>
      <c r="C1564" s="28" t="s">
        <v>7445</v>
      </c>
      <c r="D1564" s="443" t="s">
        <v>7446</v>
      </c>
      <c r="E1564" s="361" t="str">
        <f t="shared" ca="1" si="75"/>
        <v>LOSS</v>
      </c>
      <c r="F1564" s="29"/>
      <c r="G1564" s="28" t="s">
        <v>7447</v>
      </c>
      <c r="H1564" s="29" t="s">
        <v>2748</v>
      </c>
      <c r="I1564" s="160" t="s">
        <v>346</v>
      </c>
      <c r="J1564" s="28" t="s">
        <v>207</v>
      </c>
      <c r="K1564" s="28"/>
      <c r="L1564" s="27"/>
      <c r="M1564" s="27"/>
      <c r="N1564" s="29"/>
      <c r="O1564" s="56"/>
      <c r="P1564" s="31">
        <v>90000000</v>
      </c>
      <c r="Q1564" s="31"/>
      <c r="R1564" s="27"/>
      <c r="S1564" s="32">
        <f>100800000/2</f>
        <v>50400000</v>
      </c>
      <c r="T1564" s="33"/>
      <c r="U1564" s="334">
        <v>45503</v>
      </c>
      <c r="V1564" s="334">
        <v>46232</v>
      </c>
      <c r="W1564" s="27" t="s">
        <v>17</v>
      </c>
      <c r="X1564" s="27"/>
      <c r="Y1564" s="34">
        <f t="shared" ca="1" si="78"/>
        <v>46290</v>
      </c>
      <c r="Z1564" s="35">
        <f t="shared" ca="1" si="77"/>
        <v>-58</v>
      </c>
      <c r="AA1564" s="27">
        <f t="shared" si="79"/>
        <v>7</v>
      </c>
      <c r="AB1564" s="27">
        <f t="shared" si="76"/>
        <v>2026</v>
      </c>
      <c r="AC1564" s="28"/>
      <c r="AD1564" s="28" t="s">
        <v>7452</v>
      </c>
      <c r="AE1564" s="27">
        <v>4500023194</v>
      </c>
      <c r="AF1564" s="27" t="s">
        <v>339</v>
      </c>
      <c r="AG1564" s="29"/>
      <c r="AH1564" s="28"/>
      <c r="AI1564" s="27"/>
      <c r="AJ1564" s="27"/>
      <c r="AK1564" s="27"/>
      <c r="AL1564" s="27"/>
      <c r="AM1564" s="27"/>
      <c r="AN1564" s="27"/>
      <c r="AO1564" s="27"/>
      <c r="AP1564" s="27" t="s">
        <v>7453</v>
      </c>
      <c r="AQ1564" s="27"/>
      <c r="AR1564" s="504"/>
      <c r="AS1564" s="332"/>
      <c r="AT1564" s="160"/>
    </row>
    <row r="1565" spans="1:46" ht="21.75" hidden="1" customHeight="1">
      <c r="A1565" s="331">
        <v>1564</v>
      </c>
      <c r="B1565" s="28" t="s">
        <v>206</v>
      </c>
      <c r="C1565" s="28" t="s">
        <v>522</v>
      </c>
      <c r="D1565" s="444" t="s">
        <v>7446</v>
      </c>
      <c r="E1565" s="361" t="str">
        <f t="shared" ca="1" si="75"/>
        <v>LOSS</v>
      </c>
      <c r="F1565" s="29"/>
      <c r="G1565" s="28" t="s">
        <v>7454</v>
      </c>
      <c r="H1565" s="29" t="s">
        <v>2748</v>
      </c>
      <c r="I1565" s="29" t="s">
        <v>346</v>
      </c>
      <c r="J1565" s="28" t="s">
        <v>7455</v>
      </c>
      <c r="K1565" s="28"/>
      <c r="L1565" s="27"/>
      <c r="M1565" s="27"/>
      <c r="N1565" s="29"/>
      <c r="O1565" s="56"/>
      <c r="P1565" s="31">
        <v>480000000</v>
      </c>
      <c r="Q1565" s="31"/>
      <c r="R1565" s="27"/>
      <c r="S1565" s="32">
        <v>84207600</v>
      </c>
      <c r="T1565" s="33"/>
      <c r="U1565" s="334">
        <v>43706</v>
      </c>
      <c r="V1565" s="334">
        <v>44071</v>
      </c>
      <c r="W1565" s="27" t="s">
        <v>250</v>
      </c>
      <c r="X1565" s="27"/>
      <c r="Y1565" s="34">
        <f t="shared" ca="1" si="78"/>
        <v>46290</v>
      </c>
      <c r="Z1565" s="35">
        <f t="shared" ca="1" si="77"/>
        <v>-2219</v>
      </c>
      <c r="AA1565" s="27">
        <f t="shared" si="79"/>
        <v>8</v>
      </c>
      <c r="AB1565" s="27">
        <f t="shared" si="76"/>
        <v>2020</v>
      </c>
      <c r="AC1565" s="28" t="s">
        <v>7456</v>
      </c>
      <c r="AD1565" s="28" t="s">
        <v>7457</v>
      </c>
      <c r="AE1565" s="27">
        <v>4500013093</v>
      </c>
      <c r="AF1565" s="27" t="s">
        <v>339</v>
      </c>
      <c r="AG1565" s="29" t="s">
        <v>7458</v>
      </c>
      <c r="AH1565" s="28" t="s">
        <v>7459</v>
      </c>
      <c r="AI1565" s="27">
        <v>125</v>
      </c>
      <c r="AJ1565" s="27" t="s">
        <v>7460</v>
      </c>
      <c r="AK1565" s="27" t="s">
        <v>7461</v>
      </c>
      <c r="AL1565" s="27"/>
      <c r="AM1565" s="27"/>
      <c r="AN1565" s="27"/>
      <c r="AO1565" s="27"/>
      <c r="AP1565" s="27"/>
      <c r="AQ1565" s="27"/>
      <c r="AR1565" s="504"/>
      <c r="AS1565" s="332" t="s">
        <v>7462</v>
      </c>
      <c r="AT1565" s="160"/>
    </row>
    <row r="1566" spans="1:46" ht="21.75" hidden="1" customHeight="1">
      <c r="A1566" s="331">
        <v>1565</v>
      </c>
      <c r="B1566" s="28" t="s">
        <v>206</v>
      </c>
      <c r="C1566" s="28" t="s">
        <v>7463</v>
      </c>
      <c r="D1566" s="443" t="s">
        <v>7446</v>
      </c>
      <c r="E1566" s="361" t="str">
        <f t="shared" ca="1" si="75"/>
        <v>LOSS</v>
      </c>
      <c r="F1566" s="29"/>
      <c r="G1566" s="28" t="s">
        <v>7464</v>
      </c>
      <c r="H1566" s="29" t="s">
        <v>2748</v>
      </c>
      <c r="I1566" s="29" t="s">
        <v>346</v>
      </c>
      <c r="J1566" s="28" t="s">
        <v>7465</v>
      </c>
      <c r="K1566" s="28"/>
      <c r="L1566" s="27"/>
      <c r="M1566" s="27"/>
      <c r="N1566" s="29"/>
      <c r="O1566" s="56"/>
      <c r="P1566" s="31">
        <v>90000000</v>
      </c>
      <c r="Q1566" s="31"/>
      <c r="R1566" s="27"/>
      <c r="S1566" s="32">
        <v>31752000</v>
      </c>
      <c r="T1566" s="33"/>
      <c r="U1566" s="334">
        <v>44125</v>
      </c>
      <c r="V1566" s="334">
        <v>44489</v>
      </c>
      <c r="W1566" s="27" t="s">
        <v>245</v>
      </c>
      <c r="X1566" s="27"/>
      <c r="Y1566" s="34">
        <f t="shared" ca="1" si="78"/>
        <v>46290</v>
      </c>
      <c r="Z1566" s="35">
        <f t="shared" ca="1" si="77"/>
        <v>-1801</v>
      </c>
      <c r="AA1566" s="27">
        <f t="shared" si="79"/>
        <v>10</v>
      </c>
      <c r="AB1566" s="27">
        <f t="shared" si="76"/>
        <v>2021</v>
      </c>
      <c r="AC1566" s="28" t="s">
        <v>7466</v>
      </c>
      <c r="AD1566" s="28" t="s">
        <v>7467</v>
      </c>
      <c r="AE1566" s="27">
        <v>4500015224</v>
      </c>
      <c r="AF1566" s="27" t="s">
        <v>339</v>
      </c>
      <c r="AG1566" s="29"/>
      <c r="AH1566" s="28"/>
      <c r="AI1566" s="27"/>
      <c r="AJ1566" s="27"/>
      <c r="AK1566" s="27" t="s">
        <v>7468</v>
      </c>
      <c r="AL1566" s="27" t="s">
        <v>7469</v>
      </c>
      <c r="AM1566" s="27"/>
      <c r="AN1566" s="27"/>
      <c r="AO1566" s="27"/>
      <c r="AP1566" s="27"/>
      <c r="AQ1566" s="27"/>
      <c r="AR1566" s="504"/>
      <c r="AS1566" s="332"/>
      <c r="AT1566" s="160"/>
    </row>
    <row r="1567" spans="1:46" ht="21.75" hidden="1" customHeight="1">
      <c r="A1567" s="331">
        <v>1566</v>
      </c>
      <c r="B1567" s="159" t="s">
        <v>1427</v>
      </c>
      <c r="C1567" s="28" t="s">
        <v>7470</v>
      </c>
      <c r="D1567" s="437" t="s">
        <v>7471</v>
      </c>
      <c r="E1567" s="361" t="str">
        <f t="shared" ca="1" si="75"/>
        <v>LOSS</v>
      </c>
      <c r="F1567" s="29"/>
      <c r="G1567" s="28" t="s">
        <v>7472</v>
      </c>
      <c r="H1567" s="29" t="s">
        <v>2748</v>
      </c>
      <c r="I1567" s="29" t="s">
        <v>346</v>
      </c>
      <c r="J1567" s="28" t="s">
        <v>7473</v>
      </c>
      <c r="K1567" s="28"/>
      <c r="L1567" s="27"/>
      <c r="M1567" s="27"/>
      <c r="N1567" s="29"/>
      <c r="O1567" s="56"/>
      <c r="P1567" s="31">
        <v>23850000</v>
      </c>
      <c r="Q1567" s="31"/>
      <c r="R1567" s="27"/>
      <c r="S1567" s="32">
        <v>50000000</v>
      </c>
      <c r="T1567" s="33"/>
      <c r="U1567" s="334">
        <v>45292</v>
      </c>
      <c r="V1567" s="334">
        <v>45657</v>
      </c>
      <c r="W1567" s="27" t="s">
        <v>250</v>
      </c>
      <c r="X1567" s="27"/>
      <c r="Y1567" s="34">
        <f t="shared" ca="1" si="78"/>
        <v>46290</v>
      </c>
      <c r="Z1567" s="35">
        <f t="shared" ca="1" si="77"/>
        <v>-633</v>
      </c>
      <c r="AA1567" s="27">
        <f t="shared" si="79"/>
        <v>12</v>
      </c>
      <c r="AB1567" s="27">
        <f t="shared" si="76"/>
        <v>2024</v>
      </c>
      <c r="AC1567" s="28" t="s">
        <v>7474</v>
      </c>
      <c r="AD1567" s="28" t="s">
        <v>7475</v>
      </c>
      <c r="AE1567" s="27">
        <v>4500023005</v>
      </c>
      <c r="AF1567" s="27" t="s">
        <v>339</v>
      </c>
      <c r="AG1567" s="29"/>
      <c r="AH1567" s="28"/>
      <c r="AI1567" s="27"/>
      <c r="AJ1567" s="27"/>
      <c r="AK1567" s="27" t="s">
        <v>7476</v>
      </c>
      <c r="AL1567" s="27"/>
      <c r="AM1567" s="27" t="s">
        <v>6108</v>
      </c>
      <c r="AN1567" s="27" t="s">
        <v>7477</v>
      </c>
      <c r="AO1567" s="27" t="s">
        <v>7478</v>
      </c>
      <c r="AP1567" s="27" t="s">
        <v>7479</v>
      </c>
      <c r="AQ1567" s="27"/>
      <c r="AR1567" s="504"/>
      <c r="AS1567" s="332" t="s">
        <v>7480</v>
      </c>
      <c r="AT1567" s="160"/>
    </row>
    <row r="1568" spans="1:46" ht="21.75" hidden="1" customHeight="1">
      <c r="A1568" s="331">
        <v>1567</v>
      </c>
      <c r="B1568" s="28" t="s">
        <v>208</v>
      </c>
      <c r="C1568" s="28" t="s">
        <v>7481</v>
      </c>
      <c r="D1568" s="438" t="s">
        <v>7482</v>
      </c>
      <c r="E1568" s="361" t="str">
        <f t="shared" ca="1" si="75"/>
        <v>LOSS</v>
      </c>
      <c r="F1568" s="29"/>
      <c r="G1568" s="28" t="s">
        <v>7483</v>
      </c>
      <c r="H1568" s="29" t="s">
        <v>2748</v>
      </c>
      <c r="I1568" s="29" t="s">
        <v>346</v>
      </c>
      <c r="J1568" s="28" t="s">
        <v>7484</v>
      </c>
      <c r="K1568" s="28"/>
      <c r="L1568" s="27"/>
      <c r="M1568" s="27"/>
      <c r="N1568" s="29"/>
      <c r="O1568" s="56"/>
      <c r="P1568" s="31">
        <v>180000000</v>
      </c>
      <c r="Q1568" s="31"/>
      <c r="R1568" s="27"/>
      <c r="S1568" s="32">
        <v>63525000</v>
      </c>
      <c r="T1568" s="33"/>
      <c r="U1568" s="334">
        <v>45047</v>
      </c>
      <c r="V1568" s="334">
        <v>45412</v>
      </c>
      <c r="W1568" s="27" t="s">
        <v>250</v>
      </c>
      <c r="X1568" s="27"/>
      <c r="Y1568" s="34">
        <f t="shared" ca="1" si="78"/>
        <v>46290</v>
      </c>
      <c r="Z1568" s="35">
        <f t="shared" ca="1" si="77"/>
        <v>-878</v>
      </c>
      <c r="AA1568" s="27">
        <f t="shared" si="79"/>
        <v>4</v>
      </c>
      <c r="AB1568" s="27">
        <f t="shared" si="76"/>
        <v>2024</v>
      </c>
      <c r="AC1568" s="46" t="s">
        <v>7485</v>
      </c>
      <c r="AD1568" s="46"/>
      <c r="AE1568" s="47" t="s">
        <v>7486</v>
      </c>
      <c r="AF1568" s="27" t="s">
        <v>339</v>
      </c>
      <c r="AG1568" s="29" t="s">
        <v>7487</v>
      </c>
      <c r="AH1568" s="28" t="s">
        <v>7488</v>
      </c>
      <c r="AI1568" s="27"/>
      <c r="AJ1568" s="27"/>
      <c r="AK1568" s="27" t="s">
        <v>7489</v>
      </c>
      <c r="AL1568" s="27" t="s">
        <v>7490</v>
      </c>
      <c r="AM1568" s="27" t="s">
        <v>7491</v>
      </c>
      <c r="AN1568" s="27" t="s">
        <v>7492</v>
      </c>
      <c r="AO1568" s="27" t="s">
        <v>7493</v>
      </c>
      <c r="AP1568" s="27"/>
      <c r="AQ1568" s="27"/>
      <c r="AR1568" s="504"/>
      <c r="AS1568" s="332" t="s">
        <v>7494</v>
      </c>
      <c r="AT1568" s="160"/>
    </row>
    <row r="1569" spans="1:46" ht="21.75" hidden="1" customHeight="1">
      <c r="A1569" s="331">
        <v>1568</v>
      </c>
      <c r="B1569" s="159" t="s">
        <v>903</v>
      </c>
      <c r="C1569" s="28" t="s">
        <v>7495</v>
      </c>
      <c r="D1569" s="437" t="s">
        <v>7496</v>
      </c>
      <c r="E1569" s="361" t="str">
        <f t="shared" ca="1" si="75"/>
        <v>LOSS</v>
      </c>
      <c r="F1569" s="29"/>
      <c r="G1569" s="28" t="s">
        <v>7497</v>
      </c>
      <c r="H1569" s="29" t="s">
        <v>2748</v>
      </c>
      <c r="I1569" s="29" t="s">
        <v>242</v>
      </c>
      <c r="J1569" s="28" t="s">
        <v>2178</v>
      </c>
      <c r="K1569" s="28"/>
      <c r="L1569" s="27"/>
      <c r="M1569" s="27"/>
      <c r="N1569" s="29"/>
      <c r="O1569" s="56"/>
      <c r="P1569" s="31">
        <f>12*29000000</f>
        <v>348000000</v>
      </c>
      <c r="Q1569" s="31"/>
      <c r="R1569" s="27"/>
      <c r="S1569" s="32">
        <v>18000000</v>
      </c>
      <c r="T1569" s="33"/>
      <c r="U1569" s="334">
        <v>44866</v>
      </c>
      <c r="V1569" s="334">
        <v>45230</v>
      </c>
      <c r="W1569" s="27" t="s">
        <v>245</v>
      </c>
      <c r="X1569" s="27"/>
      <c r="Y1569" s="34">
        <f t="shared" ca="1" si="78"/>
        <v>46290</v>
      </c>
      <c r="Z1569" s="35">
        <f t="shared" ca="1" si="77"/>
        <v>-1060</v>
      </c>
      <c r="AA1569" s="27">
        <f t="shared" si="79"/>
        <v>10</v>
      </c>
      <c r="AB1569" s="27">
        <f t="shared" si="76"/>
        <v>2023</v>
      </c>
      <c r="AC1569" s="28" t="s">
        <v>479</v>
      </c>
      <c r="AD1569" s="28">
        <v>20313</v>
      </c>
      <c r="AE1569" s="27">
        <v>4500019279</v>
      </c>
      <c r="AF1569" s="27" t="s">
        <v>339</v>
      </c>
      <c r="AG1569" s="29"/>
      <c r="AH1569" s="28"/>
      <c r="AI1569" s="27"/>
      <c r="AJ1569" s="27"/>
      <c r="AK1569" s="27"/>
      <c r="AL1569" s="27"/>
      <c r="AM1569" s="27"/>
      <c r="AN1569" s="27" t="s">
        <v>7498</v>
      </c>
      <c r="AO1569" s="27"/>
      <c r="AP1569" s="27"/>
      <c r="AQ1569" s="27"/>
      <c r="AR1569" s="504"/>
      <c r="AS1569" s="332"/>
      <c r="AT1569" s="160"/>
    </row>
    <row r="1570" spans="1:46" ht="21.75" hidden="1" customHeight="1">
      <c r="A1570" s="331">
        <v>1569</v>
      </c>
      <c r="B1570" s="159" t="s">
        <v>903</v>
      </c>
      <c r="C1570" s="28" t="s">
        <v>3612</v>
      </c>
      <c r="D1570" s="438" t="s">
        <v>7496</v>
      </c>
      <c r="E1570" s="361" t="str">
        <f t="shared" ca="1" si="75"/>
        <v>LOSS</v>
      </c>
      <c r="F1570" s="29"/>
      <c r="G1570" s="28" t="s">
        <v>7499</v>
      </c>
      <c r="H1570" s="29" t="s">
        <v>2748</v>
      </c>
      <c r="I1570" s="29" t="s">
        <v>242</v>
      </c>
      <c r="J1570" s="28" t="s">
        <v>212</v>
      </c>
      <c r="K1570" s="28"/>
      <c r="L1570" s="27"/>
      <c r="M1570" s="27"/>
      <c r="N1570" s="29"/>
      <c r="O1570" s="56"/>
      <c r="P1570" s="31">
        <v>38568000</v>
      </c>
      <c r="Q1570" s="31"/>
      <c r="R1570" s="27"/>
      <c r="S1570" s="32">
        <v>12000000</v>
      </c>
      <c r="T1570" s="33"/>
      <c r="U1570" s="334">
        <v>45323</v>
      </c>
      <c r="V1570" s="334">
        <v>45688</v>
      </c>
      <c r="W1570" s="27" t="s">
        <v>250</v>
      </c>
      <c r="X1570" s="27"/>
      <c r="Y1570" s="34">
        <f t="shared" ca="1" si="78"/>
        <v>46290</v>
      </c>
      <c r="Z1570" s="35">
        <f t="shared" ca="1" si="77"/>
        <v>-602</v>
      </c>
      <c r="AA1570" s="27">
        <f t="shared" si="79"/>
        <v>1</v>
      </c>
      <c r="AB1570" s="27">
        <f t="shared" si="76"/>
        <v>2025</v>
      </c>
      <c r="AC1570" s="28" t="s">
        <v>7500</v>
      </c>
      <c r="AD1570" s="28">
        <v>2638</v>
      </c>
      <c r="AE1570" s="27">
        <v>4500022313</v>
      </c>
      <c r="AF1570" s="27" t="s">
        <v>339</v>
      </c>
      <c r="AG1570" s="29"/>
      <c r="AH1570" s="28"/>
      <c r="AI1570" s="27"/>
      <c r="AJ1570" s="27"/>
      <c r="AK1570" s="27"/>
      <c r="AL1570" s="27"/>
      <c r="AM1570" s="27"/>
      <c r="AN1570" s="27" t="s">
        <v>7501</v>
      </c>
      <c r="AO1570" s="27" t="s">
        <v>7502</v>
      </c>
      <c r="AP1570" s="27" t="s">
        <v>7503</v>
      </c>
      <c r="AQ1570" s="27"/>
      <c r="AR1570" s="504"/>
      <c r="AS1570" s="332"/>
      <c r="AT1570" s="160"/>
    </row>
    <row r="1571" spans="1:46" ht="21.75" hidden="1" customHeight="1">
      <c r="A1571" s="331">
        <v>1570</v>
      </c>
      <c r="B1571" s="159" t="s">
        <v>903</v>
      </c>
      <c r="C1571" s="28" t="s">
        <v>7504</v>
      </c>
      <c r="D1571" s="437" t="s">
        <v>7496</v>
      </c>
      <c r="E1571" s="361" t="str">
        <f t="shared" ca="1" si="75"/>
        <v>LOSS</v>
      </c>
      <c r="F1571" s="29"/>
      <c r="G1571" s="28" t="s">
        <v>7505</v>
      </c>
      <c r="H1571" s="29" t="s">
        <v>2748</v>
      </c>
      <c r="I1571" s="29" t="s">
        <v>242</v>
      </c>
      <c r="J1571" s="28" t="s">
        <v>7506</v>
      </c>
      <c r="K1571" s="28"/>
      <c r="L1571" s="27"/>
      <c r="M1571" s="27"/>
      <c r="N1571" s="29"/>
      <c r="O1571" s="56"/>
      <c r="P1571" s="31">
        <f>12*7000000</f>
        <v>84000000</v>
      </c>
      <c r="Q1571" s="31"/>
      <c r="R1571" s="27"/>
      <c r="S1571" s="32">
        <v>22874201</v>
      </c>
      <c r="T1571" s="33"/>
      <c r="U1571" s="334">
        <v>45200</v>
      </c>
      <c r="V1571" s="334">
        <v>45565</v>
      </c>
      <c r="W1571" s="27" t="s">
        <v>245</v>
      </c>
      <c r="X1571" s="27"/>
      <c r="Y1571" s="34">
        <f t="shared" ca="1" si="78"/>
        <v>46290</v>
      </c>
      <c r="Z1571" s="35">
        <f t="shared" ca="1" si="77"/>
        <v>-725</v>
      </c>
      <c r="AA1571" s="27">
        <f t="shared" si="79"/>
        <v>9</v>
      </c>
      <c r="AB1571" s="27">
        <f t="shared" ref="AB1571:AB1605" si="80">YEAR(V1571)</f>
        <v>2024</v>
      </c>
      <c r="AC1571" s="28" t="s">
        <v>7507</v>
      </c>
      <c r="AD1571" s="28" t="s">
        <v>7508</v>
      </c>
      <c r="AE1571" s="27">
        <v>4500021834</v>
      </c>
      <c r="AF1571" s="27" t="s">
        <v>339</v>
      </c>
      <c r="AG1571" s="29"/>
      <c r="AH1571" s="28"/>
      <c r="AI1571" s="27"/>
      <c r="AJ1571" s="27"/>
      <c r="AK1571" s="27"/>
      <c r="AL1571" s="27"/>
      <c r="AM1571" s="27"/>
      <c r="AN1571" s="27" t="s">
        <v>7509</v>
      </c>
      <c r="AO1571" s="27"/>
      <c r="AP1571" s="27"/>
      <c r="AQ1571" s="27"/>
      <c r="AR1571" s="504"/>
      <c r="AS1571" s="332"/>
      <c r="AT1571" s="160"/>
    </row>
    <row r="1572" spans="1:46" ht="21.75" hidden="1" customHeight="1">
      <c r="A1572" s="331">
        <v>1571</v>
      </c>
      <c r="B1572" s="159" t="s">
        <v>903</v>
      </c>
      <c r="C1572" s="28" t="s">
        <v>7510</v>
      </c>
      <c r="D1572" s="438" t="s">
        <v>7496</v>
      </c>
      <c r="E1572" s="361" t="str">
        <f t="shared" ca="1" si="75"/>
        <v>LOSS</v>
      </c>
      <c r="F1572" s="29"/>
      <c r="G1572" s="28" t="s">
        <v>7511</v>
      </c>
      <c r="H1572" s="29" t="s">
        <v>2748</v>
      </c>
      <c r="I1572" s="160" t="s">
        <v>346</v>
      </c>
      <c r="J1572" s="28" t="s">
        <v>7512</v>
      </c>
      <c r="K1572" s="28"/>
      <c r="L1572" s="27"/>
      <c r="M1572" s="27"/>
      <c r="N1572" s="29"/>
      <c r="O1572" s="56"/>
      <c r="P1572" s="31">
        <v>25200000</v>
      </c>
      <c r="Q1572" s="31"/>
      <c r="R1572" s="27"/>
      <c r="S1572" s="32">
        <v>25200000</v>
      </c>
      <c r="T1572" s="33"/>
      <c r="U1572" s="334">
        <v>45170</v>
      </c>
      <c r="V1572" s="334">
        <v>45535</v>
      </c>
      <c r="W1572" s="27" t="s">
        <v>250</v>
      </c>
      <c r="X1572" s="27"/>
      <c r="Y1572" s="34">
        <f t="shared" ca="1" si="78"/>
        <v>46290</v>
      </c>
      <c r="Z1572" s="35">
        <f t="shared" ca="1" si="77"/>
        <v>-755</v>
      </c>
      <c r="AA1572" s="27">
        <f t="shared" si="79"/>
        <v>8</v>
      </c>
      <c r="AB1572" s="27">
        <f t="shared" si="80"/>
        <v>2024</v>
      </c>
      <c r="AC1572" s="28" t="s">
        <v>7513</v>
      </c>
      <c r="AD1572" s="28">
        <v>2100</v>
      </c>
      <c r="AE1572" s="27">
        <v>4500021699</v>
      </c>
      <c r="AF1572" s="27" t="s">
        <v>339</v>
      </c>
      <c r="AG1572" s="29"/>
      <c r="AH1572" s="28"/>
      <c r="AI1572" s="27"/>
      <c r="AJ1572" s="27"/>
      <c r="AK1572" s="27" t="s">
        <v>7514</v>
      </c>
      <c r="AL1572" s="27" t="s">
        <v>7515</v>
      </c>
      <c r="AM1572" s="27"/>
      <c r="AN1572" s="27"/>
      <c r="AO1572" s="27" t="s">
        <v>7516</v>
      </c>
      <c r="AP1572" s="27"/>
      <c r="AQ1572" s="27"/>
      <c r="AR1572" s="504"/>
      <c r="AS1572" s="332"/>
      <c r="AT1572" s="160"/>
    </row>
    <row r="1573" spans="1:46" ht="21.75" hidden="1" customHeight="1">
      <c r="A1573" s="331">
        <v>1572</v>
      </c>
      <c r="B1573" s="159" t="s">
        <v>903</v>
      </c>
      <c r="C1573" s="28" t="s">
        <v>7517</v>
      </c>
      <c r="D1573" s="437" t="s">
        <v>7496</v>
      </c>
      <c r="E1573" s="361" t="str">
        <f t="shared" ca="1" si="75"/>
        <v>LOSS</v>
      </c>
      <c r="F1573" s="29"/>
      <c r="G1573" s="28" t="s">
        <v>7518</v>
      </c>
      <c r="H1573" s="29" t="s">
        <v>2748</v>
      </c>
      <c r="I1573" s="29" t="s">
        <v>242</v>
      </c>
      <c r="J1573" s="28" t="s">
        <v>7519</v>
      </c>
      <c r="K1573" s="28"/>
      <c r="L1573" s="27"/>
      <c r="M1573" s="27"/>
      <c r="N1573" s="29"/>
      <c r="O1573" s="56"/>
      <c r="P1573" s="31">
        <v>46800000</v>
      </c>
      <c r="Q1573" s="31"/>
      <c r="R1573" s="27"/>
      <c r="S1573" s="32">
        <v>8400000</v>
      </c>
      <c r="T1573" s="33"/>
      <c r="U1573" s="334">
        <v>44470</v>
      </c>
      <c r="V1573" s="334">
        <v>44462</v>
      </c>
      <c r="W1573" s="419" t="s">
        <v>245</v>
      </c>
      <c r="X1573" s="419"/>
      <c r="Y1573" s="34">
        <f t="shared" ca="1" si="78"/>
        <v>46290</v>
      </c>
      <c r="Z1573" s="35">
        <f t="shared" ca="1" si="77"/>
        <v>-1828</v>
      </c>
      <c r="AA1573" s="27">
        <f t="shared" si="79"/>
        <v>9</v>
      </c>
      <c r="AB1573" s="27">
        <f t="shared" si="80"/>
        <v>2021</v>
      </c>
      <c r="AC1573" s="28" t="s">
        <v>7520</v>
      </c>
      <c r="AD1573" s="28">
        <v>16077</v>
      </c>
      <c r="AE1573" s="27">
        <v>4500016329</v>
      </c>
      <c r="AF1573" s="27" t="s">
        <v>339</v>
      </c>
      <c r="AG1573" s="29"/>
      <c r="AH1573" s="28"/>
      <c r="AI1573" s="27"/>
      <c r="AJ1573" s="27"/>
      <c r="AK1573" s="27" t="s">
        <v>7521</v>
      </c>
      <c r="AL1573" s="27"/>
      <c r="AM1573" s="27" t="s">
        <v>7522</v>
      </c>
      <c r="AN1573" s="27"/>
      <c r="AO1573" s="27"/>
      <c r="AP1573" s="27"/>
      <c r="AQ1573" s="27"/>
      <c r="AR1573" s="504"/>
      <c r="AS1573" s="332"/>
      <c r="AT1573" s="160"/>
    </row>
    <row r="1574" spans="1:46" ht="21.75" hidden="1" customHeight="1">
      <c r="A1574" s="331">
        <v>1573</v>
      </c>
      <c r="B1574" s="28" t="s">
        <v>7523</v>
      </c>
      <c r="C1574" s="28" t="s">
        <v>7524</v>
      </c>
      <c r="D1574" s="438" t="s">
        <v>7525</v>
      </c>
      <c r="E1574" s="361" t="str">
        <f t="shared" ca="1" si="75"/>
        <v>LOSS</v>
      </c>
      <c r="F1574" s="29"/>
      <c r="G1574" s="28" t="s">
        <v>7526</v>
      </c>
      <c r="H1574" s="29" t="s">
        <v>2748</v>
      </c>
      <c r="I1574" s="29" t="s">
        <v>346</v>
      </c>
      <c r="J1574" s="28" t="s">
        <v>7527</v>
      </c>
      <c r="K1574" s="28"/>
      <c r="L1574" s="27"/>
      <c r="M1574" s="27"/>
      <c r="N1574" s="29"/>
      <c r="O1574" s="56"/>
      <c r="P1574" s="31">
        <v>2479200000</v>
      </c>
      <c r="Q1574" s="31"/>
      <c r="R1574" s="27"/>
      <c r="S1574" s="32">
        <v>2760000</v>
      </c>
      <c r="T1574" s="33"/>
      <c r="U1574" s="334">
        <v>44562</v>
      </c>
      <c r="V1574" s="334">
        <v>44570</v>
      </c>
      <c r="W1574" s="27" t="s">
        <v>250</v>
      </c>
      <c r="X1574" s="27"/>
      <c r="Y1574" s="34">
        <f t="shared" ca="1" si="78"/>
        <v>46290</v>
      </c>
      <c r="Z1574" s="35">
        <f t="shared" ca="1" si="77"/>
        <v>-1720</v>
      </c>
      <c r="AA1574" s="27">
        <f t="shared" si="79"/>
        <v>1</v>
      </c>
      <c r="AB1574" s="27">
        <f t="shared" si="80"/>
        <v>2022</v>
      </c>
      <c r="AC1574" s="46" t="s">
        <v>7528</v>
      </c>
      <c r="AD1574" s="46" t="s">
        <v>7529</v>
      </c>
      <c r="AE1574" s="47" t="s">
        <v>7530</v>
      </c>
      <c r="AF1574" s="27" t="s">
        <v>339</v>
      </c>
      <c r="AG1574" s="29" t="s">
        <v>7531</v>
      </c>
      <c r="AH1574" s="28" t="s">
        <v>7532</v>
      </c>
      <c r="AI1574" s="27"/>
      <c r="AJ1574" s="27" t="s">
        <v>7533</v>
      </c>
      <c r="AK1574" s="27" t="s">
        <v>7534</v>
      </c>
      <c r="AL1574" s="27" t="s">
        <v>7535</v>
      </c>
      <c r="AM1574" s="27" t="s">
        <v>7536</v>
      </c>
      <c r="AN1574" s="27" t="s">
        <v>7537</v>
      </c>
      <c r="AO1574" s="27"/>
      <c r="AP1574" s="27"/>
      <c r="AQ1574" s="27"/>
      <c r="AR1574" s="504"/>
      <c r="AS1574" s="332" t="s">
        <v>7538</v>
      </c>
      <c r="AT1574" s="160"/>
    </row>
    <row r="1575" spans="1:46" ht="21.75" hidden="1" customHeight="1">
      <c r="A1575" s="331">
        <v>1574</v>
      </c>
      <c r="B1575" s="28" t="s">
        <v>213</v>
      </c>
      <c r="C1575" s="28" t="s">
        <v>7539</v>
      </c>
      <c r="D1575" s="437" t="s">
        <v>7540</v>
      </c>
      <c r="E1575" s="361" t="str">
        <f t="shared" ca="1" si="75"/>
        <v>LOSS</v>
      </c>
      <c r="F1575" s="29"/>
      <c r="G1575" s="28" t="s">
        <v>7541</v>
      </c>
      <c r="H1575" s="29" t="s">
        <v>2748</v>
      </c>
      <c r="I1575" s="29" t="s">
        <v>346</v>
      </c>
      <c r="J1575" s="28" t="s">
        <v>7542</v>
      </c>
      <c r="K1575" s="28"/>
      <c r="L1575" s="27"/>
      <c r="M1575" s="27"/>
      <c r="N1575" s="29"/>
      <c r="O1575" s="56"/>
      <c r="P1575" s="31">
        <v>957188496</v>
      </c>
      <c r="Q1575" s="31"/>
      <c r="R1575" s="27"/>
      <c r="S1575" s="32">
        <v>300000000</v>
      </c>
      <c r="T1575" s="33"/>
      <c r="U1575" s="334">
        <v>43695</v>
      </c>
      <c r="V1575" s="334">
        <v>44060</v>
      </c>
      <c r="W1575" s="27" t="s">
        <v>245</v>
      </c>
      <c r="X1575" s="27"/>
      <c r="Y1575" s="34">
        <f t="shared" ca="1" si="78"/>
        <v>46290</v>
      </c>
      <c r="Z1575" s="35">
        <f t="shared" ca="1" si="77"/>
        <v>-2230</v>
      </c>
      <c r="AA1575" s="27">
        <f t="shared" si="79"/>
        <v>8</v>
      </c>
      <c r="AB1575" s="27">
        <f t="shared" si="80"/>
        <v>2020</v>
      </c>
      <c r="AC1575" s="28" t="s">
        <v>7543</v>
      </c>
      <c r="AD1575" s="28" t="s">
        <v>7544</v>
      </c>
      <c r="AE1575" s="27">
        <v>4500013138</v>
      </c>
      <c r="AF1575" s="27" t="s">
        <v>339</v>
      </c>
      <c r="AG1575" s="29" t="s">
        <v>7545</v>
      </c>
      <c r="AH1575" s="28" t="s">
        <v>7546</v>
      </c>
      <c r="AI1575" s="27"/>
      <c r="AJ1575" s="27" t="s">
        <v>7547</v>
      </c>
      <c r="AK1575" s="27" t="s">
        <v>7548</v>
      </c>
      <c r="AL1575" s="27"/>
      <c r="AM1575" s="27"/>
      <c r="AN1575" s="27"/>
      <c r="AO1575" s="27"/>
      <c r="AP1575" s="27"/>
      <c r="AQ1575" s="27"/>
      <c r="AR1575" s="504"/>
      <c r="AS1575" s="332" t="s">
        <v>7549</v>
      </c>
      <c r="AT1575" s="160"/>
    </row>
    <row r="1576" spans="1:46" ht="21.75" hidden="1" customHeight="1">
      <c r="A1576" s="331">
        <v>1575</v>
      </c>
      <c r="B1576" s="28" t="s">
        <v>213</v>
      </c>
      <c r="C1576" s="28" t="s">
        <v>7550</v>
      </c>
      <c r="D1576" s="438" t="s">
        <v>7540</v>
      </c>
      <c r="E1576" s="361" t="str">
        <f t="shared" ca="1" si="75"/>
        <v>LOSS</v>
      </c>
      <c r="F1576" s="29"/>
      <c r="G1576" s="28" t="s">
        <v>7541</v>
      </c>
      <c r="H1576" s="29" t="s">
        <v>2748</v>
      </c>
      <c r="I1576" s="29" t="s">
        <v>346</v>
      </c>
      <c r="J1576" s="28" t="s">
        <v>214</v>
      </c>
      <c r="K1576" s="28"/>
      <c r="L1576" s="27"/>
      <c r="M1576" s="27"/>
      <c r="N1576" s="29"/>
      <c r="O1576" s="56"/>
      <c r="P1576" s="31">
        <f>12*8200000</f>
        <v>98400000</v>
      </c>
      <c r="Q1576" s="31"/>
      <c r="R1576" s="27"/>
      <c r="S1576" s="32">
        <v>155150000</v>
      </c>
      <c r="T1576" s="33"/>
      <c r="U1576" s="334">
        <v>45139</v>
      </c>
      <c r="V1576" s="334">
        <v>45504</v>
      </c>
      <c r="W1576" s="27" t="s">
        <v>250</v>
      </c>
      <c r="X1576" s="27"/>
      <c r="Y1576" s="34">
        <f t="shared" ca="1" si="78"/>
        <v>46290</v>
      </c>
      <c r="Z1576" s="35">
        <f t="shared" ca="1" si="77"/>
        <v>-786</v>
      </c>
      <c r="AA1576" s="27">
        <f t="shared" si="79"/>
        <v>7</v>
      </c>
      <c r="AB1576" s="27">
        <f t="shared" si="80"/>
        <v>2024</v>
      </c>
      <c r="AC1576" s="28" t="s">
        <v>7551</v>
      </c>
      <c r="AD1576" s="28" t="s">
        <v>7552</v>
      </c>
      <c r="AE1576" s="27">
        <v>4500020975</v>
      </c>
      <c r="AF1576" s="27" t="s">
        <v>339</v>
      </c>
      <c r="AG1576" s="29" t="s">
        <v>7545</v>
      </c>
      <c r="AH1576" s="28" t="s">
        <v>7546</v>
      </c>
      <c r="AI1576" s="27"/>
      <c r="AJ1576" s="27"/>
      <c r="AK1576" s="27"/>
      <c r="AL1576" s="27"/>
      <c r="AM1576" s="27"/>
      <c r="AN1576" s="27" t="s">
        <v>7553</v>
      </c>
      <c r="AO1576" s="27" t="s">
        <v>7554</v>
      </c>
      <c r="AP1576" s="27"/>
      <c r="AQ1576" s="27"/>
      <c r="AR1576" s="504"/>
      <c r="AS1576" s="332" t="s">
        <v>7555</v>
      </c>
      <c r="AT1576" s="160"/>
    </row>
    <row r="1577" spans="1:46" ht="21.75" hidden="1" customHeight="1">
      <c r="A1577" s="331">
        <v>1576</v>
      </c>
      <c r="B1577" s="28" t="s">
        <v>7556</v>
      </c>
      <c r="C1577" s="28" t="s">
        <v>1192</v>
      </c>
      <c r="D1577" s="444" t="s">
        <v>7557</v>
      </c>
      <c r="E1577" s="361" t="str">
        <f t="shared" ca="1" si="75"/>
        <v>LOSS</v>
      </c>
      <c r="F1577" s="29"/>
      <c r="G1577" s="28" t="s">
        <v>7558</v>
      </c>
      <c r="H1577" s="29" t="s">
        <v>2748</v>
      </c>
      <c r="I1577" s="29" t="s">
        <v>346</v>
      </c>
      <c r="J1577" s="28" t="s">
        <v>7559</v>
      </c>
      <c r="K1577" s="28"/>
      <c r="L1577" s="27"/>
      <c r="M1577" s="27"/>
      <c r="N1577" s="29"/>
      <c r="O1577" s="56"/>
      <c r="P1577" s="31">
        <v>90000000</v>
      </c>
      <c r="Q1577" s="31"/>
      <c r="R1577" s="27"/>
      <c r="S1577" s="32">
        <v>33000000</v>
      </c>
      <c r="T1577" s="33"/>
      <c r="U1577" s="334">
        <v>44138</v>
      </c>
      <c r="V1577" s="334">
        <v>44502</v>
      </c>
      <c r="W1577" s="27" t="s">
        <v>245</v>
      </c>
      <c r="X1577" s="27"/>
      <c r="Y1577" s="34">
        <f t="shared" ca="1" si="78"/>
        <v>46290</v>
      </c>
      <c r="Z1577" s="35">
        <f t="shared" ca="1" si="77"/>
        <v>-1788</v>
      </c>
      <c r="AA1577" s="27">
        <f t="shared" si="79"/>
        <v>11</v>
      </c>
      <c r="AB1577" s="27">
        <f t="shared" si="80"/>
        <v>2021</v>
      </c>
      <c r="AC1577" s="28" t="s">
        <v>7560</v>
      </c>
      <c r="AD1577" s="28" t="s">
        <v>7561</v>
      </c>
      <c r="AE1577" s="27">
        <v>4500015895</v>
      </c>
      <c r="AF1577" s="27" t="s">
        <v>339</v>
      </c>
      <c r="AG1577" s="29" t="s">
        <v>7562</v>
      </c>
      <c r="AH1577" s="28" t="s">
        <v>7563</v>
      </c>
      <c r="AI1577" s="27"/>
      <c r="AJ1577" s="27"/>
      <c r="AK1577" s="27" t="s">
        <v>7564</v>
      </c>
      <c r="AL1577" s="27" t="s">
        <v>7565</v>
      </c>
      <c r="AM1577" s="27"/>
      <c r="AN1577" s="27"/>
      <c r="AO1577" s="27"/>
      <c r="AP1577" s="27"/>
      <c r="AQ1577" s="27"/>
      <c r="AR1577" s="504"/>
      <c r="AS1577" s="332" t="s">
        <v>7566</v>
      </c>
      <c r="AT1577" s="160"/>
    </row>
    <row r="1578" spans="1:46" ht="21.75" hidden="1" customHeight="1">
      <c r="A1578" s="331">
        <v>1577</v>
      </c>
      <c r="B1578" s="173" t="s">
        <v>1035</v>
      </c>
      <c r="C1578" s="28" t="s">
        <v>2811</v>
      </c>
      <c r="D1578" s="438" t="s">
        <v>7567</v>
      </c>
      <c r="E1578" s="361" t="str">
        <f t="shared" ca="1" si="75"/>
        <v>LOSS</v>
      </c>
      <c r="F1578" s="29"/>
      <c r="G1578" s="28" t="s">
        <v>2813</v>
      </c>
      <c r="H1578" s="29" t="s">
        <v>2748</v>
      </c>
      <c r="I1578" s="160" t="s">
        <v>346</v>
      </c>
      <c r="J1578" s="42" t="s">
        <v>7568</v>
      </c>
      <c r="K1578" s="28"/>
      <c r="L1578" s="27"/>
      <c r="M1578" s="27"/>
      <c r="N1578" s="29"/>
      <c r="O1578" s="56"/>
      <c r="P1578" s="31">
        <v>112800000</v>
      </c>
      <c r="Q1578" s="31"/>
      <c r="R1578" s="27"/>
      <c r="S1578" s="32">
        <v>4700000</v>
      </c>
      <c r="T1578" s="33"/>
      <c r="U1578" s="334">
        <v>44883</v>
      </c>
      <c r="V1578" s="334">
        <v>45613</v>
      </c>
      <c r="W1578" s="27" t="s">
        <v>250</v>
      </c>
      <c r="X1578" s="27"/>
      <c r="Y1578" s="34">
        <f t="shared" ca="1" si="78"/>
        <v>46290</v>
      </c>
      <c r="Z1578" s="35">
        <f t="shared" ca="1" si="77"/>
        <v>-677</v>
      </c>
      <c r="AA1578" s="27">
        <f t="shared" si="79"/>
        <v>11</v>
      </c>
      <c r="AB1578" s="27">
        <f t="shared" si="80"/>
        <v>2024</v>
      </c>
      <c r="AC1578" s="28" t="s">
        <v>7569</v>
      </c>
      <c r="AD1578" s="28" t="s">
        <v>7570</v>
      </c>
      <c r="AE1578" s="27">
        <v>4500022932</v>
      </c>
      <c r="AF1578" s="27" t="s">
        <v>339</v>
      </c>
      <c r="AG1578" s="29" t="s">
        <v>7364</v>
      </c>
      <c r="AH1578" s="28" t="s">
        <v>7571</v>
      </c>
      <c r="AI1578" s="27"/>
      <c r="AJ1578" s="27" t="s">
        <v>7572</v>
      </c>
      <c r="AK1578" s="27"/>
      <c r="AL1578" s="27" t="s">
        <v>7573</v>
      </c>
      <c r="AM1578" s="27" t="s">
        <v>7574</v>
      </c>
      <c r="AN1578" s="27" t="s">
        <v>7575</v>
      </c>
      <c r="AO1578" s="27"/>
      <c r="AP1578" s="27" t="s">
        <v>7576</v>
      </c>
      <c r="AQ1578" s="27"/>
      <c r="AR1578" s="504"/>
      <c r="AS1578" s="332" t="s">
        <v>7577</v>
      </c>
      <c r="AT1578" s="160"/>
    </row>
    <row r="1579" spans="1:46" ht="21.75" hidden="1" customHeight="1">
      <c r="A1579" s="331">
        <v>1578</v>
      </c>
      <c r="B1579" s="173" t="s">
        <v>1035</v>
      </c>
      <c r="C1579" s="28" t="s">
        <v>7578</v>
      </c>
      <c r="D1579" s="437" t="s">
        <v>7567</v>
      </c>
      <c r="E1579" s="361" t="str">
        <f t="shared" ca="1" si="75"/>
        <v>LOSS</v>
      </c>
      <c r="F1579" s="29"/>
      <c r="G1579" s="28" t="s">
        <v>7579</v>
      </c>
      <c r="H1579" s="29" t="s">
        <v>2748</v>
      </c>
      <c r="I1579" s="160" t="s">
        <v>346</v>
      </c>
      <c r="J1579" s="28" t="s">
        <v>1334</v>
      </c>
      <c r="K1579" s="28"/>
      <c r="L1579" s="27"/>
      <c r="M1579" s="27"/>
      <c r="N1579" s="29"/>
      <c r="O1579" s="56"/>
      <c r="P1579" s="31">
        <v>42000000</v>
      </c>
      <c r="Q1579" s="31"/>
      <c r="R1579" s="27"/>
      <c r="S1579" s="32">
        <v>14680000</v>
      </c>
      <c r="T1579" s="33"/>
      <c r="U1579" s="334">
        <v>45277</v>
      </c>
      <c r="V1579" s="334">
        <v>45642</v>
      </c>
      <c r="W1579" s="27" t="s">
        <v>250</v>
      </c>
      <c r="X1579" s="27"/>
      <c r="Y1579" s="34">
        <f t="shared" ca="1" si="78"/>
        <v>46290</v>
      </c>
      <c r="Z1579" s="35">
        <f t="shared" ca="1" si="77"/>
        <v>-648</v>
      </c>
      <c r="AA1579" s="27">
        <f t="shared" si="79"/>
        <v>12</v>
      </c>
      <c r="AB1579" s="27">
        <f t="shared" si="80"/>
        <v>2024</v>
      </c>
      <c r="AC1579" s="28" t="s">
        <v>7580</v>
      </c>
      <c r="AD1579" s="28" t="s">
        <v>7581</v>
      </c>
      <c r="AE1579" s="27">
        <v>4500022314</v>
      </c>
      <c r="AF1579" s="27" t="s">
        <v>339</v>
      </c>
      <c r="AG1579" s="29" t="s">
        <v>7364</v>
      </c>
      <c r="AH1579" s="28" t="s">
        <v>7571</v>
      </c>
      <c r="AI1579" s="27"/>
      <c r="AJ1579" s="27"/>
      <c r="AK1579" s="27"/>
      <c r="AL1579" s="27"/>
      <c r="AM1579" s="27" t="s">
        <v>7582</v>
      </c>
      <c r="AN1579" s="27" t="s">
        <v>7583</v>
      </c>
      <c r="AO1579" s="27" t="s">
        <v>7584</v>
      </c>
      <c r="AP1579" s="27"/>
      <c r="AQ1579" s="27"/>
      <c r="AR1579" s="504"/>
      <c r="AS1579" s="332" t="s">
        <v>7585</v>
      </c>
      <c r="AT1579" s="160"/>
    </row>
    <row r="1580" spans="1:46" ht="21.75" hidden="1" customHeight="1">
      <c r="A1580" s="331">
        <v>1579</v>
      </c>
      <c r="B1580" s="173" t="s">
        <v>1035</v>
      </c>
      <c r="C1580" s="28" t="s">
        <v>2370</v>
      </c>
      <c r="D1580" s="438" t="s">
        <v>7586</v>
      </c>
      <c r="E1580" s="361" t="str">
        <f t="shared" ca="1" si="75"/>
        <v>LOSS</v>
      </c>
      <c r="F1580" s="29"/>
      <c r="G1580" s="28" t="s">
        <v>7587</v>
      </c>
      <c r="H1580" s="29" t="s">
        <v>2748</v>
      </c>
      <c r="I1580" s="29" t="s">
        <v>346</v>
      </c>
      <c r="J1580" s="28" t="s">
        <v>7588</v>
      </c>
      <c r="K1580" s="28"/>
      <c r="L1580" s="27"/>
      <c r="M1580" s="27"/>
      <c r="N1580" s="29"/>
      <c r="O1580" s="56"/>
      <c r="P1580" s="31">
        <v>456000000</v>
      </c>
      <c r="Q1580" s="31"/>
      <c r="R1580" s="27"/>
      <c r="S1580" s="32">
        <v>20604000</v>
      </c>
      <c r="T1580" s="33"/>
      <c r="U1580" s="334">
        <v>44697</v>
      </c>
      <c r="V1580" s="334">
        <v>45061</v>
      </c>
      <c r="W1580" s="27" t="s">
        <v>245</v>
      </c>
      <c r="X1580" s="27"/>
      <c r="Y1580" s="34">
        <f t="shared" ca="1" si="78"/>
        <v>46290</v>
      </c>
      <c r="Z1580" s="35">
        <f t="shared" ca="1" si="77"/>
        <v>-1229</v>
      </c>
      <c r="AA1580" s="27">
        <f t="shared" si="79"/>
        <v>5</v>
      </c>
      <c r="AB1580" s="27">
        <f t="shared" si="80"/>
        <v>2023</v>
      </c>
      <c r="AC1580" s="28" t="s">
        <v>7589</v>
      </c>
      <c r="AD1580" s="28" t="s">
        <v>7590</v>
      </c>
      <c r="AE1580" s="27">
        <v>4500018014</v>
      </c>
      <c r="AF1580" s="27" t="s">
        <v>339</v>
      </c>
      <c r="AG1580" s="29" t="s">
        <v>7364</v>
      </c>
      <c r="AH1580" s="28" t="s">
        <v>7591</v>
      </c>
      <c r="AI1580" s="27"/>
      <c r="AJ1580" s="27"/>
      <c r="AK1580" s="27" t="s">
        <v>7592</v>
      </c>
      <c r="AL1580" s="27"/>
      <c r="AM1580" s="27"/>
      <c r="AN1580" s="27" t="s">
        <v>7593</v>
      </c>
      <c r="AO1580" s="27"/>
      <c r="AP1580" s="27"/>
      <c r="AQ1580" s="27"/>
      <c r="AR1580" s="504"/>
      <c r="AS1580" s="332" t="s">
        <v>7594</v>
      </c>
      <c r="AT1580" s="160"/>
    </row>
    <row r="1581" spans="1:46" ht="21.75" hidden="1" customHeight="1">
      <c r="A1581" s="331">
        <v>1580</v>
      </c>
      <c r="B1581" s="173" t="s">
        <v>1035</v>
      </c>
      <c r="C1581" s="28" t="s">
        <v>7595</v>
      </c>
      <c r="D1581" s="437" t="s">
        <v>7567</v>
      </c>
      <c r="E1581" s="361" t="str">
        <f t="shared" ca="1" si="75"/>
        <v>LOSS</v>
      </c>
      <c r="F1581" s="29"/>
      <c r="G1581" s="28" t="s">
        <v>7596</v>
      </c>
      <c r="H1581" s="29" t="s">
        <v>2748</v>
      </c>
      <c r="I1581" s="160" t="s">
        <v>346</v>
      </c>
      <c r="J1581" s="28" t="s">
        <v>1234</v>
      </c>
      <c r="K1581" s="28"/>
      <c r="L1581" s="27"/>
      <c r="M1581" s="27"/>
      <c r="N1581" s="29"/>
      <c r="O1581" s="56"/>
      <c r="P1581" s="31">
        <f>10982000*12</f>
        <v>131784000</v>
      </c>
      <c r="Q1581" s="31"/>
      <c r="R1581" s="27"/>
      <c r="S1581" s="32">
        <v>59044000</v>
      </c>
      <c r="T1581" s="33"/>
      <c r="U1581" s="334">
        <v>45287</v>
      </c>
      <c r="V1581" s="334">
        <v>45652</v>
      </c>
      <c r="W1581" s="27" t="s">
        <v>17</v>
      </c>
      <c r="X1581" s="27"/>
      <c r="Y1581" s="34">
        <f t="shared" ca="1" si="78"/>
        <v>46290</v>
      </c>
      <c r="Z1581" s="35">
        <f t="shared" ca="1" si="77"/>
        <v>-638</v>
      </c>
      <c r="AA1581" s="27">
        <f t="shared" si="79"/>
        <v>12</v>
      </c>
      <c r="AB1581" s="27">
        <f t="shared" si="80"/>
        <v>2024</v>
      </c>
      <c r="AC1581" s="28" t="s">
        <v>7597</v>
      </c>
      <c r="AD1581" s="28" t="s">
        <v>7598</v>
      </c>
      <c r="AE1581" s="27"/>
      <c r="AF1581" s="27" t="s">
        <v>339</v>
      </c>
      <c r="AG1581" s="29" t="s">
        <v>7364</v>
      </c>
      <c r="AH1581" s="28" t="s">
        <v>7571</v>
      </c>
      <c r="AI1581" s="27"/>
      <c r="AJ1581" s="27"/>
      <c r="AK1581" s="27"/>
      <c r="AL1581" s="27"/>
      <c r="AM1581" s="27"/>
      <c r="AN1581" s="27" t="s">
        <v>7599</v>
      </c>
      <c r="AO1581" s="27" t="s">
        <v>7600</v>
      </c>
      <c r="AP1581" s="27"/>
      <c r="AQ1581" s="27"/>
      <c r="AR1581" s="504"/>
      <c r="AS1581" s="332" t="s">
        <v>7601</v>
      </c>
      <c r="AT1581" s="160"/>
    </row>
    <row r="1582" spans="1:46" ht="21.75" hidden="1" customHeight="1">
      <c r="A1582" s="331">
        <v>1581</v>
      </c>
      <c r="B1582" s="173" t="s">
        <v>1035</v>
      </c>
      <c r="C1582" s="28" t="s">
        <v>742</v>
      </c>
      <c r="D1582" s="438" t="s">
        <v>7567</v>
      </c>
      <c r="E1582" s="361" t="str">
        <f t="shared" ca="1" si="75"/>
        <v>LOSS</v>
      </c>
      <c r="F1582" s="29"/>
      <c r="G1582" s="28" t="s">
        <v>7602</v>
      </c>
      <c r="H1582" s="29" t="s">
        <v>2748</v>
      </c>
      <c r="I1582" s="29" t="s">
        <v>346</v>
      </c>
      <c r="J1582" s="28" t="s">
        <v>7603</v>
      </c>
      <c r="K1582" s="28"/>
      <c r="L1582" s="27"/>
      <c r="M1582" s="27"/>
      <c r="N1582" s="29"/>
      <c r="O1582" s="56"/>
      <c r="P1582" s="31">
        <v>501600000</v>
      </c>
      <c r="Q1582" s="31"/>
      <c r="R1582" s="27"/>
      <c r="S1582" s="32">
        <v>14520000</v>
      </c>
      <c r="T1582" s="33"/>
      <c r="U1582" s="334">
        <v>44385</v>
      </c>
      <c r="V1582" s="334">
        <v>44749</v>
      </c>
      <c r="W1582" s="27" t="s">
        <v>245</v>
      </c>
      <c r="X1582" s="27"/>
      <c r="Y1582" s="34">
        <f t="shared" ca="1" si="78"/>
        <v>46290</v>
      </c>
      <c r="Z1582" s="35">
        <f t="shared" ca="1" si="77"/>
        <v>-1541</v>
      </c>
      <c r="AA1582" s="27">
        <f t="shared" si="79"/>
        <v>7</v>
      </c>
      <c r="AB1582" s="27">
        <f t="shared" si="80"/>
        <v>2022</v>
      </c>
      <c r="AC1582" s="28" t="s">
        <v>7604</v>
      </c>
      <c r="AD1582" s="28" t="s">
        <v>7605</v>
      </c>
      <c r="AE1582" s="27">
        <v>4500016698</v>
      </c>
      <c r="AF1582" s="27" t="s">
        <v>339</v>
      </c>
      <c r="AG1582" s="29" t="s">
        <v>7364</v>
      </c>
      <c r="AH1582" s="28" t="s">
        <v>7571</v>
      </c>
      <c r="AI1582" s="27">
        <v>154</v>
      </c>
      <c r="AJ1582" s="27" t="s">
        <v>7606</v>
      </c>
      <c r="AK1582" s="27" t="s">
        <v>7607</v>
      </c>
      <c r="AL1582" s="27" t="s">
        <v>7608</v>
      </c>
      <c r="AM1582" s="27" t="s">
        <v>7609</v>
      </c>
      <c r="AN1582" s="27"/>
      <c r="AO1582" s="27"/>
      <c r="AP1582" s="27"/>
      <c r="AQ1582" s="27"/>
      <c r="AR1582" s="504"/>
      <c r="AS1582" s="332" t="s">
        <v>7610</v>
      </c>
      <c r="AT1582" s="160"/>
    </row>
    <row r="1583" spans="1:46" ht="21.75" hidden="1" customHeight="1">
      <c r="A1583" s="331">
        <v>1582</v>
      </c>
      <c r="B1583" s="173" t="s">
        <v>1035</v>
      </c>
      <c r="C1583" s="28" t="s">
        <v>7611</v>
      </c>
      <c r="D1583" s="437" t="s">
        <v>7567</v>
      </c>
      <c r="E1583" s="361" t="str">
        <f t="shared" ca="1" si="75"/>
        <v>LOSS</v>
      </c>
      <c r="F1583" s="29"/>
      <c r="G1583" s="40" t="s">
        <v>7612</v>
      </c>
      <c r="H1583" s="29" t="s">
        <v>2748</v>
      </c>
      <c r="I1583" s="29" t="s">
        <v>346</v>
      </c>
      <c r="J1583" s="28" t="s">
        <v>7613</v>
      </c>
      <c r="K1583" s="28"/>
      <c r="L1583" s="27"/>
      <c r="M1583" s="27"/>
      <c r="N1583" s="29"/>
      <c r="O1583" s="56"/>
      <c r="P1583" s="31">
        <v>26400000</v>
      </c>
      <c r="Q1583" s="31"/>
      <c r="R1583" s="27"/>
      <c r="S1583" s="32">
        <v>30640000</v>
      </c>
      <c r="T1583" s="33"/>
      <c r="U1583" s="334">
        <v>44807</v>
      </c>
      <c r="V1583" s="334">
        <v>45171</v>
      </c>
      <c r="W1583" s="27" t="s">
        <v>245</v>
      </c>
      <c r="X1583" s="27"/>
      <c r="Y1583" s="34">
        <f t="shared" ca="1" si="78"/>
        <v>46290</v>
      </c>
      <c r="Z1583" s="35">
        <f t="shared" ca="1" si="77"/>
        <v>-1119</v>
      </c>
      <c r="AA1583" s="27">
        <f t="shared" si="79"/>
        <v>9</v>
      </c>
      <c r="AB1583" s="27">
        <f t="shared" si="80"/>
        <v>2023</v>
      </c>
      <c r="AC1583" s="28" t="s">
        <v>7614</v>
      </c>
      <c r="AD1583" s="28" t="s">
        <v>7615</v>
      </c>
      <c r="AE1583" s="27">
        <v>4500018968</v>
      </c>
      <c r="AF1583" s="27" t="s">
        <v>339</v>
      </c>
      <c r="AG1583" s="29" t="s">
        <v>7364</v>
      </c>
      <c r="AH1583" s="28" t="s">
        <v>7571</v>
      </c>
      <c r="AI1583" s="27">
        <v>156</v>
      </c>
      <c r="AJ1583" s="27" t="s">
        <v>7616</v>
      </c>
      <c r="AK1583" s="27" t="s">
        <v>7617</v>
      </c>
      <c r="AL1583" s="27" t="s">
        <v>7618</v>
      </c>
      <c r="AM1583" s="27" t="s">
        <v>7619</v>
      </c>
      <c r="AN1583" s="27" t="s">
        <v>7620</v>
      </c>
      <c r="AO1583" s="27"/>
      <c r="AP1583" s="27"/>
      <c r="AQ1583" s="27"/>
      <c r="AR1583" s="504"/>
      <c r="AS1583" s="332" t="s">
        <v>7621</v>
      </c>
      <c r="AT1583" s="160"/>
    </row>
    <row r="1584" spans="1:46" ht="21.75" hidden="1" customHeight="1">
      <c r="A1584" s="331">
        <v>1583</v>
      </c>
      <c r="B1584" s="173" t="s">
        <v>1035</v>
      </c>
      <c r="C1584" s="28" t="s">
        <v>1467</v>
      </c>
      <c r="D1584" s="438" t="s">
        <v>7567</v>
      </c>
      <c r="E1584" s="361" t="str">
        <f t="shared" ca="1" si="75"/>
        <v>LOSS</v>
      </c>
      <c r="F1584" s="29"/>
      <c r="G1584" s="28" t="s">
        <v>7622</v>
      </c>
      <c r="H1584" s="29" t="s">
        <v>2748</v>
      </c>
      <c r="I1584" s="160" t="s">
        <v>346</v>
      </c>
      <c r="J1584" s="28" t="s">
        <v>1343</v>
      </c>
      <c r="K1584" s="28"/>
      <c r="L1584" s="27"/>
      <c r="M1584" s="27"/>
      <c r="N1584" s="29"/>
      <c r="O1584" s="56"/>
      <c r="P1584" s="31">
        <v>17268957</v>
      </c>
      <c r="Q1584" s="31"/>
      <c r="R1584" s="30"/>
      <c r="S1584" s="32">
        <v>2856000</v>
      </c>
      <c r="T1584" s="33"/>
      <c r="U1584" s="334">
        <v>45193</v>
      </c>
      <c r="V1584" s="334">
        <v>45558</v>
      </c>
      <c r="W1584" s="27" t="s">
        <v>250</v>
      </c>
      <c r="X1584" s="27"/>
      <c r="Y1584" s="34">
        <f t="shared" ca="1" si="78"/>
        <v>46290</v>
      </c>
      <c r="Z1584" s="35">
        <f t="shared" ca="1" si="77"/>
        <v>-732</v>
      </c>
      <c r="AA1584" s="27">
        <f t="shared" si="79"/>
        <v>9</v>
      </c>
      <c r="AB1584" s="27">
        <f t="shared" si="80"/>
        <v>2024</v>
      </c>
      <c r="AC1584" s="28" t="s">
        <v>7623</v>
      </c>
      <c r="AD1584" s="28" t="s">
        <v>7624</v>
      </c>
      <c r="AE1584" s="27">
        <v>4500020940</v>
      </c>
      <c r="AF1584" s="27" t="s">
        <v>339</v>
      </c>
      <c r="AG1584" s="29" t="s">
        <v>7364</v>
      </c>
      <c r="AH1584" s="28" t="s">
        <v>7571</v>
      </c>
      <c r="AI1584" s="27"/>
      <c r="AJ1584" s="27"/>
      <c r="AK1584" s="27"/>
      <c r="AL1584" s="27" t="s">
        <v>7625</v>
      </c>
      <c r="AM1584" s="27" t="s">
        <v>7626</v>
      </c>
      <c r="AN1584" s="27" t="s">
        <v>7627</v>
      </c>
      <c r="AO1584" s="27" t="s">
        <v>7628</v>
      </c>
      <c r="AP1584" s="27"/>
      <c r="AQ1584" s="27"/>
      <c r="AR1584" s="504"/>
      <c r="AS1584" s="332" t="s">
        <v>7629</v>
      </c>
      <c r="AT1584" s="160"/>
    </row>
    <row r="1585" spans="1:46" ht="21.75" hidden="1" customHeight="1">
      <c r="A1585" s="331">
        <v>1584</v>
      </c>
      <c r="B1585" s="28" t="s">
        <v>1500</v>
      </c>
      <c r="C1585" s="28" t="s">
        <v>7630</v>
      </c>
      <c r="D1585" s="437" t="s">
        <v>7631</v>
      </c>
      <c r="E1585" s="361" t="str">
        <f t="shared" ca="1" si="75"/>
        <v>LOSS</v>
      </c>
      <c r="F1585" s="36" t="s">
        <v>115</v>
      </c>
      <c r="G1585" s="28" t="s">
        <v>7632</v>
      </c>
      <c r="H1585" s="29" t="s">
        <v>2748</v>
      </c>
      <c r="I1585" s="29" t="s">
        <v>242</v>
      </c>
      <c r="J1585" s="28" t="s">
        <v>7633</v>
      </c>
      <c r="K1585" s="28"/>
      <c r="L1585" s="27"/>
      <c r="M1585" s="27"/>
      <c r="N1585" s="29"/>
      <c r="O1585" s="56"/>
      <c r="P1585" s="31">
        <v>1021200000</v>
      </c>
      <c r="Q1585" s="31"/>
      <c r="R1585" s="27"/>
      <c r="S1585" s="32">
        <v>110000000</v>
      </c>
      <c r="T1585" s="33"/>
      <c r="U1585" s="334">
        <v>45204</v>
      </c>
      <c r="V1585" s="334">
        <v>45569</v>
      </c>
      <c r="W1585" s="27" t="s">
        <v>250</v>
      </c>
      <c r="X1585" s="27"/>
      <c r="Y1585" s="34">
        <f t="shared" ca="1" si="78"/>
        <v>46290</v>
      </c>
      <c r="Z1585" s="35">
        <f t="shared" ca="1" si="77"/>
        <v>-721</v>
      </c>
      <c r="AA1585" s="27">
        <f t="shared" si="79"/>
        <v>10</v>
      </c>
      <c r="AB1585" s="27">
        <f t="shared" si="80"/>
        <v>2024</v>
      </c>
      <c r="AC1585" s="28" t="s">
        <v>7634</v>
      </c>
      <c r="AD1585" s="28">
        <v>2154</v>
      </c>
      <c r="AE1585" s="27">
        <v>4500021979</v>
      </c>
      <c r="AF1585" s="27" t="s">
        <v>339</v>
      </c>
      <c r="AG1585" s="29" t="s">
        <v>7635</v>
      </c>
      <c r="AH1585" s="28"/>
      <c r="AI1585" s="27"/>
      <c r="AJ1585" s="27"/>
      <c r="AK1585" s="27"/>
      <c r="AL1585" s="27"/>
      <c r="AM1585" s="27" t="s">
        <v>7636</v>
      </c>
      <c r="AN1585" s="27" t="s">
        <v>7637</v>
      </c>
      <c r="AO1585" s="27" t="s">
        <v>7638</v>
      </c>
      <c r="AP1585" s="27"/>
      <c r="AQ1585" s="27"/>
      <c r="AR1585" s="504"/>
      <c r="AS1585" s="333" t="s">
        <v>115</v>
      </c>
      <c r="AT1585" s="160"/>
    </row>
    <row r="1586" spans="1:46" ht="21.75" hidden="1" customHeight="1">
      <c r="A1586" s="331">
        <v>1585</v>
      </c>
      <c r="B1586" s="28" t="s">
        <v>628</v>
      </c>
      <c r="C1586" s="28" t="s">
        <v>7639</v>
      </c>
      <c r="D1586" s="438" t="s">
        <v>7640</v>
      </c>
      <c r="E1586" s="361" t="str">
        <f t="shared" ca="1" si="75"/>
        <v>LOSS</v>
      </c>
      <c r="F1586" s="28" t="s">
        <v>7641</v>
      </c>
      <c r="G1586" s="28" t="s">
        <v>7642</v>
      </c>
      <c r="H1586" s="28" t="s">
        <v>261</v>
      </c>
      <c r="I1586" s="361" t="s">
        <v>243</v>
      </c>
      <c r="J1586" s="28" t="s">
        <v>7643</v>
      </c>
      <c r="K1586" s="38" t="s">
        <v>7644</v>
      </c>
      <c r="L1586" s="60">
        <v>0.995</v>
      </c>
      <c r="M1586" s="27" t="s">
        <v>329</v>
      </c>
      <c r="N1586" s="29" t="s">
        <v>4750</v>
      </c>
      <c r="O1586" s="56"/>
      <c r="P1586" s="52">
        <v>76042800</v>
      </c>
      <c r="Q1586" s="52"/>
      <c r="R1586" s="56"/>
      <c r="S1586" s="32">
        <f>2786400*12</f>
        <v>33436800</v>
      </c>
      <c r="T1586" s="33"/>
      <c r="U1586" s="334">
        <v>45318</v>
      </c>
      <c r="V1586" s="334">
        <v>45683</v>
      </c>
      <c r="W1586" s="27" t="s">
        <v>250</v>
      </c>
      <c r="X1586" s="27"/>
      <c r="Y1586" s="34">
        <f t="shared" ca="1" si="78"/>
        <v>46290</v>
      </c>
      <c r="Z1586" s="35">
        <f t="shared" ca="1" si="77"/>
        <v>-607</v>
      </c>
      <c r="AA1586" s="27">
        <f t="shared" si="79"/>
        <v>1</v>
      </c>
      <c r="AB1586" s="27">
        <f t="shared" si="80"/>
        <v>2025</v>
      </c>
      <c r="AC1586" s="28">
        <v>4500019690</v>
      </c>
      <c r="AD1586" s="28" t="s">
        <v>7645</v>
      </c>
      <c r="AE1586" s="27">
        <v>4500022181</v>
      </c>
      <c r="AF1586" s="27" t="s">
        <v>471</v>
      </c>
      <c r="AG1586" s="160" t="s">
        <v>633</v>
      </c>
      <c r="AH1586" s="174" t="s">
        <v>634</v>
      </c>
      <c r="AI1586" s="27"/>
      <c r="AJ1586" s="27"/>
      <c r="AK1586" s="27"/>
      <c r="AL1586" s="27"/>
      <c r="AM1586" s="27"/>
      <c r="AN1586" s="27"/>
      <c r="AO1586" s="27">
        <v>79</v>
      </c>
      <c r="AP1586" s="27" t="s">
        <v>7646</v>
      </c>
      <c r="AQ1586" s="27"/>
      <c r="AR1586" s="504"/>
      <c r="AS1586" s="332"/>
      <c r="AT1586" s="160"/>
    </row>
    <row r="1587" spans="1:46" ht="21.75" hidden="1" customHeight="1">
      <c r="A1587" s="331">
        <v>1586</v>
      </c>
      <c r="B1587" s="28" t="s">
        <v>1353</v>
      </c>
      <c r="C1587" s="28" t="s">
        <v>1354</v>
      </c>
      <c r="D1587" s="437" t="s">
        <v>7640</v>
      </c>
      <c r="E1587" s="361" t="str">
        <f t="shared" ca="1" si="75"/>
        <v>LOSS</v>
      </c>
      <c r="F1587" s="28" t="s">
        <v>115</v>
      </c>
      <c r="G1587" s="28" t="s">
        <v>7647</v>
      </c>
      <c r="H1587" s="28" t="s">
        <v>261</v>
      </c>
      <c r="I1587" s="361" t="s">
        <v>243</v>
      </c>
      <c r="J1587" s="40" t="s">
        <v>7648</v>
      </c>
      <c r="K1587" s="38" t="s">
        <v>7649</v>
      </c>
      <c r="L1587" s="53">
        <v>0.995</v>
      </c>
      <c r="M1587" s="27" t="s">
        <v>6776</v>
      </c>
      <c r="N1587" s="29" t="s">
        <v>417</v>
      </c>
      <c r="O1587" s="56"/>
      <c r="P1587" s="52">
        <f>4400000*12</f>
        <v>52800000</v>
      </c>
      <c r="Q1587" s="52"/>
      <c r="R1587" s="56"/>
      <c r="S1587" s="32">
        <f>2100000*12</f>
        <v>25200000</v>
      </c>
      <c r="T1587" s="33"/>
      <c r="U1587" s="334">
        <v>45474</v>
      </c>
      <c r="V1587" s="334">
        <v>45838</v>
      </c>
      <c r="W1587" s="27" t="s">
        <v>245</v>
      </c>
      <c r="X1587" s="27"/>
      <c r="Y1587" s="34">
        <f t="shared" ca="1" si="78"/>
        <v>46290</v>
      </c>
      <c r="Z1587" s="35">
        <f t="shared" ca="1" si="77"/>
        <v>-452</v>
      </c>
      <c r="AA1587" s="27">
        <f t="shared" si="79"/>
        <v>6</v>
      </c>
      <c r="AB1587" s="27">
        <f t="shared" si="80"/>
        <v>2025</v>
      </c>
      <c r="AC1587" s="28" t="s">
        <v>7650</v>
      </c>
      <c r="AD1587" s="28" t="s">
        <v>7651</v>
      </c>
      <c r="AE1587" s="27">
        <v>4500022619</v>
      </c>
      <c r="AF1587" s="27" t="s">
        <v>471</v>
      </c>
      <c r="AG1587" s="160" t="s">
        <v>633</v>
      </c>
      <c r="AH1587" s="174" t="s">
        <v>634</v>
      </c>
      <c r="AI1587" s="27"/>
      <c r="AJ1587" s="27"/>
      <c r="AK1587" s="27"/>
      <c r="AL1587" s="27"/>
      <c r="AM1587" s="27"/>
      <c r="AN1587" s="27"/>
      <c r="AO1587" s="27">
        <v>153</v>
      </c>
      <c r="AP1587" s="27">
        <v>137</v>
      </c>
      <c r="AQ1587" s="27"/>
      <c r="AR1587" s="504"/>
      <c r="AS1587" s="332"/>
      <c r="AT1587" s="160"/>
    </row>
    <row r="1588" spans="1:46" ht="21.75" hidden="1" customHeight="1">
      <c r="A1588" s="331">
        <v>1587</v>
      </c>
      <c r="B1588" s="28" t="s">
        <v>1353</v>
      </c>
      <c r="C1588" s="28" t="s">
        <v>7652</v>
      </c>
      <c r="D1588" s="438" t="s">
        <v>7640</v>
      </c>
      <c r="E1588" s="361" t="str">
        <f t="shared" ca="1" si="75"/>
        <v>LOSS</v>
      </c>
      <c r="F1588" s="28" t="s">
        <v>115</v>
      </c>
      <c r="G1588" s="28" t="s">
        <v>7653</v>
      </c>
      <c r="H1588" s="28" t="s">
        <v>261</v>
      </c>
      <c r="I1588" s="361" t="s">
        <v>243</v>
      </c>
      <c r="J1588" s="28" t="s">
        <v>7654</v>
      </c>
      <c r="K1588" s="38" t="s">
        <v>7655</v>
      </c>
      <c r="L1588" s="53">
        <v>0.995</v>
      </c>
      <c r="M1588" s="27" t="s">
        <v>365</v>
      </c>
      <c r="N1588" s="29" t="s">
        <v>6885</v>
      </c>
      <c r="O1588" s="56"/>
      <c r="P1588" s="52">
        <f>2200000*12</f>
        <v>26400000</v>
      </c>
      <c r="Q1588" s="52"/>
      <c r="R1588" s="56"/>
      <c r="S1588" s="32">
        <f>1100000*12</f>
        <v>13200000</v>
      </c>
      <c r="T1588" s="33"/>
      <c r="U1588" s="334">
        <v>45474</v>
      </c>
      <c r="V1588" s="334">
        <v>45838</v>
      </c>
      <c r="W1588" s="27" t="s">
        <v>250</v>
      </c>
      <c r="X1588" s="27"/>
      <c r="Y1588" s="34">
        <f t="shared" ca="1" si="78"/>
        <v>46290</v>
      </c>
      <c r="Z1588" s="35">
        <f t="shared" ca="1" si="77"/>
        <v>-452</v>
      </c>
      <c r="AA1588" s="27">
        <f t="shared" si="79"/>
        <v>6</v>
      </c>
      <c r="AB1588" s="27">
        <f t="shared" si="80"/>
        <v>2025</v>
      </c>
      <c r="AC1588" s="28" t="s">
        <v>7650</v>
      </c>
      <c r="AD1588" s="28" t="s">
        <v>7651</v>
      </c>
      <c r="AE1588" s="27">
        <v>4500022619</v>
      </c>
      <c r="AF1588" s="27" t="s">
        <v>471</v>
      </c>
      <c r="AG1588" s="160" t="s">
        <v>633</v>
      </c>
      <c r="AH1588" s="174" t="s">
        <v>634</v>
      </c>
      <c r="AI1588" s="27"/>
      <c r="AJ1588" s="27"/>
      <c r="AK1588" s="27"/>
      <c r="AL1588" s="27"/>
      <c r="AM1588" s="27"/>
      <c r="AN1588" s="27"/>
      <c r="AO1588" s="27">
        <v>153</v>
      </c>
      <c r="AP1588" s="27">
        <v>137</v>
      </c>
      <c r="AQ1588" s="27"/>
      <c r="AR1588" s="504"/>
      <c r="AS1588" s="332"/>
      <c r="AT1588" s="160"/>
    </row>
    <row r="1589" spans="1:46" ht="21.75" hidden="1" customHeight="1">
      <c r="A1589" s="331">
        <v>1588</v>
      </c>
      <c r="B1589" s="28" t="s">
        <v>1353</v>
      </c>
      <c r="C1589" s="28" t="s">
        <v>7656</v>
      </c>
      <c r="D1589" s="437" t="s">
        <v>7640</v>
      </c>
      <c r="E1589" s="361" t="str">
        <f t="shared" ca="1" si="75"/>
        <v>LOSS</v>
      </c>
      <c r="F1589" s="28" t="s">
        <v>115</v>
      </c>
      <c r="G1589" s="28" t="s">
        <v>7657</v>
      </c>
      <c r="H1589" s="28" t="s">
        <v>261</v>
      </c>
      <c r="I1589" s="361" t="s">
        <v>243</v>
      </c>
      <c r="J1589" s="28" t="s">
        <v>7658</v>
      </c>
      <c r="K1589" s="38" t="s">
        <v>7659</v>
      </c>
      <c r="L1589" s="53">
        <v>0.995</v>
      </c>
      <c r="M1589" s="27" t="s">
        <v>6776</v>
      </c>
      <c r="N1589" s="29" t="s">
        <v>4750</v>
      </c>
      <c r="O1589" s="56"/>
      <c r="P1589" s="52">
        <f>6000000*12</f>
        <v>72000000</v>
      </c>
      <c r="Q1589" s="52"/>
      <c r="R1589" s="56"/>
      <c r="S1589" s="32">
        <f>2325000*12</f>
        <v>27900000</v>
      </c>
      <c r="T1589" s="33"/>
      <c r="U1589" s="334">
        <v>45474</v>
      </c>
      <c r="V1589" s="334">
        <v>45838</v>
      </c>
      <c r="W1589" s="27" t="s">
        <v>250</v>
      </c>
      <c r="X1589" s="27"/>
      <c r="Y1589" s="34">
        <f t="shared" ca="1" si="78"/>
        <v>46290</v>
      </c>
      <c r="Z1589" s="35">
        <f t="shared" ca="1" si="77"/>
        <v>-452</v>
      </c>
      <c r="AA1589" s="27">
        <f t="shared" si="79"/>
        <v>6</v>
      </c>
      <c r="AB1589" s="27">
        <f t="shared" si="80"/>
        <v>2025</v>
      </c>
      <c r="AC1589" s="28" t="s">
        <v>7650</v>
      </c>
      <c r="AD1589" s="28" t="s">
        <v>7651</v>
      </c>
      <c r="AE1589" s="27">
        <v>4500022619</v>
      </c>
      <c r="AF1589" s="27" t="s">
        <v>471</v>
      </c>
      <c r="AG1589" s="160" t="s">
        <v>633</v>
      </c>
      <c r="AH1589" s="174" t="s">
        <v>634</v>
      </c>
      <c r="AI1589" s="27"/>
      <c r="AJ1589" s="27"/>
      <c r="AK1589" s="27"/>
      <c r="AL1589" s="27"/>
      <c r="AM1589" s="27"/>
      <c r="AN1589" s="27"/>
      <c r="AO1589" s="27">
        <v>153</v>
      </c>
      <c r="AP1589" s="27">
        <v>137</v>
      </c>
      <c r="AQ1589" s="27"/>
      <c r="AR1589" s="504"/>
      <c r="AS1589" s="332"/>
      <c r="AT1589" s="160"/>
    </row>
    <row r="1590" spans="1:46" ht="21.75" hidden="1" customHeight="1">
      <c r="A1590" s="331">
        <v>1589</v>
      </c>
      <c r="B1590" s="28" t="s">
        <v>1353</v>
      </c>
      <c r="C1590" s="28" t="s">
        <v>7660</v>
      </c>
      <c r="D1590" s="438" t="s">
        <v>7640</v>
      </c>
      <c r="E1590" s="361" t="str">
        <f t="shared" ca="1" si="75"/>
        <v>LOSS</v>
      </c>
      <c r="F1590" s="28" t="s">
        <v>115</v>
      </c>
      <c r="G1590" s="28" t="s">
        <v>7661</v>
      </c>
      <c r="H1590" s="28" t="s">
        <v>261</v>
      </c>
      <c r="I1590" s="361" t="s">
        <v>243</v>
      </c>
      <c r="J1590" s="28" t="s">
        <v>7662</v>
      </c>
      <c r="K1590" s="38" t="s">
        <v>7663</v>
      </c>
      <c r="L1590" s="53">
        <v>0.995</v>
      </c>
      <c r="M1590" s="27" t="s">
        <v>329</v>
      </c>
      <c r="N1590" s="29" t="s">
        <v>417</v>
      </c>
      <c r="O1590" s="56"/>
      <c r="P1590" s="52">
        <f>4200000*12</f>
        <v>50400000</v>
      </c>
      <c r="Q1590" s="52"/>
      <c r="R1590" s="56"/>
      <c r="S1590" s="32">
        <f>2100000*12</f>
        <v>25200000</v>
      </c>
      <c r="T1590" s="33"/>
      <c r="U1590" s="334">
        <v>45474</v>
      </c>
      <c r="V1590" s="334">
        <v>45838</v>
      </c>
      <c r="W1590" s="27" t="s">
        <v>250</v>
      </c>
      <c r="X1590" s="27"/>
      <c r="Y1590" s="34">
        <f t="shared" ca="1" si="78"/>
        <v>46290</v>
      </c>
      <c r="Z1590" s="35">
        <f t="shared" ca="1" si="77"/>
        <v>-452</v>
      </c>
      <c r="AA1590" s="27">
        <f t="shared" si="79"/>
        <v>6</v>
      </c>
      <c r="AB1590" s="27">
        <f t="shared" si="80"/>
        <v>2025</v>
      </c>
      <c r="AC1590" s="28" t="s">
        <v>7650</v>
      </c>
      <c r="AD1590" s="28" t="s">
        <v>7651</v>
      </c>
      <c r="AE1590" s="27">
        <v>4500022619</v>
      </c>
      <c r="AF1590" s="27" t="s">
        <v>471</v>
      </c>
      <c r="AG1590" s="160" t="s">
        <v>633</v>
      </c>
      <c r="AH1590" s="174" t="s">
        <v>634</v>
      </c>
      <c r="AI1590" s="27"/>
      <c r="AJ1590" s="27"/>
      <c r="AK1590" s="27"/>
      <c r="AL1590" s="27"/>
      <c r="AM1590" s="27"/>
      <c r="AN1590" s="27"/>
      <c r="AO1590" s="27">
        <v>153</v>
      </c>
      <c r="AP1590" s="27">
        <v>137</v>
      </c>
      <c r="AQ1590" s="27"/>
      <c r="AR1590" s="504"/>
      <c r="AS1590" s="332"/>
      <c r="AT1590" s="160"/>
    </row>
    <row r="1591" spans="1:46" ht="21.75" hidden="1" customHeight="1">
      <c r="A1591" s="331">
        <v>1590</v>
      </c>
      <c r="B1591" s="28" t="s">
        <v>1353</v>
      </c>
      <c r="C1591" s="28" t="s">
        <v>7664</v>
      </c>
      <c r="D1591" s="437" t="s">
        <v>7640</v>
      </c>
      <c r="E1591" s="361" t="str">
        <f t="shared" ca="1" si="75"/>
        <v>LOSS</v>
      </c>
      <c r="F1591" s="28" t="s">
        <v>115</v>
      </c>
      <c r="G1591" s="28" t="s">
        <v>7665</v>
      </c>
      <c r="H1591" s="28" t="s">
        <v>261</v>
      </c>
      <c r="I1591" s="361" t="s">
        <v>243</v>
      </c>
      <c r="J1591" s="28" t="s">
        <v>7666</v>
      </c>
      <c r="K1591" s="38" t="s">
        <v>7667</v>
      </c>
      <c r="L1591" s="53">
        <v>0.995</v>
      </c>
      <c r="M1591" s="27" t="s">
        <v>365</v>
      </c>
      <c r="N1591" s="29" t="s">
        <v>6885</v>
      </c>
      <c r="O1591" s="56"/>
      <c r="P1591" s="52">
        <f>1300000*12</f>
        <v>15600000</v>
      </c>
      <c r="Q1591" s="52"/>
      <c r="R1591" s="56"/>
      <c r="S1591" s="32">
        <f>1100000*12</f>
        <v>13200000</v>
      </c>
      <c r="T1591" s="33"/>
      <c r="U1591" s="334">
        <v>45474</v>
      </c>
      <c r="V1591" s="334">
        <v>45838</v>
      </c>
      <c r="W1591" s="27" t="s">
        <v>250</v>
      </c>
      <c r="X1591" s="27"/>
      <c r="Y1591" s="34">
        <f t="shared" ca="1" si="78"/>
        <v>46290</v>
      </c>
      <c r="Z1591" s="35">
        <f t="shared" ca="1" si="77"/>
        <v>-452</v>
      </c>
      <c r="AA1591" s="27">
        <f t="shared" si="79"/>
        <v>6</v>
      </c>
      <c r="AB1591" s="27">
        <f t="shared" si="80"/>
        <v>2025</v>
      </c>
      <c r="AC1591" s="28" t="s">
        <v>7650</v>
      </c>
      <c r="AD1591" s="28" t="s">
        <v>7651</v>
      </c>
      <c r="AE1591" s="27">
        <v>4500022619</v>
      </c>
      <c r="AF1591" s="27" t="s">
        <v>471</v>
      </c>
      <c r="AG1591" s="160" t="s">
        <v>633</v>
      </c>
      <c r="AH1591" s="174" t="s">
        <v>634</v>
      </c>
      <c r="AI1591" s="27"/>
      <c r="AJ1591" s="27"/>
      <c r="AK1591" s="27"/>
      <c r="AL1591" s="27"/>
      <c r="AM1591" s="27"/>
      <c r="AN1591" s="27"/>
      <c r="AO1591" s="27">
        <v>153</v>
      </c>
      <c r="AP1591" s="27">
        <v>137</v>
      </c>
      <c r="AQ1591" s="27"/>
      <c r="AR1591" s="504"/>
      <c r="AS1591" s="332"/>
      <c r="AT1591" s="160"/>
    </row>
    <row r="1592" spans="1:46" ht="21.75" hidden="1" customHeight="1">
      <c r="A1592" s="331">
        <v>1591</v>
      </c>
      <c r="B1592" s="28" t="s">
        <v>1353</v>
      </c>
      <c r="C1592" s="28" t="s">
        <v>997</v>
      </c>
      <c r="D1592" s="438" t="s">
        <v>7640</v>
      </c>
      <c r="E1592" s="361" t="str">
        <f t="shared" ca="1" si="75"/>
        <v>LOSS</v>
      </c>
      <c r="F1592" s="28" t="s">
        <v>115</v>
      </c>
      <c r="G1592" s="28" t="s">
        <v>7668</v>
      </c>
      <c r="H1592" s="28" t="s">
        <v>261</v>
      </c>
      <c r="I1592" s="361" t="s">
        <v>243</v>
      </c>
      <c r="J1592" s="28" t="s">
        <v>7669</v>
      </c>
      <c r="K1592" s="38" t="s">
        <v>7670</v>
      </c>
      <c r="L1592" s="53">
        <v>0.995</v>
      </c>
      <c r="M1592" s="27" t="s">
        <v>365</v>
      </c>
      <c r="N1592" s="29" t="s">
        <v>417</v>
      </c>
      <c r="O1592" s="56"/>
      <c r="P1592" s="52">
        <f>2800000*12</f>
        <v>33600000</v>
      </c>
      <c r="Q1592" s="52"/>
      <c r="R1592" s="56"/>
      <c r="S1592" s="32">
        <f>2100000*12</f>
        <v>25200000</v>
      </c>
      <c r="T1592" s="33"/>
      <c r="U1592" s="334">
        <v>45474</v>
      </c>
      <c r="V1592" s="334">
        <v>45838</v>
      </c>
      <c r="W1592" s="27" t="s">
        <v>250</v>
      </c>
      <c r="X1592" s="27"/>
      <c r="Y1592" s="34">
        <f t="shared" ca="1" si="78"/>
        <v>46290</v>
      </c>
      <c r="Z1592" s="35">
        <f t="shared" ca="1" si="77"/>
        <v>-452</v>
      </c>
      <c r="AA1592" s="27">
        <f t="shared" si="79"/>
        <v>6</v>
      </c>
      <c r="AB1592" s="27">
        <f t="shared" si="80"/>
        <v>2025</v>
      </c>
      <c r="AC1592" s="28" t="s">
        <v>7650</v>
      </c>
      <c r="AD1592" s="28" t="s">
        <v>7651</v>
      </c>
      <c r="AE1592" s="27">
        <v>4500022619</v>
      </c>
      <c r="AF1592" s="27" t="s">
        <v>471</v>
      </c>
      <c r="AG1592" s="160" t="s">
        <v>633</v>
      </c>
      <c r="AH1592" s="174" t="s">
        <v>634</v>
      </c>
      <c r="AI1592" s="27"/>
      <c r="AJ1592" s="27"/>
      <c r="AK1592" s="27"/>
      <c r="AL1592" s="27"/>
      <c r="AM1592" s="27"/>
      <c r="AN1592" s="27"/>
      <c r="AO1592" s="27">
        <v>153</v>
      </c>
      <c r="AP1592" s="27">
        <v>137</v>
      </c>
      <c r="AQ1592" s="27"/>
      <c r="AR1592" s="504"/>
      <c r="AS1592" s="332"/>
      <c r="AT1592" s="160"/>
    </row>
    <row r="1593" spans="1:46" ht="21.75" hidden="1" customHeight="1">
      <c r="A1593" s="331">
        <v>1592</v>
      </c>
      <c r="B1593" s="28" t="s">
        <v>1353</v>
      </c>
      <c r="C1593" s="28" t="s">
        <v>7671</v>
      </c>
      <c r="D1593" s="437" t="s">
        <v>7640</v>
      </c>
      <c r="E1593" s="361" t="str">
        <f t="shared" ca="1" si="75"/>
        <v>LOSS</v>
      </c>
      <c r="F1593" s="28" t="s">
        <v>115</v>
      </c>
      <c r="G1593" s="28" t="s">
        <v>7672</v>
      </c>
      <c r="H1593" s="28" t="s">
        <v>261</v>
      </c>
      <c r="I1593" s="361" t="s">
        <v>243</v>
      </c>
      <c r="J1593" s="28" t="s">
        <v>7673</v>
      </c>
      <c r="K1593" s="38" t="s">
        <v>7674</v>
      </c>
      <c r="L1593" s="53">
        <v>0.995</v>
      </c>
      <c r="M1593" s="27" t="s">
        <v>6788</v>
      </c>
      <c r="N1593" s="29" t="s">
        <v>417</v>
      </c>
      <c r="O1593" s="56"/>
      <c r="P1593" s="52">
        <f>5800000*12</f>
        <v>69600000</v>
      </c>
      <c r="Q1593" s="52"/>
      <c r="R1593" s="56"/>
      <c r="S1593" s="32">
        <f>2100000*12</f>
        <v>25200000</v>
      </c>
      <c r="T1593" s="33"/>
      <c r="U1593" s="334">
        <v>45474</v>
      </c>
      <c r="V1593" s="334">
        <v>45838</v>
      </c>
      <c r="W1593" s="27" t="s">
        <v>250</v>
      </c>
      <c r="X1593" s="27"/>
      <c r="Y1593" s="34">
        <f t="shared" ca="1" si="78"/>
        <v>46290</v>
      </c>
      <c r="Z1593" s="35">
        <f t="shared" ca="1" si="77"/>
        <v>-452</v>
      </c>
      <c r="AA1593" s="27">
        <f t="shared" si="79"/>
        <v>6</v>
      </c>
      <c r="AB1593" s="27">
        <f t="shared" si="80"/>
        <v>2025</v>
      </c>
      <c r="AC1593" s="28" t="s">
        <v>7650</v>
      </c>
      <c r="AD1593" s="28" t="s">
        <v>7651</v>
      </c>
      <c r="AE1593" s="27">
        <v>4500022619</v>
      </c>
      <c r="AF1593" s="27" t="s">
        <v>471</v>
      </c>
      <c r="AG1593" s="160" t="s">
        <v>633</v>
      </c>
      <c r="AH1593" s="174" t="s">
        <v>634</v>
      </c>
      <c r="AI1593" s="27"/>
      <c r="AJ1593" s="27"/>
      <c r="AK1593" s="27"/>
      <c r="AL1593" s="27"/>
      <c r="AM1593" s="27"/>
      <c r="AN1593" s="27"/>
      <c r="AO1593" s="27">
        <v>153</v>
      </c>
      <c r="AP1593" s="27">
        <v>137</v>
      </c>
      <c r="AQ1593" s="27"/>
      <c r="AR1593" s="504"/>
      <c r="AS1593" s="332"/>
      <c r="AT1593" s="160"/>
    </row>
    <row r="1594" spans="1:46" ht="21.75" hidden="1" customHeight="1">
      <c r="A1594" s="331">
        <v>1593</v>
      </c>
      <c r="B1594" s="28" t="s">
        <v>1353</v>
      </c>
      <c r="C1594" s="28" t="s">
        <v>7675</v>
      </c>
      <c r="D1594" s="438" t="s">
        <v>7640</v>
      </c>
      <c r="E1594" s="361" t="str">
        <f t="shared" ca="1" si="75"/>
        <v>LOSS</v>
      </c>
      <c r="F1594" s="28"/>
      <c r="G1594" s="28" t="s">
        <v>7676</v>
      </c>
      <c r="H1594" s="28" t="s">
        <v>261</v>
      </c>
      <c r="I1594" s="361" t="s">
        <v>243</v>
      </c>
      <c r="J1594" s="28" t="s">
        <v>2586</v>
      </c>
      <c r="K1594" s="38" t="s">
        <v>7677</v>
      </c>
      <c r="L1594" s="53" t="s">
        <v>4749</v>
      </c>
      <c r="M1594" s="27" t="s">
        <v>365</v>
      </c>
      <c r="N1594" s="29" t="s">
        <v>7678</v>
      </c>
      <c r="O1594" s="56"/>
      <c r="P1594" s="52">
        <v>129000000</v>
      </c>
      <c r="Q1594" s="52"/>
      <c r="R1594" s="27"/>
      <c r="S1594" s="32">
        <v>95760000</v>
      </c>
      <c r="T1594" s="33"/>
      <c r="U1594" s="334">
        <v>45127</v>
      </c>
      <c r="V1594" s="334">
        <v>45492</v>
      </c>
      <c r="W1594" s="27" t="s">
        <v>250</v>
      </c>
      <c r="X1594" s="27"/>
      <c r="Y1594" s="34">
        <f t="shared" ca="1" si="78"/>
        <v>46290</v>
      </c>
      <c r="Z1594" s="35">
        <f t="shared" ca="1" si="77"/>
        <v>-798</v>
      </c>
      <c r="AA1594" s="27">
        <f t="shared" si="79"/>
        <v>7</v>
      </c>
      <c r="AB1594" s="27">
        <f t="shared" si="80"/>
        <v>2024</v>
      </c>
      <c r="AC1594" s="28">
        <v>4500018282</v>
      </c>
      <c r="AD1594" s="28" t="s">
        <v>7679</v>
      </c>
      <c r="AE1594" s="27">
        <v>4500021118</v>
      </c>
      <c r="AF1594" s="27" t="s">
        <v>471</v>
      </c>
      <c r="AG1594" s="160" t="s">
        <v>633</v>
      </c>
      <c r="AH1594" s="174" t="s">
        <v>634</v>
      </c>
      <c r="AI1594" s="27"/>
      <c r="AJ1594" s="27"/>
      <c r="AK1594" s="27"/>
      <c r="AL1594" s="27"/>
      <c r="AM1594" s="27"/>
      <c r="AN1594" s="27"/>
      <c r="AO1594" s="27">
        <v>267</v>
      </c>
      <c r="AP1594" s="27"/>
      <c r="AQ1594" s="27"/>
      <c r="AR1594" s="504"/>
      <c r="AS1594" s="332"/>
      <c r="AT1594" s="160"/>
    </row>
    <row r="1595" spans="1:46" ht="21.75" hidden="1" customHeight="1">
      <c r="A1595" s="331">
        <v>1594</v>
      </c>
      <c r="B1595" s="28" t="s">
        <v>1353</v>
      </c>
      <c r="C1595" s="28" t="s">
        <v>938</v>
      </c>
      <c r="D1595" s="437" t="s">
        <v>7640</v>
      </c>
      <c r="E1595" s="361" t="str">
        <f t="shared" ca="1" si="75"/>
        <v>LOSS</v>
      </c>
      <c r="F1595" s="28"/>
      <c r="G1595" s="28" t="s">
        <v>7680</v>
      </c>
      <c r="H1595" s="28" t="s">
        <v>261</v>
      </c>
      <c r="I1595" s="361" t="s">
        <v>243</v>
      </c>
      <c r="J1595" s="28" t="s">
        <v>7681</v>
      </c>
      <c r="K1595" s="38" t="s">
        <v>7682</v>
      </c>
      <c r="L1595" s="53" t="s">
        <v>4749</v>
      </c>
      <c r="M1595" s="27" t="s">
        <v>7306</v>
      </c>
      <c r="N1595" s="29" t="s">
        <v>494</v>
      </c>
      <c r="O1595" s="56"/>
      <c r="P1595" s="52">
        <v>248780000</v>
      </c>
      <c r="Q1595" s="52"/>
      <c r="R1595" s="56">
        <v>3000000</v>
      </c>
      <c r="S1595" s="32">
        <v>63480000</v>
      </c>
      <c r="T1595" s="33"/>
      <c r="U1595" s="334">
        <v>45147</v>
      </c>
      <c r="V1595" s="334">
        <v>45512</v>
      </c>
      <c r="W1595" s="27" t="s">
        <v>250</v>
      </c>
      <c r="X1595" s="27"/>
      <c r="Y1595" s="34">
        <f t="shared" ca="1" si="78"/>
        <v>46290</v>
      </c>
      <c r="Z1595" s="35">
        <f t="shared" ca="1" si="77"/>
        <v>-778</v>
      </c>
      <c r="AA1595" s="27">
        <f t="shared" si="79"/>
        <v>8</v>
      </c>
      <c r="AB1595" s="27">
        <f t="shared" si="80"/>
        <v>2024</v>
      </c>
      <c r="AC1595" s="28" t="s">
        <v>3371</v>
      </c>
      <c r="AD1595" s="28" t="s">
        <v>7683</v>
      </c>
      <c r="AE1595" s="27">
        <v>4500020783</v>
      </c>
      <c r="AF1595" s="27" t="s">
        <v>471</v>
      </c>
      <c r="AG1595" s="160" t="s">
        <v>633</v>
      </c>
      <c r="AH1595" s="174" t="s">
        <v>634</v>
      </c>
      <c r="AI1595" s="27"/>
      <c r="AJ1595" s="27"/>
      <c r="AK1595" s="27"/>
      <c r="AL1595" s="27"/>
      <c r="AM1595" s="27"/>
      <c r="AN1595" s="27"/>
      <c r="AO1595" s="27">
        <v>190</v>
      </c>
      <c r="AP1595" s="27"/>
      <c r="AQ1595" s="27"/>
      <c r="AR1595" s="504"/>
      <c r="AS1595" s="332"/>
      <c r="AT1595" s="160"/>
    </row>
    <row r="1596" spans="1:46" ht="21.75" hidden="1" customHeight="1">
      <c r="A1596" s="331">
        <v>1595</v>
      </c>
      <c r="B1596" s="28" t="s">
        <v>1353</v>
      </c>
      <c r="C1596" s="28" t="s">
        <v>684</v>
      </c>
      <c r="D1596" s="438" t="s">
        <v>7640</v>
      </c>
      <c r="E1596" s="361" t="str">
        <f t="shared" ca="1" si="75"/>
        <v>LOSS</v>
      </c>
      <c r="F1596" s="28"/>
      <c r="G1596" s="28" t="s">
        <v>7684</v>
      </c>
      <c r="H1596" s="28" t="s">
        <v>261</v>
      </c>
      <c r="I1596" s="361" t="s">
        <v>243</v>
      </c>
      <c r="J1596" s="28" t="s">
        <v>2661</v>
      </c>
      <c r="K1596" s="38" t="s">
        <v>7685</v>
      </c>
      <c r="L1596" s="53" t="s">
        <v>4749</v>
      </c>
      <c r="M1596" s="27" t="s">
        <v>329</v>
      </c>
      <c r="N1596" s="29" t="s">
        <v>354</v>
      </c>
      <c r="O1596" s="56"/>
      <c r="P1596" s="52">
        <v>30000000</v>
      </c>
      <c r="Q1596" s="52"/>
      <c r="R1596" s="56"/>
      <c r="S1596" s="32">
        <v>86400000</v>
      </c>
      <c r="T1596" s="33"/>
      <c r="U1596" s="334">
        <v>45170</v>
      </c>
      <c r="V1596" s="334">
        <v>45535</v>
      </c>
      <c r="W1596" s="27" t="s">
        <v>250</v>
      </c>
      <c r="X1596" s="27"/>
      <c r="Y1596" s="34">
        <f t="shared" ca="1" si="78"/>
        <v>46290</v>
      </c>
      <c r="Z1596" s="35">
        <f t="shared" ca="1" si="77"/>
        <v>-755</v>
      </c>
      <c r="AA1596" s="27">
        <f t="shared" si="79"/>
        <v>8</v>
      </c>
      <c r="AB1596" s="27">
        <f t="shared" si="80"/>
        <v>2024</v>
      </c>
      <c r="AC1596" s="28" t="s">
        <v>7686</v>
      </c>
      <c r="AD1596" s="28" t="s">
        <v>7687</v>
      </c>
      <c r="AE1596" s="27">
        <v>4500021029</v>
      </c>
      <c r="AF1596" s="27" t="s">
        <v>471</v>
      </c>
      <c r="AG1596" s="160" t="s">
        <v>633</v>
      </c>
      <c r="AH1596" s="174" t="s">
        <v>634</v>
      </c>
      <c r="AI1596" s="27"/>
      <c r="AJ1596" s="27"/>
      <c r="AK1596" s="27"/>
      <c r="AL1596" s="27"/>
      <c r="AM1596" s="27"/>
      <c r="AN1596" s="27"/>
      <c r="AO1596" s="27">
        <v>278</v>
      </c>
      <c r="AP1596" s="27"/>
      <c r="AQ1596" s="27"/>
      <c r="AR1596" s="504"/>
      <c r="AS1596" s="332"/>
      <c r="AT1596" s="160"/>
    </row>
    <row r="1597" spans="1:46" ht="21.75" hidden="1" customHeight="1">
      <c r="A1597" s="331">
        <v>1596</v>
      </c>
      <c r="B1597" s="28" t="s">
        <v>1353</v>
      </c>
      <c r="C1597" s="28" t="s">
        <v>2598</v>
      </c>
      <c r="D1597" s="437" t="s">
        <v>7640</v>
      </c>
      <c r="E1597" s="361" t="str">
        <f t="shared" ca="1" si="75"/>
        <v>LOSS</v>
      </c>
      <c r="F1597" s="29" t="s">
        <v>7688</v>
      </c>
      <c r="G1597" s="204" t="s">
        <v>7689</v>
      </c>
      <c r="H1597" s="28" t="s">
        <v>261</v>
      </c>
      <c r="I1597" s="361" t="s">
        <v>243</v>
      </c>
      <c r="J1597" s="28" t="s">
        <v>2599</v>
      </c>
      <c r="K1597" s="38" t="s">
        <v>7690</v>
      </c>
      <c r="L1597" s="51">
        <v>0.995</v>
      </c>
      <c r="M1597" s="27" t="s">
        <v>353</v>
      </c>
      <c r="N1597" s="27" t="s">
        <v>362</v>
      </c>
      <c r="O1597" s="56"/>
      <c r="P1597" s="61">
        <v>150586800</v>
      </c>
      <c r="Q1597" s="61"/>
      <c r="R1597" s="27"/>
      <c r="S1597" s="33">
        <v>147000000</v>
      </c>
      <c r="T1597" s="33"/>
      <c r="U1597" s="334">
        <v>45198</v>
      </c>
      <c r="V1597" s="334">
        <v>45563</v>
      </c>
      <c r="W1597" s="27" t="s">
        <v>250</v>
      </c>
      <c r="X1597" s="27"/>
      <c r="Y1597" s="34">
        <f t="shared" ca="1" si="78"/>
        <v>46290</v>
      </c>
      <c r="Z1597" s="35">
        <f t="shared" ca="1" si="77"/>
        <v>-727</v>
      </c>
      <c r="AA1597" s="27">
        <f t="shared" si="79"/>
        <v>9</v>
      </c>
      <c r="AB1597" s="27">
        <f t="shared" si="80"/>
        <v>2024</v>
      </c>
      <c r="AC1597" s="28">
        <v>4500018573</v>
      </c>
      <c r="AD1597" s="28">
        <v>1598</v>
      </c>
      <c r="AE1597" s="27">
        <v>4500021441</v>
      </c>
      <c r="AF1597" s="27" t="s">
        <v>471</v>
      </c>
      <c r="AG1597" s="160" t="s">
        <v>633</v>
      </c>
      <c r="AH1597" s="174" t="s">
        <v>634</v>
      </c>
      <c r="AI1597" s="27"/>
      <c r="AJ1597" s="27"/>
      <c r="AK1597" s="27"/>
      <c r="AL1597" s="27"/>
      <c r="AM1597" s="27"/>
      <c r="AN1597" s="27"/>
      <c r="AO1597" s="27">
        <v>286</v>
      </c>
      <c r="AP1597" s="27"/>
      <c r="AQ1597" s="27"/>
      <c r="AR1597" s="504"/>
      <c r="AS1597" s="332" t="s">
        <v>7691</v>
      </c>
      <c r="AT1597" s="160"/>
    </row>
    <row r="1598" spans="1:46" ht="21.75" hidden="1" customHeight="1">
      <c r="A1598" s="331">
        <v>1597</v>
      </c>
      <c r="B1598" s="28" t="s">
        <v>1353</v>
      </c>
      <c r="C1598" s="28" t="s">
        <v>7692</v>
      </c>
      <c r="D1598" s="438" t="s">
        <v>7640</v>
      </c>
      <c r="E1598" s="361" t="str">
        <f t="shared" ca="1" si="75"/>
        <v>LOSS</v>
      </c>
      <c r="F1598" s="28"/>
      <c r="G1598" s="28" t="s">
        <v>7693</v>
      </c>
      <c r="H1598" s="28" t="s">
        <v>261</v>
      </c>
      <c r="I1598" s="361" t="s">
        <v>243</v>
      </c>
      <c r="J1598" s="28" t="s">
        <v>7694</v>
      </c>
      <c r="K1598" s="38" t="s">
        <v>7695</v>
      </c>
      <c r="L1598" s="53">
        <v>0.995</v>
      </c>
      <c r="M1598" s="27" t="s">
        <v>353</v>
      </c>
      <c r="N1598" s="29" t="s">
        <v>406</v>
      </c>
      <c r="O1598" s="56"/>
      <c r="P1598" s="61">
        <v>114000000</v>
      </c>
      <c r="Q1598" s="61"/>
      <c r="R1598" s="56"/>
      <c r="S1598" s="33">
        <v>73710001</v>
      </c>
      <c r="T1598" s="33"/>
      <c r="U1598" s="334">
        <v>45190</v>
      </c>
      <c r="V1598" s="334">
        <v>45555</v>
      </c>
      <c r="W1598" s="27" t="s">
        <v>250</v>
      </c>
      <c r="X1598" s="27"/>
      <c r="Y1598" s="34">
        <f t="shared" ca="1" si="78"/>
        <v>46290</v>
      </c>
      <c r="Z1598" s="35">
        <f t="shared" ca="1" si="77"/>
        <v>-735</v>
      </c>
      <c r="AA1598" s="27">
        <f t="shared" si="79"/>
        <v>9</v>
      </c>
      <c r="AB1598" s="27">
        <f t="shared" si="80"/>
        <v>2024</v>
      </c>
      <c r="AC1598" s="28">
        <v>4500018568</v>
      </c>
      <c r="AD1598" s="28">
        <v>1164</v>
      </c>
      <c r="AE1598" s="27">
        <v>4500021243</v>
      </c>
      <c r="AF1598" s="27" t="s">
        <v>471</v>
      </c>
      <c r="AG1598" s="160" t="s">
        <v>633</v>
      </c>
      <c r="AH1598" s="174" t="s">
        <v>634</v>
      </c>
      <c r="AI1598" s="27"/>
      <c r="AJ1598" s="27"/>
      <c r="AK1598" s="27"/>
      <c r="AL1598" s="27"/>
      <c r="AM1598" s="27"/>
      <c r="AN1598" s="27"/>
      <c r="AO1598" s="27">
        <v>251</v>
      </c>
      <c r="AP1598" s="27"/>
      <c r="AQ1598" s="27"/>
      <c r="AR1598" s="504"/>
      <c r="AS1598" s="332"/>
      <c r="AT1598" s="160"/>
    </row>
    <row r="1599" spans="1:46" ht="21.75" hidden="1" customHeight="1">
      <c r="A1599" s="331">
        <v>1598</v>
      </c>
      <c r="B1599" s="28" t="s">
        <v>628</v>
      </c>
      <c r="C1599" s="28" t="s">
        <v>7696</v>
      </c>
      <c r="D1599" s="437" t="s">
        <v>7640</v>
      </c>
      <c r="E1599" s="361" t="str">
        <f t="shared" ca="1" si="75"/>
        <v>LOSS</v>
      </c>
      <c r="F1599" s="27"/>
      <c r="G1599" s="28" t="s">
        <v>7697</v>
      </c>
      <c r="H1599" s="28" t="s">
        <v>261</v>
      </c>
      <c r="I1599" s="361" t="s">
        <v>243</v>
      </c>
      <c r="J1599" s="28" t="s">
        <v>7698</v>
      </c>
      <c r="K1599" s="67" t="s">
        <v>7699</v>
      </c>
      <c r="L1599" s="53">
        <v>0.995</v>
      </c>
      <c r="M1599" s="27" t="s">
        <v>329</v>
      </c>
      <c r="N1599" s="29" t="s">
        <v>6649</v>
      </c>
      <c r="O1599" s="56"/>
      <c r="P1599" s="61">
        <v>1443846000</v>
      </c>
      <c r="Q1599" s="61"/>
      <c r="R1599" s="27"/>
      <c r="S1599" s="33">
        <v>4320000</v>
      </c>
      <c r="T1599" s="33"/>
      <c r="U1599" s="334">
        <v>44866</v>
      </c>
      <c r="V1599" s="334">
        <v>45230</v>
      </c>
      <c r="W1599" s="27" t="s">
        <v>245</v>
      </c>
      <c r="X1599" s="27"/>
      <c r="Y1599" s="34">
        <f t="shared" ca="1" si="78"/>
        <v>46290</v>
      </c>
      <c r="Z1599" s="35">
        <f t="shared" ca="1" si="77"/>
        <v>-1060</v>
      </c>
      <c r="AA1599" s="27">
        <f t="shared" si="79"/>
        <v>10</v>
      </c>
      <c r="AB1599" s="27">
        <f t="shared" si="80"/>
        <v>2023</v>
      </c>
      <c r="AC1599" s="28">
        <v>4500017491</v>
      </c>
      <c r="AD1599" s="28">
        <v>19786</v>
      </c>
      <c r="AE1599" s="27">
        <v>4500019221</v>
      </c>
      <c r="AF1599" s="27" t="s">
        <v>471</v>
      </c>
      <c r="AG1599" s="160" t="s">
        <v>633</v>
      </c>
      <c r="AH1599" s="174" t="s">
        <v>634</v>
      </c>
      <c r="AI1599" s="27"/>
      <c r="AJ1599" s="27"/>
      <c r="AK1599" s="27"/>
      <c r="AL1599" s="27"/>
      <c r="AM1599" s="27"/>
      <c r="AN1599" s="27"/>
      <c r="AO1599" s="27">
        <v>456</v>
      </c>
      <c r="AP1599" s="27"/>
      <c r="AQ1599" s="27"/>
      <c r="AR1599" s="504"/>
      <c r="AS1599" s="332"/>
      <c r="AT1599" s="160"/>
    </row>
    <row r="1600" spans="1:46" ht="21.75" hidden="1" customHeight="1">
      <c r="A1600" s="331">
        <v>1599</v>
      </c>
      <c r="B1600" s="28" t="s">
        <v>628</v>
      </c>
      <c r="C1600" s="28" t="s">
        <v>7700</v>
      </c>
      <c r="D1600" s="438" t="s">
        <v>7640</v>
      </c>
      <c r="E1600" s="361" t="str">
        <f t="shared" ca="1" si="75"/>
        <v>LOSS</v>
      </c>
      <c r="F1600" s="27"/>
      <c r="G1600" s="28" t="s">
        <v>7701</v>
      </c>
      <c r="H1600" s="28" t="s">
        <v>261</v>
      </c>
      <c r="I1600" s="361" t="s">
        <v>243</v>
      </c>
      <c r="J1600" s="28" t="s">
        <v>7702</v>
      </c>
      <c r="K1600" s="67" t="s">
        <v>7703</v>
      </c>
      <c r="L1600" s="53">
        <v>0.995</v>
      </c>
      <c r="M1600" s="27" t="s">
        <v>6776</v>
      </c>
      <c r="N1600" s="29" t="s">
        <v>396</v>
      </c>
      <c r="O1600" s="56"/>
      <c r="P1600" s="61"/>
      <c r="Q1600" s="61"/>
      <c r="R1600" s="27"/>
      <c r="S1600" s="33">
        <v>216000000</v>
      </c>
      <c r="T1600" s="33"/>
      <c r="U1600" s="334">
        <v>44866</v>
      </c>
      <c r="V1600" s="334">
        <v>45230</v>
      </c>
      <c r="W1600" s="27" t="s">
        <v>245</v>
      </c>
      <c r="X1600" s="27"/>
      <c r="Y1600" s="34">
        <f t="shared" ca="1" si="78"/>
        <v>46290</v>
      </c>
      <c r="Z1600" s="35">
        <f t="shared" ca="1" si="77"/>
        <v>-1060</v>
      </c>
      <c r="AA1600" s="27">
        <f t="shared" si="79"/>
        <v>10</v>
      </c>
      <c r="AB1600" s="27">
        <f t="shared" si="80"/>
        <v>2023</v>
      </c>
      <c r="AC1600" s="28">
        <v>4500017491</v>
      </c>
      <c r="AD1600" s="28">
        <v>19786</v>
      </c>
      <c r="AE1600" s="27">
        <v>4500019221</v>
      </c>
      <c r="AF1600" s="27" t="s">
        <v>471</v>
      </c>
      <c r="AG1600" s="160" t="s">
        <v>633</v>
      </c>
      <c r="AH1600" s="174" t="s">
        <v>634</v>
      </c>
      <c r="AI1600" s="27"/>
      <c r="AJ1600" s="27"/>
      <c r="AK1600" s="27"/>
      <c r="AL1600" s="27"/>
      <c r="AM1600" s="27"/>
      <c r="AN1600" s="27"/>
      <c r="AO1600" s="27">
        <v>456</v>
      </c>
      <c r="AP1600" s="27"/>
      <c r="AQ1600" s="27"/>
      <c r="AR1600" s="504"/>
      <c r="AS1600" s="332"/>
      <c r="AT1600" s="160"/>
    </row>
    <row r="1601" spans="1:46" ht="21.75" hidden="1" customHeight="1">
      <c r="A1601" s="331">
        <v>1600</v>
      </c>
      <c r="B1601" s="28" t="s">
        <v>628</v>
      </c>
      <c r="C1601" s="28" t="s">
        <v>7704</v>
      </c>
      <c r="D1601" s="437" t="s">
        <v>7640</v>
      </c>
      <c r="E1601" s="361" t="str">
        <f t="shared" ca="1" si="75"/>
        <v>LOSS</v>
      </c>
      <c r="F1601" s="27" t="s">
        <v>7705</v>
      </c>
      <c r="G1601" s="28" t="s">
        <v>7706</v>
      </c>
      <c r="H1601" s="28" t="s">
        <v>261</v>
      </c>
      <c r="I1601" s="361" t="s">
        <v>243</v>
      </c>
      <c r="J1601" s="28" t="s">
        <v>7707</v>
      </c>
      <c r="K1601" s="63" t="s">
        <v>7708</v>
      </c>
      <c r="L1601" s="53">
        <v>0.995</v>
      </c>
      <c r="M1601" s="27" t="s">
        <v>365</v>
      </c>
      <c r="N1601" s="29" t="s">
        <v>7709</v>
      </c>
      <c r="O1601" s="56"/>
      <c r="P1601" s="61"/>
      <c r="Q1601" s="61"/>
      <c r="R1601" s="27"/>
      <c r="S1601" s="33">
        <v>280800000</v>
      </c>
      <c r="T1601" s="33"/>
      <c r="U1601" s="334">
        <v>44866</v>
      </c>
      <c r="V1601" s="334">
        <v>45230</v>
      </c>
      <c r="W1601" s="27" t="s">
        <v>245</v>
      </c>
      <c r="X1601" s="27"/>
      <c r="Y1601" s="34">
        <f t="shared" ca="1" si="78"/>
        <v>46290</v>
      </c>
      <c r="Z1601" s="35">
        <f t="shared" ca="1" si="77"/>
        <v>-1060</v>
      </c>
      <c r="AA1601" s="27">
        <f t="shared" si="79"/>
        <v>10</v>
      </c>
      <c r="AB1601" s="27">
        <f t="shared" si="80"/>
        <v>2023</v>
      </c>
      <c r="AC1601" s="28">
        <v>4500017491</v>
      </c>
      <c r="AD1601" s="28">
        <v>19786</v>
      </c>
      <c r="AE1601" s="27">
        <v>4500019221</v>
      </c>
      <c r="AF1601" s="27" t="s">
        <v>471</v>
      </c>
      <c r="AG1601" s="160" t="s">
        <v>633</v>
      </c>
      <c r="AH1601" s="174" t="s">
        <v>634</v>
      </c>
      <c r="AI1601" s="27"/>
      <c r="AJ1601" s="27"/>
      <c r="AK1601" s="27"/>
      <c r="AL1601" s="27"/>
      <c r="AM1601" s="27"/>
      <c r="AN1601" s="27"/>
      <c r="AO1601" s="27">
        <v>456</v>
      </c>
      <c r="AP1601" s="27"/>
      <c r="AQ1601" s="27"/>
      <c r="AR1601" s="504"/>
      <c r="AS1601" s="332"/>
      <c r="AT1601" s="160"/>
    </row>
    <row r="1602" spans="1:46" ht="21.75" hidden="1" customHeight="1">
      <c r="A1602" s="331">
        <v>1601</v>
      </c>
      <c r="B1602" s="28" t="s">
        <v>1353</v>
      </c>
      <c r="C1602" s="28" t="s">
        <v>7710</v>
      </c>
      <c r="D1602" s="438" t="s">
        <v>7640</v>
      </c>
      <c r="E1602" s="361" t="str">
        <f t="shared" ref="E1602:E1665" ca="1" si="81">IF(Z1602&lt;=0, "LOSS",IF(Z1602&lt;=15, "CRITICAL",IF(Z1602&lt;=30, "WARNING",IF(Z1602&lt;60, "ATTENTION", "ON TRACK"))))</f>
        <v>LOSS</v>
      </c>
      <c r="F1602" s="29" t="s">
        <v>7711</v>
      </c>
      <c r="G1602" s="28" t="s">
        <v>7711</v>
      </c>
      <c r="H1602" s="29" t="s">
        <v>2748</v>
      </c>
      <c r="I1602" s="29" t="s">
        <v>346</v>
      </c>
      <c r="J1602" s="28" t="s">
        <v>7712</v>
      </c>
      <c r="K1602" s="28"/>
      <c r="L1602" s="48" t="s">
        <v>115</v>
      </c>
      <c r="M1602" s="48" t="s">
        <v>115</v>
      </c>
      <c r="N1602" s="36" t="s">
        <v>115</v>
      </c>
      <c r="O1602" s="196"/>
      <c r="P1602" s="31">
        <f>12*27200000</f>
        <v>326400000</v>
      </c>
      <c r="Q1602" s="31"/>
      <c r="R1602" s="48"/>
      <c r="S1602" s="32">
        <v>120000000</v>
      </c>
      <c r="T1602" s="33"/>
      <c r="U1602" s="334">
        <v>44743</v>
      </c>
      <c r="V1602" s="334">
        <v>45473</v>
      </c>
      <c r="W1602" s="27" t="s">
        <v>17</v>
      </c>
      <c r="X1602" s="27" t="s">
        <v>7713</v>
      </c>
      <c r="Y1602" s="34">
        <f t="shared" ca="1" si="78"/>
        <v>46290</v>
      </c>
      <c r="Z1602" s="35">
        <f t="shared" ca="1" si="77"/>
        <v>-817</v>
      </c>
      <c r="AA1602" s="27">
        <f t="shared" si="79"/>
        <v>6</v>
      </c>
      <c r="AB1602" s="27">
        <f t="shared" si="80"/>
        <v>2024</v>
      </c>
      <c r="AC1602" s="28">
        <v>4500016843</v>
      </c>
      <c r="AD1602" s="28">
        <v>2175</v>
      </c>
      <c r="AE1602" s="27">
        <v>4500021833</v>
      </c>
      <c r="AF1602" s="27" t="s">
        <v>339</v>
      </c>
      <c r="AG1602" s="160" t="s">
        <v>633</v>
      </c>
      <c r="AH1602" s="174" t="s">
        <v>634</v>
      </c>
      <c r="AI1602" s="27"/>
      <c r="AJ1602" s="27"/>
      <c r="AK1602" s="27"/>
      <c r="AL1602" s="27"/>
      <c r="AM1602" s="27"/>
      <c r="AN1602" s="27"/>
      <c r="AO1602" s="27" t="s">
        <v>7714</v>
      </c>
      <c r="AP1602" s="27"/>
      <c r="AQ1602" s="27"/>
      <c r="AR1602" s="504"/>
      <c r="AS1602" s="332"/>
      <c r="AT1602" s="160"/>
    </row>
    <row r="1603" spans="1:46" ht="21.75" hidden="1" customHeight="1">
      <c r="A1603" s="331">
        <v>1602</v>
      </c>
      <c r="B1603" s="28" t="s">
        <v>1009</v>
      </c>
      <c r="C1603" s="28" t="s">
        <v>7715</v>
      </c>
      <c r="D1603" s="434" t="s">
        <v>1010</v>
      </c>
      <c r="E1603" s="361" t="str">
        <f t="shared" ca="1" si="81"/>
        <v>LOSS</v>
      </c>
      <c r="F1603" s="29" t="s">
        <v>7716</v>
      </c>
      <c r="G1603" s="28"/>
      <c r="H1603" s="29" t="s">
        <v>2748</v>
      </c>
      <c r="I1603" s="160" t="s">
        <v>346</v>
      </c>
      <c r="J1603" s="28" t="s">
        <v>7717</v>
      </c>
      <c r="K1603" s="28"/>
      <c r="L1603" s="27"/>
      <c r="M1603" s="27"/>
      <c r="N1603" s="29"/>
      <c r="O1603" s="56"/>
      <c r="P1603" s="31">
        <v>582000000</v>
      </c>
      <c r="Q1603" s="31"/>
      <c r="R1603" s="27"/>
      <c r="S1603" s="32">
        <v>48000000</v>
      </c>
      <c r="T1603" s="33"/>
      <c r="U1603" s="334">
        <v>45292</v>
      </c>
      <c r="V1603" s="334">
        <v>45657</v>
      </c>
      <c r="W1603" s="27" t="s">
        <v>250</v>
      </c>
      <c r="X1603" s="27"/>
      <c r="Y1603" s="34">
        <f t="shared" ca="1" si="78"/>
        <v>46290</v>
      </c>
      <c r="Z1603" s="35">
        <f t="shared" ca="1" si="77"/>
        <v>-633</v>
      </c>
      <c r="AA1603" s="27">
        <f t="shared" si="79"/>
        <v>12</v>
      </c>
      <c r="AB1603" s="27">
        <f t="shared" si="80"/>
        <v>2024</v>
      </c>
      <c r="AC1603" s="28" t="s">
        <v>7718</v>
      </c>
      <c r="AD1603" s="28">
        <v>3002</v>
      </c>
      <c r="AE1603" s="27">
        <v>4500022522</v>
      </c>
      <c r="AF1603" s="27" t="s">
        <v>339</v>
      </c>
      <c r="AG1603" s="29" t="s">
        <v>7719</v>
      </c>
      <c r="AH1603" s="28" t="s">
        <v>7720</v>
      </c>
      <c r="AI1603" s="27"/>
      <c r="AJ1603" s="27" t="s">
        <v>7721</v>
      </c>
      <c r="AK1603" s="27" t="s">
        <v>7722</v>
      </c>
      <c r="AL1603" s="27" t="s">
        <v>7723</v>
      </c>
      <c r="AM1603" s="27" t="s">
        <v>7724</v>
      </c>
      <c r="AN1603" s="27"/>
      <c r="AO1603" s="27"/>
      <c r="AP1603" s="27" t="s">
        <v>7725</v>
      </c>
      <c r="AQ1603" s="27"/>
      <c r="AR1603" s="504"/>
      <c r="AS1603" s="333" t="s">
        <v>115</v>
      </c>
      <c r="AT1603" s="160"/>
    </row>
    <row r="1604" spans="1:46" ht="21.75" hidden="1" customHeight="1">
      <c r="A1604" s="331">
        <v>1603</v>
      </c>
      <c r="B1604" s="28" t="s">
        <v>7726</v>
      </c>
      <c r="C1604" s="28" t="s">
        <v>7727</v>
      </c>
      <c r="D1604" s="438" t="s">
        <v>7728</v>
      </c>
      <c r="E1604" s="361" t="str">
        <f t="shared" ca="1" si="81"/>
        <v>LOSS</v>
      </c>
      <c r="F1604" s="29"/>
      <c r="G1604" s="28" t="s">
        <v>7729</v>
      </c>
      <c r="H1604" s="29" t="s">
        <v>2748</v>
      </c>
      <c r="I1604" s="29" t="s">
        <v>242</v>
      </c>
      <c r="J1604" s="28" t="s">
        <v>2638</v>
      </c>
      <c r="K1604" s="28"/>
      <c r="L1604" s="27"/>
      <c r="M1604" s="27"/>
      <c r="N1604" s="29"/>
      <c r="O1604" s="56"/>
      <c r="P1604" s="31">
        <f>12*2150000</f>
        <v>25800000</v>
      </c>
      <c r="Q1604" s="31"/>
      <c r="R1604" s="30"/>
      <c r="S1604" s="32">
        <v>3600000</v>
      </c>
      <c r="T1604" s="33"/>
      <c r="U1604" s="334">
        <v>44720</v>
      </c>
      <c r="V1604" s="334">
        <v>45084</v>
      </c>
      <c r="W1604" s="27" t="s">
        <v>245</v>
      </c>
      <c r="X1604" s="27"/>
      <c r="Y1604" s="34">
        <f t="shared" ca="1" si="78"/>
        <v>46290</v>
      </c>
      <c r="Z1604" s="35">
        <f t="shared" ca="1" si="77"/>
        <v>-1206</v>
      </c>
      <c r="AA1604" s="27">
        <f t="shared" si="79"/>
        <v>6</v>
      </c>
      <c r="AB1604" s="27">
        <f t="shared" si="80"/>
        <v>2023</v>
      </c>
      <c r="AC1604" s="28" t="s">
        <v>479</v>
      </c>
      <c r="AD1604" s="28" t="s">
        <v>2639</v>
      </c>
      <c r="AE1604" s="27">
        <v>4500018075</v>
      </c>
      <c r="AF1604" s="27" t="s">
        <v>339</v>
      </c>
      <c r="AG1604" s="29"/>
      <c r="AH1604" s="28"/>
      <c r="AI1604" s="27"/>
      <c r="AJ1604" s="27"/>
      <c r="AK1604" s="27"/>
      <c r="AL1604" s="27"/>
      <c r="AM1604" s="27"/>
      <c r="AN1604" s="27" t="s">
        <v>7730</v>
      </c>
      <c r="AO1604" s="27"/>
      <c r="AP1604" s="27"/>
      <c r="AQ1604" s="27"/>
      <c r="AR1604" s="504"/>
      <c r="AS1604" s="332" t="s">
        <v>7731</v>
      </c>
      <c r="AT1604" s="160"/>
    </row>
    <row r="1605" spans="1:46" ht="21.75" hidden="1" customHeight="1">
      <c r="A1605" s="331">
        <v>1604</v>
      </c>
      <c r="B1605" s="28" t="s">
        <v>2601</v>
      </c>
      <c r="C1605" s="28" t="s">
        <v>7732</v>
      </c>
      <c r="D1605" s="437" t="s">
        <v>7733</v>
      </c>
      <c r="E1605" s="361" t="str">
        <f t="shared" ca="1" si="81"/>
        <v>LOSS</v>
      </c>
      <c r="F1605" s="29"/>
      <c r="G1605" s="28" t="s">
        <v>7733</v>
      </c>
      <c r="H1605" s="29" t="s">
        <v>2748</v>
      </c>
      <c r="I1605" s="29" t="s">
        <v>346</v>
      </c>
      <c r="J1605" s="28" t="s">
        <v>7734</v>
      </c>
      <c r="K1605" s="28"/>
      <c r="L1605" s="27"/>
      <c r="M1605" s="27"/>
      <c r="N1605" s="29"/>
      <c r="O1605" s="56"/>
      <c r="P1605" s="31">
        <f>12*16000000</f>
        <v>192000000</v>
      </c>
      <c r="Q1605" s="31"/>
      <c r="R1605" s="27"/>
      <c r="S1605" s="32">
        <v>18000000</v>
      </c>
      <c r="T1605" s="33"/>
      <c r="U1605" s="334">
        <v>45017</v>
      </c>
      <c r="V1605" s="334">
        <v>45382</v>
      </c>
      <c r="W1605" s="27" t="s">
        <v>17</v>
      </c>
      <c r="X1605" s="27"/>
      <c r="Y1605" s="34">
        <f t="shared" ca="1" si="78"/>
        <v>46290</v>
      </c>
      <c r="Z1605" s="35">
        <f t="shared" ref="Z1605:Z1668" ca="1" si="82">V1605-Y1605</f>
        <v>-908</v>
      </c>
      <c r="AA1605" s="27">
        <f t="shared" si="79"/>
        <v>3</v>
      </c>
      <c r="AB1605" s="27">
        <f t="shared" si="80"/>
        <v>2024</v>
      </c>
      <c r="AC1605" s="28" t="s">
        <v>479</v>
      </c>
      <c r="AD1605" s="28" t="s">
        <v>7735</v>
      </c>
      <c r="AE1605" s="27">
        <v>4500020198</v>
      </c>
      <c r="AF1605" s="27" t="s">
        <v>339</v>
      </c>
      <c r="AG1605" s="29"/>
      <c r="AH1605" s="28"/>
      <c r="AI1605" s="27"/>
      <c r="AJ1605" s="27"/>
      <c r="AK1605" s="27"/>
      <c r="AL1605" s="27"/>
      <c r="AM1605" s="27"/>
      <c r="AN1605" s="27"/>
      <c r="AO1605" s="27" t="s">
        <v>7736</v>
      </c>
      <c r="AP1605" s="27"/>
      <c r="AQ1605" s="27"/>
      <c r="AR1605" s="504"/>
      <c r="AS1605" s="332" t="s">
        <v>7737</v>
      </c>
      <c r="AT1605" s="160"/>
    </row>
    <row r="1606" spans="1:46" ht="21.75" hidden="1" customHeight="1">
      <c r="A1606" s="331">
        <v>1605</v>
      </c>
      <c r="B1606" s="28" t="s">
        <v>2601</v>
      </c>
      <c r="C1606" s="28" t="s">
        <v>7738</v>
      </c>
      <c r="D1606" s="438" t="s">
        <v>7739</v>
      </c>
      <c r="E1606" s="361" t="str">
        <f t="shared" ca="1" si="81"/>
        <v>LOSS</v>
      </c>
      <c r="F1606" s="28" t="s">
        <v>7740</v>
      </c>
      <c r="G1606" s="28" t="s">
        <v>7741</v>
      </c>
      <c r="H1606" s="28" t="s">
        <v>261</v>
      </c>
      <c r="I1606" s="361" t="s">
        <v>243</v>
      </c>
      <c r="J1606" s="28" t="s">
        <v>7742</v>
      </c>
      <c r="K1606" s="36" t="s">
        <v>7743</v>
      </c>
      <c r="L1606" s="60">
        <v>0.995</v>
      </c>
      <c r="M1606" s="27" t="s">
        <v>365</v>
      </c>
      <c r="N1606" s="29" t="s">
        <v>373</v>
      </c>
      <c r="O1606" s="56"/>
      <c r="P1606" s="52">
        <f>34000000*12</f>
        <v>408000000</v>
      </c>
      <c r="Q1606" s="31"/>
      <c r="R1606" s="27"/>
      <c r="S1606" s="32">
        <v>10290323</v>
      </c>
      <c r="T1606" s="33"/>
      <c r="U1606" s="334">
        <v>44896</v>
      </c>
      <c r="V1606" s="334">
        <v>45260</v>
      </c>
      <c r="W1606" s="27" t="s">
        <v>250</v>
      </c>
      <c r="X1606" s="27"/>
      <c r="Y1606" s="34">
        <f t="shared" ca="1" si="78"/>
        <v>46290</v>
      </c>
      <c r="Z1606" s="35">
        <f t="shared" ca="1" si="82"/>
        <v>-1030</v>
      </c>
      <c r="AA1606" s="27">
        <f t="shared" si="79"/>
        <v>11</v>
      </c>
      <c r="AB1606" s="27">
        <v>2023</v>
      </c>
      <c r="AC1606" s="28">
        <v>4500018546</v>
      </c>
      <c r="AD1606" s="28" t="s">
        <v>7744</v>
      </c>
      <c r="AE1606" s="27">
        <v>4500019515</v>
      </c>
      <c r="AF1606" s="27" t="s">
        <v>471</v>
      </c>
      <c r="AG1606" s="29" t="s">
        <v>7745</v>
      </c>
      <c r="AH1606" s="29" t="s">
        <v>7746</v>
      </c>
      <c r="AI1606" s="27"/>
      <c r="AJ1606" s="27"/>
      <c r="AK1606" s="27"/>
      <c r="AL1606" s="27"/>
      <c r="AM1606" s="27"/>
      <c r="AN1606" s="27">
        <v>269</v>
      </c>
      <c r="AO1606" s="27"/>
      <c r="AP1606" s="27"/>
      <c r="AQ1606" s="27"/>
      <c r="AR1606" s="504"/>
      <c r="AS1606" s="332"/>
      <c r="AT1606" s="160"/>
    </row>
    <row r="1607" spans="1:46" ht="21.75" hidden="1" customHeight="1">
      <c r="A1607" s="331">
        <v>1606</v>
      </c>
      <c r="B1607" s="28" t="s">
        <v>2601</v>
      </c>
      <c r="C1607" s="28" t="s">
        <v>7738</v>
      </c>
      <c r="D1607" s="437" t="s">
        <v>7739</v>
      </c>
      <c r="E1607" s="361" t="str">
        <f t="shared" ca="1" si="81"/>
        <v>LOSS</v>
      </c>
      <c r="F1607" s="28" t="s">
        <v>7740</v>
      </c>
      <c r="G1607" s="28" t="s">
        <v>7741</v>
      </c>
      <c r="H1607" s="28" t="s">
        <v>261</v>
      </c>
      <c r="I1607" s="361" t="s">
        <v>243</v>
      </c>
      <c r="J1607" s="28" t="s">
        <v>7747</v>
      </c>
      <c r="K1607" s="36" t="s">
        <v>7748</v>
      </c>
      <c r="L1607" s="60">
        <v>0.995</v>
      </c>
      <c r="M1607" s="27" t="s">
        <v>7749</v>
      </c>
      <c r="N1607" s="29" t="s">
        <v>7750</v>
      </c>
      <c r="O1607" s="56"/>
      <c r="P1607" s="52">
        <f>34000000*12</f>
        <v>408000000</v>
      </c>
      <c r="Q1607" s="31"/>
      <c r="R1607" s="27"/>
      <c r="S1607" s="32">
        <v>16300010</v>
      </c>
      <c r="T1607" s="33"/>
      <c r="U1607" s="334">
        <v>45104</v>
      </c>
      <c r="V1607" s="334">
        <v>45469</v>
      </c>
      <c r="W1607" s="27" t="s">
        <v>250</v>
      </c>
      <c r="X1607" s="27"/>
      <c r="Y1607" s="34">
        <f t="shared" ca="1" si="78"/>
        <v>46290</v>
      </c>
      <c r="Z1607" s="35">
        <f t="shared" ca="1" si="82"/>
        <v>-821</v>
      </c>
      <c r="AA1607" s="27">
        <f t="shared" si="79"/>
        <v>6</v>
      </c>
      <c r="AB1607" s="27">
        <v>2024</v>
      </c>
      <c r="AC1607" s="28">
        <v>4500019515</v>
      </c>
      <c r="AD1607" s="28" t="s">
        <v>7751</v>
      </c>
      <c r="AE1607" s="27">
        <v>4500020849</v>
      </c>
      <c r="AF1607" s="27" t="s">
        <v>7752</v>
      </c>
      <c r="AG1607" s="29" t="s">
        <v>7745</v>
      </c>
      <c r="AH1607" s="29" t="s">
        <v>7746</v>
      </c>
      <c r="AI1607" s="27"/>
      <c r="AJ1607" s="27"/>
      <c r="AK1607" s="27"/>
      <c r="AL1607" s="27"/>
      <c r="AM1607" s="27"/>
      <c r="AN1607" s="27"/>
      <c r="AO1607" s="27">
        <v>163</v>
      </c>
      <c r="AP1607" s="27"/>
      <c r="AQ1607" s="27"/>
      <c r="AR1607" s="504"/>
      <c r="AS1607" s="332"/>
      <c r="AT1607" s="160"/>
    </row>
    <row r="1608" spans="1:46" ht="21.75" hidden="1" customHeight="1">
      <c r="A1608" s="331">
        <v>1607</v>
      </c>
      <c r="B1608" s="28" t="s">
        <v>2601</v>
      </c>
      <c r="C1608" s="28" t="s">
        <v>7738</v>
      </c>
      <c r="D1608" s="438" t="s">
        <v>7739</v>
      </c>
      <c r="E1608" s="361" t="str">
        <f t="shared" ca="1" si="81"/>
        <v>LOSS</v>
      </c>
      <c r="F1608" s="28" t="s">
        <v>7740</v>
      </c>
      <c r="G1608" s="28" t="s">
        <v>7741</v>
      </c>
      <c r="H1608" s="28" t="s">
        <v>261</v>
      </c>
      <c r="I1608" s="361" t="s">
        <v>243</v>
      </c>
      <c r="J1608" s="28" t="s">
        <v>7753</v>
      </c>
      <c r="K1608" s="38" t="s">
        <v>7754</v>
      </c>
      <c r="L1608" s="60">
        <v>0.995</v>
      </c>
      <c r="M1608" s="27" t="s">
        <v>7306</v>
      </c>
      <c r="N1608" s="29" t="s">
        <v>373</v>
      </c>
      <c r="O1608" s="56"/>
      <c r="P1608" s="52">
        <f>34000000*12</f>
        <v>408000000</v>
      </c>
      <c r="Q1608" s="52"/>
      <c r="R1608" s="56"/>
      <c r="S1608" s="32">
        <f>1500000*12</f>
        <v>18000000</v>
      </c>
      <c r="T1608" s="33"/>
      <c r="U1608" s="334">
        <v>45470</v>
      </c>
      <c r="V1608" s="334">
        <v>45834</v>
      </c>
      <c r="W1608" s="27" t="s">
        <v>245</v>
      </c>
      <c r="X1608" s="27"/>
      <c r="Y1608" s="34">
        <f t="shared" ca="1" si="78"/>
        <v>46290</v>
      </c>
      <c r="Z1608" s="35">
        <f t="shared" ca="1" si="82"/>
        <v>-456</v>
      </c>
      <c r="AA1608" s="27">
        <f t="shared" si="79"/>
        <v>6</v>
      </c>
      <c r="AB1608" s="27">
        <f t="shared" ref="AB1608:AB1671" si="83">YEAR(V1608)</f>
        <v>2025</v>
      </c>
      <c r="AC1608" s="28">
        <v>4500020849</v>
      </c>
      <c r="AD1608" s="28" t="s">
        <v>7755</v>
      </c>
      <c r="AE1608" s="27">
        <v>4500022925</v>
      </c>
      <c r="AF1608" s="27" t="s">
        <v>471</v>
      </c>
      <c r="AG1608" s="29" t="s">
        <v>7745</v>
      </c>
      <c r="AH1608" s="29" t="s">
        <v>7746</v>
      </c>
      <c r="AI1608" s="27"/>
      <c r="AJ1608" s="27"/>
      <c r="AK1608" s="27"/>
      <c r="AL1608" s="27"/>
      <c r="AM1608" s="27"/>
      <c r="AN1608" s="27"/>
      <c r="AO1608" s="27"/>
      <c r="AP1608" s="27">
        <v>194</v>
      </c>
      <c r="AQ1608" s="27"/>
      <c r="AR1608" s="504"/>
      <c r="AS1608" s="332" t="s">
        <v>7756</v>
      </c>
      <c r="AT1608" s="160"/>
    </row>
    <row r="1609" spans="1:46" ht="21.75" hidden="1" customHeight="1">
      <c r="A1609" s="331">
        <v>1608</v>
      </c>
      <c r="B1609" s="28" t="s">
        <v>2601</v>
      </c>
      <c r="C1609" s="28" t="s">
        <v>7757</v>
      </c>
      <c r="D1609" s="437" t="s">
        <v>7739</v>
      </c>
      <c r="E1609" s="361" t="str">
        <f t="shared" ca="1" si="81"/>
        <v>LOSS</v>
      </c>
      <c r="F1609" s="29" t="s">
        <v>5880</v>
      </c>
      <c r="G1609" s="28" t="s">
        <v>3162</v>
      </c>
      <c r="H1609" s="29" t="s">
        <v>2748</v>
      </c>
      <c r="I1609" s="29" t="s">
        <v>242</v>
      </c>
      <c r="J1609" s="28" t="s">
        <v>7758</v>
      </c>
      <c r="K1609" s="28"/>
      <c r="L1609" s="27"/>
      <c r="M1609" s="27"/>
      <c r="N1609" s="29"/>
      <c r="O1609" s="56"/>
      <c r="P1609" s="31">
        <f>2500000*12</f>
        <v>30000000</v>
      </c>
      <c r="Q1609" s="31"/>
      <c r="R1609" s="27"/>
      <c r="S1609" s="32">
        <v>1000000</v>
      </c>
      <c r="T1609" s="33"/>
      <c r="U1609" s="334">
        <v>45265</v>
      </c>
      <c r="V1609" s="334">
        <v>45630</v>
      </c>
      <c r="W1609" s="27" t="s">
        <v>250</v>
      </c>
      <c r="X1609" s="27"/>
      <c r="Y1609" s="34">
        <f t="shared" ca="1" si="78"/>
        <v>46290</v>
      </c>
      <c r="Z1609" s="35">
        <f t="shared" ca="1" si="82"/>
        <v>-660</v>
      </c>
      <c r="AA1609" s="27">
        <f t="shared" si="79"/>
        <v>12</v>
      </c>
      <c r="AB1609" s="27">
        <f t="shared" si="83"/>
        <v>2024</v>
      </c>
      <c r="AC1609" s="28" t="s">
        <v>479</v>
      </c>
      <c r="AD1609" s="28">
        <v>1915</v>
      </c>
      <c r="AE1609" s="27">
        <v>4500021661</v>
      </c>
      <c r="AF1609" s="27" t="s">
        <v>339</v>
      </c>
      <c r="AG1609" s="29"/>
      <c r="AH1609" s="28"/>
      <c r="AI1609" s="27"/>
      <c r="AJ1609" s="27"/>
      <c r="AK1609" s="27"/>
      <c r="AL1609" s="27"/>
      <c r="AM1609" s="27"/>
      <c r="AN1609" s="27"/>
      <c r="AO1609" s="27" t="s">
        <v>7759</v>
      </c>
      <c r="AP1609" s="27"/>
      <c r="AQ1609" s="27"/>
      <c r="AR1609" s="504"/>
      <c r="AS1609" s="332"/>
      <c r="AT1609" s="160"/>
    </row>
    <row r="1610" spans="1:46" ht="21.75" hidden="1" customHeight="1">
      <c r="A1610" s="331">
        <v>1609</v>
      </c>
      <c r="B1610" s="28" t="s">
        <v>215</v>
      </c>
      <c r="C1610" s="28" t="s">
        <v>2501</v>
      </c>
      <c r="D1610" s="438" t="s">
        <v>7760</v>
      </c>
      <c r="E1610" s="361" t="str">
        <f t="shared" ca="1" si="81"/>
        <v>LOSS</v>
      </c>
      <c r="F1610" s="36" t="s">
        <v>115</v>
      </c>
      <c r="G1610" s="28" t="s">
        <v>7761</v>
      </c>
      <c r="H1610" s="29" t="s">
        <v>2748</v>
      </c>
      <c r="I1610" s="29" t="s">
        <v>242</v>
      </c>
      <c r="J1610" s="28" t="s">
        <v>216</v>
      </c>
      <c r="K1610" s="28"/>
      <c r="L1610" s="27"/>
      <c r="M1610" s="27"/>
      <c r="N1610" s="29"/>
      <c r="O1610" s="56"/>
      <c r="P1610" s="31">
        <f>12*11000000</f>
        <v>132000000</v>
      </c>
      <c r="Q1610" s="31"/>
      <c r="R1610" s="27"/>
      <c r="S1610" s="32">
        <v>12000000</v>
      </c>
      <c r="T1610" s="33"/>
      <c r="U1610" s="334">
        <v>45372</v>
      </c>
      <c r="V1610" s="334">
        <v>45736</v>
      </c>
      <c r="W1610" s="27" t="s">
        <v>250</v>
      </c>
      <c r="X1610" s="27"/>
      <c r="Y1610" s="34">
        <f t="shared" ca="1" si="78"/>
        <v>46290</v>
      </c>
      <c r="Z1610" s="35">
        <f t="shared" ca="1" si="82"/>
        <v>-554</v>
      </c>
      <c r="AA1610" s="27">
        <f t="shared" si="79"/>
        <v>3</v>
      </c>
      <c r="AB1610" s="27">
        <f t="shared" si="83"/>
        <v>2025</v>
      </c>
      <c r="AC1610" s="28" t="s">
        <v>7762</v>
      </c>
      <c r="AD1610" s="28">
        <v>2563</v>
      </c>
      <c r="AE1610" s="27">
        <v>4500022243</v>
      </c>
      <c r="AF1610" s="27" t="s">
        <v>339</v>
      </c>
      <c r="AG1610" s="29" t="s">
        <v>7763</v>
      </c>
      <c r="AH1610" s="28" t="s">
        <v>7764</v>
      </c>
      <c r="AI1610" s="27"/>
      <c r="AJ1610" s="27"/>
      <c r="AK1610" s="27"/>
      <c r="AL1610" s="27"/>
      <c r="AM1610" s="27"/>
      <c r="AN1610" s="27" t="s">
        <v>7765</v>
      </c>
      <c r="AO1610" s="27" t="s">
        <v>7766</v>
      </c>
      <c r="AP1610" s="27" t="s">
        <v>7767</v>
      </c>
      <c r="AQ1610" s="27"/>
      <c r="AR1610" s="504"/>
      <c r="AS1610" s="332" t="s">
        <v>7768</v>
      </c>
      <c r="AT1610" s="160"/>
    </row>
    <row r="1611" spans="1:46" ht="21.75" hidden="1" customHeight="1">
      <c r="A1611" s="331">
        <v>1610</v>
      </c>
      <c r="B1611" s="28" t="s">
        <v>215</v>
      </c>
      <c r="C1611" s="28" t="s">
        <v>3867</v>
      </c>
      <c r="D1611" s="437" t="s">
        <v>7760</v>
      </c>
      <c r="E1611" s="361" t="str">
        <f t="shared" ca="1" si="81"/>
        <v>LOSS</v>
      </c>
      <c r="F1611" s="29" t="s">
        <v>3868</v>
      </c>
      <c r="G1611" s="28" t="s">
        <v>7769</v>
      </c>
      <c r="H1611" s="29" t="s">
        <v>2748</v>
      </c>
      <c r="I1611" s="29" t="s">
        <v>242</v>
      </c>
      <c r="J1611" s="28" t="s">
        <v>3870</v>
      </c>
      <c r="K1611" s="28"/>
      <c r="L1611" s="27"/>
      <c r="M1611" s="27"/>
      <c r="N1611" s="29"/>
      <c r="O1611" s="56"/>
      <c r="P1611" s="31">
        <v>148800000</v>
      </c>
      <c r="Q1611" s="31"/>
      <c r="R1611" s="27"/>
      <c r="S1611" s="32">
        <v>12000000</v>
      </c>
      <c r="T1611" s="33"/>
      <c r="U1611" s="334">
        <v>45245</v>
      </c>
      <c r="V1611" s="334">
        <v>45610</v>
      </c>
      <c r="W1611" s="27" t="s">
        <v>250</v>
      </c>
      <c r="X1611" s="27"/>
      <c r="Y1611" s="34">
        <f t="shared" ref="Y1611:Y1674" ca="1" si="84">TODAY()</f>
        <v>46290</v>
      </c>
      <c r="Z1611" s="35">
        <f t="shared" ca="1" si="82"/>
        <v>-680</v>
      </c>
      <c r="AA1611" s="27">
        <f t="shared" si="79"/>
        <v>11</v>
      </c>
      <c r="AB1611" s="27">
        <f t="shared" si="83"/>
        <v>2024</v>
      </c>
      <c r="AC1611" s="28" t="s">
        <v>479</v>
      </c>
      <c r="AD1611" s="28" t="s">
        <v>7770</v>
      </c>
      <c r="AE1611" s="27">
        <v>4500021704</v>
      </c>
      <c r="AF1611" s="27" t="s">
        <v>339</v>
      </c>
      <c r="AG1611" s="29" t="s">
        <v>7763</v>
      </c>
      <c r="AH1611" s="28" t="s">
        <v>7764</v>
      </c>
      <c r="AI1611" s="27"/>
      <c r="AJ1611" s="27"/>
      <c r="AK1611" s="27"/>
      <c r="AL1611" s="27"/>
      <c r="AM1611" s="27"/>
      <c r="AN1611" s="27"/>
      <c r="AO1611" s="27" t="s">
        <v>7771</v>
      </c>
      <c r="AP1611" s="27"/>
      <c r="AQ1611" s="27"/>
      <c r="AR1611" s="504"/>
      <c r="AS1611" s="332" t="s">
        <v>7772</v>
      </c>
      <c r="AT1611" s="160"/>
    </row>
    <row r="1612" spans="1:46" ht="21.75" hidden="1" customHeight="1">
      <c r="A1612" s="331">
        <v>1611</v>
      </c>
      <c r="B1612" s="28" t="s">
        <v>7773</v>
      </c>
      <c r="C1612" s="28" t="s">
        <v>7774</v>
      </c>
      <c r="D1612" s="438" t="s">
        <v>7775</v>
      </c>
      <c r="E1612" s="361" t="str">
        <f t="shared" ca="1" si="81"/>
        <v>LOSS</v>
      </c>
      <c r="F1612" s="29"/>
      <c r="G1612" s="28" t="s">
        <v>7776</v>
      </c>
      <c r="H1612" s="29" t="s">
        <v>2748</v>
      </c>
      <c r="I1612" s="29" t="s">
        <v>346</v>
      </c>
      <c r="J1612" s="28" t="s">
        <v>7777</v>
      </c>
      <c r="K1612" s="28"/>
      <c r="L1612" s="27"/>
      <c r="M1612" s="27"/>
      <c r="N1612" s="29"/>
      <c r="O1612" s="56"/>
      <c r="P1612" s="31">
        <v>116298000</v>
      </c>
      <c r="Q1612" s="31"/>
      <c r="R1612" s="27"/>
      <c r="S1612" s="32">
        <v>6600000</v>
      </c>
      <c r="T1612" s="33"/>
      <c r="U1612" s="334">
        <v>44543</v>
      </c>
      <c r="V1612" s="334">
        <v>44907</v>
      </c>
      <c r="W1612" s="27" t="s">
        <v>245</v>
      </c>
      <c r="X1612" s="27"/>
      <c r="Y1612" s="34">
        <f t="shared" ca="1" si="84"/>
        <v>46290</v>
      </c>
      <c r="Z1612" s="35">
        <f t="shared" ca="1" si="82"/>
        <v>-1383</v>
      </c>
      <c r="AA1612" s="27">
        <f t="shared" ref="AA1612:AA1675" si="85">MONTH(V1612)</f>
        <v>12</v>
      </c>
      <c r="AB1612" s="27">
        <f t="shared" si="83"/>
        <v>2022</v>
      </c>
      <c r="AC1612" s="28" t="s">
        <v>7778</v>
      </c>
      <c r="AD1612" s="28" t="s">
        <v>7779</v>
      </c>
      <c r="AE1612" s="27">
        <v>4500017226</v>
      </c>
      <c r="AF1612" s="27" t="s">
        <v>339</v>
      </c>
      <c r="AG1612" s="29" t="s">
        <v>7780</v>
      </c>
      <c r="AH1612" s="28" t="s">
        <v>7781</v>
      </c>
      <c r="AI1612" s="27">
        <v>22</v>
      </c>
      <c r="AJ1612" s="27" t="s">
        <v>7782</v>
      </c>
      <c r="AK1612" s="27" t="s">
        <v>7783</v>
      </c>
      <c r="AL1612" s="27" t="s">
        <v>7784</v>
      </c>
      <c r="AM1612" s="27" t="s">
        <v>7785</v>
      </c>
      <c r="AN1612" s="27"/>
      <c r="AO1612" s="27"/>
      <c r="AP1612" s="27"/>
      <c r="AQ1612" s="27"/>
      <c r="AR1612" s="504"/>
      <c r="AS1612" s="332" t="s">
        <v>7786</v>
      </c>
      <c r="AT1612" s="160"/>
    </row>
    <row r="1613" spans="1:46" ht="21.75" hidden="1" customHeight="1">
      <c r="A1613" s="331">
        <v>1612</v>
      </c>
      <c r="B1613" s="28" t="s">
        <v>7773</v>
      </c>
      <c r="C1613" s="28" t="s">
        <v>7787</v>
      </c>
      <c r="D1613" s="437" t="s">
        <v>7775</v>
      </c>
      <c r="E1613" s="361" t="str">
        <f t="shared" ca="1" si="81"/>
        <v>LOSS</v>
      </c>
      <c r="F1613" s="29"/>
      <c r="G1613" s="28" t="s">
        <v>7788</v>
      </c>
      <c r="H1613" s="29" t="s">
        <v>2748</v>
      </c>
      <c r="I1613" s="29" t="s">
        <v>346</v>
      </c>
      <c r="J1613" s="28" t="s">
        <v>7789</v>
      </c>
      <c r="K1613" s="28"/>
      <c r="L1613" s="27"/>
      <c r="M1613" s="27"/>
      <c r="N1613" s="29"/>
      <c r="O1613" s="56"/>
      <c r="P1613" s="31">
        <f>12*2500000</f>
        <v>30000000</v>
      </c>
      <c r="Q1613" s="31"/>
      <c r="R1613" s="27"/>
      <c r="S1613" s="32">
        <v>7590000</v>
      </c>
      <c r="T1613" s="33"/>
      <c r="U1613" s="334">
        <v>45139</v>
      </c>
      <c r="V1613" s="334">
        <v>45504</v>
      </c>
      <c r="W1613" s="27" t="s">
        <v>245</v>
      </c>
      <c r="X1613" s="27"/>
      <c r="Y1613" s="34">
        <f t="shared" ca="1" si="84"/>
        <v>46290</v>
      </c>
      <c r="Z1613" s="35">
        <f t="shared" ca="1" si="82"/>
        <v>-786</v>
      </c>
      <c r="AA1613" s="27">
        <f t="shared" si="85"/>
        <v>7</v>
      </c>
      <c r="AB1613" s="27">
        <f t="shared" si="83"/>
        <v>2024</v>
      </c>
      <c r="AC1613" s="28" t="s">
        <v>479</v>
      </c>
      <c r="AD1613" s="28" t="s">
        <v>7790</v>
      </c>
      <c r="AE1613" s="27">
        <v>4500020888</v>
      </c>
      <c r="AF1613" s="27" t="s">
        <v>339</v>
      </c>
      <c r="AG1613" s="29" t="s">
        <v>7780</v>
      </c>
      <c r="AH1613" s="28" t="s">
        <v>7781</v>
      </c>
      <c r="AI1613" s="27"/>
      <c r="AJ1613" s="27"/>
      <c r="AK1613" s="27"/>
      <c r="AL1613" s="27"/>
      <c r="AM1613" s="27"/>
      <c r="AN1613" s="27"/>
      <c r="AO1613" s="27" t="s">
        <v>7791</v>
      </c>
      <c r="AP1613" s="27"/>
      <c r="AQ1613" s="27"/>
      <c r="AR1613" s="504"/>
      <c r="AS1613" s="332" t="s">
        <v>7792</v>
      </c>
      <c r="AT1613" s="160"/>
    </row>
    <row r="1614" spans="1:46" ht="21.75" hidden="1" customHeight="1">
      <c r="A1614" s="331">
        <v>1613</v>
      </c>
      <c r="B1614" s="28" t="s">
        <v>7793</v>
      </c>
      <c r="C1614" s="28" t="s">
        <v>7794</v>
      </c>
      <c r="D1614" s="438" t="s">
        <v>7795</v>
      </c>
      <c r="E1614" s="361" t="str">
        <f t="shared" ca="1" si="81"/>
        <v>LOSS</v>
      </c>
      <c r="F1614" s="29"/>
      <c r="G1614" s="28" t="s">
        <v>7796</v>
      </c>
      <c r="H1614" s="29" t="s">
        <v>2748</v>
      </c>
      <c r="I1614" s="29" t="s">
        <v>242</v>
      </c>
      <c r="J1614" s="28" t="s">
        <v>7797</v>
      </c>
      <c r="K1614" s="28"/>
      <c r="L1614" s="27"/>
      <c r="M1614" s="27"/>
      <c r="N1614" s="29"/>
      <c r="O1614" s="56"/>
      <c r="P1614" s="31">
        <v>86400000</v>
      </c>
      <c r="Q1614" s="31"/>
      <c r="R1614" s="27"/>
      <c r="S1614" s="32">
        <v>45300000</v>
      </c>
      <c r="T1614" s="33"/>
      <c r="U1614" s="334">
        <v>44400</v>
      </c>
      <c r="V1614" s="334">
        <v>44764</v>
      </c>
      <c r="W1614" s="27" t="s">
        <v>250</v>
      </c>
      <c r="X1614" s="27"/>
      <c r="Y1614" s="34">
        <f t="shared" ca="1" si="84"/>
        <v>46290</v>
      </c>
      <c r="Z1614" s="35">
        <f t="shared" ca="1" si="82"/>
        <v>-1526</v>
      </c>
      <c r="AA1614" s="27">
        <f t="shared" si="85"/>
        <v>7</v>
      </c>
      <c r="AB1614" s="27">
        <f t="shared" si="83"/>
        <v>2022</v>
      </c>
      <c r="AC1614" s="28" t="s">
        <v>479</v>
      </c>
      <c r="AD1614" s="28" t="s">
        <v>1715</v>
      </c>
      <c r="AE1614" s="27">
        <v>4500016483</v>
      </c>
      <c r="AF1614" s="27" t="s">
        <v>339</v>
      </c>
      <c r="AG1614" s="29"/>
      <c r="AH1614" s="28"/>
      <c r="AI1614" s="27"/>
      <c r="AJ1614" s="27"/>
      <c r="AK1614" s="27"/>
      <c r="AL1614" s="27"/>
      <c r="AM1614" s="27" t="s">
        <v>7798</v>
      </c>
      <c r="AN1614" s="27"/>
      <c r="AO1614" s="27"/>
      <c r="AP1614" s="27"/>
      <c r="AQ1614" s="27"/>
      <c r="AR1614" s="504"/>
      <c r="AS1614" s="332" t="s">
        <v>7799</v>
      </c>
      <c r="AT1614" s="160"/>
    </row>
    <row r="1615" spans="1:46" ht="21.75" hidden="1" customHeight="1">
      <c r="A1615" s="331">
        <v>1614</v>
      </c>
      <c r="B1615" s="28" t="s">
        <v>7800</v>
      </c>
      <c r="C1615" s="28" t="s">
        <v>555</v>
      </c>
      <c r="D1615" s="437" t="s">
        <v>7801</v>
      </c>
      <c r="E1615" s="361" t="str">
        <f t="shared" ca="1" si="81"/>
        <v>LOSS</v>
      </c>
      <c r="F1615" s="29"/>
      <c r="G1615" s="28" t="s">
        <v>7802</v>
      </c>
      <c r="H1615" s="29" t="s">
        <v>2748</v>
      </c>
      <c r="I1615" s="29" t="s">
        <v>346</v>
      </c>
      <c r="J1615" s="28" t="s">
        <v>7803</v>
      </c>
      <c r="K1615" s="28"/>
      <c r="L1615" s="27"/>
      <c r="M1615" s="27"/>
      <c r="N1615" s="29"/>
      <c r="O1615" s="56"/>
      <c r="P1615" s="31">
        <v>60000000</v>
      </c>
      <c r="Q1615" s="31"/>
      <c r="R1615" s="27"/>
      <c r="S1615" s="32">
        <v>13200000</v>
      </c>
      <c r="T1615" s="33"/>
      <c r="U1615" s="334">
        <v>43774</v>
      </c>
      <c r="V1615" s="334">
        <v>44139</v>
      </c>
      <c r="W1615" s="27" t="s">
        <v>245</v>
      </c>
      <c r="X1615" s="27"/>
      <c r="Y1615" s="34">
        <f t="shared" ca="1" si="84"/>
        <v>46290</v>
      </c>
      <c r="Z1615" s="35">
        <f t="shared" ca="1" si="82"/>
        <v>-2151</v>
      </c>
      <c r="AA1615" s="27">
        <f t="shared" si="85"/>
        <v>11</v>
      </c>
      <c r="AB1615" s="27">
        <f t="shared" si="83"/>
        <v>2020</v>
      </c>
      <c r="AC1615" s="28" t="s">
        <v>7804</v>
      </c>
      <c r="AD1615" s="28" t="s">
        <v>7805</v>
      </c>
      <c r="AE1615" s="27">
        <v>4500013336</v>
      </c>
      <c r="AF1615" s="27" t="s">
        <v>339</v>
      </c>
      <c r="AG1615" s="29" t="s">
        <v>7806</v>
      </c>
      <c r="AH1615" s="28" t="s">
        <v>7807</v>
      </c>
      <c r="AI1615" s="27">
        <v>104</v>
      </c>
      <c r="AJ1615" s="27" t="s">
        <v>7808</v>
      </c>
      <c r="AK1615" s="27" t="s">
        <v>7809</v>
      </c>
      <c r="AL1615" s="27"/>
      <c r="AM1615" s="27"/>
      <c r="AN1615" s="27"/>
      <c r="AO1615" s="27"/>
      <c r="AP1615" s="27"/>
      <c r="AQ1615" s="27"/>
      <c r="AR1615" s="504"/>
      <c r="AS1615" s="332" t="s">
        <v>7810</v>
      </c>
      <c r="AT1615" s="160"/>
    </row>
    <row r="1616" spans="1:46" ht="21.75" hidden="1" customHeight="1">
      <c r="A1616" s="331">
        <v>1615</v>
      </c>
      <c r="B1616" s="28" t="s">
        <v>217</v>
      </c>
      <c r="C1616" s="28" t="s">
        <v>7811</v>
      </c>
      <c r="D1616" s="443" t="s">
        <v>7812</v>
      </c>
      <c r="E1616" s="361" t="str">
        <f t="shared" ca="1" si="81"/>
        <v>LOSS</v>
      </c>
      <c r="F1616" s="29"/>
      <c r="G1616" s="28" t="s">
        <v>7813</v>
      </c>
      <c r="H1616" s="29" t="s">
        <v>2748</v>
      </c>
      <c r="I1616" s="29" t="s">
        <v>346</v>
      </c>
      <c r="J1616" s="28" t="s">
        <v>218</v>
      </c>
      <c r="K1616" s="28"/>
      <c r="L1616" s="27"/>
      <c r="M1616" s="27"/>
      <c r="N1616" s="29"/>
      <c r="O1616" s="56"/>
      <c r="P1616" s="31">
        <v>76200000</v>
      </c>
      <c r="Q1616" s="31"/>
      <c r="R1616" s="27"/>
      <c r="S1616" s="32">
        <v>78000000</v>
      </c>
      <c r="T1616" s="33"/>
      <c r="U1616" s="334">
        <v>45357</v>
      </c>
      <c r="V1616" s="334">
        <v>45721</v>
      </c>
      <c r="W1616" s="27" t="s">
        <v>245</v>
      </c>
      <c r="X1616" s="27"/>
      <c r="Y1616" s="34">
        <f t="shared" ca="1" si="84"/>
        <v>46290</v>
      </c>
      <c r="Z1616" s="35">
        <f t="shared" ca="1" si="82"/>
        <v>-569</v>
      </c>
      <c r="AA1616" s="27">
        <f t="shared" si="85"/>
        <v>3</v>
      </c>
      <c r="AB1616" s="27">
        <f t="shared" si="83"/>
        <v>2025</v>
      </c>
      <c r="AC1616" s="28" t="s">
        <v>7814</v>
      </c>
      <c r="AD1616" s="28">
        <v>2858</v>
      </c>
      <c r="AE1616" s="27">
        <v>4500022409</v>
      </c>
      <c r="AF1616" s="27" t="s">
        <v>339</v>
      </c>
      <c r="AG1616" s="29" t="s">
        <v>7815</v>
      </c>
      <c r="AH1616" s="28" t="s">
        <v>7816</v>
      </c>
      <c r="AI1616" s="27"/>
      <c r="AJ1616" s="27" t="s">
        <v>7817</v>
      </c>
      <c r="AK1616" s="27" t="s">
        <v>7818</v>
      </c>
      <c r="AL1616" s="27"/>
      <c r="AM1616" s="27" t="s">
        <v>7819</v>
      </c>
      <c r="AN1616" s="27" t="s">
        <v>7820</v>
      </c>
      <c r="AO1616" s="27" t="s">
        <v>7821</v>
      </c>
      <c r="AP1616" s="27" t="s">
        <v>7822</v>
      </c>
      <c r="AQ1616" s="27"/>
      <c r="AR1616" s="504"/>
      <c r="AS1616" s="491" t="s">
        <v>7823</v>
      </c>
      <c r="AT1616" s="160"/>
    </row>
    <row r="1617" spans="1:46" ht="21.75" hidden="1" customHeight="1">
      <c r="A1617" s="331">
        <v>1616</v>
      </c>
      <c r="B1617" s="28" t="s">
        <v>219</v>
      </c>
      <c r="C1617" s="28" t="s">
        <v>7824</v>
      </c>
      <c r="D1617" s="437" t="s">
        <v>7825</v>
      </c>
      <c r="E1617" s="361" t="str">
        <f t="shared" ca="1" si="81"/>
        <v>LOSS</v>
      </c>
      <c r="F1617" s="29"/>
      <c r="G1617" s="28" t="s">
        <v>7826</v>
      </c>
      <c r="H1617" s="29" t="s">
        <v>2748</v>
      </c>
      <c r="I1617" s="29" t="s">
        <v>242</v>
      </c>
      <c r="J1617" s="28" t="s">
        <v>840</v>
      </c>
      <c r="K1617" s="28"/>
      <c r="L1617" s="27"/>
      <c r="M1617" s="27"/>
      <c r="N1617" s="29"/>
      <c r="O1617" s="56"/>
      <c r="P1617" s="31">
        <v>78000000</v>
      </c>
      <c r="Q1617" s="31"/>
      <c r="R1617" s="27"/>
      <c r="S1617" s="32">
        <v>4800000</v>
      </c>
      <c r="T1617" s="33"/>
      <c r="U1617" s="334">
        <v>44069</v>
      </c>
      <c r="V1617" s="334">
        <v>44433</v>
      </c>
      <c r="W1617" s="27" t="s">
        <v>250</v>
      </c>
      <c r="X1617" s="27"/>
      <c r="Y1617" s="34">
        <f t="shared" ca="1" si="84"/>
        <v>46290</v>
      </c>
      <c r="Z1617" s="35">
        <f t="shared" ca="1" si="82"/>
        <v>-1857</v>
      </c>
      <c r="AA1617" s="27">
        <f t="shared" si="85"/>
        <v>8</v>
      </c>
      <c r="AB1617" s="27">
        <f t="shared" si="83"/>
        <v>2021</v>
      </c>
      <c r="AC1617" s="28" t="s">
        <v>479</v>
      </c>
      <c r="AD1617" s="28" t="s">
        <v>841</v>
      </c>
      <c r="AE1617" s="27">
        <v>4500015170</v>
      </c>
      <c r="AF1617" s="27" t="s">
        <v>339</v>
      </c>
      <c r="AG1617" s="29"/>
      <c r="AH1617" s="28"/>
      <c r="AI1617" s="27"/>
      <c r="AJ1617" s="27"/>
      <c r="AK1617" s="27"/>
      <c r="AL1617" s="27" t="s">
        <v>7827</v>
      </c>
      <c r="AM1617" s="27"/>
      <c r="AN1617" s="27"/>
      <c r="AO1617" s="27"/>
      <c r="AP1617" s="27"/>
      <c r="AQ1617" s="27"/>
      <c r="AR1617" s="504"/>
      <c r="AS1617" s="332" t="s">
        <v>7828</v>
      </c>
      <c r="AT1617" s="160"/>
    </row>
    <row r="1618" spans="1:46" ht="21.75" hidden="1" customHeight="1">
      <c r="A1618" s="331">
        <v>1617</v>
      </c>
      <c r="B1618" s="28" t="s">
        <v>219</v>
      </c>
      <c r="C1618" s="28" t="s">
        <v>7829</v>
      </c>
      <c r="D1618" s="438" t="s">
        <v>7825</v>
      </c>
      <c r="E1618" s="361" t="str">
        <f t="shared" ca="1" si="81"/>
        <v>LOSS</v>
      </c>
      <c r="F1618" s="29"/>
      <c r="G1618" s="28" t="s">
        <v>7830</v>
      </c>
      <c r="H1618" s="29" t="s">
        <v>2748</v>
      </c>
      <c r="I1618" s="29" t="s">
        <v>242</v>
      </c>
      <c r="J1618" s="28" t="s">
        <v>7831</v>
      </c>
      <c r="K1618" s="28"/>
      <c r="L1618" s="27"/>
      <c r="M1618" s="27"/>
      <c r="N1618" s="29"/>
      <c r="O1618" s="56"/>
      <c r="P1618" s="31">
        <v>45600000</v>
      </c>
      <c r="Q1618" s="31"/>
      <c r="R1618" s="27"/>
      <c r="S1618" s="32">
        <v>4800000</v>
      </c>
      <c r="T1618" s="33"/>
      <c r="U1618" s="334">
        <v>44018</v>
      </c>
      <c r="V1618" s="334">
        <v>44382</v>
      </c>
      <c r="W1618" s="27" t="s">
        <v>250</v>
      </c>
      <c r="X1618" s="27"/>
      <c r="Y1618" s="34">
        <f t="shared" ca="1" si="84"/>
        <v>46290</v>
      </c>
      <c r="Z1618" s="35">
        <f t="shared" ca="1" si="82"/>
        <v>-1908</v>
      </c>
      <c r="AA1618" s="27">
        <f t="shared" si="85"/>
        <v>7</v>
      </c>
      <c r="AB1618" s="27">
        <f t="shared" si="83"/>
        <v>2021</v>
      </c>
      <c r="AC1618" s="28" t="s">
        <v>479</v>
      </c>
      <c r="AD1618" s="28" t="s">
        <v>7832</v>
      </c>
      <c r="AE1618" s="27">
        <v>4500014812</v>
      </c>
      <c r="AF1618" s="27" t="s">
        <v>339</v>
      </c>
      <c r="AG1618" s="29"/>
      <c r="AH1618" s="28"/>
      <c r="AI1618" s="27"/>
      <c r="AJ1618" s="27"/>
      <c r="AK1618" s="27"/>
      <c r="AL1618" s="27" t="s">
        <v>7833</v>
      </c>
      <c r="AM1618" s="27"/>
      <c r="AN1618" s="27"/>
      <c r="AO1618" s="27"/>
      <c r="AP1618" s="27"/>
      <c r="AQ1618" s="27"/>
      <c r="AR1618" s="504"/>
      <c r="AS1618" s="332" t="s">
        <v>7834</v>
      </c>
      <c r="AT1618" s="160"/>
    </row>
    <row r="1619" spans="1:46" ht="21.75" hidden="1" customHeight="1">
      <c r="A1619" s="331">
        <v>1618</v>
      </c>
      <c r="B1619" s="28" t="s">
        <v>219</v>
      </c>
      <c r="C1619" s="28" t="s">
        <v>7835</v>
      </c>
      <c r="D1619" s="437" t="s">
        <v>7825</v>
      </c>
      <c r="E1619" s="361" t="str">
        <f t="shared" ca="1" si="81"/>
        <v>LOSS</v>
      </c>
      <c r="F1619" s="29"/>
      <c r="G1619" s="28" t="s">
        <v>7836</v>
      </c>
      <c r="H1619" s="29" t="s">
        <v>2748</v>
      </c>
      <c r="I1619" s="29" t="s">
        <v>242</v>
      </c>
      <c r="J1619" s="28" t="s">
        <v>7837</v>
      </c>
      <c r="K1619" s="28"/>
      <c r="L1619" s="27"/>
      <c r="M1619" s="27"/>
      <c r="N1619" s="29"/>
      <c r="O1619" s="56"/>
      <c r="P1619" s="64" t="s">
        <v>115</v>
      </c>
      <c r="Q1619" s="64"/>
      <c r="R1619" s="27"/>
      <c r="S1619" s="32">
        <v>4800000</v>
      </c>
      <c r="T1619" s="33"/>
      <c r="U1619" s="334">
        <v>44749</v>
      </c>
      <c r="V1619" s="334">
        <v>45113</v>
      </c>
      <c r="W1619" s="27" t="s">
        <v>250</v>
      </c>
      <c r="X1619" s="27"/>
      <c r="Y1619" s="34">
        <f t="shared" ca="1" si="84"/>
        <v>46290</v>
      </c>
      <c r="Z1619" s="35">
        <f t="shared" ca="1" si="82"/>
        <v>-1177</v>
      </c>
      <c r="AA1619" s="27">
        <f t="shared" si="85"/>
        <v>7</v>
      </c>
      <c r="AB1619" s="27">
        <f t="shared" si="83"/>
        <v>2023</v>
      </c>
      <c r="AC1619" s="28" t="s">
        <v>2054</v>
      </c>
      <c r="AD1619" s="28" t="s">
        <v>2054</v>
      </c>
      <c r="AE1619" s="27">
        <v>4500018509</v>
      </c>
      <c r="AF1619" s="27" t="s">
        <v>339</v>
      </c>
      <c r="AG1619" s="29"/>
      <c r="AH1619" s="28"/>
      <c r="AI1619" s="27"/>
      <c r="AJ1619" s="27"/>
      <c r="AK1619" s="27"/>
      <c r="AL1619" s="27"/>
      <c r="AM1619" s="27"/>
      <c r="AN1619" s="27" t="s">
        <v>7838</v>
      </c>
      <c r="AO1619" s="27"/>
      <c r="AP1619" s="27"/>
      <c r="AQ1619" s="27"/>
      <c r="AR1619" s="504"/>
      <c r="AS1619" s="332" t="s">
        <v>7839</v>
      </c>
      <c r="AT1619" s="160"/>
    </row>
    <row r="1620" spans="1:46" ht="21.75" hidden="1" customHeight="1">
      <c r="A1620" s="331">
        <v>1619</v>
      </c>
      <c r="B1620" s="28" t="s">
        <v>219</v>
      </c>
      <c r="C1620" s="28" t="s">
        <v>7835</v>
      </c>
      <c r="D1620" s="438" t="s">
        <v>7825</v>
      </c>
      <c r="E1620" s="361" t="str">
        <f t="shared" ca="1" si="81"/>
        <v>LOSS</v>
      </c>
      <c r="F1620" s="29"/>
      <c r="G1620" s="28" t="s">
        <v>7836</v>
      </c>
      <c r="H1620" s="29" t="s">
        <v>2748</v>
      </c>
      <c r="I1620" s="29" t="s">
        <v>242</v>
      </c>
      <c r="J1620" s="28" t="s">
        <v>7837</v>
      </c>
      <c r="K1620" s="28"/>
      <c r="L1620" s="27"/>
      <c r="M1620" s="27"/>
      <c r="N1620" s="29"/>
      <c r="O1620" s="56"/>
      <c r="P1620" s="43"/>
      <c r="Q1620" s="43"/>
      <c r="R1620" s="27"/>
      <c r="S1620" s="32">
        <v>4800000</v>
      </c>
      <c r="T1620" s="33"/>
      <c r="U1620" s="334">
        <v>45114</v>
      </c>
      <c r="V1620" s="334">
        <v>45844</v>
      </c>
      <c r="W1620" s="27" t="s">
        <v>17</v>
      </c>
      <c r="X1620" s="27"/>
      <c r="Y1620" s="34">
        <f t="shared" ca="1" si="84"/>
        <v>46290</v>
      </c>
      <c r="Z1620" s="35">
        <f t="shared" ca="1" si="82"/>
        <v>-446</v>
      </c>
      <c r="AA1620" s="27">
        <f t="shared" si="85"/>
        <v>7</v>
      </c>
      <c r="AB1620" s="27">
        <f t="shared" si="83"/>
        <v>2025</v>
      </c>
      <c r="AC1620" s="28"/>
      <c r="AD1620" s="28" t="s">
        <v>7840</v>
      </c>
      <c r="AE1620" s="27">
        <v>4500023148</v>
      </c>
      <c r="AF1620" s="27" t="s">
        <v>333</v>
      </c>
      <c r="AG1620" s="29"/>
      <c r="AH1620" s="28"/>
      <c r="AI1620" s="27"/>
      <c r="AJ1620" s="27"/>
      <c r="AK1620" s="27"/>
      <c r="AL1620" s="27"/>
      <c r="AM1620" s="27"/>
      <c r="AN1620" s="27"/>
      <c r="AO1620" s="27"/>
      <c r="AP1620" s="27" t="s">
        <v>7841</v>
      </c>
      <c r="AQ1620" s="27"/>
      <c r="AR1620" s="504"/>
      <c r="AS1620" s="332"/>
      <c r="AT1620" s="160"/>
    </row>
    <row r="1621" spans="1:46" ht="21.75" hidden="1" customHeight="1">
      <c r="A1621" s="331">
        <v>1620</v>
      </c>
      <c r="B1621" s="28" t="s">
        <v>219</v>
      </c>
      <c r="C1621" s="28" t="s">
        <v>7835</v>
      </c>
      <c r="D1621" s="437" t="s">
        <v>7825</v>
      </c>
      <c r="E1621" s="361" t="str">
        <f t="shared" ca="1" si="81"/>
        <v>LOSS</v>
      </c>
      <c r="F1621" s="29"/>
      <c r="G1621" s="28" t="s">
        <v>7836</v>
      </c>
      <c r="H1621" s="29" t="s">
        <v>2748</v>
      </c>
      <c r="I1621" s="29" t="s">
        <v>242</v>
      </c>
      <c r="J1621" s="28" t="s">
        <v>7837</v>
      </c>
      <c r="K1621" s="28"/>
      <c r="L1621" s="27"/>
      <c r="M1621" s="27"/>
      <c r="N1621" s="29"/>
      <c r="O1621" s="56"/>
      <c r="P1621" s="43" t="s">
        <v>115</v>
      </c>
      <c r="Q1621" s="43"/>
      <c r="R1621" s="27"/>
      <c r="S1621" s="32">
        <v>4800000</v>
      </c>
      <c r="T1621" s="33"/>
      <c r="U1621" s="334">
        <v>44749</v>
      </c>
      <c r="V1621" s="334">
        <v>45113</v>
      </c>
      <c r="W1621" s="27" t="s">
        <v>250</v>
      </c>
      <c r="X1621" s="27"/>
      <c r="Y1621" s="34">
        <f t="shared" ca="1" si="84"/>
        <v>46290</v>
      </c>
      <c r="Z1621" s="35">
        <f t="shared" ca="1" si="82"/>
        <v>-1177</v>
      </c>
      <c r="AA1621" s="27">
        <f t="shared" si="85"/>
        <v>7</v>
      </c>
      <c r="AB1621" s="27">
        <f t="shared" si="83"/>
        <v>2023</v>
      </c>
      <c r="AC1621" s="28" t="s">
        <v>7842</v>
      </c>
      <c r="AD1621" s="28" t="s">
        <v>7842</v>
      </c>
      <c r="AE1621" s="27">
        <v>4500018510</v>
      </c>
      <c r="AF1621" s="27" t="s">
        <v>339</v>
      </c>
      <c r="AG1621" s="29"/>
      <c r="AH1621" s="28"/>
      <c r="AI1621" s="27"/>
      <c r="AJ1621" s="27"/>
      <c r="AK1621" s="27"/>
      <c r="AL1621" s="27"/>
      <c r="AM1621" s="27"/>
      <c r="AN1621" s="27" t="s">
        <v>7843</v>
      </c>
      <c r="AO1621" s="27"/>
      <c r="AP1621" s="27"/>
      <c r="AQ1621" s="27"/>
      <c r="AR1621" s="504"/>
      <c r="AS1621" s="332" t="s">
        <v>7839</v>
      </c>
      <c r="AT1621" s="160"/>
    </row>
    <row r="1622" spans="1:46" ht="21.75" hidden="1" customHeight="1">
      <c r="A1622" s="331">
        <v>1621</v>
      </c>
      <c r="B1622" s="28" t="s">
        <v>219</v>
      </c>
      <c r="C1622" s="28" t="s">
        <v>7835</v>
      </c>
      <c r="D1622" s="438" t="s">
        <v>7825</v>
      </c>
      <c r="E1622" s="361" t="str">
        <f t="shared" ca="1" si="81"/>
        <v>LOSS</v>
      </c>
      <c r="F1622" s="29"/>
      <c r="G1622" s="28" t="s">
        <v>7836</v>
      </c>
      <c r="H1622" s="29" t="s">
        <v>2748</v>
      </c>
      <c r="I1622" s="29" t="s">
        <v>242</v>
      </c>
      <c r="J1622" s="28" t="s">
        <v>7837</v>
      </c>
      <c r="K1622" s="28"/>
      <c r="L1622" s="27"/>
      <c r="M1622" s="27"/>
      <c r="N1622" s="29"/>
      <c r="O1622" s="56"/>
      <c r="P1622" s="43"/>
      <c r="Q1622" s="43"/>
      <c r="R1622" s="27"/>
      <c r="S1622" s="32">
        <v>4800000</v>
      </c>
      <c r="T1622" s="33"/>
      <c r="U1622" s="334">
        <v>45114</v>
      </c>
      <c r="V1622" s="334">
        <v>45844</v>
      </c>
      <c r="W1622" s="27" t="s">
        <v>17</v>
      </c>
      <c r="X1622" s="27"/>
      <c r="Y1622" s="34">
        <f t="shared" ca="1" si="84"/>
        <v>46290</v>
      </c>
      <c r="Z1622" s="35">
        <f t="shared" ca="1" si="82"/>
        <v>-446</v>
      </c>
      <c r="AA1622" s="27">
        <f t="shared" si="85"/>
        <v>7</v>
      </c>
      <c r="AB1622" s="27">
        <f t="shared" si="83"/>
        <v>2025</v>
      </c>
      <c r="AC1622" s="28"/>
      <c r="AD1622" s="28" t="s">
        <v>7844</v>
      </c>
      <c r="AE1622" s="27">
        <v>4500023149</v>
      </c>
      <c r="AF1622" s="27" t="s">
        <v>333</v>
      </c>
      <c r="AG1622" s="29"/>
      <c r="AH1622" s="28"/>
      <c r="AI1622" s="27"/>
      <c r="AJ1622" s="27"/>
      <c r="AK1622" s="27"/>
      <c r="AL1622" s="27"/>
      <c r="AM1622" s="27"/>
      <c r="AN1622" s="27"/>
      <c r="AO1622" s="27"/>
      <c r="AP1622" s="27" t="s">
        <v>7845</v>
      </c>
      <c r="AQ1622" s="27"/>
      <c r="AR1622" s="504"/>
      <c r="AS1622" s="332"/>
      <c r="AT1622" s="160"/>
    </row>
    <row r="1623" spans="1:46" ht="21.75" hidden="1" customHeight="1">
      <c r="A1623" s="331">
        <v>1622</v>
      </c>
      <c r="B1623" s="28" t="s">
        <v>219</v>
      </c>
      <c r="C1623" s="28" t="s">
        <v>6200</v>
      </c>
      <c r="D1623" s="437" t="s">
        <v>7825</v>
      </c>
      <c r="E1623" s="361" t="str">
        <f t="shared" ca="1" si="81"/>
        <v>LOSS</v>
      </c>
      <c r="F1623" s="29" t="s">
        <v>7846</v>
      </c>
      <c r="G1623" s="28" t="s">
        <v>6203</v>
      </c>
      <c r="H1623" s="29" t="s">
        <v>2748</v>
      </c>
      <c r="I1623" s="29" t="s">
        <v>346</v>
      </c>
      <c r="J1623" s="28" t="s">
        <v>775</v>
      </c>
      <c r="K1623" s="28"/>
      <c r="L1623" s="27"/>
      <c r="M1623" s="27"/>
      <c r="N1623" s="29"/>
      <c r="O1623" s="56"/>
      <c r="P1623" s="31">
        <v>162000000</v>
      </c>
      <c r="Q1623" s="31"/>
      <c r="R1623" s="27"/>
      <c r="S1623" s="32">
        <v>18000000</v>
      </c>
      <c r="T1623" s="33"/>
      <c r="U1623" s="334">
        <v>45253</v>
      </c>
      <c r="V1623" s="334">
        <v>45618</v>
      </c>
      <c r="W1623" s="27" t="s">
        <v>17</v>
      </c>
      <c r="X1623" s="27" t="s">
        <v>3148</v>
      </c>
      <c r="Y1623" s="34">
        <f t="shared" ca="1" si="84"/>
        <v>46290</v>
      </c>
      <c r="Z1623" s="35">
        <f t="shared" ca="1" si="82"/>
        <v>-672</v>
      </c>
      <c r="AA1623" s="27">
        <f t="shared" si="85"/>
        <v>11</v>
      </c>
      <c r="AB1623" s="27">
        <f t="shared" si="83"/>
        <v>2024</v>
      </c>
      <c r="AC1623" s="28" t="s">
        <v>7847</v>
      </c>
      <c r="AD1623" s="28" t="s">
        <v>7848</v>
      </c>
      <c r="AE1623" s="27">
        <v>4500022978</v>
      </c>
      <c r="AF1623" s="27" t="s">
        <v>339</v>
      </c>
      <c r="AG1623" s="29"/>
      <c r="AH1623" s="28"/>
      <c r="AI1623" s="27"/>
      <c r="AJ1623" s="27"/>
      <c r="AK1623" s="27"/>
      <c r="AL1623" s="27" t="s">
        <v>7849</v>
      </c>
      <c r="AM1623" s="27"/>
      <c r="AN1623" s="27" t="s">
        <v>7850</v>
      </c>
      <c r="AO1623" s="27"/>
      <c r="AP1623" s="27" t="s">
        <v>7851</v>
      </c>
      <c r="AQ1623" s="27"/>
      <c r="AR1623" s="504"/>
      <c r="AS1623" s="332" t="s">
        <v>7852</v>
      </c>
      <c r="AT1623" s="160"/>
    </row>
    <row r="1624" spans="1:46" ht="21.75" hidden="1" customHeight="1">
      <c r="A1624" s="331">
        <v>1623</v>
      </c>
      <c r="B1624" s="28" t="s">
        <v>219</v>
      </c>
      <c r="C1624" s="28" t="s">
        <v>7853</v>
      </c>
      <c r="D1624" s="438" t="s">
        <v>7825</v>
      </c>
      <c r="E1624" s="361" t="str">
        <f t="shared" ca="1" si="81"/>
        <v>LOSS</v>
      </c>
      <c r="F1624" s="29"/>
      <c r="G1624" s="28"/>
      <c r="H1624" s="29" t="s">
        <v>2748</v>
      </c>
      <c r="I1624" s="29" t="s">
        <v>242</v>
      </c>
      <c r="J1624" s="28" t="s">
        <v>220</v>
      </c>
      <c r="K1624" s="28"/>
      <c r="L1624" s="27"/>
      <c r="M1624" s="27"/>
      <c r="N1624" s="29"/>
      <c r="O1624" s="56"/>
      <c r="P1624" s="31">
        <v>42000000</v>
      </c>
      <c r="Q1624" s="31"/>
      <c r="R1624" s="27"/>
      <c r="S1624" s="32">
        <v>3600000</v>
      </c>
      <c r="T1624" s="33"/>
      <c r="U1624" s="334">
        <v>45327</v>
      </c>
      <c r="V1624" s="334">
        <v>45692</v>
      </c>
      <c r="W1624" s="27" t="s">
        <v>17</v>
      </c>
      <c r="X1624" s="27"/>
      <c r="Y1624" s="34">
        <f t="shared" ca="1" si="84"/>
        <v>46290</v>
      </c>
      <c r="Z1624" s="35">
        <f t="shared" ca="1" si="82"/>
        <v>-598</v>
      </c>
      <c r="AA1624" s="27">
        <f t="shared" si="85"/>
        <v>2</v>
      </c>
      <c r="AB1624" s="27">
        <f t="shared" si="83"/>
        <v>2025</v>
      </c>
      <c r="AC1624" s="28" t="s">
        <v>479</v>
      </c>
      <c r="AD1624" s="28" t="s">
        <v>7854</v>
      </c>
      <c r="AE1624" s="27">
        <v>4500013854</v>
      </c>
      <c r="AF1624" s="27" t="s">
        <v>339</v>
      </c>
      <c r="AG1624" s="29"/>
      <c r="AH1624" s="28"/>
      <c r="AI1624" s="27"/>
      <c r="AJ1624" s="27"/>
      <c r="AK1624" s="27"/>
      <c r="AL1624" s="27" t="s">
        <v>7855</v>
      </c>
      <c r="AM1624" s="27"/>
      <c r="AN1624" s="27"/>
      <c r="AO1624" s="27"/>
      <c r="AP1624" s="27"/>
      <c r="AQ1624" s="27"/>
      <c r="AR1624" s="504"/>
      <c r="AS1624" s="332" t="s">
        <v>7856</v>
      </c>
      <c r="AT1624" s="160"/>
    </row>
    <row r="1625" spans="1:46" ht="21.75" hidden="1" customHeight="1">
      <c r="A1625" s="331">
        <v>1624</v>
      </c>
      <c r="B1625" s="28" t="s">
        <v>7857</v>
      </c>
      <c r="C1625" s="28" t="s">
        <v>7858</v>
      </c>
      <c r="D1625" s="437" t="s">
        <v>7859</v>
      </c>
      <c r="E1625" s="361" t="str">
        <f t="shared" ca="1" si="81"/>
        <v>LOSS</v>
      </c>
      <c r="F1625" s="29"/>
      <c r="G1625" s="28" t="s">
        <v>7860</v>
      </c>
      <c r="H1625" s="29" t="s">
        <v>2748</v>
      </c>
      <c r="I1625" s="29" t="s">
        <v>242</v>
      </c>
      <c r="J1625" s="28" t="s">
        <v>2645</v>
      </c>
      <c r="K1625" s="28"/>
      <c r="L1625" s="27"/>
      <c r="M1625" s="27"/>
      <c r="N1625" s="29"/>
      <c r="O1625" s="56"/>
      <c r="P1625" s="31">
        <f>12*5550002</f>
        <v>66600024</v>
      </c>
      <c r="Q1625" s="31"/>
      <c r="R1625" s="30"/>
      <c r="S1625" s="32">
        <v>62900000</v>
      </c>
      <c r="T1625" s="33"/>
      <c r="U1625" s="334">
        <v>44771</v>
      </c>
      <c r="V1625" s="334">
        <v>45135</v>
      </c>
      <c r="W1625" s="27" t="s">
        <v>250</v>
      </c>
      <c r="X1625" s="27"/>
      <c r="Y1625" s="34">
        <f t="shared" ca="1" si="84"/>
        <v>46290</v>
      </c>
      <c r="Z1625" s="35">
        <f t="shared" ca="1" si="82"/>
        <v>-1155</v>
      </c>
      <c r="AA1625" s="27">
        <f t="shared" si="85"/>
        <v>7</v>
      </c>
      <c r="AB1625" s="27">
        <f t="shared" si="83"/>
        <v>2023</v>
      </c>
      <c r="AC1625" s="28" t="s">
        <v>479</v>
      </c>
      <c r="AD1625" s="28" t="s">
        <v>2646</v>
      </c>
      <c r="AE1625" s="27">
        <v>4500018401</v>
      </c>
      <c r="AF1625" s="27" t="s">
        <v>339</v>
      </c>
      <c r="AG1625" s="29"/>
      <c r="AH1625" s="28"/>
      <c r="AI1625" s="27"/>
      <c r="AJ1625" s="27"/>
      <c r="AK1625" s="27"/>
      <c r="AL1625" s="27"/>
      <c r="AM1625" s="27"/>
      <c r="AN1625" s="27" t="s">
        <v>7861</v>
      </c>
      <c r="AO1625" s="27"/>
      <c r="AP1625" s="27"/>
      <c r="AQ1625" s="27"/>
      <c r="AR1625" s="504"/>
      <c r="AS1625" s="332" t="s">
        <v>7862</v>
      </c>
      <c r="AT1625" s="160"/>
    </row>
    <row r="1626" spans="1:46" ht="21.75" hidden="1" customHeight="1">
      <c r="A1626" s="331">
        <v>1625</v>
      </c>
      <c r="B1626" s="28" t="s">
        <v>7857</v>
      </c>
      <c r="C1626" s="28" t="s">
        <v>7863</v>
      </c>
      <c r="D1626" s="438" t="s">
        <v>7864</v>
      </c>
      <c r="E1626" s="361" t="str">
        <f t="shared" ca="1" si="81"/>
        <v>LOSS</v>
      </c>
      <c r="F1626" s="29"/>
      <c r="G1626" s="28" t="s">
        <v>7865</v>
      </c>
      <c r="H1626" s="29" t="s">
        <v>2748</v>
      </c>
      <c r="I1626" s="29" t="s">
        <v>242</v>
      </c>
      <c r="J1626" s="28" t="s">
        <v>2037</v>
      </c>
      <c r="K1626" s="28"/>
      <c r="L1626" s="27"/>
      <c r="M1626" s="27"/>
      <c r="N1626" s="29"/>
      <c r="O1626" s="56"/>
      <c r="P1626" s="31">
        <f>12*2000000</f>
        <v>24000000</v>
      </c>
      <c r="Q1626" s="31"/>
      <c r="R1626" s="27"/>
      <c r="S1626" s="32">
        <v>17360000</v>
      </c>
      <c r="T1626" s="33"/>
      <c r="U1626" s="334">
        <v>44788</v>
      </c>
      <c r="V1626" s="334">
        <v>45152</v>
      </c>
      <c r="W1626" s="27" t="s">
        <v>245</v>
      </c>
      <c r="X1626" s="27"/>
      <c r="Y1626" s="34">
        <f t="shared" ca="1" si="84"/>
        <v>46290</v>
      </c>
      <c r="Z1626" s="35">
        <f t="shared" ca="1" si="82"/>
        <v>-1138</v>
      </c>
      <c r="AA1626" s="27">
        <f t="shared" si="85"/>
        <v>8</v>
      </c>
      <c r="AB1626" s="27">
        <f t="shared" si="83"/>
        <v>2023</v>
      </c>
      <c r="AC1626" s="28" t="s">
        <v>479</v>
      </c>
      <c r="AD1626" s="28" t="s">
        <v>2038</v>
      </c>
      <c r="AE1626" s="27">
        <v>4500018513</v>
      </c>
      <c r="AF1626" s="27" t="s">
        <v>339</v>
      </c>
      <c r="AG1626" s="29"/>
      <c r="AH1626" s="28"/>
      <c r="AI1626" s="27"/>
      <c r="AJ1626" s="27"/>
      <c r="AK1626" s="27"/>
      <c r="AL1626" s="27"/>
      <c r="AM1626" s="27"/>
      <c r="AN1626" s="27" t="s">
        <v>7866</v>
      </c>
      <c r="AO1626" s="27"/>
      <c r="AP1626" s="27"/>
      <c r="AQ1626" s="27"/>
      <c r="AR1626" s="504"/>
      <c r="AS1626" s="332" t="s">
        <v>7867</v>
      </c>
      <c r="AT1626" s="160"/>
    </row>
    <row r="1627" spans="1:46" ht="21.75" hidden="1" customHeight="1">
      <c r="A1627" s="331">
        <v>1626</v>
      </c>
      <c r="B1627" s="28" t="s">
        <v>225</v>
      </c>
      <c r="C1627" s="28" t="s">
        <v>7868</v>
      </c>
      <c r="D1627" s="437" t="s">
        <v>7869</v>
      </c>
      <c r="E1627" s="361" t="str">
        <f t="shared" ca="1" si="81"/>
        <v>LOSS</v>
      </c>
      <c r="F1627" s="29"/>
      <c r="G1627" s="28" t="s">
        <v>7870</v>
      </c>
      <c r="H1627" s="29" t="s">
        <v>2748</v>
      </c>
      <c r="I1627" s="29" t="s">
        <v>346</v>
      </c>
      <c r="J1627" s="28" t="s">
        <v>7871</v>
      </c>
      <c r="K1627" s="28"/>
      <c r="L1627" s="27"/>
      <c r="M1627" s="27"/>
      <c r="N1627" s="29"/>
      <c r="O1627" s="56"/>
      <c r="P1627" s="31">
        <f>12*24500000</f>
        <v>294000000</v>
      </c>
      <c r="Q1627" s="31"/>
      <c r="R1627" s="27"/>
      <c r="S1627" s="32">
        <v>30000000</v>
      </c>
      <c r="T1627" s="33"/>
      <c r="U1627" s="334">
        <v>44943</v>
      </c>
      <c r="V1627" s="334">
        <v>45307</v>
      </c>
      <c r="W1627" s="27" t="s">
        <v>250</v>
      </c>
      <c r="X1627" s="27"/>
      <c r="Y1627" s="34">
        <f t="shared" ca="1" si="84"/>
        <v>46290</v>
      </c>
      <c r="Z1627" s="35">
        <f t="shared" ca="1" si="82"/>
        <v>-983</v>
      </c>
      <c r="AA1627" s="27">
        <f t="shared" si="85"/>
        <v>1</v>
      </c>
      <c r="AB1627" s="27">
        <f t="shared" si="83"/>
        <v>2024</v>
      </c>
      <c r="AC1627" s="28" t="s">
        <v>479</v>
      </c>
      <c r="AD1627" s="28" t="s">
        <v>7872</v>
      </c>
      <c r="AE1627" s="27">
        <v>4500019908</v>
      </c>
      <c r="AF1627" s="27" t="s">
        <v>339</v>
      </c>
      <c r="AG1627" s="29" t="s">
        <v>7873</v>
      </c>
      <c r="AH1627" s="28"/>
      <c r="AI1627" s="27"/>
      <c r="AJ1627" s="27"/>
      <c r="AK1627" s="27"/>
      <c r="AL1627" s="27"/>
      <c r="AM1627" s="27"/>
      <c r="AN1627" s="27"/>
      <c r="AO1627" s="27" t="s">
        <v>7874</v>
      </c>
      <c r="AP1627" s="27"/>
      <c r="AQ1627" s="27"/>
      <c r="AR1627" s="504"/>
      <c r="AS1627" s="332" t="s">
        <v>7875</v>
      </c>
      <c r="AT1627" s="160"/>
    </row>
    <row r="1628" spans="1:46" ht="21.75" hidden="1" customHeight="1">
      <c r="A1628" s="331">
        <v>1627</v>
      </c>
      <c r="B1628" s="28" t="s">
        <v>225</v>
      </c>
      <c r="C1628" s="28" t="s">
        <v>7868</v>
      </c>
      <c r="D1628" s="438" t="s">
        <v>7876</v>
      </c>
      <c r="E1628" s="361" t="str">
        <f t="shared" ca="1" si="81"/>
        <v>LOSS</v>
      </c>
      <c r="F1628" s="29"/>
      <c r="G1628" s="28" t="s">
        <v>7877</v>
      </c>
      <c r="H1628" s="29" t="s">
        <v>2748</v>
      </c>
      <c r="I1628" s="29" t="s">
        <v>346</v>
      </c>
      <c r="J1628" s="28" t="s">
        <v>7878</v>
      </c>
      <c r="K1628" s="28"/>
      <c r="L1628" s="27"/>
      <c r="M1628" s="27"/>
      <c r="N1628" s="29"/>
      <c r="O1628" s="56"/>
      <c r="P1628" s="31">
        <f>12*24500000</f>
        <v>294000000</v>
      </c>
      <c r="Q1628" s="31"/>
      <c r="R1628" s="27"/>
      <c r="S1628" s="32">
        <v>30000000</v>
      </c>
      <c r="T1628" s="33"/>
      <c r="U1628" s="334">
        <v>44956</v>
      </c>
      <c r="V1628" s="334">
        <v>45320</v>
      </c>
      <c r="W1628" s="27" t="s">
        <v>250</v>
      </c>
      <c r="X1628" s="27"/>
      <c r="Y1628" s="34">
        <f t="shared" ca="1" si="84"/>
        <v>46290</v>
      </c>
      <c r="Z1628" s="35">
        <f t="shared" ca="1" si="82"/>
        <v>-970</v>
      </c>
      <c r="AA1628" s="27">
        <f t="shared" si="85"/>
        <v>1</v>
      </c>
      <c r="AB1628" s="27">
        <f t="shared" si="83"/>
        <v>2024</v>
      </c>
      <c r="AC1628" s="28" t="s">
        <v>479</v>
      </c>
      <c r="AD1628" s="28" t="s">
        <v>7879</v>
      </c>
      <c r="AE1628" s="27">
        <v>4500019899</v>
      </c>
      <c r="AF1628" s="27" t="s">
        <v>339</v>
      </c>
      <c r="AG1628" s="29" t="s">
        <v>7873</v>
      </c>
      <c r="AH1628" s="28"/>
      <c r="AI1628" s="27"/>
      <c r="AJ1628" s="27"/>
      <c r="AK1628" s="27"/>
      <c r="AL1628" s="27"/>
      <c r="AM1628" s="27"/>
      <c r="AN1628" s="27"/>
      <c r="AO1628" s="27" t="s">
        <v>7880</v>
      </c>
      <c r="AP1628" s="27"/>
      <c r="AQ1628" s="27"/>
      <c r="AR1628" s="504"/>
      <c r="AS1628" s="332" t="s">
        <v>7881</v>
      </c>
      <c r="AT1628" s="160"/>
    </row>
    <row r="1629" spans="1:46" ht="21.75" hidden="1" customHeight="1">
      <c r="A1629" s="331">
        <v>1628</v>
      </c>
      <c r="B1629" s="28" t="s">
        <v>225</v>
      </c>
      <c r="C1629" s="28" t="s">
        <v>4610</v>
      </c>
      <c r="D1629" s="437" t="s">
        <v>7876</v>
      </c>
      <c r="E1629" s="361" t="str">
        <f t="shared" ca="1" si="81"/>
        <v>LOSS</v>
      </c>
      <c r="F1629" s="29"/>
      <c r="G1629" s="28" t="s">
        <v>7882</v>
      </c>
      <c r="H1629" s="29" t="s">
        <v>2748</v>
      </c>
      <c r="I1629" s="29" t="s">
        <v>346</v>
      </c>
      <c r="J1629" s="28" t="s">
        <v>7883</v>
      </c>
      <c r="K1629" s="28"/>
      <c r="L1629" s="27"/>
      <c r="M1629" s="27"/>
      <c r="N1629" s="29"/>
      <c r="O1629" s="56"/>
      <c r="P1629" s="31">
        <f>12*54423424</f>
        <v>653081088</v>
      </c>
      <c r="Q1629" s="31"/>
      <c r="R1629" s="27"/>
      <c r="S1629" s="32">
        <v>36000000</v>
      </c>
      <c r="T1629" s="33"/>
      <c r="U1629" s="334">
        <v>45160</v>
      </c>
      <c r="V1629" s="334">
        <v>45525</v>
      </c>
      <c r="W1629" s="27" t="s">
        <v>250</v>
      </c>
      <c r="X1629" s="27"/>
      <c r="Y1629" s="34">
        <f t="shared" ca="1" si="84"/>
        <v>46290</v>
      </c>
      <c r="Z1629" s="35">
        <f t="shared" ca="1" si="82"/>
        <v>-765</v>
      </c>
      <c r="AA1629" s="27">
        <f t="shared" si="85"/>
        <v>8</v>
      </c>
      <c r="AB1629" s="27">
        <f t="shared" si="83"/>
        <v>2024</v>
      </c>
      <c r="AC1629" s="28" t="s">
        <v>479</v>
      </c>
      <c r="AD1629" s="28" t="s">
        <v>7884</v>
      </c>
      <c r="AE1629" s="27">
        <v>4500021196</v>
      </c>
      <c r="AF1629" s="27" t="s">
        <v>339</v>
      </c>
      <c r="AG1629" s="29" t="s">
        <v>7873</v>
      </c>
      <c r="AH1629" s="28"/>
      <c r="AI1629" s="27"/>
      <c r="AJ1629" s="27"/>
      <c r="AK1629" s="27"/>
      <c r="AL1629" s="27"/>
      <c r="AM1629" s="27"/>
      <c r="AN1629" s="27"/>
      <c r="AO1629" s="27" t="s">
        <v>7885</v>
      </c>
      <c r="AP1629" s="27"/>
      <c r="AQ1629" s="27"/>
      <c r="AR1629" s="504"/>
      <c r="AS1629" s="332" t="s">
        <v>7886</v>
      </c>
      <c r="AT1629" s="160"/>
    </row>
    <row r="1630" spans="1:46" ht="21.75" hidden="1" customHeight="1">
      <c r="A1630" s="331">
        <v>1629</v>
      </c>
      <c r="B1630" s="28" t="s">
        <v>225</v>
      </c>
      <c r="C1630" s="28" t="s">
        <v>704</v>
      </c>
      <c r="D1630" s="438" t="s">
        <v>7876</v>
      </c>
      <c r="E1630" s="361" t="str">
        <f t="shared" ca="1" si="81"/>
        <v>LOSS</v>
      </c>
      <c r="F1630" s="29"/>
      <c r="G1630" s="28" t="s">
        <v>7887</v>
      </c>
      <c r="H1630" s="29" t="s">
        <v>2748</v>
      </c>
      <c r="I1630" s="29" t="s">
        <v>346</v>
      </c>
      <c r="J1630" s="28" t="s">
        <v>7888</v>
      </c>
      <c r="K1630" s="28"/>
      <c r="L1630" s="27"/>
      <c r="M1630" s="27"/>
      <c r="N1630" s="29"/>
      <c r="O1630" s="56"/>
      <c r="P1630" s="43" t="s">
        <v>115</v>
      </c>
      <c r="Q1630" s="43"/>
      <c r="R1630" s="27"/>
      <c r="S1630" s="32">
        <v>12000000</v>
      </c>
      <c r="T1630" s="33"/>
      <c r="U1630" s="334">
        <v>45070</v>
      </c>
      <c r="V1630" s="334">
        <v>45435</v>
      </c>
      <c r="W1630" s="27" t="s">
        <v>250</v>
      </c>
      <c r="X1630" s="27"/>
      <c r="Y1630" s="34">
        <f t="shared" ca="1" si="84"/>
        <v>46290</v>
      </c>
      <c r="Z1630" s="35">
        <f t="shared" ca="1" si="82"/>
        <v>-855</v>
      </c>
      <c r="AA1630" s="27">
        <f t="shared" si="85"/>
        <v>5</v>
      </c>
      <c r="AB1630" s="27">
        <f t="shared" si="83"/>
        <v>2024</v>
      </c>
      <c r="AC1630" s="28" t="s">
        <v>479</v>
      </c>
      <c r="AD1630" s="28" t="s">
        <v>7889</v>
      </c>
      <c r="AE1630" s="27">
        <v>4500020164</v>
      </c>
      <c r="AF1630" s="27" t="s">
        <v>339</v>
      </c>
      <c r="AG1630" s="29" t="s">
        <v>7873</v>
      </c>
      <c r="AH1630" s="28"/>
      <c r="AI1630" s="27"/>
      <c r="AJ1630" s="27"/>
      <c r="AK1630" s="27"/>
      <c r="AL1630" s="27"/>
      <c r="AM1630" s="27"/>
      <c r="AN1630" s="27"/>
      <c r="AO1630" s="27" t="s">
        <v>7890</v>
      </c>
      <c r="AP1630" s="27"/>
      <c r="AQ1630" s="27"/>
      <c r="AR1630" s="504"/>
      <c r="AS1630" s="332" t="s">
        <v>7891</v>
      </c>
      <c r="AT1630" s="160"/>
    </row>
    <row r="1631" spans="1:46" ht="21.75" hidden="1" customHeight="1">
      <c r="A1631" s="331">
        <v>1630</v>
      </c>
      <c r="B1631" s="28" t="s">
        <v>225</v>
      </c>
      <c r="C1631" s="28" t="s">
        <v>7892</v>
      </c>
      <c r="D1631" s="437" t="s">
        <v>7876</v>
      </c>
      <c r="E1631" s="361" t="str">
        <f t="shared" ca="1" si="81"/>
        <v>LOSS</v>
      </c>
      <c r="F1631" s="29" t="s">
        <v>7893</v>
      </c>
      <c r="G1631" s="28" t="s">
        <v>7894</v>
      </c>
      <c r="H1631" s="29" t="s">
        <v>2748</v>
      </c>
      <c r="I1631" s="29" t="s">
        <v>346</v>
      </c>
      <c r="J1631" s="28" t="s">
        <v>7895</v>
      </c>
      <c r="K1631" s="28"/>
      <c r="L1631" s="27"/>
      <c r="M1631" s="27"/>
      <c r="N1631" s="29"/>
      <c r="O1631" s="56"/>
      <c r="P1631" s="31">
        <f>12*4200000</f>
        <v>50400000</v>
      </c>
      <c r="Q1631" s="31"/>
      <c r="R1631" s="27"/>
      <c r="S1631" s="32">
        <v>6000000</v>
      </c>
      <c r="T1631" s="33"/>
      <c r="U1631" s="334">
        <v>45184</v>
      </c>
      <c r="V1631" s="334">
        <v>45549</v>
      </c>
      <c r="W1631" s="27" t="s">
        <v>250</v>
      </c>
      <c r="X1631" s="27"/>
      <c r="Y1631" s="34">
        <f t="shared" ca="1" si="84"/>
        <v>46290</v>
      </c>
      <c r="Z1631" s="35">
        <f t="shared" ca="1" si="82"/>
        <v>-741</v>
      </c>
      <c r="AA1631" s="27">
        <f t="shared" si="85"/>
        <v>9</v>
      </c>
      <c r="AB1631" s="27">
        <f t="shared" si="83"/>
        <v>2024</v>
      </c>
      <c r="AC1631" s="28" t="s">
        <v>479</v>
      </c>
      <c r="AD1631" s="28" t="s">
        <v>7896</v>
      </c>
      <c r="AE1631" s="27">
        <v>4500021323</v>
      </c>
      <c r="AF1631" s="27" t="s">
        <v>339</v>
      </c>
      <c r="AG1631" s="29" t="s">
        <v>7873</v>
      </c>
      <c r="AH1631" s="28"/>
      <c r="AI1631" s="27"/>
      <c r="AJ1631" s="27"/>
      <c r="AK1631" s="27"/>
      <c r="AL1631" s="27"/>
      <c r="AM1631" s="27"/>
      <c r="AN1631" s="27"/>
      <c r="AO1631" s="27" t="s">
        <v>7897</v>
      </c>
      <c r="AP1631" s="27"/>
      <c r="AQ1631" s="27"/>
      <c r="AR1631" s="504"/>
      <c r="AS1631" s="332" t="s">
        <v>7898</v>
      </c>
      <c r="AT1631" s="160"/>
    </row>
    <row r="1632" spans="1:46" ht="21.75" hidden="1" customHeight="1">
      <c r="A1632" s="331">
        <v>1631</v>
      </c>
      <c r="B1632" s="28" t="s">
        <v>225</v>
      </c>
      <c r="C1632" s="28"/>
      <c r="D1632" s="438" t="s">
        <v>369</v>
      </c>
      <c r="E1632" s="361" t="str">
        <f t="shared" ca="1" si="81"/>
        <v>LOSS</v>
      </c>
      <c r="F1632" s="29" t="s">
        <v>7899</v>
      </c>
      <c r="G1632" s="28" t="s">
        <v>7900</v>
      </c>
      <c r="H1632" s="29" t="s">
        <v>2748</v>
      </c>
      <c r="I1632" s="29" t="s">
        <v>242</v>
      </c>
      <c r="J1632" s="28" t="s">
        <v>7901</v>
      </c>
      <c r="K1632" s="28"/>
      <c r="L1632" s="27"/>
      <c r="M1632" s="27"/>
      <c r="N1632" s="29"/>
      <c r="O1632" s="56"/>
      <c r="P1632" s="31">
        <v>726000000</v>
      </c>
      <c r="Q1632" s="31"/>
      <c r="R1632" s="27"/>
      <c r="S1632" s="32">
        <v>18000000</v>
      </c>
      <c r="T1632" s="33"/>
      <c r="U1632" s="334">
        <v>44452</v>
      </c>
      <c r="V1632" s="334">
        <v>44816</v>
      </c>
      <c r="W1632" s="27" t="s">
        <v>250</v>
      </c>
      <c r="X1632" s="27"/>
      <c r="Y1632" s="34">
        <f t="shared" ca="1" si="84"/>
        <v>46290</v>
      </c>
      <c r="Z1632" s="35">
        <f t="shared" ca="1" si="82"/>
        <v>-1474</v>
      </c>
      <c r="AA1632" s="27">
        <f t="shared" si="85"/>
        <v>9</v>
      </c>
      <c r="AB1632" s="27">
        <f t="shared" si="83"/>
        <v>2022</v>
      </c>
      <c r="AC1632" s="28" t="s">
        <v>1583</v>
      </c>
      <c r="AD1632" s="28"/>
      <c r="AE1632" s="27">
        <v>4500016638</v>
      </c>
      <c r="AF1632" s="27" t="s">
        <v>339</v>
      </c>
      <c r="AG1632" s="29" t="s">
        <v>7902</v>
      </c>
      <c r="AH1632" s="28" t="s">
        <v>7903</v>
      </c>
      <c r="AI1632" s="27"/>
      <c r="AJ1632" s="27"/>
      <c r="AK1632" s="27"/>
      <c r="AL1632" s="27"/>
      <c r="AM1632" s="27" t="s">
        <v>7904</v>
      </c>
      <c r="AN1632" s="27"/>
      <c r="AO1632" s="27"/>
      <c r="AP1632" s="27"/>
      <c r="AQ1632" s="27"/>
      <c r="AR1632" s="504"/>
      <c r="AS1632" s="332" t="s">
        <v>7905</v>
      </c>
      <c r="AT1632" s="160"/>
    </row>
    <row r="1633" spans="1:46" ht="21.75" hidden="1" customHeight="1">
      <c r="A1633" s="331">
        <v>1632</v>
      </c>
      <c r="B1633" s="28" t="s">
        <v>225</v>
      </c>
      <c r="C1633" s="28" t="s">
        <v>7906</v>
      </c>
      <c r="D1633" s="437" t="s">
        <v>369</v>
      </c>
      <c r="E1633" s="361" t="str">
        <f t="shared" ca="1" si="81"/>
        <v>LOSS</v>
      </c>
      <c r="F1633" s="29" t="s">
        <v>115</v>
      </c>
      <c r="G1633" s="28" t="s">
        <v>7907</v>
      </c>
      <c r="H1633" s="29" t="s">
        <v>2748</v>
      </c>
      <c r="I1633" s="29" t="s">
        <v>242</v>
      </c>
      <c r="J1633" s="28" t="s">
        <v>1338</v>
      </c>
      <c r="K1633" s="28"/>
      <c r="L1633" s="27"/>
      <c r="M1633" s="27"/>
      <c r="N1633" s="29"/>
      <c r="O1633" s="56"/>
      <c r="P1633" s="31">
        <v>77558916</v>
      </c>
      <c r="Q1633" s="31"/>
      <c r="R1633" s="30"/>
      <c r="S1633" s="32">
        <v>6000000</v>
      </c>
      <c r="T1633" s="33"/>
      <c r="U1633" s="334">
        <v>44918</v>
      </c>
      <c r="V1633" s="334">
        <v>45648</v>
      </c>
      <c r="W1633" s="27" t="s">
        <v>17</v>
      </c>
      <c r="X1633" s="27" t="s">
        <v>6242</v>
      </c>
      <c r="Y1633" s="34">
        <f t="shared" ca="1" si="84"/>
        <v>46290</v>
      </c>
      <c r="Z1633" s="35">
        <f t="shared" ca="1" si="82"/>
        <v>-642</v>
      </c>
      <c r="AA1633" s="27">
        <f t="shared" si="85"/>
        <v>12</v>
      </c>
      <c r="AB1633" s="27">
        <f t="shared" si="83"/>
        <v>2024</v>
      </c>
      <c r="AC1633" s="28" t="s">
        <v>7908</v>
      </c>
      <c r="AD1633" s="28" t="s">
        <v>7909</v>
      </c>
      <c r="AE1633" s="27">
        <v>4500022658</v>
      </c>
      <c r="AF1633" s="27" t="s">
        <v>339</v>
      </c>
      <c r="AG1633" s="29" t="s">
        <v>376</v>
      </c>
      <c r="AH1633" s="28"/>
      <c r="AI1633" s="27"/>
      <c r="AJ1633" s="27"/>
      <c r="AK1633" s="27"/>
      <c r="AL1633" s="27"/>
      <c r="AM1633" s="27"/>
      <c r="AN1633" s="27" t="s">
        <v>7910</v>
      </c>
      <c r="AO1633" s="27"/>
      <c r="AP1633" s="68" t="s">
        <v>7911</v>
      </c>
      <c r="AQ1633" s="68"/>
      <c r="AR1633" s="505"/>
      <c r="AS1633" s="332" t="s">
        <v>7912</v>
      </c>
      <c r="AT1633" s="160"/>
    </row>
    <row r="1634" spans="1:46" ht="21.75" hidden="1" customHeight="1">
      <c r="A1634" s="331">
        <v>1633</v>
      </c>
      <c r="B1634" s="28" t="s">
        <v>225</v>
      </c>
      <c r="C1634" s="28" t="s">
        <v>7913</v>
      </c>
      <c r="D1634" s="438" t="s">
        <v>369</v>
      </c>
      <c r="E1634" s="361" t="str">
        <f t="shared" ca="1" si="81"/>
        <v>LOSS</v>
      </c>
      <c r="F1634" s="29" t="s">
        <v>115</v>
      </c>
      <c r="G1634" s="28" t="s">
        <v>7914</v>
      </c>
      <c r="H1634" s="29" t="s">
        <v>2748</v>
      </c>
      <c r="I1634" s="29" t="s">
        <v>242</v>
      </c>
      <c r="J1634" s="28" t="s">
        <v>7915</v>
      </c>
      <c r="K1634" s="28"/>
      <c r="L1634" s="27"/>
      <c r="M1634" s="27"/>
      <c r="N1634" s="29"/>
      <c r="O1634" s="56"/>
      <c r="P1634" s="31">
        <f>12*2500000</f>
        <v>30000000</v>
      </c>
      <c r="Q1634" s="31"/>
      <c r="R1634" s="27"/>
      <c r="S1634" s="32">
        <v>6000000</v>
      </c>
      <c r="T1634" s="33"/>
      <c r="U1634" s="334">
        <v>44575</v>
      </c>
      <c r="V1634" s="334">
        <v>44939</v>
      </c>
      <c r="W1634" s="27" t="s">
        <v>245</v>
      </c>
      <c r="X1634" s="27"/>
      <c r="Y1634" s="34">
        <f t="shared" ca="1" si="84"/>
        <v>46290</v>
      </c>
      <c r="Z1634" s="35">
        <f t="shared" ca="1" si="82"/>
        <v>-1351</v>
      </c>
      <c r="AA1634" s="27">
        <f t="shared" si="85"/>
        <v>1</v>
      </c>
      <c r="AB1634" s="27">
        <f t="shared" si="83"/>
        <v>2023</v>
      </c>
      <c r="AC1634" s="28" t="s">
        <v>479</v>
      </c>
      <c r="AD1634" s="28" t="s">
        <v>7916</v>
      </c>
      <c r="AE1634" s="27">
        <v>4500017495</v>
      </c>
      <c r="AF1634" s="27" t="s">
        <v>339</v>
      </c>
      <c r="AG1634" s="29" t="s">
        <v>7873</v>
      </c>
      <c r="AH1634" s="28"/>
      <c r="AI1634" s="27"/>
      <c r="AJ1634" s="27"/>
      <c r="AK1634" s="27"/>
      <c r="AL1634" s="27"/>
      <c r="AM1634" s="27"/>
      <c r="AN1634" s="27" t="s">
        <v>7917</v>
      </c>
      <c r="AO1634" s="27"/>
      <c r="AP1634" s="27"/>
      <c r="AQ1634" s="27"/>
      <c r="AR1634" s="504"/>
      <c r="AS1634" s="332" t="s">
        <v>7918</v>
      </c>
      <c r="AT1634" s="160"/>
    </row>
    <row r="1635" spans="1:46" ht="21.75" hidden="1" customHeight="1">
      <c r="A1635" s="331">
        <v>1634</v>
      </c>
      <c r="B1635" s="28" t="s">
        <v>225</v>
      </c>
      <c r="C1635" s="28" t="s">
        <v>7919</v>
      </c>
      <c r="D1635" s="437" t="s">
        <v>369</v>
      </c>
      <c r="E1635" s="361" t="str">
        <f t="shared" ca="1" si="81"/>
        <v>LOSS</v>
      </c>
      <c r="F1635" s="29" t="s">
        <v>7920</v>
      </c>
      <c r="G1635" s="28" t="s">
        <v>7921</v>
      </c>
      <c r="H1635" s="29" t="s">
        <v>2748</v>
      </c>
      <c r="I1635" s="29" t="s">
        <v>242</v>
      </c>
      <c r="J1635" s="28" t="s">
        <v>7922</v>
      </c>
      <c r="K1635" s="28"/>
      <c r="L1635" s="27"/>
      <c r="M1635" s="27"/>
      <c r="N1635" s="29"/>
      <c r="O1635" s="56"/>
      <c r="P1635" s="31">
        <v>36000000</v>
      </c>
      <c r="Q1635" s="31"/>
      <c r="R1635" s="27"/>
      <c r="S1635" s="32">
        <v>9000000</v>
      </c>
      <c r="T1635" s="33"/>
      <c r="U1635" s="334">
        <v>43714</v>
      </c>
      <c r="V1635" s="334">
        <v>44079</v>
      </c>
      <c r="W1635" s="27" t="s">
        <v>250</v>
      </c>
      <c r="X1635" s="27"/>
      <c r="Y1635" s="34">
        <f t="shared" ca="1" si="84"/>
        <v>46290</v>
      </c>
      <c r="Z1635" s="35">
        <f t="shared" ca="1" si="82"/>
        <v>-2211</v>
      </c>
      <c r="AA1635" s="27">
        <f t="shared" si="85"/>
        <v>9</v>
      </c>
      <c r="AB1635" s="27">
        <f t="shared" si="83"/>
        <v>2020</v>
      </c>
      <c r="AC1635" s="28" t="s">
        <v>479</v>
      </c>
      <c r="AD1635" s="28" t="s">
        <v>7923</v>
      </c>
      <c r="AE1635" s="27">
        <v>4500013158</v>
      </c>
      <c r="AF1635" s="27" t="s">
        <v>339</v>
      </c>
      <c r="AG1635" s="29" t="s">
        <v>7873</v>
      </c>
      <c r="AH1635" s="28" t="s">
        <v>7924</v>
      </c>
      <c r="AI1635" s="27"/>
      <c r="AJ1635" s="27"/>
      <c r="AK1635" s="27" t="s">
        <v>7925</v>
      </c>
      <c r="AL1635" s="27"/>
      <c r="AM1635" s="27"/>
      <c r="AN1635" s="27"/>
      <c r="AO1635" s="27"/>
      <c r="AP1635" s="27"/>
      <c r="AQ1635" s="27"/>
      <c r="AR1635" s="504"/>
      <c r="AS1635" s="332" t="s">
        <v>7926</v>
      </c>
      <c r="AT1635" s="160"/>
    </row>
    <row r="1636" spans="1:46" ht="21.75" hidden="1" customHeight="1">
      <c r="A1636" s="331">
        <v>1635</v>
      </c>
      <c r="B1636" s="28" t="s">
        <v>225</v>
      </c>
      <c r="C1636" s="28" t="s">
        <v>7919</v>
      </c>
      <c r="D1636" s="438" t="s">
        <v>369</v>
      </c>
      <c r="E1636" s="361" t="str">
        <f t="shared" ca="1" si="81"/>
        <v>LOSS</v>
      </c>
      <c r="F1636" s="29" t="s">
        <v>7920</v>
      </c>
      <c r="G1636" s="28" t="s">
        <v>7921</v>
      </c>
      <c r="H1636" s="29" t="s">
        <v>2748</v>
      </c>
      <c r="I1636" s="29" t="s">
        <v>242</v>
      </c>
      <c r="J1636" s="28" t="s">
        <v>7922</v>
      </c>
      <c r="K1636" s="28"/>
      <c r="L1636" s="27"/>
      <c r="M1636" s="27"/>
      <c r="N1636" s="29"/>
      <c r="O1636" s="56"/>
      <c r="P1636" s="31">
        <v>36000000</v>
      </c>
      <c r="Q1636" s="31"/>
      <c r="R1636" s="27"/>
      <c r="S1636" s="32">
        <v>9000000</v>
      </c>
      <c r="T1636" s="33"/>
      <c r="U1636" s="334">
        <v>43714</v>
      </c>
      <c r="V1636" s="334">
        <v>44079</v>
      </c>
      <c r="W1636" s="27" t="s">
        <v>250</v>
      </c>
      <c r="X1636" s="27"/>
      <c r="Y1636" s="34">
        <f t="shared" ca="1" si="84"/>
        <v>46290</v>
      </c>
      <c r="Z1636" s="35">
        <f t="shared" ca="1" si="82"/>
        <v>-2211</v>
      </c>
      <c r="AA1636" s="27">
        <f t="shared" si="85"/>
        <v>9</v>
      </c>
      <c r="AB1636" s="27">
        <f t="shared" si="83"/>
        <v>2020</v>
      </c>
      <c r="AC1636" s="28" t="s">
        <v>479</v>
      </c>
      <c r="AD1636" s="28" t="s">
        <v>7927</v>
      </c>
      <c r="AE1636" s="27">
        <v>4500013158</v>
      </c>
      <c r="AF1636" s="27" t="s">
        <v>339</v>
      </c>
      <c r="AG1636" s="29" t="s">
        <v>7873</v>
      </c>
      <c r="AH1636" s="28"/>
      <c r="AI1636" s="27"/>
      <c r="AJ1636" s="27"/>
      <c r="AK1636" s="27" t="s">
        <v>7925</v>
      </c>
      <c r="AL1636" s="27"/>
      <c r="AM1636" s="27"/>
      <c r="AN1636" s="27"/>
      <c r="AO1636" s="27"/>
      <c r="AP1636" s="27"/>
      <c r="AQ1636" s="27"/>
      <c r="AR1636" s="504"/>
      <c r="AS1636" s="332" t="s">
        <v>7928</v>
      </c>
      <c r="AT1636" s="160"/>
    </row>
    <row r="1637" spans="1:46" ht="21.75" hidden="1" customHeight="1">
      <c r="A1637" s="331">
        <v>1636</v>
      </c>
      <c r="B1637" s="28" t="s">
        <v>225</v>
      </c>
      <c r="C1637" s="28" t="s">
        <v>7929</v>
      </c>
      <c r="D1637" s="437" t="s">
        <v>369</v>
      </c>
      <c r="E1637" s="361" t="str">
        <f t="shared" ca="1" si="81"/>
        <v>LOSS</v>
      </c>
      <c r="F1637" s="29" t="s">
        <v>7930</v>
      </c>
      <c r="G1637" s="28" t="s">
        <v>7931</v>
      </c>
      <c r="H1637" s="29" t="s">
        <v>2748</v>
      </c>
      <c r="I1637" s="29" t="s">
        <v>242</v>
      </c>
      <c r="J1637" s="28" t="s">
        <v>7932</v>
      </c>
      <c r="K1637" s="28"/>
      <c r="L1637" s="27"/>
      <c r="M1637" s="27"/>
      <c r="N1637" s="29"/>
      <c r="O1637" s="56"/>
      <c r="P1637" s="31">
        <v>90000000</v>
      </c>
      <c r="Q1637" s="31"/>
      <c r="R1637" s="27"/>
      <c r="S1637" s="32">
        <v>6000000</v>
      </c>
      <c r="T1637" s="33"/>
      <c r="U1637" s="334">
        <v>44125</v>
      </c>
      <c r="V1637" s="334">
        <v>44489</v>
      </c>
      <c r="W1637" s="27" t="s">
        <v>250</v>
      </c>
      <c r="X1637" s="27"/>
      <c r="Y1637" s="34">
        <f t="shared" ca="1" si="84"/>
        <v>46290</v>
      </c>
      <c r="Z1637" s="35">
        <f t="shared" ca="1" si="82"/>
        <v>-1801</v>
      </c>
      <c r="AA1637" s="27">
        <f t="shared" si="85"/>
        <v>10</v>
      </c>
      <c r="AB1637" s="27">
        <f t="shared" si="83"/>
        <v>2021</v>
      </c>
      <c r="AC1637" s="28" t="s">
        <v>7933</v>
      </c>
      <c r="AD1637" s="28" t="s">
        <v>7934</v>
      </c>
      <c r="AE1637" s="27">
        <v>4500013426</v>
      </c>
      <c r="AF1637" s="27" t="s">
        <v>339</v>
      </c>
      <c r="AG1637" s="29" t="s">
        <v>7873</v>
      </c>
      <c r="AH1637" s="28"/>
      <c r="AI1637" s="27"/>
      <c r="AJ1637" s="27"/>
      <c r="AK1637" s="27" t="s">
        <v>7935</v>
      </c>
      <c r="AL1637" s="27" t="s">
        <v>7936</v>
      </c>
      <c r="AM1637" s="27"/>
      <c r="AN1637" s="27"/>
      <c r="AO1637" s="27"/>
      <c r="AP1637" s="27"/>
      <c r="AQ1637" s="27"/>
      <c r="AR1637" s="504"/>
      <c r="AS1637" s="332" t="s">
        <v>7937</v>
      </c>
      <c r="AT1637" s="160"/>
    </row>
    <row r="1638" spans="1:46" ht="21.75" hidden="1" customHeight="1">
      <c r="A1638" s="331">
        <v>1637</v>
      </c>
      <c r="B1638" s="28" t="s">
        <v>225</v>
      </c>
      <c r="C1638" s="28" t="s">
        <v>7929</v>
      </c>
      <c r="D1638" s="438" t="s">
        <v>369</v>
      </c>
      <c r="E1638" s="361" t="str">
        <f t="shared" ca="1" si="81"/>
        <v>LOSS</v>
      </c>
      <c r="F1638" s="29" t="s">
        <v>7930</v>
      </c>
      <c r="G1638" s="28" t="s">
        <v>7931</v>
      </c>
      <c r="H1638" s="29" t="s">
        <v>2748</v>
      </c>
      <c r="I1638" s="29" t="s">
        <v>242</v>
      </c>
      <c r="J1638" s="28" t="s">
        <v>7932</v>
      </c>
      <c r="K1638" s="28"/>
      <c r="L1638" s="27"/>
      <c r="M1638" s="27"/>
      <c r="N1638" s="29"/>
      <c r="O1638" s="56"/>
      <c r="P1638" s="31">
        <v>90000000</v>
      </c>
      <c r="Q1638" s="31"/>
      <c r="R1638" s="27"/>
      <c r="S1638" s="32">
        <v>6000000</v>
      </c>
      <c r="T1638" s="33"/>
      <c r="U1638" s="334">
        <v>44125</v>
      </c>
      <c r="V1638" s="334">
        <v>44489</v>
      </c>
      <c r="W1638" s="27" t="s">
        <v>250</v>
      </c>
      <c r="X1638" s="27"/>
      <c r="Y1638" s="34">
        <f t="shared" ca="1" si="84"/>
        <v>46290</v>
      </c>
      <c r="Z1638" s="35">
        <f t="shared" ca="1" si="82"/>
        <v>-1801</v>
      </c>
      <c r="AA1638" s="27">
        <f t="shared" si="85"/>
        <v>10</v>
      </c>
      <c r="AB1638" s="27">
        <f t="shared" si="83"/>
        <v>2021</v>
      </c>
      <c r="AC1638" s="28" t="s">
        <v>479</v>
      </c>
      <c r="AD1638" s="28" t="s">
        <v>7934</v>
      </c>
      <c r="AE1638" s="27">
        <v>4500015040</v>
      </c>
      <c r="AF1638" s="27" t="s">
        <v>339</v>
      </c>
      <c r="AG1638" s="29" t="s">
        <v>7873</v>
      </c>
      <c r="AH1638" s="28"/>
      <c r="AI1638" s="27"/>
      <c r="AJ1638" s="27"/>
      <c r="AK1638" s="27"/>
      <c r="AL1638" s="27"/>
      <c r="AM1638" s="27" t="s">
        <v>115</v>
      </c>
      <c r="AN1638" s="27"/>
      <c r="AO1638" s="27"/>
      <c r="AP1638" s="27"/>
      <c r="AQ1638" s="27"/>
      <c r="AR1638" s="504"/>
      <c r="AS1638" s="332" t="s">
        <v>7938</v>
      </c>
      <c r="AT1638" s="160"/>
    </row>
    <row r="1639" spans="1:46" ht="21.75" hidden="1" customHeight="1">
      <c r="A1639" s="331">
        <v>1638</v>
      </c>
      <c r="B1639" s="28" t="s">
        <v>225</v>
      </c>
      <c r="C1639" s="28" t="s">
        <v>7929</v>
      </c>
      <c r="D1639" s="437" t="s">
        <v>369</v>
      </c>
      <c r="E1639" s="361" t="str">
        <f t="shared" ca="1" si="81"/>
        <v>LOSS</v>
      </c>
      <c r="F1639" s="29" t="s">
        <v>7930</v>
      </c>
      <c r="G1639" s="28" t="s">
        <v>7939</v>
      </c>
      <c r="H1639" s="29" t="s">
        <v>2748</v>
      </c>
      <c r="I1639" s="29" t="s">
        <v>242</v>
      </c>
      <c r="J1639" s="28" t="s">
        <v>7932</v>
      </c>
      <c r="K1639" s="28"/>
      <c r="L1639" s="27"/>
      <c r="M1639" s="27"/>
      <c r="N1639" s="29"/>
      <c r="O1639" s="56"/>
      <c r="P1639" s="31">
        <v>90000000</v>
      </c>
      <c r="Q1639" s="31"/>
      <c r="R1639" s="27"/>
      <c r="S1639" s="32">
        <v>6000000</v>
      </c>
      <c r="T1639" s="33"/>
      <c r="U1639" s="334">
        <v>44168</v>
      </c>
      <c r="V1639" s="334">
        <v>44532</v>
      </c>
      <c r="W1639" s="27" t="s">
        <v>250</v>
      </c>
      <c r="X1639" s="27"/>
      <c r="Y1639" s="34">
        <f t="shared" ca="1" si="84"/>
        <v>46290</v>
      </c>
      <c r="Z1639" s="35">
        <f t="shared" ca="1" si="82"/>
        <v>-1758</v>
      </c>
      <c r="AA1639" s="27">
        <f t="shared" si="85"/>
        <v>12</v>
      </c>
      <c r="AB1639" s="27">
        <f t="shared" si="83"/>
        <v>2021</v>
      </c>
      <c r="AC1639" s="28" t="s">
        <v>7940</v>
      </c>
      <c r="AD1639" s="28" t="s">
        <v>7941</v>
      </c>
      <c r="AE1639" s="27">
        <v>4500015484</v>
      </c>
      <c r="AF1639" s="27" t="s">
        <v>339</v>
      </c>
      <c r="AG1639" s="29" t="s">
        <v>7873</v>
      </c>
      <c r="AH1639" s="28"/>
      <c r="AI1639" s="27"/>
      <c r="AJ1639" s="27"/>
      <c r="AK1639" s="27" t="s">
        <v>7942</v>
      </c>
      <c r="AL1639" s="27" t="s">
        <v>7943</v>
      </c>
      <c r="AM1639" s="27"/>
      <c r="AN1639" s="27"/>
      <c r="AO1639" s="27"/>
      <c r="AP1639" s="27"/>
      <c r="AQ1639" s="27"/>
      <c r="AR1639" s="504"/>
      <c r="AS1639" s="332" t="s">
        <v>7944</v>
      </c>
      <c r="AT1639" s="160"/>
    </row>
    <row r="1640" spans="1:46" ht="21.75" hidden="1" customHeight="1">
      <c r="A1640" s="331">
        <v>1639</v>
      </c>
      <c r="B1640" s="28" t="s">
        <v>225</v>
      </c>
      <c r="C1640" s="28" t="s">
        <v>7945</v>
      </c>
      <c r="D1640" s="438" t="s">
        <v>369</v>
      </c>
      <c r="E1640" s="361" t="str">
        <f t="shared" ca="1" si="81"/>
        <v>LOSS</v>
      </c>
      <c r="F1640" s="29" t="s">
        <v>115</v>
      </c>
      <c r="G1640" s="28" t="s">
        <v>7946</v>
      </c>
      <c r="H1640" s="29" t="s">
        <v>2748</v>
      </c>
      <c r="I1640" s="29" t="s">
        <v>242</v>
      </c>
      <c r="J1640" s="28" t="s">
        <v>7947</v>
      </c>
      <c r="K1640" s="28"/>
      <c r="L1640" s="27"/>
      <c r="M1640" s="27" t="s">
        <v>7948</v>
      </c>
      <c r="N1640" s="29" t="s">
        <v>424</v>
      </c>
      <c r="O1640" s="56"/>
      <c r="P1640" s="31">
        <v>26400000</v>
      </c>
      <c r="Q1640" s="31"/>
      <c r="R1640" s="27"/>
      <c r="S1640" s="32">
        <v>1100000</v>
      </c>
      <c r="T1640" s="33"/>
      <c r="U1640" s="334">
        <v>44949</v>
      </c>
      <c r="V1640" s="334">
        <v>45679</v>
      </c>
      <c r="W1640" s="27" t="s">
        <v>250</v>
      </c>
      <c r="X1640" s="27"/>
      <c r="Y1640" s="34">
        <f t="shared" ca="1" si="84"/>
        <v>46290</v>
      </c>
      <c r="Z1640" s="35">
        <f t="shared" ca="1" si="82"/>
        <v>-611</v>
      </c>
      <c r="AA1640" s="27">
        <f t="shared" si="85"/>
        <v>1</v>
      </c>
      <c r="AB1640" s="27">
        <f t="shared" si="83"/>
        <v>2025</v>
      </c>
      <c r="AC1640" s="28" t="s">
        <v>479</v>
      </c>
      <c r="AD1640" s="28" t="s">
        <v>7949</v>
      </c>
      <c r="AE1640" s="27">
        <v>4500022590</v>
      </c>
      <c r="AF1640" s="27" t="s">
        <v>339</v>
      </c>
      <c r="AG1640" s="29" t="s">
        <v>7873</v>
      </c>
      <c r="AH1640" s="28"/>
      <c r="AI1640" s="27"/>
      <c r="AJ1640" s="27"/>
      <c r="AK1640" s="27" t="s">
        <v>7950</v>
      </c>
      <c r="AL1640" s="27"/>
      <c r="AM1640" s="27"/>
      <c r="AN1640" s="27"/>
      <c r="AO1640" s="27"/>
      <c r="AP1640" s="27"/>
      <c r="AQ1640" s="27"/>
      <c r="AR1640" s="504"/>
      <c r="AS1640" s="332" t="s">
        <v>7928</v>
      </c>
      <c r="AT1640" s="160"/>
    </row>
    <row r="1641" spans="1:46" ht="21.75" hidden="1" customHeight="1">
      <c r="A1641" s="331">
        <v>1640</v>
      </c>
      <c r="B1641" s="28" t="s">
        <v>225</v>
      </c>
      <c r="C1641" s="28" t="s">
        <v>4688</v>
      </c>
      <c r="D1641" s="437" t="s">
        <v>369</v>
      </c>
      <c r="E1641" s="361" t="str">
        <f t="shared" ca="1" si="81"/>
        <v>LOSS</v>
      </c>
      <c r="F1641" s="29" t="s">
        <v>7346</v>
      </c>
      <c r="G1641" s="28" t="s">
        <v>3392</v>
      </c>
      <c r="H1641" s="29" t="s">
        <v>2748</v>
      </c>
      <c r="I1641" s="29" t="s">
        <v>242</v>
      </c>
      <c r="J1641" s="28" t="s">
        <v>7951</v>
      </c>
      <c r="K1641" s="28"/>
      <c r="L1641" s="27"/>
      <c r="M1641" s="27"/>
      <c r="N1641" s="29"/>
      <c r="O1641" s="56"/>
      <c r="P1641" s="31">
        <v>210336000</v>
      </c>
      <c r="Q1641" s="31"/>
      <c r="R1641" s="27"/>
      <c r="S1641" s="32">
        <v>18000000</v>
      </c>
      <c r="T1641" s="33"/>
      <c r="U1641" s="334">
        <v>44186</v>
      </c>
      <c r="V1641" s="334">
        <v>44550</v>
      </c>
      <c r="W1641" s="27" t="s">
        <v>250</v>
      </c>
      <c r="X1641" s="27"/>
      <c r="Y1641" s="34">
        <f t="shared" ca="1" si="84"/>
        <v>46290</v>
      </c>
      <c r="Z1641" s="35">
        <f t="shared" ca="1" si="82"/>
        <v>-1740</v>
      </c>
      <c r="AA1641" s="27">
        <f t="shared" si="85"/>
        <v>12</v>
      </c>
      <c r="AB1641" s="27">
        <f t="shared" si="83"/>
        <v>2021</v>
      </c>
      <c r="AC1641" s="28" t="s">
        <v>479</v>
      </c>
      <c r="AD1641" s="28" t="s">
        <v>7952</v>
      </c>
      <c r="AE1641" s="27">
        <v>4500015511</v>
      </c>
      <c r="AF1641" s="27" t="s">
        <v>339</v>
      </c>
      <c r="AG1641" s="29" t="s">
        <v>376</v>
      </c>
      <c r="AH1641" s="28" t="s">
        <v>7903</v>
      </c>
      <c r="AI1641" s="27"/>
      <c r="AJ1641" s="27"/>
      <c r="AK1641" s="27"/>
      <c r="AL1641" s="27" t="s">
        <v>7953</v>
      </c>
      <c r="AM1641" s="27"/>
      <c r="AN1641" s="27"/>
      <c r="AO1641" s="27"/>
      <c r="AP1641" s="27"/>
      <c r="AQ1641" s="27"/>
      <c r="AR1641" s="504"/>
      <c r="AS1641" s="332" t="s">
        <v>7954</v>
      </c>
      <c r="AT1641" s="160"/>
    </row>
    <row r="1642" spans="1:46" ht="21.75" hidden="1" customHeight="1">
      <c r="A1642" s="331">
        <v>1641</v>
      </c>
      <c r="B1642" s="28" t="s">
        <v>225</v>
      </c>
      <c r="C1642" s="28" t="s">
        <v>2561</v>
      </c>
      <c r="D1642" s="438" t="s">
        <v>369</v>
      </c>
      <c r="E1642" s="361" t="str">
        <f t="shared" ca="1" si="81"/>
        <v>LOSS</v>
      </c>
      <c r="F1642" s="29" t="s">
        <v>7955</v>
      </c>
      <c r="G1642" s="28" t="s">
        <v>7956</v>
      </c>
      <c r="H1642" s="29" t="s">
        <v>2748</v>
      </c>
      <c r="I1642" s="29" t="s">
        <v>242</v>
      </c>
      <c r="J1642" s="28" t="s">
        <v>855</v>
      </c>
      <c r="K1642" s="28"/>
      <c r="L1642" s="27"/>
      <c r="M1642" s="27" t="s">
        <v>365</v>
      </c>
      <c r="N1642" s="29" t="s">
        <v>7088</v>
      </c>
      <c r="O1642" s="56"/>
      <c r="P1642" s="31">
        <v>480000000</v>
      </c>
      <c r="Q1642" s="31"/>
      <c r="R1642" s="27"/>
      <c r="S1642" s="32">
        <f>500000*12</f>
        <v>6000000</v>
      </c>
      <c r="T1642" s="33"/>
      <c r="U1642" s="334">
        <v>45032</v>
      </c>
      <c r="V1642" s="334">
        <v>45762</v>
      </c>
      <c r="W1642" s="27" t="s">
        <v>250</v>
      </c>
      <c r="X1642" s="27"/>
      <c r="Y1642" s="34">
        <f t="shared" ca="1" si="84"/>
        <v>46290</v>
      </c>
      <c r="Z1642" s="35">
        <f t="shared" ca="1" si="82"/>
        <v>-528</v>
      </c>
      <c r="AA1642" s="27">
        <f t="shared" si="85"/>
        <v>4</v>
      </c>
      <c r="AB1642" s="27">
        <f t="shared" si="83"/>
        <v>2025</v>
      </c>
      <c r="AC1642" s="28" t="s">
        <v>7957</v>
      </c>
      <c r="AD1642" s="28" t="s">
        <v>7958</v>
      </c>
      <c r="AE1642" s="27">
        <v>4500022574</v>
      </c>
      <c r="AF1642" s="27" t="s">
        <v>339</v>
      </c>
      <c r="AG1642" s="29" t="s">
        <v>376</v>
      </c>
      <c r="AH1642" s="28"/>
      <c r="AI1642" s="27"/>
      <c r="AJ1642" s="27"/>
      <c r="AK1642" s="27" t="s">
        <v>7959</v>
      </c>
      <c r="AL1642" s="27" t="s">
        <v>7960</v>
      </c>
      <c r="AM1642" s="27" t="s">
        <v>7961</v>
      </c>
      <c r="AN1642" s="27" t="s">
        <v>7962</v>
      </c>
      <c r="AO1642" s="27" t="s">
        <v>5707</v>
      </c>
      <c r="AP1642" s="27" t="s">
        <v>7963</v>
      </c>
      <c r="AQ1642" s="27"/>
      <c r="AR1642" s="504"/>
      <c r="AS1642" s="332" t="s">
        <v>7964</v>
      </c>
      <c r="AT1642" s="160"/>
    </row>
    <row r="1643" spans="1:46" ht="21.75" hidden="1" customHeight="1">
      <c r="A1643" s="331">
        <v>1642</v>
      </c>
      <c r="B1643" s="28" t="s">
        <v>225</v>
      </c>
      <c r="C1643" s="28" t="s">
        <v>3601</v>
      </c>
      <c r="D1643" s="437" t="s">
        <v>369</v>
      </c>
      <c r="E1643" s="361" t="str">
        <f t="shared" ca="1" si="81"/>
        <v>LOSS</v>
      </c>
      <c r="F1643" s="29" t="s">
        <v>7965</v>
      </c>
      <c r="G1643" s="28" t="s">
        <v>7899</v>
      </c>
      <c r="H1643" s="29" t="s">
        <v>2748</v>
      </c>
      <c r="I1643" s="29" t="s">
        <v>242</v>
      </c>
      <c r="J1643" s="28" t="s">
        <v>1425</v>
      </c>
      <c r="K1643" s="28"/>
      <c r="L1643" s="27"/>
      <c r="M1643" s="27"/>
      <c r="N1643" s="29"/>
      <c r="O1643" s="56"/>
      <c r="P1643" s="31">
        <v>216000000</v>
      </c>
      <c r="Q1643" s="31"/>
      <c r="R1643" s="27"/>
      <c r="S1643" s="32">
        <v>12000000</v>
      </c>
      <c r="T1643" s="33"/>
      <c r="U1643" s="334">
        <v>44354</v>
      </c>
      <c r="V1643" s="334">
        <v>44718</v>
      </c>
      <c r="W1643" s="27" t="s">
        <v>250</v>
      </c>
      <c r="X1643" s="27"/>
      <c r="Y1643" s="34">
        <f t="shared" ca="1" si="84"/>
        <v>46290</v>
      </c>
      <c r="Z1643" s="35">
        <f t="shared" ca="1" si="82"/>
        <v>-1572</v>
      </c>
      <c r="AA1643" s="27">
        <f t="shared" si="85"/>
        <v>6</v>
      </c>
      <c r="AB1643" s="27">
        <f t="shared" si="83"/>
        <v>2022</v>
      </c>
      <c r="AC1643" s="28"/>
      <c r="AD1643" s="28" t="s">
        <v>1426</v>
      </c>
      <c r="AE1643" s="27">
        <v>4500016294</v>
      </c>
      <c r="AF1643" s="27" t="s">
        <v>339</v>
      </c>
      <c r="AG1643" s="29" t="s">
        <v>7902</v>
      </c>
      <c r="AH1643" s="28" t="s">
        <v>7903</v>
      </c>
      <c r="AI1643" s="27"/>
      <c r="AJ1643" s="27"/>
      <c r="AK1643" s="27"/>
      <c r="AL1643" s="27"/>
      <c r="AM1643" s="27" t="s">
        <v>7966</v>
      </c>
      <c r="AN1643" s="27"/>
      <c r="AO1643" s="27"/>
      <c r="AP1643" s="27"/>
      <c r="AQ1643" s="27"/>
      <c r="AR1643" s="504"/>
      <c r="AS1643" s="332" t="s">
        <v>7967</v>
      </c>
      <c r="AT1643" s="160"/>
    </row>
    <row r="1644" spans="1:46" ht="21.75" hidden="1" customHeight="1">
      <c r="A1644" s="331">
        <v>1643</v>
      </c>
      <c r="B1644" s="28" t="s">
        <v>225</v>
      </c>
      <c r="C1644" s="28" t="s">
        <v>1869</v>
      </c>
      <c r="D1644" s="438" t="s">
        <v>369</v>
      </c>
      <c r="E1644" s="361" t="str">
        <f t="shared" ca="1" si="81"/>
        <v>LOSS</v>
      </c>
      <c r="F1644" s="29" t="s">
        <v>115</v>
      </c>
      <c r="G1644" s="28" t="s">
        <v>7968</v>
      </c>
      <c r="H1644" s="29" t="s">
        <v>2748</v>
      </c>
      <c r="I1644" s="29" t="s">
        <v>242</v>
      </c>
      <c r="J1644" s="28" t="s">
        <v>873</v>
      </c>
      <c r="K1644" s="28"/>
      <c r="L1644" s="27"/>
      <c r="M1644" s="27"/>
      <c r="N1644" s="29"/>
      <c r="O1644" s="56"/>
      <c r="P1644" s="31">
        <v>13200000</v>
      </c>
      <c r="Q1644" s="31"/>
      <c r="R1644" s="27"/>
      <c r="S1644" s="32">
        <v>6000000</v>
      </c>
      <c r="T1644" s="33"/>
      <c r="U1644" s="334">
        <v>44219</v>
      </c>
      <c r="V1644" s="334">
        <v>44583</v>
      </c>
      <c r="W1644" s="27" t="s">
        <v>250</v>
      </c>
      <c r="X1644" s="27"/>
      <c r="Y1644" s="34">
        <f t="shared" ca="1" si="84"/>
        <v>46290</v>
      </c>
      <c r="Z1644" s="35">
        <f t="shared" ca="1" si="82"/>
        <v>-1707</v>
      </c>
      <c r="AA1644" s="27">
        <f t="shared" si="85"/>
        <v>1</v>
      </c>
      <c r="AB1644" s="27">
        <f t="shared" si="83"/>
        <v>2022</v>
      </c>
      <c r="AC1644" s="28" t="s">
        <v>7969</v>
      </c>
      <c r="AD1644" s="28" t="s">
        <v>7970</v>
      </c>
      <c r="AE1644" s="27">
        <v>4500018119</v>
      </c>
      <c r="AF1644" s="27" t="s">
        <v>339</v>
      </c>
      <c r="AG1644" s="29" t="s">
        <v>7873</v>
      </c>
      <c r="AH1644" s="28"/>
      <c r="AI1644" s="27"/>
      <c r="AJ1644" s="27"/>
      <c r="AK1644" s="27"/>
      <c r="AL1644" s="27" t="s">
        <v>7971</v>
      </c>
      <c r="AM1644" s="27" t="s">
        <v>7972</v>
      </c>
      <c r="AN1644" s="27" t="s">
        <v>7973</v>
      </c>
      <c r="AO1644" s="27"/>
      <c r="AP1644" s="27"/>
      <c r="AQ1644" s="27"/>
      <c r="AR1644" s="504"/>
      <c r="AS1644" s="332" t="s">
        <v>7974</v>
      </c>
      <c r="AT1644" s="160"/>
    </row>
    <row r="1645" spans="1:46" ht="21.75" hidden="1" customHeight="1">
      <c r="A1645" s="331">
        <v>1644</v>
      </c>
      <c r="B1645" s="28" t="s">
        <v>225</v>
      </c>
      <c r="C1645" s="28" t="s">
        <v>7975</v>
      </c>
      <c r="D1645" s="437" t="s">
        <v>369</v>
      </c>
      <c r="E1645" s="361" t="str">
        <f t="shared" ca="1" si="81"/>
        <v>LOSS</v>
      </c>
      <c r="F1645" s="29" t="s">
        <v>115</v>
      </c>
      <c r="G1645" s="28" t="s">
        <v>7976</v>
      </c>
      <c r="H1645" s="29" t="s">
        <v>2748</v>
      </c>
      <c r="I1645" s="29" t="s">
        <v>346</v>
      </c>
      <c r="J1645" s="28" t="s">
        <v>7977</v>
      </c>
      <c r="K1645" s="28"/>
      <c r="L1645" s="27"/>
      <c r="M1645" s="27"/>
      <c r="N1645" s="29"/>
      <c r="O1645" s="56"/>
      <c r="P1645" s="31">
        <v>7048087276</v>
      </c>
      <c r="Q1645" s="31"/>
      <c r="R1645" s="27"/>
      <c r="S1645" s="32">
        <v>112140000</v>
      </c>
      <c r="T1645" s="33"/>
      <c r="U1645" s="334">
        <v>44562</v>
      </c>
      <c r="V1645" s="334">
        <v>44926</v>
      </c>
      <c r="W1645" s="27" t="s">
        <v>250</v>
      </c>
      <c r="X1645" s="27"/>
      <c r="Y1645" s="34">
        <f t="shared" ca="1" si="84"/>
        <v>46290</v>
      </c>
      <c r="Z1645" s="35">
        <f t="shared" ca="1" si="82"/>
        <v>-1364</v>
      </c>
      <c r="AA1645" s="27">
        <f t="shared" si="85"/>
        <v>12</v>
      </c>
      <c r="AB1645" s="27">
        <f t="shared" si="83"/>
        <v>2022</v>
      </c>
      <c r="AC1645" s="28" t="s">
        <v>7978</v>
      </c>
      <c r="AD1645" s="28" t="s">
        <v>7979</v>
      </c>
      <c r="AE1645" s="27">
        <v>4500017489</v>
      </c>
      <c r="AF1645" s="27" t="s">
        <v>339</v>
      </c>
      <c r="AG1645" s="29" t="s">
        <v>7873</v>
      </c>
      <c r="AH1645" s="28"/>
      <c r="AI1645" s="27"/>
      <c r="AJ1645" s="27" t="s">
        <v>7980</v>
      </c>
      <c r="AK1645" s="27" t="s">
        <v>7981</v>
      </c>
      <c r="AL1645" s="27" t="s">
        <v>7982</v>
      </c>
      <c r="AM1645" s="27" t="s">
        <v>7983</v>
      </c>
      <c r="AN1645" s="27"/>
      <c r="AO1645" s="27"/>
      <c r="AP1645" s="27"/>
      <c r="AQ1645" s="27"/>
      <c r="AR1645" s="504"/>
      <c r="AS1645" s="332"/>
      <c r="AT1645" s="160"/>
    </row>
    <row r="1646" spans="1:46" ht="21.75" hidden="1" customHeight="1">
      <c r="A1646" s="331">
        <v>1645</v>
      </c>
      <c r="B1646" s="28" t="s">
        <v>225</v>
      </c>
      <c r="C1646" s="28" t="s">
        <v>7984</v>
      </c>
      <c r="D1646" s="438" t="s">
        <v>369</v>
      </c>
      <c r="E1646" s="361" t="str">
        <f t="shared" ca="1" si="81"/>
        <v>LOSS</v>
      </c>
      <c r="F1646" s="29" t="s">
        <v>7985</v>
      </c>
      <c r="G1646" s="28" t="s">
        <v>7986</v>
      </c>
      <c r="H1646" s="29" t="s">
        <v>2748</v>
      </c>
      <c r="I1646" s="29" t="s">
        <v>242</v>
      </c>
      <c r="J1646" s="28" t="s">
        <v>7987</v>
      </c>
      <c r="K1646" s="28"/>
      <c r="L1646" s="27"/>
      <c r="M1646" s="27"/>
      <c r="N1646" s="29"/>
      <c r="O1646" s="56"/>
      <c r="P1646" s="31">
        <v>24000000</v>
      </c>
      <c r="Q1646" s="31"/>
      <c r="R1646" s="27"/>
      <c r="S1646" s="32">
        <v>6000000</v>
      </c>
      <c r="T1646" s="33"/>
      <c r="U1646" s="334">
        <v>45001</v>
      </c>
      <c r="V1646" s="334">
        <v>45731</v>
      </c>
      <c r="W1646" s="27" t="s">
        <v>250</v>
      </c>
      <c r="X1646" s="27"/>
      <c r="Y1646" s="34">
        <f t="shared" ca="1" si="84"/>
        <v>46290</v>
      </c>
      <c r="Z1646" s="35">
        <f t="shared" ca="1" si="82"/>
        <v>-559</v>
      </c>
      <c r="AA1646" s="27">
        <f t="shared" si="85"/>
        <v>3</v>
      </c>
      <c r="AB1646" s="27">
        <f t="shared" si="83"/>
        <v>2025</v>
      </c>
      <c r="AC1646" s="28" t="s">
        <v>7988</v>
      </c>
      <c r="AD1646" s="28" t="s">
        <v>7989</v>
      </c>
      <c r="AE1646" s="27">
        <v>4500022662</v>
      </c>
      <c r="AF1646" s="27" t="s">
        <v>339</v>
      </c>
      <c r="AG1646" s="29" t="s">
        <v>376</v>
      </c>
      <c r="AH1646" s="28"/>
      <c r="AI1646" s="27"/>
      <c r="AJ1646" s="27"/>
      <c r="AK1646" s="27"/>
      <c r="AL1646" s="27" t="s">
        <v>7990</v>
      </c>
      <c r="AM1646" s="27" t="s">
        <v>7991</v>
      </c>
      <c r="AN1646" s="27"/>
      <c r="AO1646" s="27"/>
      <c r="AP1646" s="68" t="s">
        <v>7992</v>
      </c>
      <c r="AQ1646" s="68"/>
      <c r="AR1646" s="505"/>
      <c r="AS1646" s="332" t="s">
        <v>7993</v>
      </c>
      <c r="AT1646" s="160"/>
    </row>
    <row r="1647" spans="1:46" ht="21.75" hidden="1" customHeight="1">
      <c r="A1647" s="331">
        <v>1646</v>
      </c>
      <c r="B1647" s="28" t="s">
        <v>225</v>
      </c>
      <c r="C1647" s="28" t="s">
        <v>3601</v>
      </c>
      <c r="D1647" s="437" t="s">
        <v>369</v>
      </c>
      <c r="E1647" s="361" t="str">
        <f t="shared" ca="1" si="81"/>
        <v>LOSS</v>
      </c>
      <c r="F1647" s="29" t="s">
        <v>7965</v>
      </c>
      <c r="G1647" s="28" t="s">
        <v>7994</v>
      </c>
      <c r="H1647" s="29" t="s">
        <v>2748</v>
      </c>
      <c r="I1647" s="29" t="s">
        <v>242</v>
      </c>
      <c r="J1647" s="28" t="s">
        <v>1425</v>
      </c>
      <c r="K1647" s="28"/>
      <c r="L1647" s="27"/>
      <c r="M1647" s="27"/>
      <c r="N1647" s="29"/>
      <c r="O1647" s="56"/>
      <c r="P1647" s="31">
        <v>216000000</v>
      </c>
      <c r="Q1647" s="31"/>
      <c r="R1647" s="27"/>
      <c r="S1647" s="32">
        <v>12000000</v>
      </c>
      <c r="T1647" s="33"/>
      <c r="U1647" s="334">
        <v>44341</v>
      </c>
      <c r="V1647" s="334">
        <v>44705</v>
      </c>
      <c r="W1647" s="27" t="s">
        <v>250</v>
      </c>
      <c r="X1647" s="27"/>
      <c r="Y1647" s="34">
        <f t="shared" ca="1" si="84"/>
        <v>46290</v>
      </c>
      <c r="Z1647" s="35">
        <f t="shared" ca="1" si="82"/>
        <v>-1585</v>
      </c>
      <c r="AA1647" s="27">
        <f t="shared" si="85"/>
        <v>5</v>
      </c>
      <c r="AB1647" s="27">
        <f t="shared" si="83"/>
        <v>2022</v>
      </c>
      <c r="AC1647" s="28"/>
      <c r="AD1647" s="28" t="s">
        <v>7995</v>
      </c>
      <c r="AE1647" s="27">
        <v>4500016202</v>
      </c>
      <c r="AF1647" s="27" t="s">
        <v>339</v>
      </c>
      <c r="AG1647" s="29" t="s">
        <v>7902</v>
      </c>
      <c r="AH1647" s="28" t="s">
        <v>7903</v>
      </c>
      <c r="AI1647" s="27"/>
      <c r="AJ1647" s="27"/>
      <c r="AK1647" s="27"/>
      <c r="AL1647" s="27"/>
      <c r="AM1647" s="27" t="s">
        <v>7996</v>
      </c>
      <c r="AN1647" s="27"/>
      <c r="AO1647" s="27"/>
      <c r="AP1647" s="27"/>
      <c r="AQ1647" s="27"/>
      <c r="AR1647" s="504"/>
      <c r="AS1647" s="332" t="s">
        <v>7967</v>
      </c>
      <c r="AT1647" s="160"/>
    </row>
    <row r="1648" spans="1:46" ht="21.75" hidden="1" customHeight="1">
      <c r="A1648" s="331">
        <v>1647</v>
      </c>
      <c r="B1648" s="28" t="s">
        <v>225</v>
      </c>
      <c r="C1648" s="28" t="s">
        <v>3601</v>
      </c>
      <c r="D1648" s="438" t="s">
        <v>369</v>
      </c>
      <c r="E1648" s="361" t="str">
        <f t="shared" ca="1" si="81"/>
        <v>LOSS</v>
      </c>
      <c r="F1648" s="29" t="s">
        <v>7899</v>
      </c>
      <c r="G1648" s="28" t="s">
        <v>7994</v>
      </c>
      <c r="H1648" s="29" t="s">
        <v>2748</v>
      </c>
      <c r="I1648" s="29" t="s">
        <v>242</v>
      </c>
      <c r="J1648" s="28" t="s">
        <v>7997</v>
      </c>
      <c r="K1648" s="28"/>
      <c r="L1648" s="27"/>
      <c r="M1648" s="27"/>
      <c r="N1648" s="29"/>
      <c r="O1648" s="56"/>
      <c r="P1648" s="31">
        <v>816000000</v>
      </c>
      <c r="Q1648" s="31"/>
      <c r="R1648" s="27"/>
      <c r="S1648" s="32">
        <v>24000000</v>
      </c>
      <c r="T1648" s="33"/>
      <c r="U1648" s="334">
        <v>44349</v>
      </c>
      <c r="V1648" s="334">
        <v>44713</v>
      </c>
      <c r="W1648" s="27" t="s">
        <v>250</v>
      </c>
      <c r="X1648" s="27"/>
      <c r="Y1648" s="34">
        <f t="shared" ca="1" si="84"/>
        <v>46290</v>
      </c>
      <c r="Z1648" s="35">
        <f t="shared" ca="1" si="82"/>
        <v>-1577</v>
      </c>
      <c r="AA1648" s="27">
        <f t="shared" si="85"/>
        <v>6</v>
      </c>
      <c r="AB1648" s="27">
        <f t="shared" si="83"/>
        <v>2022</v>
      </c>
      <c r="AC1648" s="28" t="s">
        <v>7998</v>
      </c>
      <c r="AD1648" s="28"/>
      <c r="AE1648" s="27"/>
      <c r="AF1648" s="27" t="s">
        <v>339</v>
      </c>
      <c r="AG1648" s="29" t="s">
        <v>7902</v>
      </c>
      <c r="AH1648" s="28" t="s">
        <v>7903</v>
      </c>
      <c r="AI1648" s="27"/>
      <c r="AJ1648" s="27"/>
      <c r="AK1648" s="27"/>
      <c r="AL1648" s="27"/>
      <c r="AM1648" s="27" t="s">
        <v>7999</v>
      </c>
      <c r="AN1648" s="27"/>
      <c r="AO1648" s="27"/>
      <c r="AP1648" s="27"/>
      <c r="AQ1648" s="27"/>
      <c r="AR1648" s="504"/>
      <c r="AS1648" s="332" t="s">
        <v>8000</v>
      </c>
      <c r="AT1648" s="160"/>
    </row>
    <row r="1649" spans="1:46" ht="21.75" hidden="1" customHeight="1">
      <c r="A1649" s="331">
        <v>1648</v>
      </c>
      <c r="B1649" s="28" t="s">
        <v>225</v>
      </c>
      <c r="C1649" s="28" t="s">
        <v>4688</v>
      </c>
      <c r="D1649" s="437" t="s">
        <v>369</v>
      </c>
      <c r="E1649" s="361" t="str">
        <f t="shared" ca="1" si="81"/>
        <v>LOSS</v>
      </c>
      <c r="F1649" s="29" t="s">
        <v>8001</v>
      </c>
      <c r="G1649" s="28" t="s">
        <v>8001</v>
      </c>
      <c r="H1649" s="29" t="s">
        <v>2748</v>
      </c>
      <c r="I1649" s="29" t="s">
        <v>242</v>
      </c>
      <c r="J1649" s="28" t="s">
        <v>8002</v>
      </c>
      <c r="K1649" s="28"/>
      <c r="L1649" s="27"/>
      <c r="M1649" s="27"/>
      <c r="N1649" s="29"/>
      <c r="O1649" s="56"/>
      <c r="P1649" s="31">
        <v>1067040000</v>
      </c>
      <c r="Q1649" s="31"/>
      <c r="R1649" s="27"/>
      <c r="S1649" s="32">
        <v>36000000</v>
      </c>
      <c r="T1649" s="33"/>
      <c r="U1649" s="334">
        <v>44445</v>
      </c>
      <c r="V1649" s="334">
        <v>44809</v>
      </c>
      <c r="W1649" s="27" t="s">
        <v>250</v>
      </c>
      <c r="X1649" s="27"/>
      <c r="Y1649" s="34">
        <f t="shared" ca="1" si="84"/>
        <v>46290</v>
      </c>
      <c r="Z1649" s="35">
        <f t="shared" ca="1" si="82"/>
        <v>-1481</v>
      </c>
      <c r="AA1649" s="27">
        <f t="shared" si="85"/>
        <v>9</v>
      </c>
      <c r="AB1649" s="27">
        <f t="shared" si="83"/>
        <v>2022</v>
      </c>
      <c r="AC1649" s="28" t="s">
        <v>8003</v>
      </c>
      <c r="AD1649" s="28" t="s">
        <v>1598</v>
      </c>
      <c r="AE1649" s="27">
        <v>4500016631</v>
      </c>
      <c r="AF1649" s="27" t="s">
        <v>339</v>
      </c>
      <c r="AG1649" s="29" t="s">
        <v>376</v>
      </c>
      <c r="AH1649" s="28" t="s">
        <v>7903</v>
      </c>
      <c r="AI1649" s="27"/>
      <c r="AJ1649" s="27"/>
      <c r="AK1649" s="27" t="s">
        <v>8004</v>
      </c>
      <c r="AL1649" s="27" t="s">
        <v>8005</v>
      </c>
      <c r="AM1649" s="27" t="s">
        <v>8006</v>
      </c>
      <c r="AN1649" s="27"/>
      <c r="AO1649" s="27"/>
      <c r="AP1649" s="27"/>
      <c r="AQ1649" s="27"/>
      <c r="AR1649" s="504"/>
      <c r="AS1649" s="332" t="s">
        <v>8007</v>
      </c>
      <c r="AT1649" s="160"/>
    </row>
    <row r="1650" spans="1:46" ht="21.75" hidden="1" customHeight="1">
      <c r="A1650" s="331">
        <v>1649</v>
      </c>
      <c r="B1650" s="28" t="s">
        <v>225</v>
      </c>
      <c r="C1650" s="28" t="s">
        <v>4688</v>
      </c>
      <c r="D1650" s="438" t="s">
        <v>369</v>
      </c>
      <c r="E1650" s="361" t="str">
        <f t="shared" ca="1" si="81"/>
        <v>LOSS</v>
      </c>
      <c r="F1650" s="29" t="s">
        <v>8008</v>
      </c>
      <c r="G1650" s="28" t="s">
        <v>8001</v>
      </c>
      <c r="H1650" s="29" t="s">
        <v>2748</v>
      </c>
      <c r="I1650" s="29" t="s">
        <v>346</v>
      </c>
      <c r="J1650" s="28" t="s">
        <v>8002</v>
      </c>
      <c r="K1650" s="28"/>
      <c r="L1650" s="27"/>
      <c r="M1650" s="27"/>
      <c r="N1650" s="29"/>
      <c r="O1650" s="56"/>
      <c r="P1650" s="31">
        <v>858000000</v>
      </c>
      <c r="Q1650" s="31"/>
      <c r="R1650" s="27"/>
      <c r="S1650" s="32">
        <v>276000000</v>
      </c>
      <c r="T1650" s="33"/>
      <c r="U1650" s="334">
        <v>45175</v>
      </c>
      <c r="V1650" s="334">
        <v>45540</v>
      </c>
      <c r="W1650" s="27" t="s">
        <v>250</v>
      </c>
      <c r="X1650" s="27"/>
      <c r="Y1650" s="34">
        <f t="shared" ca="1" si="84"/>
        <v>46290</v>
      </c>
      <c r="Z1650" s="35">
        <f t="shared" ca="1" si="82"/>
        <v>-750</v>
      </c>
      <c r="AA1650" s="27">
        <f t="shared" si="85"/>
        <v>9</v>
      </c>
      <c r="AB1650" s="27">
        <f t="shared" si="83"/>
        <v>2024</v>
      </c>
      <c r="AC1650" s="28" t="s">
        <v>8009</v>
      </c>
      <c r="AD1650" s="28" t="s">
        <v>8010</v>
      </c>
      <c r="AE1650" s="27">
        <v>4500022985</v>
      </c>
      <c r="AF1650" s="27" t="s">
        <v>339</v>
      </c>
      <c r="AG1650" s="29" t="s">
        <v>376</v>
      </c>
      <c r="AH1650" s="28" t="s">
        <v>7903</v>
      </c>
      <c r="AI1650" s="27"/>
      <c r="AJ1650" s="27"/>
      <c r="AK1650" s="27" t="s">
        <v>8011</v>
      </c>
      <c r="AL1650" s="27" t="s">
        <v>8012</v>
      </c>
      <c r="AM1650" s="27" t="s">
        <v>8013</v>
      </c>
      <c r="AN1650" s="27" t="s">
        <v>8014</v>
      </c>
      <c r="AO1650" s="27"/>
      <c r="AP1650" s="27"/>
      <c r="AQ1650" s="27"/>
      <c r="AR1650" s="504"/>
      <c r="AS1650" s="332"/>
      <c r="AT1650" s="160"/>
    </row>
    <row r="1651" spans="1:46" ht="21.75" hidden="1" customHeight="1">
      <c r="A1651" s="331">
        <v>1650</v>
      </c>
      <c r="B1651" s="28" t="s">
        <v>225</v>
      </c>
      <c r="C1651" s="28" t="s">
        <v>8015</v>
      </c>
      <c r="D1651" s="437" t="s">
        <v>369</v>
      </c>
      <c r="E1651" s="361" t="str">
        <f t="shared" ca="1" si="81"/>
        <v>LOSS</v>
      </c>
      <c r="F1651" s="29" t="s">
        <v>8016</v>
      </c>
      <c r="G1651" s="28" t="s">
        <v>8017</v>
      </c>
      <c r="H1651" s="29" t="s">
        <v>2748</v>
      </c>
      <c r="I1651" s="29" t="s">
        <v>242</v>
      </c>
      <c r="J1651" s="28" t="s">
        <v>1758</v>
      </c>
      <c r="K1651" s="28"/>
      <c r="L1651" s="27"/>
      <c r="M1651" s="27"/>
      <c r="N1651" s="29"/>
      <c r="O1651" s="56"/>
      <c r="P1651" s="31">
        <v>84000000</v>
      </c>
      <c r="Q1651" s="31"/>
      <c r="R1651" s="27"/>
      <c r="S1651" s="32">
        <v>24000000</v>
      </c>
      <c r="T1651" s="33"/>
      <c r="U1651" s="334">
        <v>44271</v>
      </c>
      <c r="V1651" s="334">
        <v>44635</v>
      </c>
      <c r="W1651" s="27" t="s">
        <v>250</v>
      </c>
      <c r="X1651" s="27"/>
      <c r="Y1651" s="34">
        <f t="shared" ca="1" si="84"/>
        <v>46290</v>
      </c>
      <c r="Z1651" s="35">
        <f t="shared" ca="1" si="82"/>
        <v>-1655</v>
      </c>
      <c r="AA1651" s="27">
        <f t="shared" si="85"/>
        <v>3</v>
      </c>
      <c r="AB1651" s="27">
        <f t="shared" si="83"/>
        <v>2022</v>
      </c>
      <c r="AC1651" s="28" t="s">
        <v>479</v>
      </c>
      <c r="AD1651" s="28" t="s">
        <v>1759</v>
      </c>
      <c r="AE1651" s="27">
        <v>4500015925</v>
      </c>
      <c r="AF1651" s="27" t="s">
        <v>339</v>
      </c>
      <c r="AG1651" s="29" t="s">
        <v>7873</v>
      </c>
      <c r="AH1651" s="28"/>
      <c r="AI1651" s="27"/>
      <c r="AJ1651" s="27"/>
      <c r="AK1651" s="27"/>
      <c r="AL1651" s="27"/>
      <c r="AM1651" s="27" t="s">
        <v>8018</v>
      </c>
      <c r="AN1651" s="27"/>
      <c r="AO1651" s="27"/>
      <c r="AP1651" s="27"/>
      <c r="AQ1651" s="27"/>
      <c r="AR1651" s="504"/>
      <c r="AS1651" s="332" t="s">
        <v>8019</v>
      </c>
      <c r="AT1651" s="160"/>
    </row>
    <row r="1652" spans="1:46" ht="21.75" hidden="1" customHeight="1">
      <c r="A1652" s="331">
        <v>1651</v>
      </c>
      <c r="B1652" s="28" t="s">
        <v>225</v>
      </c>
      <c r="C1652" s="28" t="s">
        <v>8020</v>
      </c>
      <c r="D1652" s="438" t="s">
        <v>369</v>
      </c>
      <c r="E1652" s="361" t="str">
        <f t="shared" ca="1" si="81"/>
        <v>LOSS</v>
      </c>
      <c r="F1652" s="29"/>
      <c r="G1652" s="28" t="s">
        <v>8021</v>
      </c>
      <c r="H1652" s="29" t="s">
        <v>2748</v>
      </c>
      <c r="I1652" s="29" t="s">
        <v>242</v>
      </c>
      <c r="J1652" s="28" t="s">
        <v>1117</v>
      </c>
      <c r="K1652" s="28"/>
      <c r="L1652" s="27"/>
      <c r="M1652" s="27"/>
      <c r="N1652" s="29"/>
      <c r="O1652" s="56"/>
      <c r="P1652" s="31">
        <f>205200000/2</f>
        <v>102600000</v>
      </c>
      <c r="Q1652" s="31"/>
      <c r="R1652" s="30"/>
      <c r="S1652" s="32">
        <v>26400000</v>
      </c>
      <c r="T1652" s="33"/>
      <c r="U1652" s="334">
        <v>45082</v>
      </c>
      <c r="V1652" s="334">
        <v>45812</v>
      </c>
      <c r="W1652" s="27" t="s">
        <v>17</v>
      </c>
      <c r="X1652" s="27"/>
      <c r="Y1652" s="34">
        <f t="shared" ca="1" si="84"/>
        <v>46290</v>
      </c>
      <c r="Z1652" s="35">
        <f t="shared" ca="1" si="82"/>
        <v>-478</v>
      </c>
      <c r="AA1652" s="27">
        <f t="shared" si="85"/>
        <v>6</v>
      </c>
      <c r="AB1652" s="27">
        <f t="shared" si="83"/>
        <v>2025</v>
      </c>
      <c r="AC1652" s="28" t="s">
        <v>8022</v>
      </c>
      <c r="AD1652" s="28" t="s">
        <v>8023</v>
      </c>
      <c r="AE1652" s="27"/>
      <c r="AF1652" s="27" t="s">
        <v>339</v>
      </c>
      <c r="AG1652" s="29" t="s">
        <v>7873</v>
      </c>
      <c r="AH1652" s="28"/>
      <c r="AI1652" s="27"/>
      <c r="AJ1652" s="27"/>
      <c r="AK1652" s="27"/>
      <c r="AL1652" s="27" t="s">
        <v>8024</v>
      </c>
      <c r="AM1652" s="27" t="s">
        <v>8025</v>
      </c>
      <c r="AN1652" s="27"/>
      <c r="AO1652" s="27"/>
      <c r="AP1652" s="27"/>
      <c r="AQ1652" s="27"/>
      <c r="AR1652" s="504"/>
      <c r="AS1652" s="332" t="s">
        <v>8026</v>
      </c>
      <c r="AT1652" s="160"/>
    </row>
    <row r="1653" spans="1:46" ht="21.75" hidden="1" customHeight="1">
      <c r="A1653" s="331">
        <v>1652</v>
      </c>
      <c r="B1653" s="28" t="s">
        <v>225</v>
      </c>
      <c r="C1653" s="28" t="s">
        <v>8027</v>
      </c>
      <c r="D1653" s="437" t="s">
        <v>369</v>
      </c>
      <c r="E1653" s="361" t="str">
        <f t="shared" ca="1" si="81"/>
        <v>LOSS</v>
      </c>
      <c r="F1653" s="29" t="s">
        <v>115</v>
      </c>
      <c r="G1653" s="28" t="s">
        <v>8028</v>
      </c>
      <c r="H1653" s="29" t="s">
        <v>2748</v>
      </c>
      <c r="I1653" s="29" t="s">
        <v>346</v>
      </c>
      <c r="J1653" s="28" t="s">
        <v>8029</v>
      </c>
      <c r="K1653" s="28"/>
      <c r="L1653" s="27"/>
      <c r="M1653" s="27"/>
      <c r="N1653" s="29"/>
      <c r="O1653" s="56"/>
      <c r="P1653" s="31">
        <f>12*29100000</f>
        <v>349200000</v>
      </c>
      <c r="Q1653" s="31"/>
      <c r="R1653" s="27"/>
      <c r="S1653" s="32">
        <v>168000000</v>
      </c>
      <c r="T1653" s="33"/>
      <c r="U1653" s="334">
        <v>44729</v>
      </c>
      <c r="V1653" s="334">
        <v>45093</v>
      </c>
      <c r="W1653" s="27" t="s">
        <v>250</v>
      </c>
      <c r="X1653" s="27"/>
      <c r="Y1653" s="34">
        <f t="shared" ca="1" si="84"/>
        <v>46290</v>
      </c>
      <c r="Z1653" s="35">
        <f t="shared" ca="1" si="82"/>
        <v>-1197</v>
      </c>
      <c r="AA1653" s="27">
        <f t="shared" si="85"/>
        <v>6</v>
      </c>
      <c r="AB1653" s="27">
        <f t="shared" si="83"/>
        <v>2023</v>
      </c>
      <c r="AC1653" s="28" t="s">
        <v>479</v>
      </c>
      <c r="AD1653" s="28" t="s">
        <v>2159</v>
      </c>
      <c r="AE1653" s="27">
        <v>4500018188</v>
      </c>
      <c r="AF1653" s="27" t="s">
        <v>339</v>
      </c>
      <c r="AG1653" s="29" t="s">
        <v>7873</v>
      </c>
      <c r="AH1653" s="28"/>
      <c r="AI1653" s="27"/>
      <c r="AJ1653" s="27"/>
      <c r="AK1653" s="27"/>
      <c r="AL1653" s="27"/>
      <c r="AM1653" s="27"/>
      <c r="AN1653" s="27" t="s">
        <v>8030</v>
      </c>
      <c r="AO1653" s="27"/>
      <c r="AP1653" s="27"/>
      <c r="AQ1653" s="27"/>
      <c r="AR1653" s="504"/>
      <c r="AS1653" s="332" t="s">
        <v>8031</v>
      </c>
      <c r="AT1653" s="160"/>
    </row>
    <row r="1654" spans="1:46" ht="21.75" hidden="1" customHeight="1">
      <c r="A1654" s="331">
        <v>1653</v>
      </c>
      <c r="B1654" s="28" t="s">
        <v>225</v>
      </c>
      <c r="C1654" s="28" t="s">
        <v>8032</v>
      </c>
      <c r="D1654" s="438" t="s">
        <v>369</v>
      </c>
      <c r="E1654" s="361" t="str">
        <f t="shared" ca="1" si="81"/>
        <v>LOSS</v>
      </c>
      <c r="F1654" s="29" t="s">
        <v>8033</v>
      </c>
      <c r="G1654" s="28" t="s">
        <v>8034</v>
      </c>
      <c r="H1654" s="29" t="s">
        <v>2748</v>
      </c>
      <c r="I1654" s="29" t="s">
        <v>242</v>
      </c>
      <c r="J1654" s="28" t="s">
        <v>8035</v>
      </c>
      <c r="K1654" s="28"/>
      <c r="L1654" s="27"/>
      <c r="M1654" s="27"/>
      <c r="N1654" s="29"/>
      <c r="O1654" s="56"/>
      <c r="P1654" s="31">
        <f>12*6000000</f>
        <v>72000000</v>
      </c>
      <c r="Q1654" s="31"/>
      <c r="R1654" s="27"/>
      <c r="S1654" s="32">
        <v>6000000</v>
      </c>
      <c r="T1654" s="33"/>
      <c r="U1654" s="334">
        <v>44656</v>
      </c>
      <c r="V1654" s="334">
        <v>45020</v>
      </c>
      <c r="W1654" s="27" t="s">
        <v>250</v>
      </c>
      <c r="X1654" s="27"/>
      <c r="Y1654" s="34">
        <f t="shared" ca="1" si="84"/>
        <v>46290</v>
      </c>
      <c r="Z1654" s="35">
        <f t="shared" ca="1" si="82"/>
        <v>-1270</v>
      </c>
      <c r="AA1654" s="27">
        <f t="shared" si="85"/>
        <v>4</v>
      </c>
      <c r="AB1654" s="27">
        <f t="shared" si="83"/>
        <v>2023</v>
      </c>
      <c r="AC1654" s="28" t="s">
        <v>479</v>
      </c>
      <c r="AD1654" s="28" t="s">
        <v>2243</v>
      </c>
      <c r="AE1654" s="27">
        <v>4500017772</v>
      </c>
      <c r="AF1654" s="27" t="s">
        <v>339</v>
      </c>
      <c r="AG1654" s="29" t="s">
        <v>7873</v>
      </c>
      <c r="AH1654" s="28"/>
      <c r="AI1654" s="27"/>
      <c r="AJ1654" s="27"/>
      <c r="AK1654" s="27"/>
      <c r="AL1654" s="27"/>
      <c r="AM1654" s="27"/>
      <c r="AN1654" s="27" t="s">
        <v>8036</v>
      </c>
      <c r="AO1654" s="27"/>
      <c r="AP1654" s="27"/>
      <c r="AQ1654" s="27"/>
      <c r="AR1654" s="504"/>
      <c r="AS1654" s="332" t="s">
        <v>7918</v>
      </c>
      <c r="AT1654" s="160"/>
    </row>
    <row r="1655" spans="1:46" ht="21.75" hidden="1" customHeight="1">
      <c r="A1655" s="331">
        <v>1654</v>
      </c>
      <c r="B1655" s="28" t="s">
        <v>225</v>
      </c>
      <c r="C1655" s="28" t="s">
        <v>8037</v>
      </c>
      <c r="D1655" s="437" t="s">
        <v>369</v>
      </c>
      <c r="E1655" s="361" t="str">
        <f t="shared" ca="1" si="81"/>
        <v>LOSS</v>
      </c>
      <c r="F1655" s="29" t="s">
        <v>115</v>
      </c>
      <c r="G1655" s="28" t="s">
        <v>8038</v>
      </c>
      <c r="H1655" s="29" t="s">
        <v>2748</v>
      </c>
      <c r="I1655" s="29" t="s">
        <v>346</v>
      </c>
      <c r="J1655" s="28" t="s">
        <v>8039</v>
      </c>
      <c r="K1655" s="28"/>
      <c r="L1655" s="27"/>
      <c r="M1655" s="27"/>
      <c r="N1655" s="29"/>
      <c r="O1655" s="56"/>
      <c r="P1655" s="31"/>
      <c r="Q1655" s="31"/>
      <c r="R1655" s="27"/>
      <c r="S1655" s="32">
        <v>159600000</v>
      </c>
      <c r="T1655" s="33"/>
      <c r="U1655" s="334">
        <v>44295</v>
      </c>
      <c r="V1655" s="334">
        <v>44659</v>
      </c>
      <c r="W1655" s="27" t="s">
        <v>245</v>
      </c>
      <c r="X1655" s="27"/>
      <c r="Y1655" s="34">
        <f t="shared" ca="1" si="84"/>
        <v>46290</v>
      </c>
      <c r="Z1655" s="35">
        <f t="shared" ca="1" si="82"/>
        <v>-1631</v>
      </c>
      <c r="AA1655" s="27">
        <f t="shared" si="85"/>
        <v>4</v>
      </c>
      <c r="AB1655" s="27">
        <f t="shared" si="83"/>
        <v>2022</v>
      </c>
      <c r="AC1655" s="28" t="s">
        <v>8040</v>
      </c>
      <c r="AD1655" s="28" t="s">
        <v>8041</v>
      </c>
      <c r="AE1655" s="27">
        <v>4500016176</v>
      </c>
      <c r="AF1655" s="27" t="s">
        <v>339</v>
      </c>
      <c r="AG1655" s="29" t="s">
        <v>7873</v>
      </c>
      <c r="AH1655" s="28"/>
      <c r="AI1655" s="27"/>
      <c r="AJ1655" s="27"/>
      <c r="AK1655" s="27"/>
      <c r="AL1655" s="27" t="s">
        <v>8042</v>
      </c>
      <c r="AM1655" s="27" t="s">
        <v>8043</v>
      </c>
      <c r="AN1655" s="27"/>
      <c r="AO1655" s="27"/>
      <c r="AP1655" s="27"/>
      <c r="AQ1655" s="27"/>
      <c r="AR1655" s="504"/>
      <c r="AS1655" s="332" t="s">
        <v>8044</v>
      </c>
      <c r="AT1655" s="160"/>
    </row>
    <row r="1656" spans="1:46" ht="21.75" hidden="1" customHeight="1">
      <c r="A1656" s="331">
        <v>1655</v>
      </c>
      <c r="B1656" s="28" t="s">
        <v>225</v>
      </c>
      <c r="C1656" s="28" t="s">
        <v>7868</v>
      </c>
      <c r="D1656" s="438" t="s">
        <v>369</v>
      </c>
      <c r="E1656" s="361" t="str">
        <f t="shared" ca="1" si="81"/>
        <v>LOSS</v>
      </c>
      <c r="F1656" s="29" t="s">
        <v>115</v>
      </c>
      <c r="G1656" s="28" t="s">
        <v>8045</v>
      </c>
      <c r="H1656" s="29" t="s">
        <v>2748</v>
      </c>
      <c r="I1656" s="29" t="s">
        <v>242</v>
      </c>
      <c r="J1656" s="28" t="s">
        <v>1190</v>
      </c>
      <c r="K1656" s="28"/>
      <c r="L1656" s="27"/>
      <c r="M1656" s="27"/>
      <c r="N1656" s="29"/>
      <c r="O1656" s="56"/>
      <c r="P1656" s="31">
        <v>144000000</v>
      </c>
      <c r="Q1656" s="31"/>
      <c r="R1656" s="27"/>
      <c r="S1656" s="32">
        <v>6000000</v>
      </c>
      <c r="T1656" s="33"/>
      <c r="U1656" s="334">
        <v>44245</v>
      </c>
      <c r="V1656" s="334">
        <v>44609</v>
      </c>
      <c r="W1656" s="27" t="s">
        <v>250</v>
      </c>
      <c r="X1656" s="27"/>
      <c r="Y1656" s="34">
        <f t="shared" ca="1" si="84"/>
        <v>46290</v>
      </c>
      <c r="Z1656" s="35">
        <f t="shared" ca="1" si="82"/>
        <v>-1681</v>
      </c>
      <c r="AA1656" s="27">
        <f t="shared" si="85"/>
        <v>2</v>
      </c>
      <c r="AB1656" s="27">
        <f t="shared" si="83"/>
        <v>2022</v>
      </c>
      <c r="AC1656" s="28" t="s">
        <v>479</v>
      </c>
      <c r="AD1656" s="28" t="s">
        <v>1191</v>
      </c>
      <c r="AE1656" s="27">
        <v>4500015833</v>
      </c>
      <c r="AF1656" s="27" t="s">
        <v>339</v>
      </c>
      <c r="AG1656" s="29" t="s">
        <v>7873</v>
      </c>
      <c r="AH1656" s="28"/>
      <c r="AI1656" s="27"/>
      <c r="AJ1656" s="27"/>
      <c r="AK1656" s="27"/>
      <c r="AL1656" s="27"/>
      <c r="AM1656" s="27" t="s">
        <v>8046</v>
      </c>
      <c r="AN1656" s="27"/>
      <c r="AO1656" s="27"/>
      <c r="AP1656" s="27"/>
      <c r="AQ1656" s="27"/>
      <c r="AR1656" s="504"/>
      <c r="AS1656" s="332" t="s">
        <v>8047</v>
      </c>
      <c r="AT1656" s="160"/>
    </row>
    <row r="1657" spans="1:46" ht="21.75" hidden="1" customHeight="1">
      <c r="A1657" s="331">
        <v>1656</v>
      </c>
      <c r="B1657" s="28" t="s">
        <v>225</v>
      </c>
      <c r="C1657" s="28" t="s">
        <v>3601</v>
      </c>
      <c r="D1657" s="437" t="s">
        <v>369</v>
      </c>
      <c r="E1657" s="361" t="str">
        <f t="shared" ca="1" si="81"/>
        <v>LOSS</v>
      </c>
      <c r="F1657" s="29" t="s">
        <v>8048</v>
      </c>
      <c r="G1657" s="28" t="s">
        <v>8045</v>
      </c>
      <c r="H1657" s="29" t="s">
        <v>2748</v>
      </c>
      <c r="I1657" s="29" t="s">
        <v>242</v>
      </c>
      <c r="J1657" s="28" t="s">
        <v>85</v>
      </c>
      <c r="K1657" s="28"/>
      <c r="L1657" s="27"/>
      <c r="M1657" s="27"/>
      <c r="N1657" s="29"/>
      <c r="O1657" s="56"/>
      <c r="P1657" s="31">
        <f>420000000/2</f>
        <v>210000000</v>
      </c>
      <c r="Q1657" s="31"/>
      <c r="R1657" s="27"/>
      <c r="S1657" s="32">
        <v>12000000</v>
      </c>
      <c r="T1657" s="33"/>
      <c r="U1657" s="334">
        <v>45071</v>
      </c>
      <c r="V1657" s="334">
        <v>45801</v>
      </c>
      <c r="W1657" s="27" t="s">
        <v>250</v>
      </c>
      <c r="X1657" s="27"/>
      <c r="Y1657" s="34">
        <f t="shared" ca="1" si="84"/>
        <v>46290</v>
      </c>
      <c r="Z1657" s="35">
        <f t="shared" ca="1" si="82"/>
        <v>-489</v>
      </c>
      <c r="AA1657" s="27">
        <f t="shared" si="85"/>
        <v>5</v>
      </c>
      <c r="AB1657" s="27">
        <f t="shared" si="83"/>
        <v>2025</v>
      </c>
      <c r="AC1657" s="28" t="s">
        <v>8049</v>
      </c>
      <c r="AD1657" s="28" t="s">
        <v>8050</v>
      </c>
      <c r="AE1657" s="27"/>
      <c r="AF1657" s="27" t="s">
        <v>339</v>
      </c>
      <c r="AG1657" s="29" t="s">
        <v>7902</v>
      </c>
      <c r="AH1657" s="28" t="s">
        <v>7903</v>
      </c>
      <c r="AI1657" s="27"/>
      <c r="AJ1657" s="27"/>
      <c r="AK1657" s="27"/>
      <c r="AL1657" s="27"/>
      <c r="AM1657" s="27" t="s">
        <v>8051</v>
      </c>
      <c r="AN1657" s="27"/>
      <c r="AO1657" s="27"/>
      <c r="AP1657" s="27"/>
      <c r="AQ1657" s="27"/>
      <c r="AR1657" s="504"/>
      <c r="AS1657" s="332" t="s">
        <v>8052</v>
      </c>
      <c r="AT1657" s="160"/>
    </row>
    <row r="1658" spans="1:46" ht="21.75" hidden="1" customHeight="1">
      <c r="A1658" s="331">
        <v>1657</v>
      </c>
      <c r="B1658" s="28" t="s">
        <v>225</v>
      </c>
      <c r="C1658" s="28" t="s">
        <v>5618</v>
      </c>
      <c r="D1658" s="438" t="s">
        <v>369</v>
      </c>
      <c r="E1658" s="361" t="str">
        <f t="shared" ca="1" si="81"/>
        <v>LOSS</v>
      </c>
      <c r="F1658" s="29" t="s">
        <v>8053</v>
      </c>
      <c r="G1658" s="28" t="s">
        <v>8054</v>
      </c>
      <c r="H1658" s="29" t="s">
        <v>2748</v>
      </c>
      <c r="I1658" s="29" t="s">
        <v>242</v>
      </c>
      <c r="J1658" s="28" t="s">
        <v>1212</v>
      </c>
      <c r="K1658" s="28"/>
      <c r="L1658" s="27"/>
      <c r="M1658" s="27"/>
      <c r="N1658" s="29"/>
      <c r="O1658" s="56"/>
      <c r="P1658" s="31">
        <v>720000000</v>
      </c>
      <c r="Q1658" s="31"/>
      <c r="R1658" s="27"/>
      <c r="S1658" s="32">
        <v>12000000</v>
      </c>
      <c r="T1658" s="33"/>
      <c r="U1658" s="334">
        <v>44764</v>
      </c>
      <c r="V1658" s="334">
        <v>45494</v>
      </c>
      <c r="W1658" s="27" t="s">
        <v>250</v>
      </c>
      <c r="X1658" s="27"/>
      <c r="Y1658" s="34">
        <f t="shared" ca="1" si="84"/>
        <v>46290</v>
      </c>
      <c r="Z1658" s="35">
        <f t="shared" ca="1" si="82"/>
        <v>-796</v>
      </c>
      <c r="AA1658" s="27">
        <f t="shared" si="85"/>
        <v>7</v>
      </c>
      <c r="AB1658" s="27">
        <f t="shared" si="83"/>
        <v>2024</v>
      </c>
      <c r="AC1658" s="28" t="s">
        <v>8055</v>
      </c>
      <c r="AD1658" s="28" t="s">
        <v>8056</v>
      </c>
      <c r="AE1658" s="27">
        <v>4500022620</v>
      </c>
      <c r="AF1658" s="27" t="s">
        <v>339</v>
      </c>
      <c r="AG1658" s="29" t="s">
        <v>376</v>
      </c>
      <c r="AH1658" s="28"/>
      <c r="AI1658" s="27"/>
      <c r="AJ1658" s="27"/>
      <c r="AK1658" s="27"/>
      <c r="AL1658" s="27"/>
      <c r="AM1658" s="27" t="s">
        <v>8057</v>
      </c>
      <c r="AN1658" s="27"/>
      <c r="AO1658" s="27"/>
      <c r="AP1658" s="27" t="s">
        <v>8058</v>
      </c>
      <c r="AQ1658" s="27"/>
      <c r="AR1658" s="504"/>
      <c r="AS1658" s="332" t="s">
        <v>8059</v>
      </c>
      <c r="AT1658" s="160"/>
    </row>
    <row r="1659" spans="1:46" ht="21.75" hidden="1" customHeight="1">
      <c r="A1659" s="331">
        <v>1658</v>
      </c>
      <c r="B1659" s="28" t="s">
        <v>225</v>
      </c>
      <c r="C1659" s="28" t="s">
        <v>5618</v>
      </c>
      <c r="D1659" s="437" t="s">
        <v>369</v>
      </c>
      <c r="E1659" s="361" t="str">
        <f t="shared" ca="1" si="81"/>
        <v>LOSS</v>
      </c>
      <c r="F1659" s="29" t="s">
        <v>8053</v>
      </c>
      <c r="G1659" s="28" t="s">
        <v>8054</v>
      </c>
      <c r="H1659" s="29" t="s">
        <v>2748</v>
      </c>
      <c r="I1659" s="29" t="s">
        <v>242</v>
      </c>
      <c r="J1659" s="28" t="s">
        <v>1212</v>
      </c>
      <c r="K1659" s="28"/>
      <c r="L1659" s="27"/>
      <c r="M1659" s="27"/>
      <c r="N1659" s="29"/>
      <c r="O1659" s="56"/>
      <c r="P1659" s="31" t="s">
        <v>115</v>
      </c>
      <c r="Q1659" s="31"/>
      <c r="R1659" s="27"/>
      <c r="S1659" s="32">
        <v>54000000</v>
      </c>
      <c r="T1659" s="33"/>
      <c r="U1659" s="334">
        <v>44439</v>
      </c>
      <c r="V1659" s="334">
        <v>44803</v>
      </c>
      <c r="W1659" s="27" t="s">
        <v>250</v>
      </c>
      <c r="X1659" s="27"/>
      <c r="Y1659" s="34">
        <f t="shared" ca="1" si="84"/>
        <v>46290</v>
      </c>
      <c r="Z1659" s="35">
        <f t="shared" ca="1" si="82"/>
        <v>-1487</v>
      </c>
      <c r="AA1659" s="27">
        <f t="shared" si="85"/>
        <v>8</v>
      </c>
      <c r="AB1659" s="27">
        <f t="shared" si="83"/>
        <v>2022</v>
      </c>
      <c r="AC1659" s="28" t="s">
        <v>479</v>
      </c>
      <c r="AD1659" s="28" t="s">
        <v>1267</v>
      </c>
      <c r="AE1659" s="27">
        <v>4500016647</v>
      </c>
      <c r="AF1659" s="27" t="s">
        <v>339</v>
      </c>
      <c r="AG1659" s="29" t="s">
        <v>7873</v>
      </c>
      <c r="AH1659" s="28"/>
      <c r="AI1659" s="27"/>
      <c r="AJ1659" s="27"/>
      <c r="AK1659" s="27"/>
      <c r="AL1659" s="27"/>
      <c r="AM1659" s="27" t="s">
        <v>8060</v>
      </c>
      <c r="AN1659" s="27"/>
      <c r="AO1659" s="27"/>
      <c r="AP1659" s="27"/>
      <c r="AQ1659" s="27"/>
      <c r="AR1659" s="504"/>
      <c r="AS1659" s="332" t="s">
        <v>8061</v>
      </c>
      <c r="AT1659" s="160"/>
    </row>
    <row r="1660" spans="1:46" ht="21.75" hidden="1" customHeight="1">
      <c r="A1660" s="331">
        <v>1659</v>
      </c>
      <c r="B1660" s="28" t="s">
        <v>225</v>
      </c>
      <c r="C1660" s="28" t="s">
        <v>4610</v>
      </c>
      <c r="D1660" s="438" t="s">
        <v>369</v>
      </c>
      <c r="E1660" s="361" t="str">
        <f t="shared" ca="1" si="81"/>
        <v>LOSS</v>
      </c>
      <c r="F1660" s="29" t="s">
        <v>115</v>
      </c>
      <c r="G1660" s="28" t="s">
        <v>8062</v>
      </c>
      <c r="H1660" s="29" t="s">
        <v>2748</v>
      </c>
      <c r="I1660" s="29" t="s">
        <v>242</v>
      </c>
      <c r="J1660" s="28" t="s">
        <v>8063</v>
      </c>
      <c r="K1660" s="28"/>
      <c r="L1660" s="27"/>
      <c r="M1660" s="27"/>
      <c r="N1660" s="29"/>
      <c r="O1660" s="56"/>
      <c r="P1660" s="31">
        <v>27272724</v>
      </c>
      <c r="Q1660" s="31"/>
      <c r="R1660" s="27"/>
      <c r="S1660" s="32">
        <v>6000000</v>
      </c>
      <c r="T1660" s="33"/>
      <c r="U1660" s="334">
        <v>45001</v>
      </c>
      <c r="V1660" s="334">
        <v>45731</v>
      </c>
      <c r="W1660" s="27" t="s">
        <v>250</v>
      </c>
      <c r="X1660" s="27"/>
      <c r="Y1660" s="34">
        <f t="shared" ca="1" si="84"/>
        <v>46290</v>
      </c>
      <c r="Z1660" s="35">
        <f t="shared" ca="1" si="82"/>
        <v>-559</v>
      </c>
      <c r="AA1660" s="27">
        <f t="shared" si="85"/>
        <v>3</v>
      </c>
      <c r="AB1660" s="27">
        <f t="shared" si="83"/>
        <v>2025</v>
      </c>
      <c r="AC1660" s="28" t="s">
        <v>8064</v>
      </c>
      <c r="AD1660" s="28" t="s">
        <v>8065</v>
      </c>
      <c r="AE1660" s="27">
        <v>4500022725</v>
      </c>
      <c r="AF1660" s="27" t="s">
        <v>339</v>
      </c>
      <c r="AG1660" s="29" t="s">
        <v>376</v>
      </c>
      <c r="AH1660" s="28"/>
      <c r="AI1660" s="27"/>
      <c r="AJ1660" s="27"/>
      <c r="AK1660" s="27"/>
      <c r="AL1660" s="27" t="s">
        <v>8066</v>
      </c>
      <c r="AM1660" s="27" t="s">
        <v>8067</v>
      </c>
      <c r="AN1660" s="27"/>
      <c r="AO1660" s="27"/>
      <c r="AP1660" s="27" t="s">
        <v>8068</v>
      </c>
      <c r="AQ1660" s="27"/>
      <c r="AR1660" s="504"/>
      <c r="AS1660" s="332" t="s">
        <v>7974</v>
      </c>
      <c r="AT1660" s="160"/>
    </row>
    <row r="1661" spans="1:46" ht="21.75" hidden="1" customHeight="1">
      <c r="A1661" s="331">
        <v>1660</v>
      </c>
      <c r="B1661" s="28" t="s">
        <v>225</v>
      </c>
      <c r="C1661" s="28" t="s">
        <v>2133</v>
      </c>
      <c r="D1661" s="437" t="s">
        <v>369</v>
      </c>
      <c r="E1661" s="361" t="str">
        <f t="shared" ca="1" si="81"/>
        <v>LOSS</v>
      </c>
      <c r="F1661" s="29" t="s">
        <v>115</v>
      </c>
      <c r="G1661" s="28" t="s">
        <v>8069</v>
      </c>
      <c r="H1661" s="29" t="s">
        <v>2748</v>
      </c>
      <c r="I1661" s="29" t="s">
        <v>242</v>
      </c>
      <c r="J1661" s="28" t="s">
        <v>8070</v>
      </c>
      <c r="K1661" s="28"/>
      <c r="L1661" s="27"/>
      <c r="M1661" s="27"/>
      <c r="N1661" s="29"/>
      <c r="O1661" s="56"/>
      <c r="P1661" s="31">
        <v>228000000</v>
      </c>
      <c r="Q1661" s="31"/>
      <c r="R1661" s="27"/>
      <c r="S1661" s="32">
        <v>6000000</v>
      </c>
      <c r="T1661" s="33"/>
      <c r="U1661" s="334">
        <v>44118</v>
      </c>
      <c r="V1661" s="334">
        <v>44482</v>
      </c>
      <c r="W1661" s="27" t="s">
        <v>250</v>
      </c>
      <c r="X1661" s="27"/>
      <c r="Y1661" s="34">
        <f t="shared" ca="1" si="84"/>
        <v>46290</v>
      </c>
      <c r="Z1661" s="35">
        <f t="shared" ca="1" si="82"/>
        <v>-1808</v>
      </c>
      <c r="AA1661" s="27">
        <f t="shared" si="85"/>
        <v>10</v>
      </c>
      <c r="AB1661" s="27">
        <f t="shared" si="83"/>
        <v>2021</v>
      </c>
      <c r="AC1661" s="28" t="s">
        <v>479</v>
      </c>
      <c r="AD1661" s="28" t="s">
        <v>1061</v>
      </c>
      <c r="AE1661" s="27">
        <v>4500015135</v>
      </c>
      <c r="AF1661" s="27" t="s">
        <v>339</v>
      </c>
      <c r="AG1661" s="29" t="s">
        <v>7873</v>
      </c>
      <c r="AH1661" s="28"/>
      <c r="AI1661" s="27"/>
      <c r="AJ1661" s="27"/>
      <c r="AK1661" s="27"/>
      <c r="AL1661" s="27" t="s">
        <v>8071</v>
      </c>
      <c r="AM1661" s="27"/>
      <c r="AN1661" s="27"/>
      <c r="AO1661" s="27"/>
      <c r="AP1661" s="27"/>
      <c r="AQ1661" s="27"/>
      <c r="AR1661" s="504"/>
      <c r="AS1661" s="332" t="s">
        <v>8047</v>
      </c>
      <c r="AT1661" s="160"/>
    </row>
    <row r="1662" spans="1:46" ht="21.75" hidden="1" customHeight="1">
      <c r="A1662" s="331">
        <v>1661</v>
      </c>
      <c r="B1662" s="28" t="s">
        <v>225</v>
      </c>
      <c r="C1662" s="28" t="s">
        <v>8072</v>
      </c>
      <c r="D1662" s="438" t="s">
        <v>369</v>
      </c>
      <c r="E1662" s="361" t="str">
        <f t="shared" ca="1" si="81"/>
        <v>LOSS</v>
      </c>
      <c r="F1662" s="29" t="s">
        <v>115</v>
      </c>
      <c r="G1662" s="28" t="s">
        <v>8073</v>
      </c>
      <c r="H1662" s="29" t="s">
        <v>2748</v>
      </c>
      <c r="I1662" s="29" t="s">
        <v>242</v>
      </c>
      <c r="J1662" s="28" t="s">
        <v>1636</v>
      </c>
      <c r="K1662" s="28"/>
      <c r="L1662" s="27"/>
      <c r="M1662" s="27"/>
      <c r="N1662" s="29"/>
      <c r="O1662" s="56"/>
      <c r="P1662" s="31" t="s">
        <v>115</v>
      </c>
      <c r="Q1662" s="31"/>
      <c r="R1662" s="27"/>
      <c r="S1662" s="32">
        <v>6000000</v>
      </c>
      <c r="T1662" s="33"/>
      <c r="U1662" s="334">
        <v>44312</v>
      </c>
      <c r="V1662" s="334">
        <v>44676</v>
      </c>
      <c r="W1662" s="27" t="s">
        <v>250</v>
      </c>
      <c r="X1662" s="27"/>
      <c r="Y1662" s="34">
        <f t="shared" ca="1" si="84"/>
        <v>46290</v>
      </c>
      <c r="Z1662" s="35">
        <f t="shared" ca="1" si="82"/>
        <v>-1614</v>
      </c>
      <c r="AA1662" s="27">
        <f t="shared" si="85"/>
        <v>4</v>
      </c>
      <c r="AB1662" s="27">
        <f t="shared" si="83"/>
        <v>2022</v>
      </c>
      <c r="AC1662" s="28" t="s">
        <v>479</v>
      </c>
      <c r="AD1662" s="28" t="s">
        <v>1637</v>
      </c>
      <c r="AE1662" s="27">
        <v>4500016102</v>
      </c>
      <c r="AF1662" s="27" t="s">
        <v>339</v>
      </c>
      <c r="AG1662" s="29" t="s">
        <v>7873</v>
      </c>
      <c r="AH1662" s="28"/>
      <c r="AI1662" s="27"/>
      <c r="AJ1662" s="27"/>
      <c r="AK1662" s="27"/>
      <c r="AL1662" s="27"/>
      <c r="AM1662" s="27" t="s">
        <v>8074</v>
      </c>
      <c r="AN1662" s="27"/>
      <c r="AO1662" s="27"/>
      <c r="AP1662" s="27"/>
      <c r="AQ1662" s="27"/>
      <c r="AR1662" s="504"/>
      <c r="AS1662" s="332" t="s">
        <v>8075</v>
      </c>
      <c r="AT1662" s="160"/>
    </row>
    <row r="1663" spans="1:46" ht="21.75" hidden="1" customHeight="1">
      <c r="A1663" s="331">
        <v>1662</v>
      </c>
      <c r="B1663" s="28" t="s">
        <v>225</v>
      </c>
      <c r="C1663" s="28" t="s">
        <v>3898</v>
      </c>
      <c r="D1663" s="437" t="s">
        <v>369</v>
      </c>
      <c r="E1663" s="361" t="str">
        <f t="shared" ca="1" si="81"/>
        <v>LOSS</v>
      </c>
      <c r="F1663" s="29" t="s">
        <v>115</v>
      </c>
      <c r="G1663" s="28" t="s">
        <v>4027</v>
      </c>
      <c r="H1663" s="29" t="s">
        <v>2748</v>
      </c>
      <c r="I1663" s="29" t="s">
        <v>242</v>
      </c>
      <c r="J1663" s="28" t="s">
        <v>226</v>
      </c>
      <c r="K1663" s="28"/>
      <c r="L1663" s="27"/>
      <c r="M1663" s="27"/>
      <c r="N1663" s="29"/>
      <c r="O1663" s="56"/>
      <c r="P1663" s="31">
        <v>63360000</v>
      </c>
      <c r="Q1663" s="31"/>
      <c r="R1663" s="27"/>
      <c r="S1663" s="32">
        <v>6000000</v>
      </c>
      <c r="T1663" s="33"/>
      <c r="U1663" s="334">
        <v>45355</v>
      </c>
      <c r="V1663" s="334">
        <v>45719</v>
      </c>
      <c r="W1663" s="27" t="s">
        <v>250</v>
      </c>
      <c r="X1663" s="27"/>
      <c r="Y1663" s="34">
        <f t="shared" ca="1" si="84"/>
        <v>46290</v>
      </c>
      <c r="Z1663" s="35">
        <f t="shared" ca="1" si="82"/>
        <v>-571</v>
      </c>
      <c r="AA1663" s="27">
        <f t="shared" si="85"/>
        <v>3</v>
      </c>
      <c r="AB1663" s="27">
        <f t="shared" si="83"/>
        <v>2025</v>
      </c>
      <c r="AC1663" s="28" t="s">
        <v>8076</v>
      </c>
      <c r="AD1663" s="28" t="s">
        <v>8077</v>
      </c>
      <c r="AE1663" s="27">
        <v>4500022727</v>
      </c>
      <c r="AF1663" s="27" t="s">
        <v>333</v>
      </c>
      <c r="AG1663" s="29" t="s">
        <v>376</v>
      </c>
      <c r="AH1663" s="28"/>
      <c r="AI1663" s="27"/>
      <c r="AJ1663" s="27"/>
      <c r="AK1663" s="27"/>
      <c r="AL1663" s="27" t="s">
        <v>8078</v>
      </c>
      <c r="AM1663" s="27" t="s">
        <v>8079</v>
      </c>
      <c r="AN1663" s="27"/>
      <c r="AO1663" s="27" t="s">
        <v>8080</v>
      </c>
      <c r="AP1663" s="27" t="s">
        <v>8081</v>
      </c>
      <c r="AQ1663" s="27"/>
      <c r="AR1663" s="504"/>
      <c r="AS1663" s="332" t="s">
        <v>8082</v>
      </c>
      <c r="AT1663" s="160"/>
    </row>
    <row r="1664" spans="1:46" ht="21.75" hidden="1" customHeight="1">
      <c r="A1664" s="331">
        <v>1663</v>
      </c>
      <c r="B1664" s="28" t="s">
        <v>225</v>
      </c>
      <c r="C1664" s="28" t="s">
        <v>8083</v>
      </c>
      <c r="D1664" s="438" t="s">
        <v>369</v>
      </c>
      <c r="E1664" s="361" t="str">
        <f t="shared" ca="1" si="81"/>
        <v>LOSS</v>
      </c>
      <c r="F1664" s="29" t="s">
        <v>8084</v>
      </c>
      <c r="G1664" s="28" t="s">
        <v>8085</v>
      </c>
      <c r="H1664" s="29" t="s">
        <v>2748</v>
      </c>
      <c r="I1664" s="29" t="s">
        <v>242</v>
      </c>
      <c r="J1664" s="28" t="s">
        <v>1877</v>
      </c>
      <c r="K1664" s="28"/>
      <c r="L1664" s="27"/>
      <c r="M1664" s="27"/>
      <c r="N1664" s="29"/>
      <c r="O1664" s="56"/>
      <c r="P1664" s="31">
        <v>54000000</v>
      </c>
      <c r="Q1664" s="31"/>
      <c r="R1664" s="27"/>
      <c r="S1664" s="32">
        <v>24000000</v>
      </c>
      <c r="T1664" s="33"/>
      <c r="U1664" s="334">
        <v>45103</v>
      </c>
      <c r="V1664" s="334">
        <v>45833</v>
      </c>
      <c r="W1664" s="27" t="s">
        <v>250</v>
      </c>
      <c r="X1664" s="27"/>
      <c r="Y1664" s="34">
        <f t="shared" ca="1" si="84"/>
        <v>46290</v>
      </c>
      <c r="Z1664" s="35">
        <f t="shared" ca="1" si="82"/>
        <v>-457</v>
      </c>
      <c r="AA1664" s="27">
        <f t="shared" si="85"/>
        <v>6</v>
      </c>
      <c r="AB1664" s="27">
        <f t="shared" si="83"/>
        <v>2025</v>
      </c>
      <c r="AC1664" s="28" t="s">
        <v>8086</v>
      </c>
      <c r="AD1664" s="28" t="s">
        <v>8087</v>
      </c>
      <c r="AE1664" s="27">
        <v>4500023468</v>
      </c>
      <c r="AF1664" s="27" t="s">
        <v>333</v>
      </c>
      <c r="AG1664" s="29" t="s">
        <v>376</v>
      </c>
      <c r="AH1664" s="28"/>
      <c r="AI1664" s="27"/>
      <c r="AJ1664" s="27"/>
      <c r="AK1664" s="27"/>
      <c r="AL1664" s="27" t="s">
        <v>8088</v>
      </c>
      <c r="AM1664" s="27" t="s">
        <v>8089</v>
      </c>
      <c r="AN1664" s="27"/>
      <c r="AO1664" s="27"/>
      <c r="AP1664" s="27" t="s">
        <v>8090</v>
      </c>
      <c r="AQ1664" s="27"/>
      <c r="AR1664" s="504"/>
      <c r="AS1664" s="332" t="s">
        <v>8091</v>
      </c>
      <c r="AT1664" s="160"/>
    </row>
    <row r="1665" spans="1:46" ht="21.75" hidden="1" customHeight="1">
      <c r="A1665" s="331">
        <v>1664</v>
      </c>
      <c r="B1665" s="28" t="s">
        <v>225</v>
      </c>
      <c r="C1665" s="28" t="s">
        <v>8092</v>
      </c>
      <c r="D1665" s="438" t="s">
        <v>369</v>
      </c>
      <c r="E1665" s="361" t="str">
        <f t="shared" ca="1" si="81"/>
        <v>LOSS</v>
      </c>
      <c r="F1665" s="29" t="s">
        <v>115</v>
      </c>
      <c r="G1665" s="28" t="s">
        <v>8093</v>
      </c>
      <c r="H1665" s="29" t="s">
        <v>2748</v>
      </c>
      <c r="I1665" s="29" t="s">
        <v>242</v>
      </c>
      <c r="J1665" s="28" t="s">
        <v>8094</v>
      </c>
      <c r="K1665" s="28"/>
      <c r="L1665" s="27"/>
      <c r="M1665" s="27"/>
      <c r="N1665" s="29"/>
      <c r="O1665" s="56"/>
      <c r="P1665" s="31">
        <v>43200000</v>
      </c>
      <c r="Q1665" s="31"/>
      <c r="R1665" s="27"/>
      <c r="S1665" s="32">
        <v>6000000</v>
      </c>
      <c r="T1665" s="33"/>
      <c r="U1665" s="334">
        <v>43878</v>
      </c>
      <c r="V1665" s="334">
        <v>44243</v>
      </c>
      <c r="W1665" s="27" t="s">
        <v>250</v>
      </c>
      <c r="X1665" s="27"/>
      <c r="Y1665" s="34">
        <f t="shared" ca="1" si="84"/>
        <v>46290</v>
      </c>
      <c r="Z1665" s="35">
        <f t="shared" ca="1" si="82"/>
        <v>-2047</v>
      </c>
      <c r="AA1665" s="27">
        <f t="shared" si="85"/>
        <v>2</v>
      </c>
      <c r="AB1665" s="27">
        <f t="shared" si="83"/>
        <v>2021</v>
      </c>
      <c r="AC1665" s="28" t="s">
        <v>3371</v>
      </c>
      <c r="AD1665" s="28" t="s">
        <v>613</v>
      </c>
      <c r="AE1665" s="27">
        <v>4500013949</v>
      </c>
      <c r="AF1665" s="27" t="s">
        <v>339</v>
      </c>
      <c r="AG1665" s="29" t="s">
        <v>7873</v>
      </c>
      <c r="AH1665" s="28"/>
      <c r="AI1665" s="27"/>
      <c r="AJ1665" s="27"/>
      <c r="AK1665" s="27"/>
      <c r="AL1665" s="27" t="s">
        <v>8095</v>
      </c>
      <c r="AM1665" s="27"/>
      <c r="AN1665" s="27"/>
      <c r="AO1665" s="27"/>
      <c r="AP1665" s="27"/>
      <c r="AQ1665" s="27"/>
      <c r="AR1665" s="504"/>
      <c r="AS1665" s="332" t="s">
        <v>8096</v>
      </c>
      <c r="AT1665" s="160"/>
    </row>
    <row r="1666" spans="1:46" ht="21.75" hidden="1" customHeight="1">
      <c r="A1666" s="331">
        <v>1665</v>
      </c>
      <c r="B1666" s="28" t="s">
        <v>225</v>
      </c>
      <c r="C1666" s="28" t="s">
        <v>4814</v>
      </c>
      <c r="D1666" s="438" t="s">
        <v>369</v>
      </c>
      <c r="E1666" s="361" t="str">
        <f t="shared" ref="E1666:E1729" ca="1" si="86">IF(Z1666&lt;=0, "LOSS",IF(Z1666&lt;=15, "CRITICAL",IF(Z1666&lt;=30, "WARNING",IF(Z1666&lt;60, "ATTENTION", "ON TRACK"))))</f>
        <v>LOSS</v>
      </c>
      <c r="F1666" s="29" t="s">
        <v>115</v>
      </c>
      <c r="G1666" s="28" t="s">
        <v>8097</v>
      </c>
      <c r="H1666" s="29" t="s">
        <v>2748</v>
      </c>
      <c r="I1666" s="29" t="s">
        <v>242</v>
      </c>
      <c r="J1666" s="28" t="s">
        <v>1144</v>
      </c>
      <c r="K1666" s="28"/>
      <c r="L1666" s="27"/>
      <c r="M1666" s="27"/>
      <c r="N1666" s="29"/>
      <c r="O1666" s="56"/>
      <c r="P1666" s="31">
        <v>50400000</v>
      </c>
      <c r="Q1666" s="31"/>
      <c r="R1666" s="27"/>
      <c r="S1666" s="32">
        <v>12000000</v>
      </c>
      <c r="T1666" s="33"/>
      <c r="U1666" s="334">
        <v>44960</v>
      </c>
      <c r="V1666" s="334">
        <v>45690</v>
      </c>
      <c r="W1666" s="27" t="s">
        <v>250</v>
      </c>
      <c r="X1666" s="27"/>
      <c r="Y1666" s="34">
        <f t="shared" ca="1" si="84"/>
        <v>46290</v>
      </c>
      <c r="Z1666" s="35">
        <f t="shared" ca="1" si="82"/>
        <v>-600</v>
      </c>
      <c r="AA1666" s="27">
        <f t="shared" si="85"/>
        <v>2</v>
      </c>
      <c r="AB1666" s="27">
        <f t="shared" si="83"/>
        <v>2025</v>
      </c>
      <c r="AC1666" s="28" t="s">
        <v>8098</v>
      </c>
      <c r="AD1666" s="28" t="s">
        <v>8099</v>
      </c>
      <c r="AE1666" s="27">
        <v>4500022659</v>
      </c>
      <c r="AF1666" s="27" t="s">
        <v>333</v>
      </c>
      <c r="AG1666" s="29" t="s">
        <v>376</v>
      </c>
      <c r="AH1666" s="28"/>
      <c r="AI1666" s="27"/>
      <c r="AJ1666" s="27"/>
      <c r="AK1666" s="27"/>
      <c r="AL1666" s="27" t="s">
        <v>8100</v>
      </c>
      <c r="AM1666" s="27" t="s">
        <v>8101</v>
      </c>
      <c r="AN1666" s="27"/>
      <c r="AO1666" s="27"/>
      <c r="AP1666" s="27" t="s">
        <v>8102</v>
      </c>
      <c r="AQ1666" s="27"/>
      <c r="AR1666" s="504"/>
      <c r="AS1666" s="332" t="s">
        <v>8103</v>
      </c>
      <c r="AT1666" s="160"/>
    </row>
    <row r="1667" spans="1:46" ht="21.75" hidden="1" customHeight="1">
      <c r="A1667" s="331">
        <v>1666</v>
      </c>
      <c r="B1667" s="28" t="s">
        <v>225</v>
      </c>
      <c r="C1667" s="28" t="s">
        <v>8104</v>
      </c>
      <c r="D1667" s="437" t="s">
        <v>369</v>
      </c>
      <c r="E1667" s="361" t="str">
        <f t="shared" ca="1" si="86"/>
        <v>LOSS</v>
      </c>
      <c r="F1667" s="29" t="s">
        <v>115</v>
      </c>
      <c r="G1667" s="28" t="s">
        <v>8105</v>
      </c>
      <c r="H1667" s="29" t="s">
        <v>2748</v>
      </c>
      <c r="I1667" s="29" t="s">
        <v>242</v>
      </c>
      <c r="J1667" s="28" t="s">
        <v>8106</v>
      </c>
      <c r="K1667" s="28"/>
      <c r="L1667" s="27"/>
      <c r="M1667" s="27"/>
      <c r="N1667" s="29"/>
      <c r="O1667" s="56"/>
      <c r="P1667" s="31">
        <v>409800000</v>
      </c>
      <c r="Q1667" s="31"/>
      <c r="R1667" s="27"/>
      <c r="S1667" s="32">
        <v>48000000</v>
      </c>
      <c r="T1667" s="33"/>
      <c r="U1667" s="334">
        <v>44666</v>
      </c>
      <c r="V1667" s="334">
        <v>45761</v>
      </c>
      <c r="W1667" s="27" t="s">
        <v>17</v>
      </c>
      <c r="X1667" s="27" t="s">
        <v>8107</v>
      </c>
      <c r="Y1667" s="34">
        <f t="shared" ca="1" si="84"/>
        <v>46290</v>
      </c>
      <c r="Z1667" s="35">
        <f t="shared" ca="1" si="82"/>
        <v>-529</v>
      </c>
      <c r="AA1667" s="27">
        <f t="shared" si="85"/>
        <v>4</v>
      </c>
      <c r="AB1667" s="27">
        <f t="shared" si="83"/>
        <v>2025</v>
      </c>
      <c r="AC1667" s="28" t="s">
        <v>8108</v>
      </c>
      <c r="AD1667" s="28" t="s">
        <v>8109</v>
      </c>
      <c r="AE1667" s="27">
        <v>4500023001</v>
      </c>
      <c r="AF1667" s="27" t="s">
        <v>333</v>
      </c>
      <c r="AG1667" s="29" t="s">
        <v>376</v>
      </c>
      <c r="AH1667" s="28"/>
      <c r="AI1667" s="27"/>
      <c r="AJ1667" s="27"/>
      <c r="AK1667" s="27" t="s">
        <v>8110</v>
      </c>
      <c r="AL1667" s="27" t="s">
        <v>8111</v>
      </c>
      <c r="AM1667" s="27" t="s">
        <v>8112</v>
      </c>
      <c r="AN1667" s="27" t="s">
        <v>8113</v>
      </c>
      <c r="AO1667" s="27"/>
      <c r="AP1667" s="27" t="s">
        <v>8114</v>
      </c>
      <c r="AQ1667" s="27"/>
      <c r="AR1667" s="504"/>
      <c r="AS1667" s="332" t="s">
        <v>8115</v>
      </c>
      <c r="AT1667" s="160"/>
    </row>
    <row r="1668" spans="1:46" ht="21.75" hidden="1" customHeight="1">
      <c r="A1668" s="331">
        <v>1667</v>
      </c>
      <c r="B1668" s="28" t="s">
        <v>225</v>
      </c>
      <c r="C1668" s="28" t="s">
        <v>8104</v>
      </c>
      <c r="D1668" s="438" t="s">
        <v>369</v>
      </c>
      <c r="E1668" s="361" t="str">
        <f t="shared" ca="1" si="86"/>
        <v>LOSS</v>
      </c>
      <c r="F1668" s="29" t="s">
        <v>115</v>
      </c>
      <c r="G1668" s="28" t="s">
        <v>8105</v>
      </c>
      <c r="H1668" s="29" t="s">
        <v>2748</v>
      </c>
      <c r="I1668" s="29" t="s">
        <v>346</v>
      </c>
      <c r="J1668" s="28" t="s">
        <v>8116</v>
      </c>
      <c r="K1668" s="28"/>
      <c r="L1668" s="27"/>
      <c r="M1668" s="27"/>
      <c r="N1668" s="29"/>
      <c r="O1668" s="56"/>
      <c r="P1668" s="31">
        <v>439800000</v>
      </c>
      <c r="Q1668" s="31"/>
      <c r="R1668" s="27"/>
      <c r="S1668" s="32">
        <v>120000000</v>
      </c>
      <c r="T1668" s="33"/>
      <c r="U1668" s="334">
        <v>44301</v>
      </c>
      <c r="V1668" s="334">
        <v>44665</v>
      </c>
      <c r="W1668" s="27" t="s">
        <v>250</v>
      </c>
      <c r="X1668" s="27"/>
      <c r="Y1668" s="34">
        <f t="shared" ca="1" si="84"/>
        <v>46290</v>
      </c>
      <c r="Z1668" s="35">
        <f t="shared" ca="1" si="82"/>
        <v>-1625</v>
      </c>
      <c r="AA1668" s="27">
        <f t="shared" si="85"/>
        <v>4</v>
      </c>
      <c r="AB1668" s="27">
        <f t="shared" si="83"/>
        <v>2022</v>
      </c>
      <c r="AC1668" s="28" t="s">
        <v>8117</v>
      </c>
      <c r="AD1668" s="28" t="s">
        <v>8118</v>
      </c>
      <c r="AE1668" s="27">
        <v>4500016096</v>
      </c>
      <c r="AF1668" s="27" t="s">
        <v>339</v>
      </c>
      <c r="AG1668" s="29" t="s">
        <v>7873</v>
      </c>
      <c r="AH1668" s="28"/>
      <c r="AI1668" s="27"/>
      <c r="AJ1668" s="27"/>
      <c r="AK1668" s="27" t="s">
        <v>8119</v>
      </c>
      <c r="AL1668" s="27" t="s">
        <v>8120</v>
      </c>
      <c r="AM1668" s="27" t="s">
        <v>8121</v>
      </c>
      <c r="AN1668" s="27"/>
      <c r="AO1668" s="27"/>
      <c r="AP1668" s="27"/>
      <c r="AQ1668" s="27"/>
      <c r="AR1668" s="504"/>
      <c r="AS1668" s="332" t="s">
        <v>8122</v>
      </c>
      <c r="AT1668" s="160"/>
    </row>
    <row r="1669" spans="1:46" ht="21.75" hidden="1" customHeight="1">
      <c r="A1669" s="331">
        <v>1668</v>
      </c>
      <c r="B1669" s="28" t="s">
        <v>225</v>
      </c>
      <c r="C1669" s="28" t="s">
        <v>4688</v>
      </c>
      <c r="D1669" s="437" t="s">
        <v>369</v>
      </c>
      <c r="E1669" s="361" t="str">
        <f t="shared" ca="1" si="86"/>
        <v>LOSS</v>
      </c>
      <c r="F1669" s="29" t="s">
        <v>8001</v>
      </c>
      <c r="G1669" s="28" t="s">
        <v>8123</v>
      </c>
      <c r="H1669" s="29" t="s">
        <v>2748</v>
      </c>
      <c r="I1669" s="29" t="s">
        <v>242</v>
      </c>
      <c r="J1669" s="28" t="s">
        <v>8002</v>
      </c>
      <c r="K1669" s="28"/>
      <c r="L1669" s="27"/>
      <c r="M1669" s="27"/>
      <c r="N1669" s="29"/>
      <c r="O1669" s="56"/>
      <c r="P1669" s="31"/>
      <c r="Q1669" s="31"/>
      <c r="R1669" s="27"/>
      <c r="S1669" s="32">
        <v>6000000</v>
      </c>
      <c r="T1669" s="33"/>
      <c r="U1669" s="334">
        <v>45178</v>
      </c>
      <c r="V1669" s="334">
        <v>45543</v>
      </c>
      <c r="W1669" s="27" t="s">
        <v>250</v>
      </c>
      <c r="X1669" s="27"/>
      <c r="Y1669" s="34">
        <f t="shared" ca="1" si="84"/>
        <v>46290</v>
      </c>
      <c r="Z1669" s="35">
        <f t="shared" ref="Z1669:Z1732" ca="1" si="87">V1669-Y1669</f>
        <v>-747</v>
      </c>
      <c r="AA1669" s="27">
        <f t="shared" si="85"/>
        <v>9</v>
      </c>
      <c r="AB1669" s="27">
        <f t="shared" si="83"/>
        <v>2024</v>
      </c>
      <c r="AC1669" s="28" t="s">
        <v>8124</v>
      </c>
      <c r="AD1669" s="28" t="s">
        <v>8125</v>
      </c>
      <c r="AE1669" s="27"/>
      <c r="AF1669" s="27" t="s">
        <v>339</v>
      </c>
      <c r="AG1669" s="29" t="s">
        <v>376</v>
      </c>
      <c r="AH1669" s="28" t="s">
        <v>7903</v>
      </c>
      <c r="AI1669" s="27"/>
      <c r="AJ1669" s="27"/>
      <c r="AK1669" s="27" t="s">
        <v>8126</v>
      </c>
      <c r="AL1669" s="27" t="s">
        <v>8127</v>
      </c>
      <c r="AM1669" s="27" t="s">
        <v>8128</v>
      </c>
      <c r="AN1669" s="27"/>
      <c r="AO1669" s="27"/>
      <c r="AP1669" s="27"/>
      <c r="AQ1669" s="27"/>
      <c r="AR1669" s="504"/>
      <c r="AS1669" s="489" t="s">
        <v>8129</v>
      </c>
      <c r="AT1669" s="160"/>
    </row>
    <row r="1670" spans="1:46" ht="21.75" hidden="1" customHeight="1">
      <c r="A1670" s="331">
        <v>1669</v>
      </c>
      <c r="B1670" s="28" t="s">
        <v>225</v>
      </c>
      <c r="C1670" s="28" t="s">
        <v>4688</v>
      </c>
      <c r="D1670" s="438" t="s">
        <v>369</v>
      </c>
      <c r="E1670" s="361" t="str">
        <f t="shared" ca="1" si="86"/>
        <v>LOSS</v>
      </c>
      <c r="F1670" s="29" t="s">
        <v>8001</v>
      </c>
      <c r="G1670" s="28" t="s">
        <v>8123</v>
      </c>
      <c r="H1670" s="29" t="s">
        <v>2748</v>
      </c>
      <c r="I1670" s="29" t="s">
        <v>242</v>
      </c>
      <c r="J1670" s="28" t="s">
        <v>8002</v>
      </c>
      <c r="K1670" s="28"/>
      <c r="L1670" s="27"/>
      <c r="M1670" s="27"/>
      <c r="N1670" s="29"/>
      <c r="O1670" s="56"/>
      <c r="P1670" s="31"/>
      <c r="Q1670" s="31"/>
      <c r="R1670" s="27"/>
      <c r="S1670" s="32">
        <v>18000000</v>
      </c>
      <c r="T1670" s="33"/>
      <c r="U1670" s="334">
        <v>45178</v>
      </c>
      <c r="V1670" s="334">
        <v>45543</v>
      </c>
      <c r="W1670" s="27" t="s">
        <v>250</v>
      </c>
      <c r="X1670" s="27"/>
      <c r="Y1670" s="34">
        <f t="shared" ca="1" si="84"/>
        <v>46290</v>
      </c>
      <c r="Z1670" s="35">
        <f t="shared" ca="1" si="87"/>
        <v>-747</v>
      </c>
      <c r="AA1670" s="27">
        <f t="shared" si="85"/>
        <v>9</v>
      </c>
      <c r="AB1670" s="27">
        <f t="shared" si="83"/>
        <v>2024</v>
      </c>
      <c r="AC1670" s="28" t="s">
        <v>8130</v>
      </c>
      <c r="AD1670" s="28" t="s">
        <v>8131</v>
      </c>
      <c r="AE1670" s="27"/>
      <c r="AF1670" s="27" t="s">
        <v>339</v>
      </c>
      <c r="AG1670" s="29" t="s">
        <v>376</v>
      </c>
      <c r="AH1670" s="28" t="s">
        <v>7903</v>
      </c>
      <c r="AI1670" s="27"/>
      <c r="AJ1670" s="27"/>
      <c r="AK1670" s="27" t="s">
        <v>6454</v>
      </c>
      <c r="AL1670" s="27" t="s">
        <v>8132</v>
      </c>
      <c r="AM1670" s="27" t="s">
        <v>8133</v>
      </c>
      <c r="AN1670" s="27" t="s">
        <v>8134</v>
      </c>
      <c r="AO1670" s="27"/>
      <c r="AP1670" s="27"/>
      <c r="AQ1670" s="27"/>
      <c r="AR1670" s="504"/>
      <c r="AS1670" s="332" t="s">
        <v>8129</v>
      </c>
      <c r="AT1670" s="160"/>
    </row>
    <row r="1671" spans="1:46" ht="21.75" hidden="1" customHeight="1">
      <c r="A1671" s="331">
        <v>1670</v>
      </c>
      <c r="B1671" s="28" t="s">
        <v>225</v>
      </c>
      <c r="C1671" s="28" t="s">
        <v>8135</v>
      </c>
      <c r="D1671" s="437" t="s">
        <v>369</v>
      </c>
      <c r="E1671" s="361" t="str">
        <f t="shared" ca="1" si="86"/>
        <v>LOSS</v>
      </c>
      <c r="F1671" s="29" t="s">
        <v>115</v>
      </c>
      <c r="G1671" s="28" t="s">
        <v>8136</v>
      </c>
      <c r="H1671" s="29" t="s">
        <v>2748</v>
      </c>
      <c r="I1671" s="29" t="s">
        <v>242</v>
      </c>
      <c r="J1671" s="28" t="s">
        <v>2530</v>
      </c>
      <c r="K1671" s="28"/>
      <c r="L1671" s="27"/>
      <c r="M1671" s="27"/>
      <c r="N1671" s="29"/>
      <c r="O1671" s="56"/>
      <c r="P1671" s="31">
        <v>37250000</v>
      </c>
      <c r="Q1671" s="31"/>
      <c r="R1671" s="30"/>
      <c r="S1671" s="32">
        <v>6000000</v>
      </c>
      <c r="T1671" s="33"/>
      <c r="U1671" s="334">
        <v>44971</v>
      </c>
      <c r="V1671" s="334">
        <v>45701</v>
      </c>
      <c r="W1671" s="27" t="s">
        <v>250</v>
      </c>
      <c r="X1671" s="27"/>
      <c r="Y1671" s="34">
        <f t="shared" ca="1" si="84"/>
        <v>46290</v>
      </c>
      <c r="Z1671" s="35">
        <f t="shared" ca="1" si="87"/>
        <v>-589</v>
      </c>
      <c r="AA1671" s="27">
        <f t="shared" si="85"/>
        <v>2</v>
      </c>
      <c r="AB1671" s="27">
        <f t="shared" si="83"/>
        <v>2025</v>
      </c>
      <c r="AC1671" s="28" t="s">
        <v>8137</v>
      </c>
      <c r="AD1671" s="28" t="s">
        <v>8138</v>
      </c>
      <c r="AE1671" s="27">
        <v>4500023002</v>
      </c>
      <c r="AF1671" s="27" t="s">
        <v>333</v>
      </c>
      <c r="AG1671" s="29" t="s">
        <v>376</v>
      </c>
      <c r="AH1671" s="28"/>
      <c r="AI1671" s="27"/>
      <c r="AJ1671" s="27"/>
      <c r="AK1671" s="27"/>
      <c r="AL1671" s="27"/>
      <c r="AM1671" s="27"/>
      <c r="AN1671" s="27" t="s">
        <v>8139</v>
      </c>
      <c r="AO1671" s="27"/>
      <c r="AP1671" s="27" t="s">
        <v>8140</v>
      </c>
      <c r="AQ1671" s="27"/>
      <c r="AR1671" s="504"/>
      <c r="AS1671" s="332" t="s">
        <v>8141</v>
      </c>
      <c r="AT1671" s="160"/>
    </row>
    <row r="1672" spans="1:46" ht="21.75" hidden="1" customHeight="1">
      <c r="A1672" s="331">
        <v>1671</v>
      </c>
      <c r="B1672" s="28" t="s">
        <v>225</v>
      </c>
      <c r="C1672" s="28" t="s">
        <v>8142</v>
      </c>
      <c r="D1672" s="438" t="s">
        <v>369</v>
      </c>
      <c r="E1672" s="361" t="str">
        <f t="shared" ca="1" si="86"/>
        <v>LOSS</v>
      </c>
      <c r="F1672" s="29" t="s">
        <v>8143</v>
      </c>
      <c r="G1672" s="28" t="s">
        <v>8144</v>
      </c>
      <c r="H1672" s="29" t="s">
        <v>2748</v>
      </c>
      <c r="I1672" s="29" t="s">
        <v>242</v>
      </c>
      <c r="J1672" s="28" t="s">
        <v>1907</v>
      </c>
      <c r="K1672" s="28"/>
      <c r="L1672" s="27"/>
      <c r="M1672" s="27"/>
      <c r="N1672" s="29"/>
      <c r="O1672" s="56"/>
      <c r="P1672" s="43">
        <f>2600000*12</f>
        <v>31200000</v>
      </c>
      <c r="Q1672" s="43"/>
      <c r="R1672" s="27"/>
      <c r="S1672" s="32">
        <v>6000000</v>
      </c>
      <c r="T1672" s="33"/>
      <c r="U1672" s="334">
        <v>44824</v>
      </c>
      <c r="V1672" s="334">
        <v>45188</v>
      </c>
      <c r="W1672" s="27" t="s">
        <v>250</v>
      </c>
      <c r="X1672" s="27"/>
      <c r="Y1672" s="34">
        <f t="shared" ca="1" si="84"/>
        <v>46290</v>
      </c>
      <c r="Z1672" s="35">
        <f t="shared" ca="1" si="87"/>
        <v>-1102</v>
      </c>
      <c r="AA1672" s="27">
        <f t="shared" si="85"/>
        <v>9</v>
      </c>
      <c r="AB1672" s="27">
        <f t="shared" ref="AB1672:AB1735" si="88">YEAR(V1672)</f>
        <v>2023</v>
      </c>
      <c r="AC1672" s="28" t="s">
        <v>479</v>
      </c>
      <c r="AD1672" s="28" t="s">
        <v>1908</v>
      </c>
      <c r="AE1672" s="27">
        <v>4500018745</v>
      </c>
      <c r="AF1672" s="27" t="s">
        <v>339</v>
      </c>
      <c r="AG1672" s="29" t="s">
        <v>7873</v>
      </c>
      <c r="AH1672" s="28"/>
      <c r="AI1672" s="27"/>
      <c r="AJ1672" s="27"/>
      <c r="AK1672" s="27"/>
      <c r="AL1672" s="27"/>
      <c r="AM1672" s="27"/>
      <c r="AN1672" s="27" t="s">
        <v>8145</v>
      </c>
      <c r="AO1672" s="27"/>
      <c r="AP1672" s="27"/>
      <c r="AQ1672" s="27"/>
      <c r="AR1672" s="504"/>
      <c r="AS1672" s="332" t="s">
        <v>8146</v>
      </c>
      <c r="AT1672" s="160"/>
    </row>
    <row r="1673" spans="1:46" ht="21.75" hidden="1" customHeight="1">
      <c r="A1673" s="331">
        <v>1672</v>
      </c>
      <c r="B1673" s="28" t="s">
        <v>225</v>
      </c>
      <c r="C1673" s="28" t="s">
        <v>8147</v>
      </c>
      <c r="D1673" s="437" t="s">
        <v>369</v>
      </c>
      <c r="E1673" s="361" t="str">
        <f t="shared" ca="1" si="86"/>
        <v>LOSS</v>
      </c>
      <c r="F1673" s="29" t="s">
        <v>115</v>
      </c>
      <c r="G1673" s="28" t="s">
        <v>8148</v>
      </c>
      <c r="H1673" s="29" t="s">
        <v>2748</v>
      </c>
      <c r="I1673" s="29" t="s">
        <v>242</v>
      </c>
      <c r="J1673" s="28" t="s">
        <v>729</v>
      </c>
      <c r="K1673" s="28"/>
      <c r="L1673" s="27"/>
      <c r="M1673" s="27"/>
      <c r="N1673" s="29"/>
      <c r="O1673" s="56"/>
      <c r="P1673" s="31">
        <v>168000000</v>
      </c>
      <c r="Q1673" s="31"/>
      <c r="R1673" s="27"/>
      <c r="S1673" s="32">
        <v>6000000</v>
      </c>
      <c r="T1673" s="33"/>
      <c r="U1673" s="334">
        <v>45107</v>
      </c>
      <c r="V1673" s="334">
        <v>45472</v>
      </c>
      <c r="W1673" s="27" t="s">
        <v>245</v>
      </c>
      <c r="X1673" s="27"/>
      <c r="Y1673" s="34">
        <f t="shared" ca="1" si="84"/>
        <v>46290</v>
      </c>
      <c r="Z1673" s="35">
        <f t="shared" ca="1" si="87"/>
        <v>-818</v>
      </c>
      <c r="AA1673" s="27">
        <f t="shared" si="85"/>
        <v>6</v>
      </c>
      <c r="AB1673" s="27">
        <f t="shared" si="88"/>
        <v>2024</v>
      </c>
      <c r="AC1673" s="28" t="s">
        <v>8149</v>
      </c>
      <c r="AD1673" s="28" t="s">
        <v>8150</v>
      </c>
      <c r="AE1673" s="27">
        <v>4500020429</v>
      </c>
      <c r="AF1673" s="27" t="s">
        <v>339</v>
      </c>
      <c r="AG1673" s="29" t="s">
        <v>7873</v>
      </c>
      <c r="AH1673" s="28"/>
      <c r="AI1673" s="27"/>
      <c r="AJ1673" s="27"/>
      <c r="AK1673" s="27" t="s">
        <v>8151</v>
      </c>
      <c r="AL1673" s="27" t="s">
        <v>8152</v>
      </c>
      <c r="AM1673" s="27" t="s">
        <v>8153</v>
      </c>
      <c r="AN1673" s="27" t="s">
        <v>8154</v>
      </c>
      <c r="AO1673" s="27" t="s">
        <v>8155</v>
      </c>
      <c r="AP1673" s="27"/>
      <c r="AQ1673" s="27"/>
      <c r="AR1673" s="504"/>
      <c r="AS1673" s="332" t="s">
        <v>5863</v>
      </c>
      <c r="AT1673" s="160"/>
    </row>
    <row r="1674" spans="1:46" ht="21.75" hidden="1" customHeight="1">
      <c r="A1674" s="331">
        <v>1673</v>
      </c>
      <c r="B1674" s="28" t="s">
        <v>225</v>
      </c>
      <c r="C1674" s="28" t="s">
        <v>8156</v>
      </c>
      <c r="D1674" s="438" t="s">
        <v>369</v>
      </c>
      <c r="E1674" s="361" t="str">
        <f t="shared" ca="1" si="86"/>
        <v>LOSS</v>
      </c>
      <c r="F1674" s="29" t="s">
        <v>115</v>
      </c>
      <c r="G1674" s="28" t="s">
        <v>8157</v>
      </c>
      <c r="H1674" s="29" t="s">
        <v>2748</v>
      </c>
      <c r="I1674" s="29" t="s">
        <v>346</v>
      </c>
      <c r="J1674" s="28" t="s">
        <v>8158</v>
      </c>
      <c r="K1674" s="28"/>
      <c r="L1674" s="27"/>
      <c r="M1674" s="27"/>
      <c r="N1674" s="29"/>
      <c r="O1674" s="56"/>
      <c r="P1674" s="31">
        <v>72000000</v>
      </c>
      <c r="Q1674" s="31"/>
      <c r="R1674" s="27"/>
      <c r="S1674" s="32">
        <v>46000000</v>
      </c>
      <c r="T1674" s="33"/>
      <c r="U1674" s="334">
        <v>44284</v>
      </c>
      <c r="V1674" s="334">
        <v>44648</v>
      </c>
      <c r="W1674" s="27" t="s">
        <v>250</v>
      </c>
      <c r="X1674" s="27"/>
      <c r="Y1674" s="34">
        <f t="shared" ca="1" si="84"/>
        <v>46290</v>
      </c>
      <c r="Z1674" s="35">
        <f t="shared" ca="1" si="87"/>
        <v>-1642</v>
      </c>
      <c r="AA1674" s="27">
        <f t="shared" si="85"/>
        <v>3</v>
      </c>
      <c r="AB1674" s="27">
        <f t="shared" si="88"/>
        <v>2022</v>
      </c>
      <c r="AC1674" s="28" t="s">
        <v>479</v>
      </c>
      <c r="AD1674" s="28" t="s">
        <v>8159</v>
      </c>
      <c r="AE1674" s="27">
        <v>4500015915</v>
      </c>
      <c r="AF1674" s="27" t="s">
        <v>339</v>
      </c>
      <c r="AG1674" s="29" t="s">
        <v>7873</v>
      </c>
      <c r="AH1674" s="28"/>
      <c r="AI1674" s="27"/>
      <c r="AJ1674" s="27"/>
      <c r="AK1674" s="27"/>
      <c r="AL1674" s="27"/>
      <c r="AM1674" s="27" t="s">
        <v>8160</v>
      </c>
      <c r="AN1674" s="27"/>
      <c r="AO1674" s="27"/>
      <c r="AP1674" s="27"/>
      <c r="AQ1674" s="27"/>
      <c r="AR1674" s="504"/>
      <c r="AS1674" s="332" t="s">
        <v>8161</v>
      </c>
      <c r="AT1674" s="160"/>
    </row>
    <row r="1675" spans="1:46" ht="21.75" hidden="1" customHeight="1">
      <c r="A1675" s="331">
        <v>1674</v>
      </c>
      <c r="B1675" s="28" t="s">
        <v>225</v>
      </c>
      <c r="C1675" s="28" t="s">
        <v>7906</v>
      </c>
      <c r="D1675" s="437" t="s">
        <v>369</v>
      </c>
      <c r="E1675" s="361" t="str">
        <f t="shared" ca="1" si="86"/>
        <v>LOSS</v>
      </c>
      <c r="F1675" s="29" t="s">
        <v>115</v>
      </c>
      <c r="G1675" s="28" t="s">
        <v>8162</v>
      </c>
      <c r="H1675" s="29" t="s">
        <v>2748</v>
      </c>
      <c r="I1675" s="29" t="s">
        <v>242</v>
      </c>
      <c r="J1675" s="28" t="s">
        <v>8163</v>
      </c>
      <c r="K1675" s="28"/>
      <c r="L1675" s="27"/>
      <c r="M1675" s="27"/>
      <c r="N1675" s="29"/>
      <c r="O1675" s="56"/>
      <c r="P1675" s="31">
        <v>238909080</v>
      </c>
      <c r="Q1675" s="31"/>
      <c r="R1675" s="27"/>
      <c r="S1675" s="32">
        <v>6000000</v>
      </c>
      <c r="T1675" s="33"/>
      <c r="U1675" s="334">
        <v>44964</v>
      </c>
      <c r="V1675" s="334">
        <v>45328</v>
      </c>
      <c r="W1675" s="27" t="s">
        <v>17</v>
      </c>
      <c r="X1675" s="27" t="s">
        <v>6242</v>
      </c>
      <c r="Y1675" s="34">
        <f t="shared" ref="Y1675:Y1738" ca="1" si="89">TODAY()</f>
        <v>46290</v>
      </c>
      <c r="Z1675" s="35">
        <f t="shared" ca="1" si="87"/>
        <v>-962</v>
      </c>
      <c r="AA1675" s="27">
        <f t="shared" si="85"/>
        <v>2</v>
      </c>
      <c r="AB1675" s="27">
        <f t="shared" si="88"/>
        <v>2024</v>
      </c>
      <c r="AC1675" s="28" t="s">
        <v>8164</v>
      </c>
      <c r="AD1675" s="28" t="s">
        <v>8165</v>
      </c>
      <c r="AE1675" s="27">
        <v>4500021994</v>
      </c>
      <c r="AF1675" s="27" t="s">
        <v>339</v>
      </c>
      <c r="AG1675" s="29" t="s">
        <v>7873</v>
      </c>
      <c r="AH1675" s="28"/>
      <c r="AI1675" s="27"/>
      <c r="AJ1675" s="27"/>
      <c r="AK1675" s="27"/>
      <c r="AL1675" s="27" t="s">
        <v>8166</v>
      </c>
      <c r="AM1675" s="27" t="s">
        <v>8167</v>
      </c>
      <c r="AN1675" s="27"/>
      <c r="AO1675" s="27" t="s">
        <v>8168</v>
      </c>
      <c r="AP1675" s="27"/>
      <c r="AQ1675" s="27"/>
      <c r="AR1675" s="504"/>
      <c r="AS1675" s="332" t="s">
        <v>8169</v>
      </c>
      <c r="AT1675" s="160"/>
    </row>
    <row r="1676" spans="1:46" ht="21.75" hidden="1" customHeight="1">
      <c r="A1676" s="331">
        <v>1675</v>
      </c>
      <c r="B1676" s="28" t="s">
        <v>225</v>
      </c>
      <c r="C1676" s="28" t="s">
        <v>7906</v>
      </c>
      <c r="D1676" s="438" t="s">
        <v>369</v>
      </c>
      <c r="E1676" s="361" t="str">
        <f t="shared" ca="1" si="86"/>
        <v>LOSS</v>
      </c>
      <c r="F1676" s="29"/>
      <c r="G1676" s="28" t="s">
        <v>8162</v>
      </c>
      <c r="H1676" s="29" t="s">
        <v>2748</v>
      </c>
      <c r="I1676" s="29" t="s">
        <v>242</v>
      </c>
      <c r="J1676" s="28" t="s">
        <v>8170</v>
      </c>
      <c r="K1676" s="28"/>
      <c r="L1676" s="27"/>
      <c r="M1676" s="27"/>
      <c r="N1676" s="29"/>
      <c r="O1676" s="56"/>
      <c r="P1676" s="31">
        <v>5467500</v>
      </c>
      <c r="Q1676" s="31"/>
      <c r="R1676" s="27"/>
      <c r="S1676" s="32">
        <v>6000000</v>
      </c>
      <c r="T1676" s="33"/>
      <c r="U1676" s="334">
        <v>44571</v>
      </c>
      <c r="V1676" s="334">
        <v>44935</v>
      </c>
      <c r="W1676" s="27" t="s">
        <v>250</v>
      </c>
      <c r="X1676" s="27"/>
      <c r="Y1676" s="34">
        <f t="shared" ca="1" si="89"/>
        <v>46290</v>
      </c>
      <c r="Z1676" s="35">
        <f t="shared" ca="1" si="87"/>
        <v>-1355</v>
      </c>
      <c r="AA1676" s="27">
        <f t="shared" ref="AA1676:AA1732" si="90">MONTH(V1676)</f>
        <v>1</v>
      </c>
      <c r="AB1676" s="27">
        <f t="shared" si="88"/>
        <v>2023</v>
      </c>
      <c r="AC1676" s="28" t="s">
        <v>8171</v>
      </c>
      <c r="AD1676" s="28" t="s">
        <v>8172</v>
      </c>
      <c r="AE1676" s="27">
        <v>4500018966</v>
      </c>
      <c r="AF1676" s="27" t="s">
        <v>339</v>
      </c>
      <c r="AG1676" s="29" t="s">
        <v>7873</v>
      </c>
      <c r="AH1676" s="28"/>
      <c r="AI1676" s="27"/>
      <c r="AJ1676" s="27"/>
      <c r="AK1676" s="27" t="s">
        <v>8173</v>
      </c>
      <c r="AL1676" s="27"/>
      <c r="AM1676" s="27" t="s">
        <v>8174</v>
      </c>
      <c r="AN1676" s="27"/>
      <c r="AO1676" s="27"/>
      <c r="AP1676" s="27"/>
      <c r="AQ1676" s="27"/>
      <c r="AR1676" s="504"/>
      <c r="AS1676" s="332" t="s">
        <v>8175</v>
      </c>
      <c r="AT1676" s="160"/>
    </row>
    <row r="1677" spans="1:46" ht="21.75" hidden="1" customHeight="1">
      <c r="A1677" s="331">
        <v>1676</v>
      </c>
      <c r="B1677" s="28" t="s">
        <v>225</v>
      </c>
      <c r="C1677" s="28" t="s">
        <v>7906</v>
      </c>
      <c r="D1677" s="437" t="s">
        <v>369</v>
      </c>
      <c r="E1677" s="361" t="str">
        <f t="shared" ca="1" si="86"/>
        <v>LOSS</v>
      </c>
      <c r="F1677" s="29"/>
      <c r="G1677" s="28" t="s">
        <v>8162</v>
      </c>
      <c r="H1677" s="29" t="s">
        <v>2748</v>
      </c>
      <c r="I1677" s="29" t="s">
        <v>242</v>
      </c>
      <c r="J1677" s="28" t="s">
        <v>8170</v>
      </c>
      <c r="K1677" s="28"/>
      <c r="L1677" s="27"/>
      <c r="M1677" s="27"/>
      <c r="N1677" s="29"/>
      <c r="O1677" s="56"/>
      <c r="P1677" s="31">
        <f>6893333*12</f>
        <v>82719996</v>
      </c>
      <c r="Q1677" s="31"/>
      <c r="R1677" s="27"/>
      <c r="S1677" s="32">
        <v>6000000</v>
      </c>
      <c r="T1677" s="33"/>
      <c r="U1677" s="334">
        <v>44936</v>
      </c>
      <c r="V1677" s="334">
        <v>45666</v>
      </c>
      <c r="W1677" s="27" t="s">
        <v>17</v>
      </c>
      <c r="X1677" s="27" t="s">
        <v>6242</v>
      </c>
      <c r="Y1677" s="34">
        <f t="shared" ca="1" si="89"/>
        <v>46290</v>
      </c>
      <c r="Z1677" s="35">
        <f t="shared" ca="1" si="87"/>
        <v>-624</v>
      </c>
      <c r="AA1677" s="27">
        <f t="shared" si="90"/>
        <v>1</v>
      </c>
      <c r="AB1677" s="27">
        <f t="shared" si="88"/>
        <v>2025</v>
      </c>
      <c r="AC1677" s="28" t="s">
        <v>8172</v>
      </c>
      <c r="AD1677" s="28" t="s">
        <v>8176</v>
      </c>
      <c r="AE1677" s="27">
        <v>4500023384</v>
      </c>
      <c r="AF1677" s="27" t="s">
        <v>333</v>
      </c>
      <c r="AG1677" s="29" t="s">
        <v>376</v>
      </c>
      <c r="AH1677" s="28"/>
      <c r="AI1677" s="27"/>
      <c r="AJ1677" s="27"/>
      <c r="AK1677" s="27"/>
      <c r="AL1677" s="27"/>
      <c r="AM1677" s="27"/>
      <c r="AN1677" s="27"/>
      <c r="AO1677" s="27"/>
      <c r="AP1677" s="27" t="s">
        <v>8177</v>
      </c>
      <c r="AQ1677" s="27"/>
      <c r="AR1677" s="504"/>
      <c r="AS1677" s="332"/>
      <c r="AT1677" s="160"/>
    </row>
    <row r="1678" spans="1:46" ht="21.75" hidden="1" customHeight="1">
      <c r="A1678" s="331">
        <v>1677</v>
      </c>
      <c r="B1678" s="28" t="s">
        <v>225</v>
      </c>
      <c r="C1678" s="28" t="s">
        <v>7495</v>
      </c>
      <c r="D1678" s="438" t="s">
        <v>369</v>
      </c>
      <c r="E1678" s="361" t="str">
        <f t="shared" ca="1" si="86"/>
        <v>LOSS</v>
      </c>
      <c r="F1678" s="29"/>
      <c r="G1678" s="28" t="s">
        <v>8178</v>
      </c>
      <c r="H1678" s="29" t="s">
        <v>2748</v>
      </c>
      <c r="I1678" s="29" t="s">
        <v>242</v>
      </c>
      <c r="J1678" s="28" t="s">
        <v>8179</v>
      </c>
      <c r="K1678" s="28"/>
      <c r="L1678" s="27"/>
      <c r="M1678" s="27"/>
      <c r="N1678" s="29"/>
      <c r="O1678" s="56"/>
      <c r="P1678" s="31">
        <v>184800000</v>
      </c>
      <c r="Q1678" s="31"/>
      <c r="R1678" s="27"/>
      <c r="S1678" s="32">
        <v>6000000</v>
      </c>
      <c r="T1678" s="33"/>
      <c r="U1678" s="334">
        <v>44168</v>
      </c>
      <c r="V1678" s="334">
        <v>44532</v>
      </c>
      <c r="W1678" s="27" t="s">
        <v>250</v>
      </c>
      <c r="X1678" s="27"/>
      <c r="Y1678" s="34">
        <f t="shared" ca="1" si="89"/>
        <v>46290</v>
      </c>
      <c r="Z1678" s="35">
        <f t="shared" ca="1" si="87"/>
        <v>-1758</v>
      </c>
      <c r="AA1678" s="27">
        <f t="shared" si="90"/>
        <v>12</v>
      </c>
      <c r="AB1678" s="27">
        <f t="shared" si="88"/>
        <v>2021</v>
      </c>
      <c r="AC1678" s="28" t="s">
        <v>8180</v>
      </c>
      <c r="AD1678" s="28" t="s">
        <v>8181</v>
      </c>
      <c r="AE1678" s="27">
        <v>4500015485</v>
      </c>
      <c r="AF1678" s="27" t="s">
        <v>339</v>
      </c>
      <c r="AG1678" s="29" t="s">
        <v>7873</v>
      </c>
      <c r="AH1678" s="28"/>
      <c r="AI1678" s="27"/>
      <c r="AJ1678" s="27"/>
      <c r="AK1678" s="27" t="s">
        <v>8182</v>
      </c>
      <c r="AL1678" s="27" t="s">
        <v>8183</v>
      </c>
      <c r="AM1678" s="27"/>
      <c r="AN1678" s="27"/>
      <c r="AO1678" s="27"/>
      <c r="AP1678" s="27"/>
      <c r="AQ1678" s="27"/>
      <c r="AR1678" s="504"/>
      <c r="AS1678" s="332" t="s">
        <v>8184</v>
      </c>
      <c r="AT1678" s="160"/>
    </row>
    <row r="1679" spans="1:46" ht="21.75" hidden="1" customHeight="1">
      <c r="A1679" s="331">
        <v>1678</v>
      </c>
      <c r="B1679" s="28" t="s">
        <v>225</v>
      </c>
      <c r="C1679" s="28" t="s">
        <v>7495</v>
      </c>
      <c r="D1679" s="437" t="s">
        <v>369</v>
      </c>
      <c r="E1679" s="361" t="str">
        <f t="shared" ca="1" si="86"/>
        <v>LOSS</v>
      </c>
      <c r="F1679" s="29"/>
      <c r="G1679" s="28" t="s">
        <v>8185</v>
      </c>
      <c r="H1679" s="29" t="s">
        <v>2748</v>
      </c>
      <c r="I1679" s="29" t="s">
        <v>242</v>
      </c>
      <c r="J1679" s="28" t="s">
        <v>8179</v>
      </c>
      <c r="K1679" s="28"/>
      <c r="L1679" s="27"/>
      <c r="M1679" s="27"/>
      <c r="N1679" s="29"/>
      <c r="O1679" s="56"/>
      <c r="P1679" s="31">
        <v>11650000</v>
      </c>
      <c r="Q1679" s="31"/>
      <c r="R1679" s="27"/>
      <c r="S1679" s="32">
        <v>12000000</v>
      </c>
      <c r="T1679" s="33"/>
      <c r="U1679" s="334">
        <v>44176</v>
      </c>
      <c r="V1679" s="334">
        <v>44540</v>
      </c>
      <c r="W1679" s="27" t="s">
        <v>250</v>
      </c>
      <c r="X1679" s="27"/>
      <c r="Y1679" s="34">
        <f t="shared" ca="1" si="89"/>
        <v>46290</v>
      </c>
      <c r="Z1679" s="35">
        <f t="shared" ca="1" si="87"/>
        <v>-1750</v>
      </c>
      <c r="AA1679" s="27">
        <f t="shared" si="90"/>
        <v>12</v>
      </c>
      <c r="AB1679" s="27">
        <f t="shared" si="88"/>
        <v>2021</v>
      </c>
      <c r="AC1679" s="28" t="s">
        <v>8186</v>
      </c>
      <c r="AD1679" s="28" t="s">
        <v>8187</v>
      </c>
      <c r="AE1679" s="27">
        <v>4500015494</v>
      </c>
      <c r="AF1679" s="27" t="s">
        <v>339</v>
      </c>
      <c r="AG1679" s="29" t="s">
        <v>7873</v>
      </c>
      <c r="AH1679" s="28"/>
      <c r="AI1679" s="27"/>
      <c r="AJ1679" s="27"/>
      <c r="AK1679" s="27" t="s">
        <v>8188</v>
      </c>
      <c r="AL1679" s="27" t="s">
        <v>8189</v>
      </c>
      <c r="AM1679" s="27"/>
      <c r="AN1679" s="27"/>
      <c r="AO1679" s="27"/>
      <c r="AP1679" s="27"/>
      <c r="AQ1679" s="27"/>
      <c r="AR1679" s="504"/>
      <c r="AS1679" s="332" t="s">
        <v>8190</v>
      </c>
      <c r="AT1679" s="160"/>
    </row>
    <row r="1680" spans="1:46" ht="21.75" hidden="1" customHeight="1">
      <c r="A1680" s="331">
        <v>1679</v>
      </c>
      <c r="B1680" s="28" t="s">
        <v>225</v>
      </c>
      <c r="C1680" s="28" t="s">
        <v>5618</v>
      </c>
      <c r="D1680" s="438" t="s">
        <v>369</v>
      </c>
      <c r="E1680" s="361" t="str">
        <f t="shared" ca="1" si="86"/>
        <v>LOSS</v>
      </c>
      <c r="F1680" s="29"/>
      <c r="G1680" s="28" t="s">
        <v>8191</v>
      </c>
      <c r="H1680" s="29" t="s">
        <v>2748</v>
      </c>
      <c r="I1680" s="29" t="s">
        <v>242</v>
      </c>
      <c r="J1680" s="28" t="s">
        <v>946</v>
      </c>
      <c r="K1680" s="28"/>
      <c r="L1680" s="27"/>
      <c r="M1680" s="27"/>
      <c r="N1680" s="29"/>
      <c r="O1680" s="56"/>
      <c r="P1680" s="31">
        <v>240000000</v>
      </c>
      <c r="Q1680" s="31"/>
      <c r="R1680" s="27"/>
      <c r="S1680" s="32">
        <v>18000000</v>
      </c>
      <c r="T1680" s="33"/>
      <c r="U1680" s="334">
        <v>43913</v>
      </c>
      <c r="V1680" s="334">
        <v>44277</v>
      </c>
      <c r="W1680" s="27" t="s">
        <v>245</v>
      </c>
      <c r="X1680" s="27"/>
      <c r="Y1680" s="34">
        <f t="shared" ca="1" si="89"/>
        <v>46290</v>
      </c>
      <c r="Z1680" s="35">
        <f t="shared" ca="1" si="87"/>
        <v>-2013</v>
      </c>
      <c r="AA1680" s="27">
        <f t="shared" si="90"/>
        <v>3</v>
      </c>
      <c r="AB1680" s="27">
        <f t="shared" si="88"/>
        <v>2021</v>
      </c>
      <c r="AC1680" s="28" t="s">
        <v>479</v>
      </c>
      <c r="AD1680" s="28" t="s">
        <v>947</v>
      </c>
      <c r="AE1680" s="27">
        <v>4500014093</v>
      </c>
      <c r="AF1680" s="27" t="s">
        <v>339</v>
      </c>
      <c r="AG1680" s="29" t="s">
        <v>7873</v>
      </c>
      <c r="AH1680" s="28"/>
      <c r="AI1680" s="27"/>
      <c r="AJ1680" s="27"/>
      <c r="AK1680" s="27"/>
      <c r="AL1680" s="27" t="s">
        <v>8192</v>
      </c>
      <c r="AM1680" s="27"/>
      <c r="AN1680" s="27"/>
      <c r="AO1680" s="27"/>
      <c r="AP1680" s="27"/>
      <c r="AQ1680" s="27"/>
      <c r="AR1680" s="504"/>
      <c r="AS1680" s="332" t="s">
        <v>8193</v>
      </c>
      <c r="AT1680" s="160"/>
    </row>
    <row r="1681" spans="1:46" ht="21.75" hidden="1" customHeight="1">
      <c r="A1681" s="331">
        <v>1680</v>
      </c>
      <c r="B1681" s="28" t="s">
        <v>225</v>
      </c>
      <c r="C1681" s="28" t="s">
        <v>8194</v>
      </c>
      <c r="D1681" s="437" t="s">
        <v>369</v>
      </c>
      <c r="E1681" s="361" t="str">
        <f t="shared" ca="1" si="86"/>
        <v>LOSS</v>
      </c>
      <c r="F1681" s="29"/>
      <c r="G1681" s="28" t="s">
        <v>8195</v>
      </c>
      <c r="H1681" s="29" t="s">
        <v>2748</v>
      </c>
      <c r="I1681" s="29" t="s">
        <v>242</v>
      </c>
      <c r="J1681" s="28" t="s">
        <v>1585</v>
      </c>
      <c r="K1681" s="28"/>
      <c r="L1681" s="27"/>
      <c r="M1681" s="27"/>
      <c r="N1681" s="29"/>
      <c r="O1681" s="56"/>
      <c r="P1681" s="31">
        <v>60000000</v>
      </c>
      <c r="Q1681" s="31"/>
      <c r="R1681" s="27"/>
      <c r="S1681" s="32">
        <v>18000000</v>
      </c>
      <c r="T1681" s="33"/>
      <c r="U1681" s="334">
        <v>44452</v>
      </c>
      <c r="V1681" s="334">
        <v>44816</v>
      </c>
      <c r="W1681" s="27" t="s">
        <v>245</v>
      </c>
      <c r="X1681" s="27"/>
      <c r="Y1681" s="34">
        <f t="shared" ca="1" si="89"/>
        <v>46290</v>
      </c>
      <c r="Z1681" s="35">
        <f t="shared" ca="1" si="87"/>
        <v>-1474</v>
      </c>
      <c r="AA1681" s="27">
        <f t="shared" si="90"/>
        <v>9</v>
      </c>
      <c r="AB1681" s="27">
        <f t="shared" si="88"/>
        <v>2022</v>
      </c>
      <c r="AC1681" s="28" t="s">
        <v>479</v>
      </c>
      <c r="AD1681" s="28" t="s">
        <v>1586</v>
      </c>
      <c r="AE1681" s="27">
        <v>4500016616</v>
      </c>
      <c r="AF1681" s="27" t="s">
        <v>339</v>
      </c>
      <c r="AG1681" s="29" t="s">
        <v>7873</v>
      </c>
      <c r="AH1681" s="28"/>
      <c r="AI1681" s="27"/>
      <c r="AJ1681" s="27"/>
      <c r="AK1681" s="27"/>
      <c r="AL1681" s="27"/>
      <c r="AM1681" s="27" t="s">
        <v>8196</v>
      </c>
      <c r="AN1681" s="27"/>
      <c r="AO1681" s="27"/>
      <c r="AP1681" s="27"/>
      <c r="AQ1681" s="27"/>
      <c r="AR1681" s="504"/>
      <c r="AS1681" s="332" t="s">
        <v>8197</v>
      </c>
      <c r="AT1681" s="160"/>
    </row>
    <row r="1682" spans="1:46" ht="21.75" hidden="1" customHeight="1">
      <c r="A1682" s="331">
        <v>1681</v>
      </c>
      <c r="B1682" s="28" t="s">
        <v>225</v>
      </c>
      <c r="C1682" s="28" t="s">
        <v>8198</v>
      </c>
      <c r="D1682" s="438" t="s">
        <v>369</v>
      </c>
      <c r="E1682" s="361" t="str">
        <f t="shared" ca="1" si="86"/>
        <v>LOSS</v>
      </c>
      <c r="F1682" s="29"/>
      <c r="G1682" s="28" t="s">
        <v>8199</v>
      </c>
      <c r="H1682" s="29" t="s">
        <v>2748</v>
      </c>
      <c r="I1682" s="29" t="s">
        <v>242</v>
      </c>
      <c r="J1682" s="28" t="s">
        <v>1919</v>
      </c>
      <c r="K1682" s="28"/>
      <c r="L1682" s="27"/>
      <c r="M1682" s="27" t="s">
        <v>365</v>
      </c>
      <c r="N1682" s="29" t="s">
        <v>468</v>
      </c>
      <c r="O1682" s="56"/>
      <c r="P1682" s="31">
        <v>194400000</v>
      </c>
      <c r="Q1682" s="31"/>
      <c r="R1682" s="27"/>
      <c r="S1682" s="32">
        <f>500000*12</f>
        <v>6000000</v>
      </c>
      <c r="T1682" s="33"/>
      <c r="U1682" s="334">
        <v>44994</v>
      </c>
      <c r="V1682" s="334">
        <v>45724</v>
      </c>
      <c r="W1682" s="27" t="s">
        <v>250</v>
      </c>
      <c r="X1682" s="27"/>
      <c r="Y1682" s="34">
        <f t="shared" ca="1" si="89"/>
        <v>46290</v>
      </c>
      <c r="Z1682" s="35">
        <f t="shared" ca="1" si="87"/>
        <v>-566</v>
      </c>
      <c r="AA1682" s="27">
        <f t="shared" si="90"/>
        <v>3</v>
      </c>
      <c r="AB1682" s="27">
        <f t="shared" si="88"/>
        <v>2025</v>
      </c>
      <c r="AC1682" s="28" t="s">
        <v>8200</v>
      </c>
      <c r="AD1682" s="28" t="s">
        <v>8201</v>
      </c>
      <c r="AE1682" s="27">
        <v>4500022575</v>
      </c>
      <c r="AF1682" s="27" t="s">
        <v>339</v>
      </c>
      <c r="AG1682" s="29" t="s">
        <v>376</v>
      </c>
      <c r="AH1682" s="28"/>
      <c r="AI1682" s="27"/>
      <c r="AJ1682" s="27"/>
      <c r="AK1682" s="27"/>
      <c r="AL1682" s="27" t="s">
        <v>8202</v>
      </c>
      <c r="AM1682" s="27" t="s">
        <v>8203</v>
      </c>
      <c r="AN1682" s="27" t="s">
        <v>8204</v>
      </c>
      <c r="AO1682" s="27"/>
      <c r="AP1682" s="27" t="s">
        <v>8205</v>
      </c>
      <c r="AQ1682" s="27"/>
      <c r="AR1682" s="504"/>
      <c r="AS1682" s="332" t="s">
        <v>8206</v>
      </c>
      <c r="AT1682" s="160"/>
    </row>
    <row r="1683" spans="1:46" ht="21.75" hidden="1" customHeight="1">
      <c r="A1683" s="331">
        <v>1682</v>
      </c>
      <c r="B1683" s="28" t="s">
        <v>8207</v>
      </c>
      <c r="C1683" s="28" t="s">
        <v>8208</v>
      </c>
      <c r="D1683" s="437" t="s">
        <v>8209</v>
      </c>
      <c r="E1683" s="361" t="str">
        <f t="shared" ca="1" si="86"/>
        <v>LOSS</v>
      </c>
      <c r="F1683" s="29"/>
      <c r="G1683" s="28" t="s">
        <v>8210</v>
      </c>
      <c r="H1683" s="29" t="s">
        <v>2748</v>
      </c>
      <c r="I1683" s="29" t="s">
        <v>346</v>
      </c>
      <c r="J1683" s="28" t="s">
        <v>8211</v>
      </c>
      <c r="K1683" s="28"/>
      <c r="L1683" s="27"/>
      <c r="M1683" s="27"/>
      <c r="N1683" s="29"/>
      <c r="O1683" s="56"/>
      <c r="P1683" s="31">
        <v>72000000</v>
      </c>
      <c r="Q1683" s="31"/>
      <c r="R1683" s="27"/>
      <c r="S1683" s="32">
        <v>30000000</v>
      </c>
      <c r="T1683" s="33"/>
      <c r="U1683" s="334">
        <v>43728</v>
      </c>
      <c r="V1683" s="334">
        <v>44093</v>
      </c>
      <c r="W1683" s="27" t="s">
        <v>250</v>
      </c>
      <c r="X1683" s="27"/>
      <c r="Y1683" s="34">
        <f t="shared" ca="1" si="89"/>
        <v>46290</v>
      </c>
      <c r="Z1683" s="35">
        <f t="shared" ca="1" si="87"/>
        <v>-2197</v>
      </c>
      <c r="AA1683" s="27">
        <f t="shared" si="90"/>
        <v>9</v>
      </c>
      <c r="AB1683" s="27">
        <f t="shared" si="88"/>
        <v>2020</v>
      </c>
      <c r="AC1683" s="28" t="s">
        <v>8212</v>
      </c>
      <c r="AD1683" s="28" t="s">
        <v>8213</v>
      </c>
      <c r="AE1683" s="27">
        <v>4500012980</v>
      </c>
      <c r="AF1683" s="27" t="s">
        <v>339</v>
      </c>
      <c r="AG1683" s="29" t="s">
        <v>8214</v>
      </c>
      <c r="AH1683" s="28"/>
      <c r="AI1683" s="27">
        <v>128</v>
      </c>
      <c r="AJ1683" s="27" t="s">
        <v>8215</v>
      </c>
      <c r="AK1683" s="27" t="s">
        <v>4276</v>
      </c>
      <c r="AL1683" s="27"/>
      <c r="AM1683" s="27"/>
      <c r="AN1683" s="27"/>
      <c r="AO1683" s="27"/>
      <c r="AP1683" s="27"/>
      <c r="AQ1683" s="27"/>
      <c r="AR1683" s="504"/>
      <c r="AS1683" s="332" t="s">
        <v>8216</v>
      </c>
      <c r="AT1683" s="160"/>
    </row>
    <row r="1684" spans="1:46" ht="21.75" hidden="1" customHeight="1">
      <c r="A1684" s="331">
        <v>1683</v>
      </c>
      <c r="B1684" s="28" t="s">
        <v>8217</v>
      </c>
      <c r="C1684" s="28" t="s">
        <v>8218</v>
      </c>
      <c r="D1684" s="438" t="s">
        <v>8219</v>
      </c>
      <c r="E1684" s="361" t="str">
        <f t="shared" ca="1" si="86"/>
        <v>LOSS</v>
      </c>
      <c r="F1684" s="29"/>
      <c r="G1684" s="28" t="s">
        <v>8220</v>
      </c>
      <c r="H1684" s="29" t="s">
        <v>2748</v>
      </c>
      <c r="I1684" s="29" t="s">
        <v>346</v>
      </c>
      <c r="J1684" s="28" t="s">
        <v>8221</v>
      </c>
      <c r="K1684" s="28"/>
      <c r="L1684" s="27"/>
      <c r="M1684" s="27"/>
      <c r="N1684" s="29"/>
      <c r="O1684" s="56"/>
      <c r="P1684" s="31">
        <v>480000000</v>
      </c>
      <c r="Q1684" s="31"/>
      <c r="R1684" s="27"/>
      <c r="S1684" s="32">
        <v>40000000</v>
      </c>
      <c r="T1684" s="33"/>
      <c r="U1684" s="334">
        <v>43497</v>
      </c>
      <c r="V1684" s="334">
        <v>43861</v>
      </c>
      <c r="W1684" s="27" t="s">
        <v>250</v>
      </c>
      <c r="X1684" s="27"/>
      <c r="Y1684" s="34">
        <f t="shared" ca="1" si="89"/>
        <v>46290</v>
      </c>
      <c r="Z1684" s="35">
        <f t="shared" ca="1" si="87"/>
        <v>-2429</v>
      </c>
      <c r="AA1684" s="27">
        <f t="shared" si="90"/>
        <v>1</v>
      </c>
      <c r="AB1684" s="27">
        <f t="shared" si="88"/>
        <v>2020</v>
      </c>
      <c r="AC1684" s="28" t="s">
        <v>479</v>
      </c>
      <c r="AD1684" s="28" t="s">
        <v>8222</v>
      </c>
      <c r="AE1684" s="27">
        <v>4500012447</v>
      </c>
      <c r="AF1684" s="27" t="s">
        <v>339</v>
      </c>
      <c r="AG1684" s="29" t="s">
        <v>8223</v>
      </c>
      <c r="AH1684" s="28" t="s">
        <v>8224</v>
      </c>
      <c r="AI1684" s="27"/>
      <c r="AJ1684" s="27"/>
      <c r="AK1684" s="27" t="s">
        <v>8225</v>
      </c>
      <c r="AL1684" s="27"/>
      <c r="AM1684" s="27"/>
      <c r="AN1684" s="27"/>
      <c r="AO1684" s="27"/>
      <c r="AP1684" s="27"/>
      <c r="AQ1684" s="27"/>
      <c r="AR1684" s="504"/>
      <c r="AS1684" s="332" t="s">
        <v>8226</v>
      </c>
      <c r="AT1684" s="160"/>
    </row>
    <row r="1685" spans="1:46" ht="21.75" hidden="1" customHeight="1">
      <c r="A1685" s="331">
        <v>1684</v>
      </c>
      <c r="B1685" s="28" t="s">
        <v>230</v>
      </c>
      <c r="C1685" s="28" t="s">
        <v>349</v>
      </c>
      <c r="D1685" s="444" t="s">
        <v>8227</v>
      </c>
      <c r="E1685" s="361" t="str">
        <f t="shared" ca="1" si="86"/>
        <v>LOSS</v>
      </c>
      <c r="F1685" s="29"/>
      <c r="G1685" s="28" t="s">
        <v>8228</v>
      </c>
      <c r="H1685" s="29" t="s">
        <v>2748</v>
      </c>
      <c r="I1685" s="29" t="s">
        <v>346</v>
      </c>
      <c r="J1685" s="28" t="s">
        <v>231</v>
      </c>
      <c r="K1685" s="28"/>
      <c r="L1685" s="27"/>
      <c r="M1685" s="27"/>
      <c r="N1685" s="29"/>
      <c r="O1685" s="56"/>
      <c r="P1685" s="31">
        <v>26400000</v>
      </c>
      <c r="Q1685" s="31"/>
      <c r="R1685" s="27"/>
      <c r="S1685" s="32">
        <v>12000000</v>
      </c>
      <c r="T1685" s="33"/>
      <c r="U1685" s="334">
        <v>45461</v>
      </c>
      <c r="V1685" s="334">
        <v>45825</v>
      </c>
      <c r="W1685" s="27" t="s">
        <v>250</v>
      </c>
      <c r="X1685" s="27"/>
      <c r="Y1685" s="34">
        <f t="shared" ca="1" si="89"/>
        <v>46290</v>
      </c>
      <c r="Z1685" s="35">
        <f t="shared" ca="1" si="87"/>
        <v>-465</v>
      </c>
      <c r="AA1685" s="27">
        <f t="shared" si="90"/>
        <v>6</v>
      </c>
      <c r="AB1685" s="27">
        <f t="shared" si="88"/>
        <v>2025</v>
      </c>
      <c r="AC1685" s="28" t="s">
        <v>8229</v>
      </c>
      <c r="AD1685" s="28" t="s">
        <v>8230</v>
      </c>
      <c r="AE1685" s="27">
        <v>4500022773</v>
      </c>
      <c r="AF1685" s="27" t="s">
        <v>339</v>
      </c>
      <c r="AG1685" s="29" t="s">
        <v>8231</v>
      </c>
      <c r="AH1685" s="28" t="s">
        <v>8232</v>
      </c>
      <c r="AI1685" s="27" t="s">
        <v>8233</v>
      </c>
      <c r="AJ1685" s="27" t="s">
        <v>8234</v>
      </c>
      <c r="AK1685" s="27" t="s">
        <v>8235</v>
      </c>
      <c r="AL1685" s="27" t="s">
        <v>8236</v>
      </c>
      <c r="AM1685" s="27" t="s">
        <v>8237</v>
      </c>
      <c r="AN1685" s="27" t="s">
        <v>8238</v>
      </c>
      <c r="AO1685" s="27" t="s">
        <v>8239</v>
      </c>
      <c r="AP1685" s="27" t="s">
        <v>8240</v>
      </c>
      <c r="AQ1685" s="27"/>
      <c r="AR1685" s="504"/>
      <c r="AS1685" s="332" t="s">
        <v>8241</v>
      </c>
      <c r="AT1685" s="160"/>
    </row>
    <row r="1686" spans="1:46" s="69" customFormat="1" ht="21.75" hidden="1" customHeight="1">
      <c r="A1686" s="331">
        <v>1685</v>
      </c>
      <c r="B1686" s="28" t="s">
        <v>925</v>
      </c>
      <c r="C1686" s="28" t="s">
        <v>8242</v>
      </c>
      <c r="D1686" s="438" t="s">
        <v>927</v>
      </c>
      <c r="E1686" s="361" t="str">
        <f t="shared" ca="1" si="86"/>
        <v>LOSS</v>
      </c>
      <c r="F1686" s="29"/>
      <c r="G1686" s="28" t="s">
        <v>8243</v>
      </c>
      <c r="H1686" s="29" t="s">
        <v>2748</v>
      </c>
      <c r="I1686" s="160" t="s">
        <v>346</v>
      </c>
      <c r="J1686" s="28" t="s">
        <v>8244</v>
      </c>
      <c r="K1686" s="28"/>
      <c r="L1686" s="27"/>
      <c r="M1686" s="27"/>
      <c r="N1686" s="29"/>
      <c r="O1686" s="56"/>
      <c r="P1686" s="31">
        <v>111720000</v>
      </c>
      <c r="Q1686" s="31"/>
      <c r="R1686" s="27"/>
      <c r="S1686" s="32">
        <v>10093272</v>
      </c>
      <c r="T1686" s="33"/>
      <c r="U1686" s="334">
        <v>44013</v>
      </c>
      <c r="V1686" s="334">
        <v>44377</v>
      </c>
      <c r="W1686" s="27" t="s">
        <v>250</v>
      </c>
      <c r="X1686" s="27"/>
      <c r="Y1686" s="34">
        <f t="shared" ca="1" si="89"/>
        <v>46290</v>
      </c>
      <c r="Z1686" s="35">
        <f t="shared" ca="1" si="87"/>
        <v>-1913</v>
      </c>
      <c r="AA1686" s="27">
        <f t="shared" si="90"/>
        <v>6</v>
      </c>
      <c r="AB1686" s="27">
        <f t="shared" si="88"/>
        <v>2021</v>
      </c>
      <c r="AC1686" s="28" t="s">
        <v>8245</v>
      </c>
      <c r="AD1686" s="28" t="s">
        <v>8246</v>
      </c>
      <c r="AE1686" s="27">
        <v>4500014651</v>
      </c>
      <c r="AF1686" s="27" t="s">
        <v>339</v>
      </c>
      <c r="AG1686" s="29" t="s">
        <v>8247</v>
      </c>
      <c r="AH1686" s="28">
        <v>8129185971</v>
      </c>
      <c r="AI1686" s="27"/>
      <c r="AJ1686" s="27"/>
      <c r="AK1686" s="27" t="s">
        <v>8248</v>
      </c>
      <c r="AL1686" s="27" t="s">
        <v>8249</v>
      </c>
      <c r="AM1686" s="27"/>
      <c r="AN1686" s="27"/>
      <c r="AO1686" s="27"/>
      <c r="AP1686" s="27"/>
      <c r="AQ1686" s="27"/>
      <c r="AR1686" s="504"/>
      <c r="AS1686" s="332" t="s">
        <v>8250</v>
      </c>
      <c r="AT1686" s="160"/>
    </row>
    <row r="1687" spans="1:46" s="69" customFormat="1" ht="21.75" hidden="1" customHeight="1">
      <c r="A1687" s="331">
        <v>1686</v>
      </c>
      <c r="B1687" s="28" t="s">
        <v>8251</v>
      </c>
      <c r="C1687" s="28" t="s">
        <v>8252</v>
      </c>
      <c r="D1687" s="437" t="s">
        <v>8253</v>
      </c>
      <c r="E1687" s="361" t="str">
        <f t="shared" ca="1" si="86"/>
        <v>LOSS</v>
      </c>
      <c r="F1687" s="29"/>
      <c r="G1687" s="28" t="s">
        <v>8254</v>
      </c>
      <c r="H1687" s="29" t="s">
        <v>2748</v>
      </c>
      <c r="I1687" s="29" t="s">
        <v>346</v>
      </c>
      <c r="J1687" s="28"/>
      <c r="K1687" s="28"/>
      <c r="L1687" s="27"/>
      <c r="M1687" s="27"/>
      <c r="N1687" s="29"/>
      <c r="O1687" s="56"/>
      <c r="P1687" s="31">
        <v>342000000</v>
      </c>
      <c r="Q1687" s="31"/>
      <c r="R1687" s="27"/>
      <c r="S1687" s="32">
        <v>136296312</v>
      </c>
      <c r="T1687" s="33"/>
      <c r="U1687" s="334">
        <v>43365</v>
      </c>
      <c r="V1687" s="334">
        <v>44095</v>
      </c>
      <c r="W1687" s="27" t="s">
        <v>250</v>
      </c>
      <c r="X1687" s="27"/>
      <c r="Y1687" s="34">
        <f t="shared" ca="1" si="89"/>
        <v>46290</v>
      </c>
      <c r="Z1687" s="35">
        <f t="shared" ca="1" si="87"/>
        <v>-2195</v>
      </c>
      <c r="AA1687" s="27">
        <f t="shared" si="90"/>
        <v>9</v>
      </c>
      <c r="AB1687" s="27">
        <f t="shared" si="88"/>
        <v>2020</v>
      </c>
      <c r="AC1687" s="28" t="s">
        <v>8255</v>
      </c>
      <c r="AD1687" s="28" t="s">
        <v>8256</v>
      </c>
      <c r="AE1687" s="27">
        <v>4500012663</v>
      </c>
      <c r="AF1687" s="27" t="s">
        <v>339</v>
      </c>
      <c r="AG1687" s="29" t="s">
        <v>4327</v>
      </c>
      <c r="AH1687" s="28" t="s">
        <v>8257</v>
      </c>
      <c r="AI1687" s="27"/>
      <c r="AJ1687" s="27"/>
      <c r="AK1687" s="27" t="s">
        <v>8258</v>
      </c>
      <c r="AL1687" s="27"/>
      <c r="AM1687" s="27"/>
      <c r="AN1687" s="27"/>
      <c r="AO1687" s="27"/>
      <c r="AP1687" s="27"/>
      <c r="AQ1687" s="27"/>
      <c r="AR1687" s="504"/>
      <c r="AS1687" s="332" t="s">
        <v>8259</v>
      </c>
      <c r="AT1687" s="160"/>
    </row>
    <row r="1688" spans="1:46" s="69" customFormat="1" ht="21.75" hidden="1" customHeight="1">
      <c r="A1688" s="331">
        <v>1687</v>
      </c>
      <c r="B1688" s="159" t="s">
        <v>739</v>
      </c>
      <c r="C1688" s="28" t="s">
        <v>2895</v>
      </c>
      <c r="D1688" s="438" t="s">
        <v>8260</v>
      </c>
      <c r="E1688" s="361" t="str">
        <f t="shared" ca="1" si="86"/>
        <v>LOSS</v>
      </c>
      <c r="F1688" s="36" t="s">
        <v>8261</v>
      </c>
      <c r="G1688" s="28" t="s">
        <v>8262</v>
      </c>
      <c r="H1688" s="29" t="s">
        <v>2748</v>
      </c>
      <c r="I1688" s="29" t="s">
        <v>346</v>
      </c>
      <c r="J1688" s="28" t="s">
        <v>741</v>
      </c>
      <c r="K1688" s="28"/>
      <c r="L1688" s="27"/>
      <c r="M1688" s="27"/>
      <c r="N1688" s="29"/>
      <c r="O1688" s="56"/>
      <c r="P1688" s="31">
        <v>32400000</v>
      </c>
      <c r="Q1688" s="31"/>
      <c r="R1688" s="27"/>
      <c r="S1688" s="32">
        <v>21300000</v>
      </c>
      <c r="T1688" s="33"/>
      <c r="U1688" s="334">
        <v>45270</v>
      </c>
      <c r="V1688" s="334">
        <v>45635</v>
      </c>
      <c r="W1688" s="27" t="s">
        <v>250</v>
      </c>
      <c r="X1688" s="27"/>
      <c r="Y1688" s="34">
        <f t="shared" ca="1" si="89"/>
        <v>46290</v>
      </c>
      <c r="Z1688" s="35">
        <f t="shared" ca="1" si="87"/>
        <v>-655</v>
      </c>
      <c r="AA1688" s="27">
        <f t="shared" si="90"/>
        <v>12</v>
      </c>
      <c r="AB1688" s="27">
        <f t="shared" si="88"/>
        <v>2024</v>
      </c>
      <c r="AC1688" s="28" t="s">
        <v>8263</v>
      </c>
      <c r="AD1688" s="28">
        <v>2087</v>
      </c>
      <c r="AE1688" s="27">
        <v>4500022133</v>
      </c>
      <c r="AF1688" s="27" t="s">
        <v>339</v>
      </c>
      <c r="AG1688" s="29" t="s">
        <v>8264</v>
      </c>
      <c r="AH1688" s="28" t="s">
        <v>8265</v>
      </c>
      <c r="AI1688" s="27">
        <v>108</v>
      </c>
      <c r="AJ1688" s="27" t="s">
        <v>8266</v>
      </c>
      <c r="AK1688" s="27" t="s">
        <v>8267</v>
      </c>
      <c r="AL1688" s="27"/>
      <c r="AM1688" s="27" t="s">
        <v>8268</v>
      </c>
      <c r="AN1688" s="27" t="s">
        <v>8269</v>
      </c>
      <c r="AO1688" s="27" t="s">
        <v>8270</v>
      </c>
      <c r="AP1688" s="27"/>
      <c r="AQ1688" s="27"/>
      <c r="AR1688" s="504"/>
      <c r="AS1688" s="333" t="s">
        <v>115</v>
      </c>
      <c r="AT1688" s="160"/>
    </row>
    <row r="1689" spans="1:46" s="69" customFormat="1" ht="21.75" hidden="1" customHeight="1">
      <c r="A1689" s="331">
        <v>1688</v>
      </c>
      <c r="B1689" s="40" t="s">
        <v>234</v>
      </c>
      <c r="C1689" s="28" t="s">
        <v>8271</v>
      </c>
      <c r="D1689" s="437" t="s">
        <v>8272</v>
      </c>
      <c r="E1689" s="361" t="str">
        <f t="shared" ca="1" si="86"/>
        <v>ON TRACK</v>
      </c>
      <c r="F1689" s="29"/>
      <c r="G1689" s="28" t="s">
        <v>8273</v>
      </c>
      <c r="H1689" s="29" t="s">
        <v>2748</v>
      </c>
      <c r="I1689" s="29" t="s">
        <v>346</v>
      </c>
      <c r="J1689" s="28"/>
      <c r="K1689" s="28"/>
      <c r="L1689" s="27"/>
      <c r="M1689" s="27"/>
      <c r="N1689" s="29"/>
      <c r="O1689" s="56"/>
      <c r="P1689" s="31">
        <v>0</v>
      </c>
      <c r="Q1689" s="31"/>
      <c r="R1689" s="30"/>
      <c r="S1689" s="32">
        <v>123059078</v>
      </c>
      <c r="T1689" s="33"/>
      <c r="U1689" s="334">
        <v>45365</v>
      </c>
      <c r="V1689" s="334">
        <v>47190</v>
      </c>
      <c r="W1689" s="27" t="s">
        <v>17</v>
      </c>
      <c r="X1689" s="27"/>
      <c r="Y1689" s="34">
        <f t="shared" ca="1" si="89"/>
        <v>46290</v>
      </c>
      <c r="Z1689" s="35">
        <f t="shared" ca="1" si="87"/>
        <v>900</v>
      </c>
      <c r="AA1689" s="27">
        <f t="shared" si="90"/>
        <v>3</v>
      </c>
      <c r="AB1689" s="27">
        <f t="shared" si="88"/>
        <v>2029</v>
      </c>
      <c r="AC1689" s="28" t="s">
        <v>8274</v>
      </c>
      <c r="AD1689" s="28" t="s">
        <v>115</v>
      </c>
      <c r="AE1689" s="27">
        <v>4500022408</v>
      </c>
      <c r="AF1689" s="27" t="s">
        <v>339</v>
      </c>
      <c r="AG1689" s="29" t="s">
        <v>8275</v>
      </c>
      <c r="AH1689" s="28"/>
      <c r="AI1689" s="27"/>
      <c r="AJ1689" s="27" t="s">
        <v>8276</v>
      </c>
      <c r="AK1689" s="27"/>
      <c r="AL1689" s="27"/>
      <c r="AM1689" s="27"/>
      <c r="AN1689" s="27"/>
      <c r="AO1689" s="27"/>
      <c r="AP1689" s="27" t="s">
        <v>8277</v>
      </c>
      <c r="AQ1689" s="27"/>
      <c r="AR1689" s="504"/>
      <c r="AS1689" s="332" t="s">
        <v>8278</v>
      </c>
      <c r="AT1689" s="160"/>
    </row>
    <row r="1690" spans="1:46" s="69" customFormat="1" ht="21.75" hidden="1" customHeight="1">
      <c r="A1690" s="331">
        <v>1689</v>
      </c>
      <c r="B1690" s="28" t="s">
        <v>235</v>
      </c>
      <c r="C1690" s="28" t="s">
        <v>8279</v>
      </c>
      <c r="D1690" s="438" t="s">
        <v>8280</v>
      </c>
      <c r="E1690" s="361" t="str">
        <f t="shared" ca="1" si="86"/>
        <v>LOSS</v>
      </c>
      <c r="F1690" s="29"/>
      <c r="G1690" s="28" t="s">
        <v>8281</v>
      </c>
      <c r="H1690" s="29" t="s">
        <v>2748</v>
      </c>
      <c r="I1690" s="29" t="s">
        <v>346</v>
      </c>
      <c r="J1690" s="28" t="s">
        <v>236</v>
      </c>
      <c r="K1690" s="28"/>
      <c r="L1690" s="27"/>
      <c r="M1690" s="27"/>
      <c r="N1690" s="29"/>
      <c r="O1690" s="56"/>
      <c r="P1690" s="31">
        <v>86400000</v>
      </c>
      <c r="Q1690" s="31"/>
      <c r="R1690" s="27"/>
      <c r="S1690" s="32">
        <v>7200000</v>
      </c>
      <c r="T1690" s="33"/>
      <c r="U1690" s="334">
        <v>45367</v>
      </c>
      <c r="V1690" s="334">
        <v>45731</v>
      </c>
      <c r="W1690" s="27" t="s">
        <v>17</v>
      </c>
      <c r="X1690" s="27"/>
      <c r="Y1690" s="34">
        <f t="shared" ca="1" si="89"/>
        <v>46290</v>
      </c>
      <c r="Z1690" s="35">
        <f t="shared" ca="1" si="87"/>
        <v>-559</v>
      </c>
      <c r="AA1690" s="27">
        <f t="shared" si="90"/>
        <v>3</v>
      </c>
      <c r="AB1690" s="27">
        <f t="shared" si="88"/>
        <v>2025</v>
      </c>
      <c r="AC1690" s="28" t="s">
        <v>8282</v>
      </c>
      <c r="AD1690" s="28" t="s">
        <v>8283</v>
      </c>
      <c r="AE1690" s="27">
        <v>4500022592</v>
      </c>
      <c r="AF1690" s="27" t="s">
        <v>339</v>
      </c>
      <c r="AG1690" s="29"/>
      <c r="AH1690" s="28"/>
      <c r="AI1690" s="27"/>
      <c r="AJ1690" s="27"/>
      <c r="AK1690" s="27"/>
      <c r="AL1690" s="27" t="s">
        <v>8284</v>
      </c>
      <c r="AM1690" s="27" t="s">
        <v>8285</v>
      </c>
      <c r="AN1690" s="27" t="s">
        <v>8286</v>
      </c>
      <c r="AO1690" s="27" t="s">
        <v>8287</v>
      </c>
      <c r="AP1690" s="27" t="s">
        <v>8288</v>
      </c>
      <c r="AQ1690" s="27"/>
      <c r="AR1690" s="504"/>
      <c r="AS1690" s="332" t="s">
        <v>8289</v>
      </c>
      <c r="AT1690" s="160"/>
    </row>
    <row r="1691" spans="1:46" s="69" customFormat="1" ht="21.75" hidden="1" customHeight="1">
      <c r="A1691" s="331">
        <v>1690</v>
      </c>
      <c r="B1691" s="28" t="s">
        <v>2324</v>
      </c>
      <c r="C1691" s="28" t="s">
        <v>8290</v>
      </c>
      <c r="D1691" s="437" t="s">
        <v>8291</v>
      </c>
      <c r="E1691" s="361" t="str">
        <f t="shared" ca="1" si="86"/>
        <v>LOSS</v>
      </c>
      <c r="F1691" s="29"/>
      <c r="G1691" s="28" t="s">
        <v>8292</v>
      </c>
      <c r="H1691" s="29" t="s">
        <v>2748</v>
      </c>
      <c r="I1691" s="29" t="s">
        <v>346</v>
      </c>
      <c r="J1691" s="28" t="s">
        <v>1590</v>
      </c>
      <c r="K1691" s="28"/>
      <c r="L1691" s="27"/>
      <c r="M1691" s="27"/>
      <c r="N1691" s="29"/>
      <c r="O1691" s="56"/>
      <c r="P1691" s="31">
        <v>240000000</v>
      </c>
      <c r="Q1691" s="31"/>
      <c r="R1691" s="27"/>
      <c r="S1691" s="32">
        <v>79200000</v>
      </c>
      <c r="T1691" s="33"/>
      <c r="U1691" s="334">
        <v>45179</v>
      </c>
      <c r="V1691" s="334">
        <v>45543</v>
      </c>
      <c r="W1691" s="27" t="s">
        <v>250</v>
      </c>
      <c r="X1691" s="27"/>
      <c r="Y1691" s="34">
        <f t="shared" ca="1" si="89"/>
        <v>46290</v>
      </c>
      <c r="Z1691" s="35">
        <f t="shared" ca="1" si="87"/>
        <v>-747</v>
      </c>
      <c r="AA1691" s="27">
        <f t="shared" si="90"/>
        <v>9</v>
      </c>
      <c r="AB1691" s="27">
        <f t="shared" si="88"/>
        <v>2024</v>
      </c>
      <c r="AC1691" s="28" t="s">
        <v>8293</v>
      </c>
      <c r="AD1691" s="28" t="s">
        <v>8294</v>
      </c>
      <c r="AE1691" s="27">
        <v>4500021140</v>
      </c>
      <c r="AF1691" s="27" t="s">
        <v>339</v>
      </c>
      <c r="AG1691" s="29"/>
      <c r="AH1691" s="28"/>
      <c r="AI1691" s="27"/>
      <c r="AJ1691" s="27"/>
      <c r="AK1691" s="27"/>
      <c r="AL1691" s="27"/>
      <c r="AM1691" s="27" t="s">
        <v>8295</v>
      </c>
      <c r="AN1691" s="27" t="s">
        <v>8296</v>
      </c>
      <c r="AO1691" s="27" t="s">
        <v>8297</v>
      </c>
      <c r="AP1691" s="27"/>
      <c r="AQ1691" s="27"/>
      <c r="AR1691" s="504"/>
      <c r="AS1691" s="332" t="s">
        <v>8298</v>
      </c>
      <c r="AT1691" s="160"/>
    </row>
    <row r="1692" spans="1:46" s="69" customFormat="1" ht="21.75" hidden="1" customHeight="1">
      <c r="A1692" s="331">
        <v>1691</v>
      </c>
      <c r="B1692" s="28" t="s">
        <v>2324</v>
      </c>
      <c r="C1692" s="28" t="s">
        <v>4662</v>
      </c>
      <c r="D1692" s="438" t="s">
        <v>8291</v>
      </c>
      <c r="E1692" s="361" t="str">
        <f t="shared" ca="1" si="86"/>
        <v>LOSS</v>
      </c>
      <c r="F1692" s="29"/>
      <c r="G1692" s="28" t="s">
        <v>8299</v>
      </c>
      <c r="H1692" s="29" t="s">
        <v>2748</v>
      </c>
      <c r="I1692" s="29" t="s">
        <v>346</v>
      </c>
      <c r="J1692" s="28" t="s">
        <v>4664</v>
      </c>
      <c r="K1692" s="28"/>
      <c r="L1692" s="27"/>
      <c r="M1692" s="27"/>
      <c r="N1692" s="29"/>
      <c r="O1692" s="56"/>
      <c r="P1692" s="31">
        <f>12*5600000</f>
        <v>67200000</v>
      </c>
      <c r="Q1692" s="31"/>
      <c r="R1692" s="27"/>
      <c r="S1692" s="32">
        <v>24000000</v>
      </c>
      <c r="T1692" s="33"/>
      <c r="U1692" s="334">
        <v>45153</v>
      </c>
      <c r="V1692" s="334">
        <v>45518</v>
      </c>
      <c r="W1692" s="27" t="s">
        <v>250</v>
      </c>
      <c r="X1692" s="27"/>
      <c r="Y1692" s="34">
        <f t="shared" ca="1" si="89"/>
        <v>46290</v>
      </c>
      <c r="Z1692" s="35">
        <f t="shared" ca="1" si="87"/>
        <v>-772</v>
      </c>
      <c r="AA1692" s="27">
        <f t="shared" si="90"/>
        <v>8</v>
      </c>
      <c r="AB1692" s="27">
        <f t="shared" si="88"/>
        <v>2024</v>
      </c>
      <c r="AC1692" s="28" t="s">
        <v>479</v>
      </c>
      <c r="AD1692" s="28" t="s">
        <v>8300</v>
      </c>
      <c r="AE1692" s="27">
        <v>4500021040</v>
      </c>
      <c r="AF1692" s="27" t="s">
        <v>339</v>
      </c>
      <c r="AG1692" s="29"/>
      <c r="AH1692" s="28"/>
      <c r="AI1692" s="27"/>
      <c r="AJ1692" s="27"/>
      <c r="AK1692" s="27"/>
      <c r="AL1692" s="27"/>
      <c r="AM1692" s="27"/>
      <c r="AN1692" s="27"/>
      <c r="AO1692" s="27" t="s">
        <v>8301</v>
      </c>
      <c r="AP1692" s="27"/>
      <c r="AQ1692" s="27"/>
      <c r="AR1692" s="504"/>
      <c r="AS1692" s="332" t="s">
        <v>8302</v>
      </c>
      <c r="AT1692" s="160"/>
    </row>
    <row r="1693" spans="1:46" s="69" customFormat="1" ht="21.75" hidden="1" customHeight="1">
      <c r="A1693" s="331">
        <v>1692</v>
      </c>
      <c r="B1693" s="28" t="s">
        <v>2324</v>
      </c>
      <c r="C1693" s="28" t="s">
        <v>8303</v>
      </c>
      <c r="D1693" s="437" t="s">
        <v>8291</v>
      </c>
      <c r="E1693" s="361" t="str">
        <f t="shared" ca="1" si="86"/>
        <v>LOSS</v>
      </c>
      <c r="F1693" s="29"/>
      <c r="G1693" s="28" t="s">
        <v>8304</v>
      </c>
      <c r="H1693" s="29" t="s">
        <v>2748</v>
      </c>
      <c r="I1693" s="29" t="s">
        <v>346</v>
      </c>
      <c r="J1693" s="28" t="s">
        <v>8305</v>
      </c>
      <c r="K1693" s="28"/>
      <c r="L1693" s="27"/>
      <c r="M1693" s="27"/>
      <c r="N1693" s="29" t="s">
        <v>6755</v>
      </c>
      <c r="O1693" s="56"/>
      <c r="P1693" s="31">
        <f>12*234375000</f>
        <v>2812500000</v>
      </c>
      <c r="Q1693" s="31"/>
      <c r="R1693" s="27"/>
      <c r="S1693" s="32">
        <v>86400000</v>
      </c>
      <c r="T1693" s="33"/>
      <c r="U1693" s="334">
        <v>45002</v>
      </c>
      <c r="V1693" s="334">
        <v>45367</v>
      </c>
      <c r="W1693" s="27" t="s">
        <v>245</v>
      </c>
      <c r="X1693" s="27"/>
      <c r="Y1693" s="34">
        <f t="shared" ca="1" si="89"/>
        <v>46290</v>
      </c>
      <c r="Z1693" s="35">
        <f t="shared" ca="1" si="87"/>
        <v>-923</v>
      </c>
      <c r="AA1693" s="27">
        <f t="shared" si="90"/>
        <v>3</v>
      </c>
      <c r="AB1693" s="27">
        <f t="shared" si="88"/>
        <v>2024</v>
      </c>
      <c r="AC1693" s="28" t="s">
        <v>479</v>
      </c>
      <c r="AD1693" s="28" t="s">
        <v>8306</v>
      </c>
      <c r="AE1693" s="27">
        <v>4500021163</v>
      </c>
      <c r="AF1693" s="27" t="s">
        <v>339</v>
      </c>
      <c r="AG1693" s="29"/>
      <c r="AH1693" s="28"/>
      <c r="AI1693" s="27"/>
      <c r="AJ1693" s="27"/>
      <c r="AK1693" s="27"/>
      <c r="AL1693" s="27"/>
      <c r="AM1693" s="27"/>
      <c r="AN1693" s="27"/>
      <c r="AO1693" s="27" t="s">
        <v>8307</v>
      </c>
      <c r="AP1693" s="27"/>
      <c r="AQ1693" s="27"/>
      <c r="AR1693" s="504"/>
      <c r="AS1693" s="332" t="s">
        <v>8308</v>
      </c>
      <c r="AT1693" s="160"/>
    </row>
    <row r="1694" spans="1:46" s="69" customFormat="1" ht="21.75" hidden="1" customHeight="1">
      <c r="A1694" s="331">
        <v>1693</v>
      </c>
      <c r="B1694" s="28" t="s">
        <v>2354</v>
      </c>
      <c r="C1694" s="28" t="s">
        <v>7229</v>
      </c>
      <c r="D1694" s="438" t="s">
        <v>6810</v>
      </c>
      <c r="E1694" s="361" t="str">
        <f t="shared" ca="1" si="86"/>
        <v>LOSS</v>
      </c>
      <c r="F1694" s="29"/>
      <c r="G1694" s="28" t="s">
        <v>8309</v>
      </c>
      <c r="H1694" s="28" t="s">
        <v>261</v>
      </c>
      <c r="I1694" s="361" t="s">
        <v>243</v>
      </c>
      <c r="J1694" s="28" t="s">
        <v>8310</v>
      </c>
      <c r="K1694" s="38" t="s">
        <v>8311</v>
      </c>
      <c r="L1694" s="51">
        <v>0.995</v>
      </c>
      <c r="M1694" s="27" t="s">
        <v>365</v>
      </c>
      <c r="N1694" s="29" t="s">
        <v>396</v>
      </c>
      <c r="O1694" s="56"/>
      <c r="P1694" s="31">
        <v>165000000</v>
      </c>
      <c r="Q1694" s="31"/>
      <c r="R1694" s="56">
        <v>3000000</v>
      </c>
      <c r="S1694" s="32">
        <v>13500000</v>
      </c>
      <c r="T1694" s="33"/>
      <c r="U1694" s="334">
        <v>45261</v>
      </c>
      <c r="V1694" s="334">
        <v>45626</v>
      </c>
      <c r="W1694" s="27" t="s">
        <v>250</v>
      </c>
      <c r="X1694" s="27"/>
      <c r="Y1694" s="34">
        <f t="shared" ca="1" si="89"/>
        <v>46290</v>
      </c>
      <c r="Z1694" s="35">
        <f t="shared" ca="1" si="87"/>
        <v>-664</v>
      </c>
      <c r="AA1694" s="27">
        <f t="shared" si="90"/>
        <v>11</v>
      </c>
      <c r="AB1694" s="27">
        <f t="shared" si="88"/>
        <v>2024</v>
      </c>
      <c r="AC1694" s="28"/>
      <c r="AD1694" s="28" t="s">
        <v>8312</v>
      </c>
      <c r="AE1694" s="47">
        <v>4500021535</v>
      </c>
      <c r="AF1694" s="27" t="s">
        <v>471</v>
      </c>
      <c r="AG1694" s="29" t="s">
        <v>8313</v>
      </c>
      <c r="AH1694" s="29" t="s">
        <v>8314</v>
      </c>
      <c r="AI1694" s="27"/>
      <c r="AJ1694" s="27"/>
      <c r="AK1694" s="27"/>
      <c r="AL1694" s="27"/>
      <c r="AM1694" s="27"/>
      <c r="AN1694" s="27"/>
      <c r="AO1694" s="27" t="s">
        <v>8315</v>
      </c>
      <c r="AP1694" s="27"/>
      <c r="AQ1694" s="27"/>
      <c r="AR1694" s="504"/>
      <c r="AS1694" s="333" t="s">
        <v>8316</v>
      </c>
      <c r="AT1694" s="160"/>
    </row>
    <row r="1695" spans="1:46" s="69" customFormat="1" ht="21.75" hidden="1" customHeight="1">
      <c r="A1695" s="331">
        <v>1694</v>
      </c>
      <c r="B1695" s="28" t="s">
        <v>57</v>
      </c>
      <c r="C1695" s="28" t="s">
        <v>8317</v>
      </c>
      <c r="D1695" s="437" t="s">
        <v>6750</v>
      </c>
      <c r="E1695" s="361" t="str">
        <f t="shared" ca="1" si="86"/>
        <v>LOSS</v>
      </c>
      <c r="F1695" s="29" t="s">
        <v>115</v>
      </c>
      <c r="G1695" s="28" t="s">
        <v>8318</v>
      </c>
      <c r="H1695" s="28" t="s">
        <v>261</v>
      </c>
      <c r="I1695" s="361" t="s">
        <v>243</v>
      </c>
      <c r="J1695" s="28" t="s">
        <v>8319</v>
      </c>
      <c r="K1695" s="38" t="s">
        <v>8320</v>
      </c>
      <c r="L1695" s="51">
        <v>0.995</v>
      </c>
      <c r="M1695" s="27" t="s">
        <v>329</v>
      </c>
      <c r="N1695" s="29" t="s">
        <v>362</v>
      </c>
      <c r="O1695" s="56"/>
      <c r="P1695" s="31">
        <v>206460000</v>
      </c>
      <c r="Q1695" s="31"/>
      <c r="R1695" s="56"/>
      <c r="S1695" s="32">
        <f>3650000*12</f>
        <v>43800000</v>
      </c>
      <c r="T1695" s="33"/>
      <c r="U1695" s="334">
        <v>45282</v>
      </c>
      <c r="V1695" s="334">
        <v>45647</v>
      </c>
      <c r="W1695" s="27" t="s">
        <v>245</v>
      </c>
      <c r="X1695" s="27"/>
      <c r="Y1695" s="34">
        <f t="shared" ca="1" si="89"/>
        <v>46290</v>
      </c>
      <c r="Z1695" s="35">
        <f t="shared" ca="1" si="87"/>
        <v>-643</v>
      </c>
      <c r="AA1695" s="27">
        <f t="shared" si="90"/>
        <v>12</v>
      </c>
      <c r="AB1695" s="27">
        <f t="shared" si="88"/>
        <v>2024</v>
      </c>
      <c r="AC1695" s="28"/>
      <c r="AD1695" s="28">
        <v>2329</v>
      </c>
      <c r="AE1695" s="27">
        <v>4500021947</v>
      </c>
      <c r="AF1695" s="27" t="s">
        <v>471</v>
      </c>
      <c r="AG1695" s="29" t="s">
        <v>8321</v>
      </c>
      <c r="AH1695" s="29" t="s">
        <v>8322</v>
      </c>
      <c r="AI1695" s="27"/>
      <c r="AJ1695" s="27"/>
      <c r="AK1695" s="27"/>
      <c r="AL1695" s="27"/>
      <c r="AM1695" s="27"/>
      <c r="AN1695" s="27"/>
      <c r="AO1695" s="27" t="s">
        <v>8323</v>
      </c>
      <c r="AP1695" s="27"/>
      <c r="AQ1695" s="27"/>
      <c r="AR1695" s="504"/>
      <c r="AS1695" s="333" t="s">
        <v>8324</v>
      </c>
      <c r="AT1695" s="160"/>
    </row>
    <row r="1696" spans="1:46" s="69" customFormat="1" ht="21.75" hidden="1" customHeight="1">
      <c r="A1696" s="331">
        <v>1695</v>
      </c>
      <c r="B1696" s="28" t="s">
        <v>57</v>
      </c>
      <c r="C1696" s="28" t="s">
        <v>1285</v>
      </c>
      <c r="D1696" s="438" t="s">
        <v>6750</v>
      </c>
      <c r="E1696" s="361" t="str">
        <f t="shared" ca="1" si="86"/>
        <v>LOSS</v>
      </c>
      <c r="F1696" s="29" t="s">
        <v>115</v>
      </c>
      <c r="G1696" s="28" t="s">
        <v>8325</v>
      </c>
      <c r="H1696" s="28" t="s">
        <v>261</v>
      </c>
      <c r="I1696" s="361" t="s">
        <v>243</v>
      </c>
      <c r="J1696" s="28" t="s">
        <v>8326</v>
      </c>
      <c r="K1696" s="28" t="s">
        <v>8327</v>
      </c>
      <c r="L1696" s="51">
        <v>0.995</v>
      </c>
      <c r="M1696" s="27" t="s">
        <v>353</v>
      </c>
      <c r="N1696" s="29" t="s">
        <v>362</v>
      </c>
      <c r="O1696" s="56"/>
      <c r="P1696" s="31">
        <f>25000000*12</f>
        <v>300000000</v>
      </c>
      <c r="Q1696" s="31"/>
      <c r="R1696" s="56"/>
      <c r="S1696" s="32">
        <f>3500000*12</f>
        <v>42000000</v>
      </c>
      <c r="T1696" s="33"/>
      <c r="U1696" s="334">
        <v>45262</v>
      </c>
      <c r="V1696" s="334">
        <v>45627</v>
      </c>
      <c r="W1696" s="27" t="s">
        <v>250</v>
      </c>
      <c r="X1696" s="27"/>
      <c r="Y1696" s="34">
        <f t="shared" ca="1" si="89"/>
        <v>46290</v>
      </c>
      <c r="Z1696" s="35">
        <f t="shared" ca="1" si="87"/>
        <v>-663</v>
      </c>
      <c r="AA1696" s="27">
        <f t="shared" si="90"/>
        <v>12</v>
      </c>
      <c r="AB1696" s="27">
        <f t="shared" si="88"/>
        <v>2024</v>
      </c>
      <c r="AC1696" s="28"/>
      <c r="AD1696" s="28" t="s">
        <v>8328</v>
      </c>
      <c r="AE1696" s="27">
        <v>4500021840</v>
      </c>
      <c r="AF1696" s="27" t="s">
        <v>471</v>
      </c>
      <c r="AG1696" s="29" t="s">
        <v>8321</v>
      </c>
      <c r="AH1696" s="29" t="s">
        <v>8322</v>
      </c>
      <c r="AI1696" s="27"/>
      <c r="AJ1696" s="27"/>
      <c r="AK1696" s="27"/>
      <c r="AL1696" s="27"/>
      <c r="AM1696" s="27"/>
      <c r="AN1696" s="27"/>
      <c r="AO1696" s="27" t="s">
        <v>8329</v>
      </c>
      <c r="AP1696" s="27"/>
      <c r="AQ1696" s="27"/>
      <c r="AR1696" s="504"/>
      <c r="AS1696" s="333" t="s">
        <v>115</v>
      </c>
      <c r="AT1696" s="160"/>
    </row>
    <row r="1697" spans="1:46" s="69" customFormat="1" ht="21.75" hidden="1" customHeight="1">
      <c r="A1697" s="331">
        <v>1696</v>
      </c>
      <c r="B1697" s="28" t="s">
        <v>57</v>
      </c>
      <c r="C1697" s="28" t="s">
        <v>1285</v>
      </c>
      <c r="D1697" s="437" t="s">
        <v>6750</v>
      </c>
      <c r="E1697" s="361" t="str">
        <f t="shared" ca="1" si="86"/>
        <v>LOSS</v>
      </c>
      <c r="F1697" s="29" t="s">
        <v>115</v>
      </c>
      <c r="G1697" s="28" t="s">
        <v>8330</v>
      </c>
      <c r="H1697" s="28" t="s">
        <v>261</v>
      </c>
      <c r="I1697" s="361" t="s">
        <v>243</v>
      </c>
      <c r="J1697" s="28" t="s">
        <v>8331</v>
      </c>
      <c r="K1697" s="28" t="s">
        <v>8332</v>
      </c>
      <c r="L1697" s="51">
        <v>0.995</v>
      </c>
      <c r="M1697" s="27" t="s">
        <v>365</v>
      </c>
      <c r="N1697" s="29" t="s">
        <v>468</v>
      </c>
      <c r="O1697" s="56"/>
      <c r="P1697" s="31">
        <f>20000000*12</f>
        <v>240000000</v>
      </c>
      <c r="Q1697" s="31"/>
      <c r="R1697" s="56"/>
      <c r="S1697" s="32">
        <f>2150000*12</f>
        <v>25800000</v>
      </c>
      <c r="T1697" s="33"/>
      <c r="U1697" s="334">
        <v>45262</v>
      </c>
      <c r="V1697" s="334">
        <v>45627</v>
      </c>
      <c r="W1697" s="27" t="s">
        <v>250</v>
      </c>
      <c r="X1697" s="27"/>
      <c r="Y1697" s="34">
        <f t="shared" ca="1" si="89"/>
        <v>46290</v>
      </c>
      <c r="Z1697" s="35">
        <f t="shared" ca="1" si="87"/>
        <v>-663</v>
      </c>
      <c r="AA1697" s="27">
        <f t="shared" si="90"/>
        <v>12</v>
      </c>
      <c r="AB1697" s="27">
        <f t="shared" si="88"/>
        <v>2024</v>
      </c>
      <c r="AC1697" s="28"/>
      <c r="AD1697" s="28" t="s">
        <v>8328</v>
      </c>
      <c r="AE1697" s="27">
        <v>4500021840</v>
      </c>
      <c r="AF1697" s="27" t="s">
        <v>471</v>
      </c>
      <c r="AG1697" s="29"/>
      <c r="AH1697" s="29"/>
      <c r="AI1697" s="27"/>
      <c r="AJ1697" s="27"/>
      <c r="AK1697" s="27"/>
      <c r="AL1697" s="27"/>
      <c r="AM1697" s="27"/>
      <c r="AN1697" s="27"/>
      <c r="AO1697" s="27"/>
      <c r="AP1697" s="27"/>
      <c r="AQ1697" s="27"/>
      <c r="AR1697" s="504"/>
      <c r="AS1697" s="333" t="s">
        <v>115</v>
      </c>
      <c r="AT1697" s="160"/>
    </row>
    <row r="1698" spans="1:46" s="69" customFormat="1" ht="21.75" hidden="1" customHeight="1">
      <c r="A1698" s="331">
        <v>1697</v>
      </c>
      <c r="B1698" s="28" t="s">
        <v>57</v>
      </c>
      <c r="C1698" s="28" t="s">
        <v>8333</v>
      </c>
      <c r="D1698" s="438" t="s">
        <v>6750</v>
      </c>
      <c r="E1698" s="361" t="str">
        <f t="shared" ca="1" si="86"/>
        <v>LOSS</v>
      </c>
      <c r="F1698" s="29" t="s">
        <v>115</v>
      </c>
      <c r="G1698" s="28" t="s">
        <v>8334</v>
      </c>
      <c r="H1698" s="28" t="s">
        <v>261</v>
      </c>
      <c r="I1698" s="361" t="s">
        <v>243</v>
      </c>
      <c r="J1698" s="28" t="s">
        <v>8335</v>
      </c>
      <c r="K1698" s="38" t="s">
        <v>8336</v>
      </c>
      <c r="L1698" s="51">
        <v>0.995</v>
      </c>
      <c r="M1698" s="27" t="s">
        <v>353</v>
      </c>
      <c r="N1698" s="29" t="s">
        <v>8337</v>
      </c>
      <c r="O1698" s="56"/>
      <c r="P1698" s="31">
        <v>371679600</v>
      </c>
      <c r="Q1698" s="31"/>
      <c r="R1698" s="56"/>
      <c r="S1698" s="32">
        <f>9000000*12</f>
        <v>108000000</v>
      </c>
      <c r="T1698" s="33"/>
      <c r="U1698" s="334">
        <v>45259</v>
      </c>
      <c r="V1698" s="334">
        <v>45624</v>
      </c>
      <c r="W1698" s="27" t="s">
        <v>250</v>
      </c>
      <c r="X1698" s="27"/>
      <c r="Y1698" s="34">
        <f t="shared" ca="1" si="89"/>
        <v>46290</v>
      </c>
      <c r="Z1698" s="35">
        <f t="shared" ca="1" si="87"/>
        <v>-666</v>
      </c>
      <c r="AA1698" s="27">
        <f t="shared" si="90"/>
        <v>11</v>
      </c>
      <c r="AB1698" s="27">
        <f t="shared" si="88"/>
        <v>2024</v>
      </c>
      <c r="AC1698" s="28"/>
      <c r="AD1698" s="28">
        <v>1437</v>
      </c>
      <c r="AE1698" s="27">
        <v>4500021342</v>
      </c>
      <c r="AF1698" s="27" t="s">
        <v>471</v>
      </c>
      <c r="AG1698" s="29" t="s">
        <v>8321</v>
      </c>
      <c r="AH1698" s="29" t="s">
        <v>8322</v>
      </c>
      <c r="AI1698" s="27"/>
      <c r="AJ1698" s="27"/>
      <c r="AK1698" s="27"/>
      <c r="AL1698" s="27"/>
      <c r="AM1698" s="27"/>
      <c r="AN1698" s="27"/>
      <c r="AO1698" s="27" t="s">
        <v>8338</v>
      </c>
      <c r="AP1698" s="27"/>
      <c r="AQ1698" s="27"/>
      <c r="AR1698" s="504"/>
      <c r="AS1698" s="333" t="s">
        <v>8324</v>
      </c>
      <c r="AT1698" s="160"/>
    </row>
    <row r="1699" spans="1:46" ht="21.75" hidden="1" customHeight="1">
      <c r="A1699" s="331">
        <v>1698</v>
      </c>
      <c r="B1699" s="28" t="s">
        <v>57</v>
      </c>
      <c r="C1699" s="28" t="s">
        <v>8333</v>
      </c>
      <c r="D1699" s="437" t="s">
        <v>6750</v>
      </c>
      <c r="E1699" s="361" t="str">
        <f t="shared" ca="1" si="86"/>
        <v>LOSS</v>
      </c>
      <c r="F1699" s="29" t="s">
        <v>115</v>
      </c>
      <c r="G1699" s="28" t="s">
        <v>8339</v>
      </c>
      <c r="H1699" s="28" t="s">
        <v>261</v>
      </c>
      <c r="I1699" s="361" t="s">
        <v>243</v>
      </c>
      <c r="J1699" s="28" t="s">
        <v>8340</v>
      </c>
      <c r="K1699" s="38" t="s">
        <v>8341</v>
      </c>
      <c r="L1699" s="51">
        <v>0.995</v>
      </c>
      <c r="M1699" s="27" t="s">
        <v>353</v>
      </c>
      <c r="N1699" s="29" t="s">
        <v>362</v>
      </c>
      <c r="O1699" s="56"/>
      <c r="P1699" s="31">
        <v>160377600</v>
      </c>
      <c r="Q1699" s="31"/>
      <c r="R1699" s="56">
        <v>4000000</v>
      </c>
      <c r="S1699" s="32">
        <f>(4000000*12)</f>
        <v>48000000</v>
      </c>
      <c r="T1699" s="33"/>
      <c r="U1699" s="334">
        <v>45274</v>
      </c>
      <c r="V1699" s="334">
        <v>45639</v>
      </c>
      <c r="W1699" s="27" t="s">
        <v>250</v>
      </c>
      <c r="X1699" s="27"/>
      <c r="Y1699" s="34">
        <f t="shared" ca="1" si="89"/>
        <v>46290</v>
      </c>
      <c r="Z1699" s="35">
        <f t="shared" ca="1" si="87"/>
        <v>-651</v>
      </c>
      <c r="AA1699" s="27">
        <f t="shared" si="90"/>
        <v>12</v>
      </c>
      <c r="AB1699" s="27">
        <f t="shared" si="88"/>
        <v>2024</v>
      </c>
      <c r="AC1699" s="28"/>
      <c r="AD1699" s="28">
        <v>1753</v>
      </c>
      <c r="AE1699" s="27">
        <v>4500021579</v>
      </c>
      <c r="AF1699" s="27" t="s">
        <v>471</v>
      </c>
      <c r="AG1699" s="29" t="s">
        <v>8321</v>
      </c>
      <c r="AH1699" s="29" t="s">
        <v>8322</v>
      </c>
      <c r="AI1699" s="27"/>
      <c r="AJ1699" s="27"/>
      <c r="AK1699" s="27"/>
      <c r="AL1699" s="27"/>
      <c r="AM1699" s="27"/>
      <c r="AN1699" s="27"/>
      <c r="AO1699" s="27" t="s">
        <v>8342</v>
      </c>
      <c r="AP1699" s="27"/>
      <c r="AQ1699" s="27"/>
      <c r="AR1699" s="504"/>
      <c r="AS1699" s="333"/>
      <c r="AT1699" s="160"/>
    </row>
    <row r="1700" spans="1:46" ht="21.75" hidden="1" customHeight="1">
      <c r="A1700" s="331">
        <v>1699</v>
      </c>
      <c r="B1700" s="28" t="s">
        <v>57</v>
      </c>
      <c r="C1700" s="28" t="s">
        <v>8333</v>
      </c>
      <c r="D1700" s="438" t="s">
        <v>6750</v>
      </c>
      <c r="E1700" s="361" t="str">
        <f t="shared" ca="1" si="86"/>
        <v>LOSS</v>
      </c>
      <c r="F1700" s="29"/>
      <c r="G1700" s="28" t="s">
        <v>8339</v>
      </c>
      <c r="H1700" s="29" t="s">
        <v>261</v>
      </c>
      <c r="I1700" s="160" t="s">
        <v>346</v>
      </c>
      <c r="J1700" s="28" t="s">
        <v>8340</v>
      </c>
      <c r="K1700" s="38" t="s">
        <v>8341</v>
      </c>
      <c r="L1700" s="51">
        <v>0.995</v>
      </c>
      <c r="M1700" s="27" t="s">
        <v>353</v>
      </c>
      <c r="N1700" s="29"/>
      <c r="O1700" s="56"/>
      <c r="P1700" s="31"/>
      <c r="Q1700" s="31"/>
      <c r="R1700" s="27"/>
      <c r="S1700" s="32">
        <f>(3000000*12)</f>
        <v>36000000</v>
      </c>
      <c r="T1700" s="33"/>
      <c r="U1700" s="334">
        <v>45233</v>
      </c>
      <c r="V1700" s="334">
        <v>45598</v>
      </c>
      <c r="W1700" s="27" t="s">
        <v>250</v>
      </c>
      <c r="X1700" s="27"/>
      <c r="Y1700" s="34">
        <f t="shared" ca="1" si="89"/>
        <v>46290</v>
      </c>
      <c r="Z1700" s="35">
        <f t="shared" ca="1" si="87"/>
        <v>-692</v>
      </c>
      <c r="AA1700" s="27">
        <f t="shared" si="90"/>
        <v>11</v>
      </c>
      <c r="AB1700" s="27">
        <f t="shared" si="88"/>
        <v>2024</v>
      </c>
      <c r="AC1700" s="28"/>
      <c r="AD1700" s="28">
        <v>1753</v>
      </c>
      <c r="AE1700" s="27">
        <v>4500021579</v>
      </c>
      <c r="AF1700" s="27" t="s">
        <v>339</v>
      </c>
      <c r="AG1700" s="29"/>
      <c r="AH1700" s="28"/>
      <c r="AI1700" s="27"/>
      <c r="AJ1700" s="27"/>
      <c r="AK1700" s="27"/>
      <c r="AL1700" s="27"/>
      <c r="AM1700" s="27"/>
      <c r="AN1700" s="27"/>
      <c r="AO1700" s="27"/>
      <c r="AP1700" s="27"/>
      <c r="AQ1700" s="27"/>
      <c r="AR1700" s="504"/>
      <c r="AS1700" s="332" t="s">
        <v>8343</v>
      </c>
      <c r="AT1700" s="160"/>
    </row>
    <row r="1701" spans="1:46" ht="21.75" hidden="1" customHeight="1">
      <c r="A1701" s="331">
        <v>1700</v>
      </c>
      <c r="B1701" s="28" t="s">
        <v>8344</v>
      </c>
      <c r="C1701" s="28" t="s">
        <v>8345</v>
      </c>
      <c r="D1701" s="437" t="s">
        <v>8346</v>
      </c>
      <c r="E1701" s="361" t="str">
        <f t="shared" ca="1" si="86"/>
        <v>LOSS</v>
      </c>
      <c r="F1701" s="29" t="s">
        <v>8347</v>
      </c>
      <c r="G1701" s="28" t="s">
        <v>8348</v>
      </c>
      <c r="H1701" s="28" t="s">
        <v>261</v>
      </c>
      <c r="I1701" s="361" t="s">
        <v>243</v>
      </c>
      <c r="J1701" s="28" t="s">
        <v>8349</v>
      </c>
      <c r="K1701" s="38" t="s">
        <v>8350</v>
      </c>
      <c r="L1701" s="70">
        <v>0.99</v>
      </c>
      <c r="M1701" s="27" t="s">
        <v>365</v>
      </c>
      <c r="N1701" s="29" t="s">
        <v>494</v>
      </c>
      <c r="O1701" s="56"/>
      <c r="P1701" s="31">
        <f>5250000*12</f>
        <v>63000000</v>
      </c>
      <c r="Q1701" s="31"/>
      <c r="R1701" s="56"/>
      <c r="S1701" s="32">
        <f>3000000*12</f>
        <v>36000000</v>
      </c>
      <c r="T1701" s="33"/>
      <c r="U1701" s="334">
        <v>45245</v>
      </c>
      <c r="V1701" s="334">
        <v>45610</v>
      </c>
      <c r="W1701" s="27" t="s">
        <v>250</v>
      </c>
      <c r="X1701" s="27"/>
      <c r="Y1701" s="34">
        <f t="shared" ca="1" si="89"/>
        <v>46290</v>
      </c>
      <c r="Z1701" s="35">
        <f t="shared" ca="1" si="87"/>
        <v>-680</v>
      </c>
      <c r="AA1701" s="27">
        <f t="shared" si="90"/>
        <v>11</v>
      </c>
      <c r="AB1701" s="27">
        <f t="shared" si="88"/>
        <v>2024</v>
      </c>
      <c r="AC1701" s="28"/>
      <c r="AD1701" s="28" t="s">
        <v>8351</v>
      </c>
      <c r="AE1701" s="27">
        <v>4500021795</v>
      </c>
      <c r="AF1701" s="27" t="s">
        <v>471</v>
      </c>
      <c r="AG1701" s="29" t="s">
        <v>8352</v>
      </c>
      <c r="AH1701" s="29" t="s">
        <v>8353</v>
      </c>
      <c r="AI1701" s="27"/>
      <c r="AJ1701" s="27"/>
      <c r="AK1701" s="27"/>
      <c r="AL1701" s="27"/>
      <c r="AM1701" s="27"/>
      <c r="AN1701" s="27"/>
      <c r="AO1701" s="27">
        <v>398</v>
      </c>
      <c r="AP1701" s="27"/>
      <c r="AQ1701" s="27"/>
      <c r="AR1701" s="504"/>
      <c r="AS1701" s="332"/>
      <c r="AT1701" s="160"/>
    </row>
    <row r="1702" spans="1:46" ht="21.75" hidden="1" customHeight="1">
      <c r="A1702" s="331">
        <v>1701</v>
      </c>
      <c r="B1702" s="28" t="s">
        <v>8344</v>
      </c>
      <c r="C1702" s="28" t="s">
        <v>8345</v>
      </c>
      <c r="D1702" s="438" t="s">
        <v>8346</v>
      </c>
      <c r="E1702" s="361" t="str">
        <f t="shared" ca="1" si="86"/>
        <v>LOSS</v>
      </c>
      <c r="F1702" s="29" t="s">
        <v>8347</v>
      </c>
      <c r="G1702" s="28" t="s">
        <v>8348</v>
      </c>
      <c r="H1702" s="28" t="s">
        <v>261</v>
      </c>
      <c r="I1702" s="361" t="s">
        <v>243</v>
      </c>
      <c r="J1702" s="28" t="s">
        <v>8354</v>
      </c>
      <c r="K1702" s="38" t="s">
        <v>8355</v>
      </c>
      <c r="L1702" s="70">
        <v>0.99</v>
      </c>
      <c r="M1702" s="27" t="s">
        <v>365</v>
      </c>
      <c r="N1702" s="29" t="s">
        <v>468</v>
      </c>
      <c r="O1702" s="56"/>
      <c r="P1702" s="31">
        <f>8000000*12</f>
        <v>96000000</v>
      </c>
      <c r="Q1702" s="31"/>
      <c r="R1702" s="56"/>
      <c r="S1702" s="32">
        <f>4000000*12</f>
        <v>48000000</v>
      </c>
      <c r="T1702" s="33"/>
      <c r="U1702" s="334">
        <v>45245</v>
      </c>
      <c r="V1702" s="334">
        <v>45610</v>
      </c>
      <c r="W1702" s="27" t="s">
        <v>250</v>
      </c>
      <c r="X1702" s="27"/>
      <c r="Y1702" s="34">
        <f t="shared" ca="1" si="89"/>
        <v>46290</v>
      </c>
      <c r="Z1702" s="35">
        <f t="shared" ca="1" si="87"/>
        <v>-680</v>
      </c>
      <c r="AA1702" s="27">
        <f t="shared" si="90"/>
        <v>11</v>
      </c>
      <c r="AB1702" s="27">
        <f t="shared" si="88"/>
        <v>2024</v>
      </c>
      <c r="AC1702" s="28"/>
      <c r="AD1702" s="28" t="s">
        <v>8351</v>
      </c>
      <c r="AE1702" s="27">
        <v>4500021795</v>
      </c>
      <c r="AF1702" s="27" t="s">
        <v>471</v>
      </c>
      <c r="AG1702" s="29" t="s">
        <v>8352</v>
      </c>
      <c r="AH1702" s="29" t="s">
        <v>8353</v>
      </c>
      <c r="AI1702" s="27"/>
      <c r="AJ1702" s="27"/>
      <c r="AK1702" s="27"/>
      <c r="AL1702" s="27"/>
      <c r="AM1702" s="27"/>
      <c r="AN1702" s="27"/>
      <c r="AO1702" s="27">
        <v>398</v>
      </c>
      <c r="AP1702" s="27"/>
      <c r="AQ1702" s="27"/>
      <c r="AR1702" s="504"/>
      <c r="AS1702" s="332"/>
      <c r="AT1702" s="160"/>
    </row>
    <row r="1703" spans="1:46" ht="21.75" hidden="1" customHeight="1">
      <c r="A1703" s="331">
        <v>1702</v>
      </c>
      <c r="B1703" s="28" t="s">
        <v>8344</v>
      </c>
      <c r="C1703" s="28" t="s">
        <v>8345</v>
      </c>
      <c r="D1703" s="437" t="s">
        <v>8346</v>
      </c>
      <c r="E1703" s="361" t="str">
        <f t="shared" ca="1" si="86"/>
        <v>LOSS</v>
      </c>
      <c r="F1703" s="29" t="s">
        <v>8347</v>
      </c>
      <c r="G1703" s="28" t="s">
        <v>8348</v>
      </c>
      <c r="H1703" s="28" t="s">
        <v>261</v>
      </c>
      <c r="I1703" s="361" t="s">
        <v>243</v>
      </c>
      <c r="J1703" s="28" t="s">
        <v>8356</v>
      </c>
      <c r="K1703" s="38" t="s">
        <v>8357</v>
      </c>
      <c r="L1703" s="70">
        <v>0.99</v>
      </c>
      <c r="M1703" s="27" t="s">
        <v>365</v>
      </c>
      <c r="N1703" s="29" t="s">
        <v>6727</v>
      </c>
      <c r="O1703" s="56"/>
      <c r="P1703" s="31">
        <f>12350000*12</f>
        <v>148200000</v>
      </c>
      <c r="Q1703" s="31"/>
      <c r="R1703" s="56">
        <v>10000000</v>
      </c>
      <c r="S1703" s="32">
        <f>7000000*12</f>
        <v>84000000</v>
      </c>
      <c r="T1703" s="33"/>
      <c r="U1703" s="334">
        <v>45245</v>
      </c>
      <c r="V1703" s="334">
        <v>45610</v>
      </c>
      <c r="W1703" s="27" t="s">
        <v>250</v>
      </c>
      <c r="X1703" s="27"/>
      <c r="Y1703" s="34">
        <f t="shared" ca="1" si="89"/>
        <v>46290</v>
      </c>
      <c r="Z1703" s="35">
        <f t="shared" ca="1" si="87"/>
        <v>-680</v>
      </c>
      <c r="AA1703" s="27">
        <f t="shared" si="90"/>
        <v>11</v>
      </c>
      <c r="AB1703" s="27">
        <f t="shared" si="88"/>
        <v>2024</v>
      </c>
      <c r="AC1703" s="28"/>
      <c r="AD1703" s="28" t="s">
        <v>8351</v>
      </c>
      <c r="AE1703" s="27">
        <v>4500021795</v>
      </c>
      <c r="AF1703" s="27" t="s">
        <v>471</v>
      </c>
      <c r="AG1703" s="29" t="s">
        <v>8352</v>
      </c>
      <c r="AH1703" s="29" t="s">
        <v>8353</v>
      </c>
      <c r="AI1703" s="27"/>
      <c r="AJ1703" s="27"/>
      <c r="AK1703" s="27"/>
      <c r="AL1703" s="27"/>
      <c r="AM1703" s="27"/>
      <c r="AN1703" s="27"/>
      <c r="AO1703" s="27">
        <v>398</v>
      </c>
      <c r="AP1703" s="27"/>
      <c r="AQ1703" s="27"/>
      <c r="AR1703" s="504"/>
      <c r="AS1703" s="332"/>
      <c r="AT1703" s="160"/>
    </row>
    <row r="1704" spans="1:46" ht="21.75" hidden="1" customHeight="1">
      <c r="A1704" s="331">
        <v>1703</v>
      </c>
      <c r="B1704" s="28" t="s">
        <v>7092</v>
      </c>
      <c r="C1704" s="28" t="s">
        <v>8358</v>
      </c>
      <c r="D1704" s="438" t="s">
        <v>7149</v>
      </c>
      <c r="E1704" s="361" t="str">
        <f t="shared" ca="1" si="86"/>
        <v>LOSS</v>
      </c>
      <c r="F1704" s="29" t="s">
        <v>8359</v>
      </c>
      <c r="G1704" s="28" t="s">
        <v>8360</v>
      </c>
      <c r="H1704" s="28" t="s">
        <v>261</v>
      </c>
      <c r="I1704" s="361" t="s">
        <v>243</v>
      </c>
      <c r="J1704" s="28" t="s">
        <v>8361</v>
      </c>
      <c r="K1704" s="38" t="s">
        <v>8362</v>
      </c>
      <c r="L1704" s="51">
        <v>0.995</v>
      </c>
      <c r="M1704" s="27" t="s">
        <v>7153</v>
      </c>
      <c r="N1704" s="29" t="s">
        <v>8363</v>
      </c>
      <c r="O1704" s="56"/>
      <c r="P1704" s="31">
        <v>149000000</v>
      </c>
      <c r="Q1704" s="31"/>
      <c r="R1704" s="56">
        <v>5000000</v>
      </c>
      <c r="S1704" s="32">
        <f>9500000*12</f>
        <v>114000000</v>
      </c>
      <c r="T1704" s="33"/>
      <c r="U1704" s="334">
        <v>45230</v>
      </c>
      <c r="V1704" s="334">
        <v>45595</v>
      </c>
      <c r="W1704" s="27" t="s">
        <v>250</v>
      </c>
      <c r="X1704" s="27"/>
      <c r="Y1704" s="34">
        <f t="shared" ca="1" si="89"/>
        <v>46290</v>
      </c>
      <c r="Z1704" s="35">
        <f t="shared" ca="1" si="87"/>
        <v>-695</v>
      </c>
      <c r="AA1704" s="27">
        <f t="shared" si="90"/>
        <v>10</v>
      </c>
      <c r="AB1704" s="27">
        <f t="shared" si="88"/>
        <v>2024</v>
      </c>
      <c r="AC1704" s="28"/>
      <c r="AD1704" s="28" t="s">
        <v>8364</v>
      </c>
      <c r="AE1704" s="27">
        <v>4500021655</v>
      </c>
      <c r="AF1704" s="27" t="s">
        <v>471</v>
      </c>
      <c r="AG1704" s="29" t="s">
        <v>7098</v>
      </c>
      <c r="AH1704" s="29" t="s">
        <v>7099</v>
      </c>
      <c r="AI1704" s="27"/>
      <c r="AJ1704" s="27"/>
      <c r="AK1704" s="27"/>
      <c r="AL1704" s="27"/>
      <c r="AM1704" s="27"/>
      <c r="AN1704" s="27"/>
      <c r="AO1704" s="27" t="s">
        <v>8365</v>
      </c>
      <c r="AP1704" s="27"/>
      <c r="AQ1704" s="27"/>
      <c r="AR1704" s="504"/>
      <c r="AS1704" s="332"/>
      <c r="AT1704" s="160"/>
    </row>
    <row r="1705" spans="1:46" ht="21.75" hidden="1" customHeight="1">
      <c r="A1705" s="331">
        <v>1704</v>
      </c>
      <c r="B1705" s="28" t="s">
        <v>8366</v>
      </c>
      <c r="C1705" s="28" t="s">
        <v>8333</v>
      </c>
      <c r="D1705" s="437" t="s">
        <v>8367</v>
      </c>
      <c r="E1705" s="361" t="str">
        <f t="shared" ca="1" si="86"/>
        <v>LOSS</v>
      </c>
      <c r="F1705" s="29" t="s">
        <v>115</v>
      </c>
      <c r="G1705" s="28" t="s">
        <v>8368</v>
      </c>
      <c r="H1705" s="28" t="s">
        <v>261</v>
      </c>
      <c r="I1705" s="361" t="s">
        <v>243</v>
      </c>
      <c r="J1705" s="28" t="s">
        <v>8369</v>
      </c>
      <c r="K1705" s="38" t="s">
        <v>8370</v>
      </c>
      <c r="L1705" s="51">
        <v>0.995</v>
      </c>
      <c r="M1705" s="27" t="s">
        <v>7153</v>
      </c>
      <c r="N1705" s="29" t="s">
        <v>362</v>
      </c>
      <c r="O1705" s="56">
        <v>30000000</v>
      </c>
      <c r="P1705" s="31">
        <f>25000000*12</f>
        <v>300000000</v>
      </c>
      <c r="Q1705" s="31"/>
      <c r="R1705" s="56">
        <v>45000000</v>
      </c>
      <c r="S1705" s="32">
        <f>22000000*12</f>
        <v>264000000</v>
      </c>
      <c r="T1705" s="33"/>
      <c r="U1705" s="334">
        <v>45237</v>
      </c>
      <c r="V1705" s="334">
        <v>45602</v>
      </c>
      <c r="W1705" s="27" t="s">
        <v>250</v>
      </c>
      <c r="X1705" s="27"/>
      <c r="Y1705" s="34">
        <f t="shared" ca="1" si="89"/>
        <v>46290</v>
      </c>
      <c r="Z1705" s="35">
        <f t="shared" ca="1" si="87"/>
        <v>-688</v>
      </c>
      <c r="AA1705" s="27">
        <f t="shared" si="90"/>
        <v>11</v>
      </c>
      <c r="AB1705" s="27">
        <f t="shared" si="88"/>
        <v>2024</v>
      </c>
      <c r="AC1705" s="28"/>
      <c r="AD1705" s="28" t="s">
        <v>8371</v>
      </c>
      <c r="AE1705" s="27">
        <v>4500021777</v>
      </c>
      <c r="AF1705" s="27" t="s">
        <v>471</v>
      </c>
      <c r="AG1705" s="29" t="s">
        <v>5175</v>
      </c>
      <c r="AH1705" s="29" t="s">
        <v>8372</v>
      </c>
      <c r="AI1705" s="27"/>
      <c r="AJ1705" s="27"/>
      <c r="AK1705" s="27"/>
      <c r="AL1705" s="27"/>
      <c r="AM1705" s="27"/>
      <c r="AN1705" s="27"/>
      <c r="AO1705" s="27" t="s">
        <v>8373</v>
      </c>
      <c r="AP1705" s="27"/>
      <c r="AQ1705" s="27"/>
      <c r="AR1705" s="504"/>
      <c r="AS1705" s="332" t="s">
        <v>6921</v>
      </c>
      <c r="AT1705" s="160"/>
    </row>
    <row r="1706" spans="1:46" ht="21.75" hidden="1" customHeight="1">
      <c r="A1706" s="331">
        <v>1705</v>
      </c>
      <c r="B1706" s="28" t="s">
        <v>4218</v>
      </c>
      <c r="C1706" s="28" t="s">
        <v>8374</v>
      </c>
      <c r="D1706" s="438" t="s">
        <v>6892</v>
      </c>
      <c r="E1706" s="361" t="str">
        <f t="shared" ca="1" si="86"/>
        <v>LOSS</v>
      </c>
      <c r="F1706" s="29" t="s">
        <v>8375</v>
      </c>
      <c r="G1706" s="28" t="s">
        <v>8376</v>
      </c>
      <c r="H1706" s="28" t="s">
        <v>261</v>
      </c>
      <c r="I1706" s="361" t="s">
        <v>243</v>
      </c>
      <c r="J1706" s="28" t="s">
        <v>8377</v>
      </c>
      <c r="K1706" s="38" t="s">
        <v>8378</v>
      </c>
      <c r="L1706" s="53" t="s">
        <v>6895</v>
      </c>
      <c r="M1706" s="27" t="s">
        <v>329</v>
      </c>
      <c r="N1706" s="29" t="s">
        <v>494</v>
      </c>
      <c r="O1706" s="56"/>
      <c r="P1706" s="31">
        <v>54366126</v>
      </c>
      <c r="Q1706" s="31"/>
      <c r="R1706" s="56"/>
      <c r="S1706" s="32">
        <f>3894275*12</f>
        <v>46731300</v>
      </c>
      <c r="T1706" s="33"/>
      <c r="U1706" s="334">
        <v>45251</v>
      </c>
      <c r="V1706" s="334">
        <v>45616</v>
      </c>
      <c r="W1706" s="27" t="s">
        <v>250</v>
      </c>
      <c r="X1706" s="27"/>
      <c r="Y1706" s="34">
        <f t="shared" ca="1" si="89"/>
        <v>46290</v>
      </c>
      <c r="Z1706" s="35">
        <f t="shared" ca="1" si="87"/>
        <v>-674</v>
      </c>
      <c r="AA1706" s="27">
        <f t="shared" si="90"/>
        <v>11</v>
      </c>
      <c r="AB1706" s="27">
        <f t="shared" si="88"/>
        <v>2024</v>
      </c>
      <c r="AC1706" s="28"/>
      <c r="AD1706" s="28" t="s">
        <v>8379</v>
      </c>
      <c r="AE1706" s="27">
        <v>4500022070</v>
      </c>
      <c r="AF1706" s="27" t="s">
        <v>471</v>
      </c>
      <c r="AG1706" s="29" t="s">
        <v>8380</v>
      </c>
      <c r="AH1706" s="29" t="s">
        <v>8381</v>
      </c>
      <c r="AI1706" s="27"/>
      <c r="AJ1706" s="27"/>
      <c r="AK1706" s="27"/>
      <c r="AL1706" s="27"/>
      <c r="AM1706" s="27"/>
      <c r="AN1706" s="27"/>
      <c r="AO1706" s="27" t="s">
        <v>8382</v>
      </c>
      <c r="AP1706" s="27"/>
      <c r="AQ1706" s="27"/>
      <c r="AR1706" s="504"/>
      <c r="AS1706" s="332"/>
      <c r="AT1706" s="160"/>
    </row>
    <row r="1707" spans="1:46" ht="21.75" hidden="1" customHeight="1">
      <c r="A1707" s="331">
        <v>1706</v>
      </c>
      <c r="B1707" s="28" t="s">
        <v>8383</v>
      </c>
      <c r="C1707" s="28" t="s">
        <v>8384</v>
      </c>
      <c r="D1707" s="437" t="s">
        <v>7284</v>
      </c>
      <c r="E1707" s="361" t="str">
        <f t="shared" ca="1" si="86"/>
        <v>LOSS</v>
      </c>
      <c r="F1707" s="29" t="s">
        <v>115</v>
      </c>
      <c r="G1707" s="28" t="s">
        <v>8385</v>
      </c>
      <c r="H1707" s="28" t="s">
        <v>261</v>
      </c>
      <c r="I1707" s="361" t="s">
        <v>243</v>
      </c>
      <c r="J1707" s="28" t="s">
        <v>8386</v>
      </c>
      <c r="K1707" s="38" t="s">
        <v>8387</v>
      </c>
      <c r="L1707" s="51">
        <v>0.998</v>
      </c>
      <c r="M1707" s="51" t="s">
        <v>329</v>
      </c>
      <c r="N1707" s="29" t="s">
        <v>406</v>
      </c>
      <c r="O1707" s="56"/>
      <c r="P1707" s="31">
        <v>192000000</v>
      </c>
      <c r="Q1707" s="31"/>
      <c r="R1707" s="56">
        <v>5000000</v>
      </c>
      <c r="S1707" s="32">
        <f>10000000*12</f>
        <v>120000000</v>
      </c>
      <c r="T1707" s="33"/>
      <c r="U1707" s="334">
        <v>45254</v>
      </c>
      <c r="V1707" s="334">
        <v>45619</v>
      </c>
      <c r="W1707" s="27" t="s">
        <v>250</v>
      </c>
      <c r="X1707" s="27"/>
      <c r="Y1707" s="34">
        <f t="shared" ca="1" si="89"/>
        <v>46290</v>
      </c>
      <c r="Z1707" s="35">
        <f t="shared" ca="1" si="87"/>
        <v>-671</v>
      </c>
      <c r="AA1707" s="27">
        <f t="shared" si="90"/>
        <v>11</v>
      </c>
      <c r="AB1707" s="27">
        <f t="shared" si="88"/>
        <v>2024</v>
      </c>
      <c r="AC1707" s="28"/>
      <c r="AD1707" s="28" t="s">
        <v>8388</v>
      </c>
      <c r="AE1707" s="27">
        <v>4500021796</v>
      </c>
      <c r="AF1707" s="27" t="s">
        <v>471</v>
      </c>
      <c r="AG1707" s="29" t="s">
        <v>8389</v>
      </c>
      <c r="AH1707" s="29" t="s">
        <v>8390</v>
      </c>
      <c r="AI1707" s="27"/>
      <c r="AJ1707" s="27"/>
      <c r="AK1707" s="27"/>
      <c r="AL1707" s="27"/>
      <c r="AM1707" s="27"/>
      <c r="AN1707" s="27"/>
      <c r="AO1707" s="27">
        <v>409</v>
      </c>
      <c r="AP1707" s="27"/>
      <c r="AQ1707" s="27"/>
      <c r="AR1707" s="504"/>
      <c r="AS1707" s="332"/>
      <c r="AT1707" s="160"/>
    </row>
    <row r="1708" spans="1:46" ht="21.75" hidden="1" customHeight="1">
      <c r="A1708" s="331">
        <v>1707</v>
      </c>
      <c r="B1708" s="173" t="s">
        <v>1035</v>
      </c>
      <c r="C1708" s="28" t="s">
        <v>1858</v>
      </c>
      <c r="D1708" s="438" t="s">
        <v>7567</v>
      </c>
      <c r="E1708" s="361" t="str">
        <f t="shared" ca="1" si="86"/>
        <v>LOSS</v>
      </c>
      <c r="F1708" s="29" t="s">
        <v>8391</v>
      </c>
      <c r="G1708" s="28" t="s">
        <v>8392</v>
      </c>
      <c r="H1708" s="29" t="s">
        <v>2748</v>
      </c>
      <c r="I1708" s="29" t="s">
        <v>346</v>
      </c>
      <c r="J1708" s="28" t="s">
        <v>8393</v>
      </c>
      <c r="K1708" s="28"/>
      <c r="L1708" s="27"/>
      <c r="M1708" s="27"/>
      <c r="N1708" s="29"/>
      <c r="O1708" s="56"/>
      <c r="P1708" s="31">
        <f>12*2950200</f>
        <v>35402400</v>
      </c>
      <c r="Q1708" s="31"/>
      <c r="R1708" s="27"/>
      <c r="S1708" s="32">
        <v>21210000</v>
      </c>
      <c r="T1708" s="33"/>
      <c r="U1708" s="334">
        <v>45306</v>
      </c>
      <c r="V1708" s="334">
        <v>45487</v>
      </c>
      <c r="W1708" s="27" t="s">
        <v>250</v>
      </c>
      <c r="X1708" s="27"/>
      <c r="Y1708" s="34">
        <f t="shared" ca="1" si="89"/>
        <v>46290</v>
      </c>
      <c r="Z1708" s="35">
        <f t="shared" ca="1" si="87"/>
        <v>-803</v>
      </c>
      <c r="AA1708" s="27">
        <f t="shared" si="90"/>
        <v>7</v>
      </c>
      <c r="AB1708" s="27">
        <f t="shared" si="88"/>
        <v>2024</v>
      </c>
      <c r="AC1708" s="28">
        <v>482629</v>
      </c>
      <c r="AD1708" s="28">
        <v>2514</v>
      </c>
      <c r="AE1708" s="27">
        <v>4500022195</v>
      </c>
      <c r="AF1708" s="27" t="s">
        <v>339</v>
      </c>
      <c r="AG1708" s="29" t="s">
        <v>7364</v>
      </c>
      <c r="AH1708" s="28" t="s">
        <v>7571</v>
      </c>
      <c r="AI1708" s="27"/>
      <c r="AJ1708" s="27"/>
      <c r="AK1708" s="27"/>
      <c r="AL1708" s="27"/>
      <c r="AM1708" s="27"/>
      <c r="AN1708" s="27"/>
      <c r="AO1708" s="27"/>
      <c r="AP1708" s="27" t="s">
        <v>8394</v>
      </c>
      <c r="AQ1708" s="27"/>
      <c r="AR1708" s="504"/>
      <c r="AS1708" s="332" t="s">
        <v>8395</v>
      </c>
      <c r="AT1708" s="160"/>
    </row>
    <row r="1709" spans="1:46" ht="21.75" hidden="1" customHeight="1">
      <c r="A1709" s="331">
        <v>1708</v>
      </c>
      <c r="B1709" s="28" t="s">
        <v>61</v>
      </c>
      <c r="C1709" s="28" t="s">
        <v>8396</v>
      </c>
      <c r="D1709" s="437" t="s">
        <v>3400</v>
      </c>
      <c r="E1709" s="361" t="str">
        <f t="shared" ca="1" si="86"/>
        <v>LOSS</v>
      </c>
      <c r="F1709" s="36" t="s">
        <v>115</v>
      </c>
      <c r="G1709" s="28" t="s">
        <v>8397</v>
      </c>
      <c r="H1709" s="29" t="s">
        <v>2748</v>
      </c>
      <c r="I1709" s="29" t="s">
        <v>242</v>
      </c>
      <c r="J1709" s="28" t="s">
        <v>8398</v>
      </c>
      <c r="K1709" s="28"/>
      <c r="L1709" s="27"/>
      <c r="M1709" s="27"/>
      <c r="N1709" s="29"/>
      <c r="O1709" s="56"/>
      <c r="P1709" s="31">
        <f>12*8000000</f>
        <v>96000000</v>
      </c>
      <c r="Q1709" s="31"/>
      <c r="R1709" s="27"/>
      <c r="S1709" s="32">
        <v>8000000</v>
      </c>
      <c r="T1709" s="33"/>
      <c r="U1709" s="334">
        <v>45267</v>
      </c>
      <c r="V1709" s="334">
        <v>45632</v>
      </c>
      <c r="W1709" s="27" t="s">
        <v>250</v>
      </c>
      <c r="X1709" s="27"/>
      <c r="Y1709" s="34">
        <f t="shared" ca="1" si="89"/>
        <v>46290</v>
      </c>
      <c r="Z1709" s="35">
        <f t="shared" ca="1" si="87"/>
        <v>-658</v>
      </c>
      <c r="AA1709" s="27">
        <f t="shared" si="90"/>
        <v>12</v>
      </c>
      <c r="AB1709" s="27">
        <f t="shared" si="88"/>
        <v>2024</v>
      </c>
      <c r="AC1709" s="28" t="s">
        <v>479</v>
      </c>
      <c r="AD1709" s="28">
        <v>2236</v>
      </c>
      <c r="AE1709" s="27">
        <v>4500021978</v>
      </c>
      <c r="AF1709" s="27" t="s">
        <v>339</v>
      </c>
      <c r="AG1709" s="29" t="s">
        <v>3150</v>
      </c>
      <c r="AH1709" s="28" t="s">
        <v>8399</v>
      </c>
      <c r="AI1709" s="27"/>
      <c r="AJ1709" s="27"/>
      <c r="AK1709" s="27"/>
      <c r="AL1709" s="27"/>
      <c r="AM1709" s="27"/>
      <c r="AN1709" s="27"/>
      <c r="AO1709" s="27" t="s">
        <v>8400</v>
      </c>
      <c r="AP1709" s="27"/>
      <c r="AQ1709" s="27"/>
      <c r="AR1709" s="504"/>
      <c r="AS1709" s="332"/>
      <c r="AT1709" s="160"/>
    </row>
    <row r="1710" spans="1:46" ht="21.75" hidden="1" customHeight="1">
      <c r="A1710" s="331">
        <v>1709</v>
      </c>
      <c r="B1710" s="28" t="s">
        <v>348</v>
      </c>
      <c r="C1710" s="28" t="s">
        <v>8401</v>
      </c>
      <c r="D1710" s="438" t="s">
        <v>4753</v>
      </c>
      <c r="E1710" s="361" t="str">
        <f t="shared" ca="1" si="86"/>
        <v>LOSS</v>
      </c>
      <c r="F1710" s="36" t="s">
        <v>115</v>
      </c>
      <c r="G1710" s="28" t="s">
        <v>8402</v>
      </c>
      <c r="H1710" s="29" t="s">
        <v>2748</v>
      </c>
      <c r="I1710" s="29" t="s">
        <v>242</v>
      </c>
      <c r="J1710" s="28" t="s">
        <v>8403</v>
      </c>
      <c r="K1710" s="28"/>
      <c r="L1710" s="27"/>
      <c r="M1710" s="27"/>
      <c r="N1710" s="29"/>
      <c r="O1710" s="56"/>
      <c r="P1710" s="31">
        <f>12*5500000</f>
        <v>66000000</v>
      </c>
      <c r="Q1710" s="31"/>
      <c r="R1710" s="27"/>
      <c r="S1710" s="32">
        <v>18777061</v>
      </c>
      <c r="T1710" s="33"/>
      <c r="U1710" s="334">
        <v>45204</v>
      </c>
      <c r="V1710" s="334">
        <v>45565</v>
      </c>
      <c r="W1710" s="27" t="s">
        <v>250</v>
      </c>
      <c r="X1710" s="27"/>
      <c r="Y1710" s="34">
        <f t="shared" ca="1" si="89"/>
        <v>46290</v>
      </c>
      <c r="Z1710" s="35">
        <f t="shared" ca="1" si="87"/>
        <v>-725</v>
      </c>
      <c r="AA1710" s="27">
        <f t="shared" si="90"/>
        <v>9</v>
      </c>
      <c r="AB1710" s="27">
        <f t="shared" si="88"/>
        <v>2024</v>
      </c>
      <c r="AC1710" s="28" t="s">
        <v>479</v>
      </c>
      <c r="AD1710" s="28">
        <v>2239</v>
      </c>
      <c r="AE1710" s="27">
        <v>4500022129</v>
      </c>
      <c r="AF1710" s="27" t="s">
        <v>339</v>
      </c>
      <c r="AG1710" s="29" t="s">
        <v>4061</v>
      </c>
      <c r="AH1710" s="28"/>
      <c r="AI1710" s="27"/>
      <c r="AJ1710" s="27"/>
      <c r="AK1710" s="27"/>
      <c r="AL1710" s="27"/>
      <c r="AM1710" s="27"/>
      <c r="AN1710" s="27"/>
      <c r="AO1710" s="27"/>
      <c r="AP1710" s="27" t="s">
        <v>8404</v>
      </c>
      <c r="AQ1710" s="27"/>
      <c r="AR1710" s="504"/>
      <c r="AS1710" s="332"/>
      <c r="AT1710" s="160"/>
    </row>
    <row r="1711" spans="1:46" ht="21.75" hidden="1" customHeight="1">
      <c r="A1711" s="331">
        <v>1710</v>
      </c>
      <c r="B1711" s="28" t="s">
        <v>169</v>
      </c>
      <c r="C1711" s="28" t="s">
        <v>5298</v>
      </c>
      <c r="D1711" s="437" t="s">
        <v>862</v>
      </c>
      <c r="E1711" s="361" t="str">
        <f t="shared" ca="1" si="86"/>
        <v>LOSS</v>
      </c>
      <c r="F1711" s="29" t="s">
        <v>8405</v>
      </c>
      <c r="G1711" s="28" t="s">
        <v>8406</v>
      </c>
      <c r="H1711" s="29" t="s">
        <v>2748</v>
      </c>
      <c r="I1711" s="29" t="s">
        <v>242</v>
      </c>
      <c r="J1711" s="28" t="s">
        <v>8407</v>
      </c>
      <c r="K1711" s="28"/>
      <c r="L1711" s="27"/>
      <c r="M1711" s="27"/>
      <c r="N1711" s="29"/>
      <c r="O1711" s="56"/>
      <c r="P1711" s="31">
        <f>12*13000000</f>
        <v>156000000</v>
      </c>
      <c r="Q1711" s="31"/>
      <c r="R1711" s="30"/>
      <c r="S1711" s="32">
        <v>18000000</v>
      </c>
      <c r="T1711" s="33"/>
      <c r="U1711" s="334">
        <v>45288</v>
      </c>
      <c r="V1711" s="334">
        <v>45653</v>
      </c>
      <c r="W1711" s="27" t="s">
        <v>250</v>
      </c>
      <c r="X1711" s="27"/>
      <c r="Y1711" s="34">
        <f t="shared" ca="1" si="89"/>
        <v>46290</v>
      </c>
      <c r="Z1711" s="35">
        <f t="shared" ca="1" si="87"/>
        <v>-637</v>
      </c>
      <c r="AA1711" s="27">
        <f t="shared" si="90"/>
        <v>12</v>
      </c>
      <c r="AB1711" s="27">
        <f t="shared" si="88"/>
        <v>2024</v>
      </c>
      <c r="AC1711" s="28" t="s">
        <v>479</v>
      </c>
      <c r="AD1711" s="28">
        <v>1984</v>
      </c>
      <c r="AE1711" s="27">
        <v>4500022131</v>
      </c>
      <c r="AF1711" s="27" t="s">
        <v>339</v>
      </c>
      <c r="AG1711" s="29" t="s">
        <v>5691</v>
      </c>
      <c r="AH1711" s="28" t="s">
        <v>5647</v>
      </c>
      <c r="AI1711" s="27"/>
      <c r="AJ1711" s="27"/>
      <c r="AK1711" s="27"/>
      <c r="AL1711" s="27"/>
      <c r="AM1711" s="27"/>
      <c r="AN1711" s="27"/>
      <c r="AO1711" s="27"/>
      <c r="AP1711" s="27" t="s">
        <v>8408</v>
      </c>
      <c r="AQ1711" s="27"/>
      <c r="AR1711" s="504"/>
      <c r="AS1711" s="332" t="s">
        <v>5935</v>
      </c>
      <c r="AT1711" s="160"/>
    </row>
    <row r="1712" spans="1:46" ht="21.75" hidden="1" customHeight="1">
      <c r="A1712" s="331">
        <v>1711</v>
      </c>
      <c r="B1712" s="159" t="s">
        <v>903</v>
      </c>
      <c r="C1712" s="28" t="s">
        <v>7504</v>
      </c>
      <c r="D1712" s="438" t="s">
        <v>7496</v>
      </c>
      <c r="E1712" s="361" t="str">
        <f t="shared" ca="1" si="86"/>
        <v>LOSS</v>
      </c>
      <c r="F1712" s="29" t="s">
        <v>8409</v>
      </c>
      <c r="G1712" s="28" t="s">
        <v>8410</v>
      </c>
      <c r="H1712" s="29" t="s">
        <v>2748</v>
      </c>
      <c r="I1712" s="29" t="s">
        <v>242</v>
      </c>
      <c r="J1712" s="28" t="s">
        <v>211</v>
      </c>
      <c r="K1712" s="28"/>
      <c r="L1712" s="27"/>
      <c r="M1712" s="27"/>
      <c r="N1712" s="29"/>
      <c r="O1712" s="56"/>
      <c r="P1712" s="31">
        <f>12*10509000</f>
        <v>126108000</v>
      </c>
      <c r="Q1712" s="31"/>
      <c r="R1712" s="27"/>
      <c r="S1712" s="32">
        <v>18000000</v>
      </c>
      <c r="T1712" s="33"/>
      <c r="U1712" s="334">
        <v>45302</v>
      </c>
      <c r="V1712" s="334">
        <v>45667</v>
      </c>
      <c r="W1712" s="27" t="s">
        <v>245</v>
      </c>
      <c r="X1712" s="27"/>
      <c r="Y1712" s="34">
        <f t="shared" ca="1" si="89"/>
        <v>46290</v>
      </c>
      <c r="Z1712" s="35">
        <f t="shared" ca="1" si="87"/>
        <v>-623</v>
      </c>
      <c r="AA1712" s="27">
        <f t="shared" si="90"/>
        <v>1</v>
      </c>
      <c r="AB1712" s="27">
        <f t="shared" si="88"/>
        <v>2025</v>
      </c>
      <c r="AC1712" s="28" t="s">
        <v>479</v>
      </c>
      <c r="AD1712" s="28">
        <v>2453</v>
      </c>
      <c r="AE1712" s="27">
        <v>4500022176</v>
      </c>
      <c r="AF1712" s="27" t="s">
        <v>333</v>
      </c>
      <c r="AG1712" s="29"/>
      <c r="AH1712" s="28"/>
      <c r="AI1712" s="27"/>
      <c r="AJ1712" s="27"/>
      <c r="AK1712" s="27"/>
      <c r="AL1712" s="27"/>
      <c r="AM1712" s="27"/>
      <c r="AN1712" s="27"/>
      <c r="AO1712" s="27"/>
      <c r="AP1712" s="27" t="s">
        <v>8411</v>
      </c>
      <c r="AQ1712" s="27"/>
      <c r="AR1712" s="504"/>
      <c r="AS1712" s="332"/>
      <c r="AT1712" s="160"/>
    </row>
    <row r="1713" spans="1:47" ht="21.75" hidden="1" customHeight="1">
      <c r="A1713" s="331">
        <v>1712</v>
      </c>
      <c r="B1713" s="28" t="s">
        <v>8412</v>
      </c>
      <c r="C1713" s="28" t="s">
        <v>8413</v>
      </c>
      <c r="D1713" s="437" t="s">
        <v>8414</v>
      </c>
      <c r="E1713" s="361" t="str">
        <f t="shared" ca="1" si="86"/>
        <v>LOSS</v>
      </c>
      <c r="F1713" s="36" t="s">
        <v>115</v>
      </c>
      <c r="G1713" s="28" t="s">
        <v>8415</v>
      </c>
      <c r="H1713" s="29" t="s">
        <v>2748</v>
      </c>
      <c r="I1713" s="29" t="s">
        <v>346</v>
      </c>
      <c r="J1713" s="28" t="s">
        <v>8416</v>
      </c>
      <c r="K1713" s="28"/>
      <c r="L1713" s="27"/>
      <c r="M1713" s="27"/>
      <c r="N1713" s="29"/>
      <c r="O1713" s="56"/>
      <c r="P1713" s="31">
        <f>12*75629300</f>
        <v>907551600</v>
      </c>
      <c r="Q1713" s="31"/>
      <c r="R1713" s="27"/>
      <c r="S1713" s="32">
        <v>20671878</v>
      </c>
      <c r="T1713" s="33"/>
      <c r="U1713" s="334">
        <v>45313</v>
      </c>
      <c r="V1713" s="334">
        <v>45494</v>
      </c>
      <c r="W1713" s="27" t="s">
        <v>250</v>
      </c>
      <c r="X1713" s="27"/>
      <c r="Y1713" s="34">
        <f t="shared" ca="1" si="89"/>
        <v>46290</v>
      </c>
      <c r="Z1713" s="35">
        <f t="shared" ca="1" si="87"/>
        <v>-796</v>
      </c>
      <c r="AA1713" s="27">
        <f t="shared" si="90"/>
        <v>7</v>
      </c>
      <c r="AB1713" s="27">
        <f t="shared" si="88"/>
        <v>2024</v>
      </c>
      <c r="AC1713" s="28" t="s">
        <v>479</v>
      </c>
      <c r="AD1713" s="28">
        <v>2330</v>
      </c>
      <c r="AE1713" s="27">
        <v>4500022106</v>
      </c>
      <c r="AF1713" s="27" t="s">
        <v>333</v>
      </c>
      <c r="AG1713" s="29" t="s">
        <v>5509</v>
      </c>
      <c r="AH1713" s="28"/>
      <c r="AI1713" s="27"/>
      <c r="AJ1713" s="27"/>
      <c r="AK1713" s="27"/>
      <c r="AL1713" s="27"/>
      <c r="AM1713" s="27"/>
      <c r="AN1713" s="27"/>
      <c r="AO1713" s="27" t="s">
        <v>8417</v>
      </c>
      <c r="AP1713" s="27"/>
      <c r="AQ1713" s="27"/>
      <c r="AR1713" s="504"/>
      <c r="AS1713" s="332"/>
      <c r="AT1713" s="160"/>
    </row>
    <row r="1714" spans="1:47" s="26" customFormat="1" ht="21.75" hidden="1" customHeight="1">
      <c r="A1714" s="331">
        <v>1713</v>
      </c>
      <c r="B1714" s="28" t="s">
        <v>348</v>
      </c>
      <c r="C1714" s="28" t="s">
        <v>2216</v>
      </c>
      <c r="D1714" s="438" t="s">
        <v>4753</v>
      </c>
      <c r="E1714" s="361" t="str">
        <f t="shared" ca="1" si="86"/>
        <v>LOSS</v>
      </c>
      <c r="F1714" s="36" t="s">
        <v>115</v>
      </c>
      <c r="G1714" s="28" t="s">
        <v>8418</v>
      </c>
      <c r="H1714" s="29" t="s">
        <v>2748</v>
      </c>
      <c r="I1714" s="29" t="s">
        <v>242</v>
      </c>
      <c r="J1714" s="28" t="s">
        <v>8419</v>
      </c>
      <c r="K1714" s="28"/>
      <c r="L1714" s="27"/>
      <c r="M1714" s="27"/>
      <c r="N1714" s="29"/>
      <c r="O1714" s="56"/>
      <c r="P1714" s="31">
        <f>12*73200000</f>
        <v>878400000</v>
      </c>
      <c r="Q1714" s="31"/>
      <c r="R1714" s="27"/>
      <c r="S1714" s="32">
        <v>39523245</v>
      </c>
      <c r="T1714" s="33"/>
      <c r="U1714" s="334">
        <v>45238</v>
      </c>
      <c r="V1714" s="334">
        <v>45565</v>
      </c>
      <c r="W1714" s="27" t="s">
        <v>250</v>
      </c>
      <c r="X1714" s="27"/>
      <c r="Y1714" s="34">
        <f t="shared" ca="1" si="89"/>
        <v>46290</v>
      </c>
      <c r="Z1714" s="35">
        <f t="shared" ca="1" si="87"/>
        <v>-725</v>
      </c>
      <c r="AA1714" s="27">
        <f t="shared" si="90"/>
        <v>9</v>
      </c>
      <c r="AB1714" s="27">
        <f t="shared" si="88"/>
        <v>2024</v>
      </c>
      <c r="AC1714" s="28" t="s">
        <v>479</v>
      </c>
      <c r="AD1714" s="28">
        <v>1431</v>
      </c>
      <c r="AE1714" s="27">
        <v>45000217732</v>
      </c>
      <c r="AF1714" s="27" t="s">
        <v>339</v>
      </c>
      <c r="AG1714" s="29" t="s">
        <v>4061</v>
      </c>
      <c r="AH1714" s="28"/>
      <c r="AI1714" s="27"/>
      <c r="AJ1714" s="27"/>
      <c r="AK1714" s="27"/>
      <c r="AL1714" s="27"/>
      <c r="AM1714" s="27"/>
      <c r="AN1714" s="27"/>
      <c r="AO1714" s="27" t="s">
        <v>8420</v>
      </c>
      <c r="AP1714" s="27"/>
      <c r="AQ1714" s="27"/>
      <c r="AR1714" s="504"/>
      <c r="AS1714" s="332"/>
      <c r="AT1714" s="160"/>
    </row>
    <row r="1715" spans="1:47" s="69" customFormat="1" ht="21.75" hidden="1" customHeight="1">
      <c r="A1715" s="331">
        <v>1714</v>
      </c>
      <c r="B1715" s="28" t="s">
        <v>348</v>
      </c>
      <c r="C1715" s="28" t="s">
        <v>4909</v>
      </c>
      <c r="D1715" s="437" t="s">
        <v>4753</v>
      </c>
      <c r="E1715" s="361" t="str">
        <f t="shared" ca="1" si="86"/>
        <v>LOSS</v>
      </c>
      <c r="F1715" s="36" t="s">
        <v>115</v>
      </c>
      <c r="G1715" s="28" t="s">
        <v>8421</v>
      </c>
      <c r="H1715" s="29" t="s">
        <v>2748</v>
      </c>
      <c r="I1715" s="29" t="s">
        <v>242</v>
      </c>
      <c r="J1715" s="28" t="s">
        <v>8422</v>
      </c>
      <c r="K1715" s="28"/>
      <c r="L1715" s="27"/>
      <c r="M1715" s="27"/>
      <c r="N1715" s="29"/>
      <c r="O1715" s="56"/>
      <c r="P1715" s="31">
        <f>12*9000000</f>
        <v>108000000</v>
      </c>
      <c r="Q1715" s="31"/>
      <c r="R1715" s="27"/>
      <c r="S1715" s="32">
        <v>25851406</v>
      </c>
      <c r="T1715" s="33"/>
      <c r="U1715" s="334">
        <v>45541</v>
      </c>
      <c r="V1715" s="334">
        <v>45565</v>
      </c>
      <c r="W1715" s="27" t="s">
        <v>250</v>
      </c>
      <c r="X1715" s="27"/>
      <c r="Y1715" s="34">
        <f t="shared" ca="1" si="89"/>
        <v>46290</v>
      </c>
      <c r="Z1715" s="35">
        <f t="shared" ca="1" si="87"/>
        <v>-725</v>
      </c>
      <c r="AA1715" s="27">
        <f t="shared" si="90"/>
        <v>9</v>
      </c>
      <c r="AB1715" s="27">
        <f t="shared" si="88"/>
        <v>2024</v>
      </c>
      <c r="AC1715" s="28" t="s">
        <v>479</v>
      </c>
      <c r="AD1715" s="28">
        <v>1756</v>
      </c>
      <c r="AE1715" s="27">
        <v>4500022095</v>
      </c>
      <c r="AF1715" s="27" t="s">
        <v>339</v>
      </c>
      <c r="AG1715" s="29" t="s">
        <v>4061</v>
      </c>
      <c r="AH1715" s="28"/>
      <c r="AI1715" s="27"/>
      <c r="AJ1715" s="27"/>
      <c r="AK1715" s="27"/>
      <c r="AL1715" s="27"/>
      <c r="AM1715" s="27"/>
      <c r="AN1715" s="27"/>
      <c r="AO1715" s="27" t="s">
        <v>8423</v>
      </c>
      <c r="AP1715" s="27"/>
      <c r="AQ1715" s="27"/>
      <c r="AR1715" s="504"/>
      <c r="AS1715" s="332"/>
      <c r="AT1715" s="160"/>
    </row>
    <row r="1716" spans="1:47" s="69" customFormat="1" ht="21.75" hidden="1" customHeight="1">
      <c r="A1716" s="331">
        <v>1715</v>
      </c>
      <c r="B1716" s="28" t="s">
        <v>348</v>
      </c>
      <c r="C1716" s="28" t="s">
        <v>8424</v>
      </c>
      <c r="D1716" s="438" t="s">
        <v>4753</v>
      </c>
      <c r="E1716" s="361" t="str">
        <f t="shared" ca="1" si="86"/>
        <v>LOSS</v>
      </c>
      <c r="F1716" s="36" t="s">
        <v>115</v>
      </c>
      <c r="G1716" s="28" t="s">
        <v>8425</v>
      </c>
      <c r="H1716" s="29" t="s">
        <v>2748</v>
      </c>
      <c r="I1716" s="29" t="s">
        <v>242</v>
      </c>
      <c r="J1716" s="28" t="s">
        <v>8426</v>
      </c>
      <c r="K1716" s="28"/>
      <c r="L1716" s="27"/>
      <c r="M1716" s="27"/>
      <c r="N1716" s="29"/>
      <c r="O1716" s="56"/>
      <c r="P1716" s="31">
        <f>12*1550000</f>
        <v>18600000</v>
      </c>
      <c r="Q1716" s="31"/>
      <c r="R1716" s="27"/>
      <c r="S1716" s="32">
        <v>7284340</v>
      </c>
      <c r="T1716" s="33"/>
      <c r="U1716" s="334">
        <v>45280</v>
      </c>
      <c r="V1716" s="334">
        <v>45565</v>
      </c>
      <c r="W1716" s="27" t="s">
        <v>250</v>
      </c>
      <c r="X1716" s="27"/>
      <c r="Y1716" s="34">
        <f t="shared" ca="1" si="89"/>
        <v>46290</v>
      </c>
      <c r="Z1716" s="35">
        <f t="shared" ca="1" si="87"/>
        <v>-725</v>
      </c>
      <c r="AA1716" s="27">
        <f t="shared" si="90"/>
        <v>9</v>
      </c>
      <c r="AB1716" s="27">
        <f t="shared" si="88"/>
        <v>2024</v>
      </c>
      <c r="AC1716" s="28" t="s">
        <v>479</v>
      </c>
      <c r="AD1716" s="28">
        <v>1872</v>
      </c>
      <c r="AE1716" s="27">
        <v>4500022130</v>
      </c>
      <c r="AF1716" s="27" t="s">
        <v>339</v>
      </c>
      <c r="AG1716" s="29" t="s">
        <v>4061</v>
      </c>
      <c r="AH1716" s="28"/>
      <c r="AI1716" s="27"/>
      <c r="AJ1716" s="27"/>
      <c r="AK1716" s="27"/>
      <c r="AL1716" s="27"/>
      <c r="AM1716" s="27"/>
      <c r="AN1716" s="27"/>
      <c r="AO1716" s="27" t="s">
        <v>8427</v>
      </c>
      <c r="AP1716" s="27"/>
      <c r="AQ1716" s="27"/>
      <c r="AR1716" s="504"/>
      <c r="AS1716" s="332"/>
      <c r="AT1716" s="160"/>
    </row>
    <row r="1717" spans="1:47" s="69" customFormat="1" ht="21.75" hidden="1" customHeight="1">
      <c r="A1717" s="331">
        <v>1716</v>
      </c>
      <c r="B1717" s="28" t="s">
        <v>348</v>
      </c>
      <c r="C1717" s="28" t="s">
        <v>636</v>
      </c>
      <c r="D1717" s="437" t="s">
        <v>4753</v>
      </c>
      <c r="E1717" s="361" t="str">
        <f t="shared" ca="1" si="86"/>
        <v>LOSS</v>
      </c>
      <c r="F1717" s="36" t="s">
        <v>115</v>
      </c>
      <c r="G1717" s="28" t="s">
        <v>8428</v>
      </c>
      <c r="H1717" s="29" t="s">
        <v>2748</v>
      </c>
      <c r="I1717" s="29" t="s">
        <v>242</v>
      </c>
      <c r="J1717" s="28" t="s">
        <v>8429</v>
      </c>
      <c r="K1717" s="28"/>
      <c r="L1717" s="27"/>
      <c r="M1717" s="27"/>
      <c r="N1717" s="29"/>
      <c r="O1717" s="56"/>
      <c r="P1717" s="31">
        <f>12*4700000</f>
        <v>56400000</v>
      </c>
      <c r="Q1717" s="31"/>
      <c r="R1717" s="27"/>
      <c r="S1717" s="32">
        <v>1240978</v>
      </c>
      <c r="T1717" s="33"/>
      <c r="U1717" s="334">
        <v>45171</v>
      </c>
      <c r="V1717" s="334">
        <v>45199</v>
      </c>
      <c r="W1717" s="27" t="s">
        <v>250</v>
      </c>
      <c r="X1717" s="27"/>
      <c r="Y1717" s="34">
        <f t="shared" ca="1" si="89"/>
        <v>46290</v>
      </c>
      <c r="Z1717" s="35">
        <f t="shared" ca="1" si="87"/>
        <v>-1091</v>
      </c>
      <c r="AA1717" s="27">
        <f t="shared" si="90"/>
        <v>9</v>
      </c>
      <c r="AB1717" s="27">
        <f t="shared" si="88"/>
        <v>2023</v>
      </c>
      <c r="AC1717" s="28" t="s">
        <v>479</v>
      </c>
      <c r="AD1717" s="28">
        <v>1288</v>
      </c>
      <c r="AE1717" s="27">
        <v>4500021284</v>
      </c>
      <c r="AF1717" s="27" t="s">
        <v>339</v>
      </c>
      <c r="AG1717" s="29" t="s">
        <v>4061</v>
      </c>
      <c r="AH1717" s="28"/>
      <c r="AI1717" s="27"/>
      <c r="AJ1717" s="27"/>
      <c r="AK1717" s="27"/>
      <c r="AL1717" s="27"/>
      <c r="AM1717" s="27"/>
      <c r="AN1717" s="27"/>
      <c r="AO1717" s="27" t="s">
        <v>8430</v>
      </c>
      <c r="AP1717" s="27"/>
      <c r="AQ1717" s="27"/>
      <c r="AR1717" s="504"/>
      <c r="AS1717" s="332"/>
      <c r="AT1717" s="160"/>
    </row>
    <row r="1718" spans="1:47" s="69" customFormat="1" ht="21.75" hidden="1" customHeight="1">
      <c r="A1718" s="331">
        <v>1717</v>
      </c>
      <c r="B1718" s="28" t="s">
        <v>103</v>
      </c>
      <c r="C1718" s="28" t="s">
        <v>2435</v>
      </c>
      <c r="D1718" s="438" t="s">
        <v>4122</v>
      </c>
      <c r="E1718" s="361" t="str">
        <f t="shared" ca="1" si="86"/>
        <v>LOSS</v>
      </c>
      <c r="F1718" s="29"/>
      <c r="G1718" s="28" t="s">
        <v>8431</v>
      </c>
      <c r="H1718" s="29" t="s">
        <v>2748</v>
      </c>
      <c r="I1718" s="29" t="s">
        <v>346</v>
      </c>
      <c r="J1718" s="28" t="s">
        <v>8386</v>
      </c>
      <c r="K1718" s="28"/>
      <c r="L1718" s="27"/>
      <c r="M1718" s="27"/>
      <c r="N1718" s="29"/>
      <c r="O1718" s="56"/>
      <c r="P1718" s="31">
        <f>11875000*12</f>
        <v>142500000</v>
      </c>
      <c r="Q1718" s="31"/>
      <c r="R1718" s="27"/>
      <c r="S1718" s="32">
        <v>40000000</v>
      </c>
      <c r="T1718" s="33"/>
      <c r="U1718" s="334">
        <v>45165</v>
      </c>
      <c r="V1718" s="334">
        <v>45530</v>
      </c>
      <c r="W1718" s="27" t="s">
        <v>250</v>
      </c>
      <c r="X1718" s="27"/>
      <c r="Y1718" s="34">
        <f t="shared" ca="1" si="89"/>
        <v>46290</v>
      </c>
      <c r="Z1718" s="35">
        <f t="shared" ca="1" si="87"/>
        <v>-760</v>
      </c>
      <c r="AA1718" s="27">
        <f t="shared" si="90"/>
        <v>8</v>
      </c>
      <c r="AB1718" s="27">
        <f t="shared" si="88"/>
        <v>2024</v>
      </c>
      <c r="AC1718" s="28" t="s">
        <v>479</v>
      </c>
      <c r="AD1718" s="28">
        <v>2460</v>
      </c>
      <c r="AE1718" s="27">
        <v>4500022149</v>
      </c>
      <c r="AF1718" s="27" t="s">
        <v>356</v>
      </c>
      <c r="AG1718" s="29"/>
      <c r="AH1718" s="28"/>
      <c r="AI1718" s="27"/>
      <c r="AJ1718" s="27"/>
      <c r="AK1718" s="27"/>
      <c r="AL1718" s="27"/>
      <c r="AM1718" s="27"/>
      <c r="AN1718" s="27"/>
      <c r="AO1718" s="27" t="s">
        <v>8432</v>
      </c>
      <c r="AP1718" s="27"/>
      <c r="AQ1718" s="27"/>
      <c r="AR1718" s="504"/>
      <c r="AS1718" s="332"/>
      <c r="AT1718" s="160"/>
    </row>
    <row r="1719" spans="1:47" s="69" customFormat="1" ht="21.75" hidden="1" customHeight="1">
      <c r="A1719" s="331">
        <v>1718</v>
      </c>
      <c r="B1719" s="28" t="s">
        <v>30</v>
      </c>
      <c r="C1719" s="28" t="s">
        <v>8433</v>
      </c>
      <c r="D1719" s="438" t="s">
        <v>2757</v>
      </c>
      <c r="E1719" s="361" t="str">
        <f t="shared" ca="1" si="86"/>
        <v>LOSS</v>
      </c>
      <c r="F1719" s="36" t="s">
        <v>115</v>
      </c>
      <c r="G1719" s="28" t="s">
        <v>8434</v>
      </c>
      <c r="H1719" s="29" t="s">
        <v>2748</v>
      </c>
      <c r="I1719" s="29" t="s">
        <v>346</v>
      </c>
      <c r="J1719" s="28" t="s">
        <v>31</v>
      </c>
      <c r="K1719" s="28"/>
      <c r="L1719" s="27"/>
      <c r="M1719" s="27"/>
      <c r="N1719" s="29"/>
      <c r="O1719" s="56"/>
      <c r="P1719" s="31">
        <f>12*2950200</f>
        <v>35402400</v>
      </c>
      <c r="Q1719" s="31"/>
      <c r="R1719" s="27"/>
      <c r="S1719" s="32">
        <v>20000000</v>
      </c>
      <c r="T1719" s="33"/>
      <c r="U1719" s="334">
        <v>45323</v>
      </c>
      <c r="V1719" s="334">
        <v>45688</v>
      </c>
      <c r="W1719" s="27" t="s">
        <v>250</v>
      </c>
      <c r="X1719" s="27"/>
      <c r="Y1719" s="34">
        <f t="shared" ca="1" si="89"/>
        <v>46290</v>
      </c>
      <c r="Z1719" s="35">
        <f t="shared" ca="1" si="87"/>
        <v>-602</v>
      </c>
      <c r="AA1719" s="27">
        <f t="shared" si="90"/>
        <v>1</v>
      </c>
      <c r="AB1719" s="27">
        <f t="shared" si="88"/>
        <v>2025</v>
      </c>
      <c r="AC1719" s="28" t="s">
        <v>479</v>
      </c>
      <c r="AD1719" s="28">
        <v>1759</v>
      </c>
      <c r="AE1719" s="27">
        <v>4500021644</v>
      </c>
      <c r="AF1719" s="27" t="s">
        <v>339</v>
      </c>
      <c r="AG1719" s="29" t="s">
        <v>2762</v>
      </c>
      <c r="AH1719" s="28" t="s">
        <v>2763</v>
      </c>
      <c r="AI1719" s="27"/>
      <c r="AJ1719" s="27"/>
      <c r="AK1719" s="27"/>
      <c r="AL1719" s="27"/>
      <c r="AM1719" s="27"/>
      <c r="AN1719" s="27"/>
      <c r="AO1719" s="27"/>
      <c r="AP1719" s="27" t="s">
        <v>8435</v>
      </c>
      <c r="AQ1719" s="27"/>
      <c r="AR1719" s="504"/>
      <c r="AS1719" s="332"/>
      <c r="AT1719" s="160"/>
    </row>
    <row r="1720" spans="1:47" s="69" customFormat="1" ht="21.75" hidden="1" customHeight="1">
      <c r="A1720" s="331">
        <v>1719</v>
      </c>
      <c r="B1720" s="28" t="s">
        <v>146</v>
      </c>
      <c r="C1720" s="28" t="s">
        <v>1274</v>
      </c>
      <c r="D1720" s="438" t="s">
        <v>3035</v>
      </c>
      <c r="E1720" s="361" t="str">
        <f t="shared" ca="1" si="86"/>
        <v>LOSS</v>
      </c>
      <c r="F1720" s="29"/>
      <c r="G1720" s="28" t="s">
        <v>8436</v>
      </c>
      <c r="H1720" s="29" t="s">
        <v>2748</v>
      </c>
      <c r="I1720" s="29" t="s">
        <v>346</v>
      </c>
      <c r="J1720" s="28" t="s">
        <v>147</v>
      </c>
      <c r="K1720" s="28"/>
      <c r="L1720" s="27"/>
      <c r="M1720" s="27"/>
      <c r="N1720" s="29"/>
      <c r="O1720" s="56"/>
      <c r="P1720" s="43" t="s">
        <v>115</v>
      </c>
      <c r="Q1720" s="43"/>
      <c r="R1720" s="27"/>
      <c r="S1720" s="32">
        <v>5000000</v>
      </c>
      <c r="T1720" s="33"/>
      <c r="U1720" s="334">
        <v>45347</v>
      </c>
      <c r="V1720" s="334">
        <v>45712</v>
      </c>
      <c r="W1720" s="27" t="s">
        <v>250</v>
      </c>
      <c r="X1720" s="27"/>
      <c r="Y1720" s="34">
        <f t="shared" ca="1" si="89"/>
        <v>46290</v>
      </c>
      <c r="Z1720" s="35">
        <f t="shared" ca="1" si="87"/>
        <v>-578</v>
      </c>
      <c r="AA1720" s="27">
        <f t="shared" si="90"/>
        <v>2</v>
      </c>
      <c r="AB1720" s="27">
        <f t="shared" si="88"/>
        <v>2025</v>
      </c>
      <c r="AC1720" s="28"/>
      <c r="AD1720" s="28">
        <v>2901</v>
      </c>
      <c r="AE1720" s="27">
        <v>4500022368</v>
      </c>
      <c r="AF1720" s="27" t="s">
        <v>339</v>
      </c>
      <c r="AG1720" s="29" t="s">
        <v>5206</v>
      </c>
      <c r="AH1720" s="28" t="s">
        <v>3040</v>
      </c>
      <c r="AI1720" s="27"/>
      <c r="AJ1720" s="27"/>
      <c r="AK1720" s="27"/>
      <c r="AL1720" s="27"/>
      <c r="AM1720" s="27"/>
      <c r="AN1720" s="27"/>
      <c r="AO1720" s="27"/>
      <c r="AP1720" s="27" t="s">
        <v>8437</v>
      </c>
      <c r="AQ1720" s="27"/>
      <c r="AR1720" s="504"/>
      <c r="AS1720" s="332"/>
      <c r="AT1720" s="160"/>
    </row>
    <row r="1721" spans="1:47" s="69" customFormat="1" ht="21.75" hidden="1" customHeight="1">
      <c r="A1721" s="331">
        <v>1720</v>
      </c>
      <c r="B1721" s="28" t="s">
        <v>635</v>
      </c>
      <c r="C1721" s="28" t="s">
        <v>8438</v>
      </c>
      <c r="D1721" s="437" t="s">
        <v>384</v>
      </c>
      <c r="E1721" s="361" t="str">
        <f t="shared" ca="1" si="86"/>
        <v>LOSS</v>
      </c>
      <c r="F1721" s="29"/>
      <c r="G1721" s="38" t="s">
        <v>115</v>
      </c>
      <c r="H1721" s="29" t="s">
        <v>2748</v>
      </c>
      <c r="I1721" s="29" t="s">
        <v>346</v>
      </c>
      <c r="J1721" s="38" t="s">
        <v>115</v>
      </c>
      <c r="K1721" s="28"/>
      <c r="L1721" s="27"/>
      <c r="M1721" s="27"/>
      <c r="N1721" s="29"/>
      <c r="O1721" s="56"/>
      <c r="P1721" s="43" t="s">
        <v>115</v>
      </c>
      <c r="Q1721" s="43"/>
      <c r="R1721" s="27"/>
      <c r="S1721" s="32">
        <v>204000000</v>
      </c>
      <c r="T1721" s="33"/>
      <c r="U1721" s="334">
        <v>45327</v>
      </c>
      <c r="V1721" s="334">
        <v>45326</v>
      </c>
      <c r="W1721" s="27" t="s">
        <v>17</v>
      </c>
      <c r="X1721" s="27" t="s">
        <v>306</v>
      </c>
      <c r="Y1721" s="34">
        <f t="shared" ca="1" si="89"/>
        <v>46290</v>
      </c>
      <c r="Z1721" s="35">
        <f t="shared" ca="1" si="87"/>
        <v>-964</v>
      </c>
      <c r="AA1721" s="27">
        <f t="shared" si="90"/>
        <v>2</v>
      </c>
      <c r="AB1721" s="27">
        <f t="shared" si="88"/>
        <v>2024</v>
      </c>
      <c r="AC1721" s="28" t="s">
        <v>479</v>
      </c>
      <c r="AD1721" s="28">
        <v>2626</v>
      </c>
      <c r="AE1721" s="27">
        <v>4500022238</v>
      </c>
      <c r="AF1721" s="27" t="s">
        <v>333</v>
      </c>
      <c r="AG1721" s="29" t="s">
        <v>6100</v>
      </c>
      <c r="AH1721" s="28" t="s">
        <v>6101</v>
      </c>
      <c r="AI1721" s="27"/>
      <c r="AJ1721" s="27"/>
      <c r="AK1721" s="27"/>
      <c r="AL1721" s="27"/>
      <c r="AM1721" s="27"/>
      <c r="AN1721" s="27"/>
      <c r="AO1721" s="27"/>
      <c r="AP1721" s="27" t="s">
        <v>8439</v>
      </c>
      <c r="AQ1721" s="27"/>
      <c r="AR1721" s="504"/>
      <c r="AS1721" s="332"/>
      <c r="AT1721" s="160"/>
    </row>
    <row r="1722" spans="1:47" s="69" customFormat="1" ht="21.75" hidden="1" customHeight="1">
      <c r="A1722" s="331">
        <v>1721</v>
      </c>
      <c r="B1722" s="28" t="s">
        <v>225</v>
      </c>
      <c r="C1722" s="28" t="s">
        <v>8440</v>
      </c>
      <c r="D1722" s="438" t="s">
        <v>369</v>
      </c>
      <c r="E1722" s="361" t="str">
        <f t="shared" ca="1" si="86"/>
        <v>LOSS</v>
      </c>
      <c r="F1722" s="29"/>
      <c r="G1722" s="28" t="s">
        <v>8441</v>
      </c>
      <c r="H1722" s="29" t="s">
        <v>2748</v>
      </c>
      <c r="I1722" s="29" t="s">
        <v>242</v>
      </c>
      <c r="J1722" s="28" t="s">
        <v>8442</v>
      </c>
      <c r="K1722" s="28"/>
      <c r="L1722" s="27"/>
      <c r="M1722" s="27"/>
      <c r="N1722" s="29"/>
      <c r="O1722" s="56"/>
      <c r="P1722" s="31">
        <f>12*34000000</f>
        <v>408000000</v>
      </c>
      <c r="Q1722" s="31"/>
      <c r="R1722" s="27"/>
      <c r="S1722" s="32">
        <v>6000000</v>
      </c>
      <c r="T1722" s="33"/>
      <c r="U1722" s="334">
        <v>45238</v>
      </c>
      <c r="V1722" s="334">
        <v>45603</v>
      </c>
      <c r="W1722" s="27" t="s">
        <v>250</v>
      </c>
      <c r="X1722" s="27"/>
      <c r="Y1722" s="34">
        <f t="shared" ca="1" si="89"/>
        <v>46290</v>
      </c>
      <c r="Z1722" s="35">
        <f t="shared" ca="1" si="87"/>
        <v>-687</v>
      </c>
      <c r="AA1722" s="27">
        <f t="shared" si="90"/>
        <v>11</v>
      </c>
      <c r="AB1722" s="27">
        <f t="shared" si="88"/>
        <v>2024</v>
      </c>
      <c r="AC1722" s="28" t="s">
        <v>479</v>
      </c>
      <c r="AD1722" s="28">
        <v>1848</v>
      </c>
      <c r="AE1722" s="27">
        <v>4500022294</v>
      </c>
      <c r="AF1722" s="27" t="s">
        <v>333</v>
      </c>
      <c r="AG1722" s="29" t="s">
        <v>7873</v>
      </c>
      <c r="AH1722" s="28"/>
      <c r="AI1722" s="27"/>
      <c r="AJ1722" s="27"/>
      <c r="AK1722" s="27"/>
      <c r="AL1722" s="27"/>
      <c r="AM1722" s="27"/>
      <c r="AN1722" s="27"/>
      <c r="AO1722" s="27" t="s">
        <v>8443</v>
      </c>
      <c r="AP1722" s="27"/>
      <c r="AQ1722" s="27"/>
      <c r="AR1722" s="504"/>
      <c r="AS1722" s="332"/>
      <c r="AT1722" s="160"/>
    </row>
    <row r="1723" spans="1:47" s="69" customFormat="1" ht="21.75" hidden="1" customHeight="1">
      <c r="A1723" s="331">
        <v>1722</v>
      </c>
      <c r="B1723" s="28" t="s">
        <v>179</v>
      </c>
      <c r="C1723" s="28" t="s">
        <v>8444</v>
      </c>
      <c r="D1723" s="437" t="s">
        <v>862</v>
      </c>
      <c r="E1723" s="361" t="str">
        <f t="shared" ca="1" si="86"/>
        <v>LOSS</v>
      </c>
      <c r="F1723" s="36" t="s">
        <v>115</v>
      </c>
      <c r="G1723" s="28" t="s">
        <v>8445</v>
      </c>
      <c r="H1723" s="29" t="s">
        <v>2748</v>
      </c>
      <c r="I1723" s="29" t="s">
        <v>242</v>
      </c>
      <c r="J1723" s="38" t="s">
        <v>115</v>
      </c>
      <c r="K1723" s="28"/>
      <c r="L1723" s="27"/>
      <c r="M1723" s="27"/>
      <c r="N1723" s="29"/>
      <c r="O1723" s="56"/>
      <c r="P1723" s="31">
        <f>12*1173170000</f>
        <v>14078040000</v>
      </c>
      <c r="Q1723" s="31"/>
      <c r="R1723" s="27"/>
      <c r="S1723" s="32">
        <v>36000000</v>
      </c>
      <c r="T1723" s="33"/>
      <c r="U1723" s="334">
        <v>45327</v>
      </c>
      <c r="V1723" s="334">
        <v>45692</v>
      </c>
      <c r="W1723" s="27" t="s">
        <v>250</v>
      </c>
      <c r="X1723" s="27"/>
      <c r="Y1723" s="34">
        <f t="shared" ca="1" si="89"/>
        <v>46290</v>
      </c>
      <c r="Z1723" s="35">
        <f t="shared" ca="1" si="87"/>
        <v>-598</v>
      </c>
      <c r="AA1723" s="27">
        <f t="shared" si="90"/>
        <v>2</v>
      </c>
      <c r="AB1723" s="27">
        <f t="shared" si="88"/>
        <v>2025</v>
      </c>
      <c r="AC1723" s="28" t="s">
        <v>479</v>
      </c>
      <c r="AD1723" s="28">
        <v>2627</v>
      </c>
      <c r="AE1723" s="27">
        <v>4500022329</v>
      </c>
      <c r="AF1723" s="27" t="s">
        <v>333</v>
      </c>
      <c r="AG1723" s="29" t="s">
        <v>5691</v>
      </c>
      <c r="AH1723" s="28" t="s">
        <v>5647</v>
      </c>
      <c r="AI1723" s="27"/>
      <c r="AJ1723" s="27"/>
      <c r="AK1723" s="27"/>
      <c r="AL1723" s="27"/>
      <c r="AM1723" s="27"/>
      <c r="AN1723" s="27"/>
      <c r="AO1723" s="27"/>
      <c r="AP1723" s="27" t="s">
        <v>8446</v>
      </c>
      <c r="AQ1723" s="27"/>
      <c r="AR1723" s="504"/>
      <c r="AS1723" s="333" t="s">
        <v>115</v>
      </c>
      <c r="AT1723" s="160"/>
    </row>
    <row r="1724" spans="1:47" s="69" customFormat="1" ht="21.75" hidden="1" customHeight="1">
      <c r="A1724" s="331">
        <v>1723</v>
      </c>
      <c r="B1724" s="28" t="s">
        <v>225</v>
      </c>
      <c r="C1724" s="28" t="s">
        <v>8447</v>
      </c>
      <c r="D1724" s="438" t="s">
        <v>369</v>
      </c>
      <c r="E1724" s="361" t="str">
        <f t="shared" ca="1" si="86"/>
        <v>LOSS</v>
      </c>
      <c r="F1724" s="29"/>
      <c r="G1724" s="28" t="s">
        <v>8448</v>
      </c>
      <c r="H1724" s="29" t="s">
        <v>2748</v>
      </c>
      <c r="I1724" s="29" t="s">
        <v>242</v>
      </c>
      <c r="J1724" s="28" t="s">
        <v>227</v>
      </c>
      <c r="K1724" s="28"/>
      <c r="L1724" s="27"/>
      <c r="M1724" s="27"/>
      <c r="N1724" s="29"/>
      <c r="O1724" s="56"/>
      <c r="P1724" s="31">
        <f>12*9913000</f>
        <v>118956000</v>
      </c>
      <c r="Q1724" s="31"/>
      <c r="R1724" s="27"/>
      <c r="S1724" s="32">
        <v>14400000</v>
      </c>
      <c r="T1724" s="33"/>
      <c r="U1724" s="334">
        <v>44949</v>
      </c>
      <c r="V1724" s="334">
        <v>45313</v>
      </c>
      <c r="W1724" s="27" t="s">
        <v>250</v>
      </c>
      <c r="X1724" s="27"/>
      <c r="Y1724" s="34">
        <f t="shared" ca="1" si="89"/>
        <v>46290</v>
      </c>
      <c r="Z1724" s="35">
        <f t="shared" ca="1" si="87"/>
        <v>-977</v>
      </c>
      <c r="AA1724" s="27">
        <f t="shared" si="90"/>
        <v>1</v>
      </c>
      <c r="AB1724" s="27">
        <f t="shared" si="88"/>
        <v>2024</v>
      </c>
      <c r="AC1724" s="28" t="s">
        <v>479</v>
      </c>
      <c r="AD1724" s="28">
        <v>21129</v>
      </c>
      <c r="AE1724" s="27">
        <v>4500020010</v>
      </c>
      <c r="AF1724" s="27" t="s">
        <v>339</v>
      </c>
      <c r="AG1724" s="29" t="s">
        <v>7873</v>
      </c>
      <c r="AH1724" s="28"/>
      <c r="AI1724" s="27"/>
      <c r="AJ1724" s="27"/>
      <c r="AK1724" s="27"/>
      <c r="AL1724" s="27"/>
      <c r="AM1724" s="27"/>
      <c r="AN1724" s="27"/>
      <c r="AO1724" s="27"/>
      <c r="AP1724" s="27"/>
      <c r="AQ1724" s="27"/>
      <c r="AR1724" s="504"/>
      <c r="AS1724" s="332"/>
      <c r="AT1724" s="160"/>
    </row>
    <row r="1725" spans="1:47" s="69" customFormat="1" ht="21.75" hidden="1" customHeight="1">
      <c r="A1725" s="331">
        <v>1724</v>
      </c>
      <c r="B1725" s="28" t="s">
        <v>635</v>
      </c>
      <c r="C1725" s="28" t="s">
        <v>7787</v>
      </c>
      <c r="D1725" s="437" t="s">
        <v>384</v>
      </c>
      <c r="E1725" s="361" t="str">
        <f t="shared" ca="1" si="86"/>
        <v>LOSS</v>
      </c>
      <c r="F1725" s="29"/>
      <c r="G1725" s="28" t="s">
        <v>8449</v>
      </c>
      <c r="H1725" s="29" t="s">
        <v>2748</v>
      </c>
      <c r="I1725" s="29" t="s">
        <v>242</v>
      </c>
      <c r="J1725" s="28" t="s">
        <v>8450</v>
      </c>
      <c r="K1725" s="28"/>
      <c r="L1725" s="27"/>
      <c r="M1725" s="27"/>
      <c r="N1725" s="29"/>
      <c r="O1725" s="56"/>
      <c r="P1725" s="31">
        <f>5000000*12</f>
        <v>60000000</v>
      </c>
      <c r="Q1725" s="31"/>
      <c r="R1725" s="27"/>
      <c r="S1725" s="32">
        <v>38400000</v>
      </c>
      <c r="T1725" s="33"/>
      <c r="U1725" s="334">
        <v>45114</v>
      </c>
      <c r="V1725" s="334">
        <v>45479</v>
      </c>
      <c r="W1725" s="27" t="s">
        <v>245</v>
      </c>
      <c r="X1725" s="27"/>
      <c r="Y1725" s="34">
        <f t="shared" ca="1" si="89"/>
        <v>46290</v>
      </c>
      <c r="Z1725" s="35">
        <f t="shared" ca="1" si="87"/>
        <v>-811</v>
      </c>
      <c r="AA1725" s="27">
        <f t="shared" si="90"/>
        <v>7</v>
      </c>
      <c r="AB1725" s="27">
        <f t="shared" si="88"/>
        <v>2024</v>
      </c>
      <c r="AC1725" s="28" t="s">
        <v>479</v>
      </c>
      <c r="AD1725" s="28">
        <v>334</v>
      </c>
      <c r="AE1725" s="27">
        <v>4500020640</v>
      </c>
      <c r="AF1725" s="27" t="s">
        <v>339</v>
      </c>
      <c r="AG1725" s="29" t="s">
        <v>6100</v>
      </c>
      <c r="AH1725" s="28" t="s">
        <v>6101</v>
      </c>
      <c r="AI1725" s="27"/>
      <c r="AJ1725" s="27"/>
      <c r="AK1725" s="27"/>
      <c r="AL1725" s="27"/>
      <c r="AM1725" s="27"/>
      <c r="AN1725" s="27"/>
      <c r="AO1725" s="27" t="s">
        <v>8451</v>
      </c>
      <c r="AP1725" s="27"/>
      <c r="AQ1725" s="27"/>
      <c r="AR1725" s="504"/>
      <c r="AS1725" s="332"/>
      <c r="AT1725" s="160"/>
    </row>
    <row r="1726" spans="1:47" s="69" customFormat="1" ht="21.75" hidden="1" customHeight="1">
      <c r="A1726" s="331">
        <v>1725</v>
      </c>
      <c r="B1726" s="28" t="s">
        <v>8452</v>
      </c>
      <c r="C1726" s="28" t="s">
        <v>2216</v>
      </c>
      <c r="D1726" s="438" t="s">
        <v>8453</v>
      </c>
      <c r="E1726" s="361" t="str">
        <f t="shared" ca="1" si="86"/>
        <v>LOSS</v>
      </c>
      <c r="F1726" s="29" t="s">
        <v>8454</v>
      </c>
      <c r="G1726" s="28" t="s">
        <v>8455</v>
      </c>
      <c r="H1726" s="28" t="s">
        <v>261</v>
      </c>
      <c r="I1726" s="361" t="s">
        <v>243</v>
      </c>
      <c r="J1726" s="28" t="s">
        <v>8456</v>
      </c>
      <c r="K1726" s="38" t="s">
        <v>7211</v>
      </c>
      <c r="L1726" s="27" t="s">
        <v>4749</v>
      </c>
      <c r="M1726" s="27" t="s">
        <v>365</v>
      </c>
      <c r="N1726" s="29" t="s">
        <v>362</v>
      </c>
      <c r="O1726" s="56"/>
      <c r="P1726" s="31">
        <f>1445000*12</f>
        <v>17340000</v>
      </c>
      <c r="Q1726" s="31"/>
      <c r="R1726" s="56"/>
      <c r="S1726" s="32">
        <v>122500000</v>
      </c>
      <c r="T1726" s="33"/>
      <c r="U1726" s="334">
        <v>45292</v>
      </c>
      <c r="V1726" s="334">
        <v>45657</v>
      </c>
      <c r="W1726" s="27" t="s">
        <v>250</v>
      </c>
      <c r="X1726" s="27"/>
      <c r="Y1726" s="34">
        <f t="shared" ca="1" si="89"/>
        <v>46290</v>
      </c>
      <c r="Z1726" s="35">
        <f t="shared" ca="1" si="87"/>
        <v>-633</v>
      </c>
      <c r="AA1726" s="27">
        <f t="shared" si="90"/>
        <v>12</v>
      </c>
      <c r="AB1726" s="27">
        <f t="shared" si="88"/>
        <v>2024</v>
      </c>
      <c r="AC1726" s="28" t="s">
        <v>3371</v>
      </c>
      <c r="AD1726" s="28" t="s">
        <v>8457</v>
      </c>
      <c r="AE1726" s="27">
        <v>4500022210</v>
      </c>
      <c r="AF1726" s="27" t="s">
        <v>471</v>
      </c>
      <c r="AG1726" s="29" t="s">
        <v>8458</v>
      </c>
      <c r="AH1726" s="29" t="s">
        <v>8459</v>
      </c>
      <c r="AI1726" s="27"/>
      <c r="AJ1726" s="27"/>
      <c r="AK1726" s="27"/>
      <c r="AL1726" s="27"/>
      <c r="AM1726" s="27"/>
      <c r="AN1726" s="27"/>
      <c r="AO1726" s="27"/>
      <c r="AP1726" s="27">
        <v>50</v>
      </c>
      <c r="AQ1726" s="27"/>
      <c r="AR1726" s="504"/>
      <c r="AS1726" s="332"/>
      <c r="AT1726" s="160"/>
    </row>
    <row r="1727" spans="1:47" s="69" customFormat="1" ht="21.75" hidden="1" customHeight="1">
      <c r="A1727" s="331">
        <v>1726</v>
      </c>
      <c r="B1727" s="28" t="s">
        <v>1618</v>
      </c>
      <c r="C1727" s="28" t="s">
        <v>8460</v>
      </c>
      <c r="D1727" s="438" t="s">
        <v>1620</v>
      </c>
      <c r="E1727" s="361" t="str">
        <f t="shared" ca="1" si="86"/>
        <v>LOSS</v>
      </c>
      <c r="F1727" s="29" t="s">
        <v>8461</v>
      </c>
      <c r="G1727" s="28" t="s">
        <v>8462</v>
      </c>
      <c r="H1727" s="28" t="s">
        <v>261</v>
      </c>
      <c r="I1727" s="361" t="s">
        <v>243</v>
      </c>
      <c r="J1727" s="28" t="s">
        <v>8463</v>
      </c>
      <c r="K1727" s="38" t="s">
        <v>8464</v>
      </c>
      <c r="L1727" s="27" t="s">
        <v>4749</v>
      </c>
      <c r="M1727" s="27" t="s">
        <v>353</v>
      </c>
      <c r="N1727" s="29" t="s">
        <v>354</v>
      </c>
      <c r="O1727" s="56"/>
      <c r="P1727" s="31">
        <f>5000000*12</f>
        <v>60000000</v>
      </c>
      <c r="Q1727" s="31"/>
      <c r="R1727" s="56"/>
      <c r="S1727" s="32">
        <f>2000000*12</f>
        <v>24000000</v>
      </c>
      <c r="T1727" s="33"/>
      <c r="U1727" s="334">
        <v>45292</v>
      </c>
      <c r="V1727" s="334">
        <v>45657</v>
      </c>
      <c r="W1727" s="27" t="s">
        <v>250</v>
      </c>
      <c r="X1727" s="27"/>
      <c r="Y1727" s="34">
        <f t="shared" ca="1" si="89"/>
        <v>46290</v>
      </c>
      <c r="Z1727" s="35">
        <f t="shared" ca="1" si="87"/>
        <v>-633</v>
      </c>
      <c r="AA1727" s="27">
        <f t="shared" si="90"/>
        <v>12</v>
      </c>
      <c r="AB1727" s="27">
        <f t="shared" si="88"/>
        <v>2024</v>
      </c>
      <c r="AC1727" s="28" t="s">
        <v>3371</v>
      </c>
      <c r="AD1727" s="28" t="s">
        <v>8465</v>
      </c>
      <c r="AE1727" s="27">
        <v>4500022080</v>
      </c>
      <c r="AF1727" s="27" t="s">
        <v>471</v>
      </c>
      <c r="AG1727" s="29" t="s">
        <v>7075</v>
      </c>
      <c r="AH1727" s="29" t="s">
        <v>7076</v>
      </c>
      <c r="AI1727" s="27"/>
      <c r="AJ1727" s="27"/>
      <c r="AK1727" s="27"/>
      <c r="AL1727" s="27"/>
      <c r="AM1727" s="27"/>
      <c r="AN1727" s="27"/>
      <c r="AO1727" s="27"/>
      <c r="AP1727" s="27" t="s">
        <v>8466</v>
      </c>
      <c r="AQ1727" s="27"/>
      <c r="AR1727" s="504"/>
      <c r="AS1727" s="332" t="s">
        <v>8467</v>
      </c>
      <c r="AT1727" s="160"/>
    </row>
    <row r="1728" spans="1:47" s="199" customFormat="1" ht="21.75" hidden="1" customHeight="1">
      <c r="A1728" s="331">
        <v>1727</v>
      </c>
      <c r="B1728" s="28" t="s">
        <v>8468</v>
      </c>
      <c r="C1728" s="28" t="s">
        <v>8460</v>
      </c>
      <c r="D1728" s="438" t="s">
        <v>1620</v>
      </c>
      <c r="E1728" s="361" t="str">
        <f t="shared" ca="1" si="86"/>
        <v>LOSS</v>
      </c>
      <c r="F1728" s="29" t="s">
        <v>8461</v>
      </c>
      <c r="G1728" s="28" t="s">
        <v>8462</v>
      </c>
      <c r="H1728" s="28" t="s">
        <v>261</v>
      </c>
      <c r="I1728" s="361" t="s">
        <v>243</v>
      </c>
      <c r="J1728" s="28" t="s">
        <v>8469</v>
      </c>
      <c r="K1728" s="38" t="s">
        <v>8470</v>
      </c>
      <c r="L1728" s="27" t="s">
        <v>4749</v>
      </c>
      <c r="M1728" s="27" t="s">
        <v>365</v>
      </c>
      <c r="N1728" s="29" t="s">
        <v>6802</v>
      </c>
      <c r="O1728" s="56"/>
      <c r="P1728" s="31">
        <f>5200000*12</f>
        <v>62400000</v>
      </c>
      <c r="Q1728" s="31"/>
      <c r="R1728" s="56"/>
      <c r="S1728" s="32">
        <f>2300000*12</f>
        <v>27600000</v>
      </c>
      <c r="T1728" s="33"/>
      <c r="U1728" s="334">
        <v>45292</v>
      </c>
      <c r="V1728" s="334">
        <v>45657</v>
      </c>
      <c r="W1728" s="27" t="s">
        <v>250</v>
      </c>
      <c r="X1728" s="27"/>
      <c r="Y1728" s="34">
        <f t="shared" ca="1" si="89"/>
        <v>46290</v>
      </c>
      <c r="Z1728" s="35">
        <f t="shared" ca="1" si="87"/>
        <v>-633</v>
      </c>
      <c r="AA1728" s="27">
        <f t="shared" si="90"/>
        <v>12</v>
      </c>
      <c r="AB1728" s="27">
        <f t="shared" si="88"/>
        <v>2024</v>
      </c>
      <c r="AC1728" s="28" t="s">
        <v>3371</v>
      </c>
      <c r="AD1728" s="28" t="s">
        <v>8465</v>
      </c>
      <c r="AE1728" s="27">
        <v>4500022080</v>
      </c>
      <c r="AF1728" s="27" t="s">
        <v>471</v>
      </c>
      <c r="AG1728" s="29"/>
      <c r="AH1728" s="29"/>
      <c r="AI1728" s="27"/>
      <c r="AJ1728" s="27"/>
      <c r="AK1728" s="27"/>
      <c r="AL1728" s="27"/>
      <c r="AM1728" s="27"/>
      <c r="AN1728" s="27"/>
      <c r="AO1728" s="27"/>
      <c r="AP1728" s="27"/>
      <c r="AQ1728" s="27"/>
      <c r="AR1728" s="504"/>
      <c r="AS1728" s="332"/>
      <c r="AT1728" s="160"/>
      <c r="AU1728" s="453"/>
    </row>
    <row r="1729" spans="1:46" s="26" customFormat="1" ht="21.75" hidden="1" customHeight="1">
      <c r="A1729" s="331">
        <v>1728</v>
      </c>
      <c r="B1729" s="28" t="s">
        <v>460</v>
      </c>
      <c r="C1729" s="28" t="s">
        <v>461</v>
      </c>
      <c r="D1729" s="437" t="s">
        <v>462</v>
      </c>
      <c r="E1729" s="361" t="str">
        <f t="shared" ca="1" si="86"/>
        <v>LOSS</v>
      </c>
      <c r="F1729" s="29"/>
      <c r="G1729" s="28" t="s">
        <v>463</v>
      </c>
      <c r="H1729" s="28" t="s">
        <v>261</v>
      </c>
      <c r="I1729" s="361" t="s">
        <v>243</v>
      </c>
      <c r="J1729" s="28" t="s">
        <v>465</v>
      </c>
      <c r="K1729" s="38" t="s">
        <v>466</v>
      </c>
      <c r="L1729" s="60">
        <v>0.995</v>
      </c>
      <c r="M1729" s="27" t="s">
        <v>467</v>
      </c>
      <c r="N1729" s="29" t="s">
        <v>468</v>
      </c>
      <c r="O1729" s="56"/>
      <c r="P1729" s="31">
        <v>20329428</v>
      </c>
      <c r="Q1729" s="31"/>
      <c r="R1729" s="56">
        <v>225225</v>
      </c>
      <c r="S1729" s="32">
        <f>247748*12</f>
        <v>2972976</v>
      </c>
      <c r="T1729" s="33"/>
      <c r="U1729" s="334">
        <v>45303</v>
      </c>
      <c r="V1729" s="334">
        <v>45668</v>
      </c>
      <c r="W1729" s="27" t="s">
        <v>250</v>
      </c>
      <c r="X1729" s="27"/>
      <c r="Y1729" s="34">
        <f t="shared" ca="1" si="89"/>
        <v>46290</v>
      </c>
      <c r="Z1729" s="35">
        <f t="shared" ca="1" si="87"/>
        <v>-622</v>
      </c>
      <c r="AA1729" s="27">
        <f t="shared" si="90"/>
        <v>1</v>
      </c>
      <c r="AB1729" s="27">
        <f t="shared" si="88"/>
        <v>2025</v>
      </c>
      <c r="AC1729" s="28" t="s">
        <v>3371</v>
      </c>
      <c r="AD1729" s="28" t="s">
        <v>8471</v>
      </c>
      <c r="AE1729" s="27">
        <v>4500022038</v>
      </c>
      <c r="AF1729" s="27" t="s">
        <v>471</v>
      </c>
      <c r="AG1729" s="29" t="s">
        <v>472</v>
      </c>
      <c r="AH1729" s="29" t="s">
        <v>7331</v>
      </c>
      <c r="AI1729" s="27"/>
      <c r="AJ1729" s="27"/>
      <c r="AK1729" s="27"/>
      <c r="AL1729" s="27"/>
      <c r="AM1729" s="27"/>
      <c r="AN1729" s="27"/>
      <c r="AO1729" s="27"/>
      <c r="AP1729" s="27" t="s">
        <v>8472</v>
      </c>
      <c r="AQ1729" s="27"/>
      <c r="AR1729" s="504"/>
      <c r="AS1729" s="332" t="s">
        <v>8473</v>
      </c>
      <c r="AT1729" s="160"/>
    </row>
    <row r="1730" spans="1:46" s="200" customFormat="1" ht="21.75" hidden="1" customHeight="1">
      <c r="A1730" s="331">
        <v>1729</v>
      </c>
      <c r="B1730" s="28" t="s">
        <v>228</v>
      </c>
      <c r="C1730" s="28" t="s">
        <v>8474</v>
      </c>
      <c r="D1730" s="438" t="s">
        <v>8475</v>
      </c>
      <c r="E1730" s="361" t="str">
        <f t="shared" ref="E1730:E1793" ca="1" si="91">IF(Z1730&lt;=0, "LOSS",IF(Z1730&lt;=15, "CRITICAL",IF(Z1730&lt;=30, "WARNING",IF(Z1730&lt;60, "ATTENTION", "ON TRACK"))))</f>
        <v>LOSS</v>
      </c>
      <c r="F1730" s="36" t="s">
        <v>115</v>
      </c>
      <c r="G1730" s="28" t="s">
        <v>8476</v>
      </c>
      <c r="H1730" s="29" t="s">
        <v>2748</v>
      </c>
      <c r="I1730" s="29" t="s">
        <v>346</v>
      </c>
      <c r="J1730" s="28" t="s">
        <v>229</v>
      </c>
      <c r="K1730" s="28"/>
      <c r="L1730" s="27"/>
      <c r="M1730" s="27"/>
      <c r="N1730" s="29"/>
      <c r="O1730" s="56"/>
      <c r="P1730" s="31">
        <f>12*500000</f>
        <v>6000000</v>
      </c>
      <c r="Q1730" s="31"/>
      <c r="R1730" s="27"/>
      <c r="S1730" s="32">
        <v>5000000</v>
      </c>
      <c r="T1730" s="33"/>
      <c r="U1730" s="334">
        <v>45350</v>
      </c>
      <c r="V1730" s="334">
        <v>45715</v>
      </c>
      <c r="W1730" s="27" t="s">
        <v>17</v>
      </c>
      <c r="X1730" s="27"/>
      <c r="Y1730" s="34">
        <f t="shared" ca="1" si="89"/>
        <v>46290</v>
      </c>
      <c r="Z1730" s="35">
        <f t="shared" ca="1" si="87"/>
        <v>-575</v>
      </c>
      <c r="AA1730" s="27">
        <f t="shared" si="90"/>
        <v>2</v>
      </c>
      <c r="AB1730" s="27">
        <f t="shared" si="88"/>
        <v>2025</v>
      </c>
      <c r="AC1730" s="28" t="s">
        <v>3371</v>
      </c>
      <c r="AD1730" s="28">
        <v>2653</v>
      </c>
      <c r="AE1730" s="27">
        <v>4500022292</v>
      </c>
      <c r="AF1730" s="27" t="s">
        <v>333</v>
      </c>
      <c r="AG1730" s="29" t="s">
        <v>8477</v>
      </c>
      <c r="AH1730" s="28"/>
      <c r="AI1730" s="27"/>
      <c r="AJ1730" s="27"/>
      <c r="AK1730" s="27"/>
      <c r="AL1730" s="27"/>
      <c r="AM1730" s="27"/>
      <c r="AN1730" s="27"/>
      <c r="AO1730" s="27"/>
      <c r="AP1730" s="27" t="s">
        <v>7880</v>
      </c>
      <c r="AQ1730" s="27"/>
      <c r="AR1730" s="504"/>
      <c r="AS1730" s="332"/>
      <c r="AT1730" s="160"/>
    </row>
    <row r="1731" spans="1:46" s="69" customFormat="1" ht="21.75" hidden="1" customHeight="1">
      <c r="A1731" s="331">
        <v>1730</v>
      </c>
      <c r="B1731" s="28" t="s">
        <v>160</v>
      </c>
      <c r="C1731" s="71" t="s">
        <v>8478</v>
      </c>
      <c r="D1731" s="437" t="s">
        <v>8479</v>
      </c>
      <c r="E1731" s="361" t="str">
        <f t="shared" ca="1" si="91"/>
        <v>LOSS</v>
      </c>
      <c r="F1731" s="36" t="s">
        <v>115</v>
      </c>
      <c r="G1731" s="28" t="s">
        <v>8480</v>
      </c>
      <c r="H1731" s="29" t="s">
        <v>2748</v>
      </c>
      <c r="I1731" s="29" t="s">
        <v>346</v>
      </c>
      <c r="J1731" s="28" t="s">
        <v>161</v>
      </c>
      <c r="K1731" s="28"/>
      <c r="L1731" s="27"/>
      <c r="M1731" s="27"/>
      <c r="N1731" s="29"/>
      <c r="O1731" s="56"/>
      <c r="P1731" s="31">
        <f>12*17800000</f>
        <v>213600000</v>
      </c>
      <c r="Q1731" s="31"/>
      <c r="R1731" s="30"/>
      <c r="S1731" s="32">
        <f>24000000+78000000</f>
        <v>102000000</v>
      </c>
      <c r="T1731" s="33"/>
      <c r="U1731" s="334">
        <v>45366</v>
      </c>
      <c r="V1731" s="334">
        <v>45730</v>
      </c>
      <c r="W1731" s="27" t="s">
        <v>250</v>
      </c>
      <c r="X1731" s="27"/>
      <c r="Y1731" s="34">
        <f t="shared" ca="1" si="89"/>
        <v>46290</v>
      </c>
      <c r="Z1731" s="35">
        <f t="shared" ca="1" si="87"/>
        <v>-560</v>
      </c>
      <c r="AA1731" s="27">
        <f t="shared" si="90"/>
        <v>3</v>
      </c>
      <c r="AB1731" s="27">
        <f t="shared" si="88"/>
        <v>2025</v>
      </c>
      <c r="AC1731" s="28" t="s">
        <v>8481</v>
      </c>
      <c r="AD1731" s="28">
        <v>2184</v>
      </c>
      <c r="AE1731" s="27">
        <v>4500022060</v>
      </c>
      <c r="AF1731" s="27" t="s">
        <v>356</v>
      </c>
      <c r="AG1731" s="29"/>
      <c r="AH1731" s="28"/>
      <c r="AI1731" s="27"/>
      <c r="AJ1731" s="27"/>
      <c r="AK1731" s="27"/>
      <c r="AL1731" s="27"/>
      <c r="AM1731" s="27"/>
      <c r="AN1731" s="27"/>
      <c r="AO1731" s="27"/>
      <c r="AP1731" s="27" t="s">
        <v>5165</v>
      </c>
      <c r="AQ1731" s="27"/>
      <c r="AR1731" s="504"/>
      <c r="AS1731" s="332" t="s">
        <v>3506</v>
      </c>
      <c r="AT1731" s="160"/>
    </row>
    <row r="1732" spans="1:46" s="69" customFormat="1" ht="21.75" hidden="1" customHeight="1">
      <c r="A1732" s="331">
        <v>1731</v>
      </c>
      <c r="B1732" s="28" t="s">
        <v>8482</v>
      </c>
      <c r="C1732" s="28" t="s">
        <v>8483</v>
      </c>
      <c r="D1732" s="438" t="s">
        <v>8484</v>
      </c>
      <c r="E1732" s="361" t="str">
        <f t="shared" ca="1" si="91"/>
        <v>LOSS</v>
      </c>
      <c r="F1732" s="29"/>
      <c r="G1732" s="28" t="s">
        <v>8485</v>
      </c>
      <c r="H1732" s="28" t="s">
        <v>261</v>
      </c>
      <c r="I1732" s="361" t="s">
        <v>243</v>
      </c>
      <c r="J1732" s="28" t="s">
        <v>8486</v>
      </c>
      <c r="K1732" s="38" t="s">
        <v>8487</v>
      </c>
      <c r="L1732" s="27" t="s">
        <v>8488</v>
      </c>
      <c r="M1732" s="27" t="s">
        <v>8489</v>
      </c>
      <c r="N1732" s="29" t="s">
        <v>362</v>
      </c>
      <c r="O1732" s="56"/>
      <c r="P1732" s="31">
        <v>203000000</v>
      </c>
      <c r="Q1732" s="31"/>
      <c r="R1732" s="56"/>
      <c r="S1732" s="32">
        <f>3250000*12</f>
        <v>39000000</v>
      </c>
      <c r="T1732" s="33"/>
      <c r="U1732" s="334">
        <v>45339</v>
      </c>
      <c r="V1732" s="334">
        <v>45704</v>
      </c>
      <c r="W1732" s="27" t="s">
        <v>250</v>
      </c>
      <c r="X1732" s="27"/>
      <c r="Y1732" s="34">
        <f t="shared" ca="1" si="89"/>
        <v>46290</v>
      </c>
      <c r="Z1732" s="35">
        <f t="shared" ca="1" si="87"/>
        <v>-586</v>
      </c>
      <c r="AA1732" s="27">
        <f t="shared" si="90"/>
        <v>2</v>
      </c>
      <c r="AB1732" s="27">
        <f t="shared" si="88"/>
        <v>2025</v>
      </c>
      <c r="AC1732" s="28" t="s">
        <v>3371</v>
      </c>
      <c r="AD1732" s="28" t="s">
        <v>8490</v>
      </c>
      <c r="AE1732" s="27">
        <v>4500021946</v>
      </c>
      <c r="AF1732" s="27" t="s">
        <v>471</v>
      </c>
      <c r="AG1732" s="29" t="s">
        <v>8491</v>
      </c>
      <c r="AH1732" s="29" t="s">
        <v>8492</v>
      </c>
      <c r="AI1732" s="27"/>
      <c r="AJ1732" s="27"/>
      <c r="AK1732" s="27"/>
      <c r="AL1732" s="27"/>
      <c r="AM1732" s="27"/>
      <c r="AN1732" s="27"/>
      <c r="AO1732" s="27"/>
      <c r="AP1732" s="27">
        <v>122</v>
      </c>
      <c r="AQ1732" s="27"/>
      <c r="AR1732" s="504"/>
      <c r="AS1732" s="332" t="s">
        <v>8493</v>
      </c>
      <c r="AT1732" s="160"/>
    </row>
    <row r="1733" spans="1:46" s="69" customFormat="1" ht="21.75" hidden="1" customHeight="1">
      <c r="A1733" s="331">
        <v>1732</v>
      </c>
      <c r="B1733" s="28" t="s">
        <v>160</v>
      </c>
      <c r="C1733" s="28" t="s">
        <v>8494</v>
      </c>
      <c r="D1733" s="437" t="s">
        <v>8479</v>
      </c>
      <c r="E1733" s="361" t="str">
        <f t="shared" ca="1" si="91"/>
        <v>LOSS</v>
      </c>
      <c r="F1733" s="36" t="s">
        <v>115</v>
      </c>
      <c r="G1733" s="28" t="s">
        <v>8495</v>
      </c>
      <c r="H1733" s="29" t="s">
        <v>2748</v>
      </c>
      <c r="I1733" s="29" t="s">
        <v>346</v>
      </c>
      <c r="J1733" s="28" t="s">
        <v>163</v>
      </c>
      <c r="K1733" s="28"/>
      <c r="L1733" s="27"/>
      <c r="M1733" s="27"/>
      <c r="N1733" s="29"/>
      <c r="O1733" s="56"/>
      <c r="P1733" s="31">
        <f>8500000*12</f>
        <v>102000000</v>
      </c>
      <c r="Q1733" s="31"/>
      <c r="R1733" s="30"/>
      <c r="S1733" s="32">
        <v>24000000</v>
      </c>
      <c r="T1733" s="33"/>
      <c r="U1733" s="334">
        <v>45366</v>
      </c>
      <c r="V1733" s="334">
        <v>45730</v>
      </c>
      <c r="W1733" s="27" t="s">
        <v>250</v>
      </c>
      <c r="X1733" s="27"/>
      <c r="Y1733" s="34">
        <f t="shared" ca="1" si="89"/>
        <v>46290</v>
      </c>
      <c r="Z1733" s="35">
        <f t="shared" ref="Z1733:Z1796" ca="1" si="92">V1733-Y1733</f>
        <v>-560</v>
      </c>
      <c r="AA1733" s="27">
        <f>6 / VALUE(MID(TRIM(Table1[[#This Row],[NO SO]]), 3, 1))</f>
        <v>3</v>
      </c>
      <c r="AB1733" s="27">
        <f t="shared" si="88"/>
        <v>2025</v>
      </c>
      <c r="AC1733" s="28" t="s">
        <v>8481</v>
      </c>
      <c r="AD1733" s="28">
        <v>2184</v>
      </c>
      <c r="AE1733" s="27">
        <v>4500022060</v>
      </c>
      <c r="AF1733" s="27" t="s">
        <v>356</v>
      </c>
      <c r="AG1733" s="29"/>
      <c r="AH1733" s="28"/>
      <c r="AI1733" s="27"/>
      <c r="AJ1733" s="27"/>
      <c r="AK1733" s="27"/>
      <c r="AL1733" s="27"/>
      <c r="AM1733" s="27"/>
      <c r="AN1733" s="27"/>
      <c r="AO1733" s="27"/>
      <c r="AP1733" s="27" t="s">
        <v>3656</v>
      </c>
      <c r="AQ1733" s="27"/>
      <c r="AR1733" s="504"/>
      <c r="AS1733" s="332" t="s">
        <v>3506</v>
      </c>
      <c r="AT1733" s="160"/>
    </row>
    <row r="1734" spans="1:46" s="69" customFormat="1" ht="21.75" hidden="1" customHeight="1">
      <c r="A1734" s="331">
        <v>1733</v>
      </c>
      <c r="B1734" s="28" t="s">
        <v>97</v>
      </c>
      <c r="C1734" s="28" t="s">
        <v>8496</v>
      </c>
      <c r="D1734" s="438" t="s">
        <v>2363</v>
      </c>
      <c r="E1734" s="361" t="str">
        <f t="shared" ca="1" si="91"/>
        <v>LOSS</v>
      </c>
      <c r="F1734" s="36" t="s">
        <v>115</v>
      </c>
      <c r="G1734" s="28" t="s">
        <v>8497</v>
      </c>
      <c r="H1734" s="29" t="s">
        <v>2748</v>
      </c>
      <c r="I1734" s="29" t="s">
        <v>242</v>
      </c>
      <c r="J1734" s="28" t="s">
        <v>8498</v>
      </c>
      <c r="K1734" s="28"/>
      <c r="L1734" s="27"/>
      <c r="M1734" s="27"/>
      <c r="N1734" s="29"/>
      <c r="O1734" s="56"/>
      <c r="P1734" s="31">
        <f>12*4504505</f>
        <v>54054060</v>
      </c>
      <c r="Q1734" s="31"/>
      <c r="R1734" s="30"/>
      <c r="S1734" s="32">
        <v>24000000</v>
      </c>
      <c r="T1734" s="33"/>
      <c r="U1734" s="334">
        <v>45261</v>
      </c>
      <c r="V1734" s="334">
        <v>45626</v>
      </c>
      <c r="W1734" s="27" t="s">
        <v>250</v>
      </c>
      <c r="X1734" s="27"/>
      <c r="Y1734" s="34">
        <f t="shared" ca="1" si="89"/>
        <v>46290</v>
      </c>
      <c r="Z1734" s="35">
        <f t="shared" ca="1" si="92"/>
        <v>-664</v>
      </c>
      <c r="AA1734" s="27">
        <f t="shared" ref="AA1734:AA1765" si="93">MONTH(V1734)</f>
        <v>11</v>
      </c>
      <c r="AB1734" s="27">
        <f t="shared" si="88"/>
        <v>2024</v>
      </c>
      <c r="AC1734" s="28" t="s">
        <v>479</v>
      </c>
      <c r="AD1734" s="28">
        <v>2213</v>
      </c>
      <c r="AE1734" s="27">
        <v>4500021977</v>
      </c>
      <c r="AF1734" s="27" t="s">
        <v>339</v>
      </c>
      <c r="AG1734" s="29" t="s">
        <v>3887</v>
      </c>
      <c r="AH1734" s="28" t="s">
        <v>3888</v>
      </c>
      <c r="AI1734" s="27"/>
      <c r="AJ1734" s="27"/>
      <c r="AK1734" s="27"/>
      <c r="AL1734" s="27"/>
      <c r="AM1734" s="27"/>
      <c r="AN1734" s="27"/>
      <c r="AO1734" s="27" t="s">
        <v>8499</v>
      </c>
      <c r="AP1734" s="27"/>
      <c r="AQ1734" s="27"/>
      <c r="AR1734" s="504"/>
      <c r="AS1734" s="332" t="s">
        <v>4026</v>
      </c>
      <c r="AT1734" s="160"/>
    </row>
    <row r="1735" spans="1:46" s="69" customFormat="1" ht="21.75" hidden="1" customHeight="1">
      <c r="A1735" s="331">
        <v>1734</v>
      </c>
      <c r="B1735" s="28" t="s">
        <v>114</v>
      </c>
      <c r="C1735" s="40" t="s">
        <v>8500</v>
      </c>
      <c r="D1735" s="444" t="s">
        <v>335</v>
      </c>
      <c r="E1735" s="361" t="str">
        <f t="shared" ca="1" si="91"/>
        <v>LOSS</v>
      </c>
      <c r="F1735" s="29"/>
      <c r="G1735" s="28" t="s">
        <v>8501</v>
      </c>
      <c r="H1735" s="29" t="s">
        <v>2748</v>
      </c>
      <c r="I1735" s="29" t="s">
        <v>242</v>
      </c>
      <c r="J1735" s="28" t="s">
        <v>8502</v>
      </c>
      <c r="K1735" s="28"/>
      <c r="L1735" s="27"/>
      <c r="M1735" s="27"/>
      <c r="N1735" s="29"/>
      <c r="O1735" s="56"/>
      <c r="P1735" s="31"/>
      <c r="Q1735" s="31"/>
      <c r="R1735" s="27"/>
      <c r="S1735" s="32">
        <v>856800000</v>
      </c>
      <c r="T1735" s="33"/>
      <c r="U1735" s="334">
        <v>45292</v>
      </c>
      <c r="V1735" s="334">
        <v>45657</v>
      </c>
      <c r="W1735" s="27" t="s">
        <v>250</v>
      </c>
      <c r="X1735" s="27"/>
      <c r="Y1735" s="34">
        <f t="shared" ca="1" si="89"/>
        <v>46290</v>
      </c>
      <c r="Z1735" s="35">
        <f t="shared" ca="1" si="92"/>
        <v>-633</v>
      </c>
      <c r="AA1735" s="27">
        <f t="shared" si="93"/>
        <v>12</v>
      </c>
      <c r="AB1735" s="27">
        <f t="shared" si="88"/>
        <v>2024</v>
      </c>
      <c r="AC1735" s="38" t="s">
        <v>115</v>
      </c>
      <c r="AD1735" s="28">
        <v>3370</v>
      </c>
      <c r="AE1735" s="27">
        <v>4500022774</v>
      </c>
      <c r="AF1735" s="27" t="s">
        <v>339</v>
      </c>
      <c r="AG1735" s="29" t="s">
        <v>4427</v>
      </c>
      <c r="AH1735" s="28"/>
      <c r="AI1735" s="27"/>
      <c r="AJ1735" s="27"/>
      <c r="AK1735" s="27"/>
      <c r="AL1735" s="27"/>
      <c r="AM1735" s="27"/>
      <c r="AN1735" s="27"/>
      <c r="AO1735" s="27" t="s">
        <v>8503</v>
      </c>
      <c r="AP1735" s="27"/>
      <c r="AQ1735" s="27"/>
      <c r="AR1735" s="504"/>
      <c r="AS1735" s="332"/>
      <c r="AT1735" s="160"/>
    </row>
    <row r="1736" spans="1:46" s="69" customFormat="1" ht="21.75" hidden="1" customHeight="1">
      <c r="A1736" s="331">
        <v>1735</v>
      </c>
      <c r="B1736" s="28" t="s">
        <v>169</v>
      </c>
      <c r="C1736" s="28" t="s">
        <v>8444</v>
      </c>
      <c r="D1736" s="438" t="s">
        <v>862</v>
      </c>
      <c r="E1736" s="361" t="str">
        <f t="shared" ca="1" si="91"/>
        <v>LOSS</v>
      </c>
      <c r="F1736" s="36" t="s">
        <v>115</v>
      </c>
      <c r="G1736" s="28" t="s">
        <v>8504</v>
      </c>
      <c r="H1736" s="29" t="s">
        <v>2748</v>
      </c>
      <c r="I1736" s="29" t="s">
        <v>8505</v>
      </c>
      <c r="J1736" s="38" t="s">
        <v>115</v>
      </c>
      <c r="K1736" s="28"/>
      <c r="L1736" s="27"/>
      <c r="M1736" s="27"/>
      <c r="N1736" s="29"/>
      <c r="O1736" s="56"/>
      <c r="P1736" s="31"/>
      <c r="Q1736" s="31"/>
      <c r="R1736" s="27"/>
      <c r="S1736" s="32">
        <v>36000000</v>
      </c>
      <c r="T1736" s="33"/>
      <c r="U1736" s="334">
        <v>45349</v>
      </c>
      <c r="V1736" s="334">
        <v>45714</v>
      </c>
      <c r="W1736" s="27" t="s">
        <v>17</v>
      </c>
      <c r="X1736" s="27"/>
      <c r="Y1736" s="34">
        <f t="shared" ca="1" si="89"/>
        <v>46290</v>
      </c>
      <c r="Z1736" s="35">
        <f t="shared" ca="1" si="92"/>
        <v>-576</v>
      </c>
      <c r="AA1736" s="27">
        <f t="shared" si="93"/>
        <v>2</v>
      </c>
      <c r="AB1736" s="27">
        <f t="shared" ref="AB1736:AB1799" si="94">YEAR(V1736)</f>
        <v>2025</v>
      </c>
      <c r="AC1736" s="28" t="s">
        <v>479</v>
      </c>
      <c r="AD1736" s="28">
        <v>2890</v>
      </c>
      <c r="AE1736" s="27">
        <v>4500022457</v>
      </c>
      <c r="AF1736" s="27" t="s">
        <v>339</v>
      </c>
      <c r="AG1736" s="29" t="s">
        <v>5691</v>
      </c>
      <c r="AH1736" s="28" t="s">
        <v>5647</v>
      </c>
      <c r="AI1736" s="27"/>
      <c r="AJ1736" s="27"/>
      <c r="AK1736" s="27"/>
      <c r="AL1736" s="27"/>
      <c r="AM1736" s="27"/>
      <c r="AN1736" s="27"/>
      <c r="AO1736" s="27"/>
      <c r="AP1736" s="27" t="s">
        <v>8506</v>
      </c>
      <c r="AQ1736" s="27"/>
      <c r="AR1736" s="504"/>
      <c r="AS1736" s="333" t="s">
        <v>115</v>
      </c>
      <c r="AT1736" s="160"/>
    </row>
    <row r="1737" spans="1:46" s="69" customFormat="1" ht="21.75" hidden="1" customHeight="1">
      <c r="A1737" s="331">
        <v>1736</v>
      </c>
      <c r="B1737" s="28" t="s">
        <v>116</v>
      </c>
      <c r="C1737" s="28" t="s">
        <v>596</v>
      </c>
      <c r="D1737" s="437" t="s">
        <v>8507</v>
      </c>
      <c r="E1737" s="361" t="str">
        <f t="shared" ca="1" si="91"/>
        <v>LOSS</v>
      </c>
      <c r="F1737" s="29" t="s">
        <v>8508</v>
      </c>
      <c r="G1737" s="28" t="s">
        <v>8507</v>
      </c>
      <c r="H1737" s="29" t="s">
        <v>2748</v>
      </c>
      <c r="I1737" s="29" t="s">
        <v>346</v>
      </c>
      <c r="J1737" s="28" t="s">
        <v>117</v>
      </c>
      <c r="K1737" s="28"/>
      <c r="L1737" s="27"/>
      <c r="M1737" s="27"/>
      <c r="N1737" s="29" t="s">
        <v>365</v>
      </c>
      <c r="O1737" s="56"/>
      <c r="P1737" s="31">
        <v>64800000</v>
      </c>
      <c r="Q1737" s="31"/>
      <c r="R1737" s="27"/>
      <c r="S1737" s="32">
        <v>5400000</v>
      </c>
      <c r="T1737" s="72"/>
      <c r="U1737" s="334">
        <v>45420</v>
      </c>
      <c r="V1737" s="334">
        <v>45784</v>
      </c>
      <c r="W1737" s="27" t="s">
        <v>250</v>
      </c>
      <c r="X1737" s="27"/>
      <c r="Y1737" s="34">
        <f t="shared" ca="1" si="89"/>
        <v>46290</v>
      </c>
      <c r="Z1737" s="35">
        <f t="shared" ca="1" si="92"/>
        <v>-506</v>
      </c>
      <c r="AA1737" s="27">
        <f t="shared" si="93"/>
        <v>5</v>
      </c>
      <c r="AB1737" s="27">
        <f t="shared" si="94"/>
        <v>2025</v>
      </c>
      <c r="AC1737" s="28">
        <v>4500020669</v>
      </c>
      <c r="AD1737" s="28" t="s">
        <v>4641</v>
      </c>
      <c r="AE1737" s="27">
        <v>4500022664</v>
      </c>
      <c r="AF1737" s="27" t="s">
        <v>339</v>
      </c>
      <c r="AG1737" s="29" t="s">
        <v>8509</v>
      </c>
      <c r="AH1737" s="38" t="s">
        <v>8510</v>
      </c>
      <c r="AI1737" s="27"/>
      <c r="AJ1737" s="27"/>
      <c r="AK1737" s="27"/>
      <c r="AL1737" s="27"/>
      <c r="AM1737" s="27"/>
      <c r="AN1737" s="27"/>
      <c r="AO1737" s="27"/>
      <c r="AP1737" s="27" t="s">
        <v>8511</v>
      </c>
      <c r="AQ1737" s="27"/>
      <c r="AR1737" s="504"/>
      <c r="AS1737" s="332" t="s">
        <v>8512</v>
      </c>
      <c r="AT1737" s="160"/>
    </row>
    <row r="1738" spans="1:46" s="69" customFormat="1" ht="21.75" hidden="1" customHeight="1">
      <c r="A1738" s="331">
        <v>1737</v>
      </c>
      <c r="B1738" s="28" t="s">
        <v>71</v>
      </c>
      <c r="C1738" s="28" t="s">
        <v>8513</v>
      </c>
      <c r="D1738" s="443" t="s">
        <v>3741</v>
      </c>
      <c r="E1738" s="361" t="str">
        <f t="shared" ca="1" si="91"/>
        <v>LOSS</v>
      </c>
      <c r="F1738" s="29"/>
      <c r="G1738" s="28" t="s">
        <v>8514</v>
      </c>
      <c r="H1738" s="29" t="s">
        <v>2748</v>
      </c>
      <c r="I1738" s="29" t="s">
        <v>242</v>
      </c>
      <c r="J1738" s="28" t="s">
        <v>81</v>
      </c>
      <c r="K1738" s="28"/>
      <c r="L1738" s="27"/>
      <c r="M1738" s="27" t="s">
        <v>7267</v>
      </c>
      <c r="N1738" s="29"/>
      <c r="O1738" s="56"/>
      <c r="P1738" s="31">
        <v>168000000</v>
      </c>
      <c r="Q1738" s="31"/>
      <c r="R1738" s="27"/>
      <c r="S1738" s="32">
        <v>14000000</v>
      </c>
      <c r="T1738" s="72"/>
      <c r="U1738" s="334">
        <v>45467</v>
      </c>
      <c r="V1738" s="334">
        <v>45831</v>
      </c>
      <c r="W1738" s="27" t="s">
        <v>250</v>
      </c>
      <c r="X1738" s="27"/>
      <c r="Y1738" s="34">
        <f t="shared" ca="1" si="89"/>
        <v>46290</v>
      </c>
      <c r="Z1738" s="35">
        <f t="shared" ca="1" si="92"/>
        <v>-459</v>
      </c>
      <c r="AA1738" s="27">
        <f t="shared" si="93"/>
        <v>6</v>
      </c>
      <c r="AB1738" s="27">
        <f t="shared" si="94"/>
        <v>2025</v>
      </c>
      <c r="AC1738" s="28">
        <v>4500020592</v>
      </c>
      <c r="AD1738" s="28" t="s">
        <v>8515</v>
      </c>
      <c r="AE1738" s="27">
        <v>4500022661</v>
      </c>
      <c r="AF1738" s="27" t="s">
        <v>339</v>
      </c>
      <c r="AG1738" s="29" t="s">
        <v>8516</v>
      </c>
      <c r="AH1738" s="38" t="s">
        <v>8517</v>
      </c>
      <c r="AI1738" s="27"/>
      <c r="AJ1738" s="27"/>
      <c r="AK1738" s="27"/>
      <c r="AL1738" s="27"/>
      <c r="AM1738" s="27"/>
      <c r="AN1738" s="27"/>
      <c r="AO1738" s="27"/>
      <c r="AP1738" s="27" t="s">
        <v>8518</v>
      </c>
      <c r="AQ1738" s="27"/>
      <c r="AR1738" s="504"/>
      <c r="AS1738" s="332" t="s">
        <v>8519</v>
      </c>
      <c r="AT1738" s="160"/>
    </row>
    <row r="1739" spans="1:46" s="69" customFormat="1" ht="21.75" hidden="1" customHeight="1">
      <c r="A1739" s="331">
        <v>1738</v>
      </c>
      <c r="B1739" s="28" t="s">
        <v>71</v>
      </c>
      <c r="C1739" s="28" t="s">
        <v>1363</v>
      </c>
      <c r="D1739" s="444" t="s">
        <v>3741</v>
      </c>
      <c r="E1739" s="361" t="str">
        <f t="shared" ca="1" si="91"/>
        <v>LOSS</v>
      </c>
      <c r="F1739" s="29" t="s">
        <v>8520</v>
      </c>
      <c r="G1739" s="28" t="s">
        <v>8521</v>
      </c>
      <c r="H1739" s="29" t="s">
        <v>2748</v>
      </c>
      <c r="I1739" s="29" t="s">
        <v>242</v>
      </c>
      <c r="J1739" s="73">
        <v>111202017685</v>
      </c>
      <c r="K1739" s="28"/>
      <c r="L1739" s="27"/>
      <c r="M1739" s="27" t="s">
        <v>365</v>
      </c>
      <c r="N1739" s="29" t="s">
        <v>8522</v>
      </c>
      <c r="O1739" s="56"/>
      <c r="P1739" s="31">
        <v>444000000</v>
      </c>
      <c r="Q1739" s="31"/>
      <c r="R1739" s="27"/>
      <c r="S1739" s="32">
        <v>37000000</v>
      </c>
      <c r="T1739" s="72"/>
      <c r="U1739" s="334">
        <v>45454</v>
      </c>
      <c r="V1739" s="334">
        <v>45818</v>
      </c>
      <c r="W1739" s="27" t="s">
        <v>245</v>
      </c>
      <c r="X1739" s="27"/>
      <c r="Y1739" s="34">
        <f t="shared" ref="Y1739:Y1802" ca="1" si="95">TODAY()</f>
        <v>46290</v>
      </c>
      <c r="Z1739" s="35">
        <f t="shared" ca="1" si="92"/>
        <v>-472</v>
      </c>
      <c r="AA1739" s="27">
        <f t="shared" si="93"/>
        <v>6</v>
      </c>
      <c r="AB1739" s="27">
        <f t="shared" si="94"/>
        <v>2025</v>
      </c>
      <c r="AC1739" s="28">
        <v>4500020748</v>
      </c>
      <c r="AD1739" s="28" t="s">
        <v>3607</v>
      </c>
      <c r="AE1739" s="27">
        <v>4500022663</v>
      </c>
      <c r="AF1739" s="27" t="s">
        <v>339</v>
      </c>
      <c r="AG1739" s="29" t="s">
        <v>8516</v>
      </c>
      <c r="AH1739" s="38" t="s">
        <v>8517</v>
      </c>
      <c r="AI1739" s="27"/>
      <c r="AJ1739" s="27"/>
      <c r="AK1739" s="27"/>
      <c r="AL1739" s="27"/>
      <c r="AM1739" s="27"/>
      <c r="AN1739" s="27"/>
      <c r="AO1739" s="27"/>
      <c r="AP1739" s="27" t="s">
        <v>3611</v>
      </c>
      <c r="AQ1739" s="27"/>
      <c r="AR1739" s="504"/>
      <c r="AS1739" s="332" t="s">
        <v>8519</v>
      </c>
      <c r="AT1739" s="160"/>
    </row>
    <row r="1740" spans="1:46" s="69" customFormat="1" ht="21.75" hidden="1" customHeight="1">
      <c r="A1740" s="331">
        <v>1739</v>
      </c>
      <c r="B1740" s="28" t="s">
        <v>208</v>
      </c>
      <c r="C1740" s="40" t="s">
        <v>7481</v>
      </c>
      <c r="D1740" s="438" t="s">
        <v>8523</v>
      </c>
      <c r="E1740" s="361" t="str">
        <f t="shared" ca="1" si="91"/>
        <v>ON TRACK</v>
      </c>
      <c r="F1740" s="29" t="s">
        <v>8524</v>
      </c>
      <c r="G1740" s="28" t="s">
        <v>8525</v>
      </c>
      <c r="H1740" s="29" t="s">
        <v>2748</v>
      </c>
      <c r="I1740" s="29" t="s">
        <v>346</v>
      </c>
      <c r="J1740" s="28" t="s">
        <v>209</v>
      </c>
      <c r="K1740" s="28"/>
      <c r="L1740" s="27"/>
      <c r="M1740" s="27"/>
      <c r="N1740" s="29" t="s">
        <v>7267</v>
      </c>
      <c r="O1740" s="56"/>
      <c r="P1740" s="31">
        <v>336720000</v>
      </c>
      <c r="Q1740" s="31"/>
      <c r="R1740" s="27"/>
      <c r="S1740" s="32">
        <v>336720000</v>
      </c>
      <c r="T1740" s="72"/>
      <c r="U1740" s="334">
        <v>45413</v>
      </c>
      <c r="V1740" s="334">
        <v>46507</v>
      </c>
      <c r="W1740" s="27" t="s">
        <v>17</v>
      </c>
      <c r="X1740" s="27"/>
      <c r="Y1740" s="34">
        <f t="shared" ca="1" si="95"/>
        <v>46290</v>
      </c>
      <c r="Z1740" s="35">
        <f t="shared" ca="1" si="92"/>
        <v>217</v>
      </c>
      <c r="AA1740" s="27">
        <f t="shared" si="93"/>
        <v>4</v>
      </c>
      <c r="AB1740" s="27">
        <f t="shared" si="94"/>
        <v>2027</v>
      </c>
      <c r="AC1740" s="28"/>
      <c r="AD1740" s="28"/>
      <c r="AE1740" s="27">
        <v>4500022591</v>
      </c>
      <c r="AF1740" s="27" t="s">
        <v>339</v>
      </c>
      <c r="AG1740" s="29" t="s">
        <v>7487</v>
      </c>
      <c r="AH1740" s="28" t="s">
        <v>8526</v>
      </c>
      <c r="AI1740" s="27"/>
      <c r="AJ1740" s="27"/>
      <c r="AK1740" s="27"/>
      <c r="AL1740" s="27"/>
      <c r="AM1740" s="27"/>
      <c r="AN1740" s="27"/>
      <c r="AO1740" s="27"/>
      <c r="AP1740" s="27">
        <v>163</v>
      </c>
      <c r="AQ1740" s="27"/>
      <c r="AR1740" s="504"/>
      <c r="AS1740" s="332" t="s">
        <v>8527</v>
      </c>
      <c r="AT1740" s="160"/>
    </row>
    <row r="1741" spans="1:46" s="69" customFormat="1" ht="21.75" hidden="1" customHeight="1">
      <c r="A1741" s="331">
        <v>1740</v>
      </c>
      <c r="B1741" s="28" t="s">
        <v>225</v>
      </c>
      <c r="C1741" s="28" t="s">
        <v>8447</v>
      </c>
      <c r="D1741" s="437" t="s">
        <v>369</v>
      </c>
      <c r="E1741" s="361" t="str">
        <f t="shared" ca="1" si="91"/>
        <v>LOSS</v>
      </c>
      <c r="F1741" s="29"/>
      <c r="G1741" s="28" t="s">
        <v>8448</v>
      </c>
      <c r="H1741" s="29" t="s">
        <v>2748</v>
      </c>
      <c r="I1741" s="29" t="s">
        <v>242</v>
      </c>
      <c r="J1741" s="28" t="s">
        <v>227</v>
      </c>
      <c r="K1741" s="28"/>
      <c r="L1741" s="27"/>
      <c r="M1741" s="27"/>
      <c r="N1741" s="29"/>
      <c r="O1741" s="56"/>
      <c r="P1741" s="31">
        <f>12*9913000</f>
        <v>118956000</v>
      </c>
      <c r="Q1741" s="31"/>
      <c r="R1741" s="27"/>
      <c r="S1741" s="32">
        <v>14400000</v>
      </c>
      <c r="T1741" s="72"/>
      <c r="U1741" s="334">
        <v>45314</v>
      </c>
      <c r="V1741" s="334">
        <v>45679</v>
      </c>
      <c r="W1741" s="27" t="s">
        <v>250</v>
      </c>
      <c r="X1741" s="27"/>
      <c r="Y1741" s="34">
        <f t="shared" ca="1" si="95"/>
        <v>46290</v>
      </c>
      <c r="Z1741" s="35">
        <f t="shared" ca="1" si="92"/>
        <v>-611</v>
      </c>
      <c r="AA1741" s="27">
        <f t="shared" si="93"/>
        <v>1</v>
      </c>
      <c r="AB1741" s="27">
        <f t="shared" si="94"/>
        <v>2025</v>
      </c>
      <c r="AC1741" s="28"/>
      <c r="AD1741" s="28" t="s">
        <v>8528</v>
      </c>
      <c r="AE1741" s="27">
        <v>4500023313</v>
      </c>
      <c r="AF1741" s="27" t="s">
        <v>333</v>
      </c>
      <c r="AG1741" s="29" t="s">
        <v>376</v>
      </c>
      <c r="AH1741" s="28"/>
      <c r="AI1741" s="27"/>
      <c r="AJ1741" s="27"/>
      <c r="AK1741" s="27"/>
      <c r="AL1741" s="27"/>
      <c r="AM1741" s="27"/>
      <c r="AN1741" s="27"/>
      <c r="AO1741" s="27"/>
      <c r="AP1741" s="27" t="s">
        <v>8529</v>
      </c>
      <c r="AQ1741" s="27"/>
      <c r="AR1741" s="504"/>
      <c r="AS1741" s="332"/>
      <c r="AT1741" s="160"/>
    </row>
    <row r="1742" spans="1:46" s="69" customFormat="1" ht="21.75" hidden="1" customHeight="1">
      <c r="A1742" s="331">
        <v>1741</v>
      </c>
      <c r="B1742" s="28" t="s">
        <v>225</v>
      </c>
      <c r="C1742" s="28" t="s">
        <v>527</v>
      </c>
      <c r="D1742" s="438" t="s">
        <v>8530</v>
      </c>
      <c r="E1742" s="361" t="str">
        <f t="shared" ca="1" si="91"/>
        <v>LOSS</v>
      </c>
      <c r="F1742" s="29"/>
      <c r="G1742" s="28" t="s">
        <v>8531</v>
      </c>
      <c r="H1742" s="29" t="s">
        <v>2748</v>
      </c>
      <c r="I1742" s="29" t="s">
        <v>242</v>
      </c>
      <c r="J1742" s="28" t="s">
        <v>423</v>
      </c>
      <c r="K1742" s="28"/>
      <c r="L1742" s="27"/>
      <c r="M1742" s="27"/>
      <c r="N1742" s="29" t="s">
        <v>8532</v>
      </c>
      <c r="O1742" s="56"/>
      <c r="P1742" s="31">
        <v>14400000</v>
      </c>
      <c r="Q1742" s="31"/>
      <c r="R1742" s="27"/>
      <c r="S1742" s="32">
        <v>14400000</v>
      </c>
      <c r="T1742" s="72"/>
      <c r="U1742" s="334">
        <v>44949</v>
      </c>
      <c r="V1742" s="334">
        <v>45679</v>
      </c>
      <c r="W1742" s="27" t="s">
        <v>250</v>
      </c>
      <c r="X1742" s="27"/>
      <c r="Y1742" s="34">
        <f t="shared" ca="1" si="95"/>
        <v>46290</v>
      </c>
      <c r="Z1742" s="35">
        <f t="shared" ca="1" si="92"/>
        <v>-611</v>
      </c>
      <c r="AA1742" s="27">
        <f t="shared" si="93"/>
        <v>1</v>
      </c>
      <c r="AB1742" s="27">
        <f t="shared" si="94"/>
        <v>2025</v>
      </c>
      <c r="AC1742" s="28" t="s">
        <v>479</v>
      </c>
      <c r="AD1742" s="28" t="s">
        <v>7949</v>
      </c>
      <c r="AE1742" s="27">
        <v>4500022590</v>
      </c>
      <c r="AF1742" s="27" t="s">
        <v>339</v>
      </c>
      <c r="AG1742" s="29" t="s">
        <v>376</v>
      </c>
      <c r="AH1742" s="28"/>
      <c r="AI1742" s="27"/>
      <c r="AJ1742" s="27"/>
      <c r="AK1742" s="27"/>
      <c r="AL1742" s="27"/>
      <c r="AM1742" s="27"/>
      <c r="AN1742" s="27"/>
      <c r="AO1742" s="27"/>
      <c r="AP1742" s="27" t="s">
        <v>8533</v>
      </c>
      <c r="AQ1742" s="27"/>
      <c r="AR1742" s="504"/>
      <c r="AS1742" s="332" t="s">
        <v>8534</v>
      </c>
      <c r="AT1742" s="160"/>
    </row>
    <row r="1743" spans="1:46" s="69" customFormat="1" ht="21.75" hidden="1" customHeight="1">
      <c r="A1743" s="331">
        <v>1742</v>
      </c>
      <c r="B1743" s="28" t="s">
        <v>61</v>
      </c>
      <c r="C1743" s="28" t="s">
        <v>2319</v>
      </c>
      <c r="D1743" s="437" t="s">
        <v>413</v>
      </c>
      <c r="E1743" s="361" t="str">
        <f t="shared" ca="1" si="91"/>
        <v>LOSS</v>
      </c>
      <c r="F1743" s="29" t="s">
        <v>8535</v>
      </c>
      <c r="G1743" s="28"/>
      <c r="H1743" s="29" t="s">
        <v>2748</v>
      </c>
      <c r="I1743" s="29" t="s">
        <v>242</v>
      </c>
      <c r="J1743" s="28" t="s">
        <v>8536</v>
      </c>
      <c r="K1743" s="28"/>
      <c r="L1743" s="27"/>
      <c r="M1743" s="27"/>
      <c r="N1743" s="29"/>
      <c r="O1743" s="56"/>
      <c r="P1743" s="31">
        <v>84000000</v>
      </c>
      <c r="Q1743" s="31"/>
      <c r="R1743" s="27"/>
      <c r="S1743" s="32">
        <v>6000000</v>
      </c>
      <c r="T1743" s="72"/>
      <c r="U1743" s="334">
        <v>44986</v>
      </c>
      <c r="V1743" s="334">
        <v>45716</v>
      </c>
      <c r="W1743" s="27" t="s">
        <v>250</v>
      </c>
      <c r="X1743" s="27"/>
      <c r="Y1743" s="34">
        <f t="shared" ca="1" si="95"/>
        <v>46290</v>
      </c>
      <c r="Z1743" s="35">
        <f t="shared" ca="1" si="92"/>
        <v>-574</v>
      </c>
      <c r="AA1743" s="27">
        <f t="shared" si="93"/>
        <v>2</v>
      </c>
      <c r="AB1743" s="27">
        <f t="shared" si="94"/>
        <v>2025</v>
      </c>
      <c r="AC1743" s="28" t="s">
        <v>8537</v>
      </c>
      <c r="AD1743" s="28" t="s">
        <v>8538</v>
      </c>
      <c r="AE1743" s="27">
        <v>4500023493</v>
      </c>
      <c r="AF1743" s="27" t="s">
        <v>333</v>
      </c>
      <c r="AG1743" s="29" t="s">
        <v>3150</v>
      </c>
      <c r="AH1743" s="28" t="s">
        <v>8399</v>
      </c>
      <c r="AI1743" s="27"/>
      <c r="AJ1743" s="27"/>
      <c r="AK1743" s="27" t="s">
        <v>3214</v>
      </c>
      <c r="AL1743" s="27" t="s">
        <v>3215</v>
      </c>
      <c r="AM1743" s="27" t="s">
        <v>3216</v>
      </c>
      <c r="AN1743" s="27" t="s">
        <v>3217</v>
      </c>
      <c r="AO1743" s="27"/>
      <c r="AP1743" s="27" t="s">
        <v>8539</v>
      </c>
      <c r="AQ1743" s="27"/>
      <c r="AR1743" s="504"/>
      <c r="AS1743" s="332"/>
      <c r="AT1743" s="160"/>
    </row>
    <row r="1744" spans="1:46" s="69" customFormat="1" ht="21.75" hidden="1" customHeight="1">
      <c r="A1744" s="331">
        <v>1743</v>
      </c>
      <c r="B1744" s="28" t="s">
        <v>61</v>
      </c>
      <c r="C1744" s="28" t="s">
        <v>1297</v>
      </c>
      <c r="D1744" s="438" t="s">
        <v>413</v>
      </c>
      <c r="E1744" s="361" t="str">
        <f t="shared" ca="1" si="91"/>
        <v>LOSS</v>
      </c>
      <c r="F1744" s="29"/>
      <c r="G1744" s="28" t="s">
        <v>8540</v>
      </c>
      <c r="H1744" s="29" t="s">
        <v>2748</v>
      </c>
      <c r="I1744" s="29" t="s">
        <v>242</v>
      </c>
      <c r="J1744" s="28" t="s">
        <v>1399</v>
      </c>
      <c r="K1744" s="28"/>
      <c r="L1744" s="27"/>
      <c r="M1744" s="27"/>
      <c r="N1744" s="29"/>
      <c r="O1744" s="56"/>
      <c r="P1744" s="31">
        <v>288000000</v>
      </c>
      <c r="Q1744" s="31"/>
      <c r="R1744" s="27"/>
      <c r="S1744" s="32">
        <v>6000000</v>
      </c>
      <c r="T1744" s="72"/>
      <c r="U1744" s="334">
        <v>45017</v>
      </c>
      <c r="V1744" s="334">
        <v>45747</v>
      </c>
      <c r="W1744" s="27" t="s">
        <v>250</v>
      </c>
      <c r="X1744" s="27"/>
      <c r="Y1744" s="34">
        <f t="shared" ca="1" si="95"/>
        <v>46290</v>
      </c>
      <c r="Z1744" s="35">
        <f t="shared" ca="1" si="92"/>
        <v>-543</v>
      </c>
      <c r="AA1744" s="27">
        <f t="shared" si="93"/>
        <v>3</v>
      </c>
      <c r="AB1744" s="27">
        <f t="shared" si="94"/>
        <v>2025</v>
      </c>
      <c r="AC1744" s="28" t="s">
        <v>8541</v>
      </c>
      <c r="AD1744" s="28" t="s">
        <v>8542</v>
      </c>
      <c r="AE1744" s="27">
        <v>4500023494</v>
      </c>
      <c r="AF1744" s="27" t="s">
        <v>333</v>
      </c>
      <c r="AG1744" s="29" t="s">
        <v>3150</v>
      </c>
      <c r="AH1744" s="28" t="s">
        <v>8399</v>
      </c>
      <c r="AI1744" s="27"/>
      <c r="AJ1744" s="27" t="s">
        <v>3285</v>
      </c>
      <c r="AK1744" s="27" t="s">
        <v>3286</v>
      </c>
      <c r="AL1744" s="27"/>
      <c r="AM1744" s="27" t="s">
        <v>3287</v>
      </c>
      <c r="AN1744" s="27" t="s">
        <v>3288</v>
      </c>
      <c r="AO1744" s="27"/>
      <c r="AP1744" s="27" t="s">
        <v>8543</v>
      </c>
      <c r="AQ1744" s="27"/>
      <c r="AR1744" s="504"/>
      <c r="AS1744" s="332"/>
      <c r="AT1744" s="160"/>
    </row>
    <row r="1745" spans="1:46" s="69" customFormat="1" ht="21.75" hidden="1" customHeight="1">
      <c r="A1745" s="331">
        <v>1744</v>
      </c>
      <c r="B1745" s="28" t="s">
        <v>61</v>
      </c>
      <c r="C1745" s="28" t="s">
        <v>8544</v>
      </c>
      <c r="D1745" s="437" t="s">
        <v>413</v>
      </c>
      <c r="E1745" s="361" t="str">
        <f t="shared" ca="1" si="91"/>
        <v>LOSS</v>
      </c>
      <c r="F1745" s="29"/>
      <c r="G1745" s="28" t="s">
        <v>8545</v>
      </c>
      <c r="H1745" s="29" t="s">
        <v>2748</v>
      </c>
      <c r="I1745" s="29" t="s">
        <v>242</v>
      </c>
      <c r="J1745" s="28" t="s">
        <v>68</v>
      </c>
      <c r="K1745" s="28"/>
      <c r="L1745" s="27"/>
      <c r="M1745" s="27"/>
      <c r="N1745" s="29"/>
      <c r="O1745" s="56"/>
      <c r="P1745" s="31">
        <v>10660000</v>
      </c>
      <c r="Q1745" s="31"/>
      <c r="R1745" s="27"/>
      <c r="S1745" s="32">
        <v>8000000</v>
      </c>
      <c r="T1745" s="72"/>
      <c r="U1745" s="334">
        <v>45411</v>
      </c>
      <c r="V1745" s="334">
        <v>45775</v>
      </c>
      <c r="W1745" s="27" t="s">
        <v>250</v>
      </c>
      <c r="X1745" s="27"/>
      <c r="Y1745" s="34">
        <f t="shared" ca="1" si="95"/>
        <v>46290</v>
      </c>
      <c r="Z1745" s="35">
        <f t="shared" ca="1" si="92"/>
        <v>-515</v>
      </c>
      <c r="AA1745" s="27">
        <f t="shared" si="93"/>
        <v>4</v>
      </c>
      <c r="AB1745" s="27">
        <f t="shared" si="94"/>
        <v>2025</v>
      </c>
      <c r="AC1745" s="28" t="s">
        <v>479</v>
      </c>
      <c r="AD1745" s="28" t="s">
        <v>8546</v>
      </c>
      <c r="AE1745" s="27">
        <v>4500022546</v>
      </c>
      <c r="AF1745" s="27" t="s">
        <v>339</v>
      </c>
      <c r="AG1745" s="29" t="s">
        <v>8547</v>
      </c>
      <c r="AH1745" s="28" t="s">
        <v>8399</v>
      </c>
      <c r="AI1745" s="27"/>
      <c r="AJ1745" s="27"/>
      <c r="AK1745" s="27"/>
      <c r="AL1745" s="27"/>
      <c r="AM1745" s="27"/>
      <c r="AN1745" s="27"/>
      <c r="AO1745" s="27"/>
      <c r="AP1745" s="27" t="s">
        <v>8548</v>
      </c>
      <c r="AQ1745" s="27"/>
      <c r="AR1745" s="504"/>
      <c r="AS1745" s="332" t="s">
        <v>8549</v>
      </c>
      <c r="AT1745" s="160"/>
    </row>
    <row r="1746" spans="1:46" s="69" customFormat="1" ht="21.75" hidden="1" customHeight="1">
      <c r="A1746" s="331">
        <v>1745</v>
      </c>
      <c r="B1746" s="28" t="s">
        <v>8550</v>
      </c>
      <c r="C1746" s="28" t="s">
        <v>5989</v>
      </c>
      <c r="D1746" s="438" t="s">
        <v>8551</v>
      </c>
      <c r="E1746" s="361" t="str">
        <f t="shared" ca="1" si="91"/>
        <v>LOSS</v>
      </c>
      <c r="F1746" s="29" t="s">
        <v>8552</v>
      </c>
      <c r="G1746" s="28" t="s">
        <v>8553</v>
      </c>
      <c r="H1746" s="29" t="s">
        <v>2748</v>
      </c>
      <c r="I1746" s="29" t="s">
        <v>346</v>
      </c>
      <c r="J1746" s="28" t="s">
        <v>8554</v>
      </c>
      <c r="K1746" s="28"/>
      <c r="L1746" s="27"/>
      <c r="M1746" s="27"/>
      <c r="N1746" s="29" t="s">
        <v>7267</v>
      </c>
      <c r="O1746" s="56"/>
      <c r="P1746" s="31">
        <v>1481082000</v>
      </c>
      <c r="Q1746" s="31"/>
      <c r="R1746" s="27"/>
      <c r="S1746" s="32">
        <v>24684700</v>
      </c>
      <c r="T1746" s="72"/>
      <c r="U1746" s="334">
        <v>43800</v>
      </c>
      <c r="V1746" s="334">
        <v>45626</v>
      </c>
      <c r="W1746" s="27" t="s">
        <v>250</v>
      </c>
      <c r="X1746" s="91"/>
      <c r="Y1746" s="34">
        <f t="shared" ca="1" si="95"/>
        <v>46290</v>
      </c>
      <c r="Z1746" s="35">
        <f t="shared" ca="1" si="92"/>
        <v>-664</v>
      </c>
      <c r="AA1746" s="27">
        <f t="shared" si="93"/>
        <v>11</v>
      </c>
      <c r="AB1746" s="27">
        <f t="shared" si="94"/>
        <v>2024</v>
      </c>
      <c r="AC1746" s="28"/>
      <c r="AD1746" s="28" t="s">
        <v>8555</v>
      </c>
      <c r="AE1746" s="27">
        <v>4500022670</v>
      </c>
      <c r="AF1746" s="27" t="s">
        <v>339</v>
      </c>
      <c r="AG1746" s="29" t="s">
        <v>8556</v>
      </c>
      <c r="AH1746" s="28" t="s">
        <v>8557</v>
      </c>
      <c r="AI1746" s="27"/>
      <c r="AJ1746" s="27"/>
      <c r="AK1746" s="27"/>
      <c r="AL1746" s="27"/>
      <c r="AM1746" s="27"/>
      <c r="AN1746" s="27"/>
      <c r="AO1746" s="27"/>
      <c r="AP1746" s="27" t="s">
        <v>8558</v>
      </c>
      <c r="AQ1746" s="27"/>
      <c r="AR1746" s="504"/>
      <c r="AS1746" s="332" t="s">
        <v>8559</v>
      </c>
      <c r="AT1746" s="160"/>
    </row>
    <row r="1747" spans="1:46" s="69" customFormat="1" ht="21.75" hidden="1" customHeight="1">
      <c r="A1747" s="331">
        <v>1746</v>
      </c>
      <c r="B1747" s="28" t="s">
        <v>116</v>
      </c>
      <c r="C1747" s="28" t="s">
        <v>1463</v>
      </c>
      <c r="D1747" s="437" t="s">
        <v>8507</v>
      </c>
      <c r="E1747" s="361" t="str">
        <f t="shared" ca="1" si="91"/>
        <v>LOSS</v>
      </c>
      <c r="F1747" s="29"/>
      <c r="G1747" s="28" t="s">
        <v>8560</v>
      </c>
      <c r="H1747" s="29" t="s">
        <v>2748</v>
      </c>
      <c r="I1747" s="29" t="s">
        <v>346</v>
      </c>
      <c r="J1747" s="28" t="s">
        <v>118</v>
      </c>
      <c r="K1747" s="28"/>
      <c r="L1747" s="27"/>
      <c r="M1747" s="27"/>
      <c r="N1747" s="29" t="s">
        <v>8561</v>
      </c>
      <c r="O1747" s="56"/>
      <c r="P1747" s="31">
        <v>69500000</v>
      </c>
      <c r="Q1747" s="31"/>
      <c r="R1747" s="27"/>
      <c r="S1747" s="32">
        <v>2500000</v>
      </c>
      <c r="T1747" s="72"/>
      <c r="U1747" s="334">
        <v>45396</v>
      </c>
      <c r="V1747" s="334">
        <v>45760</v>
      </c>
      <c r="W1747" s="27" t="s">
        <v>250</v>
      </c>
      <c r="X1747" s="27"/>
      <c r="Y1747" s="34">
        <f t="shared" ca="1" si="95"/>
        <v>46290</v>
      </c>
      <c r="Z1747" s="35">
        <f t="shared" ca="1" si="92"/>
        <v>-530</v>
      </c>
      <c r="AA1747" s="27">
        <f t="shared" si="93"/>
        <v>4</v>
      </c>
      <c r="AB1747" s="27">
        <f t="shared" si="94"/>
        <v>2025</v>
      </c>
      <c r="AC1747" s="28"/>
      <c r="AD1747" s="28" t="s">
        <v>4549</v>
      </c>
      <c r="AE1747" s="27">
        <v>4500022686</v>
      </c>
      <c r="AF1747" s="27" t="s">
        <v>339</v>
      </c>
      <c r="AG1747" s="29" t="s">
        <v>8509</v>
      </c>
      <c r="AH1747" s="38" t="s">
        <v>8510</v>
      </c>
      <c r="AI1747" s="27"/>
      <c r="AJ1747" s="27"/>
      <c r="AK1747" s="27"/>
      <c r="AL1747" s="27"/>
      <c r="AM1747" s="27"/>
      <c r="AN1747" s="27"/>
      <c r="AO1747" s="27"/>
      <c r="AP1747" s="27">
        <v>167</v>
      </c>
      <c r="AQ1747" s="27"/>
      <c r="AR1747" s="504"/>
      <c r="AS1747" s="332" t="s">
        <v>8562</v>
      </c>
      <c r="AT1747" s="160"/>
    </row>
    <row r="1748" spans="1:46" s="69" customFormat="1" ht="21.75" hidden="1" customHeight="1">
      <c r="A1748" s="331">
        <v>1747</v>
      </c>
      <c r="B1748" s="28" t="s">
        <v>51</v>
      </c>
      <c r="C1748" s="28" t="s">
        <v>8563</v>
      </c>
      <c r="D1748" s="438" t="s">
        <v>8564</v>
      </c>
      <c r="E1748" s="361" t="str">
        <f t="shared" ca="1" si="91"/>
        <v>LOSS</v>
      </c>
      <c r="F1748" s="29"/>
      <c r="G1748" s="28" t="s">
        <v>8565</v>
      </c>
      <c r="H1748" s="29" t="s">
        <v>2748</v>
      </c>
      <c r="I1748" s="29" t="s">
        <v>346</v>
      </c>
      <c r="J1748" s="28" t="s">
        <v>52</v>
      </c>
      <c r="K1748" s="28"/>
      <c r="L1748" s="27"/>
      <c r="M1748" s="27"/>
      <c r="N1748" s="29" t="s">
        <v>8566</v>
      </c>
      <c r="O1748" s="56"/>
      <c r="P1748" s="31">
        <v>51500000</v>
      </c>
      <c r="Q1748" s="31"/>
      <c r="R1748" s="27"/>
      <c r="S1748" s="32">
        <v>4000000</v>
      </c>
      <c r="T1748" s="72"/>
      <c r="U1748" s="334">
        <v>45371</v>
      </c>
      <c r="V1748" s="334">
        <v>45735</v>
      </c>
      <c r="W1748" s="27" t="s">
        <v>245</v>
      </c>
      <c r="X1748" s="27"/>
      <c r="Y1748" s="34">
        <f t="shared" ca="1" si="95"/>
        <v>46290</v>
      </c>
      <c r="Z1748" s="35">
        <f t="shared" ca="1" si="92"/>
        <v>-555</v>
      </c>
      <c r="AA1748" s="27">
        <f t="shared" si="93"/>
        <v>3</v>
      </c>
      <c r="AB1748" s="27">
        <f t="shared" si="94"/>
        <v>2025</v>
      </c>
      <c r="AC1748" s="28"/>
      <c r="AD1748" s="29" t="s">
        <v>8567</v>
      </c>
      <c r="AE1748" s="27">
        <v>4500022543</v>
      </c>
      <c r="AF1748" s="27" t="s">
        <v>339</v>
      </c>
      <c r="AG1748" s="29"/>
      <c r="AH1748" s="28"/>
      <c r="AI1748" s="27"/>
      <c r="AJ1748" s="27"/>
      <c r="AK1748" s="27"/>
      <c r="AL1748" s="27"/>
      <c r="AM1748" s="27"/>
      <c r="AN1748" s="27"/>
      <c r="AO1748" s="27"/>
      <c r="AP1748" s="27" t="s">
        <v>8568</v>
      </c>
      <c r="AQ1748" s="27"/>
      <c r="AR1748" s="504"/>
      <c r="AS1748" s="332" t="s">
        <v>8569</v>
      </c>
      <c r="AT1748" s="160"/>
    </row>
    <row r="1749" spans="1:46" s="69" customFormat="1" ht="21.75" hidden="1" customHeight="1">
      <c r="A1749" s="331">
        <v>1748</v>
      </c>
      <c r="B1749" s="28" t="s">
        <v>8570</v>
      </c>
      <c r="C1749" s="159" t="s">
        <v>3973</v>
      </c>
      <c r="D1749" s="434" t="s">
        <v>1010</v>
      </c>
      <c r="E1749" s="361" t="str">
        <f t="shared" ca="1" si="91"/>
        <v>LOSS</v>
      </c>
      <c r="F1749" s="29" t="s">
        <v>8571</v>
      </c>
      <c r="G1749" s="28"/>
      <c r="H1749" s="29" t="s">
        <v>2748</v>
      </c>
      <c r="I1749" s="29" t="s">
        <v>346</v>
      </c>
      <c r="J1749" s="28" t="s">
        <v>8572</v>
      </c>
      <c r="K1749" s="28"/>
      <c r="L1749" s="27"/>
      <c r="M1749" s="27"/>
      <c r="N1749" s="29" t="s">
        <v>6788</v>
      </c>
      <c r="O1749" s="56"/>
      <c r="P1749" s="31">
        <v>318000000</v>
      </c>
      <c r="Q1749" s="31"/>
      <c r="R1749" s="27"/>
      <c r="S1749" s="32">
        <v>26500000</v>
      </c>
      <c r="T1749" s="74"/>
      <c r="U1749" s="337">
        <v>45292</v>
      </c>
      <c r="V1749" s="334">
        <v>45657</v>
      </c>
      <c r="W1749" s="27" t="s">
        <v>250</v>
      </c>
      <c r="X1749" s="27"/>
      <c r="Y1749" s="34">
        <f t="shared" ca="1" si="95"/>
        <v>46290</v>
      </c>
      <c r="Z1749" s="35">
        <f t="shared" ca="1" si="92"/>
        <v>-633</v>
      </c>
      <c r="AA1749" s="27">
        <f t="shared" si="93"/>
        <v>12</v>
      </c>
      <c r="AB1749" s="27">
        <f t="shared" si="94"/>
        <v>2024</v>
      </c>
      <c r="AC1749" s="28">
        <v>4500020408</v>
      </c>
      <c r="AD1749" s="28" t="s">
        <v>8573</v>
      </c>
      <c r="AE1749" s="27">
        <v>4500022522</v>
      </c>
      <c r="AF1749" s="27" t="s">
        <v>339</v>
      </c>
      <c r="AG1749" s="29"/>
      <c r="AH1749" s="28"/>
      <c r="AI1749" s="27"/>
      <c r="AJ1749" s="27"/>
      <c r="AK1749" s="27"/>
      <c r="AL1749" s="27"/>
      <c r="AM1749" s="27"/>
      <c r="AN1749" s="27"/>
      <c r="AO1749" s="27"/>
      <c r="AP1749" s="27" t="s">
        <v>8574</v>
      </c>
      <c r="AQ1749" s="27"/>
      <c r="AR1749" s="504"/>
      <c r="AS1749" s="332" t="s">
        <v>8575</v>
      </c>
      <c r="AT1749" s="160"/>
    </row>
    <row r="1750" spans="1:46" s="69" customFormat="1" ht="21.75" hidden="1" customHeight="1">
      <c r="A1750" s="331">
        <v>1749</v>
      </c>
      <c r="B1750" s="28" t="s">
        <v>44</v>
      </c>
      <c r="C1750" s="28"/>
      <c r="D1750" s="438" t="s">
        <v>442</v>
      </c>
      <c r="E1750" s="361" t="str">
        <f t="shared" ca="1" si="91"/>
        <v>LOSS</v>
      </c>
      <c r="F1750" s="29" t="s">
        <v>2927</v>
      </c>
      <c r="G1750" s="28"/>
      <c r="H1750" s="29" t="s">
        <v>2748</v>
      </c>
      <c r="I1750" s="29" t="s">
        <v>346</v>
      </c>
      <c r="J1750" s="28"/>
      <c r="K1750" s="28"/>
      <c r="L1750" s="27"/>
      <c r="M1750" s="27"/>
      <c r="N1750" s="29" t="s">
        <v>7267</v>
      </c>
      <c r="O1750" s="56"/>
      <c r="P1750" s="31">
        <v>468000000</v>
      </c>
      <c r="Q1750" s="31"/>
      <c r="R1750" s="27"/>
      <c r="S1750" s="32">
        <v>12000000</v>
      </c>
      <c r="T1750" s="72"/>
      <c r="U1750" s="334">
        <v>45427</v>
      </c>
      <c r="V1750" s="334">
        <v>45791</v>
      </c>
      <c r="W1750" s="27" t="s">
        <v>250</v>
      </c>
      <c r="X1750" s="27"/>
      <c r="Y1750" s="34">
        <f t="shared" ca="1" si="95"/>
        <v>46290</v>
      </c>
      <c r="Z1750" s="35">
        <f t="shared" ca="1" si="92"/>
        <v>-499</v>
      </c>
      <c r="AA1750" s="27">
        <f t="shared" si="93"/>
        <v>5</v>
      </c>
      <c r="AB1750" s="27">
        <f t="shared" si="94"/>
        <v>2025</v>
      </c>
      <c r="AC1750" s="28">
        <v>4500020426</v>
      </c>
      <c r="AD1750" s="28" t="s">
        <v>2964</v>
      </c>
      <c r="AE1750" s="27">
        <v>4500022601</v>
      </c>
      <c r="AF1750" s="27" t="s">
        <v>339</v>
      </c>
      <c r="AG1750" s="29" t="s">
        <v>8576</v>
      </c>
      <c r="AH1750" s="28" t="s">
        <v>8577</v>
      </c>
      <c r="AI1750" s="27"/>
      <c r="AJ1750" s="27"/>
      <c r="AK1750" s="27"/>
      <c r="AL1750" s="27"/>
      <c r="AM1750" s="27"/>
      <c r="AN1750" s="27"/>
      <c r="AO1750" s="27"/>
      <c r="AP1750" s="27" t="s">
        <v>8578</v>
      </c>
      <c r="AQ1750" s="27"/>
      <c r="AR1750" s="504"/>
      <c r="AS1750" s="332" t="s">
        <v>8579</v>
      </c>
      <c r="AT1750" s="160"/>
    </row>
    <row r="1751" spans="1:46" s="69" customFormat="1" ht="21.75" hidden="1" customHeight="1">
      <c r="A1751" s="331">
        <v>1750</v>
      </c>
      <c r="B1751" s="28" t="s">
        <v>179</v>
      </c>
      <c r="C1751" s="28"/>
      <c r="D1751" s="437" t="s">
        <v>862</v>
      </c>
      <c r="E1751" s="361" t="str">
        <f t="shared" ca="1" si="91"/>
        <v>LOSS</v>
      </c>
      <c r="F1751" s="29"/>
      <c r="G1751" s="28"/>
      <c r="H1751" s="29" t="s">
        <v>2748</v>
      </c>
      <c r="I1751" s="29" t="s">
        <v>346</v>
      </c>
      <c r="J1751" s="28"/>
      <c r="K1751" s="28"/>
      <c r="L1751" s="27"/>
      <c r="M1751" s="27"/>
      <c r="N1751" s="29" t="s">
        <v>8580</v>
      </c>
      <c r="O1751" s="56"/>
      <c r="P1751" s="31"/>
      <c r="Q1751" s="31"/>
      <c r="R1751" s="27"/>
      <c r="S1751" s="32">
        <v>1391000000</v>
      </c>
      <c r="T1751" s="72"/>
      <c r="U1751" s="334">
        <v>45323</v>
      </c>
      <c r="V1751" s="334">
        <v>45688</v>
      </c>
      <c r="W1751" s="27" t="s">
        <v>250</v>
      </c>
      <c r="X1751" s="27"/>
      <c r="Y1751" s="34">
        <f t="shared" ca="1" si="95"/>
        <v>46290</v>
      </c>
      <c r="Z1751" s="35">
        <f t="shared" ca="1" si="92"/>
        <v>-602</v>
      </c>
      <c r="AA1751" s="27">
        <f t="shared" si="93"/>
        <v>1</v>
      </c>
      <c r="AB1751" s="27">
        <f t="shared" si="94"/>
        <v>2025</v>
      </c>
      <c r="AC1751" s="28"/>
      <c r="AD1751" s="28"/>
      <c r="AE1751" s="27">
        <v>4500019940</v>
      </c>
      <c r="AF1751" s="27" t="s">
        <v>339</v>
      </c>
      <c r="AG1751" s="29" t="s">
        <v>381</v>
      </c>
      <c r="AH1751" s="38" t="s">
        <v>8581</v>
      </c>
      <c r="AI1751" s="27"/>
      <c r="AJ1751" s="27"/>
      <c r="AK1751" s="27"/>
      <c r="AL1751" s="27"/>
      <c r="AM1751" s="27"/>
      <c r="AN1751" s="27"/>
      <c r="AO1751" s="27"/>
      <c r="AP1751" s="27">
        <v>147</v>
      </c>
      <c r="AQ1751" s="27"/>
      <c r="AR1751" s="504"/>
      <c r="AS1751" s="332" t="s">
        <v>8582</v>
      </c>
      <c r="AT1751" s="160"/>
    </row>
    <row r="1752" spans="1:46" s="69" customFormat="1" ht="21.75" hidden="1" customHeight="1">
      <c r="A1752" s="331">
        <v>1751</v>
      </c>
      <c r="B1752" s="75" t="s">
        <v>8583</v>
      </c>
      <c r="C1752" s="75" t="s">
        <v>8584</v>
      </c>
      <c r="D1752" s="447" t="s">
        <v>8585</v>
      </c>
      <c r="E1752" s="361" t="str">
        <f t="shared" ca="1" si="91"/>
        <v>LOSS</v>
      </c>
      <c r="F1752" s="76" t="s">
        <v>8586</v>
      </c>
      <c r="G1752" s="75" t="s">
        <v>8587</v>
      </c>
      <c r="H1752" s="29" t="s">
        <v>8588</v>
      </c>
      <c r="I1752" s="29" t="s">
        <v>511</v>
      </c>
      <c r="J1752" s="28" t="s">
        <v>8589</v>
      </c>
      <c r="K1752" s="29"/>
      <c r="L1752" s="27"/>
      <c r="M1752" s="76" t="s">
        <v>365</v>
      </c>
      <c r="N1752" s="29"/>
      <c r="O1752" s="56"/>
      <c r="P1752" s="31">
        <v>48000000</v>
      </c>
      <c r="Q1752" s="31"/>
      <c r="R1752" s="27"/>
      <c r="S1752" s="32"/>
      <c r="T1752" s="77">
        <v>0.2</v>
      </c>
      <c r="U1752" s="338">
        <v>44600</v>
      </c>
      <c r="V1752" s="334">
        <v>45695</v>
      </c>
      <c r="W1752" s="27" t="s">
        <v>250</v>
      </c>
      <c r="X1752" s="27"/>
      <c r="Y1752" s="34">
        <f t="shared" ca="1" si="95"/>
        <v>46290</v>
      </c>
      <c r="Z1752" s="35">
        <f t="shared" ca="1" si="92"/>
        <v>-595</v>
      </c>
      <c r="AA1752" s="27">
        <f t="shared" si="93"/>
        <v>2</v>
      </c>
      <c r="AB1752" s="27">
        <f t="shared" si="94"/>
        <v>2025</v>
      </c>
      <c r="AC1752" s="28"/>
      <c r="AD1752" s="28"/>
      <c r="AE1752" s="27"/>
      <c r="AF1752" s="27" t="s">
        <v>356</v>
      </c>
      <c r="AG1752" s="29" t="s">
        <v>8590</v>
      </c>
      <c r="AH1752" s="36" t="s">
        <v>8591</v>
      </c>
      <c r="AI1752" s="27"/>
      <c r="AJ1752" s="27"/>
      <c r="AK1752" s="27"/>
      <c r="AL1752" s="27"/>
      <c r="AM1752" s="27"/>
      <c r="AN1752" s="27"/>
      <c r="AO1752" s="27"/>
      <c r="AP1752" s="27"/>
      <c r="AQ1752" s="27"/>
      <c r="AR1752" s="504"/>
      <c r="AS1752" s="332"/>
      <c r="AT1752" s="160"/>
    </row>
    <row r="1753" spans="1:46" s="69" customFormat="1" ht="21.75" hidden="1" customHeight="1">
      <c r="A1753" s="331">
        <v>1752</v>
      </c>
      <c r="B1753" s="28" t="s">
        <v>215</v>
      </c>
      <c r="C1753" s="75" t="s">
        <v>670</v>
      </c>
      <c r="D1753" s="437" t="s">
        <v>7760</v>
      </c>
      <c r="E1753" s="361" t="str">
        <f t="shared" ca="1" si="91"/>
        <v>LOSS</v>
      </c>
      <c r="F1753" s="81" t="s">
        <v>8592</v>
      </c>
      <c r="G1753" s="28" t="s">
        <v>8593</v>
      </c>
      <c r="H1753" s="29" t="s">
        <v>2748</v>
      </c>
      <c r="I1753" s="29" t="s">
        <v>242</v>
      </c>
      <c r="J1753" s="28" t="s">
        <v>8594</v>
      </c>
      <c r="K1753" s="28"/>
      <c r="L1753" s="27"/>
      <c r="M1753" s="76"/>
      <c r="N1753" s="29"/>
      <c r="O1753" s="370">
        <v>2500000</v>
      </c>
      <c r="P1753" s="31">
        <f>29992000*12</f>
        <v>359904000</v>
      </c>
      <c r="Q1753" s="31"/>
      <c r="R1753" s="387">
        <v>2500000</v>
      </c>
      <c r="S1753" s="32">
        <f>1000000*12</f>
        <v>12000000</v>
      </c>
      <c r="T1753" s="168"/>
      <c r="U1753" s="334">
        <v>45492</v>
      </c>
      <c r="V1753" s="334">
        <v>45856</v>
      </c>
      <c r="W1753" s="27" t="s">
        <v>250</v>
      </c>
      <c r="X1753" s="27"/>
      <c r="Y1753" s="34">
        <f t="shared" ca="1" si="95"/>
        <v>46290</v>
      </c>
      <c r="Z1753" s="35">
        <f t="shared" ca="1" si="92"/>
        <v>-434</v>
      </c>
      <c r="AA1753" s="27">
        <f t="shared" si="93"/>
        <v>7</v>
      </c>
      <c r="AB1753" s="27">
        <f t="shared" si="94"/>
        <v>2025</v>
      </c>
      <c r="AC1753" s="28" t="s">
        <v>479</v>
      </c>
      <c r="AD1753" s="28" t="s">
        <v>8595</v>
      </c>
      <c r="AE1753" s="27">
        <v>4500023380</v>
      </c>
      <c r="AF1753" s="27" t="s">
        <v>333</v>
      </c>
      <c r="AG1753" s="29" t="s">
        <v>7763</v>
      </c>
      <c r="AH1753" s="28" t="s">
        <v>7764</v>
      </c>
      <c r="AI1753" s="27"/>
      <c r="AJ1753" s="27"/>
      <c r="AK1753" s="27"/>
      <c r="AL1753" s="27"/>
      <c r="AM1753" s="27"/>
      <c r="AN1753" s="27"/>
      <c r="AO1753" s="27"/>
      <c r="AP1753" s="27" t="s">
        <v>8596</v>
      </c>
      <c r="AQ1753" s="27"/>
      <c r="AR1753" s="504"/>
      <c r="AS1753" s="332"/>
      <c r="AT1753" s="160"/>
    </row>
    <row r="1754" spans="1:46" s="69" customFormat="1" ht="21.75" hidden="1" customHeight="1">
      <c r="A1754" s="331">
        <v>1753</v>
      </c>
      <c r="B1754" s="75" t="s">
        <v>2500</v>
      </c>
      <c r="C1754" s="75" t="s">
        <v>1192</v>
      </c>
      <c r="D1754" s="447" t="s">
        <v>8597</v>
      </c>
      <c r="E1754" s="361" t="str">
        <f t="shared" ca="1" si="91"/>
        <v>LOSS</v>
      </c>
      <c r="F1754" s="78" t="s">
        <v>115</v>
      </c>
      <c r="G1754" s="75" t="s">
        <v>8598</v>
      </c>
      <c r="H1754" s="29" t="s">
        <v>8588</v>
      </c>
      <c r="I1754" s="29" t="s">
        <v>511</v>
      </c>
      <c r="J1754" s="28"/>
      <c r="K1754" s="36" t="s">
        <v>8599</v>
      </c>
      <c r="L1754" s="27"/>
      <c r="M1754" s="76" t="s">
        <v>365</v>
      </c>
      <c r="N1754" s="29"/>
      <c r="O1754" s="56"/>
      <c r="P1754" s="31">
        <v>114000000</v>
      </c>
      <c r="Q1754" s="31"/>
      <c r="R1754" s="27"/>
      <c r="S1754" s="32"/>
      <c r="T1754" s="79">
        <v>0.15</v>
      </c>
      <c r="U1754" s="337">
        <v>45047</v>
      </c>
      <c r="V1754" s="334">
        <v>45777</v>
      </c>
      <c r="W1754" s="27" t="s">
        <v>250</v>
      </c>
      <c r="X1754" s="27"/>
      <c r="Y1754" s="34">
        <f t="shared" ca="1" si="95"/>
        <v>46290</v>
      </c>
      <c r="Z1754" s="35">
        <f t="shared" ca="1" si="92"/>
        <v>-513</v>
      </c>
      <c r="AA1754" s="27">
        <f t="shared" si="93"/>
        <v>4</v>
      </c>
      <c r="AB1754" s="27">
        <f t="shared" si="94"/>
        <v>2025</v>
      </c>
      <c r="AC1754" s="28"/>
      <c r="AD1754" s="28"/>
      <c r="AE1754" s="27"/>
      <c r="AF1754" s="27" t="s">
        <v>356</v>
      </c>
      <c r="AG1754" s="29" t="s">
        <v>8600</v>
      </c>
      <c r="AH1754" s="36" t="s">
        <v>8601</v>
      </c>
      <c r="AI1754" s="27"/>
      <c r="AJ1754" s="27"/>
      <c r="AK1754" s="27"/>
      <c r="AL1754" s="27"/>
      <c r="AM1754" s="27"/>
      <c r="AN1754" s="27"/>
      <c r="AO1754" s="27"/>
      <c r="AP1754" s="27"/>
      <c r="AQ1754" s="27"/>
      <c r="AR1754" s="504"/>
      <c r="AS1754" s="332"/>
      <c r="AT1754" s="160"/>
    </row>
    <row r="1755" spans="1:46" s="69" customFormat="1" ht="21.75" hidden="1" customHeight="1">
      <c r="A1755" s="331">
        <v>1754</v>
      </c>
      <c r="B1755" s="75" t="s">
        <v>2500</v>
      </c>
      <c r="C1755" s="75" t="s">
        <v>8602</v>
      </c>
      <c r="D1755" s="447" t="s">
        <v>8597</v>
      </c>
      <c r="E1755" s="361" t="str">
        <f t="shared" ca="1" si="91"/>
        <v>LOSS</v>
      </c>
      <c r="F1755" s="78" t="s">
        <v>115</v>
      </c>
      <c r="G1755" s="75" t="s">
        <v>8603</v>
      </c>
      <c r="H1755" s="29" t="s">
        <v>8588</v>
      </c>
      <c r="I1755" s="29" t="s">
        <v>511</v>
      </c>
      <c r="J1755" s="28"/>
      <c r="K1755" s="36" t="s">
        <v>8604</v>
      </c>
      <c r="L1755" s="27"/>
      <c r="M1755" s="76" t="s">
        <v>8605</v>
      </c>
      <c r="N1755" s="29"/>
      <c r="O1755" s="56"/>
      <c r="P1755" s="31">
        <v>60000000</v>
      </c>
      <c r="Q1755" s="31"/>
      <c r="R1755" s="27"/>
      <c r="S1755" s="32"/>
      <c r="T1755" s="79">
        <v>0.15</v>
      </c>
      <c r="U1755" s="337">
        <v>45047</v>
      </c>
      <c r="V1755" s="334">
        <v>45777</v>
      </c>
      <c r="W1755" s="27" t="s">
        <v>250</v>
      </c>
      <c r="X1755" s="27"/>
      <c r="Y1755" s="34">
        <f t="shared" ca="1" si="95"/>
        <v>46290</v>
      </c>
      <c r="Z1755" s="35">
        <f t="shared" ca="1" si="92"/>
        <v>-513</v>
      </c>
      <c r="AA1755" s="27">
        <f t="shared" si="93"/>
        <v>4</v>
      </c>
      <c r="AB1755" s="27">
        <f t="shared" si="94"/>
        <v>2025</v>
      </c>
      <c r="AC1755" s="28"/>
      <c r="AD1755" s="28"/>
      <c r="AE1755" s="27"/>
      <c r="AF1755" s="27" t="s">
        <v>356</v>
      </c>
      <c r="AG1755" s="29"/>
      <c r="AH1755" s="29"/>
      <c r="AI1755" s="27"/>
      <c r="AJ1755" s="27"/>
      <c r="AK1755" s="27"/>
      <c r="AL1755" s="27"/>
      <c r="AM1755" s="27"/>
      <c r="AN1755" s="27"/>
      <c r="AO1755" s="27"/>
      <c r="AP1755" s="27"/>
      <c r="AQ1755" s="27"/>
      <c r="AR1755" s="504"/>
      <c r="AS1755" s="332"/>
      <c r="AT1755" s="160"/>
    </row>
    <row r="1756" spans="1:46" s="69" customFormat="1" ht="21.75" hidden="1" customHeight="1">
      <c r="A1756" s="331">
        <v>1755</v>
      </c>
      <c r="B1756" s="75" t="s">
        <v>2500</v>
      </c>
      <c r="C1756" s="75" t="s">
        <v>8606</v>
      </c>
      <c r="D1756" s="447" t="s">
        <v>8597</v>
      </c>
      <c r="E1756" s="361" t="str">
        <f t="shared" ca="1" si="91"/>
        <v>LOSS</v>
      </c>
      <c r="F1756" s="75" t="s">
        <v>8607</v>
      </c>
      <c r="G1756" s="75" t="s">
        <v>8608</v>
      </c>
      <c r="H1756" s="29" t="s">
        <v>8588</v>
      </c>
      <c r="I1756" s="29" t="s">
        <v>511</v>
      </c>
      <c r="J1756" s="28"/>
      <c r="K1756" s="36" t="s">
        <v>8609</v>
      </c>
      <c r="L1756" s="27"/>
      <c r="M1756" s="76" t="s">
        <v>365</v>
      </c>
      <c r="N1756" s="29"/>
      <c r="O1756" s="56"/>
      <c r="P1756" s="31">
        <v>90600000</v>
      </c>
      <c r="Q1756" s="31"/>
      <c r="R1756" s="27"/>
      <c r="S1756" s="32"/>
      <c r="T1756" s="79">
        <v>0.15</v>
      </c>
      <c r="U1756" s="337">
        <v>45047</v>
      </c>
      <c r="V1756" s="334">
        <v>45777</v>
      </c>
      <c r="W1756" s="27" t="s">
        <v>250</v>
      </c>
      <c r="X1756" s="27"/>
      <c r="Y1756" s="34">
        <f t="shared" ca="1" si="95"/>
        <v>46290</v>
      </c>
      <c r="Z1756" s="35">
        <f t="shared" ca="1" si="92"/>
        <v>-513</v>
      </c>
      <c r="AA1756" s="27">
        <f t="shared" si="93"/>
        <v>4</v>
      </c>
      <c r="AB1756" s="27">
        <f t="shared" si="94"/>
        <v>2025</v>
      </c>
      <c r="AC1756" s="28"/>
      <c r="AD1756" s="28"/>
      <c r="AE1756" s="27"/>
      <c r="AF1756" s="27" t="s">
        <v>356</v>
      </c>
      <c r="AG1756" s="29"/>
      <c r="AH1756" s="29"/>
      <c r="AI1756" s="27"/>
      <c r="AJ1756" s="27"/>
      <c r="AK1756" s="27"/>
      <c r="AL1756" s="27"/>
      <c r="AM1756" s="27"/>
      <c r="AN1756" s="27"/>
      <c r="AO1756" s="27"/>
      <c r="AP1756" s="27"/>
      <c r="AQ1756" s="27"/>
      <c r="AR1756" s="504"/>
      <c r="AS1756" s="332"/>
      <c r="AT1756" s="160"/>
    </row>
    <row r="1757" spans="1:46" s="69" customFormat="1" ht="21.75" hidden="1" customHeight="1">
      <c r="A1757" s="331">
        <v>1756</v>
      </c>
      <c r="B1757" s="75" t="s">
        <v>2500</v>
      </c>
      <c r="C1757" s="75" t="s">
        <v>8610</v>
      </c>
      <c r="D1757" s="447" t="s">
        <v>8597</v>
      </c>
      <c r="E1757" s="361" t="str">
        <f t="shared" ca="1" si="91"/>
        <v>LOSS</v>
      </c>
      <c r="F1757" s="75" t="s">
        <v>8611</v>
      </c>
      <c r="G1757" s="75" t="s">
        <v>8612</v>
      </c>
      <c r="H1757" s="29" t="s">
        <v>8588</v>
      </c>
      <c r="I1757" s="29" t="s">
        <v>511</v>
      </c>
      <c r="J1757" s="28"/>
      <c r="K1757" s="29"/>
      <c r="L1757" s="27"/>
      <c r="M1757" s="76" t="s">
        <v>365</v>
      </c>
      <c r="N1757" s="29"/>
      <c r="O1757" s="56"/>
      <c r="P1757" s="31">
        <v>75900000</v>
      </c>
      <c r="Q1757" s="31"/>
      <c r="R1757" s="27"/>
      <c r="S1757" s="32"/>
      <c r="T1757" s="79">
        <v>0.15</v>
      </c>
      <c r="U1757" s="337">
        <v>45047</v>
      </c>
      <c r="V1757" s="334">
        <v>45777</v>
      </c>
      <c r="W1757" s="27" t="s">
        <v>250</v>
      </c>
      <c r="X1757" s="27"/>
      <c r="Y1757" s="34">
        <f t="shared" ca="1" si="95"/>
        <v>46290</v>
      </c>
      <c r="Z1757" s="35">
        <f t="shared" ca="1" si="92"/>
        <v>-513</v>
      </c>
      <c r="AA1757" s="27">
        <f t="shared" si="93"/>
        <v>4</v>
      </c>
      <c r="AB1757" s="27">
        <f t="shared" si="94"/>
        <v>2025</v>
      </c>
      <c r="AC1757" s="28"/>
      <c r="AD1757" s="28"/>
      <c r="AE1757" s="27"/>
      <c r="AF1757" s="27" t="s">
        <v>356</v>
      </c>
      <c r="AG1757" s="29"/>
      <c r="AH1757" s="29"/>
      <c r="AI1757" s="27"/>
      <c r="AJ1757" s="27"/>
      <c r="AK1757" s="27"/>
      <c r="AL1757" s="27"/>
      <c r="AM1757" s="27"/>
      <c r="AN1757" s="27"/>
      <c r="AO1757" s="27"/>
      <c r="AP1757" s="27"/>
      <c r="AQ1757" s="27"/>
      <c r="AR1757" s="504"/>
      <c r="AS1757" s="332"/>
      <c r="AT1757" s="160"/>
    </row>
    <row r="1758" spans="1:46" s="69" customFormat="1" ht="21.75" hidden="1" customHeight="1">
      <c r="A1758" s="331">
        <v>1757</v>
      </c>
      <c r="B1758" s="75" t="s">
        <v>2500</v>
      </c>
      <c r="C1758" s="75" t="s">
        <v>8613</v>
      </c>
      <c r="D1758" s="447" t="s">
        <v>8597</v>
      </c>
      <c r="E1758" s="361" t="str">
        <f t="shared" ca="1" si="91"/>
        <v>LOSS</v>
      </c>
      <c r="F1758" s="75" t="s">
        <v>8614</v>
      </c>
      <c r="G1758" s="75" t="s">
        <v>8615</v>
      </c>
      <c r="H1758" s="29" t="s">
        <v>8588</v>
      </c>
      <c r="I1758" s="29" t="s">
        <v>511</v>
      </c>
      <c r="J1758" s="28"/>
      <c r="K1758" s="36" t="s">
        <v>8616</v>
      </c>
      <c r="L1758" s="27"/>
      <c r="M1758" s="76" t="s">
        <v>8617</v>
      </c>
      <c r="N1758" s="29"/>
      <c r="O1758" s="56"/>
      <c r="P1758" s="31">
        <v>132000000</v>
      </c>
      <c r="Q1758" s="31"/>
      <c r="R1758" s="27"/>
      <c r="S1758" s="32"/>
      <c r="T1758" s="79">
        <v>0.15</v>
      </c>
      <c r="U1758" s="337">
        <v>45047</v>
      </c>
      <c r="V1758" s="334">
        <v>45777</v>
      </c>
      <c r="W1758" s="27" t="s">
        <v>250</v>
      </c>
      <c r="X1758" s="27"/>
      <c r="Y1758" s="34">
        <f t="shared" ca="1" si="95"/>
        <v>46290</v>
      </c>
      <c r="Z1758" s="35">
        <f t="shared" ca="1" si="92"/>
        <v>-513</v>
      </c>
      <c r="AA1758" s="27">
        <f t="shared" si="93"/>
        <v>4</v>
      </c>
      <c r="AB1758" s="27">
        <f t="shared" si="94"/>
        <v>2025</v>
      </c>
      <c r="AC1758" s="28"/>
      <c r="AD1758" s="28"/>
      <c r="AE1758" s="27"/>
      <c r="AF1758" s="27" t="s">
        <v>356</v>
      </c>
      <c r="AG1758" s="29"/>
      <c r="AH1758" s="29"/>
      <c r="AI1758" s="27"/>
      <c r="AJ1758" s="27"/>
      <c r="AK1758" s="27"/>
      <c r="AL1758" s="27"/>
      <c r="AM1758" s="27"/>
      <c r="AN1758" s="27"/>
      <c r="AO1758" s="27"/>
      <c r="AP1758" s="27"/>
      <c r="AQ1758" s="27"/>
      <c r="AR1758" s="504"/>
      <c r="AS1758" s="332"/>
      <c r="AT1758" s="160"/>
    </row>
    <row r="1759" spans="1:46" s="69" customFormat="1" ht="21.75" hidden="1" customHeight="1">
      <c r="A1759" s="331">
        <v>1758</v>
      </c>
      <c r="B1759" s="75" t="s">
        <v>8618</v>
      </c>
      <c r="C1759" s="75" t="s">
        <v>1142</v>
      </c>
      <c r="D1759" s="447" t="s">
        <v>8619</v>
      </c>
      <c r="E1759" s="361" t="str">
        <f t="shared" ca="1" si="91"/>
        <v>LOSS</v>
      </c>
      <c r="F1759" s="29"/>
      <c r="G1759" s="75" t="s">
        <v>8620</v>
      </c>
      <c r="H1759" s="29" t="s">
        <v>8588</v>
      </c>
      <c r="I1759" s="29" t="s">
        <v>511</v>
      </c>
      <c r="J1759" s="28"/>
      <c r="K1759" s="29"/>
      <c r="L1759" s="27"/>
      <c r="M1759" s="76" t="s">
        <v>365</v>
      </c>
      <c r="N1759" s="29"/>
      <c r="O1759" s="56"/>
      <c r="P1759" s="31">
        <v>34800000</v>
      </c>
      <c r="Q1759" s="31"/>
      <c r="R1759" s="27"/>
      <c r="S1759" s="32"/>
      <c r="T1759" s="79">
        <v>0.2</v>
      </c>
      <c r="U1759" s="337">
        <v>45215</v>
      </c>
      <c r="V1759" s="334">
        <v>45945</v>
      </c>
      <c r="W1759" s="27" t="s">
        <v>17</v>
      </c>
      <c r="X1759" s="27"/>
      <c r="Y1759" s="34">
        <f t="shared" ca="1" si="95"/>
        <v>46290</v>
      </c>
      <c r="Z1759" s="35">
        <f t="shared" ca="1" si="92"/>
        <v>-345</v>
      </c>
      <c r="AA1759" s="27">
        <f t="shared" si="93"/>
        <v>10</v>
      </c>
      <c r="AB1759" s="27">
        <f t="shared" si="94"/>
        <v>2025</v>
      </c>
      <c r="AC1759" s="28"/>
      <c r="AD1759" s="28"/>
      <c r="AE1759" s="27"/>
      <c r="AF1759" s="27" t="s">
        <v>356</v>
      </c>
      <c r="AG1759" s="160" t="s">
        <v>6873</v>
      </c>
      <c r="AH1759" s="29" t="s">
        <v>8621</v>
      </c>
      <c r="AI1759" s="27"/>
      <c r="AJ1759" s="27"/>
      <c r="AK1759" s="27"/>
      <c r="AL1759" s="27"/>
      <c r="AM1759" s="27"/>
      <c r="AN1759" s="27"/>
      <c r="AO1759" s="27"/>
      <c r="AP1759" s="27"/>
      <c r="AQ1759" s="27"/>
      <c r="AR1759" s="504"/>
      <c r="AS1759" s="332"/>
      <c r="AT1759" s="160"/>
    </row>
    <row r="1760" spans="1:46" s="69" customFormat="1" ht="21.75" hidden="1" customHeight="1">
      <c r="A1760" s="331">
        <v>1759</v>
      </c>
      <c r="B1760" s="75" t="s">
        <v>8622</v>
      </c>
      <c r="C1760" s="75" t="s">
        <v>1996</v>
      </c>
      <c r="D1760" s="447" t="s">
        <v>8623</v>
      </c>
      <c r="E1760" s="361" t="str">
        <f t="shared" ca="1" si="91"/>
        <v>LOSS</v>
      </c>
      <c r="F1760" s="29"/>
      <c r="G1760" s="80" t="s">
        <v>8624</v>
      </c>
      <c r="H1760" s="29" t="s">
        <v>8588</v>
      </c>
      <c r="I1760" s="29" t="s">
        <v>511</v>
      </c>
      <c r="J1760" s="82"/>
      <c r="K1760" s="82">
        <v>1000010268</v>
      </c>
      <c r="L1760" s="27"/>
      <c r="M1760" s="76" t="s">
        <v>365</v>
      </c>
      <c r="N1760" s="29"/>
      <c r="O1760" s="56"/>
      <c r="P1760" s="31">
        <v>84000000</v>
      </c>
      <c r="Q1760" s="31"/>
      <c r="R1760" s="27"/>
      <c r="S1760" s="32"/>
      <c r="T1760" s="79">
        <v>0.35</v>
      </c>
      <c r="U1760" s="339">
        <v>44891</v>
      </c>
      <c r="V1760" s="334">
        <v>45986</v>
      </c>
      <c r="W1760" s="27" t="s">
        <v>17</v>
      </c>
      <c r="X1760" s="27"/>
      <c r="Y1760" s="34">
        <f t="shared" ca="1" si="95"/>
        <v>46290</v>
      </c>
      <c r="Z1760" s="35">
        <f t="shared" ca="1" si="92"/>
        <v>-304</v>
      </c>
      <c r="AA1760" s="27">
        <f t="shared" si="93"/>
        <v>11</v>
      </c>
      <c r="AB1760" s="27">
        <f t="shared" si="94"/>
        <v>2025</v>
      </c>
      <c r="AC1760" s="28"/>
      <c r="AD1760" s="28"/>
      <c r="AE1760" s="27"/>
      <c r="AF1760" s="27" t="s">
        <v>356</v>
      </c>
      <c r="AG1760" s="160"/>
      <c r="AH1760" s="29" t="s">
        <v>8625</v>
      </c>
      <c r="AI1760" s="27"/>
      <c r="AJ1760" s="27"/>
      <c r="AK1760" s="27"/>
      <c r="AL1760" s="27"/>
      <c r="AM1760" s="27"/>
      <c r="AN1760" s="27"/>
      <c r="AO1760" s="27"/>
      <c r="AP1760" s="27"/>
      <c r="AQ1760" s="27"/>
      <c r="AR1760" s="504"/>
      <c r="AS1760" s="332"/>
      <c r="AT1760" s="160"/>
    </row>
    <row r="1761" spans="1:46" s="69" customFormat="1" ht="21.75" hidden="1" customHeight="1">
      <c r="A1761" s="331">
        <v>1760</v>
      </c>
      <c r="B1761" s="75" t="s">
        <v>8622</v>
      </c>
      <c r="C1761" s="75" t="s">
        <v>8626</v>
      </c>
      <c r="D1761" s="447" t="s">
        <v>8623</v>
      </c>
      <c r="E1761" s="361" t="str">
        <f t="shared" ca="1" si="91"/>
        <v>LOSS</v>
      </c>
      <c r="F1761" s="29"/>
      <c r="G1761" s="80" t="s">
        <v>8627</v>
      </c>
      <c r="H1761" s="29" t="s">
        <v>8588</v>
      </c>
      <c r="I1761" s="29" t="s">
        <v>511</v>
      </c>
      <c r="J1761" s="82" t="s">
        <v>8628</v>
      </c>
      <c r="K1761" s="29"/>
      <c r="L1761" s="27"/>
      <c r="M1761" s="76" t="s">
        <v>365</v>
      </c>
      <c r="N1761" s="29"/>
      <c r="O1761" s="56"/>
      <c r="P1761" s="31">
        <v>32400000</v>
      </c>
      <c r="Q1761" s="31"/>
      <c r="R1761" s="27"/>
      <c r="S1761" s="32"/>
      <c r="T1761" s="79">
        <v>0.35</v>
      </c>
      <c r="U1761" s="339">
        <v>44891</v>
      </c>
      <c r="V1761" s="334">
        <v>45986</v>
      </c>
      <c r="W1761" s="27" t="s">
        <v>17</v>
      </c>
      <c r="X1761" s="27"/>
      <c r="Y1761" s="34">
        <f t="shared" ca="1" si="95"/>
        <v>46290</v>
      </c>
      <c r="Z1761" s="35">
        <f t="shared" ca="1" si="92"/>
        <v>-304</v>
      </c>
      <c r="AA1761" s="27">
        <f t="shared" si="93"/>
        <v>11</v>
      </c>
      <c r="AB1761" s="27">
        <f t="shared" si="94"/>
        <v>2025</v>
      </c>
      <c r="AC1761" s="28"/>
      <c r="AD1761" s="28"/>
      <c r="AE1761" s="27"/>
      <c r="AF1761" s="27" t="s">
        <v>356</v>
      </c>
      <c r="AG1761" s="160"/>
      <c r="AH1761" s="29" t="s">
        <v>8625</v>
      </c>
      <c r="AI1761" s="27"/>
      <c r="AJ1761" s="27"/>
      <c r="AK1761" s="27"/>
      <c r="AL1761" s="27"/>
      <c r="AM1761" s="27"/>
      <c r="AN1761" s="27"/>
      <c r="AO1761" s="27"/>
      <c r="AP1761" s="27"/>
      <c r="AQ1761" s="27"/>
      <c r="AR1761" s="504"/>
      <c r="AS1761" s="332"/>
      <c r="AT1761" s="160"/>
    </row>
    <row r="1762" spans="1:46" s="69" customFormat="1" ht="21.75" hidden="1" customHeight="1">
      <c r="A1762" s="331">
        <v>1761</v>
      </c>
      <c r="B1762" s="75" t="s">
        <v>8622</v>
      </c>
      <c r="C1762" s="75" t="s">
        <v>8629</v>
      </c>
      <c r="D1762" s="447" t="s">
        <v>8623</v>
      </c>
      <c r="E1762" s="361" t="str">
        <f t="shared" ca="1" si="91"/>
        <v>LOSS</v>
      </c>
      <c r="F1762" s="29"/>
      <c r="G1762" s="75"/>
      <c r="H1762" s="29" t="s">
        <v>8588</v>
      </c>
      <c r="I1762" s="29" t="s">
        <v>511</v>
      </c>
      <c r="J1762" s="82"/>
      <c r="K1762" s="82" t="s">
        <v>8630</v>
      </c>
      <c r="L1762" s="27"/>
      <c r="M1762" s="76" t="s">
        <v>365</v>
      </c>
      <c r="N1762" s="29"/>
      <c r="O1762" s="56"/>
      <c r="P1762" s="31">
        <v>60000000</v>
      </c>
      <c r="Q1762" s="31"/>
      <c r="R1762" s="27"/>
      <c r="S1762" s="32"/>
      <c r="T1762" s="79">
        <v>0.35</v>
      </c>
      <c r="U1762" s="339">
        <v>44891</v>
      </c>
      <c r="V1762" s="334">
        <v>45986</v>
      </c>
      <c r="W1762" s="27" t="s">
        <v>17</v>
      </c>
      <c r="X1762" s="27"/>
      <c r="Y1762" s="34">
        <f t="shared" ca="1" si="95"/>
        <v>46290</v>
      </c>
      <c r="Z1762" s="35">
        <f t="shared" ca="1" si="92"/>
        <v>-304</v>
      </c>
      <c r="AA1762" s="27">
        <f t="shared" si="93"/>
        <v>11</v>
      </c>
      <c r="AB1762" s="27">
        <f t="shared" si="94"/>
        <v>2025</v>
      </c>
      <c r="AC1762" s="28"/>
      <c r="AD1762" s="28"/>
      <c r="AE1762" s="27"/>
      <c r="AF1762" s="27" t="s">
        <v>356</v>
      </c>
      <c r="AG1762" s="160"/>
      <c r="AH1762" s="29" t="s">
        <v>8625</v>
      </c>
      <c r="AI1762" s="27"/>
      <c r="AJ1762" s="27"/>
      <c r="AK1762" s="27"/>
      <c r="AL1762" s="27"/>
      <c r="AM1762" s="27"/>
      <c r="AN1762" s="27"/>
      <c r="AO1762" s="27"/>
      <c r="AP1762" s="27"/>
      <c r="AQ1762" s="27"/>
      <c r="AR1762" s="504"/>
      <c r="AS1762" s="332"/>
      <c r="AT1762" s="160"/>
    </row>
    <row r="1763" spans="1:46" s="69" customFormat="1" ht="21.75" hidden="1" customHeight="1">
      <c r="A1763" s="331">
        <v>1762</v>
      </c>
      <c r="B1763" s="75" t="s">
        <v>8622</v>
      </c>
      <c r="C1763" s="75" t="s">
        <v>1192</v>
      </c>
      <c r="D1763" s="447" t="s">
        <v>8623</v>
      </c>
      <c r="E1763" s="361" t="str">
        <f t="shared" ca="1" si="91"/>
        <v>LOSS</v>
      </c>
      <c r="F1763" s="29"/>
      <c r="G1763" s="80" t="s">
        <v>8631</v>
      </c>
      <c r="H1763" s="29" t="s">
        <v>8588</v>
      </c>
      <c r="I1763" s="29" t="s">
        <v>511</v>
      </c>
      <c r="J1763" s="83"/>
      <c r="K1763" s="83" t="s">
        <v>8632</v>
      </c>
      <c r="L1763" s="27"/>
      <c r="M1763" s="76" t="s">
        <v>365</v>
      </c>
      <c r="N1763" s="29"/>
      <c r="O1763" s="56"/>
      <c r="P1763" s="31">
        <v>72000000</v>
      </c>
      <c r="Q1763" s="31"/>
      <c r="R1763" s="27"/>
      <c r="S1763" s="32"/>
      <c r="T1763" s="79">
        <v>0.35</v>
      </c>
      <c r="U1763" s="339">
        <v>44891</v>
      </c>
      <c r="V1763" s="334">
        <v>45986</v>
      </c>
      <c r="W1763" s="27" t="s">
        <v>17</v>
      </c>
      <c r="X1763" s="27"/>
      <c r="Y1763" s="34">
        <f t="shared" ca="1" si="95"/>
        <v>46290</v>
      </c>
      <c r="Z1763" s="35">
        <f t="shared" ca="1" si="92"/>
        <v>-304</v>
      </c>
      <c r="AA1763" s="27">
        <f t="shared" si="93"/>
        <v>11</v>
      </c>
      <c r="AB1763" s="27">
        <f t="shared" si="94"/>
        <v>2025</v>
      </c>
      <c r="AC1763" s="28"/>
      <c r="AD1763" s="28"/>
      <c r="AE1763" s="27"/>
      <c r="AF1763" s="27" t="s">
        <v>356</v>
      </c>
      <c r="AG1763" s="160"/>
      <c r="AH1763" s="29" t="s">
        <v>8625</v>
      </c>
      <c r="AI1763" s="27"/>
      <c r="AJ1763" s="27"/>
      <c r="AK1763" s="27"/>
      <c r="AL1763" s="27"/>
      <c r="AM1763" s="27"/>
      <c r="AN1763" s="27"/>
      <c r="AO1763" s="27"/>
      <c r="AP1763" s="27"/>
      <c r="AQ1763" s="27"/>
      <c r="AR1763" s="504"/>
      <c r="AS1763" s="332"/>
      <c r="AT1763" s="160"/>
    </row>
    <row r="1764" spans="1:46" s="69" customFormat="1" ht="21.75" hidden="1" customHeight="1">
      <c r="A1764" s="331">
        <v>1763</v>
      </c>
      <c r="B1764" s="75" t="s">
        <v>8622</v>
      </c>
      <c r="C1764" s="75" t="s">
        <v>1541</v>
      </c>
      <c r="D1764" s="447" t="s">
        <v>8623</v>
      </c>
      <c r="E1764" s="361" t="str">
        <f t="shared" ca="1" si="91"/>
        <v>LOSS</v>
      </c>
      <c r="F1764" s="29"/>
      <c r="G1764" s="80" t="s">
        <v>8633</v>
      </c>
      <c r="H1764" s="29" t="s">
        <v>8588</v>
      </c>
      <c r="I1764" s="29" t="s">
        <v>511</v>
      </c>
      <c r="J1764" s="82" t="s">
        <v>8634</v>
      </c>
      <c r="K1764" s="29"/>
      <c r="L1764" s="27"/>
      <c r="M1764" s="76" t="s">
        <v>365</v>
      </c>
      <c r="N1764" s="29"/>
      <c r="O1764" s="56"/>
      <c r="P1764" s="31">
        <v>93600000</v>
      </c>
      <c r="Q1764" s="31"/>
      <c r="R1764" s="27"/>
      <c r="S1764" s="32"/>
      <c r="T1764" s="79">
        <v>0.35</v>
      </c>
      <c r="U1764" s="339">
        <v>44891</v>
      </c>
      <c r="V1764" s="334">
        <v>45986</v>
      </c>
      <c r="W1764" s="27" t="s">
        <v>17</v>
      </c>
      <c r="X1764" s="27"/>
      <c r="Y1764" s="34">
        <f t="shared" ca="1" si="95"/>
        <v>46290</v>
      </c>
      <c r="Z1764" s="35">
        <f t="shared" ca="1" si="92"/>
        <v>-304</v>
      </c>
      <c r="AA1764" s="27">
        <f t="shared" si="93"/>
        <v>11</v>
      </c>
      <c r="AB1764" s="27">
        <f t="shared" si="94"/>
        <v>2025</v>
      </c>
      <c r="AC1764" s="28"/>
      <c r="AD1764" s="28"/>
      <c r="AE1764" s="27"/>
      <c r="AF1764" s="27" t="s">
        <v>356</v>
      </c>
      <c r="AG1764" s="160"/>
      <c r="AH1764" s="29" t="s">
        <v>8625</v>
      </c>
      <c r="AI1764" s="27"/>
      <c r="AJ1764" s="27"/>
      <c r="AK1764" s="27"/>
      <c r="AL1764" s="27"/>
      <c r="AM1764" s="27"/>
      <c r="AN1764" s="27"/>
      <c r="AO1764" s="27"/>
      <c r="AP1764" s="27"/>
      <c r="AQ1764" s="27"/>
      <c r="AR1764" s="504"/>
      <c r="AS1764" s="332"/>
      <c r="AT1764" s="160"/>
    </row>
    <row r="1765" spans="1:46" s="69" customFormat="1" ht="21.75" hidden="1" customHeight="1">
      <c r="A1765" s="331">
        <v>1764</v>
      </c>
      <c r="B1765" s="75" t="s">
        <v>8622</v>
      </c>
      <c r="C1765" s="75" t="s">
        <v>8635</v>
      </c>
      <c r="D1765" s="447" t="s">
        <v>8623</v>
      </c>
      <c r="E1765" s="361" t="str">
        <f t="shared" ca="1" si="91"/>
        <v>LOSS</v>
      </c>
      <c r="F1765" s="29"/>
      <c r="G1765" s="75" t="s">
        <v>8636</v>
      </c>
      <c r="H1765" s="29" t="s">
        <v>8588</v>
      </c>
      <c r="I1765" s="29" t="s">
        <v>511</v>
      </c>
      <c r="J1765" s="83"/>
      <c r="K1765" s="83" t="s">
        <v>8637</v>
      </c>
      <c r="L1765" s="27"/>
      <c r="M1765" s="76" t="s">
        <v>329</v>
      </c>
      <c r="N1765" s="29"/>
      <c r="O1765" s="56"/>
      <c r="P1765" s="31">
        <v>57600000</v>
      </c>
      <c r="Q1765" s="31"/>
      <c r="R1765" s="27"/>
      <c r="S1765" s="32"/>
      <c r="T1765" s="79">
        <v>0.35</v>
      </c>
      <c r="U1765" s="339">
        <v>44891</v>
      </c>
      <c r="V1765" s="334">
        <v>45986</v>
      </c>
      <c r="W1765" s="27" t="s">
        <v>17</v>
      </c>
      <c r="X1765" s="27"/>
      <c r="Y1765" s="34">
        <f t="shared" ca="1" si="95"/>
        <v>46290</v>
      </c>
      <c r="Z1765" s="35">
        <f t="shared" ca="1" si="92"/>
        <v>-304</v>
      </c>
      <c r="AA1765" s="27">
        <f t="shared" si="93"/>
        <v>11</v>
      </c>
      <c r="AB1765" s="27">
        <f t="shared" si="94"/>
        <v>2025</v>
      </c>
      <c r="AC1765" s="28"/>
      <c r="AD1765" s="28"/>
      <c r="AE1765" s="27"/>
      <c r="AF1765" s="27" t="s">
        <v>356</v>
      </c>
      <c r="AG1765" s="160"/>
      <c r="AH1765" s="29" t="s">
        <v>8625</v>
      </c>
      <c r="AI1765" s="27"/>
      <c r="AJ1765" s="27"/>
      <c r="AK1765" s="27"/>
      <c r="AL1765" s="27"/>
      <c r="AM1765" s="27"/>
      <c r="AN1765" s="27"/>
      <c r="AO1765" s="27"/>
      <c r="AP1765" s="27"/>
      <c r="AQ1765" s="27"/>
      <c r="AR1765" s="504"/>
      <c r="AS1765" s="332"/>
      <c r="AT1765" s="160"/>
    </row>
    <row r="1766" spans="1:46" ht="21.75" hidden="1" customHeight="1">
      <c r="A1766" s="331">
        <v>1765</v>
      </c>
      <c r="B1766" s="75" t="s">
        <v>8622</v>
      </c>
      <c r="C1766" s="75" t="s">
        <v>8638</v>
      </c>
      <c r="D1766" s="447" t="s">
        <v>8623</v>
      </c>
      <c r="E1766" s="361" t="str">
        <f t="shared" ca="1" si="91"/>
        <v>LOSS</v>
      </c>
      <c r="F1766" s="29"/>
      <c r="G1766" s="75" t="s">
        <v>8639</v>
      </c>
      <c r="H1766" s="29" t="s">
        <v>8588</v>
      </c>
      <c r="I1766" s="29" t="s">
        <v>511</v>
      </c>
      <c r="J1766" s="83"/>
      <c r="K1766" s="83" t="s">
        <v>8640</v>
      </c>
      <c r="L1766" s="27"/>
      <c r="M1766" s="76" t="s">
        <v>8641</v>
      </c>
      <c r="N1766" s="29"/>
      <c r="O1766" s="56"/>
      <c r="P1766" s="31">
        <v>38160000</v>
      </c>
      <c r="Q1766" s="31"/>
      <c r="R1766" s="27"/>
      <c r="S1766" s="32"/>
      <c r="T1766" s="79">
        <v>0.35</v>
      </c>
      <c r="U1766" s="339">
        <v>44891</v>
      </c>
      <c r="V1766" s="334">
        <v>45986</v>
      </c>
      <c r="W1766" s="27" t="s">
        <v>17</v>
      </c>
      <c r="X1766" s="27"/>
      <c r="Y1766" s="34">
        <f t="shared" ca="1" si="95"/>
        <v>46290</v>
      </c>
      <c r="Z1766" s="35">
        <f t="shared" ca="1" si="92"/>
        <v>-304</v>
      </c>
      <c r="AA1766" s="27">
        <f t="shared" ref="AA1766:AA1800" si="96">MONTH(V1766)</f>
        <v>11</v>
      </c>
      <c r="AB1766" s="27">
        <f t="shared" si="94"/>
        <v>2025</v>
      </c>
      <c r="AC1766" s="28"/>
      <c r="AD1766" s="28"/>
      <c r="AE1766" s="27"/>
      <c r="AF1766" s="27" t="s">
        <v>356</v>
      </c>
      <c r="AG1766" s="160"/>
      <c r="AH1766" s="29" t="s">
        <v>8625</v>
      </c>
      <c r="AI1766" s="27"/>
      <c r="AJ1766" s="27"/>
      <c r="AK1766" s="27"/>
      <c r="AL1766" s="27"/>
      <c r="AM1766" s="27"/>
      <c r="AN1766" s="27"/>
      <c r="AO1766" s="27"/>
      <c r="AP1766" s="27"/>
      <c r="AQ1766" s="27"/>
      <c r="AR1766" s="504"/>
      <c r="AS1766" s="332"/>
      <c r="AT1766" s="160"/>
    </row>
    <row r="1767" spans="1:46" ht="21.75" hidden="1" customHeight="1">
      <c r="A1767" s="331">
        <v>1766</v>
      </c>
      <c r="B1767" s="75" t="s">
        <v>8622</v>
      </c>
      <c r="C1767" s="75" t="s">
        <v>1996</v>
      </c>
      <c r="D1767" s="447" t="s">
        <v>8623</v>
      </c>
      <c r="E1767" s="361" t="str">
        <f t="shared" ca="1" si="91"/>
        <v>LOSS</v>
      </c>
      <c r="F1767" s="29"/>
      <c r="G1767" s="75" t="s">
        <v>8642</v>
      </c>
      <c r="H1767" s="29" t="s">
        <v>8588</v>
      </c>
      <c r="I1767" s="29" t="s">
        <v>511</v>
      </c>
      <c r="J1767" s="82" t="s">
        <v>8643</v>
      </c>
      <c r="K1767" s="29"/>
      <c r="L1767" s="27"/>
      <c r="M1767" s="76" t="s">
        <v>365</v>
      </c>
      <c r="N1767" s="29"/>
      <c r="O1767" s="56"/>
      <c r="P1767" s="31">
        <v>390000000</v>
      </c>
      <c r="Q1767" s="31"/>
      <c r="R1767" s="27"/>
      <c r="S1767" s="32"/>
      <c r="T1767" s="79">
        <v>0.35</v>
      </c>
      <c r="U1767" s="339">
        <v>44891</v>
      </c>
      <c r="V1767" s="334">
        <v>45986</v>
      </c>
      <c r="W1767" s="27" t="s">
        <v>17</v>
      </c>
      <c r="X1767" s="27"/>
      <c r="Y1767" s="34">
        <f t="shared" ca="1" si="95"/>
        <v>46290</v>
      </c>
      <c r="Z1767" s="35">
        <f t="shared" ca="1" si="92"/>
        <v>-304</v>
      </c>
      <c r="AA1767" s="27">
        <f t="shared" si="96"/>
        <v>11</v>
      </c>
      <c r="AB1767" s="27">
        <f t="shared" si="94"/>
        <v>2025</v>
      </c>
      <c r="AC1767" s="28"/>
      <c r="AD1767" s="28"/>
      <c r="AE1767" s="27"/>
      <c r="AF1767" s="27" t="s">
        <v>356</v>
      </c>
      <c r="AG1767" s="160"/>
      <c r="AH1767" s="29" t="s">
        <v>8625</v>
      </c>
      <c r="AI1767" s="27"/>
      <c r="AJ1767" s="27"/>
      <c r="AK1767" s="27"/>
      <c r="AL1767" s="27"/>
      <c r="AM1767" s="27"/>
      <c r="AN1767" s="27"/>
      <c r="AO1767" s="27"/>
      <c r="AP1767" s="27"/>
      <c r="AQ1767" s="27"/>
      <c r="AR1767" s="504"/>
      <c r="AS1767" s="332"/>
      <c r="AT1767" s="160"/>
    </row>
    <row r="1768" spans="1:46" ht="21.75" hidden="1" customHeight="1">
      <c r="A1768" s="331">
        <v>1767</v>
      </c>
      <c r="B1768" s="75" t="s">
        <v>8622</v>
      </c>
      <c r="C1768" s="75" t="s">
        <v>8644</v>
      </c>
      <c r="D1768" s="447" t="s">
        <v>8623</v>
      </c>
      <c r="E1768" s="361" t="str">
        <f t="shared" ca="1" si="91"/>
        <v>LOSS</v>
      </c>
      <c r="F1768" s="29"/>
      <c r="G1768" s="75" t="s">
        <v>8645</v>
      </c>
      <c r="H1768" s="29" t="s">
        <v>8588</v>
      </c>
      <c r="I1768" s="29" t="s">
        <v>511</v>
      </c>
      <c r="J1768" s="82" t="s">
        <v>8646</v>
      </c>
      <c r="K1768" s="29"/>
      <c r="L1768" s="27"/>
      <c r="M1768" s="76" t="s">
        <v>365</v>
      </c>
      <c r="N1768" s="29"/>
      <c r="O1768" s="56"/>
      <c r="P1768" s="31">
        <v>38181816</v>
      </c>
      <c r="Q1768" s="31"/>
      <c r="R1768" s="27"/>
      <c r="S1768" s="32"/>
      <c r="T1768" s="79">
        <v>0.35</v>
      </c>
      <c r="U1768" s="339">
        <v>44891</v>
      </c>
      <c r="V1768" s="334">
        <v>45986</v>
      </c>
      <c r="W1768" s="27" t="s">
        <v>17</v>
      </c>
      <c r="X1768" s="27"/>
      <c r="Y1768" s="34">
        <f t="shared" ca="1" si="95"/>
        <v>46290</v>
      </c>
      <c r="Z1768" s="35">
        <f t="shared" ca="1" si="92"/>
        <v>-304</v>
      </c>
      <c r="AA1768" s="27">
        <f t="shared" si="96"/>
        <v>11</v>
      </c>
      <c r="AB1768" s="27">
        <f t="shared" si="94"/>
        <v>2025</v>
      </c>
      <c r="AC1768" s="28"/>
      <c r="AD1768" s="28"/>
      <c r="AE1768" s="27"/>
      <c r="AF1768" s="27" t="s">
        <v>356</v>
      </c>
      <c r="AG1768" s="160"/>
      <c r="AH1768" s="29" t="s">
        <v>8625</v>
      </c>
      <c r="AI1768" s="27"/>
      <c r="AJ1768" s="27"/>
      <c r="AK1768" s="27"/>
      <c r="AL1768" s="27"/>
      <c r="AM1768" s="27"/>
      <c r="AN1768" s="27"/>
      <c r="AO1768" s="27"/>
      <c r="AP1768" s="27"/>
      <c r="AQ1768" s="27"/>
      <c r="AR1768" s="504"/>
      <c r="AS1768" s="332"/>
      <c r="AT1768" s="160"/>
    </row>
    <row r="1769" spans="1:46" ht="21.75" hidden="1" customHeight="1">
      <c r="A1769" s="331">
        <v>1768</v>
      </c>
      <c r="B1769" s="75" t="s">
        <v>8622</v>
      </c>
      <c r="C1769" s="75" t="s">
        <v>1832</v>
      </c>
      <c r="D1769" s="447" t="s">
        <v>8623</v>
      </c>
      <c r="E1769" s="361" t="str">
        <f t="shared" ca="1" si="91"/>
        <v>LOSS</v>
      </c>
      <c r="F1769" s="29"/>
      <c r="G1769" s="75" t="s">
        <v>8639</v>
      </c>
      <c r="H1769" s="29" t="s">
        <v>8588</v>
      </c>
      <c r="I1769" s="29" t="s">
        <v>511</v>
      </c>
      <c r="J1769" s="84" t="s">
        <v>8647</v>
      </c>
      <c r="K1769" s="36" t="s">
        <v>8648</v>
      </c>
      <c r="L1769" s="27"/>
      <c r="M1769" s="76" t="s">
        <v>329</v>
      </c>
      <c r="N1769" s="29"/>
      <c r="O1769" s="56"/>
      <c r="P1769" s="31">
        <v>84000000</v>
      </c>
      <c r="Q1769" s="31"/>
      <c r="R1769" s="27"/>
      <c r="S1769" s="32"/>
      <c r="T1769" s="79">
        <v>0.35</v>
      </c>
      <c r="U1769" s="339">
        <v>44891</v>
      </c>
      <c r="V1769" s="334">
        <v>45986</v>
      </c>
      <c r="W1769" s="27" t="s">
        <v>17</v>
      </c>
      <c r="X1769" s="27"/>
      <c r="Y1769" s="34">
        <f t="shared" ca="1" si="95"/>
        <v>46290</v>
      </c>
      <c r="Z1769" s="35">
        <f t="shared" ca="1" si="92"/>
        <v>-304</v>
      </c>
      <c r="AA1769" s="27">
        <f t="shared" si="96"/>
        <v>11</v>
      </c>
      <c r="AB1769" s="27">
        <f t="shared" si="94"/>
        <v>2025</v>
      </c>
      <c r="AC1769" s="28"/>
      <c r="AD1769" s="28"/>
      <c r="AE1769" s="27"/>
      <c r="AF1769" s="27" t="s">
        <v>356</v>
      </c>
      <c r="AG1769" s="160"/>
      <c r="AH1769" s="29" t="s">
        <v>8625</v>
      </c>
      <c r="AI1769" s="27"/>
      <c r="AJ1769" s="27"/>
      <c r="AK1769" s="27"/>
      <c r="AL1769" s="27"/>
      <c r="AM1769" s="27"/>
      <c r="AN1769" s="27"/>
      <c r="AO1769" s="27"/>
      <c r="AP1769" s="27"/>
      <c r="AQ1769" s="27"/>
      <c r="AR1769" s="504"/>
      <c r="AS1769" s="332"/>
      <c r="AT1769" s="160"/>
    </row>
    <row r="1770" spans="1:46" ht="21.75" hidden="1" customHeight="1">
      <c r="A1770" s="331">
        <v>1769</v>
      </c>
      <c r="B1770" s="75" t="s">
        <v>8622</v>
      </c>
      <c r="C1770" s="75" t="s">
        <v>8649</v>
      </c>
      <c r="D1770" s="447" t="s">
        <v>8623</v>
      </c>
      <c r="E1770" s="361" t="str">
        <f t="shared" ca="1" si="91"/>
        <v>LOSS</v>
      </c>
      <c r="F1770" s="29"/>
      <c r="G1770" s="75" t="s">
        <v>8650</v>
      </c>
      <c r="H1770" s="29" t="s">
        <v>8588</v>
      </c>
      <c r="I1770" s="29" t="s">
        <v>511</v>
      </c>
      <c r="J1770" s="82" t="s">
        <v>8628</v>
      </c>
      <c r="K1770" s="29"/>
      <c r="L1770" s="27"/>
      <c r="M1770" s="76" t="s">
        <v>365</v>
      </c>
      <c r="N1770" s="29"/>
      <c r="O1770" s="56"/>
      <c r="P1770" s="31">
        <v>34800000</v>
      </c>
      <c r="Q1770" s="31"/>
      <c r="R1770" s="27"/>
      <c r="S1770" s="32"/>
      <c r="T1770" s="79">
        <v>0.35</v>
      </c>
      <c r="U1770" s="339">
        <v>44891</v>
      </c>
      <c r="V1770" s="334">
        <v>45986</v>
      </c>
      <c r="W1770" s="27" t="s">
        <v>17</v>
      </c>
      <c r="X1770" s="27"/>
      <c r="Y1770" s="34">
        <f t="shared" ca="1" si="95"/>
        <v>46290</v>
      </c>
      <c r="Z1770" s="35">
        <f t="shared" ca="1" si="92"/>
        <v>-304</v>
      </c>
      <c r="AA1770" s="27">
        <f t="shared" si="96"/>
        <v>11</v>
      </c>
      <c r="AB1770" s="27">
        <f t="shared" si="94"/>
        <v>2025</v>
      </c>
      <c r="AC1770" s="28"/>
      <c r="AD1770" s="28"/>
      <c r="AE1770" s="27"/>
      <c r="AF1770" s="27" t="s">
        <v>356</v>
      </c>
      <c r="AG1770" s="160"/>
      <c r="AH1770" s="29" t="s">
        <v>8625</v>
      </c>
      <c r="AI1770" s="27"/>
      <c r="AJ1770" s="27"/>
      <c r="AK1770" s="27"/>
      <c r="AL1770" s="27"/>
      <c r="AM1770" s="27"/>
      <c r="AN1770" s="27"/>
      <c r="AO1770" s="27"/>
      <c r="AP1770" s="27"/>
      <c r="AQ1770" s="27"/>
      <c r="AR1770" s="504"/>
      <c r="AS1770" s="332"/>
      <c r="AT1770" s="160"/>
    </row>
    <row r="1771" spans="1:46" ht="21.75" hidden="1" customHeight="1">
      <c r="A1771" s="331">
        <v>1770</v>
      </c>
      <c r="B1771" s="75" t="s">
        <v>8622</v>
      </c>
      <c r="C1771" s="75" t="s">
        <v>8651</v>
      </c>
      <c r="D1771" s="447" t="s">
        <v>8623</v>
      </c>
      <c r="E1771" s="361" t="str">
        <f t="shared" ca="1" si="91"/>
        <v>LOSS</v>
      </c>
      <c r="F1771" s="29"/>
      <c r="G1771" s="75" t="s">
        <v>8652</v>
      </c>
      <c r="H1771" s="29" t="s">
        <v>8588</v>
      </c>
      <c r="I1771" s="29" t="s">
        <v>511</v>
      </c>
      <c r="J1771" s="82" t="s">
        <v>8653</v>
      </c>
      <c r="K1771" s="29"/>
      <c r="L1771" s="27"/>
      <c r="M1771" s="76" t="s">
        <v>353</v>
      </c>
      <c r="N1771" s="29"/>
      <c r="O1771" s="56"/>
      <c r="P1771" s="31">
        <v>110400000</v>
      </c>
      <c r="Q1771" s="31"/>
      <c r="R1771" s="27"/>
      <c r="S1771" s="32"/>
      <c r="T1771" s="79">
        <v>0.35</v>
      </c>
      <c r="U1771" s="339">
        <v>44891</v>
      </c>
      <c r="V1771" s="334">
        <v>45986</v>
      </c>
      <c r="W1771" s="27" t="s">
        <v>17</v>
      </c>
      <c r="X1771" s="27"/>
      <c r="Y1771" s="34">
        <f t="shared" ca="1" si="95"/>
        <v>46290</v>
      </c>
      <c r="Z1771" s="35">
        <f t="shared" ca="1" si="92"/>
        <v>-304</v>
      </c>
      <c r="AA1771" s="27">
        <f t="shared" si="96"/>
        <v>11</v>
      </c>
      <c r="AB1771" s="27">
        <f t="shared" si="94"/>
        <v>2025</v>
      </c>
      <c r="AC1771" s="28"/>
      <c r="AD1771" s="28"/>
      <c r="AE1771" s="27"/>
      <c r="AF1771" s="27" t="s">
        <v>356</v>
      </c>
      <c r="AG1771" s="160"/>
      <c r="AH1771" s="29" t="s">
        <v>8625</v>
      </c>
      <c r="AI1771" s="27"/>
      <c r="AJ1771" s="27"/>
      <c r="AK1771" s="27"/>
      <c r="AL1771" s="27"/>
      <c r="AM1771" s="27"/>
      <c r="AN1771" s="27"/>
      <c r="AO1771" s="27"/>
      <c r="AP1771" s="27"/>
      <c r="AQ1771" s="27"/>
      <c r="AR1771" s="504"/>
      <c r="AS1771" s="332"/>
      <c r="AT1771" s="160"/>
    </row>
    <row r="1772" spans="1:46" ht="21.75" hidden="1" customHeight="1">
      <c r="A1772" s="331">
        <v>1771</v>
      </c>
      <c r="B1772" s="75" t="s">
        <v>8622</v>
      </c>
      <c r="C1772" s="75" t="s">
        <v>8654</v>
      </c>
      <c r="D1772" s="447" t="s">
        <v>8623</v>
      </c>
      <c r="E1772" s="361" t="str">
        <f t="shared" ca="1" si="91"/>
        <v>LOSS</v>
      </c>
      <c r="F1772" s="29"/>
      <c r="G1772" s="75" t="s">
        <v>8655</v>
      </c>
      <c r="H1772" s="29" t="s">
        <v>8588</v>
      </c>
      <c r="I1772" s="29" t="s">
        <v>511</v>
      </c>
      <c r="J1772" s="82"/>
      <c r="K1772" s="82">
        <v>1000331808</v>
      </c>
      <c r="L1772" s="27"/>
      <c r="M1772" s="76" t="s">
        <v>329</v>
      </c>
      <c r="N1772" s="29"/>
      <c r="O1772" s="56"/>
      <c r="P1772" s="31">
        <v>40200000</v>
      </c>
      <c r="Q1772" s="31"/>
      <c r="R1772" s="27"/>
      <c r="S1772" s="32"/>
      <c r="T1772" s="79">
        <v>0.35</v>
      </c>
      <c r="U1772" s="339">
        <v>44891</v>
      </c>
      <c r="V1772" s="334">
        <v>45986</v>
      </c>
      <c r="W1772" s="27" t="s">
        <v>17</v>
      </c>
      <c r="X1772" s="27"/>
      <c r="Y1772" s="34">
        <f t="shared" ca="1" si="95"/>
        <v>46290</v>
      </c>
      <c r="Z1772" s="35">
        <f t="shared" ca="1" si="92"/>
        <v>-304</v>
      </c>
      <c r="AA1772" s="27">
        <f t="shared" si="96"/>
        <v>11</v>
      </c>
      <c r="AB1772" s="27">
        <f t="shared" si="94"/>
        <v>2025</v>
      </c>
      <c r="AC1772" s="28"/>
      <c r="AD1772" s="28"/>
      <c r="AE1772" s="27"/>
      <c r="AF1772" s="27" t="s">
        <v>356</v>
      </c>
      <c r="AG1772" s="160"/>
      <c r="AH1772" s="29" t="s">
        <v>8625</v>
      </c>
      <c r="AI1772" s="27"/>
      <c r="AJ1772" s="27"/>
      <c r="AK1772" s="27"/>
      <c r="AL1772" s="27"/>
      <c r="AM1772" s="27"/>
      <c r="AN1772" s="27"/>
      <c r="AO1772" s="27"/>
      <c r="AP1772" s="27"/>
      <c r="AQ1772" s="27"/>
      <c r="AR1772" s="504"/>
      <c r="AS1772" s="332"/>
      <c r="AT1772" s="160"/>
    </row>
    <row r="1773" spans="1:46" ht="21.75" hidden="1" customHeight="1">
      <c r="A1773" s="331">
        <v>1772</v>
      </c>
      <c r="B1773" s="75" t="s">
        <v>8656</v>
      </c>
      <c r="C1773" s="75" t="s">
        <v>8657</v>
      </c>
      <c r="D1773" s="447" t="s">
        <v>8658</v>
      </c>
      <c r="E1773" s="361" t="str">
        <f t="shared" ca="1" si="91"/>
        <v>LOSS</v>
      </c>
      <c r="F1773" s="29"/>
      <c r="G1773" s="80" t="s">
        <v>8659</v>
      </c>
      <c r="H1773" s="29" t="s">
        <v>8588</v>
      </c>
      <c r="I1773" s="29" t="s">
        <v>511</v>
      </c>
      <c r="J1773" s="28"/>
      <c r="K1773" s="29"/>
      <c r="L1773" s="27"/>
      <c r="M1773" s="76" t="s">
        <v>365</v>
      </c>
      <c r="N1773" s="29"/>
      <c r="O1773" s="56"/>
      <c r="P1773" s="31">
        <v>96000000</v>
      </c>
      <c r="Q1773" s="31"/>
      <c r="R1773" s="27"/>
      <c r="S1773" s="32"/>
      <c r="T1773" s="85">
        <v>0.125</v>
      </c>
      <c r="U1773" s="338">
        <v>44817</v>
      </c>
      <c r="V1773" s="334">
        <v>45547</v>
      </c>
      <c r="W1773" s="27" t="s">
        <v>245</v>
      </c>
      <c r="X1773" s="27"/>
      <c r="Y1773" s="34">
        <f t="shared" ca="1" si="95"/>
        <v>46290</v>
      </c>
      <c r="Z1773" s="35">
        <f t="shared" ca="1" si="92"/>
        <v>-743</v>
      </c>
      <c r="AA1773" s="27">
        <f t="shared" si="96"/>
        <v>9</v>
      </c>
      <c r="AB1773" s="27">
        <f t="shared" si="94"/>
        <v>2024</v>
      </c>
      <c r="AC1773" s="28"/>
      <c r="AD1773" s="28"/>
      <c r="AE1773" s="27"/>
      <c r="AF1773" s="27" t="s">
        <v>356</v>
      </c>
      <c r="AG1773" s="160"/>
      <c r="AH1773" s="86" t="s">
        <v>8660</v>
      </c>
      <c r="AI1773" s="27"/>
      <c r="AJ1773" s="27"/>
      <c r="AK1773" s="27"/>
      <c r="AL1773" s="27"/>
      <c r="AM1773" s="27"/>
      <c r="AN1773" s="27"/>
      <c r="AO1773" s="27"/>
      <c r="AP1773" s="27"/>
      <c r="AQ1773" s="27"/>
      <c r="AR1773" s="504"/>
      <c r="AS1773" s="332" t="s">
        <v>8661</v>
      </c>
      <c r="AT1773" s="160"/>
    </row>
    <row r="1774" spans="1:46" ht="21.75" hidden="1" customHeight="1">
      <c r="A1774" s="331">
        <v>1773</v>
      </c>
      <c r="B1774" s="75" t="s">
        <v>8662</v>
      </c>
      <c r="C1774" s="28" t="s">
        <v>7028</v>
      </c>
      <c r="D1774" s="447" t="s">
        <v>8663</v>
      </c>
      <c r="E1774" s="361" t="str">
        <f t="shared" ca="1" si="91"/>
        <v>LOSS</v>
      </c>
      <c r="F1774" s="29"/>
      <c r="G1774" s="80" t="s">
        <v>8664</v>
      </c>
      <c r="H1774" s="29" t="s">
        <v>8588</v>
      </c>
      <c r="I1774" s="29" t="s">
        <v>511</v>
      </c>
      <c r="J1774" s="28"/>
      <c r="K1774" s="36" t="s">
        <v>6715</v>
      </c>
      <c r="L1774" s="27"/>
      <c r="M1774" s="76" t="s">
        <v>365</v>
      </c>
      <c r="N1774" s="29"/>
      <c r="O1774" s="56"/>
      <c r="P1774" s="31">
        <v>72000000</v>
      </c>
      <c r="Q1774" s="31"/>
      <c r="R1774" s="27"/>
      <c r="S1774" s="32"/>
      <c r="T1774" s="79">
        <v>0.15</v>
      </c>
      <c r="U1774" s="339">
        <v>44820</v>
      </c>
      <c r="V1774" s="334">
        <v>45915</v>
      </c>
      <c r="W1774" s="27" t="s">
        <v>250</v>
      </c>
      <c r="X1774" s="27"/>
      <c r="Y1774" s="34">
        <f t="shared" ca="1" si="95"/>
        <v>46290</v>
      </c>
      <c r="Z1774" s="35">
        <f t="shared" ca="1" si="92"/>
        <v>-375</v>
      </c>
      <c r="AA1774" s="27">
        <f t="shared" si="96"/>
        <v>9</v>
      </c>
      <c r="AB1774" s="27">
        <f t="shared" si="94"/>
        <v>2025</v>
      </c>
      <c r="AC1774" s="28"/>
      <c r="AD1774" s="28"/>
      <c r="AE1774" s="27"/>
      <c r="AF1774" s="27" t="s">
        <v>356</v>
      </c>
      <c r="AG1774" s="160"/>
      <c r="AH1774" s="29" t="s">
        <v>8665</v>
      </c>
      <c r="AI1774" s="27"/>
      <c r="AJ1774" s="27"/>
      <c r="AK1774" s="27"/>
      <c r="AL1774" s="27"/>
      <c r="AM1774" s="27"/>
      <c r="AN1774" s="27"/>
      <c r="AO1774" s="27"/>
      <c r="AP1774" s="27"/>
      <c r="AQ1774" s="27"/>
      <c r="AR1774" s="504"/>
      <c r="AS1774" s="332"/>
      <c r="AT1774" s="160"/>
    </row>
    <row r="1775" spans="1:46" ht="21.75" hidden="1" customHeight="1">
      <c r="A1775" s="331">
        <v>1774</v>
      </c>
      <c r="B1775" s="80" t="s">
        <v>8666</v>
      </c>
      <c r="C1775" s="80" t="s">
        <v>8667</v>
      </c>
      <c r="D1775" s="447" t="s">
        <v>8668</v>
      </c>
      <c r="E1775" s="361" t="str">
        <f t="shared" ca="1" si="91"/>
        <v>LOSS</v>
      </c>
      <c r="F1775" s="29"/>
      <c r="G1775" s="75" t="s">
        <v>8669</v>
      </c>
      <c r="H1775" s="29" t="s">
        <v>8588</v>
      </c>
      <c r="I1775" s="29" t="s">
        <v>511</v>
      </c>
      <c r="J1775" s="28" t="s">
        <v>8670</v>
      </c>
      <c r="K1775" s="29"/>
      <c r="L1775" s="27"/>
      <c r="M1775" s="76" t="s">
        <v>365</v>
      </c>
      <c r="N1775" s="29"/>
      <c r="O1775" s="56"/>
      <c r="P1775" s="31">
        <v>15600000</v>
      </c>
      <c r="Q1775" s="31"/>
      <c r="R1775" s="27"/>
      <c r="S1775" s="32"/>
      <c r="T1775" s="79">
        <v>0.12</v>
      </c>
      <c r="U1775" s="339">
        <v>45083</v>
      </c>
      <c r="V1775" s="334">
        <v>45448</v>
      </c>
      <c r="W1775" s="27" t="s">
        <v>250</v>
      </c>
      <c r="X1775" s="27"/>
      <c r="Y1775" s="34">
        <f t="shared" ca="1" si="95"/>
        <v>46290</v>
      </c>
      <c r="Z1775" s="35">
        <f t="shared" ca="1" si="92"/>
        <v>-842</v>
      </c>
      <c r="AA1775" s="27">
        <f t="shared" si="96"/>
        <v>6</v>
      </c>
      <c r="AB1775" s="27">
        <f t="shared" si="94"/>
        <v>2024</v>
      </c>
      <c r="AC1775" s="28"/>
      <c r="AD1775" s="28"/>
      <c r="AE1775" s="27"/>
      <c r="AF1775" s="27" t="s">
        <v>356</v>
      </c>
      <c r="AG1775" s="160"/>
      <c r="AH1775" s="29" t="s">
        <v>8671</v>
      </c>
      <c r="AI1775" s="27"/>
      <c r="AJ1775" s="27"/>
      <c r="AK1775" s="27"/>
      <c r="AL1775" s="27"/>
      <c r="AM1775" s="27"/>
      <c r="AN1775" s="27"/>
      <c r="AO1775" s="27"/>
      <c r="AP1775" s="27"/>
      <c r="AQ1775" s="27"/>
      <c r="AR1775" s="504"/>
      <c r="AS1775" s="332"/>
      <c r="AT1775" s="160"/>
    </row>
    <row r="1776" spans="1:46" ht="21.75" hidden="1" customHeight="1">
      <c r="A1776" s="331">
        <v>1775</v>
      </c>
      <c r="B1776" s="80" t="s">
        <v>8666</v>
      </c>
      <c r="C1776" s="80" t="s">
        <v>8672</v>
      </c>
      <c r="D1776" s="447" t="s">
        <v>8668</v>
      </c>
      <c r="E1776" s="361" t="str">
        <f t="shared" ca="1" si="91"/>
        <v>LOSS</v>
      </c>
      <c r="F1776" s="29"/>
      <c r="G1776" s="75" t="s">
        <v>8673</v>
      </c>
      <c r="H1776" s="29" t="s">
        <v>8588</v>
      </c>
      <c r="I1776" s="29" t="s">
        <v>511</v>
      </c>
      <c r="J1776" s="28" t="s">
        <v>8674</v>
      </c>
      <c r="K1776" s="29"/>
      <c r="L1776" s="27"/>
      <c r="M1776" s="76" t="s">
        <v>365</v>
      </c>
      <c r="N1776" s="29"/>
      <c r="O1776" s="56"/>
      <c r="P1776" s="31">
        <v>163636368</v>
      </c>
      <c r="Q1776" s="31"/>
      <c r="R1776" s="27"/>
      <c r="S1776" s="32"/>
      <c r="T1776" s="79">
        <v>0.25</v>
      </c>
      <c r="U1776" s="339">
        <v>44197</v>
      </c>
      <c r="V1776" s="334">
        <v>44563</v>
      </c>
      <c r="W1776" s="27" t="s">
        <v>250</v>
      </c>
      <c r="X1776" s="27"/>
      <c r="Y1776" s="34">
        <f t="shared" ca="1" si="95"/>
        <v>46290</v>
      </c>
      <c r="Z1776" s="35">
        <f t="shared" ca="1" si="92"/>
        <v>-1727</v>
      </c>
      <c r="AA1776" s="27">
        <f t="shared" si="96"/>
        <v>1</v>
      </c>
      <c r="AB1776" s="27">
        <f t="shared" si="94"/>
        <v>2022</v>
      </c>
      <c r="AC1776" s="28"/>
      <c r="AD1776" s="28"/>
      <c r="AE1776" s="27"/>
      <c r="AF1776" s="27" t="s">
        <v>356</v>
      </c>
      <c r="AG1776" s="160"/>
      <c r="AH1776" s="29" t="s">
        <v>8671</v>
      </c>
      <c r="AI1776" s="27"/>
      <c r="AJ1776" s="27"/>
      <c r="AK1776" s="27"/>
      <c r="AL1776" s="27"/>
      <c r="AM1776" s="27"/>
      <c r="AN1776" s="27"/>
      <c r="AO1776" s="27"/>
      <c r="AP1776" s="27"/>
      <c r="AQ1776" s="27"/>
      <c r="AR1776" s="504"/>
      <c r="AS1776" s="332"/>
      <c r="AT1776" s="160"/>
    </row>
    <row r="1777" spans="1:46" ht="21.75" hidden="1" customHeight="1">
      <c r="A1777" s="331">
        <v>1776</v>
      </c>
      <c r="B1777" s="80" t="s">
        <v>8675</v>
      </c>
      <c r="C1777" s="80" t="s">
        <v>8676</v>
      </c>
      <c r="D1777" s="447" t="s">
        <v>8677</v>
      </c>
      <c r="E1777" s="361" t="str">
        <f t="shared" ca="1" si="91"/>
        <v>LOSS</v>
      </c>
      <c r="F1777" s="29"/>
      <c r="G1777" s="80" t="s">
        <v>8678</v>
      </c>
      <c r="H1777" s="29" t="s">
        <v>8588</v>
      </c>
      <c r="I1777" s="29" t="s">
        <v>511</v>
      </c>
      <c r="J1777" s="28" t="s">
        <v>8679</v>
      </c>
      <c r="K1777" s="29"/>
      <c r="L1777" s="27"/>
      <c r="M1777" s="76" t="s">
        <v>353</v>
      </c>
      <c r="N1777" s="86" t="s">
        <v>406</v>
      </c>
      <c r="O1777" s="56"/>
      <c r="P1777" s="31">
        <v>97200000</v>
      </c>
      <c r="Q1777" s="31"/>
      <c r="R1777" s="27"/>
      <c r="S1777" s="32"/>
      <c r="T1777" s="79">
        <v>0.35</v>
      </c>
      <c r="U1777" s="339">
        <v>45170</v>
      </c>
      <c r="V1777" s="336">
        <v>45535</v>
      </c>
      <c r="W1777" s="27" t="s">
        <v>250</v>
      </c>
      <c r="X1777" s="27"/>
      <c r="Y1777" s="34">
        <f t="shared" ca="1" si="95"/>
        <v>46290</v>
      </c>
      <c r="Z1777" s="35">
        <f t="shared" ca="1" si="92"/>
        <v>-755</v>
      </c>
      <c r="AA1777" s="27">
        <f t="shared" si="96"/>
        <v>8</v>
      </c>
      <c r="AB1777" s="27">
        <f t="shared" si="94"/>
        <v>2024</v>
      </c>
      <c r="AC1777" s="28"/>
      <c r="AD1777" s="28"/>
      <c r="AE1777" s="27"/>
      <c r="AF1777" s="27" t="s">
        <v>356</v>
      </c>
      <c r="AG1777" s="160"/>
      <c r="AH1777" s="29" t="s">
        <v>8680</v>
      </c>
      <c r="AI1777" s="27"/>
      <c r="AJ1777" s="27"/>
      <c r="AK1777" s="27"/>
      <c r="AL1777" s="27"/>
      <c r="AM1777" s="27"/>
      <c r="AN1777" s="27"/>
      <c r="AO1777" s="27"/>
      <c r="AP1777" s="27"/>
      <c r="AQ1777" s="27"/>
      <c r="AR1777" s="504"/>
      <c r="AS1777" s="332"/>
      <c r="AT1777" s="160"/>
    </row>
    <row r="1778" spans="1:46" ht="21.75" hidden="1" customHeight="1">
      <c r="A1778" s="331">
        <v>1777</v>
      </c>
      <c r="B1778" s="80" t="s">
        <v>8675</v>
      </c>
      <c r="C1778" s="80" t="s">
        <v>8681</v>
      </c>
      <c r="D1778" s="447" t="s">
        <v>8677</v>
      </c>
      <c r="E1778" s="361" t="str">
        <f t="shared" ca="1" si="91"/>
        <v>LOSS</v>
      </c>
      <c r="F1778" s="29"/>
      <c r="G1778" s="80" t="s">
        <v>8682</v>
      </c>
      <c r="H1778" s="29" t="s">
        <v>8588</v>
      </c>
      <c r="I1778" s="29" t="s">
        <v>511</v>
      </c>
      <c r="J1778" s="87" t="s">
        <v>8683</v>
      </c>
      <c r="K1778" s="29"/>
      <c r="L1778" s="27"/>
      <c r="M1778" s="76" t="s">
        <v>353</v>
      </c>
      <c r="N1778" s="86" t="s">
        <v>389</v>
      </c>
      <c r="O1778" s="56"/>
      <c r="P1778" s="31">
        <v>171000000</v>
      </c>
      <c r="Q1778" s="31"/>
      <c r="R1778" s="27"/>
      <c r="S1778" s="32"/>
      <c r="T1778" s="79">
        <v>0.35</v>
      </c>
      <c r="U1778" s="339">
        <v>45170</v>
      </c>
      <c r="V1778" s="336">
        <v>45535</v>
      </c>
      <c r="W1778" s="27" t="s">
        <v>250</v>
      </c>
      <c r="X1778" s="27"/>
      <c r="Y1778" s="34">
        <f t="shared" ca="1" si="95"/>
        <v>46290</v>
      </c>
      <c r="Z1778" s="35">
        <f t="shared" ca="1" si="92"/>
        <v>-755</v>
      </c>
      <c r="AA1778" s="27">
        <f t="shared" si="96"/>
        <v>8</v>
      </c>
      <c r="AB1778" s="27">
        <f t="shared" si="94"/>
        <v>2024</v>
      </c>
      <c r="AC1778" s="28"/>
      <c r="AD1778" s="28"/>
      <c r="AE1778" s="27"/>
      <c r="AF1778" s="27" t="s">
        <v>356</v>
      </c>
      <c r="AG1778" s="160"/>
      <c r="AH1778" s="29" t="s">
        <v>8680</v>
      </c>
      <c r="AI1778" s="27"/>
      <c r="AJ1778" s="27"/>
      <c r="AK1778" s="27"/>
      <c r="AL1778" s="27"/>
      <c r="AM1778" s="27"/>
      <c r="AN1778" s="27"/>
      <c r="AO1778" s="27"/>
      <c r="AP1778" s="27"/>
      <c r="AQ1778" s="27"/>
      <c r="AR1778" s="504"/>
      <c r="AS1778" s="332"/>
      <c r="AT1778" s="160"/>
    </row>
    <row r="1779" spans="1:46" ht="21.75" hidden="1" customHeight="1">
      <c r="A1779" s="331">
        <v>1778</v>
      </c>
      <c r="B1779" s="80" t="s">
        <v>8675</v>
      </c>
      <c r="C1779" s="80" t="s">
        <v>8684</v>
      </c>
      <c r="D1779" s="447" t="s">
        <v>8677</v>
      </c>
      <c r="E1779" s="361" t="str">
        <f t="shared" ca="1" si="91"/>
        <v>LOSS</v>
      </c>
      <c r="F1779" s="29"/>
      <c r="G1779" s="80" t="s">
        <v>8685</v>
      </c>
      <c r="H1779" s="29" t="s">
        <v>8588</v>
      </c>
      <c r="I1779" s="29" t="s">
        <v>511</v>
      </c>
      <c r="J1779" s="87" t="s">
        <v>8686</v>
      </c>
      <c r="K1779" s="29"/>
      <c r="L1779" s="27"/>
      <c r="M1779" s="76" t="s">
        <v>353</v>
      </c>
      <c r="N1779" s="86" t="s">
        <v>354</v>
      </c>
      <c r="O1779" s="56"/>
      <c r="P1779" s="31">
        <v>90000000</v>
      </c>
      <c r="Q1779" s="31"/>
      <c r="R1779" s="27"/>
      <c r="S1779" s="32"/>
      <c r="T1779" s="79">
        <v>0.35</v>
      </c>
      <c r="U1779" s="339">
        <v>45170</v>
      </c>
      <c r="V1779" s="336">
        <v>45535</v>
      </c>
      <c r="W1779" s="27" t="s">
        <v>250</v>
      </c>
      <c r="X1779" s="27"/>
      <c r="Y1779" s="34">
        <f t="shared" ca="1" si="95"/>
        <v>46290</v>
      </c>
      <c r="Z1779" s="35">
        <f t="shared" ca="1" si="92"/>
        <v>-755</v>
      </c>
      <c r="AA1779" s="27">
        <f t="shared" si="96"/>
        <v>8</v>
      </c>
      <c r="AB1779" s="27">
        <f t="shared" si="94"/>
        <v>2024</v>
      </c>
      <c r="AC1779" s="28"/>
      <c r="AD1779" s="28"/>
      <c r="AE1779" s="27"/>
      <c r="AF1779" s="27" t="s">
        <v>356</v>
      </c>
      <c r="AG1779" s="160"/>
      <c r="AH1779" s="29" t="s">
        <v>8680</v>
      </c>
      <c r="AI1779" s="27"/>
      <c r="AJ1779" s="27"/>
      <c r="AK1779" s="27"/>
      <c r="AL1779" s="27"/>
      <c r="AM1779" s="27"/>
      <c r="AN1779" s="27"/>
      <c r="AO1779" s="27"/>
      <c r="AP1779" s="27"/>
      <c r="AQ1779" s="27"/>
      <c r="AR1779" s="504"/>
      <c r="AS1779" s="332"/>
      <c r="AT1779" s="160"/>
    </row>
    <row r="1780" spans="1:46" ht="21.75" hidden="1" customHeight="1">
      <c r="A1780" s="331">
        <v>1779</v>
      </c>
      <c r="B1780" s="80" t="s">
        <v>8675</v>
      </c>
      <c r="C1780" s="80" t="s">
        <v>8687</v>
      </c>
      <c r="D1780" s="447" t="s">
        <v>8677</v>
      </c>
      <c r="E1780" s="361" t="str">
        <f t="shared" ca="1" si="91"/>
        <v>LOSS</v>
      </c>
      <c r="F1780" s="29"/>
      <c r="G1780" s="80" t="s">
        <v>8688</v>
      </c>
      <c r="H1780" s="29" t="s">
        <v>8588</v>
      </c>
      <c r="I1780" s="29" t="s">
        <v>511</v>
      </c>
      <c r="J1780" s="87" t="s">
        <v>8686</v>
      </c>
      <c r="K1780" s="29"/>
      <c r="L1780" s="27"/>
      <c r="M1780" s="76" t="s">
        <v>353</v>
      </c>
      <c r="N1780" s="86" t="s">
        <v>8689</v>
      </c>
      <c r="O1780" s="56"/>
      <c r="P1780" s="31">
        <v>96000000</v>
      </c>
      <c r="Q1780" s="31"/>
      <c r="R1780" s="27"/>
      <c r="S1780" s="32"/>
      <c r="T1780" s="79">
        <v>0.35</v>
      </c>
      <c r="U1780" s="339">
        <v>45170</v>
      </c>
      <c r="V1780" s="336">
        <v>45535</v>
      </c>
      <c r="W1780" s="27" t="s">
        <v>250</v>
      </c>
      <c r="X1780" s="27"/>
      <c r="Y1780" s="34">
        <f t="shared" ca="1" si="95"/>
        <v>46290</v>
      </c>
      <c r="Z1780" s="35">
        <f t="shared" ca="1" si="92"/>
        <v>-755</v>
      </c>
      <c r="AA1780" s="27">
        <f t="shared" si="96"/>
        <v>8</v>
      </c>
      <c r="AB1780" s="27">
        <f t="shared" si="94"/>
        <v>2024</v>
      </c>
      <c r="AC1780" s="28"/>
      <c r="AD1780" s="28"/>
      <c r="AE1780" s="27"/>
      <c r="AF1780" s="27" t="s">
        <v>356</v>
      </c>
      <c r="AG1780" s="160"/>
      <c r="AH1780" s="29" t="s">
        <v>8680</v>
      </c>
      <c r="AI1780" s="27"/>
      <c r="AJ1780" s="27"/>
      <c r="AK1780" s="27"/>
      <c r="AL1780" s="27"/>
      <c r="AM1780" s="27"/>
      <c r="AN1780" s="27"/>
      <c r="AO1780" s="27"/>
      <c r="AP1780" s="27"/>
      <c r="AQ1780" s="27"/>
      <c r="AR1780" s="504"/>
      <c r="AS1780" s="332"/>
      <c r="AT1780" s="160"/>
    </row>
    <row r="1781" spans="1:46" ht="21.75" hidden="1" customHeight="1">
      <c r="A1781" s="331">
        <v>1780</v>
      </c>
      <c r="B1781" s="80" t="s">
        <v>8675</v>
      </c>
      <c r="C1781" s="80" t="s">
        <v>8690</v>
      </c>
      <c r="D1781" s="447" t="s">
        <v>8677</v>
      </c>
      <c r="E1781" s="361" t="str">
        <f t="shared" ca="1" si="91"/>
        <v>LOSS</v>
      </c>
      <c r="F1781" s="29"/>
      <c r="G1781" s="80" t="s">
        <v>8691</v>
      </c>
      <c r="H1781" s="29" t="s">
        <v>8588</v>
      </c>
      <c r="I1781" s="29" t="s">
        <v>511</v>
      </c>
      <c r="J1781" s="87" t="s">
        <v>8692</v>
      </c>
      <c r="K1781" s="29"/>
      <c r="L1781" s="27"/>
      <c r="M1781" s="76" t="s">
        <v>353</v>
      </c>
      <c r="N1781" s="86" t="s">
        <v>468</v>
      </c>
      <c r="O1781" s="56"/>
      <c r="P1781" s="31">
        <v>64800000</v>
      </c>
      <c r="Q1781" s="31"/>
      <c r="R1781" s="27"/>
      <c r="S1781" s="32"/>
      <c r="T1781" s="79">
        <v>0.35</v>
      </c>
      <c r="U1781" s="339">
        <v>45170</v>
      </c>
      <c r="V1781" s="336">
        <v>45535</v>
      </c>
      <c r="W1781" s="27" t="s">
        <v>250</v>
      </c>
      <c r="X1781" s="27"/>
      <c r="Y1781" s="34">
        <f t="shared" ca="1" si="95"/>
        <v>46290</v>
      </c>
      <c r="Z1781" s="35">
        <f t="shared" ca="1" si="92"/>
        <v>-755</v>
      </c>
      <c r="AA1781" s="27">
        <f t="shared" si="96"/>
        <v>8</v>
      </c>
      <c r="AB1781" s="27">
        <f t="shared" si="94"/>
        <v>2024</v>
      </c>
      <c r="AC1781" s="28"/>
      <c r="AD1781" s="28"/>
      <c r="AE1781" s="27"/>
      <c r="AF1781" s="27" t="s">
        <v>356</v>
      </c>
      <c r="AG1781" s="160"/>
      <c r="AH1781" s="29" t="s">
        <v>8680</v>
      </c>
      <c r="AI1781" s="27"/>
      <c r="AJ1781" s="27"/>
      <c r="AK1781" s="27"/>
      <c r="AL1781" s="27"/>
      <c r="AM1781" s="27"/>
      <c r="AN1781" s="27"/>
      <c r="AO1781" s="27"/>
      <c r="AP1781" s="27"/>
      <c r="AQ1781" s="27"/>
      <c r="AR1781" s="504"/>
      <c r="AS1781" s="332"/>
      <c r="AT1781" s="160"/>
    </row>
    <row r="1782" spans="1:46" ht="21.75" hidden="1" customHeight="1">
      <c r="A1782" s="331">
        <v>1781</v>
      </c>
      <c r="B1782" s="80" t="s">
        <v>8675</v>
      </c>
      <c r="C1782" s="80" t="s">
        <v>8693</v>
      </c>
      <c r="D1782" s="447" t="s">
        <v>8677</v>
      </c>
      <c r="E1782" s="361" t="str">
        <f t="shared" ca="1" si="91"/>
        <v>LOSS</v>
      </c>
      <c r="F1782" s="29"/>
      <c r="G1782" s="80" t="s">
        <v>8694</v>
      </c>
      <c r="H1782" s="29" t="s">
        <v>8588</v>
      </c>
      <c r="I1782" s="29" t="s">
        <v>511</v>
      </c>
      <c r="J1782" s="87" t="s">
        <v>8695</v>
      </c>
      <c r="K1782" s="29"/>
      <c r="L1782" s="27"/>
      <c r="M1782" s="76" t="s">
        <v>353</v>
      </c>
      <c r="N1782" s="86" t="s">
        <v>354</v>
      </c>
      <c r="O1782" s="56"/>
      <c r="P1782" s="31">
        <v>60000000</v>
      </c>
      <c r="Q1782" s="31"/>
      <c r="R1782" s="27"/>
      <c r="S1782" s="32"/>
      <c r="T1782" s="79">
        <v>0.35</v>
      </c>
      <c r="U1782" s="339">
        <v>45170</v>
      </c>
      <c r="V1782" s="336">
        <v>45535</v>
      </c>
      <c r="W1782" s="27" t="s">
        <v>250</v>
      </c>
      <c r="X1782" s="27"/>
      <c r="Y1782" s="34">
        <f t="shared" ca="1" si="95"/>
        <v>46290</v>
      </c>
      <c r="Z1782" s="35">
        <f t="shared" ca="1" si="92"/>
        <v>-755</v>
      </c>
      <c r="AA1782" s="27">
        <f t="shared" si="96"/>
        <v>8</v>
      </c>
      <c r="AB1782" s="27">
        <f t="shared" si="94"/>
        <v>2024</v>
      </c>
      <c r="AC1782" s="28"/>
      <c r="AD1782" s="28"/>
      <c r="AE1782" s="27"/>
      <c r="AF1782" s="27" t="s">
        <v>356</v>
      </c>
      <c r="AG1782" s="160"/>
      <c r="AH1782" s="29" t="s">
        <v>8680</v>
      </c>
      <c r="AI1782" s="27"/>
      <c r="AJ1782" s="27"/>
      <c r="AK1782" s="27"/>
      <c r="AL1782" s="27"/>
      <c r="AM1782" s="27"/>
      <c r="AN1782" s="27"/>
      <c r="AO1782" s="27"/>
      <c r="AP1782" s="27"/>
      <c r="AQ1782" s="27"/>
      <c r="AR1782" s="504"/>
      <c r="AS1782" s="332"/>
      <c r="AT1782" s="160"/>
    </row>
    <row r="1783" spans="1:46" ht="21.75" hidden="1" customHeight="1">
      <c r="A1783" s="331">
        <v>1782</v>
      </c>
      <c r="B1783" s="80" t="s">
        <v>8675</v>
      </c>
      <c r="C1783" s="80" t="s">
        <v>8696</v>
      </c>
      <c r="D1783" s="447" t="s">
        <v>8677</v>
      </c>
      <c r="E1783" s="361" t="str">
        <f t="shared" ca="1" si="91"/>
        <v>LOSS</v>
      </c>
      <c r="F1783" s="29"/>
      <c r="G1783" s="80" t="s">
        <v>8697</v>
      </c>
      <c r="H1783" s="29" t="s">
        <v>8588</v>
      </c>
      <c r="I1783" s="29" t="s">
        <v>511</v>
      </c>
      <c r="J1783" s="87" t="s">
        <v>8698</v>
      </c>
      <c r="K1783" s="29"/>
      <c r="L1783" s="27"/>
      <c r="M1783" s="76" t="s">
        <v>353</v>
      </c>
      <c r="N1783" s="86" t="s">
        <v>406</v>
      </c>
      <c r="O1783" s="56"/>
      <c r="P1783" s="31">
        <v>117000000</v>
      </c>
      <c r="Q1783" s="31"/>
      <c r="R1783" s="27"/>
      <c r="S1783" s="32"/>
      <c r="T1783" s="79">
        <v>0.35</v>
      </c>
      <c r="U1783" s="339">
        <v>45170</v>
      </c>
      <c r="V1783" s="336">
        <v>45535</v>
      </c>
      <c r="W1783" s="27" t="s">
        <v>250</v>
      </c>
      <c r="X1783" s="27"/>
      <c r="Y1783" s="34">
        <f t="shared" ca="1" si="95"/>
        <v>46290</v>
      </c>
      <c r="Z1783" s="35">
        <f t="shared" ca="1" si="92"/>
        <v>-755</v>
      </c>
      <c r="AA1783" s="27">
        <f t="shared" si="96"/>
        <v>8</v>
      </c>
      <c r="AB1783" s="27">
        <f t="shared" si="94"/>
        <v>2024</v>
      </c>
      <c r="AC1783" s="28"/>
      <c r="AD1783" s="28"/>
      <c r="AE1783" s="27"/>
      <c r="AF1783" s="27" t="s">
        <v>356</v>
      </c>
      <c r="AG1783" s="160"/>
      <c r="AH1783" s="29" t="s">
        <v>8680</v>
      </c>
      <c r="AI1783" s="27"/>
      <c r="AJ1783" s="27"/>
      <c r="AK1783" s="27"/>
      <c r="AL1783" s="27"/>
      <c r="AM1783" s="27"/>
      <c r="AN1783" s="27"/>
      <c r="AO1783" s="27"/>
      <c r="AP1783" s="27"/>
      <c r="AQ1783" s="27"/>
      <c r="AR1783" s="504"/>
      <c r="AS1783" s="332"/>
      <c r="AT1783" s="160"/>
    </row>
    <row r="1784" spans="1:46" ht="21.75" hidden="1" customHeight="1">
      <c r="A1784" s="331">
        <v>1783</v>
      </c>
      <c r="B1784" s="80" t="s">
        <v>8675</v>
      </c>
      <c r="C1784" s="80" t="s">
        <v>8699</v>
      </c>
      <c r="D1784" s="447" t="s">
        <v>8677</v>
      </c>
      <c r="E1784" s="361" t="str">
        <f t="shared" ca="1" si="91"/>
        <v>LOSS</v>
      </c>
      <c r="F1784" s="29"/>
      <c r="G1784" s="80" t="s">
        <v>8700</v>
      </c>
      <c r="H1784" s="29" t="s">
        <v>8588</v>
      </c>
      <c r="I1784" s="29" t="s">
        <v>511</v>
      </c>
      <c r="J1784" s="87" t="s">
        <v>8701</v>
      </c>
      <c r="K1784" s="29"/>
      <c r="L1784" s="27"/>
      <c r="M1784" s="76" t="s">
        <v>353</v>
      </c>
      <c r="N1784" s="97" t="s">
        <v>8702</v>
      </c>
      <c r="O1784" s="56"/>
      <c r="P1784" s="31">
        <v>78000000</v>
      </c>
      <c r="Q1784" s="31"/>
      <c r="R1784" s="27"/>
      <c r="S1784" s="32"/>
      <c r="T1784" s="79">
        <v>0.35</v>
      </c>
      <c r="U1784" s="339">
        <v>45170</v>
      </c>
      <c r="V1784" s="336">
        <v>45535</v>
      </c>
      <c r="W1784" s="27" t="s">
        <v>250</v>
      </c>
      <c r="X1784" s="27"/>
      <c r="Y1784" s="34">
        <f t="shared" ca="1" si="95"/>
        <v>46290</v>
      </c>
      <c r="Z1784" s="35">
        <f t="shared" ca="1" si="92"/>
        <v>-755</v>
      </c>
      <c r="AA1784" s="27">
        <f t="shared" si="96"/>
        <v>8</v>
      </c>
      <c r="AB1784" s="27">
        <f t="shared" si="94"/>
        <v>2024</v>
      </c>
      <c r="AC1784" s="28"/>
      <c r="AD1784" s="28"/>
      <c r="AE1784" s="27"/>
      <c r="AF1784" s="27" t="s">
        <v>356</v>
      </c>
      <c r="AG1784" s="160"/>
      <c r="AH1784" s="29" t="s">
        <v>8680</v>
      </c>
      <c r="AI1784" s="27"/>
      <c r="AJ1784" s="27"/>
      <c r="AK1784" s="27"/>
      <c r="AL1784" s="27"/>
      <c r="AM1784" s="27"/>
      <c r="AN1784" s="27"/>
      <c r="AO1784" s="27"/>
      <c r="AP1784" s="27"/>
      <c r="AQ1784" s="27"/>
      <c r="AR1784" s="504"/>
      <c r="AS1784" s="332"/>
      <c r="AT1784" s="160"/>
    </row>
    <row r="1785" spans="1:46" ht="21.75" hidden="1" customHeight="1">
      <c r="A1785" s="331">
        <v>1784</v>
      </c>
      <c r="B1785" s="80" t="s">
        <v>8675</v>
      </c>
      <c r="C1785" s="80" t="s">
        <v>8703</v>
      </c>
      <c r="D1785" s="447" t="s">
        <v>8677</v>
      </c>
      <c r="E1785" s="361" t="str">
        <f t="shared" ca="1" si="91"/>
        <v>LOSS</v>
      </c>
      <c r="F1785" s="29"/>
      <c r="G1785" s="80" t="s">
        <v>8704</v>
      </c>
      <c r="H1785" s="29" t="s">
        <v>8588</v>
      </c>
      <c r="I1785" s="29" t="s">
        <v>511</v>
      </c>
      <c r="J1785" s="87" t="s">
        <v>8705</v>
      </c>
      <c r="K1785" s="29"/>
      <c r="L1785" s="27"/>
      <c r="M1785" s="76" t="s">
        <v>353</v>
      </c>
      <c r="N1785" s="86" t="s">
        <v>362</v>
      </c>
      <c r="O1785" s="56"/>
      <c r="P1785" s="31">
        <v>120000000</v>
      </c>
      <c r="Q1785" s="31"/>
      <c r="R1785" s="27"/>
      <c r="S1785" s="32"/>
      <c r="T1785" s="79">
        <v>0.35</v>
      </c>
      <c r="U1785" s="339">
        <v>45170</v>
      </c>
      <c r="V1785" s="336">
        <v>45535</v>
      </c>
      <c r="W1785" s="27" t="s">
        <v>250</v>
      </c>
      <c r="X1785" s="27"/>
      <c r="Y1785" s="34">
        <f t="shared" ca="1" si="95"/>
        <v>46290</v>
      </c>
      <c r="Z1785" s="35">
        <f t="shared" ca="1" si="92"/>
        <v>-755</v>
      </c>
      <c r="AA1785" s="27">
        <f t="shared" si="96"/>
        <v>8</v>
      </c>
      <c r="AB1785" s="27">
        <f t="shared" si="94"/>
        <v>2024</v>
      </c>
      <c r="AC1785" s="28"/>
      <c r="AD1785" s="28"/>
      <c r="AE1785" s="27"/>
      <c r="AF1785" s="27" t="s">
        <v>356</v>
      </c>
      <c r="AG1785" s="160"/>
      <c r="AH1785" s="29" t="s">
        <v>8680</v>
      </c>
      <c r="AI1785" s="27"/>
      <c r="AJ1785" s="27"/>
      <c r="AK1785" s="27"/>
      <c r="AL1785" s="27"/>
      <c r="AM1785" s="27"/>
      <c r="AN1785" s="27"/>
      <c r="AO1785" s="27"/>
      <c r="AP1785" s="27"/>
      <c r="AQ1785" s="27"/>
      <c r="AR1785" s="504"/>
      <c r="AS1785" s="332"/>
      <c r="AT1785" s="160"/>
    </row>
    <row r="1786" spans="1:46" ht="21.75" hidden="1" customHeight="1">
      <c r="A1786" s="331">
        <v>1785</v>
      </c>
      <c r="B1786" s="80" t="s">
        <v>8675</v>
      </c>
      <c r="C1786" s="80" t="s">
        <v>8706</v>
      </c>
      <c r="D1786" s="447" t="s">
        <v>8677</v>
      </c>
      <c r="E1786" s="361" t="str">
        <f t="shared" ca="1" si="91"/>
        <v>LOSS</v>
      </c>
      <c r="F1786" s="29"/>
      <c r="G1786" s="80" t="s">
        <v>8707</v>
      </c>
      <c r="H1786" s="29" t="s">
        <v>8588</v>
      </c>
      <c r="I1786" s="29" t="s">
        <v>511</v>
      </c>
      <c r="J1786" s="87" t="s">
        <v>8708</v>
      </c>
      <c r="K1786" s="29"/>
      <c r="L1786" s="27"/>
      <c r="M1786" s="76" t="s">
        <v>8709</v>
      </c>
      <c r="N1786" s="86" t="s">
        <v>362</v>
      </c>
      <c r="O1786" s="56"/>
      <c r="P1786" s="31">
        <v>162000000</v>
      </c>
      <c r="Q1786" s="31"/>
      <c r="R1786" s="27"/>
      <c r="S1786" s="32"/>
      <c r="T1786" s="79">
        <v>0.35</v>
      </c>
      <c r="U1786" s="339">
        <v>45170</v>
      </c>
      <c r="V1786" s="336">
        <v>45535</v>
      </c>
      <c r="W1786" s="27" t="s">
        <v>250</v>
      </c>
      <c r="X1786" s="27"/>
      <c r="Y1786" s="34">
        <f t="shared" ca="1" si="95"/>
        <v>46290</v>
      </c>
      <c r="Z1786" s="35">
        <f t="shared" ca="1" si="92"/>
        <v>-755</v>
      </c>
      <c r="AA1786" s="27">
        <f t="shared" si="96"/>
        <v>8</v>
      </c>
      <c r="AB1786" s="27">
        <f t="shared" si="94"/>
        <v>2024</v>
      </c>
      <c r="AC1786" s="28"/>
      <c r="AD1786" s="28"/>
      <c r="AE1786" s="27"/>
      <c r="AF1786" s="27" t="s">
        <v>356</v>
      </c>
      <c r="AG1786" s="160"/>
      <c r="AH1786" s="29" t="s">
        <v>8680</v>
      </c>
      <c r="AI1786" s="27"/>
      <c r="AJ1786" s="27"/>
      <c r="AK1786" s="27"/>
      <c r="AL1786" s="27"/>
      <c r="AM1786" s="27"/>
      <c r="AN1786" s="27"/>
      <c r="AO1786" s="27"/>
      <c r="AP1786" s="27"/>
      <c r="AQ1786" s="27"/>
      <c r="AR1786" s="504"/>
      <c r="AS1786" s="332"/>
      <c r="AT1786" s="160"/>
    </row>
    <row r="1787" spans="1:46" ht="21.75" hidden="1" customHeight="1">
      <c r="A1787" s="331">
        <v>1786</v>
      </c>
      <c r="B1787" s="88" t="s">
        <v>8710</v>
      </c>
      <c r="C1787" s="88" t="s">
        <v>8711</v>
      </c>
      <c r="D1787" s="447" t="s">
        <v>8712</v>
      </c>
      <c r="E1787" s="361" t="str">
        <f t="shared" ca="1" si="91"/>
        <v>LOSS</v>
      </c>
      <c r="F1787" s="29"/>
      <c r="G1787" s="80" t="s">
        <v>8713</v>
      </c>
      <c r="H1787" s="29" t="s">
        <v>8588</v>
      </c>
      <c r="I1787" s="29" t="s">
        <v>511</v>
      </c>
      <c r="J1787" s="38"/>
      <c r="K1787" s="36" t="s">
        <v>8714</v>
      </c>
      <c r="L1787" s="27"/>
      <c r="M1787" s="76" t="s">
        <v>329</v>
      </c>
      <c r="N1787" s="29"/>
      <c r="O1787" s="56"/>
      <c r="P1787" s="31">
        <v>21427044</v>
      </c>
      <c r="Q1787" s="31"/>
      <c r="R1787" s="27"/>
      <c r="S1787" s="32"/>
      <c r="T1787" s="79">
        <v>0.2</v>
      </c>
      <c r="U1787" s="338">
        <v>44771</v>
      </c>
      <c r="V1787" s="334">
        <v>45501</v>
      </c>
      <c r="W1787" s="27" t="s">
        <v>250</v>
      </c>
      <c r="X1787" s="27"/>
      <c r="Y1787" s="34">
        <f t="shared" ca="1" si="95"/>
        <v>46290</v>
      </c>
      <c r="Z1787" s="35">
        <f t="shared" ca="1" si="92"/>
        <v>-789</v>
      </c>
      <c r="AA1787" s="27">
        <f t="shared" si="96"/>
        <v>7</v>
      </c>
      <c r="AB1787" s="27">
        <f t="shared" si="94"/>
        <v>2024</v>
      </c>
      <c r="AC1787" s="28"/>
      <c r="AD1787" s="28"/>
      <c r="AE1787" s="27"/>
      <c r="AF1787" s="27" t="s">
        <v>356</v>
      </c>
      <c r="AG1787" s="160"/>
      <c r="AH1787" s="29" t="s">
        <v>8715</v>
      </c>
      <c r="AI1787" s="27"/>
      <c r="AJ1787" s="27"/>
      <c r="AK1787" s="27"/>
      <c r="AL1787" s="27"/>
      <c r="AM1787" s="27"/>
      <c r="AN1787" s="27"/>
      <c r="AO1787" s="27"/>
      <c r="AP1787" s="27"/>
      <c r="AQ1787" s="27"/>
      <c r="AR1787" s="504"/>
      <c r="AS1787" s="332" t="s">
        <v>8716</v>
      </c>
      <c r="AT1787" s="160"/>
    </row>
    <row r="1788" spans="1:46" ht="21.75" customHeight="1">
      <c r="A1788" s="331">
        <v>1787</v>
      </c>
      <c r="B1788" s="88" t="s">
        <v>8717</v>
      </c>
      <c r="C1788" s="88" t="s">
        <v>8718</v>
      </c>
      <c r="D1788" s="447" t="s">
        <v>8719</v>
      </c>
      <c r="E1788" s="361" t="str">
        <f t="shared" ca="1" si="91"/>
        <v>LOSS</v>
      </c>
      <c r="F1788" s="29"/>
      <c r="G1788" s="80" t="s">
        <v>8720</v>
      </c>
      <c r="H1788" s="29" t="s">
        <v>8588</v>
      </c>
      <c r="I1788" s="29" t="s">
        <v>511</v>
      </c>
      <c r="J1788" s="86" t="s">
        <v>8721</v>
      </c>
      <c r="K1788" s="29"/>
      <c r="L1788" s="27"/>
      <c r="M1788" s="76" t="s">
        <v>329</v>
      </c>
      <c r="N1788" s="29"/>
      <c r="O1788" s="56"/>
      <c r="P1788" s="31">
        <v>65454540</v>
      </c>
      <c r="Q1788" s="31"/>
      <c r="R1788" s="27"/>
      <c r="S1788" s="32"/>
      <c r="T1788" s="79">
        <v>0.2</v>
      </c>
      <c r="U1788" s="338">
        <v>44259</v>
      </c>
      <c r="V1788" s="334">
        <v>44624</v>
      </c>
      <c r="W1788" s="27" t="s">
        <v>17</v>
      </c>
      <c r="X1788" s="27"/>
      <c r="Y1788" s="34">
        <f t="shared" ca="1" si="95"/>
        <v>46290</v>
      </c>
      <c r="Z1788" s="35">
        <f ca="1">V1788-Y1788</f>
        <v>-1666</v>
      </c>
      <c r="AA1788" s="27">
        <f t="shared" si="96"/>
        <v>3</v>
      </c>
      <c r="AB1788" s="27">
        <f t="shared" si="94"/>
        <v>2022</v>
      </c>
      <c r="AC1788" s="28"/>
      <c r="AD1788" s="28"/>
      <c r="AE1788" s="27"/>
      <c r="AF1788" s="27" t="s">
        <v>356</v>
      </c>
      <c r="AG1788" s="160"/>
      <c r="AH1788" s="29" t="s">
        <v>8722</v>
      </c>
      <c r="AI1788" s="27"/>
      <c r="AJ1788" s="27"/>
      <c r="AK1788" s="27"/>
      <c r="AL1788" s="27"/>
      <c r="AM1788" s="27"/>
      <c r="AN1788" s="27"/>
      <c r="AO1788" s="27"/>
      <c r="AP1788" s="27"/>
      <c r="AQ1788" s="27"/>
      <c r="AR1788" s="504"/>
      <c r="AS1788" s="332"/>
      <c r="AT1788" s="160"/>
    </row>
    <row r="1789" spans="1:46" ht="21.75" customHeight="1">
      <c r="A1789" s="331">
        <v>1788</v>
      </c>
      <c r="B1789" s="88" t="s">
        <v>8717</v>
      </c>
      <c r="C1789" s="88" t="s">
        <v>8723</v>
      </c>
      <c r="D1789" s="447" t="s">
        <v>8719</v>
      </c>
      <c r="E1789" s="361" t="str">
        <f t="shared" ca="1" si="91"/>
        <v>LOSS</v>
      </c>
      <c r="F1789" s="29"/>
      <c r="G1789" s="80" t="s">
        <v>8724</v>
      </c>
      <c r="H1789" s="29" t="s">
        <v>8588</v>
      </c>
      <c r="I1789" s="29" t="s">
        <v>511</v>
      </c>
      <c r="J1789" s="86" t="s">
        <v>8725</v>
      </c>
      <c r="K1789" s="29"/>
      <c r="L1789" s="27"/>
      <c r="M1789" s="76" t="s">
        <v>365</v>
      </c>
      <c r="N1789" s="29"/>
      <c r="O1789" s="56"/>
      <c r="P1789" s="31">
        <v>240000000</v>
      </c>
      <c r="Q1789" s="31"/>
      <c r="R1789" s="27"/>
      <c r="S1789" s="32"/>
      <c r="T1789" s="79">
        <v>0.2</v>
      </c>
      <c r="U1789" s="338">
        <v>44259</v>
      </c>
      <c r="V1789" s="334">
        <v>44624</v>
      </c>
      <c r="W1789" s="27" t="s">
        <v>17</v>
      </c>
      <c r="X1789" s="27"/>
      <c r="Y1789" s="34">
        <f t="shared" ca="1" si="95"/>
        <v>46290</v>
      </c>
      <c r="Z1789" s="35">
        <f t="shared" ca="1" si="92"/>
        <v>-1666</v>
      </c>
      <c r="AA1789" s="27">
        <f t="shared" si="96"/>
        <v>3</v>
      </c>
      <c r="AB1789" s="27">
        <f t="shared" si="94"/>
        <v>2022</v>
      </c>
      <c r="AC1789" s="28"/>
      <c r="AD1789" s="28"/>
      <c r="AE1789" s="27"/>
      <c r="AF1789" s="27" t="s">
        <v>356</v>
      </c>
      <c r="AG1789" s="160"/>
      <c r="AH1789" s="29" t="s">
        <v>8722</v>
      </c>
      <c r="AI1789" s="27"/>
      <c r="AJ1789" s="27"/>
      <c r="AK1789" s="27"/>
      <c r="AL1789" s="27"/>
      <c r="AM1789" s="27"/>
      <c r="AN1789" s="27"/>
      <c r="AO1789" s="27"/>
      <c r="AP1789" s="27"/>
      <c r="AQ1789" s="27"/>
      <c r="AR1789" s="504"/>
      <c r="AS1789" s="332"/>
      <c r="AT1789" s="160"/>
    </row>
    <row r="1790" spans="1:46" ht="21.75" customHeight="1">
      <c r="A1790" s="331">
        <v>1789</v>
      </c>
      <c r="B1790" s="88" t="s">
        <v>8717</v>
      </c>
      <c r="C1790" s="88" t="s">
        <v>8723</v>
      </c>
      <c r="D1790" s="447" t="s">
        <v>8719</v>
      </c>
      <c r="E1790" s="361" t="str">
        <f t="shared" ca="1" si="91"/>
        <v>LOSS</v>
      </c>
      <c r="F1790" s="29"/>
      <c r="G1790" s="80" t="s">
        <v>8724</v>
      </c>
      <c r="H1790" s="29" t="s">
        <v>8588</v>
      </c>
      <c r="I1790" s="29" t="s">
        <v>511</v>
      </c>
      <c r="J1790" s="86" t="s">
        <v>8726</v>
      </c>
      <c r="K1790" s="29"/>
      <c r="L1790" s="27"/>
      <c r="M1790" s="76" t="s">
        <v>365</v>
      </c>
      <c r="N1790" s="29"/>
      <c r="O1790" s="56"/>
      <c r="P1790" s="31">
        <v>240000000</v>
      </c>
      <c r="Q1790" s="31"/>
      <c r="R1790" s="27"/>
      <c r="S1790" s="32"/>
      <c r="T1790" s="79">
        <v>0.2</v>
      </c>
      <c r="U1790" s="338">
        <v>44259</v>
      </c>
      <c r="V1790" s="334">
        <v>44624</v>
      </c>
      <c r="W1790" s="27" t="s">
        <v>17</v>
      </c>
      <c r="X1790" s="27"/>
      <c r="Y1790" s="34">
        <f t="shared" ca="1" si="95"/>
        <v>46290</v>
      </c>
      <c r="Z1790" s="35">
        <f t="shared" ca="1" si="92"/>
        <v>-1666</v>
      </c>
      <c r="AA1790" s="27">
        <f t="shared" si="96"/>
        <v>3</v>
      </c>
      <c r="AB1790" s="27">
        <f t="shared" si="94"/>
        <v>2022</v>
      </c>
      <c r="AC1790" s="28"/>
      <c r="AD1790" s="28"/>
      <c r="AE1790" s="27"/>
      <c r="AF1790" s="27" t="s">
        <v>356</v>
      </c>
      <c r="AG1790" s="160"/>
      <c r="AH1790" s="29" t="s">
        <v>8722</v>
      </c>
      <c r="AI1790" s="27"/>
      <c r="AJ1790" s="27"/>
      <c r="AK1790" s="27"/>
      <c r="AL1790" s="27"/>
      <c r="AM1790" s="27"/>
      <c r="AN1790" s="27"/>
      <c r="AO1790" s="27"/>
      <c r="AP1790" s="27"/>
      <c r="AQ1790" s="27"/>
      <c r="AR1790" s="504"/>
      <c r="AS1790" s="332"/>
      <c r="AT1790" s="160"/>
    </row>
    <row r="1791" spans="1:46" ht="21.75" customHeight="1">
      <c r="A1791" s="331">
        <v>1790</v>
      </c>
      <c r="B1791" s="88" t="s">
        <v>8717</v>
      </c>
      <c r="C1791" s="88" t="s">
        <v>8727</v>
      </c>
      <c r="D1791" s="447" t="s">
        <v>8719</v>
      </c>
      <c r="E1791" s="361" t="str">
        <f t="shared" ca="1" si="91"/>
        <v>LOSS</v>
      </c>
      <c r="F1791" s="29"/>
      <c r="G1791" s="80" t="s">
        <v>8728</v>
      </c>
      <c r="H1791" s="29" t="s">
        <v>8588</v>
      </c>
      <c r="I1791" s="29" t="s">
        <v>511</v>
      </c>
      <c r="J1791" s="86" t="s">
        <v>8729</v>
      </c>
      <c r="K1791" s="29"/>
      <c r="L1791" s="27"/>
      <c r="M1791" s="76" t="s">
        <v>329</v>
      </c>
      <c r="N1791" s="29"/>
      <c r="O1791" s="56"/>
      <c r="P1791" s="31">
        <v>450000000</v>
      </c>
      <c r="Q1791" s="31"/>
      <c r="R1791" s="27"/>
      <c r="S1791" s="32"/>
      <c r="T1791" s="79">
        <v>0.2</v>
      </c>
      <c r="U1791" s="338">
        <v>44259</v>
      </c>
      <c r="V1791" s="334">
        <v>44624</v>
      </c>
      <c r="W1791" s="27" t="s">
        <v>17</v>
      </c>
      <c r="X1791" s="27"/>
      <c r="Y1791" s="34">
        <f t="shared" ca="1" si="95"/>
        <v>46290</v>
      </c>
      <c r="Z1791" s="35">
        <f t="shared" ca="1" si="92"/>
        <v>-1666</v>
      </c>
      <c r="AA1791" s="27">
        <f t="shared" si="96"/>
        <v>3</v>
      </c>
      <c r="AB1791" s="27">
        <f t="shared" si="94"/>
        <v>2022</v>
      </c>
      <c r="AC1791" s="28"/>
      <c r="AD1791" s="28"/>
      <c r="AE1791" s="27"/>
      <c r="AF1791" s="27" t="s">
        <v>356</v>
      </c>
      <c r="AG1791" s="160"/>
      <c r="AH1791" s="29" t="s">
        <v>8722</v>
      </c>
      <c r="AI1791" s="27"/>
      <c r="AJ1791" s="27"/>
      <c r="AK1791" s="27"/>
      <c r="AL1791" s="27"/>
      <c r="AM1791" s="27"/>
      <c r="AN1791" s="27"/>
      <c r="AO1791" s="27"/>
      <c r="AP1791" s="27"/>
      <c r="AQ1791" s="27"/>
      <c r="AR1791" s="504"/>
      <c r="AS1791" s="332"/>
      <c r="AT1791" s="160"/>
    </row>
    <row r="1792" spans="1:46" ht="21.75" customHeight="1">
      <c r="A1792" s="331">
        <v>1791</v>
      </c>
      <c r="B1792" s="88" t="s">
        <v>8717</v>
      </c>
      <c r="C1792" s="88" t="s">
        <v>8727</v>
      </c>
      <c r="D1792" s="447" t="s">
        <v>8719</v>
      </c>
      <c r="E1792" s="361" t="str">
        <f t="shared" ca="1" si="91"/>
        <v>LOSS</v>
      </c>
      <c r="F1792" s="29"/>
      <c r="G1792" s="80" t="s">
        <v>8728</v>
      </c>
      <c r="H1792" s="29" t="s">
        <v>8588</v>
      </c>
      <c r="I1792" s="29" t="s">
        <v>511</v>
      </c>
      <c r="J1792" s="89" t="s">
        <v>8730</v>
      </c>
      <c r="K1792" s="29"/>
      <c r="L1792" s="27"/>
      <c r="M1792" s="76" t="s">
        <v>365</v>
      </c>
      <c r="N1792" s="29"/>
      <c r="O1792" s="56"/>
      <c r="P1792" s="31">
        <v>172200000</v>
      </c>
      <c r="Q1792" s="31"/>
      <c r="R1792" s="27"/>
      <c r="S1792" s="32"/>
      <c r="T1792" s="79">
        <v>0.2</v>
      </c>
      <c r="U1792" s="338">
        <v>44259</v>
      </c>
      <c r="V1792" s="334">
        <v>44624</v>
      </c>
      <c r="W1792" s="27" t="s">
        <v>17</v>
      </c>
      <c r="X1792" s="27"/>
      <c r="Y1792" s="34">
        <f t="shared" ca="1" si="95"/>
        <v>46290</v>
      </c>
      <c r="Z1792" s="35">
        <f t="shared" ca="1" si="92"/>
        <v>-1666</v>
      </c>
      <c r="AA1792" s="27">
        <f t="shared" si="96"/>
        <v>3</v>
      </c>
      <c r="AB1792" s="27">
        <f t="shared" si="94"/>
        <v>2022</v>
      </c>
      <c r="AC1792" s="28"/>
      <c r="AD1792" s="28"/>
      <c r="AE1792" s="27"/>
      <c r="AF1792" s="27" t="s">
        <v>356</v>
      </c>
      <c r="AG1792" s="160"/>
      <c r="AH1792" s="29" t="s">
        <v>8722</v>
      </c>
      <c r="AI1792" s="27"/>
      <c r="AJ1792" s="27"/>
      <c r="AK1792" s="27"/>
      <c r="AL1792" s="27"/>
      <c r="AM1792" s="27"/>
      <c r="AN1792" s="27"/>
      <c r="AO1792" s="27"/>
      <c r="AP1792" s="27"/>
      <c r="AQ1792" s="27"/>
      <c r="AR1792" s="504"/>
      <c r="AS1792" s="332"/>
      <c r="AT1792" s="160"/>
    </row>
    <row r="1793" spans="1:46" ht="21.75" customHeight="1">
      <c r="A1793" s="331">
        <v>1792</v>
      </c>
      <c r="B1793" s="88" t="s">
        <v>8717</v>
      </c>
      <c r="C1793" s="88" t="s">
        <v>8731</v>
      </c>
      <c r="D1793" s="447" t="s">
        <v>8719</v>
      </c>
      <c r="E1793" s="361" t="str">
        <f t="shared" ca="1" si="91"/>
        <v>LOSS</v>
      </c>
      <c r="F1793" s="29"/>
      <c r="G1793" s="80" t="s">
        <v>8728</v>
      </c>
      <c r="H1793" s="29" t="s">
        <v>8588</v>
      </c>
      <c r="I1793" s="29" t="s">
        <v>511</v>
      </c>
      <c r="J1793" s="86" t="s">
        <v>8732</v>
      </c>
      <c r="K1793" s="29"/>
      <c r="L1793" s="27"/>
      <c r="M1793" s="76" t="s">
        <v>8733</v>
      </c>
      <c r="N1793" s="29"/>
      <c r="O1793" s="56"/>
      <c r="P1793" s="31">
        <v>307200000</v>
      </c>
      <c r="Q1793" s="31"/>
      <c r="R1793" s="27"/>
      <c r="S1793" s="32"/>
      <c r="T1793" s="79">
        <v>0.2</v>
      </c>
      <c r="U1793" s="338">
        <v>44259</v>
      </c>
      <c r="V1793" s="334">
        <v>44624</v>
      </c>
      <c r="W1793" s="27" t="s">
        <v>17</v>
      </c>
      <c r="X1793" s="27"/>
      <c r="Y1793" s="34">
        <f t="shared" ca="1" si="95"/>
        <v>46290</v>
      </c>
      <c r="Z1793" s="35">
        <f t="shared" ca="1" si="92"/>
        <v>-1666</v>
      </c>
      <c r="AA1793" s="27">
        <f t="shared" si="96"/>
        <v>3</v>
      </c>
      <c r="AB1793" s="27">
        <f t="shared" si="94"/>
        <v>2022</v>
      </c>
      <c r="AC1793" s="28"/>
      <c r="AD1793" s="28"/>
      <c r="AE1793" s="27"/>
      <c r="AF1793" s="27" t="s">
        <v>356</v>
      </c>
      <c r="AG1793" s="160"/>
      <c r="AH1793" s="29" t="s">
        <v>8722</v>
      </c>
      <c r="AI1793" s="27"/>
      <c r="AJ1793" s="27"/>
      <c r="AK1793" s="27"/>
      <c r="AL1793" s="27"/>
      <c r="AM1793" s="27"/>
      <c r="AN1793" s="27"/>
      <c r="AO1793" s="27"/>
      <c r="AP1793" s="27"/>
      <c r="AQ1793" s="27"/>
      <c r="AR1793" s="504"/>
      <c r="AS1793" s="332"/>
      <c r="AT1793" s="160"/>
    </row>
    <row r="1794" spans="1:46" ht="21.75" customHeight="1">
      <c r="A1794" s="331">
        <v>1793</v>
      </c>
      <c r="B1794" s="88" t="s">
        <v>8717</v>
      </c>
      <c r="C1794" s="88" t="s">
        <v>8734</v>
      </c>
      <c r="D1794" s="447" t="s">
        <v>8719</v>
      </c>
      <c r="E1794" s="361" t="str">
        <f t="shared" ref="E1794:E1857" ca="1" si="97">IF(Z1794&lt;=0, "LOSS",IF(Z1794&lt;=15, "CRITICAL",IF(Z1794&lt;=30, "WARNING",IF(Z1794&lt;60, "ATTENTION", "ON TRACK"))))</f>
        <v>LOSS</v>
      </c>
      <c r="F1794" s="29"/>
      <c r="G1794" s="80" t="s">
        <v>8728</v>
      </c>
      <c r="H1794" s="29" t="s">
        <v>8588</v>
      </c>
      <c r="I1794" s="29" t="s">
        <v>511</v>
      </c>
      <c r="J1794" s="86" t="s">
        <v>8735</v>
      </c>
      <c r="K1794" s="29"/>
      <c r="L1794" s="27"/>
      <c r="M1794" s="76" t="s">
        <v>329</v>
      </c>
      <c r="N1794" s="29"/>
      <c r="O1794" s="56"/>
      <c r="P1794" s="31">
        <v>120000000</v>
      </c>
      <c r="Q1794" s="31"/>
      <c r="R1794" s="27"/>
      <c r="S1794" s="32"/>
      <c r="T1794" s="79">
        <v>0.2</v>
      </c>
      <c r="U1794" s="338">
        <v>44259</v>
      </c>
      <c r="V1794" s="334">
        <v>44624</v>
      </c>
      <c r="W1794" s="27" t="s">
        <v>17</v>
      </c>
      <c r="X1794" s="27"/>
      <c r="Y1794" s="34">
        <f t="shared" ca="1" si="95"/>
        <v>46290</v>
      </c>
      <c r="Z1794" s="35">
        <f t="shared" ca="1" si="92"/>
        <v>-1666</v>
      </c>
      <c r="AA1794" s="27">
        <f t="shared" si="96"/>
        <v>3</v>
      </c>
      <c r="AB1794" s="27">
        <f t="shared" si="94"/>
        <v>2022</v>
      </c>
      <c r="AC1794" s="28"/>
      <c r="AD1794" s="28"/>
      <c r="AE1794" s="27"/>
      <c r="AF1794" s="27" t="s">
        <v>356</v>
      </c>
      <c r="AG1794" s="160"/>
      <c r="AH1794" s="29" t="s">
        <v>8722</v>
      </c>
      <c r="AI1794" s="27"/>
      <c r="AJ1794" s="27"/>
      <c r="AK1794" s="27"/>
      <c r="AL1794" s="27"/>
      <c r="AM1794" s="27"/>
      <c r="AN1794" s="27"/>
      <c r="AO1794" s="27"/>
      <c r="AP1794" s="27"/>
      <c r="AQ1794" s="27"/>
      <c r="AR1794" s="504"/>
      <c r="AS1794" s="332"/>
      <c r="AT1794" s="160"/>
    </row>
    <row r="1795" spans="1:46" ht="21.75" hidden="1" customHeight="1">
      <c r="A1795" s="331">
        <v>1794</v>
      </c>
      <c r="B1795" s="80" t="s">
        <v>8736</v>
      </c>
      <c r="C1795" s="80" t="s">
        <v>8737</v>
      </c>
      <c r="D1795" s="447" t="s">
        <v>8738</v>
      </c>
      <c r="E1795" s="361" t="str">
        <f t="shared" ca="1" si="97"/>
        <v>LOSS</v>
      </c>
      <c r="F1795" s="29"/>
      <c r="G1795" s="90" t="s">
        <v>8739</v>
      </c>
      <c r="H1795" s="29" t="s">
        <v>8588</v>
      </c>
      <c r="I1795" s="29" t="s">
        <v>511</v>
      </c>
      <c r="J1795" s="91" t="s">
        <v>8740</v>
      </c>
      <c r="K1795" s="29"/>
      <c r="L1795" s="27"/>
      <c r="M1795" s="76" t="s">
        <v>329</v>
      </c>
      <c r="N1795" s="29"/>
      <c r="O1795" s="56"/>
      <c r="P1795" s="31">
        <v>36000000</v>
      </c>
      <c r="Q1795" s="31"/>
      <c r="R1795" s="27"/>
      <c r="S1795" s="32"/>
      <c r="T1795" s="79">
        <v>0.15</v>
      </c>
      <c r="U1795" s="338">
        <v>44727</v>
      </c>
      <c r="V1795" s="334">
        <v>45091</v>
      </c>
      <c r="W1795" s="27" t="s">
        <v>250</v>
      </c>
      <c r="X1795" s="27"/>
      <c r="Y1795" s="34">
        <f t="shared" ca="1" si="95"/>
        <v>46290</v>
      </c>
      <c r="Z1795" s="35">
        <f t="shared" ca="1" si="92"/>
        <v>-1199</v>
      </c>
      <c r="AA1795" s="27">
        <f t="shared" si="96"/>
        <v>6</v>
      </c>
      <c r="AB1795" s="27">
        <f t="shared" si="94"/>
        <v>2023</v>
      </c>
      <c r="AC1795" s="28"/>
      <c r="AD1795" s="28"/>
      <c r="AE1795" s="27"/>
      <c r="AF1795" s="27" t="s">
        <v>356</v>
      </c>
      <c r="AG1795" s="160"/>
      <c r="AH1795" s="29" t="s">
        <v>8741</v>
      </c>
      <c r="AI1795" s="27"/>
      <c r="AJ1795" s="27"/>
      <c r="AK1795" s="27"/>
      <c r="AL1795" s="27"/>
      <c r="AM1795" s="27"/>
      <c r="AN1795" s="27"/>
      <c r="AO1795" s="27"/>
      <c r="AP1795" s="27"/>
      <c r="AQ1795" s="27"/>
      <c r="AR1795" s="504"/>
      <c r="AS1795" s="332"/>
      <c r="AT1795" s="160"/>
    </row>
    <row r="1796" spans="1:46" ht="21.75" hidden="1" customHeight="1">
      <c r="A1796" s="331">
        <v>1795</v>
      </c>
      <c r="B1796" s="80" t="s">
        <v>8736</v>
      </c>
      <c r="C1796" s="80" t="s">
        <v>8742</v>
      </c>
      <c r="D1796" s="447" t="s">
        <v>8738</v>
      </c>
      <c r="E1796" s="361" t="str">
        <f t="shared" ca="1" si="97"/>
        <v>LOSS</v>
      </c>
      <c r="F1796" s="29"/>
      <c r="G1796" s="80" t="s">
        <v>8743</v>
      </c>
      <c r="H1796" s="29" t="s">
        <v>8588</v>
      </c>
      <c r="I1796" s="29" t="s">
        <v>511</v>
      </c>
      <c r="J1796" s="92" t="s">
        <v>8744</v>
      </c>
      <c r="K1796" s="29"/>
      <c r="L1796" s="27"/>
      <c r="M1796" s="76" t="s">
        <v>365</v>
      </c>
      <c r="N1796" s="29"/>
      <c r="O1796" s="56"/>
      <c r="P1796" s="31">
        <v>198000000</v>
      </c>
      <c r="Q1796" s="31"/>
      <c r="R1796" s="27"/>
      <c r="S1796" s="32"/>
      <c r="T1796" s="79">
        <v>0.15</v>
      </c>
      <c r="U1796" s="338">
        <v>44727</v>
      </c>
      <c r="V1796" s="334">
        <v>45091</v>
      </c>
      <c r="W1796" s="27" t="s">
        <v>250</v>
      </c>
      <c r="X1796" s="27"/>
      <c r="Y1796" s="34">
        <f t="shared" ca="1" si="95"/>
        <v>46290</v>
      </c>
      <c r="Z1796" s="35">
        <f t="shared" ca="1" si="92"/>
        <v>-1199</v>
      </c>
      <c r="AA1796" s="27">
        <f t="shared" si="96"/>
        <v>6</v>
      </c>
      <c r="AB1796" s="27">
        <f t="shared" si="94"/>
        <v>2023</v>
      </c>
      <c r="AC1796" s="28"/>
      <c r="AD1796" s="28"/>
      <c r="AE1796" s="27"/>
      <c r="AF1796" s="27" t="s">
        <v>356</v>
      </c>
      <c r="AG1796" s="160"/>
      <c r="AH1796" s="29" t="s">
        <v>8741</v>
      </c>
      <c r="AI1796" s="27"/>
      <c r="AJ1796" s="27"/>
      <c r="AK1796" s="27"/>
      <c r="AL1796" s="27"/>
      <c r="AM1796" s="27"/>
      <c r="AN1796" s="27"/>
      <c r="AO1796" s="27"/>
      <c r="AP1796" s="27"/>
      <c r="AQ1796" s="27"/>
      <c r="AR1796" s="504"/>
      <c r="AS1796" s="332"/>
      <c r="AT1796" s="160"/>
    </row>
    <row r="1797" spans="1:46" ht="21.75" hidden="1" customHeight="1">
      <c r="A1797" s="331">
        <v>1796</v>
      </c>
      <c r="B1797" s="80" t="s">
        <v>8736</v>
      </c>
      <c r="C1797" s="80" t="s">
        <v>8745</v>
      </c>
      <c r="D1797" s="447" t="s">
        <v>8738</v>
      </c>
      <c r="E1797" s="361" t="str">
        <f t="shared" ca="1" si="97"/>
        <v>LOSS</v>
      </c>
      <c r="F1797" s="29"/>
      <c r="G1797" s="93" t="s">
        <v>8746</v>
      </c>
      <c r="H1797" s="29" t="s">
        <v>8588</v>
      </c>
      <c r="I1797" s="29" t="s">
        <v>511</v>
      </c>
      <c r="J1797" s="92" t="s">
        <v>8747</v>
      </c>
      <c r="K1797" s="29"/>
      <c r="L1797" s="27"/>
      <c r="M1797" s="76" t="s">
        <v>365</v>
      </c>
      <c r="N1797" s="29"/>
      <c r="O1797" s="56"/>
      <c r="P1797" s="31">
        <v>180000000</v>
      </c>
      <c r="Q1797" s="31"/>
      <c r="R1797" s="27"/>
      <c r="S1797" s="32"/>
      <c r="T1797" s="79">
        <v>0.15</v>
      </c>
      <c r="U1797" s="338">
        <v>44727</v>
      </c>
      <c r="V1797" s="334">
        <v>45091</v>
      </c>
      <c r="W1797" s="27" t="s">
        <v>250</v>
      </c>
      <c r="X1797" s="27"/>
      <c r="Y1797" s="34">
        <f t="shared" ca="1" si="95"/>
        <v>46290</v>
      </c>
      <c r="Z1797" s="35">
        <f t="shared" ref="Z1797:Z1814" ca="1" si="98">V1797-Y1797</f>
        <v>-1199</v>
      </c>
      <c r="AA1797" s="27">
        <f t="shared" si="96"/>
        <v>6</v>
      </c>
      <c r="AB1797" s="27">
        <f t="shared" si="94"/>
        <v>2023</v>
      </c>
      <c r="AC1797" s="28"/>
      <c r="AD1797" s="28"/>
      <c r="AE1797" s="27"/>
      <c r="AF1797" s="27" t="s">
        <v>356</v>
      </c>
      <c r="AG1797" s="160"/>
      <c r="AH1797" s="29" t="s">
        <v>8741</v>
      </c>
      <c r="AI1797" s="27"/>
      <c r="AJ1797" s="27"/>
      <c r="AK1797" s="27"/>
      <c r="AL1797" s="27"/>
      <c r="AM1797" s="27"/>
      <c r="AN1797" s="27"/>
      <c r="AO1797" s="27"/>
      <c r="AP1797" s="27"/>
      <c r="AQ1797" s="27"/>
      <c r="AR1797" s="504"/>
      <c r="AS1797" s="332"/>
      <c r="AT1797" s="160"/>
    </row>
    <row r="1798" spans="1:46" ht="21.75" hidden="1" customHeight="1">
      <c r="A1798" s="331">
        <v>1797</v>
      </c>
      <c r="B1798" s="80" t="s">
        <v>8736</v>
      </c>
      <c r="C1798" s="80" t="s">
        <v>8748</v>
      </c>
      <c r="D1798" s="447" t="s">
        <v>8738</v>
      </c>
      <c r="E1798" s="361" t="str">
        <f t="shared" ca="1" si="97"/>
        <v>LOSS</v>
      </c>
      <c r="F1798" s="29"/>
      <c r="G1798" s="93" t="s">
        <v>8749</v>
      </c>
      <c r="H1798" s="29" t="s">
        <v>8588</v>
      </c>
      <c r="I1798" s="29" t="s">
        <v>511</v>
      </c>
      <c r="J1798" s="92" t="s">
        <v>8750</v>
      </c>
      <c r="K1798" s="29"/>
      <c r="L1798" s="27"/>
      <c r="M1798" s="76" t="s">
        <v>365</v>
      </c>
      <c r="N1798" s="29"/>
      <c r="O1798" s="56"/>
      <c r="P1798" s="31">
        <v>42000000</v>
      </c>
      <c r="Q1798" s="31"/>
      <c r="R1798" s="27"/>
      <c r="S1798" s="32"/>
      <c r="T1798" s="79">
        <v>0.15</v>
      </c>
      <c r="U1798" s="338">
        <v>44727</v>
      </c>
      <c r="V1798" s="334">
        <v>45091</v>
      </c>
      <c r="W1798" s="27" t="s">
        <v>250</v>
      </c>
      <c r="X1798" s="27"/>
      <c r="Y1798" s="34">
        <f t="shared" ca="1" si="95"/>
        <v>46290</v>
      </c>
      <c r="Z1798" s="35">
        <f t="shared" ca="1" si="98"/>
        <v>-1199</v>
      </c>
      <c r="AA1798" s="27">
        <f t="shared" si="96"/>
        <v>6</v>
      </c>
      <c r="AB1798" s="27">
        <f t="shared" si="94"/>
        <v>2023</v>
      </c>
      <c r="AC1798" s="28"/>
      <c r="AD1798" s="28"/>
      <c r="AE1798" s="27"/>
      <c r="AF1798" s="27" t="s">
        <v>356</v>
      </c>
      <c r="AG1798" s="160"/>
      <c r="AH1798" s="29" t="s">
        <v>8741</v>
      </c>
      <c r="AI1798" s="27"/>
      <c r="AJ1798" s="27"/>
      <c r="AK1798" s="27"/>
      <c r="AL1798" s="27"/>
      <c r="AM1798" s="27"/>
      <c r="AN1798" s="27"/>
      <c r="AO1798" s="27"/>
      <c r="AP1798" s="27"/>
      <c r="AQ1798" s="27"/>
      <c r="AR1798" s="504"/>
      <c r="AS1798" s="332"/>
      <c r="AT1798" s="160"/>
    </row>
    <row r="1799" spans="1:46" ht="21.75" hidden="1" customHeight="1">
      <c r="A1799" s="331">
        <v>1798</v>
      </c>
      <c r="B1799" s="80" t="s">
        <v>8751</v>
      </c>
      <c r="C1799" s="80" t="s">
        <v>2144</v>
      </c>
      <c r="D1799" s="447" t="s">
        <v>8752</v>
      </c>
      <c r="E1799" s="361" t="str">
        <f t="shared" ca="1" si="97"/>
        <v>LOSS</v>
      </c>
      <c r="F1799" s="29"/>
      <c r="G1799" s="80" t="s">
        <v>8753</v>
      </c>
      <c r="H1799" s="29" t="s">
        <v>8588</v>
      </c>
      <c r="I1799" s="29" t="s">
        <v>511</v>
      </c>
      <c r="J1799" s="28"/>
      <c r="K1799" s="94" t="s">
        <v>8754</v>
      </c>
      <c r="L1799" s="27"/>
      <c r="M1799" s="76" t="s">
        <v>365</v>
      </c>
      <c r="N1799" s="29" t="s">
        <v>6735</v>
      </c>
      <c r="O1799" s="56"/>
      <c r="P1799" s="31">
        <v>36000000</v>
      </c>
      <c r="Q1799" s="31"/>
      <c r="R1799" s="27"/>
      <c r="S1799" s="32"/>
      <c r="T1799" s="79">
        <v>0.15</v>
      </c>
      <c r="U1799" s="338">
        <v>45231</v>
      </c>
      <c r="V1799" s="334">
        <v>45596</v>
      </c>
      <c r="W1799" s="27" t="s">
        <v>250</v>
      </c>
      <c r="X1799" s="27"/>
      <c r="Y1799" s="34">
        <f t="shared" ca="1" si="95"/>
        <v>46290</v>
      </c>
      <c r="Z1799" s="35">
        <f t="shared" ca="1" si="98"/>
        <v>-694</v>
      </c>
      <c r="AA1799" s="27">
        <f t="shared" si="96"/>
        <v>10</v>
      </c>
      <c r="AB1799" s="27">
        <f t="shared" si="94"/>
        <v>2024</v>
      </c>
      <c r="AC1799" s="28"/>
      <c r="AD1799" s="28"/>
      <c r="AE1799" s="27"/>
      <c r="AF1799" s="27" t="s">
        <v>356</v>
      </c>
      <c r="AG1799" s="160"/>
      <c r="AH1799" s="29" t="s">
        <v>8755</v>
      </c>
      <c r="AI1799" s="27"/>
      <c r="AJ1799" s="27"/>
      <c r="AK1799" s="27"/>
      <c r="AL1799" s="27"/>
      <c r="AM1799" s="27"/>
      <c r="AN1799" s="27"/>
      <c r="AO1799" s="27"/>
      <c r="AP1799" s="27"/>
      <c r="AQ1799" s="27"/>
      <c r="AR1799" s="504"/>
      <c r="AS1799" s="332"/>
      <c r="AT1799" s="160"/>
    </row>
    <row r="1800" spans="1:46" ht="21.75" hidden="1" customHeight="1">
      <c r="A1800" s="331">
        <v>1799</v>
      </c>
      <c r="B1800" s="80" t="s">
        <v>8751</v>
      </c>
      <c r="C1800" s="80" t="s">
        <v>8756</v>
      </c>
      <c r="D1800" s="447" t="s">
        <v>8752</v>
      </c>
      <c r="E1800" s="361" t="str">
        <f t="shared" ca="1" si="97"/>
        <v>LOSS</v>
      </c>
      <c r="F1800" s="29"/>
      <c r="G1800" s="80" t="s">
        <v>8757</v>
      </c>
      <c r="H1800" s="29" t="s">
        <v>8588</v>
      </c>
      <c r="I1800" s="29" t="s">
        <v>511</v>
      </c>
      <c r="J1800" s="28"/>
      <c r="K1800" s="94" t="s">
        <v>8758</v>
      </c>
      <c r="L1800" s="27"/>
      <c r="M1800" s="76" t="s">
        <v>8759</v>
      </c>
      <c r="N1800" s="29" t="s">
        <v>494</v>
      </c>
      <c r="O1800" s="56"/>
      <c r="P1800" s="31">
        <v>54000000</v>
      </c>
      <c r="Q1800" s="31"/>
      <c r="R1800" s="27"/>
      <c r="S1800" s="32"/>
      <c r="T1800" s="79">
        <v>0.15</v>
      </c>
      <c r="U1800" s="338">
        <v>45231</v>
      </c>
      <c r="V1800" s="334">
        <v>45596</v>
      </c>
      <c r="W1800" s="27" t="s">
        <v>250</v>
      </c>
      <c r="X1800" s="27"/>
      <c r="Y1800" s="34">
        <f t="shared" ca="1" si="95"/>
        <v>46290</v>
      </c>
      <c r="Z1800" s="35">
        <f t="shared" ca="1" si="98"/>
        <v>-694</v>
      </c>
      <c r="AA1800" s="27">
        <f t="shared" si="96"/>
        <v>10</v>
      </c>
      <c r="AB1800" s="27">
        <f t="shared" ref="AB1800:AB1814" si="99">YEAR(V1800)</f>
        <v>2024</v>
      </c>
      <c r="AC1800" s="28"/>
      <c r="AD1800" s="28"/>
      <c r="AE1800" s="27"/>
      <c r="AF1800" s="27" t="s">
        <v>356</v>
      </c>
      <c r="AG1800" s="160"/>
      <c r="AH1800" s="29" t="s">
        <v>8755</v>
      </c>
      <c r="AI1800" s="27"/>
      <c r="AJ1800" s="27"/>
      <c r="AK1800" s="27"/>
      <c r="AL1800" s="27"/>
      <c r="AM1800" s="27"/>
      <c r="AN1800" s="27"/>
      <c r="AO1800" s="27"/>
      <c r="AP1800" s="27"/>
      <c r="AQ1800" s="27"/>
      <c r="AR1800" s="504"/>
      <c r="AS1800" s="332"/>
      <c r="AT1800" s="160"/>
    </row>
    <row r="1801" spans="1:46" ht="21.75" hidden="1" customHeight="1">
      <c r="A1801" s="331">
        <v>1800</v>
      </c>
      <c r="B1801" s="88" t="s">
        <v>8760</v>
      </c>
      <c r="C1801" s="88" t="s">
        <v>8760</v>
      </c>
      <c r="D1801" s="447" t="s">
        <v>8761</v>
      </c>
      <c r="E1801" s="361" t="str">
        <f t="shared" ca="1" si="97"/>
        <v>LOSS</v>
      </c>
      <c r="F1801" s="29"/>
      <c r="G1801" s="80" t="s">
        <v>8762</v>
      </c>
      <c r="H1801" s="29" t="s">
        <v>8588</v>
      </c>
      <c r="I1801" s="29" t="s">
        <v>511</v>
      </c>
      <c r="J1801" s="28"/>
      <c r="K1801" s="36" t="s">
        <v>7695</v>
      </c>
      <c r="L1801" s="27"/>
      <c r="M1801" s="76" t="s">
        <v>353</v>
      </c>
      <c r="N1801" s="29" t="s">
        <v>406</v>
      </c>
      <c r="O1801" s="56"/>
      <c r="P1801" s="31">
        <v>114000000</v>
      </c>
      <c r="Q1801" s="31"/>
      <c r="R1801" s="27"/>
      <c r="S1801" s="32"/>
      <c r="T1801" s="79">
        <v>0.15</v>
      </c>
      <c r="U1801" s="338">
        <v>45537</v>
      </c>
      <c r="V1801" s="334">
        <v>45901</v>
      </c>
      <c r="W1801" s="27" t="s">
        <v>250</v>
      </c>
      <c r="X1801" s="27"/>
      <c r="Y1801" s="34">
        <f t="shared" ca="1" si="95"/>
        <v>46290</v>
      </c>
      <c r="Z1801" s="35">
        <f t="shared" ca="1" si="98"/>
        <v>-389</v>
      </c>
      <c r="AA1801" s="27">
        <f>MONTH(Table1[[#This Row],[End]])</f>
        <v>9</v>
      </c>
      <c r="AB1801" s="27">
        <f t="shared" si="99"/>
        <v>2025</v>
      </c>
      <c r="AC1801" s="28"/>
      <c r="AD1801" s="28"/>
      <c r="AE1801" s="27"/>
      <c r="AF1801" s="27" t="s">
        <v>356</v>
      </c>
      <c r="AG1801" s="160"/>
      <c r="AH1801" s="29" t="s">
        <v>8763</v>
      </c>
      <c r="AI1801" s="27"/>
      <c r="AJ1801" s="27"/>
      <c r="AK1801" s="27"/>
      <c r="AL1801" s="27"/>
      <c r="AM1801" s="27"/>
      <c r="AN1801" s="27"/>
      <c r="AO1801" s="27"/>
      <c r="AP1801" s="27"/>
      <c r="AQ1801" s="27"/>
      <c r="AR1801" s="504"/>
      <c r="AS1801" s="332" t="s">
        <v>8764</v>
      </c>
      <c r="AT1801" s="160"/>
    </row>
    <row r="1802" spans="1:46" ht="21.75" hidden="1" customHeight="1">
      <c r="A1802" s="331">
        <v>1801</v>
      </c>
      <c r="B1802" s="80" t="s">
        <v>8765</v>
      </c>
      <c r="C1802" s="80" t="s">
        <v>8766</v>
      </c>
      <c r="D1802" s="447" t="s">
        <v>8767</v>
      </c>
      <c r="E1802" s="361" t="str">
        <f t="shared" ca="1" si="97"/>
        <v>LOSS</v>
      </c>
      <c r="F1802" s="29"/>
      <c r="G1802" s="80" t="s">
        <v>8768</v>
      </c>
      <c r="H1802" s="29" t="s">
        <v>8588</v>
      </c>
      <c r="I1802" s="29" t="s">
        <v>511</v>
      </c>
      <c r="J1802" s="28"/>
      <c r="K1802" s="94" t="s">
        <v>8769</v>
      </c>
      <c r="L1802" s="27"/>
      <c r="M1802" s="95" t="s">
        <v>365</v>
      </c>
      <c r="N1802" s="86" t="s">
        <v>389</v>
      </c>
      <c r="O1802" s="56"/>
      <c r="P1802" s="31">
        <v>126600000</v>
      </c>
      <c r="Q1802" s="31"/>
      <c r="R1802" s="27"/>
      <c r="S1802" s="32"/>
      <c r="T1802" s="79">
        <v>0.2</v>
      </c>
      <c r="U1802" s="338">
        <v>45352</v>
      </c>
      <c r="V1802" s="334">
        <v>45716</v>
      </c>
      <c r="W1802" s="27" t="s">
        <v>250</v>
      </c>
      <c r="X1802" s="27"/>
      <c r="Y1802" s="34">
        <f t="shared" ca="1" si="95"/>
        <v>46290</v>
      </c>
      <c r="Z1802" s="35">
        <f t="shared" ca="1" si="98"/>
        <v>-574</v>
      </c>
      <c r="AA1802" s="27">
        <f t="shared" ref="AA1802:AA1814" si="100">MONTH(V1802)</f>
        <v>2</v>
      </c>
      <c r="AB1802" s="27">
        <f t="shared" si="99"/>
        <v>2025</v>
      </c>
      <c r="AC1802" s="28"/>
      <c r="AD1802" s="28"/>
      <c r="AE1802" s="27"/>
      <c r="AF1802" s="27" t="s">
        <v>356</v>
      </c>
      <c r="AG1802" s="160"/>
      <c r="AH1802" s="29" t="s">
        <v>8770</v>
      </c>
      <c r="AI1802" s="27"/>
      <c r="AJ1802" s="27"/>
      <c r="AK1802" s="27"/>
      <c r="AL1802" s="27"/>
      <c r="AM1802" s="27"/>
      <c r="AN1802" s="27"/>
      <c r="AO1802" s="27"/>
      <c r="AP1802" s="27"/>
      <c r="AQ1802" s="27"/>
      <c r="AR1802" s="504"/>
      <c r="AS1802" s="332"/>
      <c r="AT1802" s="160"/>
    </row>
    <row r="1803" spans="1:46" ht="21.75" hidden="1" customHeight="1">
      <c r="A1803" s="331">
        <v>1802</v>
      </c>
      <c r="B1803" s="80" t="s">
        <v>8765</v>
      </c>
      <c r="C1803" s="80" t="s">
        <v>8766</v>
      </c>
      <c r="D1803" s="447" t="s">
        <v>8767</v>
      </c>
      <c r="E1803" s="361" t="str">
        <f t="shared" ca="1" si="97"/>
        <v>LOSS</v>
      </c>
      <c r="F1803" s="29"/>
      <c r="G1803" s="80" t="s">
        <v>8768</v>
      </c>
      <c r="H1803" s="29" t="s">
        <v>8588</v>
      </c>
      <c r="I1803" s="29" t="s">
        <v>511</v>
      </c>
      <c r="J1803" s="28"/>
      <c r="K1803" s="94" t="s">
        <v>8771</v>
      </c>
      <c r="L1803" s="27"/>
      <c r="M1803" s="95" t="s">
        <v>8772</v>
      </c>
      <c r="N1803" s="86" t="s">
        <v>362</v>
      </c>
      <c r="O1803" s="56"/>
      <c r="P1803" s="31">
        <v>48000000</v>
      </c>
      <c r="Q1803" s="31"/>
      <c r="R1803" s="27"/>
      <c r="S1803" s="32"/>
      <c r="T1803" s="79">
        <v>0.2</v>
      </c>
      <c r="U1803" s="338">
        <v>45352</v>
      </c>
      <c r="V1803" s="334">
        <v>45716</v>
      </c>
      <c r="W1803" s="27" t="s">
        <v>250</v>
      </c>
      <c r="X1803" s="27"/>
      <c r="Y1803" s="34">
        <f t="shared" ref="Y1803:Y1866" ca="1" si="101">TODAY()</f>
        <v>46290</v>
      </c>
      <c r="Z1803" s="35">
        <f t="shared" ca="1" si="98"/>
        <v>-574</v>
      </c>
      <c r="AA1803" s="27">
        <f t="shared" si="100"/>
        <v>2</v>
      </c>
      <c r="AB1803" s="27">
        <f t="shared" si="99"/>
        <v>2025</v>
      </c>
      <c r="AC1803" s="28"/>
      <c r="AD1803" s="28"/>
      <c r="AE1803" s="27"/>
      <c r="AF1803" s="27" t="s">
        <v>356</v>
      </c>
      <c r="AG1803" s="160"/>
      <c r="AH1803" s="29" t="s">
        <v>8770</v>
      </c>
      <c r="AI1803" s="27"/>
      <c r="AJ1803" s="27"/>
      <c r="AK1803" s="27"/>
      <c r="AL1803" s="27"/>
      <c r="AM1803" s="27"/>
      <c r="AN1803" s="27"/>
      <c r="AO1803" s="27"/>
      <c r="AP1803" s="27"/>
      <c r="AQ1803" s="27"/>
      <c r="AR1803" s="504"/>
      <c r="AS1803" s="332"/>
      <c r="AT1803" s="160"/>
    </row>
    <row r="1804" spans="1:46" ht="21.75" hidden="1" customHeight="1">
      <c r="A1804" s="331">
        <v>1803</v>
      </c>
      <c r="B1804" s="80" t="s">
        <v>8765</v>
      </c>
      <c r="C1804" s="80" t="s">
        <v>8766</v>
      </c>
      <c r="D1804" s="447" t="s">
        <v>8767</v>
      </c>
      <c r="E1804" s="361" t="str">
        <f t="shared" ca="1" si="97"/>
        <v>LOSS</v>
      </c>
      <c r="F1804" s="29"/>
      <c r="G1804" s="80" t="s">
        <v>8768</v>
      </c>
      <c r="H1804" s="29" t="s">
        <v>8588</v>
      </c>
      <c r="I1804" s="29" t="s">
        <v>511</v>
      </c>
      <c r="J1804" s="28"/>
      <c r="K1804" s="94" t="s">
        <v>8773</v>
      </c>
      <c r="L1804" s="27"/>
      <c r="M1804" s="95" t="s">
        <v>8774</v>
      </c>
      <c r="N1804" s="105"/>
      <c r="O1804" s="56"/>
      <c r="P1804" s="31">
        <v>42000000</v>
      </c>
      <c r="Q1804" s="31"/>
      <c r="R1804" s="27"/>
      <c r="S1804" s="32"/>
      <c r="T1804" s="79">
        <v>0.2</v>
      </c>
      <c r="U1804" s="338">
        <v>45352</v>
      </c>
      <c r="V1804" s="334">
        <v>45716</v>
      </c>
      <c r="W1804" s="27" t="s">
        <v>250</v>
      </c>
      <c r="X1804" s="27"/>
      <c r="Y1804" s="34">
        <f t="shared" ca="1" si="101"/>
        <v>46290</v>
      </c>
      <c r="Z1804" s="35">
        <f t="shared" ca="1" si="98"/>
        <v>-574</v>
      </c>
      <c r="AA1804" s="27">
        <f t="shared" si="100"/>
        <v>2</v>
      </c>
      <c r="AB1804" s="27">
        <f t="shared" si="99"/>
        <v>2025</v>
      </c>
      <c r="AC1804" s="28"/>
      <c r="AD1804" s="28"/>
      <c r="AE1804" s="27"/>
      <c r="AF1804" s="27" t="s">
        <v>356</v>
      </c>
      <c r="AG1804" s="160"/>
      <c r="AH1804" s="29" t="s">
        <v>8770</v>
      </c>
      <c r="AI1804" s="27"/>
      <c r="AJ1804" s="27"/>
      <c r="AK1804" s="27"/>
      <c r="AL1804" s="27"/>
      <c r="AM1804" s="27"/>
      <c r="AN1804" s="27"/>
      <c r="AO1804" s="27"/>
      <c r="AP1804" s="27"/>
      <c r="AQ1804" s="27"/>
      <c r="AR1804" s="504"/>
      <c r="AS1804" s="332"/>
      <c r="AT1804" s="160"/>
    </row>
    <row r="1805" spans="1:46" ht="21.75" hidden="1" customHeight="1">
      <c r="A1805" s="331">
        <v>1804</v>
      </c>
      <c r="B1805" s="80" t="s">
        <v>8765</v>
      </c>
      <c r="C1805" s="80" t="s">
        <v>8766</v>
      </c>
      <c r="D1805" s="447" t="s">
        <v>8767</v>
      </c>
      <c r="E1805" s="361" t="str">
        <f t="shared" ca="1" si="97"/>
        <v>LOSS</v>
      </c>
      <c r="F1805" s="29"/>
      <c r="G1805" s="80" t="s">
        <v>8775</v>
      </c>
      <c r="H1805" s="29" t="s">
        <v>8588</v>
      </c>
      <c r="I1805" s="29" t="s">
        <v>511</v>
      </c>
      <c r="J1805" s="28"/>
      <c r="K1805" s="94" t="s">
        <v>8776</v>
      </c>
      <c r="L1805" s="27"/>
      <c r="M1805" s="95" t="s">
        <v>8777</v>
      </c>
      <c r="N1805" s="86" t="s">
        <v>6885</v>
      </c>
      <c r="O1805" s="56"/>
      <c r="P1805" s="31">
        <v>22800000</v>
      </c>
      <c r="Q1805" s="31"/>
      <c r="R1805" s="27"/>
      <c r="S1805" s="32"/>
      <c r="T1805" s="79">
        <v>0.2</v>
      </c>
      <c r="U1805" s="338">
        <v>45352</v>
      </c>
      <c r="V1805" s="334">
        <v>45716</v>
      </c>
      <c r="W1805" s="27" t="s">
        <v>250</v>
      </c>
      <c r="X1805" s="27"/>
      <c r="Y1805" s="34">
        <f t="shared" ca="1" si="101"/>
        <v>46290</v>
      </c>
      <c r="Z1805" s="35">
        <f t="shared" ca="1" si="98"/>
        <v>-574</v>
      </c>
      <c r="AA1805" s="27">
        <f t="shared" si="100"/>
        <v>2</v>
      </c>
      <c r="AB1805" s="27">
        <f t="shared" si="99"/>
        <v>2025</v>
      </c>
      <c r="AC1805" s="28"/>
      <c r="AD1805" s="28"/>
      <c r="AE1805" s="27"/>
      <c r="AF1805" s="27" t="s">
        <v>356</v>
      </c>
      <c r="AG1805" s="160"/>
      <c r="AH1805" s="29" t="s">
        <v>8770</v>
      </c>
      <c r="AI1805" s="27"/>
      <c r="AJ1805" s="27"/>
      <c r="AK1805" s="27"/>
      <c r="AL1805" s="27"/>
      <c r="AM1805" s="27"/>
      <c r="AN1805" s="27"/>
      <c r="AO1805" s="27"/>
      <c r="AP1805" s="27"/>
      <c r="AQ1805" s="27"/>
      <c r="AR1805" s="504"/>
      <c r="AS1805" s="332"/>
      <c r="AT1805" s="160"/>
    </row>
    <row r="1806" spans="1:46" ht="21.75" hidden="1" customHeight="1">
      <c r="A1806" s="331">
        <v>1805</v>
      </c>
      <c r="B1806" s="80" t="s">
        <v>8765</v>
      </c>
      <c r="C1806" s="80" t="s">
        <v>8766</v>
      </c>
      <c r="D1806" s="447" t="s">
        <v>8767</v>
      </c>
      <c r="E1806" s="361" t="str">
        <f t="shared" ca="1" si="97"/>
        <v>LOSS</v>
      </c>
      <c r="F1806" s="29"/>
      <c r="G1806" s="80" t="s">
        <v>8778</v>
      </c>
      <c r="H1806" s="29" t="s">
        <v>8588</v>
      </c>
      <c r="I1806" s="29" t="s">
        <v>511</v>
      </c>
      <c r="J1806" s="28"/>
      <c r="K1806" s="94" t="s">
        <v>8779</v>
      </c>
      <c r="L1806" s="27"/>
      <c r="M1806" s="95" t="s">
        <v>8780</v>
      </c>
      <c r="N1806" s="86" t="s">
        <v>6885</v>
      </c>
      <c r="O1806" s="56"/>
      <c r="P1806" s="31">
        <v>22800000</v>
      </c>
      <c r="Q1806" s="31"/>
      <c r="R1806" s="27"/>
      <c r="S1806" s="32"/>
      <c r="T1806" s="79">
        <v>0.2</v>
      </c>
      <c r="U1806" s="338">
        <v>45352</v>
      </c>
      <c r="V1806" s="334">
        <v>45716</v>
      </c>
      <c r="W1806" s="27" t="s">
        <v>250</v>
      </c>
      <c r="X1806" s="27"/>
      <c r="Y1806" s="34">
        <f t="shared" ca="1" si="101"/>
        <v>46290</v>
      </c>
      <c r="Z1806" s="35">
        <f t="shared" ca="1" si="98"/>
        <v>-574</v>
      </c>
      <c r="AA1806" s="27">
        <f t="shared" si="100"/>
        <v>2</v>
      </c>
      <c r="AB1806" s="27">
        <f t="shared" si="99"/>
        <v>2025</v>
      </c>
      <c r="AC1806" s="28"/>
      <c r="AD1806" s="28"/>
      <c r="AE1806" s="27"/>
      <c r="AF1806" s="27" t="s">
        <v>356</v>
      </c>
      <c r="AG1806" s="160"/>
      <c r="AH1806" s="29" t="s">
        <v>8770</v>
      </c>
      <c r="AI1806" s="27"/>
      <c r="AJ1806" s="27"/>
      <c r="AK1806" s="27"/>
      <c r="AL1806" s="27"/>
      <c r="AM1806" s="27"/>
      <c r="AN1806" s="27"/>
      <c r="AO1806" s="27"/>
      <c r="AP1806" s="27"/>
      <c r="AQ1806" s="27"/>
      <c r="AR1806" s="504"/>
      <c r="AS1806" s="332"/>
      <c r="AT1806" s="160"/>
    </row>
    <row r="1807" spans="1:46" ht="21.75" hidden="1" customHeight="1">
      <c r="A1807" s="331">
        <v>1806</v>
      </c>
      <c r="B1807" s="80" t="s">
        <v>8765</v>
      </c>
      <c r="C1807" s="80" t="s">
        <v>8766</v>
      </c>
      <c r="D1807" s="447" t="s">
        <v>8767</v>
      </c>
      <c r="E1807" s="361" t="str">
        <f t="shared" ca="1" si="97"/>
        <v>LOSS</v>
      </c>
      <c r="F1807" s="29"/>
      <c r="G1807" s="80" t="s">
        <v>8781</v>
      </c>
      <c r="H1807" s="29" t="s">
        <v>8588</v>
      </c>
      <c r="I1807" s="29" t="s">
        <v>511</v>
      </c>
      <c r="J1807" s="28"/>
      <c r="K1807" s="94" t="s">
        <v>8782</v>
      </c>
      <c r="L1807" s="27"/>
      <c r="M1807" s="95" t="s">
        <v>8780</v>
      </c>
      <c r="N1807" s="86" t="s">
        <v>6885</v>
      </c>
      <c r="O1807" s="56"/>
      <c r="P1807" s="31">
        <v>22800000</v>
      </c>
      <c r="Q1807" s="31"/>
      <c r="R1807" s="27"/>
      <c r="S1807" s="32"/>
      <c r="T1807" s="79">
        <v>0.2</v>
      </c>
      <c r="U1807" s="338">
        <v>45352</v>
      </c>
      <c r="V1807" s="334">
        <v>45716</v>
      </c>
      <c r="W1807" s="27" t="s">
        <v>250</v>
      </c>
      <c r="X1807" s="27"/>
      <c r="Y1807" s="34">
        <f t="shared" ca="1" si="101"/>
        <v>46290</v>
      </c>
      <c r="Z1807" s="35">
        <f t="shared" ca="1" si="98"/>
        <v>-574</v>
      </c>
      <c r="AA1807" s="27">
        <f t="shared" si="100"/>
        <v>2</v>
      </c>
      <c r="AB1807" s="27">
        <f t="shared" si="99"/>
        <v>2025</v>
      </c>
      <c r="AC1807" s="28"/>
      <c r="AD1807" s="28"/>
      <c r="AE1807" s="27"/>
      <c r="AF1807" s="27" t="s">
        <v>356</v>
      </c>
      <c r="AG1807" s="160"/>
      <c r="AH1807" s="29" t="s">
        <v>8770</v>
      </c>
      <c r="AI1807" s="27"/>
      <c r="AJ1807" s="27"/>
      <c r="AK1807" s="27"/>
      <c r="AL1807" s="27"/>
      <c r="AM1807" s="27"/>
      <c r="AN1807" s="27"/>
      <c r="AO1807" s="27"/>
      <c r="AP1807" s="27"/>
      <c r="AQ1807" s="27"/>
      <c r="AR1807" s="504"/>
      <c r="AS1807" s="332"/>
      <c r="AT1807" s="160"/>
    </row>
    <row r="1808" spans="1:46" ht="21.75" hidden="1" customHeight="1">
      <c r="A1808" s="331">
        <v>1807</v>
      </c>
      <c r="B1808" s="80" t="s">
        <v>8765</v>
      </c>
      <c r="C1808" s="80" t="s">
        <v>8766</v>
      </c>
      <c r="D1808" s="447" t="s">
        <v>8767</v>
      </c>
      <c r="E1808" s="361" t="str">
        <f t="shared" ca="1" si="97"/>
        <v>LOSS</v>
      </c>
      <c r="F1808" s="29"/>
      <c r="G1808" s="80" t="s">
        <v>8783</v>
      </c>
      <c r="H1808" s="29" t="s">
        <v>8588</v>
      </c>
      <c r="I1808" s="29" t="s">
        <v>511</v>
      </c>
      <c r="J1808" s="28"/>
      <c r="K1808" s="96" t="s">
        <v>8784</v>
      </c>
      <c r="L1808" s="27"/>
      <c r="M1808" s="95" t="s">
        <v>8785</v>
      </c>
      <c r="N1808" s="86" t="s">
        <v>468</v>
      </c>
      <c r="O1808" s="56"/>
      <c r="P1808" s="31">
        <v>54928644</v>
      </c>
      <c r="Q1808" s="31"/>
      <c r="R1808" s="27"/>
      <c r="S1808" s="32"/>
      <c r="T1808" s="79">
        <v>0.2</v>
      </c>
      <c r="U1808" s="338">
        <v>45352</v>
      </c>
      <c r="V1808" s="334">
        <v>45716</v>
      </c>
      <c r="W1808" s="27" t="s">
        <v>250</v>
      </c>
      <c r="X1808" s="27"/>
      <c r="Y1808" s="34">
        <f t="shared" ca="1" si="101"/>
        <v>46290</v>
      </c>
      <c r="Z1808" s="35">
        <f t="shared" ca="1" si="98"/>
        <v>-574</v>
      </c>
      <c r="AA1808" s="27">
        <f t="shared" si="100"/>
        <v>2</v>
      </c>
      <c r="AB1808" s="27">
        <f t="shared" si="99"/>
        <v>2025</v>
      </c>
      <c r="AC1808" s="28"/>
      <c r="AD1808" s="28"/>
      <c r="AE1808" s="27"/>
      <c r="AF1808" s="27" t="s">
        <v>356</v>
      </c>
      <c r="AG1808" s="160"/>
      <c r="AH1808" s="29" t="s">
        <v>8770</v>
      </c>
      <c r="AI1808" s="27"/>
      <c r="AJ1808" s="27"/>
      <c r="AK1808" s="27"/>
      <c r="AL1808" s="27"/>
      <c r="AM1808" s="27"/>
      <c r="AN1808" s="27"/>
      <c r="AO1808" s="27"/>
      <c r="AP1808" s="27"/>
      <c r="AQ1808" s="27"/>
      <c r="AR1808" s="504"/>
      <c r="AS1808" s="332"/>
      <c r="AT1808" s="160"/>
    </row>
    <row r="1809" spans="1:46" ht="21.75" hidden="1" customHeight="1">
      <c r="A1809" s="331">
        <v>1808</v>
      </c>
      <c r="B1809" s="80" t="s">
        <v>8765</v>
      </c>
      <c r="C1809" s="80" t="s">
        <v>8766</v>
      </c>
      <c r="D1809" s="447" t="s">
        <v>8767</v>
      </c>
      <c r="E1809" s="361" t="str">
        <f t="shared" ca="1" si="97"/>
        <v>LOSS</v>
      </c>
      <c r="F1809" s="29"/>
      <c r="G1809" s="80" t="s">
        <v>8786</v>
      </c>
      <c r="H1809" s="29" t="s">
        <v>8588</v>
      </c>
      <c r="I1809" s="29" t="s">
        <v>511</v>
      </c>
      <c r="J1809" s="28"/>
      <c r="K1809" s="96" t="s">
        <v>8787</v>
      </c>
      <c r="L1809" s="27"/>
      <c r="M1809" s="95" t="s">
        <v>8785</v>
      </c>
      <c r="N1809" s="86" t="s">
        <v>6949</v>
      </c>
      <c r="O1809" s="56"/>
      <c r="P1809" s="31">
        <v>76012968</v>
      </c>
      <c r="Q1809" s="31"/>
      <c r="R1809" s="27"/>
      <c r="S1809" s="32"/>
      <c r="T1809" s="79">
        <v>0.2</v>
      </c>
      <c r="U1809" s="338">
        <v>45352</v>
      </c>
      <c r="V1809" s="334">
        <v>45716</v>
      </c>
      <c r="W1809" s="27" t="s">
        <v>250</v>
      </c>
      <c r="X1809" s="27"/>
      <c r="Y1809" s="34">
        <f t="shared" ca="1" si="101"/>
        <v>46290</v>
      </c>
      <c r="Z1809" s="35">
        <f t="shared" ca="1" si="98"/>
        <v>-574</v>
      </c>
      <c r="AA1809" s="27">
        <f t="shared" si="100"/>
        <v>2</v>
      </c>
      <c r="AB1809" s="27">
        <f t="shared" si="99"/>
        <v>2025</v>
      </c>
      <c r="AC1809" s="28"/>
      <c r="AD1809" s="28"/>
      <c r="AE1809" s="27"/>
      <c r="AF1809" s="27" t="s">
        <v>356</v>
      </c>
      <c r="AG1809" s="160"/>
      <c r="AH1809" s="29" t="s">
        <v>8770</v>
      </c>
      <c r="AI1809" s="27"/>
      <c r="AJ1809" s="27"/>
      <c r="AK1809" s="27"/>
      <c r="AL1809" s="27"/>
      <c r="AM1809" s="27"/>
      <c r="AN1809" s="27"/>
      <c r="AO1809" s="27"/>
      <c r="AP1809" s="27"/>
      <c r="AQ1809" s="27"/>
      <c r="AR1809" s="504"/>
      <c r="AS1809" s="332"/>
      <c r="AT1809" s="160"/>
    </row>
    <row r="1810" spans="1:46" ht="21.75" hidden="1" customHeight="1">
      <c r="A1810" s="331">
        <v>1809</v>
      </c>
      <c r="B1810" s="80" t="s">
        <v>8765</v>
      </c>
      <c r="C1810" s="80" t="s">
        <v>8766</v>
      </c>
      <c r="D1810" s="447" t="s">
        <v>8767</v>
      </c>
      <c r="E1810" s="361" t="str">
        <f t="shared" ca="1" si="97"/>
        <v>LOSS</v>
      </c>
      <c r="F1810" s="29"/>
      <c r="G1810" s="80" t="s">
        <v>8788</v>
      </c>
      <c r="H1810" s="29" t="s">
        <v>8588</v>
      </c>
      <c r="I1810" s="29" t="s">
        <v>511</v>
      </c>
      <c r="J1810" s="28"/>
      <c r="K1810" s="97" t="s">
        <v>8789</v>
      </c>
      <c r="L1810" s="27"/>
      <c r="M1810" s="95" t="s">
        <v>8790</v>
      </c>
      <c r="N1810" s="29"/>
      <c r="O1810" s="56"/>
      <c r="P1810" s="31">
        <v>50793600</v>
      </c>
      <c r="Q1810" s="31"/>
      <c r="R1810" s="27"/>
      <c r="S1810" s="32"/>
      <c r="T1810" s="79">
        <v>0.2</v>
      </c>
      <c r="U1810" s="338">
        <v>45352</v>
      </c>
      <c r="V1810" s="334">
        <v>45716</v>
      </c>
      <c r="W1810" s="27" t="s">
        <v>250</v>
      </c>
      <c r="X1810" s="27"/>
      <c r="Y1810" s="34">
        <f t="shared" ca="1" si="101"/>
        <v>46290</v>
      </c>
      <c r="Z1810" s="35">
        <f t="shared" ca="1" si="98"/>
        <v>-574</v>
      </c>
      <c r="AA1810" s="27">
        <f t="shared" si="100"/>
        <v>2</v>
      </c>
      <c r="AB1810" s="27">
        <f t="shared" si="99"/>
        <v>2025</v>
      </c>
      <c r="AC1810" s="28"/>
      <c r="AD1810" s="28"/>
      <c r="AE1810" s="27"/>
      <c r="AF1810" s="27" t="s">
        <v>356</v>
      </c>
      <c r="AG1810" s="160"/>
      <c r="AH1810" s="29" t="s">
        <v>8770</v>
      </c>
      <c r="AI1810" s="27"/>
      <c r="AJ1810" s="27"/>
      <c r="AK1810" s="27"/>
      <c r="AL1810" s="27"/>
      <c r="AM1810" s="27"/>
      <c r="AN1810" s="27"/>
      <c r="AO1810" s="27"/>
      <c r="AP1810" s="27"/>
      <c r="AQ1810" s="27"/>
      <c r="AR1810" s="504"/>
      <c r="AS1810" s="332"/>
      <c r="AT1810" s="160"/>
    </row>
    <row r="1811" spans="1:46" ht="21.75" hidden="1" customHeight="1">
      <c r="A1811" s="331">
        <v>1810</v>
      </c>
      <c r="B1811" s="88" t="s">
        <v>8791</v>
      </c>
      <c r="C1811" s="88" t="s">
        <v>8792</v>
      </c>
      <c r="D1811" s="447" t="s">
        <v>8793</v>
      </c>
      <c r="E1811" s="361" t="str">
        <f t="shared" ca="1" si="97"/>
        <v>LOSS</v>
      </c>
      <c r="F1811" s="29"/>
      <c r="G1811" s="80" t="s">
        <v>8794</v>
      </c>
      <c r="H1811" s="29" t="s">
        <v>8588</v>
      </c>
      <c r="I1811" s="29" t="s">
        <v>511</v>
      </c>
      <c r="J1811" s="28" t="s">
        <v>8795</v>
      </c>
      <c r="K1811" s="36" t="s">
        <v>8796</v>
      </c>
      <c r="L1811" s="27"/>
      <c r="M1811" s="76" t="s">
        <v>8797</v>
      </c>
      <c r="N1811" s="29" t="s">
        <v>389</v>
      </c>
      <c r="O1811" s="56"/>
      <c r="P1811" s="31">
        <v>42000000</v>
      </c>
      <c r="Q1811" s="31"/>
      <c r="R1811" s="27"/>
      <c r="S1811" s="32"/>
      <c r="T1811" s="79">
        <v>0.15</v>
      </c>
      <c r="U1811" s="338">
        <v>44958</v>
      </c>
      <c r="V1811" s="334">
        <v>45291</v>
      </c>
      <c r="W1811" s="27" t="s">
        <v>250</v>
      </c>
      <c r="X1811" s="27"/>
      <c r="Y1811" s="34">
        <f t="shared" ca="1" si="101"/>
        <v>46290</v>
      </c>
      <c r="Z1811" s="35">
        <f t="shared" ca="1" si="98"/>
        <v>-999</v>
      </c>
      <c r="AA1811" s="27">
        <f t="shared" si="100"/>
        <v>12</v>
      </c>
      <c r="AB1811" s="27">
        <f t="shared" si="99"/>
        <v>2023</v>
      </c>
      <c r="AC1811" s="28"/>
      <c r="AD1811" s="28"/>
      <c r="AE1811" s="27"/>
      <c r="AF1811" s="27" t="s">
        <v>356</v>
      </c>
      <c r="AG1811" s="160"/>
      <c r="AH1811" s="29" t="s">
        <v>8798</v>
      </c>
      <c r="AI1811" s="27"/>
      <c r="AJ1811" s="27"/>
      <c r="AK1811" s="27"/>
      <c r="AL1811" s="27"/>
      <c r="AM1811" s="27"/>
      <c r="AN1811" s="27"/>
      <c r="AO1811" s="27"/>
      <c r="AP1811" s="27"/>
      <c r="AQ1811" s="27"/>
      <c r="AR1811" s="504"/>
      <c r="AS1811" s="332" t="s">
        <v>8799</v>
      </c>
      <c r="AT1811" s="160"/>
    </row>
    <row r="1812" spans="1:46" ht="21.75" hidden="1" customHeight="1">
      <c r="A1812" s="331">
        <v>1811</v>
      </c>
      <c r="B1812" s="88" t="s">
        <v>8675</v>
      </c>
      <c r="C1812" s="88" t="s">
        <v>8800</v>
      </c>
      <c r="D1812" s="438" t="s">
        <v>8677</v>
      </c>
      <c r="E1812" s="361" t="str">
        <f t="shared" ca="1" si="97"/>
        <v>LOSS</v>
      </c>
      <c r="F1812" s="29"/>
      <c r="G1812" s="80" t="s">
        <v>8801</v>
      </c>
      <c r="H1812" s="29" t="s">
        <v>8588</v>
      </c>
      <c r="I1812" s="29" t="s">
        <v>511</v>
      </c>
      <c r="J1812" s="38"/>
      <c r="K1812" s="36" t="s">
        <v>8802</v>
      </c>
      <c r="L1812" s="27"/>
      <c r="M1812" s="76" t="s">
        <v>8803</v>
      </c>
      <c r="N1812" s="29" t="s">
        <v>389</v>
      </c>
      <c r="O1812" s="56"/>
      <c r="P1812" s="31">
        <v>29400000</v>
      </c>
      <c r="Q1812" s="31"/>
      <c r="R1812" s="27"/>
      <c r="S1812" s="32"/>
      <c r="T1812" s="79">
        <v>0.35</v>
      </c>
      <c r="U1812" s="338">
        <v>45170</v>
      </c>
      <c r="V1812" s="336">
        <v>45900</v>
      </c>
      <c r="W1812" s="27" t="s">
        <v>250</v>
      </c>
      <c r="X1812" s="27"/>
      <c r="Y1812" s="34">
        <f t="shared" ca="1" si="101"/>
        <v>46290</v>
      </c>
      <c r="Z1812" s="35">
        <f t="shared" ca="1" si="98"/>
        <v>-390</v>
      </c>
      <c r="AA1812" s="27">
        <f t="shared" si="100"/>
        <v>8</v>
      </c>
      <c r="AB1812" s="27">
        <f t="shared" si="99"/>
        <v>2025</v>
      </c>
      <c r="AC1812" s="28"/>
      <c r="AD1812" s="28"/>
      <c r="AE1812" s="27"/>
      <c r="AF1812" s="27" t="s">
        <v>356</v>
      </c>
      <c r="AG1812" s="160"/>
      <c r="AH1812" s="29" t="s">
        <v>8804</v>
      </c>
      <c r="AI1812" s="27"/>
      <c r="AJ1812" s="27"/>
      <c r="AK1812" s="27"/>
      <c r="AL1812" s="27"/>
      <c r="AM1812" s="27"/>
      <c r="AN1812" s="27"/>
      <c r="AO1812" s="27"/>
      <c r="AP1812" s="27"/>
      <c r="AQ1812" s="27"/>
      <c r="AR1812" s="504"/>
      <c r="AS1812" s="332"/>
      <c r="AT1812" s="160"/>
    </row>
    <row r="1813" spans="1:46" ht="21.75" hidden="1" customHeight="1">
      <c r="A1813" s="331">
        <v>1812</v>
      </c>
      <c r="B1813" s="88" t="s">
        <v>8736</v>
      </c>
      <c r="C1813" s="88" t="s">
        <v>8805</v>
      </c>
      <c r="D1813" s="437" t="s">
        <v>8738</v>
      </c>
      <c r="E1813" s="361" t="str">
        <f t="shared" ca="1" si="97"/>
        <v>ON TRACK</v>
      </c>
      <c r="F1813" s="29"/>
      <c r="G1813" s="80" t="s">
        <v>8806</v>
      </c>
      <c r="H1813" s="29" t="s">
        <v>8588</v>
      </c>
      <c r="I1813" s="29" t="s">
        <v>511</v>
      </c>
      <c r="J1813" s="28"/>
      <c r="K1813" s="98" t="s">
        <v>8807</v>
      </c>
      <c r="L1813" s="27"/>
      <c r="M1813" s="76" t="s">
        <v>365</v>
      </c>
      <c r="N1813" s="29" t="s">
        <v>8808</v>
      </c>
      <c r="O1813" s="56"/>
      <c r="P1813" s="31">
        <v>36216240</v>
      </c>
      <c r="Q1813" s="31"/>
      <c r="R1813" s="27"/>
      <c r="S1813" s="32"/>
      <c r="T1813" s="79">
        <v>0.15</v>
      </c>
      <c r="U1813" s="338">
        <v>44727</v>
      </c>
      <c r="V1813" s="334">
        <v>46552</v>
      </c>
      <c r="W1813" s="27" t="s">
        <v>17</v>
      </c>
      <c r="X1813" s="27"/>
      <c r="Y1813" s="34">
        <f t="shared" ca="1" si="101"/>
        <v>46290</v>
      </c>
      <c r="Z1813" s="35">
        <f t="shared" ca="1" si="98"/>
        <v>262</v>
      </c>
      <c r="AA1813" s="27">
        <f t="shared" si="100"/>
        <v>6</v>
      </c>
      <c r="AB1813" s="27">
        <f t="shared" si="99"/>
        <v>2027</v>
      </c>
      <c r="AC1813" s="28"/>
      <c r="AD1813" s="28"/>
      <c r="AE1813" s="27"/>
      <c r="AF1813" s="27" t="s">
        <v>356</v>
      </c>
      <c r="AG1813" s="160"/>
      <c r="AH1813" s="29" t="s">
        <v>8741</v>
      </c>
      <c r="AI1813" s="27"/>
      <c r="AJ1813" s="27"/>
      <c r="AK1813" s="27"/>
      <c r="AL1813" s="27"/>
      <c r="AM1813" s="27"/>
      <c r="AN1813" s="27"/>
      <c r="AO1813" s="27"/>
      <c r="AP1813" s="27"/>
      <c r="AQ1813" s="27"/>
      <c r="AR1813" s="504"/>
      <c r="AS1813" s="332"/>
      <c r="AT1813" s="160"/>
    </row>
    <row r="1814" spans="1:46" ht="21.75" hidden="1" customHeight="1">
      <c r="A1814" s="331">
        <v>1813</v>
      </c>
      <c r="B1814" s="88" t="s">
        <v>8736</v>
      </c>
      <c r="C1814" s="88" t="s">
        <v>8809</v>
      </c>
      <c r="D1814" s="447" t="s">
        <v>8738</v>
      </c>
      <c r="E1814" s="361" t="str">
        <f t="shared" ca="1" si="97"/>
        <v>ON TRACK</v>
      </c>
      <c r="F1814" s="29"/>
      <c r="G1814" s="80" t="s">
        <v>8806</v>
      </c>
      <c r="H1814" s="29" t="s">
        <v>8588</v>
      </c>
      <c r="I1814" s="29" t="s">
        <v>511</v>
      </c>
      <c r="J1814" s="28"/>
      <c r="K1814" s="98" t="s">
        <v>8810</v>
      </c>
      <c r="L1814" s="27"/>
      <c r="M1814" s="76" t="s">
        <v>365</v>
      </c>
      <c r="N1814" s="29"/>
      <c r="O1814" s="56"/>
      <c r="P1814" s="31">
        <v>75675672</v>
      </c>
      <c r="Q1814" s="31"/>
      <c r="R1814" s="27"/>
      <c r="S1814" s="32"/>
      <c r="T1814" s="79">
        <v>0.15</v>
      </c>
      <c r="U1814" s="338">
        <v>44727</v>
      </c>
      <c r="V1814" s="334">
        <v>46552</v>
      </c>
      <c r="W1814" s="27" t="s">
        <v>17</v>
      </c>
      <c r="X1814" s="27"/>
      <c r="Y1814" s="34">
        <f t="shared" ca="1" si="101"/>
        <v>46290</v>
      </c>
      <c r="Z1814" s="35">
        <f t="shared" ca="1" si="98"/>
        <v>262</v>
      </c>
      <c r="AA1814" s="27">
        <f t="shared" si="100"/>
        <v>6</v>
      </c>
      <c r="AB1814" s="27">
        <f t="shared" si="99"/>
        <v>2027</v>
      </c>
      <c r="AC1814" s="28"/>
      <c r="AD1814" s="28"/>
      <c r="AE1814" s="27"/>
      <c r="AF1814" s="27" t="s">
        <v>356</v>
      </c>
      <c r="AG1814" s="160"/>
      <c r="AH1814" s="29" t="s">
        <v>8741</v>
      </c>
      <c r="AI1814" s="27"/>
      <c r="AJ1814" s="27"/>
      <c r="AK1814" s="27"/>
      <c r="AL1814" s="27"/>
      <c r="AM1814" s="27"/>
      <c r="AN1814" s="27"/>
      <c r="AO1814" s="27"/>
      <c r="AP1814" s="27"/>
      <c r="AQ1814" s="27"/>
      <c r="AR1814" s="504"/>
      <c r="AS1814" s="332"/>
      <c r="AT1814" s="160"/>
    </row>
    <row r="1815" spans="1:46" ht="21.75" hidden="1" customHeight="1">
      <c r="A1815" s="331">
        <v>1814</v>
      </c>
      <c r="B1815" s="28" t="s">
        <v>2551</v>
      </c>
      <c r="C1815" s="28" t="s">
        <v>8811</v>
      </c>
      <c r="D1815" s="437" t="s">
        <v>8812</v>
      </c>
      <c r="E1815" s="361" t="str">
        <f t="shared" ca="1" si="97"/>
        <v>LOSS</v>
      </c>
      <c r="F1815" s="29"/>
      <c r="G1815" s="28" t="s">
        <v>8813</v>
      </c>
      <c r="H1815" s="29" t="s">
        <v>8588</v>
      </c>
      <c r="I1815" s="29" t="s">
        <v>511</v>
      </c>
      <c r="J1815" s="28"/>
      <c r="K1815" s="36" t="s">
        <v>8814</v>
      </c>
      <c r="L1815" s="27"/>
      <c r="M1815" s="27" t="s">
        <v>365</v>
      </c>
      <c r="N1815" s="29" t="s">
        <v>8337</v>
      </c>
      <c r="O1815" s="56"/>
      <c r="P1815" s="99">
        <v>226712088</v>
      </c>
      <c r="Q1815" s="99"/>
      <c r="R1815" s="33"/>
      <c r="S1815" s="100"/>
      <c r="T1815" s="34" t="s">
        <v>8815</v>
      </c>
      <c r="U1815" s="339">
        <v>44927</v>
      </c>
      <c r="V1815" s="334">
        <v>46022</v>
      </c>
      <c r="W1815" s="27" t="s">
        <v>17</v>
      </c>
      <c r="X1815" s="27"/>
      <c r="Y1815" s="34">
        <f t="shared" ca="1" si="101"/>
        <v>46290</v>
      </c>
      <c r="Z1815" s="35">
        <f ca="1">Table1[[#This Row],[End]]-Table1[[#This Row],[Today]]</f>
        <v>-268</v>
      </c>
      <c r="AA1815" s="27">
        <f>MONTH(Table1[[#This Row],[End]])</f>
        <v>12</v>
      </c>
      <c r="AB1815" s="27">
        <f>YEAR(Table1[[#This Row],[End]])</f>
        <v>2025</v>
      </c>
      <c r="AC1815" s="28"/>
      <c r="AD1815" s="28"/>
      <c r="AE1815" s="27"/>
      <c r="AF1815" s="27" t="s">
        <v>356</v>
      </c>
      <c r="AG1815" s="160"/>
      <c r="AH1815" s="29" t="s">
        <v>8816</v>
      </c>
      <c r="AI1815" s="27"/>
      <c r="AJ1815" s="27"/>
      <c r="AK1815" s="27"/>
      <c r="AL1815" s="27"/>
      <c r="AM1815" s="27"/>
      <c r="AN1815" s="27"/>
      <c r="AO1815" s="27"/>
      <c r="AP1815" s="27"/>
      <c r="AQ1815" s="27"/>
      <c r="AR1815" s="504"/>
      <c r="AS1815" s="332"/>
      <c r="AT1815" s="160"/>
    </row>
    <row r="1816" spans="1:46" ht="21.75" hidden="1" customHeight="1">
      <c r="A1816" s="331">
        <v>1815</v>
      </c>
      <c r="B1816" s="28" t="s">
        <v>8452</v>
      </c>
      <c r="C1816" s="28" t="s">
        <v>2216</v>
      </c>
      <c r="D1816" s="438" t="s">
        <v>8453</v>
      </c>
      <c r="E1816" s="361" t="str">
        <f t="shared" ca="1" si="97"/>
        <v>LOSS</v>
      </c>
      <c r="F1816" s="29" t="s">
        <v>8454</v>
      </c>
      <c r="G1816" s="28" t="s">
        <v>8455</v>
      </c>
      <c r="H1816" s="28" t="s">
        <v>261</v>
      </c>
      <c r="I1816" s="361" t="s">
        <v>243</v>
      </c>
      <c r="J1816" s="28" t="s">
        <v>8817</v>
      </c>
      <c r="K1816" s="38" t="s">
        <v>7211</v>
      </c>
      <c r="L1816" s="27" t="s">
        <v>4749</v>
      </c>
      <c r="M1816" s="27" t="s">
        <v>365</v>
      </c>
      <c r="N1816" s="29" t="s">
        <v>389</v>
      </c>
      <c r="O1816" s="56"/>
      <c r="P1816" s="31">
        <f>16500000*12</f>
        <v>198000000</v>
      </c>
      <c r="Q1816" s="31"/>
      <c r="R1816" s="56"/>
      <c r="S1816" s="32">
        <v>117200000</v>
      </c>
      <c r="T1816" s="72"/>
      <c r="U1816" s="334">
        <v>45387</v>
      </c>
      <c r="V1816" s="334">
        <v>45777</v>
      </c>
      <c r="W1816" s="27" t="s">
        <v>250</v>
      </c>
      <c r="X1816" s="27"/>
      <c r="Y1816" s="34">
        <f t="shared" ca="1" si="101"/>
        <v>46290</v>
      </c>
      <c r="Z1816" s="35">
        <f t="shared" ref="Z1816:Z1879" ca="1" si="102">V1816-Y1816</f>
        <v>-513</v>
      </c>
      <c r="AA1816" s="27">
        <f>MONTH(V1816)</f>
        <v>4</v>
      </c>
      <c r="AB1816" s="27">
        <f>YEAR(V1816)</f>
        <v>2025</v>
      </c>
      <c r="AC1816" s="28" t="s">
        <v>8818</v>
      </c>
      <c r="AD1816" s="28" t="s">
        <v>8819</v>
      </c>
      <c r="AE1816" s="27">
        <v>4500022819</v>
      </c>
      <c r="AF1816" s="27" t="s">
        <v>471</v>
      </c>
      <c r="AG1816" s="160"/>
      <c r="AH1816" s="29" t="s">
        <v>8458</v>
      </c>
      <c r="AI1816" s="27"/>
      <c r="AJ1816" s="27"/>
      <c r="AK1816" s="27"/>
      <c r="AL1816" s="27"/>
      <c r="AM1816" s="27"/>
      <c r="AN1816" s="27"/>
      <c r="AO1816" s="27"/>
      <c r="AP1816" s="27">
        <v>221</v>
      </c>
      <c r="AQ1816" s="27"/>
      <c r="AR1816" s="504"/>
      <c r="AS1816" s="332" t="s">
        <v>8820</v>
      </c>
      <c r="AT1816" s="160"/>
    </row>
    <row r="1817" spans="1:46" ht="21.75" hidden="1" customHeight="1">
      <c r="A1817" s="331">
        <v>1816</v>
      </c>
      <c r="B1817" s="28" t="s">
        <v>225</v>
      </c>
      <c r="C1817" s="28" t="s">
        <v>596</v>
      </c>
      <c r="D1817" s="437" t="s">
        <v>369</v>
      </c>
      <c r="E1817" s="361" t="str">
        <f t="shared" ca="1" si="97"/>
        <v>LOSS</v>
      </c>
      <c r="F1817" s="29" t="s">
        <v>8821</v>
      </c>
      <c r="G1817" s="28" t="s">
        <v>8822</v>
      </c>
      <c r="H1817" s="29" t="s">
        <v>2748</v>
      </c>
      <c r="I1817" s="29" t="s">
        <v>242</v>
      </c>
      <c r="J1817" s="28" t="s">
        <v>8823</v>
      </c>
      <c r="K1817" s="28"/>
      <c r="L1817" s="27"/>
      <c r="M1817" s="27"/>
      <c r="N1817" s="29"/>
      <c r="O1817" s="56"/>
      <c r="P1817" s="31">
        <v>85800000</v>
      </c>
      <c r="Q1817" s="31"/>
      <c r="R1817" s="27"/>
      <c r="S1817" s="32">
        <v>12000000</v>
      </c>
      <c r="T1817" s="72"/>
      <c r="U1817" s="334">
        <v>44887</v>
      </c>
      <c r="V1817" s="334">
        <v>45617</v>
      </c>
      <c r="W1817" s="27" t="s">
        <v>250</v>
      </c>
      <c r="X1817" s="27"/>
      <c r="Y1817" s="34">
        <f t="shared" ca="1" si="101"/>
        <v>46290</v>
      </c>
      <c r="Z1817" s="101">
        <f t="shared" ca="1" si="102"/>
        <v>-673</v>
      </c>
      <c r="AA1817" s="27">
        <v>11</v>
      </c>
      <c r="AB1817" s="27">
        <v>2024</v>
      </c>
      <c r="AC1817" s="28" t="s">
        <v>8824</v>
      </c>
      <c r="AD1817" s="28" t="s">
        <v>8825</v>
      </c>
      <c r="AE1817" s="27">
        <v>4500022576</v>
      </c>
      <c r="AF1817" s="27" t="s">
        <v>333</v>
      </c>
      <c r="AG1817" s="160"/>
      <c r="AH1817" s="29" t="s">
        <v>376</v>
      </c>
      <c r="AI1817" s="27"/>
      <c r="AJ1817" s="27"/>
      <c r="AK1817" s="27"/>
      <c r="AL1817" s="27"/>
      <c r="AM1817" s="27"/>
      <c r="AN1817" s="27"/>
      <c r="AO1817" s="27"/>
      <c r="AP1817" s="27" t="s">
        <v>8826</v>
      </c>
      <c r="AQ1817" s="27"/>
      <c r="AR1817" s="504"/>
      <c r="AS1817" s="332" t="s">
        <v>8827</v>
      </c>
      <c r="AT1817" s="160"/>
    </row>
    <row r="1818" spans="1:46" ht="21.75" hidden="1" customHeight="1">
      <c r="A1818" s="331">
        <v>1817</v>
      </c>
      <c r="B1818" s="28" t="s">
        <v>93</v>
      </c>
      <c r="C1818" s="28" t="s">
        <v>8828</v>
      </c>
      <c r="D1818" s="443" t="s">
        <v>3741</v>
      </c>
      <c r="E1818" s="361" t="str">
        <f t="shared" ca="1" si="97"/>
        <v>LOSS</v>
      </c>
      <c r="F1818" s="29" t="s">
        <v>8829</v>
      </c>
      <c r="G1818" s="28" t="s">
        <v>8829</v>
      </c>
      <c r="H1818" s="29" t="s">
        <v>2748</v>
      </c>
      <c r="I1818" s="29" t="s">
        <v>242</v>
      </c>
      <c r="J1818" s="28" t="s">
        <v>94</v>
      </c>
      <c r="K1818" s="28"/>
      <c r="L1818" s="27"/>
      <c r="M1818" s="27" t="s">
        <v>353</v>
      </c>
      <c r="N1818" s="29" t="s">
        <v>6762</v>
      </c>
      <c r="O1818" s="56"/>
      <c r="P1818" s="31">
        <v>886800000</v>
      </c>
      <c r="Q1818" s="31"/>
      <c r="R1818" s="30"/>
      <c r="S1818" s="32">
        <v>144000000</v>
      </c>
      <c r="T1818" s="72"/>
      <c r="U1818" s="334">
        <v>45433</v>
      </c>
      <c r="V1818" s="334">
        <v>45797</v>
      </c>
      <c r="W1818" s="27" t="s">
        <v>250</v>
      </c>
      <c r="X1818" s="27"/>
      <c r="Y1818" s="34">
        <f t="shared" ca="1" si="101"/>
        <v>46290</v>
      </c>
      <c r="Z1818" s="101">
        <f t="shared" ca="1" si="102"/>
        <v>-493</v>
      </c>
      <c r="AA1818" s="27">
        <v>5</v>
      </c>
      <c r="AB1818" s="27">
        <v>2025</v>
      </c>
      <c r="AC1818" s="28" t="s">
        <v>479</v>
      </c>
      <c r="AD1818" s="28" t="s">
        <v>8830</v>
      </c>
      <c r="AE1818" s="27">
        <v>4500022817</v>
      </c>
      <c r="AF1818" s="27" t="s">
        <v>333</v>
      </c>
      <c r="AG1818" s="160"/>
      <c r="AH1818" s="29" t="s">
        <v>8516</v>
      </c>
      <c r="AI1818" s="27"/>
      <c r="AJ1818" s="27"/>
      <c r="AK1818" s="27"/>
      <c r="AL1818" s="27"/>
      <c r="AM1818" s="27"/>
      <c r="AN1818" s="27"/>
      <c r="AO1818" s="27"/>
      <c r="AP1818" s="27" t="s">
        <v>8831</v>
      </c>
      <c r="AQ1818" s="27"/>
      <c r="AR1818" s="504"/>
      <c r="AS1818" s="332" t="s">
        <v>8832</v>
      </c>
      <c r="AT1818" s="160"/>
    </row>
    <row r="1819" spans="1:46" ht="21.75" hidden="1" customHeight="1">
      <c r="A1819" s="331">
        <v>1818</v>
      </c>
      <c r="B1819" s="28" t="s">
        <v>57</v>
      </c>
      <c r="C1819" s="28" t="s">
        <v>8833</v>
      </c>
      <c r="D1819" s="437" t="s">
        <v>6750</v>
      </c>
      <c r="E1819" s="361" t="str">
        <f t="shared" ca="1" si="97"/>
        <v>LOSS</v>
      </c>
      <c r="F1819" s="29"/>
      <c r="G1819" s="28" t="s">
        <v>8834</v>
      </c>
      <c r="H1819" s="29" t="s">
        <v>2748</v>
      </c>
      <c r="I1819" s="29" t="s">
        <v>346</v>
      </c>
      <c r="J1819" s="28" t="s">
        <v>58</v>
      </c>
      <c r="K1819" s="28"/>
      <c r="L1819" s="27"/>
      <c r="M1819" s="27" t="s">
        <v>8835</v>
      </c>
      <c r="N1819" s="29" t="s">
        <v>6755</v>
      </c>
      <c r="O1819" s="56"/>
      <c r="P1819" s="31">
        <v>654586000</v>
      </c>
      <c r="Q1819" s="31"/>
      <c r="R1819" s="27"/>
      <c r="S1819" s="32">
        <v>24000000</v>
      </c>
      <c r="T1819" s="72"/>
      <c r="U1819" s="334">
        <v>45385</v>
      </c>
      <c r="V1819" s="334">
        <v>45749</v>
      </c>
      <c r="W1819" s="27" t="s">
        <v>250</v>
      </c>
      <c r="X1819" s="27"/>
      <c r="Y1819" s="34">
        <f t="shared" ca="1" si="101"/>
        <v>46290</v>
      </c>
      <c r="Z1819" s="101">
        <f t="shared" ca="1" si="102"/>
        <v>-541</v>
      </c>
      <c r="AA1819" s="27">
        <v>4</v>
      </c>
      <c r="AB1819" s="27">
        <v>2025</v>
      </c>
      <c r="AC1819" s="28" t="s">
        <v>479</v>
      </c>
      <c r="AD1819" s="28" t="s">
        <v>8836</v>
      </c>
      <c r="AE1819" s="27">
        <v>4500022613</v>
      </c>
      <c r="AF1819" s="27" t="s">
        <v>333</v>
      </c>
      <c r="AG1819" s="29" t="s">
        <v>8837</v>
      </c>
      <c r="AH1819" s="174" t="s">
        <v>6757</v>
      </c>
      <c r="AI1819" s="27"/>
      <c r="AJ1819" s="27"/>
      <c r="AK1819" s="27"/>
      <c r="AL1819" s="27"/>
      <c r="AM1819" s="27"/>
      <c r="AN1819" s="27"/>
      <c r="AO1819" s="27"/>
      <c r="AP1819" s="27"/>
      <c r="AQ1819" s="27"/>
      <c r="AR1819" s="504"/>
      <c r="AS1819" s="332"/>
      <c r="AT1819" s="160"/>
    </row>
    <row r="1820" spans="1:46" ht="21.75" hidden="1" customHeight="1">
      <c r="A1820" s="331">
        <v>1819</v>
      </c>
      <c r="B1820" s="28" t="s">
        <v>191</v>
      </c>
      <c r="C1820" s="28" t="s">
        <v>8838</v>
      </c>
      <c r="D1820" s="438" t="s">
        <v>6344</v>
      </c>
      <c r="E1820" s="361" t="str">
        <f t="shared" ca="1" si="97"/>
        <v>LOSS</v>
      </c>
      <c r="F1820" s="29"/>
      <c r="G1820" s="28" t="s">
        <v>8839</v>
      </c>
      <c r="H1820" s="29" t="s">
        <v>2748</v>
      </c>
      <c r="I1820" s="29" t="s">
        <v>242</v>
      </c>
      <c r="J1820" s="28" t="s">
        <v>193</v>
      </c>
      <c r="K1820" s="28"/>
      <c r="L1820" s="27"/>
      <c r="M1820" s="27" t="s">
        <v>329</v>
      </c>
      <c r="N1820" s="29" t="s">
        <v>389</v>
      </c>
      <c r="O1820" s="56"/>
      <c r="P1820" s="31">
        <v>43200000</v>
      </c>
      <c r="Q1820" s="31"/>
      <c r="R1820" s="30" t="s">
        <v>8840</v>
      </c>
      <c r="S1820" s="32">
        <v>12000000</v>
      </c>
      <c r="T1820" s="72"/>
      <c r="U1820" s="334">
        <v>45419</v>
      </c>
      <c r="V1820" s="334">
        <v>45783</v>
      </c>
      <c r="W1820" s="27" t="s">
        <v>250</v>
      </c>
      <c r="X1820" s="27"/>
      <c r="Y1820" s="34">
        <f t="shared" ca="1" si="101"/>
        <v>46290</v>
      </c>
      <c r="Z1820" s="101">
        <f t="shared" ca="1" si="102"/>
        <v>-507</v>
      </c>
      <c r="AA1820" s="27">
        <v>5</v>
      </c>
      <c r="AB1820" s="27">
        <v>2025</v>
      </c>
      <c r="AC1820" s="28" t="s">
        <v>479</v>
      </c>
      <c r="AD1820" s="28" t="s">
        <v>8841</v>
      </c>
      <c r="AE1820" s="27">
        <v>4500022736</v>
      </c>
      <c r="AF1820" s="27" t="s">
        <v>333</v>
      </c>
      <c r="AG1820" s="29" t="s">
        <v>434</v>
      </c>
      <c r="AH1820" s="160"/>
      <c r="AI1820" s="27"/>
      <c r="AJ1820" s="27"/>
      <c r="AK1820" s="27"/>
      <c r="AL1820" s="27"/>
      <c r="AM1820" s="27"/>
      <c r="AN1820" s="27"/>
      <c r="AO1820" s="27"/>
      <c r="AP1820" s="27" t="s">
        <v>8842</v>
      </c>
      <c r="AQ1820" s="27"/>
      <c r="AR1820" s="504"/>
      <c r="AS1820" s="332" t="s">
        <v>8843</v>
      </c>
      <c r="AT1820" s="160"/>
    </row>
    <row r="1821" spans="1:46" ht="21.75" hidden="1" customHeight="1">
      <c r="A1821" s="331">
        <v>1820</v>
      </c>
      <c r="B1821" s="28" t="s">
        <v>151</v>
      </c>
      <c r="C1821" s="28" t="s">
        <v>8844</v>
      </c>
      <c r="D1821" s="437" t="s">
        <v>402</v>
      </c>
      <c r="E1821" s="361" t="str">
        <f t="shared" ca="1" si="97"/>
        <v>LOSS</v>
      </c>
      <c r="F1821" s="29"/>
      <c r="G1821" s="28" t="s">
        <v>8845</v>
      </c>
      <c r="H1821" s="29" t="s">
        <v>2748</v>
      </c>
      <c r="I1821" s="29" t="s">
        <v>346</v>
      </c>
      <c r="J1821" s="28" t="s">
        <v>8846</v>
      </c>
      <c r="K1821" s="28"/>
      <c r="L1821" s="27"/>
      <c r="M1821" s="27"/>
      <c r="N1821" s="29"/>
      <c r="O1821" s="56"/>
      <c r="P1821" s="31">
        <v>869000000</v>
      </c>
      <c r="Q1821" s="31"/>
      <c r="R1821" s="27"/>
      <c r="S1821" s="32">
        <v>17000000</v>
      </c>
      <c r="T1821" s="72"/>
      <c r="U1821" s="334">
        <v>44286</v>
      </c>
      <c r="V1821" s="334">
        <v>45381</v>
      </c>
      <c r="W1821" s="27" t="s">
        <v>250</v>
      </c>
      <c r="X1821" s="27"/>
      <c r="Y1821" s="34">
        <f t="shared" ca="1" si="101"/>
        <v>46290</v>
      </c>
      <c r="Z1821" s="35">
        <f t="shared" ca="1" si="102"/>
        <v>-909</v>
      </c>
      <c r="AA1821" s="27">
        <v>3</v>
      </c>
      <c r="AB1821" s="27">
        <v>2024</v>
      </c>
      <c r="AC1821" s="28" t="s">
        <v>479</v>
      </c>
      <c r="AD1821" s="28" t="s">
        <v>8847</v>
      </c>
      <c r="AE1821" s="27">
        <v>4500022418</v>
      </c>
      <c r="AF1821" s="27" t="s">
        <v>333</v>
      </c>
      <c r="AG1821" s="29" t="s">
        <v>410</v>
      </c>
      <c r="AH1821" s="160"/>
      <c r="AI1821" s="27"/>
      <c r="AJ1821" s="27"/>
      <c r="AK1821" s="27"/>
      <c r="AL1821" s="27"/>
      <c r="AM1821" s="27"/>
      <c r="AN1821" s="27"/>
      <c r="AO1821" s="27"/>
      <c r="AP1821" s="27" t="s">
        <v>8848</v>
      </c>
      <c r="AQ1821" s="27"/>
      <c r="AR1821" s="504"/>
      <c r="AS1821" s="332" t="s">
        <v>8849</v>
      </c>
      <c r="AT1821" s="160"/>
    </row>
    <row r="1822" spans="1:46" ht="21.75" hidden="1" customHeight="1">
      <c r="A1822" s="331">
        <v>1821</v>
      </c>
      <c r="B1822" s="28" t="s">
        <v>151</v>
      </c>
      <c r="C1822" s="28" t="s">
        <v>8844</v>
      </c>
      <c r="D1822" s="438" t="s">
        <v>402</v>
      </c>
      <c r="E1822" s="361" t="str">
        <f t="shared" ca="1" si="97"/>
        <v>LOSS</v>
      </c>
      <c r="F1822" s="29"/>
      <c r="G1822" s="28" t="s">
        <v>8845</v>
      </c>
      <c r="H1822" s="29" t="s">
        <v>2748</v>
      </c>
      <c r="I1822" s="29" t="s">
        <v>346</v>
      </c>
      <c r="J1822" s="28" t="s">
        <v>8846</v>
      </c>
      <c r="K1822" s="28"/>
      <c r="L1822" s="27"/>
      <c r="M1822" s="27"/>
      <c r="N1822" s="29"/>
      <c r="O1822" s="56"/>
      <c r="P1822" s="31">
        <f>24000000*12</f>
        <v>288000000</v>
      </c>
      <c r="Q1822" s="31"/>
      <c r="R1822" s="27"/>
      <c r="S1822" s="32">
        <v>17000000</v>
      </c>
      <c r="T1822" s="72"/>
      <c r="U1822" s="334">
        <v>45382</v>
      </c>
      <c r="V1822" s="334">
        <v>45746</v>
      </c>
      <c r="W1822" s="27" t="s">
        <v>250</v>
      </c>
      <c r="X1822" s="27"/>
      <c r="Y1822" s="34">
        <f t="shared" ca="1" si="101"/>
        <v>46290</v>
      </c>
      <c r="Z1822" s="35">
        <f t="shared" ca="1" si="102"/>
        <v>-544</v>
      </c>
      <c r="AA1822" s="27">
        <v>3</v>
      </c>
      <c r="AB1822" s="27">
        <v>2024</v>
      </c>
      <c r="AC1822" s="28"/>
      <c r="AD1822" s="28" t="s">
        <v>8850</v>
      </c>
      <c r="AE1822" s="27">
        <v>4500023153</v>
      </c>
      <c r="AF1822" s="27" t="s">
        <v>333</v>
      </c>
      <c r="AG1822" s="29" t="s">
        <v>410</v>
      </c>
      <c r="AH1822" s="160"/>
      <c r="AI1822" s="27"/>
      <c r="AJ1822" s="27"/>
      <c r="AK1822" s="27"/>
      <c r="AL1822" s="27"/>
      <c r="AM1822" s="27"/>
      <c r="AN1822" s="27"/>
      <c r="AO1822" s="27"/>
      <c r="AP1822" s="27" t="s">
        <v>8851</v>
      </c>
      <c r="AQ1822" s="27"/>
      <c r="AR1822" s="504"/>
      <c r="AS1822" s="332"/>
      <c r="AT1822" s="160"/>
    </row>
    <row r="1823" spans="1:46" ht="21.75" hidden="1" customHeight="1">
      <c r="A1823" s="331">
        <v>1822</v>
      </c>
      <c r="B1823" s="28" t="s">
        <v>169</v>
      </c>
      <c r="C1823" s="40" t="s">
        <v>8852</v>
      </c>
      <c r="D1823" s="437" t="s">
        <v>862</v>
      </c>
      <c r="E1823" s="361" t="str">
        <f t="shared" ca="1" si="97"/>
        <v>LOSS</v>
      </c>
      <c r="F1823" s="29"/>
      <c r="G1823" s="28" t="s">
        <v>8853</v>
      </c>
      <c r="H1823" s="29" t="s">
        <v>2748</v>
      </c>
      <c r="I1823" s="29" t="s">
        <v>242</v>
      </c>
      <c r="J1823" s="40" t="s">
        <v>178</v>
      </c>
      <c r="K1823" s="28"/>
      <c r="L1823" s="27"/>
      <c r="M1823" s="27" t="s">
        <v>8854</v>
      </c>
      <c r="N1823" s="29" t="s">
        <v>8855</v>
      </c>
      <c r="O1823" s="56"/>
      <c r="P1823" s="31">
        <v>480000000</v>
      </c>
      <c r="Q1823" s="31"/>
      <c r="R1823" s="30"/>
      <c r="S1823" s="32">
        <f>1500000*12</f>
        <v>18000000</v>
      </c>
      <c r="T1823" s="72"/>
      <c r="U1823" s="334">
        <v>45441</v>
      </c>
      <c r="V1823" s="334">
        <v>45805</v>
      </c>
      <c r="W1823" s="27" t="s">
        <v>250</v>
      </c>
      <c r="X1823" s="27"/>
      <c r="Y1823" s="34">
        <f t="shared" ca="1" si="101"/>
        <v>46290</v>
      </c>
      <c r="Z1823" s="35">
        <f t="shared" ca="1" si="102"/>
        <v>-485</v>
      </c>
      <c r="AA1823" s="27">
        <f>MONTH(V1823)</f>
        <v>5</v>
      </c>
      <c r="AB1823" s="27">
        <f>YEAR(V1823)</f>
        <v>2025</v>
      </c>
      <c r="AC1823" s="28" t="s">
        <v>479</v>
      </c>
      <c r="AD1823" s="28" t="s">
        <v>8856</v>
      </c>
      <c r="AE1823" s="27">
        <v>4500022844</v>
      </c>
      <c r="AF1823" s="27" t="s">
        <v>333</v>
      </c>
      <c r="AG1823" s="29" t="s">
        <v>381</v>
      </c>
      <c r="AH1823" s="160"/>
      <c r="AI1823" s="27"/>
      <c r="AJ1823" s="27"/>
      <c r="AK1823" s="27"/>
      <c r="AL1823" s="27"/>
      <c r="AM1823" s="27"/>
      <c r="AN1823" s="27"/>
      <c r="AO1823" s="27"/>
      <c r="AP1823" s="27" t="s">
        <v>8857</v>
      </c>
      <c r="AQ1823" s="27"/>
      <c r="AR1823" s="504"/>
      <c r="AS1823" s="332" t="s">
        <v>8858</v>
      </c>
      <c r="AT1823" s="160"/>
    </row>
    <row r="1824" spans="1:46" ht="21.75" hidden="1" customHeight="1">
      <c r="A1824" s="331">
        <v>1823</v>
      </c>
      <c r="B1824" s="28" t="s">
        <v>169</v>
      </c>
      <c r="C1824" s="28" t="s">
        <v>1274</v>
      </c>
      <c r="D1824" s="438" t="s">
        <v>862</v>
      </c>
      <c r="E1824" s="361" t="str">
        <f t="shared" ca="1" si="97"/>
        <v>LOSS</v>
      </c>
      <c r="F1824" s="29"/>
      <c r="G1824" s="28" t="s">
        <v>8859</v>
      </c>
      <c r="H1824" s="29" t="s">
        <v>2748</v>
      </c>
      <c r="I1824" s="29" t="s">
        <v>242</v>
      </c>
      <c r="J1824" s="28" t="s">
        <v>147</v>
      </c>
      <c r="K1824" s="28"/>
      <c r="L1824" s="27"/>
      <c r="M1824" s="27" t="s">
        <v>353</v>
      </c>
      <c r="N1824" s="29" t="s">
        <v>7088</v>
      </c>
      <c r="O1824" s="56"/>
      <c r="P1824" s="31">
        <v>0</v>
      </c>
      <c r="Q1824" s="31"/>
      <c r="R1824" s="30"/>
      <c r="S1824" s="32">
        <f>1500000*12</f>
        <v>18000000</v>
      </c>
      <c r="T1824" s="72"/>
      <c r="U1824" s="334">
        <v>45429</v>
      </c>
      <c r="V1824" s="334">
        <v>45793</v>
      </c>
      <c r="W1824" s="27" t="s">
        <v>250</v>
      </c>
      <c r="X1824" s="27"/>
      <c r="Y1824" s="34">
        <f t="shared" ca="1" si="101"/>
        <v>46290</v>
      </c>
      <c r="Z1824" s="35">
        <f t="shared" ca="1" si="102"/>
        <v>-497</v>
      </c>
      <c r="AA1824" s="27">
        <f>MONTH(V1824)</f>
        <v>5</v>
      </c>
      <c r="AB1824" s="27">
        <f>YEAR(V1824)</f>
        <v>2025</v>
      </c>
      <c r="AC1824" s="28" t="s">
        <v>479</v>
      </c>
      <c r="AD1824" s="28" t="s">
        <v>8860</v>
      </c>
      <c r="AE1824" s="27">
        <v>4500022826</v>
      </c>
      <c r="AF1824" s="27" t="s">
        <v>333</v>
      </c>
      <c r="AG1824" s="29" t="s">
        <v>381</v>
      </c>
      <c r="AH1824" s="160"/>
      <c r="AI1824" s="27"/>
      <c r="AJ1824" s="27"/>
      <c r="AK1824" s="27"/>
      <c r="AL1824" s="27"/>
      <c r="AM1824" s="27"/>
      <c r="AN1824" s="27"/>
      <c r="AO1824" s="27"/>
      <c r="AP1824" s="27" t="s">
        <v>8861</v>
      </c>
      <c r="AQ1824" s="27"/>
      <c r="AR1824" s="504"/>
      <c r="AS1824" s="332" t="s">
        <v>8858</v>
      </c>
      <c r="AT1824" s="160"/>
    </row>
    <row r="1825" spans="1:46" ht="21.75" hidden="1" customHeight="1">
      <c r="A1825" s="331">
        <v>1824</v>
      </c>
      <c r="B1825" s="28" t="s">
        <v>114</v>
      </c>
      <c r="C1825" s="38" t="s">
        <v>4439</v>
      </c>
      <c r="D1825" s="444" t="s">
        <v>335</v>
      </c>
      <c r="E1825" s="361" t="str">
        <f t="shared" ca="1" si="97"/>
        <v>LOSS</v>
      </c>
      <c r="F1825" s="29"/>
      <c r="G1825" s="28"/>
      <c r="H1825" s="29" t="s">
        <v>2748</v>
      </c>
      <c r="I1825" s="29" t="s">
        <v>242</v>
      </c>
      <c r="J1825" s="28"/>
      <c r="K1825" s="28"/>
      <c r="L1825" s="27"/>
      <c r="M1825" s="27"/>
      <c r="N1825" s="29"/>
      <c r="O1825" s="56"/>
      <c r="P1825" s="31">
        <v>0</v>
      </c>
      <c r="Q1825" s="31"/>
      <c r="R1825" s="27"/>
      <c r="S1825" s="32">
        <v>210000000</v>
      </c>
      <c r="T1825" s="72"/>
      <c r="U1825" s="334">
        <v>45292</v>
      </c>
      <c r="V1825" s="334">
        <v>45657</v>
      </c>
      <c r="W1825" s="27" t="s">
        <v>250</v>
      </c>
      <c r="X1825" s="27"/>
      <c r="Y1825" s="34">
        <f t="shared" ca="1" si="101"/>
        <v>46290</v>
      </c>
      <c r="Z1825" s="35">
        <f t="shared" ca="1" si="102"/>
        <v>-633</v>
      </c>
      <c r="AA1825" s="27">
        <v>12</v>
      </c>
      <c r="AB1825" s="27">
        <v>2024</v>
      </c>
      <c r="AC1825" s="28" t="s">
        <v>479</v>
      </c>
      <c r="AD1825" s="28" t="s">
        <v>8862</v>
      </c>
      <c r="AE1825" s="27">
        <v>4500022782</v>
      </c>
      <c r="AF1825" s="27" t="s">
        <v>356</v>
      </c>
      <c r="AG1825" s="29"/>
      <c r="AH1825" s="160"/>
      <c r="AI1825" s="27"/>
      <c r="AJ1825" s="27"/>
      <c r="AK1825" s="27"/>
      <c r="AL1825" s="27"/>
      <c r="AM1825" s="27"/>
      <c r="AN1825" s="27"/>
      <c r="AO1825" s="27"/>
      <c r="AP1825" s="27" t="s">
        <v>8863</v>
      </c>
      <c r="AQ1825" s="27"/>
      <c r="AR1825" s="504"/>
      <c r="AS1825" s="332"/>
      <c r="AT1825" s="160"/>
    </row>
    <row r="1826" spans="1:46" ht="21.75" hidden="1" customHeight="1">
      <c r="A1826" s="331">
        <v>1825</v>
      </c>
      <c r="B1826" s="28" t="s">
        <v>204</v>
      </c>
      <c r="C1826" s="28" t="s">
        <v>585</v>
      </c>
      <c r="D1826" s="438" t="s">
        <v>8864</v>
      </c>
      <c r="E1826" s="361" t="str">
        <f t="shared" ca="1" si="97"/>
        <v>LOSS</v>
      </c>
      <c r="F1826" s="29"/>
      <c r="G1826" s="28" t="s">
        <v>8865</v>
      </c>
      <c r="H1826" s="29" t="s">
        <v>2748</v>
      </c>
      <c r="I1826" s="29" t="s">
        <v>346</v>
      </c>
      <c r="J1826" s="40" t="s">
        <v>205</v>
      </c>
      <c r="K1826" s="28"/>
      <c r="L1826" s="27"/>
      <c r="M1826" s="27" t="s">
        <v>7091</v>
      </c>
      <c r="N1826" s="29"/>
      <c r="O1826" s="56"/>
      <c r="P1826" s="31">
        <v>667745556</v>
      </c>
      <c r="Q1826" s="31"/>
      <c r="R1826" s="27"/>
      <c r="S1826" s="32">
        <v>52500000</v>
      </c>
      <c r="T1826" s="72"/>
      <c r="U1826" s="334">
        <v>45474</v>
      </c>
      <c r="V1826" s="334">
        <v>45838</v>
      </c>
      <c r="W1826" s="27" t="s">
        <v>250</v>
      </c>
      <c r="X1826" s="27"/>
      <c r="Y1826" s="34">
        <f t="shared" ca="1" si="101"/>
        <v>46290</v>
      </c>
      <c r="Z1826" s="35">
        <f t="shared" ca="1" si="102"/>
        <v>-452</v>
      </c>
      <c r="AA1826" s="27">
        <v>7</v>
      </c>
      <c r="AB1826" s="27">
        <v>2025</v>
      </c>
      <c r="AC1826" s="28" t="s">
        <v>3371</v>
      </c>
      <c r="AD1826" s="28" t="s">
        <v>8866</v>
      </c>
      <c r="AE1826" s="27">
        <v>4500022816</v>
      </c>
      <c r="AF1826" s="27" t="s">
        <v>333</v>
      </c>
      <c r="AG1826" s="29" t="s">
        <v>8867</v>
      </c>
      <c r="AH1826" s="160"/>
      <c r="AI1826" s="27"/>
      <c r="AJ1826" s="27"/>
      <c r="AK1826" s="27"/>
      <c r="AL1826" s="27"/>
      <c r="AM1826" s="27"/>
      <c r="AN1826" s="27"/>
      <c r="AO1826" s="27"/>
      <c r="AP1826" s="27" t="s">
        <v>8868</v>
      </c>
      <c r="AQ1826" s="27"/>
      <c r="AR1826" s="504"/>
      <c r="AS1826" s="332" t="s">
        <v>8869</v>
      </c>
      <c r="AT1826" s="160"/>
    </row>
    <row r="1827" spans="1:46" ht="21.75" hidden="1" customHeight="1">
      <c r="A1827" s="331">
        <v>1826</v>
      </c>
      <c r="B1827" s="28" t="s">
        <v>221</v>
      </c>
      <c r="C1827" s="28" t="s">
        <v>8870</v>
      </c>
      <c r="D1827" s="437" t="s">
        <v>369</v>
      </c>
      <c r="E1827" s="361" t="str">
        <f t="shared" ca="1" si="97"/>
        <v>LOSS</v>
      </c>
      <c r="F1827" s="29"/>
      <c r="G1827" s="28" t="s">
        <v>8871</v>
      </c>
      <c r="H1827" s="29" t="s">
        <v>2748</v>
      </c>
      <c r="I1827" s="29" t="s">
        <v>242</v>
      </c>
      <c r="J1827" s="28" t="s">
        <v>222</v>
      </c>
      <c r="K1827" s="28"/>
      <c r="L1827" s="27"/>
      <c r="M1827" s="27" t="s">
        <v>365</v>
      </c>
      <c r="N1827" s="29" t="s">
        <v>389</v>
      </c>
      <c r="O1827" s="56"/>
      <c r="P1827" s="31">
        <v>47300000</v>
      </c>
      <c r="Q1827" s="31"/>
      <c r="R1827" s="30"/>
      <c r="S1827" s="32">
        <v>6000000</v>
      </c>
      <c r="T1827" s="72"/>
      <c r="U1827" s="334">
        <v>45429</v>
      </c>
      <c r="V1827" s="334">
        <v>45793</v>
      </c>
      <c r="W1827" s="27" t="s">
        <v>250</v>
      </c>
      <c r="X1827" s="27"/>
      <c r="Y1827" s="34">
        <f t="shared" ca="1" si="101"/>
        <v>46290</v>
      </c>
      <c r="Z1827" s="101">
        <f t="shared" ca="1" si="102"/>
        <v>-497</v>
      </c>
      <c r="AA1827" s="27">
        <v>5</v>
      </c>
      <c r="AB1827" s="27">
        <v>2025</v>
      </c>
      <c r="AC1827" s="28" t="s">
        <v>479</v>
      </c>
      <c r="AD1827" s="28" t="s">
        <v>8872</v>
      </c>
      <c r="AE1827" s="27">
        <v>4500022869</v>
      </c>
      <c r="AF1827" s="27" t="s">
        <v>356</v>
      </c>
      <c r="AG1827" s="29" t="s">
        <v>376</v>
      </c>
      <c r="AH1827" s="160"/>
      <c r="AI1827" s="27"/>
      <c r="AJ1827" s="27"/>
      <c r="AK1827" s="27"/>
      <c r="AL1827" s="27"/>
      <c r="AM1827" s="27"/>
      <c r="AN1827" s="27"/>
      <c r="AO1827" s="27"/>
      <c r="AP1827" s="27" t="s">
        <v>8873</v>
      </c>
      <c r="AQ1827" s="27"/>
      <c r="AR1827" s="504"/>
      <c r="AS1827" s="332" t="s">
        <v>8874</v>
      </c>
      <c r="AT1827" s="160"/>
    </row>
    <row r="1828" spans="1:46" ht="21.75" hidden="1" customHeight="1">
      <c r="A1828" s="331">
        <v>1827</v>
      </c>
      <c r="B1828" s="28" t="s">
        <v>221</v>
      </c>
      <c r="C1828" s="28" t="s">
        <v>8875</v>
      </c>
      <c r="D1828" s="438" t="s">
        <v>369</v>
      </c>
      <c r="E1828" s="361" t="str">
        <f t="shared" ca="1" si="97"/>
        <v>LOSS</v>
      </c>
      <c r="F1828" s="29"/>
      <c r="G1828" s="28" t="s">
        <v>8876</v>
      </c>
      <c r="H1828" s="29" t="s">
        <v>2748</v>
      </c>
      <c r="I1828" s="29" t="s">
        <v>242</v>
      </c>
      <c r="J1828" s="28" t="s">
        <v>223</v>
      </c>
      <c r="K1828" s="28"/>
      <c r="L1828" s="27"/>
      <c r="M1828" s="27" t="s">
        <v>365</v>
      </c>
      <c r="N1828" s="29" t="s">
        <v>354</v>
      </c>
      <c r="O1828" s="56"/>
      <c r="P1828" s="31">
        <v>63000000</v>
      </c>
      <c r="Q1828" s="31"/>
      <c r="R1828" s="30"/>
      <c r="S1828" s="32">
        <v>6000000</v>
      </c>
      <c r="T1828" s="72"/>
      <c r="U1828" s="334">
        <v>45386</v>
      </c>
      <c r="V1828" s="334">
        <v>45720</v>
      </c>
      <c r="W1828" s="27" t="s">
        <v>250</v>
      </c>
      <c r="X1828" s="27"/>
      <c r="Y1828" s="34">
        <f t="shared" ca="1" si="101"/>
        <v>46290</v>
      </c>
      <c r="Z1828" s="101">
        <f t="shared" ca="1" si="102"/>
        <v>-570</v>
      </c>
      <c r="AA1828" s="27">
        <v>4</v>
      </c>
      <c r="AB1828" s="27">
        <v>2025</v>
      </c>
      <c r="AC1828" s="28" t="s">
        <v>479</v>
      </c>
      <c r="AD1828" s="28" t="s">
        <v>8877</v>
      </c>
      <c r="AE1828" s="27">
        <v>4500022735</v>
      </c>
      <c r="AF1828" s="27" t="s">
        <v>356</v>
      </c>
      <c r="AG1828" s="29" t="s">
        <v>376</v>
      </c>
      <c r="AH1828" s="160"/>
      <c r="AI1828" s="27"/>
      <c r="AJ1828" s="27"/>
      <c r="AK1828" s="27"/>
      <c r="AL1828" s="27"/>
      <c r="AM1828" s="27"/>
      <c r="AN1828" s="27"/>
      <c r="AO1828" s="27"/>
      <c r="AP1828" s="27" t="s">
        <v>8878</v>
      </c>
      <c r="AQ1828" s="27"/>
      <c r="AR1828" s="504"/>
      <c r="AS1828" s="332" t="s">
        <v>8879</v>
      </c>
      <c r="AT1828" s="160"/>
    </row>
    <row r="1829" spans="1:46" ht="21.75" hidden="1" customHeight="1">
      <c r="A1829" s="331">
        <v>1828</v>
      </c>
      <c r="B1829" s="28" t="s">
        <v>160</v>
      </c>
      <c r="C1829" s="28" t="s">
        <v>8880</v>
      </c>
      <c r="D1829" s="437" t="s">
        <v>8479</v>
      </c>
      <c r="E1829" s="361" t="str">
        <f t="shared" ca="1" si="97"/>
        <v>LOSS</v>
      </c>
      <c r="F1829" s="29"/>
      <c r="G1829" s="28" t="s">
        <v>8495</v>
      </c>
      <c r="H1829" s="29" t="s">
        <v>2748</v>
      </c>
      <c r="I1829" s="29" t="s">
        <v>346</v>
      </c>
      <c r="J1829" s="28" t="s">
        <v>162</v>
      </c>
      <c r="K1829" s="28"/>
      <c r="L1829" s="27"/>
      <c r="M1829" s="27" t="s">
        <v>365</v>
      </c>
      <c r="N1829" s="27" t="s">
        <v>389</v>
      </c>
      <c r="O1829" s="56"/>
      <c r="P1829" s="31">
        <v>210000000</v>
      </c>
      <c r="Q1829" s="31"/>
      <c r="R1829" s="30"/>
      <c r="S1829" s="32">
        <v>132000000</v>
      </c>
      <c r="T1829" s="72"/>
      <c r="U1829" s="334">
        <v>45458</v>
      </c>
      <c r="V1829" s="334">
        <v>45822</v>
      </c>
      <c r="W1829" s="27" t="s">
        <v>250</v>
      </c>
      <c r="X1829" s="27"/>
      <c r="Y1829" s="34">
        <f t="shared" ca="1" si="101"/>
        <v>46290</v>
      </c>
      <c r="Z1829" s="35">
        <f t="shared" ca="1" si="102"/>
        <v>-468</v>
      </c>
      <c r="AA1829" s="27">
        <f>6 / VALUE(MID(TRIM(Table1[[#This Row],[NO SO]]), 3, 1))</f>
        <v>6</v>
      </c>
      <c r="AB1829" s="27">
        <v>2025</v>
      </c>
      <c r="AC1829" s="28" t="s">
        <v>8481</v>
      </c>
      <c r="AD1829" s="28" t="s">
        <v>8881</v>
      </c>
      <c r="AE1829" s="27">
        <v>4500022786</v>
      </c>
      <c r="AF1829" s="27" t="s">
        <v>356</v>
      </c>
      <c r="AG1829" s="29" t="s">
        <v>3887</v>
      </c>
      <c r="AH1829" s="160"/>
      <c r="AI1829" s="27"/>
      <c r="AJ1829" s="27"/>
      <c r="AK1829" s="27"/>
      <c r="AL1829" s="27"/>
      <c r="AM1829" s="27"/>
      <c r="AN1829" s="27"/>
      <c r="AO1829" s="27"/>
      <c r="AP1829" s="27" t="s">
        <v>8882</v>
      </c>
      <c r="AQ1829" s="27"/>
      <c r="AR1829" s="504"/>
      <c r="AS1829" s="332" t="s">
        <v>8883</v>
      </c>
      <c r="AT1829" s="160"/>
    </row>
    <row r="1830" spans="1:46" ht="21.75" hidden="1" customHeight="1">
      <c r="A1830" s="331">
        <v>1829</v>
      </c>
      <c r="B1830" s="28" t="s">
        <v>114</v>
      </c>
      <c r="C1830" s="28" t="s">
        <v>8884</v>
      </c>
      <c r="D1830" s="443" t="s">
        <v>335</v>
      </c>
      <c r="E1830" s="361" t="str">
        <f t="shared" ca="1" si="97"/>
        <v>LOSS</v>
      </c>
      <c r="F1830" s="29"/>
      <c r="G1830" s="28" t="s">
        <v>8885</v>
      </c>
      <c r="H1830" s="29" t="s">
        <v>2748</v>
      </c>
      <c r="I1830" s="29" t="s">
        <v>242</v>
      </c>
      <c r="J1830" s="28" t="s">
        <v>115</v>
      </c>
      <c r="K1830" s="28"/>
      <c r="L1830" s="27"/>
      <c r="M1830" s="27" t="s">
        <v>365</v>
      </c>
      <c r="N1830" s="29" t="s">
        <v>6762</v>
      </c>
      <c r="O1830" s="56"/>
      <c r="P1830" s="31">
        <v>12938212596</v>
      </c>
      <c r="Q1830" s="31"/>
      <c r="R1830" s="27"/>
      <c r="S1830" s="32">
        <v>235200000</v>
      </c>
      <c r="T1830" s="72"/>
      <c r="U1830" s="334">
        <v>45292</v>
      </c>
      <c r="V1830" s="334">
        <v>45657</v>
      </c>
      <c r="W1830" s="27" t="s">
        <v>250</v>
      </c>
      <c r="X1830" s="27"/>
      <c r="Y1830" s="34">
        <f t="shared" ca="1" si="101"/>
        <v>46290</v>
      </c>
      <c r="Z1830" s="35">
        <f t="shared" ca="1" si="102"/>
        <v>-633</v>
      </c>
      <c r="AA1830" s="27">
        <v>12</v>
      </c>
      <c r="AB1830" s="27">
        <v>2024</v>
      </c>
      <c r="AC1830" s="28" t="s">
        <v>479</v>
      </c>
      <c r="AD1830" s="28" t="s">
        <v>8886</v>
      </c>
      <c r="AE1830" s="27">
        <v>4500022738</v>
      </c>
      <c r="AF1830" s="27" t="s">
        <v>339</v>
      </c>
      <c r="AG1830" s="29" t="s">
        <v>4427</v>
      </c>
      <c r="AH1830" s="160"/>
      <c r="AI1830" s="27"/>
      <c r="AJ1830" s="27"/>
      <c r="AK1830" s="27"/>
      <c r="AL1830" s="27"/>
      <c r="AM1830" s="27"/>
      <c r="AN1830" s="27"/>
      <c r="AO1830" s="27"/>
      <c r="AP1830" s="27" t="s">
        <v>8887</v>
      </c>
      <c r="AQ1830" s="27"/>
      <c r="AR1830" s="504"/>
      <c r="AS1830" s="332" t="s">
        <v>8888</v>
      </c>
      <c r="AT1830" s="160"/>
    </row>
    <row r="1831" spans="1:46" ht="21.75" hidden="1" customHeight="1">
      <c r="A1831" s="331">
        <v>1830</v>
      </c>
      <c r="B1831" s="28" t="s">
        <v>160</v>
      </c>
      <c r="C1831" s="28" t="s">
        <v>8889</v>
      </c>
      <c r="D1831" s="437" t="s">
        <v>8479</v>
      </c>
      <c r="E1831" s="361" t="str">
        <f t="shared" ca="1" si="97"/>
        <v>LOSS</v>
      </c>
      <c r="F1831" s="29"/>
      <c r="G1831" s="28" t="s">
        <v>8495</v>
      </c>
      <c r="H1831" s="29" t="s">
        <v>2748</v>
      </c>
      <c r="I1831" s="29" t="s">
        <v>346</v>
      </c>
      <c r="J1831" s="28" t="s">
        <v>164</v>
      </c>
      <c r="K1831" s="28"/>
      <c r="L1831" s="27"/>
      <c r="M1831" s="27" t="s">
        <v>329</v>
      </c>
      <c r="N1831" s="27" t="s">
        <v>6885</v>
      </c>
      <c r="O1831" s="56"/>
      <c r="P1831" s="31">
        <v>64634000</v>
      </c>
      <c r="Q1831" s="31"/>
      <c r="R1831" s="30"/>
      <c r="S1831" s="32">
        <v>24000000</v>
      </c>
      <c r="T1831" s="72"/>
      <c r="U1831" s="334">
        <v>45458</v>
      </c>
      <c r="V1831" s="334">
        <v>45822</v>
      </c>
      <c r="W1831" s="27" t="s">
        <v>250</v>
      </c>
      <c r="X1831" s="27"/>
      <c r="Y1831" s="34">
        <f t="shared" ca="1" si="101"/>
        <v>46290</v>
      </c>
      <c r="Z1831" s="35">
        <f t="shared" ca="1" si="102"/>
        <v>-468</v>
      </c>
      <c r="AA1831" s="27">
        <f>6 / VALUE(MID(TRIM(Table1[[#This Row],[NO SO]]), 3, 1))</f>
        <v>6</v>
      </c>
      <c r="AB1831" s="27">
        <v>2025</v>
      </c>
      <c r="AC1831" s="28" t="s">
        <v>8481</v>
      </c>
      <c r="AD1831" s="28" t="s">
        <v>8890</v>
      </c>
      <c r="AE1831" s="27">
        <v>4500022603</v>
      </c>
      <c r="AF1831" s="27" t="s">
        <v>356</v>
      </c>
      <c r="AG1831" s="29" t="s">
        <v>3887</v>
      </c>
      <c r="AH1831" s="160"/>
      <c r="AI1831" s="27"/>
      <c r="AJ1831" s="27"/>
      <c r="AK1831" s="27"/>
      <c r="AL1831" s="27"/>
      <c r="AM1831" s="27"/>
      <c r="AN1831" s="27"/>
      <c r="AO1831" s="27"/>
      <c r="AP1831" s="27" t="s">
        <v>8891</v>
      </c>
      <c r="AQ1831" s="27"/>
      <c r="AR1831" s="504"/>
      <c r="AS1831" s="332" t="s">
        <v>8883</v>
      </c>
      <c r="AT1831" s="160"/>
    </row>
    <row r="1832" spans="1:46" ht="21.75" hidden="1" customHeight="1">
      <c r="A1832" s="331">
        <v>1831</v>
      </c>
      <c r="B1832" s="28" t="s">
        <v>129</v>
      </c>
      <c r="C1832" s="28" t="s">
        <v>8892</v>
      </c>
      <c r="D1832" s="438" t="s">
        <v>2447</v>
      </c>
      <c r="E1832" s="361" t="str">
        <f t="shared" ca="1" si="97"/>
        <v>LOSS</v>
      </c>
      <c r="F1832" s="29"/>
      <c r="G1832" s="28" t="s">
        <v>8893</v>
      </c>
      <c r="H1832" s="29" t="s">
        <v>2748</v>
      </c>
      <c r="I1832" s="29" t="s">
        <v>346</v>
      </c>
      <c r="J1832" s="28" t="s">
        <v>130</v>
      </c>
      <c r="K1832" s="28"/>
      <c r="L1832" s="27"/>
      <c r="M1832" s="27" t="s">
        <v>353</v>
      </c>
      <c r="N1832" s="29"/>
      <c r="O1832" s="56"/>
      <c r="P1832" s="31">
        <v>65000000</v>
      </c>
      <c r="Q1832" s="31"/>
      <c r="R1832" s="27"/>
      <c r="S1832" s="32">
        <v>20391750</v>
      </c>
      <c r="T1832" s="72"/>
      <c r="U1832" s="334">
        <v>45357</v>
      </c>
      <c r="V1832" s="334">
        <v>45721</v>
      </c>
      <c r="W1832" s="27" t="s">
        <v>250</v>
      </c>
      <c r="X1832" s="27"/>
      <c r="Y1832" s="34">
        <f t="shared" ca="1" si="101"/>
        <v>46290</v>
      </c>
      <c r="Z1832" s="35">
        <f t="shared" ca="1" si="102"/>
        <v>-569</v>
      </c>
      <c r="AA1832" s="27">
        <v>3</v>
      </c>
      <c r="AB1832" s="27">
        <v>2025</v>
      </c>
      <c r="AC1832" s="28" t="s">
        <v>479</v>
      </c>
      <c r="AD1832" s="28" t="s">
        <v>8894</v>
      </c>
      <c r="AE1832" s="27">
        <v>4500022376</v>
      </c>
      <c r="AF1832" s="27" t="s">
        <v>333</v>
      </c>
      <c r="AG1832" s="29" t="s">
        <v>8895</v>
      </c>
      <c r="AH1832" s="160"/>
      <c r="AI1832" s="27"/>
      <c r="AJ1832" s="27"/>
      <c r="AK1832" s="27"/>
      <c r="AL1832" s="27"/>
      <c r="AM1832" s="27"/>
      <c r="AN1832" s="27"/>
      <c r="AO1832" s="27"/>
      <c r="AP1832" s="27" t="s">
        <v>8896</v>
      </c>
      <c r="AQ1832" s="27"/>
      <c r="AR1832" s="504"/>
      <c r="AS1832" s="332" t="s">
        <v>115</v>
      </c>
      <c r="AT1832" s="160"/>
    </row>
    <row r="1833" spans="1:46" ht="21.75" hidden="1" customHeight="1">
      <c r="A1833" s="331">
        <v>1832</v>
      </c>
      <c r="B1833" s="28" t="s">
        <v>232</v>
      </c>
      <c r="C1833" s="40" t="s">
        <v>8897</v>
      </c>
      <c r="D1833" s="437" t="s">
        <v>8898</v>
      </c>
      <c r="E1833" s="361" t="str">
        <f t="shared" ca="1" si="97"/>
        <v>LOSS</v>
      </c>
      <c r="F1833" s="29"/>
      <c r="G1833" s="28" t="s">
        <v>8899</v>
      </c>
      <c r="H1833" s="29" t="s">
        <v>2748</v>
      </c>
      <c r="I1833" s="29" t="s">
        <v>346</v>
      </c>
      <c r="J1833" s="40" t="s">
        <v>233</v>
      </c>
      <c r="K1833" s="28"/>
      <c r="L1833" s="27"/>
      <c r="M1833" s="27" t="s">
        <v>8900</v>
      </c>
      <c r="N1833" s="27" t="s">
        <v>406</v>
      </c>
      <c r="O1833" s="56"/>
      <c r="P1833" s="31">
        <v>441300000</v>
      </c>
      <c r="Q1833" s="31"/>
      <c r="R1833" s="27"/>
      <c r="S1833" s="32">
        <v>50000000</v>
      </c>
      <c r="T1833" s="72"/>
      <c r="U1833" s="334">
        <v>45444</v>
      </c>
      <c r="V1833" s="334">
        <v>45808</v>
      </c>
      <c r="W1833" s="27" t="s">
        <v>17</v>
      </c>
      <c r="X1833" s="27"/>
      <c r="Y1833" s="34">
        <f t="shared" ca="1" si="101"/>
        <v>46290</v>
      </c>
      <c r="Z1833" s="35">
        <f t="shared" ca="1" si="102"/>
        <v>-482</v>
      </c>
      <c r="AA1833" s="27">
        <f>MONTH(V1833)</f>
        <v>5</v>
      </c>
      <c r="AB1833" s="27">
        <v>2025</v>
      </c>
      <c r="AC1833" s="28" t="s">
        <v>3371</v>
      </c>
      <c r="AD1833" s="28" t="s">
        <v>8901</v>
      </c>
      <c r="AE1833" s="27">
        <v>4500022682</v>
      </c>
      <c r="AF1833" s="27" t="s">
        <v>333</v>
      </c>
      <c r="AG1833" s="29" t="s">
        <v>8902</v>
      </c>
      <c r="AH1833" s="160"/>
      <c r="AI1833" s="27"/>
      <c r="AJ1833" s="27"/>
      <c r="AK1833" s="27"/>
      <c r="AL1833" s="27"/>
      <c r="AM1833" s="27"/>
      <c r="AN1833" s="27"/>
      <c r="AO1833" s="27"/>
      <c r="AP1833" s="27" t="s">
        <v>8903</v>
      </c>
      <c r="AQ1833" s="27"/>
      <c r="AR1833" s="504"/>
      <c r="AS1833" s="332" t="s">
        <v>8904</v>
      </c>
      <c r="AT1833" s="160"/>
    </row>
    <row r="1834" spans="1:46" ht="21.75" hidden="1" customHeight="1">
      <c r="A1834" s="331">
        <v>1833</v>
      </c>
      <c r="B1834" s="28" t="s">
        <v>93</v>
      </c>
      <c r="C1834" s="28" t="s">
        <v>8905</v>
      </c>
      <c r="D1834" s="443" t="s">
        <v>3741</v>
      </c>
      <c r="E1834" s="361" t="str">
        <f t="shared" ca="1" si="97"/>
        <v>LOSS</v>
      </c>
      <c r="F1834" s="29"/>
      <c r="G1834" s="28" t="s">
        <v>8906</v>
      </c>
      <c r="H1834" s="29" t="s">
        <v>2748</v>
      </c>
      <c r="I1834" s="29" t="s">
        <v>242</v>
      </c>
      <c r="J1834" s="28" t="s">
        <v>95</v>
      </c>
      <c r="K1834" s="28"/>
      <c r="L1834" s="27"/>
      <c r="M1834" s="27" t="s">
        <v>353</v>
      </c>
      <c r="N1834" s="27" t="s">
        <v>6762</v>
      </c>
      <c r="O1834" s="56"/>
      <c r="P1834" s="31">
        <v>35454000</v>
      </c>
      <c r="Q1834" s="31"/>
      <c r="R1834" s="30"/>
      <c r="S1834" s="32">
        <v>18000000</v>
      </c>
      <c r="T1834" s="72"/>
      <c r="U1834" s="334">
        <v>45440</v>
      </c>
      <c r="V1834" s="334">
        <v>45804</v>
      </c>
      <c r="W1834" s="27" t="s">
        <v>250</v>
      </c>
      <c r="X1834" s="27"/>
      <c r="Y1834" s="34">
        <f t="shared" ca="1" si="101"/>
        <v>46290</v>
      </c>
      <c r="Z1834" s="101">
        <f t="shared" ca="1" si="102"/>
        <v>-486</v>
      </c>
      <c r="AA1834" s="27">
        <v>5</v>
      </c>
      <c r="AB1834" s="27">
        <v>2025</v>
      </c>
      <c r="AC1834" s="28" t="s">
        <v>479</v>
      </c>
      <c r="AD1834" s="28" t="s">
        <v>8907</v>
      </c>
      <c r="AE1834" s="27">
        <v>4500022874</v>
      </c>
      <c r="AF1834" s="27" t="s">
        <v>333</v>
      </c>
      <c r="AG1834" s="29" t="s">
        <v>8516</v>
      </c>
      <c r="AH1834" s="160"/>
      <c r="AI1834" s="27"/>
      <c r="AJ1834" s="27"/>
      <c r="AK1834" s="27"/>
      <c r="AL1834" s="27"/>
      <c r="AM1834" s="27"/>
      <c r="AN1834" s="27"/>
      <c r="AO1834" s="27"/>
      <c r="AP1834" s="27" t="s">
        <v>8908</v>
      </c>
      <c r="AQ1834" s="27"/>
      <c r="AR1834" s="504"/>
      <c r="AS1834" s="332" t="s">
        <v>8909</v>
      </c>
      <c r="AT1834" s="160"/>
    </row>
    <row r="1835" spans="1:46" ht="21.75" hidden="1" customHeight="1">
      <c r="A1835" s="331">
        <v>1834</v>
      </c>
      <c r="B1835" s="28" t="s">
        <v>2615</v>
      </c>
      <c r="C1835" s="28" t="s">
        <v>8833</v>
      </c>
      <c r="D1835" s="437" t="s">
        <v>6750</v>
      </c>
      <c r="E1835" s="361" t="str">
        <f t="shared" ca="1" si="97"/>
        <v>LOSS</v>
      </c>
      <c r="F1835" s="29" t="s">
        <v>8910</v>
      </c>
      <c r="G1835" s="28" t="s">
        <v>8911</v>
      </c>
      <c r="H1835" s="29" t="s">
        <v>261</v>
      </c>
      <c r="I1835" s="361" t="s">
        <v>243</v>
      </c>
      <c r="J1835" s="28" t="s">
        <v>58</v>
      </c>
      <c r="K1835" s="36" t="s">
        <v>8912</v>
      </c>
      <c r="L1835" s="51">
        <v>0.995</v>
      </c>
      <c r="M1835" s="27" t="s">
        <v>8835</v>
      </c>
      <c r="N1835" s="27" t="s">
        <v>373</v>
      </c>
      <c r="O1835" s="56"/>
      <c r="P1835" s="31">
        <v>654586000</v>
      </c>
      <c r="Q1835" s="31"/>
      <c r="R1835" s="56"/>
      <c r="S1835" s="32">
        <v>362800010</v>
      </c>
      <c r="T1835" s="72"/>
      <c r="U1835" s="334">
        <v>45385</v>
      </c>
      <c r="V1835" s="334">
        <v>45749</v>
      </c>
      <c r="W1835" s="27" t="s">
        <v>250</v>
      </c>
      <c r="X1835" s="27"/>
      <c r="Y1835" s="34">
        <f t="shared" ca="1" si="101"/>
        <v>46290</v>
      </c>
      <c r="Z1835" s="101">
        <f t="shared" ca="1" si="102"/>
        <v>-541</v>
      </c>
      <c r="AA1835" s="27">
        <v>4</v>
      </c>
      <c r="AB1835" s="27">
        <v>2025</v>
      </c>
      <c r="AC1835" s="28" t="s">
        <v>3371</v>
      </c>
      <c r="AD1835" s="28" t="s">
        <v>8913</v>
      </c>
      <c r="AE1835" s="27">
        <v>4500022618</v>
      </c>
      <c r="AF1835" s="27" t="s">
        <v>471</v>
      </c>
      <c r="AG1835" s="29" t="s">
        <v>8837</v>
      </c>
      <c r="AH1835" s="174" t="s">
        <v>6757</v>
      </c>
      <c r="AI1835" s="27"/>
      <c r="AJ1835" s="27"/>
      <c r="AK1835" s="27"/>
      <c r="AL1835" s="27"/>
      <c r="AM1835" s="27"/>
      <c r="AN1835" s="27"/>
      <c r="AO1835" s="27"/>
      <c r="AP1835" s="27" t="s">
        <v>8914</v>
      </c>
      <c r="AQ1835" s="27"/>
      <c r="AR1835" s="504"/>
      <c r="AS1835" s="332" t="s">
        <v>8324</v>
      </c>
      <c r="AT1835" s="160"/>
    </row>
    <row r="1836" spans="1:46" ht="21.75" hidden="1" customHeight="1">
      <c r="A1836" s="331">
        <v>1835</v>
      </c>
      <c r="B1836" s="28" t="s">
        <v>165</v>
      </c>
      <c r="C1836" s="28" t="s">
        <v>7108</v>
      </c>
      <c r="D1836" s="438" t="s">
        <v>7149</v>
      </c>
      <c r="E1836" s="361" t="str">
        <f t="shared" ca="1" si="97"/>
        <v>LOSS</v>
      </c>
      <c r="F1836" s="29" t="s">
        <v>8915</v>
      </c>
      <c r="G1836" s="28" t="s">
        <v>7131</v>
      </c>
      <c r="H1836" s="29" t="s">
        <v>261</v>
      </c>
      <c r="I1836" s="361" t="s">
        <v>243</v>
      </c>
      <c r="J1836" s="28" t="s">
        <v>8916</v>
      </c>
      <c r="K1836" s="36" t="s">
        <v>8917</v>
      </c>
      <c r="L1836" s="51">
        <v>0.995</v>
      </c>
      <c r="M1836" s="27" t="s">
        <v>365</v>
      </c>
      <c r="N1836" s="27" t="s">
        <v>6727</v>
      </c>
      <c r="O1836" s="56"/>
      <c r="P1836" s="31">
        <f>85400000*3</f>
        <v>256200000</v>
      </c>
      <c r="Q1836" s="31"/>
      <c r="R1836" s="27"/>
      <c r="S1836" s="32">
        <v>86097888</v>
      </c>
      <c r="T1836" s="72"/>
      <c r="U1836" s="334">
        <v>45328</v>
      </c>
      <c r="V1836" s="334">
        <v>45417</v>
      </c>
      <c r="W1836" s="27" t="s">
        <v>250</v>
      </c>
      <c r="X1836" s="27"/>
      <c r="Y1836" s="34">
        <f t="shared" ca="1" si="101"/>
        <v>46290</v>
      </c>
      <c r="Z1836" s="35">
        <f t="shared" ca="1" si="102"/>
        <v>-873</v>
      </c>
      <c r="AA1836" s="27">
        <f>MONTH(V1836)</f>
        <v>5</v>
      </c>
      <c r="AB1836" s="27">
        <f>YEAR(V1836)</f>
        <v>2024</v>
      </c>
      <c r="AC1836" s="28"/>
      <c r="AD1836" s="28">
        <v>3121</v>
      </c>
      <c r="AE1836" s="27">
        <v>4500022891</v>
      </c>
      <c r="AF1836" s="27" t="s">
        <v>471</v>
      </c>
      <c r="AG1836" s="29" t="s">
        <v>7098</v>
      </c>
      <c r="AH1836" s="160" t="s">
        <v>7099</v>
      </c>
      <c r="AI1836" s="27"/>
      <c r="AJ1836" s="27"/>
      <c r="AK1836" s="27"/>
      <c r="AL1836" s="27"/>
      <c r="AM1836" s="27"/>
      <c r="AN1836" s="27"/>
      <c r="AO1836" s="27"/>
      <c r="AP1836" s="27">
        <v>231</v>
      </c>
      <c r="AQ1836" s="27"/>
      <c r="AR1836" s="504"/>
      <c r="AS1836" s="332"/>
      <c r="AT1836" s="160"/>
    </row>
    <row r="1837" spans="1:46" ht="21.75" hidden="1" customHeight="1">
      <c r="A1837" s="331">
        <v>1836</v>
      </c>
      <c r="B1837" s="28" t="s">
        <v>1043</v>
      </c>
      <c r="C1837" s="28" t="s">
        <v>1497</v>
      </c>
      <c r="D1837" s="437" t="s">
        <v>6810</v>
      </c>
      <c r="E1837" s="361" t="str">
        <f t="shared" ca="1" si="97"/>
        <v>LOSS</v>
      </c>
      <c r="F1837" s="29"/>
      <c r="G1837" s="28" t="s">
        <v>8918</v>
      </c>
      <c r="H1837" s="29" t="s">
        <v>261</v>
      </c>
      <c r="I1837" s="361" t="s">
        <v>243</v>
      </c>
      <c r="J1837" s="28" t="s">
        <v>8919</v>
      </c>
      <c r="K1837" s="36" t="s">
        <v>8920</v>
      </c>
      <c r="L1837" s="51">
        <v>0.995</v>
      </c>
      <c r="M1837" s="27" t="s">
        <v>353</v>
      </c>
      <c r="N1837" s="27" t="s">
        <v>494</v>
      </c>
      <c r="O1837" s="56">
        <v>208333</v>
      </c>
      <c r="P1837" s="31">
        <v>330000000</v>
      </c>
      <c r="Q1837" s="31"/>
      <c r="R1837" s="56">
        <v>3000000</v>
      </c>
      <c r="S1837" s="103">
        <f>2300000*12</f>
        <v>27600000</v>
      </c>
      <c r="T1837" s="34"/>
      <c r="U1837" s="334">
        <v>45383</v>
      </c>
      <c r="V1837" s="334">
        <v>45747</v>
      </c>
      <c r="W1837" s="27" t="s">
        <v>250</v>
      </c>
      <c r="X1837" s="27"/>
      <c r="Y1837" s="34">
        <f t="shared" ca="1" si="101"/>
        <v>46290</v>
      </c>
      <c r="Z1837" s="35">
        <f t="shared" ca="1" si="102"/>
        <v>-543</v>
      </c>
      <c r="AA1837" s="27">
        <f>MONTH(V1837)</f>
        <v>3</v>
      </c>
      <c r="AB1837" s="27">
        <f>YEAR(V1837)</f>
        <v>2025</v>
      </c>
      <c r="AC1837" s="28"/>
      <c r="AD1837" s="28" t="s">
        <v>8921</v>
      </c>
      <c r="AE1837" s="47">
        <v>4500022503</v>
      </c>
      <c r="AF1837" s="27" t="s">
        <v>471</v>
      </c>
      <c r="AG1837" s="29" t="s">
        <v>8922</v>
      </c>
      <c r="AH1837" s="160"/>
      <c r="AI1837" s="27"/>
      <c r="AJ1837" s="27"/>
      <c r="AK1837" s="27"/>
      <c r="AL1837" s="27"/>
      <c r="AM1837" s="27"/>
      <c r="AN1837" s="27"/>
      <c r="AO1837" s="27"/>
      <c r="AP1837" s="27">
        <v>192</v>
      </c>
      <c r="AQ1837" s="27"/>
      <c r="AR1837" s="504"/>
      <c r="AS1837" s="333"/>
      <c r="AT1837" s="160"/>
    </row>
    <row r="1838" spans="1:46" ht="21.75" hidden="1" customHeight="1">
      <c r="A1838" s="331">
        <v>1837</v>
      </c>
      <c r="B1838" s="28" t="s">
        <v>37</v>
      </c>
      <c r="C1838" s="28" t="s">
        <v>8923</v>
      </c>
      <c r="D1838" s="438" t="s">
        <v>6644</v>
      </c>
      <c r="E1838" s="361" t="str">
        <f t="shared" ca="1" si="97"/>
        <v>LOSS</v>
      </c>
      <c r="F1838" s="29" t="s">
        <v>8924</v>
      </c>
      <c r="G1838" s="28" t="s">
        <v>8925</v>
      </c>
      <c r="H1838" s="29" t="s">
        <v>261</v>
      </c>
      <c r="I1838" s="361" t="s">
        <v>243</v>
      </c>
      <c r="J1838" s="28" t="s">
        <v>8926</v>
      </c>
      <c r="K1838" s="36" t="s">
        <v>8927</v>
      </c>
      <c r="L1838" s="27" t="s">
        <v>4749</v>
      </c>
      <c r="M1838" s="27" t="s">
        <v>365</v>
      </c>
      <c r="N1838" s="27" t="s">
        <v>362</v>
      </c>
      <c r="O1838" s="56"/>
      <c r="P1838" s="31">
        <f>31000000*12</f>
        <v>372000000</v>
      </c>
      <c r="Q1838" s="31"/>
      <c r="R1838" s="56">
        <v>10000000</v>
      </c>
      <c r="S1838" s="103">
        <f>16380000*12</f>
        <v>196560000</v>
      </c>
      <c r="T1838" s="34"/>
      <c r="U1838" s="334">
        <v>45297</v>
      </c>
      <c r="V1838" s="334">
        <v>45662</v>
      </c>
      <c r="W1838" s="27" t="s">
        <v>250</v>
      </c>
      <c r="X1838" s="27"/>
      <c r="Y1838" s="34">
        <f t="shared" ca="1" si="101"/>
        <v>46290</v>
      </c>
      <c r="Z1838" s="35">
        <f t="shared" ca="1" si="102"/>
        <v>-628</v>
      </c>
      <c r="AA1838" s="27">
        <f>MONTH(V1838)</f>
        <v>1</v>
      </c>
      <c r="AB1838" s="27">
        <f>YEAR(V1838)</f>
        <v>2025</v>
      </c>
      <c r="AC1838" s="28"/>
      <c r="AD1838" s="28" t="s">
        <v>8928</v>
      </c>
      <c r="AE1838" s="35">
        <v>4500022240</v>
      </c>
      <c r="AF1838" s="27" t="s">
        <v>471</v>
      </c>
      <c r="AG1838" s="29"/>
      <c r="AH1838" s="160"/>
      <c r="AI1838" s="27"/>
      <c r="AJ1838" s="27"/>
      <c r="AK1838" s="27"/>
      <c r="AL1838" s="27"/>
      <c r="AM1838" s="27"/>
      <c r="AN1838" s="27"/>
      <c r="AO1838" s="27"/>
      <c r="AP1838" s="27">
        <v>17</v>
      </c>
      <c r="AQ1838" s="27"/>
      <c r="AR1838" s="504"/>
      <c r="AS1838" s="332"/>
      <c r="AT1838" s="160"/>
    </row>
    <row r="1839" spans="1:46" ht="21.75" hidden="1" customHeight="1">
      <c r="A1839" s="331">
        <v>1838</v>
      </c>
      <c r="B1839" s="28" t="s">
        <v>382</v>
      </c>
      <c r="C1839" s="28" t="s">
        <v>8929</v>
      </c>
      <c r="D1839" s="437" t="s">
        <v>384</v>
      </c>
      <c r="E1839" s="361" t="str">
        <f t="shared" ca="1" si="97"/>
        <v>LOSS</v>
      </c>
      <c r="F1839" s="29" t="s">
        <v>8930</v>
      </c>
      <c r="G1839" s="28" t="s">
        <v>8931</v>
      </c>
      <c r="H1839" s="29" t="s">
        <v>261</v>
      </c>
      <c r="I1839" s="361" t="s">
        <v>243</v>
      </c>
      <c r="J1839" s="28" t="s">
        <v>8932</v>
      </c>
      <c r="K1839" s="160"/>
      <c r="L1839" s="27" t="s">
        <v>4749</v>
      </c>
      <c r="M1839" s="27" t="s">
        <v>365</v>
      </c>
      <c r="N1839" s="27" t="s">
        <v>406</v>
      </c>
      <c r="O1839" s="56">
        <v>11000000</v>
      </c>
      <c r="P1839" s="31">
        <f>10509000*12</f>
        <v>126108000</v>
      </c>
      <c r="Q1839" s="31"/>
      <c r="R1839" s="56">
        <v>5000000</v>
      </c>
      <c r="S1839" s="103">
        <f>4800000*12</f>
        <v>57600000</v>
      </c>
      <c r="T1839" s="34"/>
      <c r="U1839" s="334">
        <v>45356</v>
      </c>
      <c r="V1839" s="334">
        <v>45720</v>
      </c>
      <c r="W1839" s="27" t="s">
        <v>245</v>
      </c>
      <c r="X1839" s="27"/>
      <c r="Y1839" s="34">
        <f t="shared" ca="1" si="101"/>
        <v>46290</v>
      </c>
      <c r="Z1839" s="35">
        <f t="shared" ca="1" si="102"/>
        <v>-570</v>
      </c>
      <c r="AA1839" s="27">
        <f>MONTH(V1839)</f>
        <v>3</v>
      </c>
      <c r="AB1839" s="27">
        <f>YEAR(V1839)</f>
        <v>2025</v>
      </c>
      <c r="AC1839" s="28" t="s">
        <v>479</v>
      </c>
      <c r="AD1839" s="28" t="s">
        <v>8933</v>
      </c>
      <c r="AE1839" s="27">
        <v>4500022193</v>
      </c>
      <c r="AF1839" s="27" t="s">
        <v>7752</v>
      </c>
      <c r="AG1839" s="29" t="s">
        <v>8934</v>
      </c>
      <c r="AH1839" s="160"/>
      <c r="AI1839" s="27"/>
      <c r="AJ1839" s="27"/>
      <c r="AK1839" s="27"/>
      <c r="AL1839" s="27"/>
      <c r="AM1839" s="27"/>
      <c r="AN1839" s="27"/>
      <c r="AO1839" s="27"/>
      <c r="AP1839" s="27">
        <v>121</v>
      </c>
      <c r="AQ1839" s="27"/>
      <c r="AR1839" s="504"/>
      <c r="AS1839" s="332"/>
      <c r="AT1839" s="160"/>
    </row>
    <row r="1840" spans="1:46" ht="21.75" hidden="1" customHeight="1">
      <c r="A1840" s="331">
        <v>1839</v>
      </c>
      <c r="B1840" s="28" t="s">
        <v>8935</v>
      </c>
      <c r="C1840" s="28" t="s">
        <v>8936</v>
      </c>
      <c r="D1840" s="438" t="s">
        <v>8937</v>
      </c>
      <c r="E1840" s="361" t="str">
        <f t="shared" ca="1" si="97"/>
        <v>LOSS</v>
      </c>
      <c r="F1840" s="29"/>
      <c r="G1840" s="29" t="s">
        <v>8938</v>
      </c>
      <c r="H1840" s="29" t="s">
        <v>261</v>
      </c>
      <c r="I1840" s="361" t="s">
        <v>243</v>
      </c>
      <c r="J1840" s="28" t="s">
        <v>8939</v>
      </c>
      <c r="K1840" s="36" t="s">
        <v>8940</v>
      </c>
      <c r="L1840" s="27" t="s">
        <v>4749</v>
      </c>
      <c r="M1840" s="27" t="s">
        <v>8941</v>
      </c>
      <c r="N1840" s="27" t="s">
        <v>6762</v>
      </c>
      <c r="O1840" s="56">
        <v>3000000</v>
      </c>
      <c r="P1840" s="102">
        <f>10850000*12</f>
        <v>130200000</v>
      </c>
      <c r="Q1840" s="102"/>
      <c r="R1840" s="56">
        <v>3500000</v>
      </c>
      <c r="S1840" s="100">
        <f>5000000*12</f>
        <v>60000000</v>
      </c>
      <c r="T1840" s="34"/>
      <c r="U1840" s="334">
        <v>45445</v>
      </c>
      <c r="V1840" s="334">
        <v>45809</v>
      </c>
      <c r="W1840" s="27" t="s">
        <v>250</v>
      </c>
      <c r="X1840" s="27"/>
      <c r="Y1840" s="34">
        <f t="shared" ca="1" si="101"/>
        <v>46290</v>
      </c>
      <c r="Z1840" s="35">
        <f t="shared" ca="1" si="102"/>
        <v>-481</v>
      </c>
      <c r="AA1840" s="27">
        <f>MONTH(V1840)</f>
        <v>6</v>
      </c>
      <c r="AB1840" s="27">
        <f>YEAR(V1840)</f>
        <v>2025</v>
      </c>
      <c r="AC1840" s="28" t="s">
        <v>479</v>
      </c>
      <c r="AD1840" s="28" t="s">
        <v>8942</v>
      </c>
      <c r="AE1840" s="27">
        <v>4500022847</v>
      </c>
      <c r="AF1840" s="27" t="s">
        <v>471</v>
      </c>
      <c r="AG1840" s="29" t="s">
        <v>8943</v>
      </c>
      <c r="AH1840" s="160"/>
      <c r="AI1840" s="27"/>
      <c r="AJ1840" s="27"/>
      <c r="AK1840" s="27"/>
      <c r="AL1840" s="27"/>
      <c r="AM1840" s="27"/>
      <c r="AN1840" s="27"/>
      <c r="AO1840" s="27"/>
      <c r="AP1840" s="27">
        <v>193</v>
      </c>
      <c r="AQ1840" s="27"/>
      <c r="AR1840" s="504"/>
      <c r="AS1840" s="332" t="s">
        <v>8944</v>
      </c>
      <c r="AT1840" s="160"/>
    </row>
    <row r="1841" spans="1:46" ht="21.75" hidden="1" customHeight="1">
      <c r="A1841" s="331">
        <v>1840</v>
      </c>
      <c r="B1841" s="86" t="s">
        <v>8945</v>
      </c>
      <c r="C1841" s="104" t="s">
        <v>8946</v>
      </c>
      <c r="D1841" s="437" t="s">
        <v>8947</v>
      </c>
      <c r="E1841" s="361" t="str">
        <f t="shared" ca="1" si="97"/>
        <v>ON TRACK</v>
      </c>
      <c r="F1841" s="105"/>
      <c r="G1841" s="86" t="s">
        <v>8948</v>
      </c>
      <c r="H1841" s="105" t="s">
        <v>8588</v>
      </c>
      <c r="I1841" s="105" t="s">
        <v>511</v>
      </c>
      <c r="J1841" s="106"/>
      <c r="K1841" s="107" t="s">
        <v>8949</v>
      </c>
      <c r="L1841" s="68"/>
      <c r="M1841" s="68" t="s">
        <v>329</v>
      </c>
      <c r="N1841" s="68" t="s">
        <v>6885</v>
      </c>
      <c r="O1841" s="198"/>
      <c r="P1841" s="108">
        <v>29400000</v>
      </c>
      <c r="Q1841" s="108"/>
      <c r="R1841" s="109"/>
      <c r="S1841" s="110"/>
      <c r="T1841" s="111">
        <v>0.35</v>
      </c>
      <c r="U1841" s="339">
        <v>43344</v>
      </c>
      <c r="V1841" s="334">
        <v>46996</v>
      </c>
      <c r="W1841" s="68" t="s">
        <v>17</v>
      </c>
      <c r="X1841" s="68"/>
      <c r="Y1841" s="34">
        <f t="shared" ca="1" si="101"/>
        <v>46290</v>
      </c>
      <c r="Z1841" s="35">
        <f t="shared" ca="1" si="102"/>
        <v>706</v>
      </c>
      <c r="AA1841" s="68">
        <f>MONTH(Table1[[#This Row],[End]])</f>
        <v>8</v>
      </c>
      <c r="AB1841" s="68">
        <f>YEAR(Table1[[#This Row],[End]])</f>
        <v>2028</v>
      </c>
      <c r="AC1841" s="104"/>
      <c r="AD1841" s="104"/>
      <c r="AE1841" s="183"/>
      <c r="AF1841" s="27" t="s">
        <v>356</v>
      </c>
      <c r="AG1841" s="105" t="s">
        <v>8950</v>
      </c>
      <c r="AH1841" s="160"/>
      <c r="AI1841" s="68"/>
      <c r="AJ1841" s="68"/>
      <c r="AK1841" s="27"/>
      <c r="AL1841" s="27"/>
      <c r="AM1841" s="27"/>
      <c r="AN1841" s="27"/>
      <c r="AO1841" s="27"/>
      <c r="AP1841" s="27"/>
      <c r="AQ1841" s="27"/>
      <c r="AR1841" s="504"/>
      <c r="AS1841" s="332"/>
      <c r="AT1841" s="160"/>
    </row>
    <row r="1842" spans="1:46" ht="21.75" hidden="1" customHeight="1">
      <c r="A1842" s="331">
        <v>1841</v>
      </c>
      <c r="B1842" s="28" t="s">
        <v>37</v>
      </c>
      <c r="C1842" s="28" t="s">
        <v>8951</v>
      </c>
      <c r="D1842" s="438" t="s">
        <v>6644</v>
      </c>
      <c r="E1842" s="361" t="str">
        <f t="shared" ca="1" si="97"/>
        <v>LOSS</v>
      </c>
      <c r="F1842" s="29" t="s">
        <v>8952</v>
      </c>
      <c r="G1842" s="28" t="s">
        <v>8953</v>
      </c>
      <c r="H1842" s="29" t="s">
        <v>2748</v>
      </c>
      <c r="I1842" s="29" t="s">
        <v>242</v>
      </c>
      <c r="J1842" s="28" t="s">
        <v>38</v>
      </c>
      <c r="K1842" s="28"/>
      <c r="L1842" s="27"/>
      <c r="M1842" s="27"/>
      <c r="N1842" s="27"/>
      <c r="O1842" s="56">
        <v>2702703</v>
      </c>
      <c r="P1842" s="31">
        <v>83783787</v>
      </c>
      <c r="Q1842" s="31"/>
      <c r="R1842" s="56">
        <v>2702703</v>
      </c>
      <c r="S1842" s="100">
        <f>2500000*12</f>
        <v>30000000</v>
      </c>
      <c r="T1842" s="34"/>
      <c r="U1842" s="334">
        <v>45442</v>
      </c>
      <c r="V1842" s="334">
        <v>45806</v>
      </c>
      <c r="W1842" s="27" t="s">
        <v>250</v>
      </c>
      <c r="X1842" s="27"/>
      <c r="Y1842" s="34">
        <f t="shared" ca="1" si="101"/>
        <v>46290</v>
      </c>
      <c r="Z1842" s="35">
        <f t="shared" ca="1" si="102"/>
        <v>-484</v>
      </c>
      <c r="AA1842" s="27">
        <f>MONTH(V1842)</f>
        <v>5</v>
      </c>
      <c r="AB1842" s="27">
        <f>YEAR(V1842)</f>
        <v>2025</v>
      </c>
      <c r="AC1842" s="28" t="s">
        <v>479</v>
      </c>
      <c r="AD1842" s="28" t="s">
        <v>8954</v>
      </c>
      <c r="AE1842" s="35">
        <v>4500022970</v>
      </c>
      <c r="AF1842" s="52" t="s">
        <v>333</v>
      </c>
      <c r="AG1842" s="29" t="s">
        <v>6656</v>
      </c>
      <c r="AH1842" s="160"/>
      <c r="AI1842" s="27"/>
      <c r="AJ1842" s="27"/>
      <c r="AK1842" s="27"/>
      <c r="AL1842" s="27"/>
      <c r="AM1842" s="27"/>
      <c r="AN1842" s="27"/>
      <c r="AO1842" s="27"/>
      <c r="AP1842" s="27" t="s">
        <v>8955</v>
      </c>
      <c r="AQ1842" s="27"/>
      <c r="AR1842" s="504"/>
      <c r="AS1842" s="332"/>
      <c r="AT1842" s="160"/>
    </row>
    <row r="1843" spans="1:46" ht="21.75" hidden="1" customHeight="1">
      <c r="A1843" s="331">
        <v>1842</v>
      </c>
      <c r="B1843" s="28" t="s">
        <v>129</v>
      </c>
      <c r="C1843" s="28" t="s">
        <v>8956</v>
      </c>
      <c r="D1843" s="437" t="s">
        <v>2447</v>
      </c>
      <c r="E1843" s="361" t="str">
        <f t="shared" ca="1" si="97"/>
        <v>LOSS</v>
      </c>
      <c r="F1843" s="29"/>
      <c r="G1843" s="28" t="s">
        <v>8957</v>
      </c>
      <c r="H1843" s="29" t="s">
        <v>2748</v>
      </c>
      <c r="I1843" s="29" t="s">
        <v>346</v>
      </c>
      <c r="J1843" s="28" t="s">
        <v>131</v>
      </c>
      <c r="K1843" s="28"/>
      <c r="L1843" s="27"/>
      <c r="M1843" s="27" t="s">
        <v>353</v>
      </c>
      <c r="N1843" s="27"/>
      <c r="O1843" s="56">
        <v>5000000</v>
      </c>
      <c r="P1843" s="31">
        <v>35402400</v>
      </c>
      <c r="Q1843" s="31"/>
      <c r="R1843" s="30"/>
      <c r="S1843" s="100">
        <v>33533100</v>
      </c>
      <c r="T1843" s="34"/>
      <c r="U1843" s="334">
        <v>45357</v>
      </c>
      <c r="V1843" s="334">
        <v>45721</v>
      </c>
      <c r="W1843" s="27" t="s">
        <v>250</v>
      </c>
      <c r="X1843" s="27"/>
      <c r="Y1843" s="34">
        <f t="shared" ca="1" si="101"/>
        <v>46290</v>
      </c>
      <c r="Z1843" s="35">
        <f t="shared" ca="1" si="102"/>
        <v>-569</v>
      </c>
      <c r="AA1843" s="27">
        <v>3</v>
      </c>
      <c r="AB1843" s="27">
        <v>2025</v>
      </c>
      <c r="AC1843" s="28" t="s">
        <v>479</v>
      </c>
      <c r="AD1843" s="28" t="s">
        <v>8958</v>
      </c>
      <c r="AE1843" s="35">
        <v>4500022547</v>
      </c>
      <c r="AF1843" s="52" t="s">
        <v>356</v>
      </c>
      <c r="AG1843" s="29"/>
      <c r="AH1843" s="160"/>
      <c r="AI1843" s="27"/>
      <c r="AJ1843" s="27"/>
      <c r="AK1843" s="27"/>
      <c r="AL1843" s="27"/>
      <c r="AM1843" s="27"/>
      <c r="AN1843" s="27"/>
      <c r="AO1843" s="27"/>
      <c r="AP1843" s="27" t="s">
        <v>8959</v>
      </c>
      <c r="AQ1843" s="27"/>
      <c r="AR1843" s="504"/>
      <c r="AS1843" s="332"/>
      <c r="AT1843" s="160"/>
    </row>
    <row r="1844" spans="1:46" ht="21.75" hidden="1" customHeight="1">
      <c r="A1844" s="331">
        <v>1843</v>
      </c>
      <c r="B1844" s="28" t="s">
        <v>169</v>
      </c>
      <c r="C1844" s="28" t="s">
        <v>8960</v>
      </c>
      <c r="D1844" s="438" t="s">
        <v>862</v>
      </c>
      <c r="E1844" s="361" t="str">
        <f t="shared" ca="1" si="97"/>
        <v>LOSS</v>
      </c>
      <c r="F1844" s="29" t="s">
        <v>8961</v>
      </c>
      <c r="G1844" s="28" t="s">
        <v>8962</v>
      </c>
      <c r="H1844" s="29" t="s">
        <v>2748</v>
      </c>
      <c r="I1844" s="29" t="s">
        <v>242</v>
      </c>
      <c r="J1844" s="28" t="s">
        <v>173</v>
      </c>
      <c r="K1844" s="28"/>
      <c r="L1844" s="27"/>
      <c r="M1844" s="27" t="s">
        <v>365</v>
      </c>
      <c r="N1844" s="27"/>
      <c r="O1844" s="56">
        <v>5000000</v>
      </c>
      <c r="P1844" s="31">
        <v>41000000</v>
      </c>
      <c r="Q1844" s="31"/>
      <c r="R1844" s="56">
        <v>1500000</v>
      </c>
      <c r="S1844" s="100">
        <f>1500000*12</f>
        <v>18000000</v>
      </c>
      <c r="T1844" s="34"/>
      <c r="U1844" s="334">
        <v>45454</v>
      </c>
      <c r="V1844" s="334">
        <v>45818</v>
      </c>
      <c r="W1844" s="27" t="s">
        <v>17</v>
      </c>
      <c r="X1844" s="27"/>
      <c r="Y1844" s="34">
        <f t="shared" ca="1" si="101"/>
        <v>46290</v>
      </c>
      <c r="Z1844" s="35">
        <f t="shared" ca="1" si="102"/>
        <v>-472</v>
      </c>
      <c r="AA1844" s="27">
        <f>MONTH(V1844)</f>
        <v>6</v>
      </c>
      <c r="AB1844" s="27">
        <f t="shared" ref="AB1844:AB1849" si="103">YEAR(V1844)</f>
        <v>2025</v>
      </c>
      <c r="AC1844" s="28" t="s">
        <v>479</v>
      </c>
      <c r="AD1844" s="28" t="s">
        <v>8963</v>
      </c>
      <c r="AE1844" s="35">
        <v>4500022972</v>
      </c>
      <c r="AF1844" s="27" t="s">
        <v>333</v>
      </c>
      <c r="AG1844" s="29" t="s">
        <v>381</v>
      </c>
      <c r="AH1844" s="160"/>
      <c r="AI1844" s="27"/>
      <c r="AJ1844" s="27"/>
      <c r="AK1844" s="27"/>
      <c r="AL1844" s="27"/>
      <c r="AM1844" s="27"/>
      <c r="AN1844" s="27"/>
      <c r="AO1844" s="27"/>
      <c r="AP1844" s="27" t="s">
        <v>8964</v>
      </c>
      <c r="AQ1844" s="27"/>
      <c r="AR1844" s="504"/>
      <c r="AS1844" s="332" t="s">
        <v>8858</v>
      </c>
      <c r="AT1844" s="160"/>
    </row>
    <row r="1845" spans="1:46" ht="21.75" hidden="1" customHeight="1">
      <c r="A1845" s="331">
        <v>1844</v>
      </c>
      <c r="B1845" s="28" t="s">
        <v>169</v>
      </c>
      <c r="C1845" s="28" t="s">
        <v>8965</v>
      </c>
      <c r="D1845" s="437" t="s">
        <v>862</v>
      </c>
      <c r="E1845" s="361" t="str">
        <f t="shared" ca="1" si="97"/>
        <v>LOSS</v>
      </c>
      <c r="F1845" s="29"/>
      <c r="G1845" s="28" t="s">
        <v>8966</v>
      </c>
      <c r="H1845" s="29" t="s">
        <v>2748</v>
      </c>
      <c r="I1845" s="29" t="s">
        <v>242</v>
      </c>
      <c r="J1845" s="28" t="s">
        <v>172</v>
      </c>
      <c r="K1845" s="28"/>
      <c r="L1845" s="27"/>
      <c r="M1845" s="27" t="s">
        <v>8854</v>
      </c>
      <c r="N1845" s="27" t="s">
        <v>8967</v>
      </c>
      <c r="O1845" s="56"/>
      <c r="P1845" s="31">
        <v>1704000000</v>
      </c>
      <c r="Q1845" s="31"/>
      <c r="R1845" s="56">
        <v>1500000</v>
      </c>
      <c r="S1845" s="100">
        <f>1500000*12</f>
        <v>18000000</v>
      </c>
      <c r="T1845" s="34"/>
      <c r="U1845" s="334">
        <v>45454</v>
      </c>
      <c r="V1845" s="334">
        <v>45818</v>
      </c>
      <c r="W1845" s="27" t="s">
        <v>17</v>
      </c>
      <c r="X1845" s="27"/>
      <c r="Y1845" s="34">
        <f t="shared" ca="1" si="101"/>
        <v>46290</v>
      </c>
      <c r="Z1845" s="35">
        <f t="shared" ca="1" si="102"/>
        <v>-472</v>
      </c>
      <c r="AA1845" s="27">
        <f>MONTH(V1845)</f>
        <v>6</v>
      </c>
      <c r="AB1845" s="27">
        <f t="shared" si="103"/>
        <v>2025</v>
      </c>
      <c r="AC1845" s="28" t="s">
        <v>479</v>
      </c>
      <c r="AD1845" s="28" t="s">
        <v>8968</v>
      </c>
      <c r="AE1845" s="35">
        <v>4500022971</v>
      </c>
      <c r="AF1845" s="27" t="s">
        <v>333</v>
      </c>
      <c r="AG1845" s="29" t="s">
        <v>381</v>
      </c>
      <c r="AH1845" s="160"/>
      <c r="AI1845" s="27"/>
      <c r="AJ1845" s="27"/>
      <c r="AK1845" s="27"/>
      <c r="AL1845" s="27"/>
      <c r="AM1845" s="27"/>
      <c r="AN1845" s="27"/>
      <c r="AO1845" s="27"/>
      <c r="AP1845" s="27" t="s">
        <v>8969</v>
      </c>
      <c r="AQ1845" s="27"/>
      <c r="AR1845" s="504"/>
      <c r="AS1845" s="332" t="s">
        <v>8858</v>
      </c>
      <c r="AT1845" s="160"/>
    </row>
    <row r="1846" spans="1:46" ht="21.75" hidden="1" customHeight="1">
      <c r="A1846" s="331">
        <v>1845</v>
      </c>
      <c r="B1846" s="28" t="s">
        <v>154</v>
      </c>
      <c r="C1846" s="28" t="s">
        <v>2741</v>
      </c>
      <c r="D1846" s="438" t="s">
        <v>8479</v>
      </c>
      <c r="E1846" s="361" t="str">
        <f t="shared" ca="1" si="97"/>
        <v>LOSS</v>
      </c>
      <c r="F1846" s="29"/>
      <c r="G1846" s="28" t="s">
        <v>8970</v>
      </c>
      <c r="H1846" s="29" t="s">
        <v>2748</v>
      </c>
      <c r="I1846" s="29" t="s">
        <v>346</v>
      </c>
      <c r="J1846" s="28" t="s">
        <v>159</v>
      </c>
      <c r="K1846" s="265" t="s">
        <v>8971</v>
      </c>
      <c r="L1846" s="27"/>
      <c r="M1846" s="27" t="s">
        <v>8972</v>
      </c>
      <c r="N1846" s="27" t="s">
        <v>8973</v>
      </c>
      <c r="O1846" s="56"/>
      <c r="P1846" s="31">
        <v>660000000</v>
      </c>
      <c r="Q1846" s="31"/>
      <c r="R1846" s="266">
        <v>5000000</v>
      </c>
      <c r="S1846" s="100">
        <v>234000000</v>
      </c>
      <c r="T1846" s="34"/>
      <c r="U1846" s="334">
        <v>45493</v>
      </c>
      <c r="V1846" s="334">
        <v>45857</v>
      </c>
      <c r="W1846" s="27" t="s">
        <v>250</v>
      </c>
      <c r="X1846" s="27"/>
      <c r="Y1846" s="34">
        <f t="shared" ca="1" si="101"/>
        <v>46290</v>
      </c>
      <c r="Z1846" s="35">
        <f t="shared" ca="1" si="102"/>
        <v>-433</v>
      </c>
      <c r="AA1846" s="27">
        <f>MONTH(Table1[[#This Row],[End]])</f>
        <v>7</v>
      </c>
      <c r="AB1846" s="27">
        <f t="shared" si="103"/>
        <v>2025</v>
      </c>
      <c r="AC1846" s="28" t="s">
        <v>479</v>
      </c>
      <c r="AD1846" s="418" t="s">
        <v>8974</v>
      </c>
      <c r="AE1846" s="35">
        <v>4500023022</v>
      </c>
      <c r="AF1846" s="27" t="s">
        <v>356</v>
      </c>
      <c r="AG1846" s="29" t="s">
        <v>8975</v>
      </c>
      <c r="AH1846" s="160"/>
      <c r="AI1846" s="27"/>
      <c r="AJ1846" s="27"/>
      <c r="AK1846" s="27"/>
      <c r="AL1846" s="27"/>
      <c r="AM1846" s="27"/>
      <c r="AN1846" s="27"/>
      <c r="AO1846" s="27"/>
      <c r="AP1846" s="27" t="s">
        <v>8976</v>
      </c>
      <c r="AQ1846" s="27"/>
      <c r="AR1846" s="504"/>
      <c r="AS1846" s="332"/>
      <c r="AT1846" s="160"/>
    </row>
    <row r="1847" spans="1:46" ht="21.75" hidden="1" customHeight="1">
      <c r="A1847" s="331">
        <v>1846</v>
      </c>
      <c r="B1847" s="28" t="s">
        <v>154</v>
      </c>
      <c r="C1847" s="28" t="s">
        <v>2741</v>
      </c>
      <c r="D1847" s="437" t="s">
        <v>8479</v>
      </c>
      <c r="E1847" s="361" t="str">
        <f t="shared" ca="1" si="97"/>
        <v>LOSS</v>
      </c>
      <c r="F1847" s="29"/>
      <c r="G1847" s="28" t="s">
        <v>8970</v>
      </c>
      <c r="H1847" s="29" t="s">
        <v>2748</v>
      </c>
      <c r="I1847" s="29" t="s">
        <v>346</v>
      </c>
      <c r="J1847" s="28" t="s">
        <v>158</v>
      </c>
      <c r="K1847" s="265" t="s">
        <v>8977</v>
      </c>
      <c r="L1847" s="27"/>
      <c r="M1847" s="27" t="s">
        <v>7267</v>
      </c>
      <c r="N1847" s="267" t="s">
        <v>8978</v>
      </c>
      <c r="O1847" s="56"/>
      <c r="P1847" s="31">
        <v>144000000</v>
      </c>
      <c r="Q1847" s="31"/>
      <c r="R1847" s="266">
        <v>5000000</v>
      </c>
      <c r="S1847" s="100">
        <v>24000000</v>
      </c>
      <c r="T1847" s="34"/>
      <c r="U1847" s="334">
        <v>45493</v>
      </c>
      <c r="V1847" s="334">
        <v>45857</v>
      </c>
      <c r="W1847" s="27" t="s">
        <v>250</v>
      </c>
      <c r="X1847" s="27"/>
      <c r="Y1847" s="34">
        <f t="shared" ca="1" si="101"/>
        <v>46290</v>
      </c>
      <c r="Z1847" s="35">
        <f t="shared" ca="1" si="102"/>
        <v>-433</v>
      </c>
      <c r="AA1847" s="27">
        <f>MONTH(Table1[[#This Row],[End]])</f>
        <v>7</v>
      </c>
      <c r="AB1847" s="27">
        <f t="shared" si="103"/>
        <v>2025</v>
      </c>
      <c r="AC1847" s="28" t="s">
        <v>479</v>
      </c>
      <c r="AD1847" s="28" t="s">
        <v>8979</v>
      </c>
      <c r="AE1847" s="35">
        <v>4500023023</v>
      </c>
      <c r="AF1847" s="27" t="s">
        <v>356</v>
      </c>
      <c r="AG1847" s="29" t="s">
        <v>8975</v>
      </c>
      <c r="AH1847" s="160"/>
      <c r="AI1847" s="27"/>
      <c r="AJ1847" s="27"/>
      <c r="AK1847" s="27"/>
      <c r="AL1847" s="27"/>
      <c r="AM1847" s="27"/>
      <c r="AN1847" s="27"/>
      <c r="AO1847" s="27"/>
      <c r="AP1847" s="27" t="s">
        <v>8980</v>
      </c>
      <c r="AQ1847" s="27"/>
      <c r="AR1847" s="504"/>
      <c r="AS1847" s="332"/>
      <c r="AT1847" s="160"/>
    </row>
    <row r="1848" spans="1:46" ht="21.75" hidden="1" customHeight="1">
      <c r="A1848" s="331">
        <v>1847</v>
      </c>
      <c r="B1848" s="28" t="s">
        <v>154</v>
      </c>
      <c r="C1848" s="28" t="s">
        <v>2741</v>
      </c>
      <c r="D1848" s="438" t="s">
        <v>8479</v>
      </c>
      <c r="E1848" s="361" t="str">
        <f t="shared" ca="1" si="97"/>
        <v>LOSS</v>
      </c>
      <c r="F1848" s="29"/>
      <c r="G1848" s="28" t="s">
        <v>8970</v>
      </c>
      <c r="H1848" s="29" t="s">
        <v>2748</v>
      </c>
      <c r="I1848" s="29" t="s">
        <v>346</v>
      </c>
      <c r="J1848" s="28" t="s">
        <v>157</v>
      </c>
      <c r="K1848" s="38" t="s">
        <v>7027</v>
      </c>
      <c r="L1848" s="27"/>
      <c r="M1848" s="27" t="s">
        <v>7267</v>
      </c>
      <c r="N1848" s="267" t="s">
        <v>8981</v>
      </c>
      <c r="O1848" s="56"/>
      <c r="P1848" s="31">
        <v>300000000</v>
      </c>
      <c r="Q1848" s="31"/>
      <c r="R1848" s="266">
        <v>5000000</v>
      </c>
      <c r="S1848" s="100">
        <v>78000000</v>
      </c>
      <c r="T1848" s="34"/>
      <c r="U1848" s="334">
        <v>45483</v>
      </c>
      <c r="V1848" s="334">
        <v>45847</v>
      </c>
      <c r="W1848" s="27" t="s">
        <v>250</v>
      </c>
      <c r="X1848" s="27"/>
      <c r="Y1848" s="34">
        <f t="shared" ca="1" si="101"/>
        <v>46290</v>
      </c>
      <c r="Z1848" s="35">
        <f t="shared" ca="1" si="102"/>
        <v>-443</v>
      </c>
      <c r="AA1848" s="27">
        <f>MONTH(Table1[[#This Row],[End]])</f>
        <v>7</v>
      </c>
      <c r="AB1848" s="27">
        <f t="shared" si="103"/>
        <v>2025</v>
      </c>
      <c r="AC1848" s="28" t="s">
        <v>479</v>
      </c>
      <c r="AD1848" s="28" t="s">
        <v>8982</v>
      </c>
      <c r="AE1848" s="27">
        <v>4500023024</v>
      </c>
      <c r="AF1848" s="27" t="s">
        <v>356</v>
      </c>
      <c r="AG1848" s="29" t="s">
        <v>8975</v>
      </c>
      <c r="AH1848" s="160"/>
      <c r="AI1848" s="27"/>
      <c r="AJ1848" s="27"/>
      <c r="AK1848" s="27"/>
      <c r="AL1848" s="27"/>
      <c r="AM1848" s="27"/>
      <c r="AN1848" s="27"/>
      <c r="AO1848" s="27"/>
      <c r="AP1848" s="27" t="s">
        <v>8983</v>
      </c>
      <c r="AQ1848" s="27"/>
      <c r="AR1848" s="504"/>
      <c r="AS1848" s="332"/>
      <c r="AT1848" s="160"/>
    </row>
    <row r="1849" spans="1:46" ht="21.75" hidden="1" customHeight="1">
      <c r="A1849" s="331">
        <v>1848</v>
      </c>
      <c r="B1849" s="28" t="s">
        <v>154</v>
      </c>
      <c r="C1849" s="28" t="s">
        <v>2203</v>
      </c>
      <c r="D1849" s="436" t="s">
        <v>8479</v>
      </c>
      <c r="E1849" s="361" t="str">
        <f t="shared" ca="1" si="97"/>
        <v>LOSS</v>
      </c>
      <c r="F1849" s="29"/>
      <c r="G1849" s="28" t="s">
        <v>8984</v>
      </c>
      <c r="H1849" s="29" t="s">
        <v>2748</v>
      </c>
      <c r="I1849" s="29" t="s">
        <v>346</v>
      </c>
      <c r="J1849" s="28" t="s">
        <v>156</v>
      </c>
      <c r="K1849" s="38" t="s">
        <v>8985</v>
      </c>
      <c r="L1849" s="27"/>
      <c r="M1849" s="27" t="s">
        <v>8986</v>
      </c>
      <c r="N1849" s="27" t="s">
        <v>362</v>
      </c>
      <c r="O1849" s="56"/>
      <c r="P1849" s="31">
        <v>108000000</v>
      </c>
      <c r="Q1849" s="31"/>
      <c r="R1849" s="266">
        <v>5000000</v>
      </c>
      <c r="S1849" s="100">
        <v>78000000</v>
      </c>
      <c r="T1849" s="34"/>
      <c r="U1849" s="334">
        <v>45493</v>
      </c>
      <c r="V1849" s="334">
        <v>45857</v>
      </c>
      <c r="W1849" s="27" t="s">
        <v>250</v>
      </c>
      <c r="X1849" s="27"/>
      <c r="Y1849" s="34">
        <f t="shared" ca="1" si="101"/>
        <v>46290</v>
      </c>
      <c r="Z1849" s="35">
        <f t="shared" ca="1" si="102"/>
        <v>-433</v>
      </c>
      <c r="AA1849" s="27">
        <f>MONTH(Table1[[#This Row],[End]])</f>
        <v>7</v>
      </c>
      <c r="AB1849" s="27">
        <f t="shared" si="103"/>
        <v>2025</v>
      </c>
      <c r="AC1849" s="28" t="s">
        <v>479</v>
      </c>
      <c r="AD1849" s="418" t="s">
        <v>8987</v>
      </c>
      <c r="AE1849" s="27">
        <v>4500023020</v>
      </c>
      <c r="AF1849" s="27" t="s">
        <v>356</v>
      </c>
      <c r="AG1849" s="29" t="s">
        <v>8975</v>
      </c>
      <c r="AH1849" s="160"/>
      <c r="AI1849" s="27"/>
      <c r="AJ1849" s="27"/>
      <c r="AK1849" s="27"/>
      <c r="AL1849" s="27"/>
      <c r="AM1849" s="27"/>
      <c r="AN1849" s="27"/>
      <c r="AO1849" s="27"/>
      <c r="AP1849" s="27" t="s">
        <v>8988</v>
      </c>
      <c r="AQ1849" s="27"/>
      <c r="AR1849" s="504"/>
      <c r="AS1849" s="332"/>
      <c r="AT1849" s="160"/>
    </row>
    <row r="1850" spans="1:46" ht="21.75" hidden="1" customHeight="1">
      <c r="A1850" s="331">
        <v>1849</v>
      </c>
      <c r="B1850" s="28" t="s">
        <v>628</v>
      </c>
      <c r="C1850" s="28" t="s">
        <v>2598</v>
      </c>
      <c r="D1850" s="438" t="s">
        <v>8989</v>
      </c>
      <c r="E1850" s="361" t="str">
        <f t="shared" ca="1" si="97"/>
        <v>LOSS</v>
      </c>
      <c r="F1850" s="29" t="s">
        <v>7688</v>
      </c>
      <c r="G1850" s="204" t="s">
        <v>8990</v>
      </c>
      <c r="H1850" s="29" t="s">
        <v>261</v>
      </c>
      <c r="I1850" s="361" t="s">
        <v>243</v>
      </c>
      <c r="J1850" s="28" t="s">
        <v>8991</v>
      </c>
      <c r="K1850" s="36" t="s">
        <v>7690</v>
      </c>
      <c r="L1850" s="27" t="s">
        <v>4749</v>
      </c>
      <c r="M1850" s="27" t="s">
        <v>353</v>
      </c>
      <c r="N1850" s="27" t="s">
        <v>362</v>
      </c>
      <c r="O1850" s="56"/>
      <c r="P1850" s="31">
        <f>12548900*12</f>
        <v>150586800</v>
      </c>
      <c r="Q1850" s="31"/>
      <c r="R1850" s="56"/>
      <c r="S1850" s="100">
        <f>12250000*12</f>
        <v>147000000</v>
      </c>
      <c r="T1850" s="34"/>
      <c r="U1850" s="334">
        <v>45564</v>
      </c>
      <c r="V1850" s="334">
        <v>45928</v>
      </c>
      <c r="W1850" s="27" t="s">
        <v>250</v>
      </c>
      <c r="X1850" s="27"/>
      <c r="Y1850" s="34">
        <f t="shared" ca="1" si="101"/>
        <v>46290</v>
      </c>
      <c r="Z1850" s="35">
        <f t="shared" ca="1" si="102"/>
        <v>-362</v>
      </c>
      <c r="AA1850" s="27">
        <f>MONTH(V1850)</f>
        <v>9</v>
      </c>
      <c r="AB1850" s="27">
        <v>2025</v>
      </c>
      <c r="AC1850" s="28" t="s">
        <v>8992</v>
      </c>
      <c r="AD1850" s="28" t="s">
        <v>8993</v>
      </c>
      <c r="AE1850" s="64" t="s">
        <v>8994</v>
      </c>
      <c r="AF1850" s="52" t="s">
        <v>8995</v>
      </c>
      <c r="AG1850" s="160" t="s">
        <v>633</v>
      </c>
      <c r="AH1850" s="174" t="s">
        <v>634</v>
      </c>
      <c r="AI1850" s="27"/>
      <c r="AJ1850" s="27"/>
      <c r="AK1850" s="27"/>
      <c r="AL1850" s="27"/>
      <c r="AM1850" s="27"/>
      <c r="AN1850" s="27"/>
      <c r="AO1850" s="27"/>
      <c r="AP1850" s="27">
        <v>239</v>
      </c>
      <c r="AQ1850" s="27"/>
      <c r="AR1850" s="504"/>
      <c r="AS1850" s="332"/>
      <c r="AT1850" s="160"/>
    </row>
    <row r="1851" spans="1:46" ht="21.75" hidden="1" customHeight="1">
      <c r="A1851" s="331">
        <v>1850</v>
      </c>
      <c r="B1851" s="28" t="s">
        <v>628</v>
      </c>
      <c r="C1851" s="28" t="s">
        <v>2574</v>
      </c>
      <c r="D1851" s="437" t="s">
        <v>8989</v>
      </c>
      <c r="E1851" s="361" t="str">
        <f t="shared" ca="1" si="97"/>
        <v>LOSS</v>
      </c>
      <c r="F1851" s="29"/>
      <c r="G1851" s="28" t="s">
        <v>8996</v>
      </c>
      <c r="H1851" s="29" t="s">
        <v>261</v>
      </c>
      <c r="I1851" s="361" t="s">
        <v>243</v>
      </c>
      <c r="J1851" s="28" t="s">
        <v>7694</v>
      </c>
      <c r="K1851" s="29" t="s">
        <v>8997</v>
      </c>
      <c r="L1851" s="27" t="s">
        <v>4749</v>
      </c>
      <c r="M1851" s="27" t="s">
        <v>353</v>
      </c>
      <c r="N1851" s="27" t="s">
        <v>406</v>
      </c>
      <c r="O1851" s="56"/>
      <c r="P1851" s="31">
        <f>9500000*12</f>
        <v>114000000</v>
      </c>
      <c r="Q1851" s="31"/>
      <c r="R1851" s="56"/>
      <c r="S1851" s="100">
        <f>6142500*12</f>
        <v>73710000</v>
      </c>
      <c r="T1851" s="34"/>
      <c r="U1851" s="334">
        <v>45556</v>
      </c>
      <c r="V1851" s="334">
        <v>45920</v>
      </c>
      <c r="W1851" s="27" t="s">
        <v>245</v>
      </c>
      <c r="X1851" s="27"/>
      <c r="Y1851" s="34">
        <f t="shared" ca="1" si="101"/>
        <v>46290</v>
      </c>
      <c r="Z1851" s="35">
        <f t="shared" ca="1" si="102"/>
        <v>-370</v>
      </c>
      <c r="AA1851" s="27">
        <v>9</v>
      </c>
      <c r="AB1851" s="27">
        <v>2025</v>
      </c>
      <c r="AC1851" s="28" t="s">
        <v>8998</v>
      </c>
      <c r="AD1851" s="194" t="s">
        <v>8999</v>
      </c>
      <c r="AE1851" s="35">
        <v>4500023797</v>
      </c>
      <c r="AF1851" s="52" t="s">
        <v>8995</v>
      </c>
      <c r="AG1851" s="160" t="s">
        <v>633</v>
      </c>
      <c r="AH1851" s="174" t="s">
        <v>634</v>
      </c>
      <c r="AI1851" s="27"/>
      <c r="AJ1851" s="27"/>
      <c r="AK1851" s="27"/>
      <c r="AL1851" s="27"/>
      <c r="AM1851" s="27"/>
      <c r="AN1851" s="27"/>
      <c r="AO1851" s="27"/>
      <c r="AP1851" s="27" t="s">
        <v>9000</v>
      </c>
      <c r="AQ1851" s="27"/>
      <c r="AR1851" s="504"/>
      <c r="AS1851" s="332"/>
      <c r="AT1851" s="160"/>
    </row>
    <row r="1852" spans="1:46" ht="21.75" hidden="1" customHeight="1">
      <c r="A1852" s="331">
        <v>1851</v>
      </c>
      <c r="B1852" s="28" t="s">
        <v>348</v>
      </c>
      <c r="C1852" s="28" t="s">
        <v>9001</v>
      </c>
      <c r="D1852" s="438" t="s">
        <v>4753</v>
      </c>
      <c r="E1852" s="361" t="str">
        <f t="shared" ca="1" si="97"/>
        <v>LOSS</v>
      </c>
      <c r="F1852" s="29"/>
      <c r="G1852" s="28" t="s">
        <v>9002</v>
      </c>
      <c r="H1852" s="29" t="s">
        <v>2748</v>
      </c>
      <c r="I1852" s="29" t="s">
        <v>242</v>
      </c>
      <c r="J1852" s="28" t="s">
        <v>9003</v>
      </c>
      <c r="K1852" s="28"/>
      <c r="L1852" s="27"/>
      <c r="M1852" s="27"/>
      <c r="N1852" s="27"/>
      <c r="O1852" s="56"/>
      <c r="P1852" s="31">
        <v>21600000</v>
      </c>
      <c r="Q1852" s="31"/>
      <c r="R1852" s="30"/>
      <c r="S1852" s="100">
        <v>11282582</v>
      </c>
      <c r="T1852" s="34"/>
      <c r="U1852" s="334">
        <v>45316</v>
      </c>
      <c r="V1852" s="334">
        <v>45565</v>
      </c>
      <c r="W1852" s="27" t="s">
        <v>17</v>
      </c>
      <c r="X1852" s="27"/>
      <c r="Y1852" s="34">
        <f t="shared" ca="1" si="101"/>
        <v>46290</v>
      </c>
      <c r="Z1852" s="35">
        <f t="shared" ca="1" si="102"/>
        <v>-725</v>
      </c>
      <c r="AA1852" s="27">
        <f t="shared" ref="AA1852:AA1858" si="104">MONTH(V1852)</f>
        <v>9</v>
      </c>
      <c r="AB1852" s="27">
        <f t="shared" ref="AB1852:AB1858" si="105">YEAR(V1852)</f>
        <v>2024</v>
      </c>
      <c r="AC1852" s="28"/>
      <c r="AD1852" s="28" t="s">
        <v>9004</v>
      </c>
      <c r="AE1852" s="35">
        <v>4500022616</v>
      </c>
      <c r="AF1852" s="52" t="s">
        <v>333</v>
      </c>
      <c r="AG1852" s="29" t="s">
        <v>4061</v>
      </c>
      <c r="AH1852" s="160"/>
      <c r="AI1852" s="27"/>
      <c r="AJ1852" s="27"/>
      <c r="AK1852" s="27"/>
      <c r="AL1852" s="27"/>
      <c r="AM1852" s="27"/>
      <c r="AN1852" s="27"/>
      <c r="AO1852" s="27"/>
      <c r="AP1852" s="27" t="s">
        <v>9005</v>
      </c>
      <c r="AQ1852" s="27"/>
      <c r="AR1852" s="504"/>
      <c r="AS1852" s="332"/>
      <c r="AT1852" s="160"/>
    </row>
    <row r="1853" spans="1:46" ht="21.75" hidden="1" customHeight="1">
      <c r="A1853" s="331">
        <v>1852</v>
      </c>
      <c r="B1853" s="28" t="s">
        <v>348</v>
      </c>
      <c r="C1853" s="28" t="s">
        <v>9006</v>
      </c>
      <c r="D1853" s="437" t="s">
        <v>4753</v>
      </c>
      <c r="E1853" s="361" t="str">
        <f t="shared" ca="1" si="97"/>
        <v>LOSS</v>
      </c>
      <c r="F1853" s="29"/>
      <c r="G1853" s="28" t="s">
        <v>9007</v>
      </c>
      <c r="H1853" s="29" t="s">
        <v>2748</v>
      </c>
      <c r="I1853" s="29" t="s">
        <v>242</v>
      </c>
      <c r="J1853" s="28" t="s">
        <v>9008</v>
      </c>
      <c r="K1853" s="28"/>
      <c r="L1853" s="27"/>
      <c r="M1853" s="27"/>
      <c r="N1853" s="27"/>
      <c r="O1853" s="56"/>
      <c r="P1853" s="31">
        <v>52500000</v>
      </c>
      <c r="Q1853" s="31"/>
      <c r="R1853" s="30"/>
      <c r="S1853" s="100">
        <v>8849615</v>
      </c>
      <c r="T1853" s="34"/>
      <c r="U1853" s="334">
        <v>45369</v>
      </c>
      <c r="V1853" s="334">
        <v>45565</v>
      </c>
      <c r="W1853" s="27" t="s">
        <v>17</v>
      </c>
      <c r="X1853" s="27"/>
      <c r="Y1853" s="34">
        <f t="shared" ca="1" si="101"/>
        <v>46290</v>
      </c>
      <c r="Z1853" s="35">
        <f t="shared" ca="1" si="102"/>
        <v>-725</v>
      </c>
      <c r="AA1853" s="27">
        <f t="shared" si="104"/>
        <v>9</v>
      </c>
      <c r="AB1853" s="27">
        <f t="shared" si="105"/>
        <v>2024</v>
      </c>
      <c r="AC1853" s="28"/>
      <c r="AD1853" s="28" t="s">
        <v>9009</v>
      </c>
      <c r="AE1853" s="35">
        <v>4500022617</v>
      </c>
      <c r="AF1853" s="52" t="s">
        <v>333</v>
      </c>
      <c r="AG1853" s="29" t="s">
        <v>4061</v>
      </c>
      <c r="AH1853" s="160"/>
      <c r="AI1853" s="27"/>
      <c r="AJ1853" s="27"/>
      <c r="AK1853" s="27"/>
      <c r="AL1853" s="27"/>
      <c r="AM1853" s="27"/>
      <c r="AN1853" s="27"/>
      <c r="AO1853" s="27"/>
      <c r="AP1853" s="27" t="s">
        <v>9010</v>
      </c>
      <c r="AQ1853" s="27"/>
      <c r="AR1853" s="504"/>
      <c r="AS1853" s="332"/>
      <c r="AT1853" s="160"/>
    </row>
    <row r="1854" spans="1:46" ht="21.75" hidden="1" customHeight="1">
      <c r="A1854" s="331">
        <v>1853</v>
      </c>
      <c r="B1854" s="28" t="s">
        <v>186</v>
      </c>
      <c r="C1854" s="28" t="s">
        <v>9011</v>
      </c>
      <c r="D1854" s="438" t="s">
        <v>9012</v>
      </c>
      <c r="E1854" s="361" t="str">
        <f t="shared" ca="1" si="97"/>
        <v>LOSS</v>
      </c>
      <c r="F1854" s="29"/>
      <c r="G1854" s="28" t="s">
        <v>5316</v>
      </c>
      <c r="H1854" s="29" t="s">
        <v>2748</v>
      </c>
      <c r="I1854" s="29" t="s">
        <v>242</v>
      </c>
      <c r="J1854" s="28" t="s">
        <v>187</v>
      </c>
      <c r="K1854" s="28"/>
      <c r="L1854" s="27"/>
      <c r="M1854" s="27"/>
      <c r="N1854" s="27"/>
      <c r="O1854" s="56"/>
      <c r="P1854" s="31">
        <v>54000000</v>
      </c>
      <c r="Q1854" s="31"/>
      <c r="R1854" s="56">
        <v>1500000</v>
      </c>
      <c r="S1854" s="100">
        <v>30000000</v>
      </c>
      <c r="T1854" s="34"/>
      <c r="U1854" s="334">
        <v>45476</v>
      </c>
      <c r="V1854" s="334">
        <v>45840</v>
      </c>
      <c r="W1854" s="27" t="s">
        <v>250</v>
      </c>
      <c r="X1854" s="27"/>
      <c r="Y1854" s="34">
        <f t="shared" ca="1" si="101"/>
        <v>46290</v>
      </c>
      <c r="Z1854" s="35">
        <f t="shared" ca="1" si="102"/>
        <v>-450</v>
      </c>
      <c r="AA1854" s="27">
        <f t="shared" si="104"/>
        <v>7</v>
      </c>
      <c r="AB1854" s="27">
        <f t="shared" si="105"/>
        <v>2025</v>
      </c>
      <c r="AC1854" s="28"/>
      <c r="AD1854" s="28" t="s">
        <v>9013</v>
      </c>
      <c r="AE1854" s="35">
        <v>4500023129</v>
      </c>
      <c r="AF1854" s="52" t="s">
        <v>333</v>
      </c>
      <c r="AG1854" s="29" t="s">
        <v>9014</v>
      </c>
      <c r="AH1854" s="160"/>
      <c r="AI1854" s="27"/>
      <c r="AJ1854" s="27"/>
      <c r="AK1854" s="27"/>
      <c r="AL1854" s="27"/>
      <c r="AM1854" s="27"/>
      <c r="AN1854" s="27"/>
      <c r="AO1854" s="27"/>
      <c r="AP1854" s="27" t="s">
        <v>9015</v>
      </c>
      <c r="AQ1854" s="27"/>
      <c r="AR1854" s="504"/>
      <c r="AS1854" s="332"/>
      <c r="AT1854" s="160"/>
    </row>
    <row r="1855" spans="1:46" ht="21.75" hidden="1" customHeight="1">
      <c r="A1855" s="331">
        <v>1854</v>
      </c>
      <c r="B1855" s="28" t="s">
        <v>196</v>
      </c>
      <c r="C1855" s="28" t="s">
        <v>9016</v>
      </c>
      <c r="D1855" s="437" t="s">
        <v>9017</v>
      </c>
      <c r="E1855" s="361" t="str">
        <f t="shared" ca="1" si="97"/>
        <v>LOSS</v>
      </c>
      <c r="F1855" s="29"/>
      <c r="G1855" s="28" t="s">
        <v>9018</v>
      </c>
      <c r="H1855" s="29" t="s">
        <v>2748</v>
      </c>
      <c r="I1855" s="29" t="s">
        <v>346</v>
      </c>
      <c r="J1855" s="28" t="s">
        <v>197</v>
      </c>
      <c r="K1855" s="28"/>
      <c r="L1855" s="27"/>
      <c r="M1855" s="27"/>
      <c r="N1855" s="27"/>
      <c r="O1855" s="56">
        <v>11700628</v>
      </c>
      <c r="P1855" s="31">
        <f>15000000*12</f>
        <v>180000000</v>
      </c>
      <c r="Q1855" s="31"/>
      <c r="R1855" s="30"/>
      <c r="S1855" s="100">
        <v>36000000</v>
      </c>
      <c r="T1855" s="34"/>
      <c r="U1855" s="334">
        <v>45474</v>
      </c>
      <c r="V1855" s="334">
        <v>45838</v>
      </c>
      <c r="W1855" s="27" t="s">
        <v>245</v>
      </c>
      <c r="X1855" s="27"/>
      <c r="Y1855" s="34">
        <f t="shared" ca="1" si="101"/>
        <v>46290</v>
      </c>
      <c r="Z1855" s="35">
        <f t="shared" ca="1" si="102"/>
        <v>-452</v>
      </c>
      <c r="AA1855" s="27">
        <f t="shared" si="104"/>
        <v>6</v>
      </c>
      <c r="AB1855" s="27">
        <f t="shared" si="105"/>
        <v>2025</v>
      </c>
      <c r="AC1855" s="28"/>
      <c r="AD1855" s="28" t="s">
        <v>9019</v>
      </c>
      <c r="AE1855" s="35">
        <v>4500023090</v>
      </c>
      <c r="AF1855" s="52" t="s">
        <v>333</v>
      </c>
      <c r="AG1855" s="29" t="s">
        <v>9020</v>
      </c>
      <c r="AH1855" s="160"/>
      <c r="AI1855" s="27"/>
      <c r="AJ1855" s="27"/>
      <c r="AK1855" s="27"/>
      <c r="AL1855" s="27"/>
      <c r="AM1855" s="27"/>
      <c r="AN1855" s="27"/>
      <c r="AO1855" s="27"/>
      <c r="AP1855" s="27" t="s">
        <v>9021</v>
      </c>
      <c r="AQ1855" s="27"/>
      <c r="AR1855" s="504"/>
      <c r="AS1855" s="332"/>
      <c r="AT1855" s="160"/>
    </row>
    <row r="1856" spans="1:46" ht="21.75" hidden="1" customHeight="1">
      <c r="A1856" s="331">
        <v>1855</v>
      </c>
      <c r="B1856" s="361" t="s">
        <v>1081</v>
      </c>
      <c r="C1856" s="28" t="s">
        <v>4310</v>
      </c>
      <c r="D1856" s="438" t="s">
        <v>4311</v>
      </c>
      <c r="E1856" s="361" t="str">
        <f t="shared" ca="1" si="97"/>
        <v>LOSS</v>
      </c>
      <c r="F1856" s="29"/>
      <c r="G1856" s="28" t="s">
        <v>4312</v>
      </c>
      <c r="H1856" s="29" t="s">
        <v>2748</v>
      </c>
      <c r="I1856" s="361" t="s">
        <v>346</v>
      </c>
      <c r="J1856" s="28" t="s">
        <v>109</v>
      </c>
      <c r="K1856" s="28"/>
      <c r="L1856" s="27"/>
      <c r="M1856" s="27"/>
      <c r="N1856" s="27"/>
      <c r="O1856" s="56"/>
      <c r="P1856" s="31">
        <v>360000000</v>
      </c>
      <c r="Q1856" s="31"/>
      <c r="R1856" s="30"/>
      <c r="S1856" s="100">
        <v>26362098</v>
      </c>
      <c r="T1856" s="34"/>
      <c r="U1856" s="334">
        <v>45494</v>
      </c>
      <c r="V1856" s="334">
        <v>45858</v>
      </c>
      <c r="W1856" s="27" t="s">
        <v>250</v>
      </c>
      <c r="X1856" s="27"/>
      <c r="Y1856" s="34">
        <f t="shared" ca="1" si="101"/>
        <v>46290</v>
      </c>
      <c r="Z1856" s="35">
        <f t="shared" ca="1" si="102"/>
        <v>-432</v>
      </c>
      <c r="AA1856" s="27">
        <f t="shared" si="104"/>
        <v>7</v>
      </c>
      <c r="AB1856" s="27">
        <f t="shared" si="105"/>
        <v>2025</v>
      </c>
      <c r="AC1856" s="28">
        <v>4500020938</v>
      </c>
      <c r="AD1856" s="28" t="s">
        <v>9022</v>
      </c>
      <c r="AE1856" s="27">
        <v>4500023191</v>
      </c>
      <c r="AF1856" s="27" t="s">
        <v>333</v>
      </c>
      <c r="AG1856" s="29" t="s">
        <v>9023</v>
      </c>
      <c r="AH1856" s="160"/>
      <c r="AI1856" s="27"/>
      <c r="AJ1856" s="27"/>
      <c r="AK1856" s="27"/>
      <c r="AL1856" s="27"/>
      <c r="AM1856" s="27"/>
      <c r="AN1856" s="27"/>
      <c r="AO1856" s="27"/>
      <c r="AP1856" s="27" t="s">
        <v>9024</v>
      </c>
      <c r="AQ1856" s="27"/>
      <c r="AR1856" s="504"/>
      <c r="AS1856" s="332"/>
      <c r="AT1856" s="160"/>
    </row>
    <row r="1857" spans="1:46" ht="21.75" hidden="1" customHeight="1">
      <c r="A1857" s="331">
        <v>1856</v>
      </c>
      <c r="B1857" s="28" t="s">
        <v>37</v>
      </c>
      <c r="C1857" s="28" t="s">
        <v>8936</v>
      </c>
      <c r="D1857" s="437" t="s">
        <v>6644</v>
      </c>
      <c r="E1857" s="361" t="str">
        <f t="shared" ca="1" si="97"/>
        <v>LOSS</v>
      </c>
      <c r="F1857" s="29"/>
      <c r="G1857" s="40" t="s">
        <v>9025</v>
      </c>
      <c r="H1857" s="29" t="s">
        <v>2748</v>
      </c>
      <c r="I1857" s="29" t="s">
        <v>242</v>
      </c>
      <c r="J1857" s="28" t="s">
        <v>40</v>
      </c>
      <c r="K1857" s="28"/>
      <c r="L1857" s="27"/>
      <c r="M1857" s="27"/>
      <c r="N1857" s="27"/>
      <c r="O1857" s="197">
        <f>3500000</f>
        <v>3500000</v>
      </c>
      <c r="P1857" s="31">
        <f>12350000*12</f>
        <v>148200000</v>
      </c>
      <c r="Q1857" s="31"/>
      <c r="R1857" s="56">
        <v>2500000</v>
      </c>
      <c r="S1857" s="100">
        <v>60000000</v>
      </c>
      <c r="T1857" s="34"/>
      <c r="U1857" s="334">
        <v>45469</v>
      </c>
      <c r="V1857" s="334">
        <v>45833</v>
      </c>
      <c r="W1857" s="27" t="s">
        <v>250</v>
      </c>
      <c r="X1857" s="27"/>
      <c r="Y1857" s="34">
        <f t="shared" ca="1" si="101"/>
        <v>46290</v>
      </c>
      <c r="Z1857" s="35">
        <f t="shared" ca="1" si="102"/>
        <v>-457</v>
      </c>
      <c r="AA1857" s="27">
        <f t="shared" si="104"/>
        <v>6</v>
      </c>
      <c r="AB1857" s="27">
        <f t="shared" si="105"/>
        <v>2025</v>
      </c>
      <c r="AC1857" s="28"/>
      <c r="AD1857" s="28" t="s">
        <v>9026</v>
      </c>
      <c r="AE1857" s="35">
        <v>4500022969</v>
      </c>
      <c r="AF1857" s="52" t="s">
        <v>333</v>
      </c>
      <c r="AG1857" s="29" t="s">
        <v>6656</v>
      </c>
      <c r="AH1857" s="160"/>
      <c r="AI1857" s="27"/>
      <c r="AJ1857" s="27"/>
      <c r="AK1857" s="27"/>
      <c r="AL1857" s="27"/>
      <c r="AM1857" s="27"/>
      <c r="AN1857" s="27"/>
      <c r="AO1857" s="27"/>
      <c r="AP1857" s="27" t="s">
        <v>9027</v>
      </c>
      <c r="AQ1857" s="27"/>
      <c r="AR1857" s="504"/>
      <c r="AS1857" s="332"/>
      <c r="AT1857" s="160"/>
    </row>
    <row r="1858" spans="1:46" ht="21.75" hidden="1" customHeight="1">
      <c r="A1858" s="331">
        <v>1857</v>
      </c>
      <c r="B1858" s="28" t="s">
        <v>169</v>
      </c>
      <c r="C1858" s="40" t="s">
        <v>9028</v>
      </c>
      <c r="D1858" s="438" t="s">
        <v>862</v>
      </c>
      <c r="E1858" s="361" t="str">
        <f t="shared" ref="E1858:E1921" ca="1" si="106">IF(Z1858&lt;=0, "LOSS",IF(Z1858&lt;=15, "CRITICAL",IF(Z1858&lt;=30, "WARNING",IF(Z1858&lt;60, "ATTENTION", "ON TRACK"))))</f>
        <v>LOSS</v>
      </c>
      <c r="F1858" s="29"/>
      <c r="G1858" s="28" t="s">
        <v>5316</v>
      </c>
      <c r="H1858" s="29" t="s">
        <v>2748</v>
      </c>
      <c r="I1858" s="29" t="s">
        <v>242</v>
      </c>
      <c r="J1858" s="40" t="s">
        <v>176</v>
      </c>
      <c r="K1858" s="28"/>
      <c r="L1858" s="27"/>
      <c r="M1858" s="27" t="s">
        <v>365</v>
      </c>
      <c r="N1858" s="27"/>
      <c r="O1858" s="56"/>
      <c r="P1858" s="31"/>
      <c r="Q1858" s="31"/>
      <c r="R1858" s="56">
        <v>3000000</v>
      </c>
      <c r="S1858" s="100">
        <f>1500000*12</f>
        <v>18000000</v>
      </c>
      <c r="T1858" s="34"/>
      <c r="U1858" s="334">
        <v>45449</v>
      </c>
      <c r="V1858" s="334">
        <v>45813</v>
      </c>
      <c r="W1858" s="27" t="s">
        <v>250</v>
      </c>
      <c r="X1858" s="27"/>
      <c r="Y1858" s="34">
        <f t="shared" ca="1" si="101"/>
        <v>46290</v>
      </c>
      <c r="Z1858" s="35">
        <f t="shared" ca="1" si="102"/>
        <v>-477</v>
      </c>
      <c r="AA1858" s="27">
        <f t="shared" si="104"/>
        <v>6</v>
      </c>
      <c r="AB1858" s="27">
        <f t="shared" si="105"/>
        <v>2025</v>
      </c>
      <c r="AC1858" s="28" t="s">
        <v>479</v>
      </c>
      <c r="AD1858" s="28" t="s">
        <v>9029</v>
      </c>
      <c r="AE1858" s="35">
        <v>4500023105</v>
      </c>
      <c r="AF1858" s="27" t="s">
        <v>333</v>
      </c>
      <c r="AG1858" s="29" t="s">
        <v>381</v>
      </c>
      <c r="AH1858" s="160"/>
      <c r="AI1858" s="27"/>
      <c r="AJ1858" s="27"/>
      <c r="AK1858" s="27"/>
      <c r="AL1858" s="27"/>
      <c r="AM1858" s="27"/>
      <c r="AN1858" s="27"/>
      <c r="AO1858" s="27"/>
      <c r="AP1858" s="27" t="s">
        <v>9030</v>
      </c>
      <c r="AQ1858" s="27"/>
      <c r="AR1858" s="504"/>
      <c r="AS1858" s="332" t="s">
        <v>9031</v>
      </c>
      <c r="AT1858" s="160"/>
    </row>
    <row r="1859" spans="1:46" ht="21.75" hidden="1" customHeight="1">
      <c r="A1859" s="331">
        <v>1858</v>
      </c>
      <c r="B1859" s="28" t="s">
        <v>2615</v>
      </c>
      <c r="C1859" s="28" t="s">
        <v>9032</v>
      </c>
      <c r="D1859" s="437" t="s">
        <v>6750</v>
      </c>
      <c r="E1859" s="361" t="str">
        <f t="shared" ca="1" si="106"/>
        <v>LOSS</v>
      </c>
      <c r="F1859" s="29"/>
      <c r="G1859" s="28" t="s">
        <v>9033</v>
      </c>
      <c r="H1859" s="29" t="s">
        <v>261</v>
      </c>
      <c r="I1859" s="361" t="s">
        <v>243</v>
      </c>
      <c r="J1859" s="28" t="s">
        <v>9034</v>
      </c>
      <c r="K1859" s="36" t="s">
        <v>8336</v>
      </c>
      <c r="L1859" s="51">
        <v>0.995</v>
      </c>
      <c r="M1859" s="27" t="s">
        <v>353</v>
      </c>
      <c r="N1859" s="27" t="s">
        <v>9035</v>
      </c>
      <c r="O1859" s="56"/>
      <c r="P1859" s="31">
        <f>28473300*12</f>
        <v>341679600</v>
      </c>
      <c r="Q1859" s="31"/>
      <c r="R1859" s="56"/>
      <c r="S1859" s="100">
        <v>63150000</v>
      </c>
      <c r="T1859" s="34"/>
      <c r="U1859" s="334">
        <v>45462</v>
      </c>
      <c r="V1859" s="334">
        <v>45808</v>
      </c>
      <c r="W1859" s="27" t="s">
        <v>250</v>
      </c>
      <c r="X1859" s="27"/>
      <c r="Y1859" s="34">
        <f t="shared" ca="1" si="101"/>
        <v>46290</v>
      </c>
      <c r="Z1859" s="35">
        <f t="shared" ca="1" si="102"/>
        <v>-482</v>
      </c>
      <c r="AA1859" s="27">
        <v>5</v>
      </c>
      <c r="AB1859" s="27">
        <v>2025</v>
      </c>
      <c r="AC1859" s="28" t="s">
        <v>9036</v>
      </c>
      <c r="AD1859" s="28" t="s">
        <v>9037</v>
      </c>
      <c r="AE1859" s="64" t="s">
        <v>9038</v>
      </c>
      <c r="AF1859" s="52" t="s">
        <v>471</v>
      </c>
      <c r="AG1859" s="29" t="s">
        <v>8837</v>
      </c>
      <c r="AH1859" s="174" t="s">
        <v>6757</v>
      </c>
      <c r="AI1859" s="27"/>
      <c r="AJ1859" s="27"/>
      <c r="AK1859" s="27"/>
      <c r="AL1859" s="27"/>
      <c r="AM1859" s="27"/>
      <c r="AN1859" s="27"/>
      <c r="AO1859" s="27"/>
      <c r="AP1859" s="27">
        <v>187</v>
      </c>
      <c r="AQ1859" s="27"/>
      <c r="AR1859" s="504"/>
      <c r="AS1859" s="332"/>
      <c r="AT1859" s="160"/>
    </row>
    <row r="1860" spans="1:46" ht="21.75" hidden="1" customHeight="1">
      <c r="A1860" s="331">
        <v>1859</v>
      </c>
      <c r="B1860" s="28" t="s">
        <v>57</v>
      </c>
      <c r="C1860" s="28" t="s">
        <v>9039</v>
      </c>
      <c r="D1860" s="438" t="s">
        <v>6750</v>
      </c>
      <c r="E1860" s="361" t="str">
        <f t="shared" ca="1" si="106"/>
        <v>LOSS</v>
      </c>
      <c r="F1860" s="29"/>
      <c r="G1860" s="28" t="s">
        <v>9040</v>
      </c>
      <c r="H1860" s="29" t="s">
        <v>261</v>
      </c>
      <c r="I1860" s="361" t="s">
        <v>243</v>
      </c>
      <c r="J1860" s="28" t="s">
        <v>9041</v>
      </c>
      <c r="K1860" s="36" t="s">
        <v>8341</v>
      </c>
      <c r="L1860" s="51">
        <v>0.995</v>
      </c>
      <c r="M1860" s="27" t="s">
        <v>353</v>
      </c>
      <c r="N1860" s="27" t="s">
        <v>389</v>
      </c>
      <c r="O1860" s="56"/>
      <c r="P1860" s="31">
        <f>10864800*12</f>
        <v>130377600</v>
      </c>
      <c r="Q1860" s="31"/>
      <c r="R1860" s="56"/>
      <c r="S1860" s="100">
        <v>28022592</v>
      </c>
      <c r="T1860" s="34"/>
      <c r="U1860" s="334">
        <v>45462</v>
      </c>
      <c r="V1860" s="334">
        <v>45808</v>
      </c>
      <c r="W1860" s="27" t="s">
        <v>250</v>
      </c>
      <c r="X1860" s="27"/>
      <c r="Y1860" s="34">
        <f t="shared" ca="1" si="101"/>
        <v>46290</v>
      </c>
      <c r="Z1860" s="35">
        <f t="shared" ca="1" si="102"/>
        <v>-482</v>
      </c>
      <c r="AA1860" s="27">
        <v>5</v>
      </c>
      <c r="AB1860" s="27">
        <v>2025</v>
      </c>
      <c r="AC1860" s="28" t="s">
        <v>9042</v>
      </c>
      <c r="AD1860" s="28" t="s">
        <v>9043</v>
      </c>
      <c r="AE1860" s="64" t="s">
        <v>9044</v>
      </c>
      <c r="AF1860" s="52" t="s">
        <v>471</v>
      </c>
      <c r="AG1860" s="29" t="s">
        <v>8837</v>
      </c>
      <c r="AH1860" s="174" t="s">
        <v>6757</v>
      </c>
      <c r="AI1860" s="27"/>
      <c r="AJ1860" s="27"/>
      <c r="AK1860" s="27"/>
      <c r="AL1860" s="27"/>
      <c r="AM1860" s="27"/>
      <c r="AN1860" s="27"/>
      <c r="AO1860" s="27"/>
      <c r="AP1860" s="27">
        <v>190</v>
      </c>
      <c r="AQ1860" s="27"/>
      <c r="AR1860" s="504"/>
      <c r="AS1860" s="332"/>
      <c r="AT1860" s="160"/>
    </row>
    <row r="1861" spans="1:46" ht="21.75" hidden="1" customHeight="1">
      <c r="A1861" s="331">
        <v>1860</v>
      </c>
      <c r="B1861" s="28" t="s">
        <v>9045</v>
      </c>
      <c r="C1861" s="28" t="s">
        <v>9046</v>
      </c>
      <c r="D1861" s="446"/>
      <c r="E1861" s="361" t="str">
        <f t="shared" ca="1" si="106"/>
        <v>LOSS</v>
      </c>
      <c r="F1861" s="29" t="s">
        <v>9047</v>
      </c>
      <c r="G1861" s="28" t="s">
        <v>9048</v>
      </c>
      <c r="H1861" s="29" t="s">
        <v>261</v>
      </c>
      <c r="I1861" s="361" t="s">
        <v>243</v>
      </c>
      <c r="J1861" s="28" t="s">
        <v>6704</v>
      </c>
      <c r="K1861" s="36" t="s">
        <v>6746</v>
      </c>
      <c r="L1861" s="27" t="s">
        <v>4749</v>
      </c>
      <c r="M1861" s="27" t="s">
        <v>365</v>
      </c>
      <c r="N1861" s="27" t="s">
        <v>4750</v>
      </c>
      <c r="O1861" s="56"/>
      <c r="P1861" s="31">
        <v>57600000</v>
      </c>
      <c r="Q1861" s="31"/>
      <c r="R1861" s="56"/>
      <c r="S1861" s="100">
        <v>4620000</v>
      </c>
      <c r="T1861" s="34"/>
      <c r="U1861" s="334">
        <v>45575</v>
      </c>
      <c r="V1861" s="334">
        <v>45939</v>
      </c>
      <c r="W1861" s="27" t="s">
        <v>250</v>
      </c>
      <c r="X1861" s="27"/>
      <c r="Y1861" s="34">
        <f t="shared" ca="1" si="101"/>
        <v>46290</v>
      </c>
      <c r="Z1861" s="35">
        <f t="shared" ca="1" si="102"/>
        <v>-351</v>
      </c>
      <c r="AA1861" s="27">
        <v>10</v>
      </c>
      <c r="AB1861" s="27">
        <v>2025</v>
      </c>
      <c r="AC1861" s="28"/>
      <c r="AD1861" s="28" t="s">
        <v>9049</v>
      </c>
      <c r="AE1861" s="48" t="s">
        <v>9050</v>
      </c>
      <c r="AF1861" s="52" t="s">
        <v>471</v>
      </c>
      <c r="AG1861" s="29" t="s">
        <v>6708</v>
      </c>
      <c r="AH1861" s="160"/>
      <c r="AI1861" s="27"/>
      <c r="AJ1861" s="27"/>
      <c r="AK1861" s="27"/>
      <c r="AL1861" s="27"/>
      <c r="AM1861" s="27"/>
      <c r="AN1861" s="27"/>
      <c r="AO1861" s="27"/>
      <c r="AP1861" s="27">
        <v>186</v>
      </c>
      <c r="AQ1861" s="27"/>
      <c r="AR1861" s="504"/>
      <c r="AS1861" s="332"/>
      <c r="AT1861" s="160"/>
    </row>
    <row r="1862" spans="1:46" ht="21.75" hidden="1" customHeight="1">
      <c r="A1862" s="331">
        <v>1861</v>
      </c>
      <c r="B1862" s="28" t="s">
        <v>9045</v>
      </c>
      <c r="C1862" s="28" t="s">
        <v>9051</v>
      </c>
      <c r="D1862" s="445"/>
      <c r="E1862" s="361" t="str">
        <f t="shared" ca="1" si="106"/>
        <v>LOSS</v>
      </c>
      <c r="F1862" s="29" t="s">
        <v>9052</v>
      </c>
      <c r="G1862" s="28" t="s">
        <v>9053</v>
      </c>
      <c r="H1862" s="29" t="s">
        <v>261</v>
      </c>
      <c r="I1862" s="361" t="s">
        <v>243</v>
      </c>
      <c r="J1862" s="28" t="s">
        <v>6704</v>
      </c>
      <c r="K1862" s="36" t="s">
        <v>6746</v>
      </c>
      <c r="L1862" s="27" t="s">
        <v>4749</v>
      </c>
      <c r="M1862" s="27" t="s">
        <v>365</v>
      </c>
      <c r="N1862" s="27" t="s">
        <v>4750</v>
      </c>
      <c r="O1862" s="56"/>
      <c r="P1862" s="31"/>
      <c r="Q1862" s="31"/>
      <c r="R1862" s="56"/>
      <c r="S1862" s="100">
        <f>945000*12</f>
        <v>11340000</v>
      </c>
      <c r="T1862" s="34"/>
      <c r="U1862" s="334">
        <v>45566</v>
      </c>
      <c r="V1862" s="334">
        <v>45930</v>
      </c>
      <c r="W1862" s="27" t="s">
        <v>250</v>
      </c>
      <c r="X1862" s="27"/>
      <c r="Y1862" s="34">
        <f t="shared" ca="1" si="101"/>
        <v>46290</v>
      </c>
      <c r="Z1862" s="35">
        <f t="shared" ca="1" si="102"/>
        <v>-360</v>
      </c>
      <c r="AA1862" s="27">
        <v>9</v>
      </c>
      <c r="AB1862" s="27">
        <v>2025</v>
      </c>
      <c r="AC1862" s="28"/>
      <c r="AD1862" s="28" t="s">
        <v>9054</v>
      </c>
      <c r="AE1862" s="48" t="s">
        <v>9055</v>
      </c>
      <c r="AF1862" s="52" t="s">
        <v>471</v>
      </c>
      <c r="AG1862" s="29" t="s">
        <v>6708</v>
      </c>
      <c r="AH1862" s="160"/>
      <c r="AI1862" s="27"/>
      <c r="AJ1862" s="27"/>
      <c r="AK1862" s="27"/>
      <c r="AL1862" s="27"/>
      <c r="AM1862" s="27"/>
      <c r="AN1862" s="27"/>
      <c r="AO1862" s="27"/>
      <c r="AP1862" s="27">
        <v>189</v>
      </c>
      <c r="AQ1862" s="27"/>
      <c r="AR1862" s="504"/>
      <c r="AS1862" s="332"/>
      <c r="AT1862" s="160"/>
    </row>
    <row r="1863" spans="1:46" ht="21.75" hidden="1" customHeight="1">
      <c r="A1863" s="331">
        <v>1862</v>
      </c>
      <c r="B1863" s="28" t="s">
        <v>348</v>
      </c>
      <c r="C1863" s="28" t="s">
        <v>483</v>
      </c>
      <c r="D1863" s="437" t="s">
        <v>9056</v>
      </c>
      <c r="E1863" s="361" t="str">
        <f t="shared" ca="1" si="106"/>
        <v>LOSS</v>
      </c>
      <c r="F1863" s="29"/>
      <c r="G1863" s="28" t="s">
        <v>9057</v>
      </c>
      <c r="H1863" s="29" t="s">
        <v>2748</v>
      </c>
      <c r="I1863" s="29" t="s">
        <v>242</v>
      </c>
      <c r="J1863" s="28" t="s">
        <v>9058</v>
      </c>
      <c r="K1863" s="38" t="s">
        <v>9059</v>
      </c>
      <c r="L1863" s="27"/>
      <c r="M1863" s="27" t="s">
        <v>365</v>
      </c>
      <c r="N1863" s="27" t="s">
        <v>6739</v>
      </c>
      <c r="O1863" s="56"/>
      <c r="P1863" s="31">
        <v>44666667</v>
      </c>
      <c r="Q1863" s="31"/>
      <c r="R1863" s="30"/>
      <c r="S1863" s="100">
        <v>14231059</v>
      </c>
      <c r="T1863" s="34"/>
      <c r="U1863" s="334">
        <v>45295</v>
      </c>
      <c r="V1863" s="334">
        <v>45565</v>
      </c>
      <c r="W1863" s="27" t="s">
        <v>17</v>
      </c>
      <c r="X1863" s="27"/>
      <c r="Y1863" s="34">
        <f t="shared" ca="1" si="101"/>
        <v>46290</v>
      </c>
      <c r="Z1863" s="35">
        <f t="shared" ca="1" si="102"/>
        <v>-725</v>
      </c>
      <c r="AA1863" s="27">
        <f t="shared" ref="AA1863:AA1874" si="107">MONTH(V1863)</f>
        <v>9</v>
      </c>
      <c r="AB1863" s="27">
        <v>2024</v>
      </c>
      <c r="AC1863" s="28"/>
      <c r="AD1863" s="28" t="s">
        <v>9060</v>
      </c>
      <c r="AE1863" s="64" t="s">
        <v>9061</v>
      </c>
      <c r="AF1863" s="52" t="s">
        <v>356</v>
      </c>
      <c r="AG1863" s="29" t="s">
        <v>9062</v>
      </c>
      <c r="AH1863" s="160"/>
      <c r="AI1863" s="27"/>
      <c r="AJ1863" s="27"/>
      <c r="AK1863" s="27"/>
      <c r="AL1863" s="27"/>
      <c r="AM1863" s="27"/>
      <c r="AN1863" s="27"/>
      <c r="AO1863" s="27"/>
      <c r="AP1863" s="27" t="s">
        <v>9063</v>
      </c>
      <c r="AQ1863" s="27"/>
      <c r="AR1863" s="504"/>
      <c r="AS1863" s="332"/>
      <c r="AT1863" s="160"/>
    </row>
    <row r="1864" spans="1:46" ht="21.75" hidden="1" customHeight="1">
      <c r="A1864" s="331">
        <v>1863</v>
      </c>
      <c r="B1864" s="28" t="s">
        <v>348</v>
      </c>
      <c r="C1864" s="28" t="s">
        <v>9064</v>
      </c>
      <c r="D1864" s="438" t="s">
        <v>9056</v>
      </c>
      <c r="E1864" s="361" t="str">
        <f t="shared" ca="1" si="106"/>
        <v>LOSS</v>
      </c>
      <c r="F1864" s="29"/>
      <c r="G1864" s="28" t="s">
        <v>9065</v>
      </c>
      <c r="H1864" s="29" t="s">
        <v>2748</v>
      </c>
      <c r="I1864" s="29" t="s">
        <v>242</v>
      </c>
      <c r="J1864" s="28" t="s">
        <v>9066</v>
      </c>
      <c r="K1864" s="38" t="s">
        <v>9067</v>
      </c>
      <c r="L1864" s="27"/>
      <c r="M1864" s="27" t="s">
        <v>365</v>
      </c>
      <c r="N1864" s="27" t="s">
        <v>7066</v>
      </c>
      <c r="O1864" s="56"/>
      <c r="P1864" s="31">
        <v>56875000</v>
      </c>
      <c r="Q1864" s="31"/>
      <c r="R1864" s="30"/>
      <c r="S1864" s="100">
        <v>13251731</v>
      </c>
      <c r="T1864" s="34"/>
      <c r="U1864" s="334">
        <v>45448</v>
      </c>
      <c r="V1864" s="334">
        <v>45565</v>
      </c>
      <c r="W1864" s="27" t="s">
        <v>250</v>
      </c>
      <c r="X1864" s="27"/>
      <c r="Y1864" s="34">
        <f t="shared" ca="1" si="101"/>
        <v>46290</v>
      </c>
      <c r="Z1864" s="35">
        <f t="shared" ca="1" si="102"/>
        <v>-725</v>
      </c>
      <c r="AA1864" s="27">
        <f t="shared" si="107"/>
        <v>9</v>
      </c>
      <c r="AB1864" s="27">
        <v>2024</v>
      </c>
      <c r="AC1864" s="28"/>
      <c r="AD1864" s="28" t="s">
        <v>9068</v>
      </c>
      <c r="AE1864" s="64" t="s">
        <v>9069</v>
      </c>
      <c r="AF1864" s="52" t="s">
        <v>356</v>
      </c>
      <c r="AG1864" s="29" t="s">
        <v>9062</v>
      </c>
      <c r="AH1864" s="160"/>
      <c r="AI1864" s="27"/>
      <c r="AJ1864" s="27"/>
      <c r="AK1864" s="27"/>
      <c r="AL1864" s="27"/>
      <c r="AM1864" s="27"/>
      <c r="AN1864" s="27"/>
      <c r="AO1864" s="27"/>
      <c r="AP1864" s="27" t="s">
        <v>9070</v>
      </c>
      <c r="AQ1864" s="27"/>
      <c r="AR1864" s="504"/>
      <c r="AS1864" s="332"/>
      <c r="AT1864" s="160"/>
    </row>
    <row r="1865" spans="1:46" ht="21.75" hidden="1" customHeight="1">
      <c r="A1865" s="331">
        <v>1864</v>
      </c>
      <c r="B1865" s="28" t="s">
        <v>186</v>
      </c>
      <c r="C1865" s="28" t="s">
        <v>8844</v>
      </c>
      <c r="D1865" s="437" t="s">
        <v>9012</v>
      </c>
      <c r="E1865" s="361" t="str">
        <f t="shared" ca="1" si="106"/>
        <v>LOSS</v>
      </c>
      <c r="F1865" s="29" t="s">
        <v>9071</v>
      </c>
      <c r="G1865" s="28" t="s">
        <v>9072</v>
      </c>
      <c r="H1865" s="29" t="s">
        <v>2748</v>
      </c>
      <c r="I1865" s="29" t="s">
        <v>242</v>
      </c>
      <c r="J1865" s="28" t="s">
        <v>188</v>
      </c>
      <c r="K1865" s="28"/>
      <c r="L1865" s="27"/>
      <c r="M1865" s="27"/>
      <c r="N1865" s="27"/>
      <c r="O1865" s="56"/>
      <c r="P1865" s="31"/>
      <c r="Q1865" s="31"/>
      <c r="R1865" s="56">
        <v>1500000</v>
      </c>
      <c r="S1865" s="100">
        <f>3500000*12</f>
        <v>42000000</v>
      </c>
      <c r="T1865" s="34"/>
      <c r="U1865" s="334">
        <v>45174</v>
      </c>
      <c r="V1865" s="334">
        <v>45539</v>
      </c>
      <c r="W1865" s="27" t="s">
        <v>250</v>
      </c>
      <c r="X1865" s="27"/>
      <c r="Y1865" s="34">
        <f t="shared" ca="1" si="101"/>
        <v>46290</v>
      </c>
      <c r="Z1865" s="35">
        <f t="shared" ca="1" si="102"/>
        <v>-751</v>
      </c>
      <c r="AA1865" s="27">
        <f t="shared" si="107"/>
        <v>9</v>
      </c>
      <c r="AB1865" s="27">
        <f>YEAR(V1865)</f>
        <v>2024</v>
      </c>
      <c r="AC1865" s="28"/>
      <c r="AD1865" s="28" t="s">
        <v>9073</v>
      </c>
      <c r="AE1865" s="35">
        <v>4500021287</v>
      </c>
      <c r="AF1865" s="52" t="s">
        <v>333</v>
      </c>
      <c r="AG1865" s="29" t="s">
        <v>9014</v>
      </c>
      <c r="AH1865" s="160"/>
      <c r="AI1865" s="27"/>
      <c r="AJ1865" s="27"/>
      <c r="AK1865" s="27"/>
      <c r="AL1865" s="27"/>
      <c r="AM1865" s="27"/>
      <c r="AN1865" s="27"/>
      <c r="AO1865" s="27" t="s">
        <v>9074</v>
      </c>
      <c r="AP1865" s="27"/>
      <c r="AQ1865" s="27"/>
      <c r="AR1865" s="504"/>
      <c r="AS1865" s="332"/>
      <c r="AT1865" s="160"/>
    </row>
    <row r="1866" spans="1:46" ht="21.75" hidden="1" customHeight="1">
      <c r="A1866" s="331">
        <v>1865</v>
      </c>
      <c r="B1866" s="28" t="s">
        <v>186</v>
      </c>
      <c r="C1866" s="28" t="s">
        <v>8844</v>
      </c>
      <c r="D1866" s="438" t="s">
        <v>9012</v>
      </c>
      <c r="E1866" s="361" t="str">
        <f t="shared" ca="1" si="106"/>
        <v>LOSS</v>
      </c>
      <c r="F1866" s="29" t="s">
        <v>9071</v>
      </c>
      <c r="G1866" s="28" t="s">
        <v>9072</v>
      </c>
      <c r="H1866" s="29" t="s">
        <v>2748</v>
      </c>
      <c r="I1866" s="29" t="s">
        <v>242</v>
      </c>
      <c r="J1866" s="28" t="s">
        <v>188</v>
      </c>
      <c r="K1866" s="28"/>
      <c r="L1866" s="27"/>
      <c r="M1866" s="27"/>
      <c r="N1866" s="27"/>
      <c r="O1866" s="56"/>
      <c r="P1866" s="31"/>
      <c r="Q1866" s="31"/>
      <c r="R1866" s="30"/>
      <c r="S1866" s="100">
        <f>3500000*12</f>
        <v>42000000</v>
      </c>
      <c r="T1866" s="34"/>
      <c r="U1866" s="334">
        <v>45540</v>
      </c>
      <c r="V1866" s="334">
        <v>45904</v>
      </c>
      <c r="W1866" s="27" t="s">
        <v>250</v>
      </c>
      <c r="X1866" s="27"/>
      <c r="Y1866" s="34">
        <f t="shared" ca="1" si="101"/>
        <v>46290</v>
      </c>
      <c r="Z1866" s="35">
        <f t="shared" ca="1" si="102"/>
        <v>-386</v>
      </c>
      <c r="AA1866" s="27">
        <f t="shared" si="107"/>
        <v>9</v>
      </c>
      <c r="AB1866" s="27">
        <f>YEAR(V1866)</f>
        <v>2025</v>
      </c>
      <c r="AC1866" s="28"/>
      <c r="AD1866" s="28" t="s">
        <v>9075</v>
      </c>
      <c r="AE1866" s="35">
        <v>4500023249</v>
      </c>
      <c r="AF1866" s="52" t="s">
        <v>333</v>
      </c>
      <c r="AG1866" s="29" t="s">
        <v>9014</v>
      </c>
      <c r="AH1866" s="160"/>
      <c r="AI1866" s="27"/>
      <c r="AJ1866" s="27"/>
      <c r="AK1866" s="27"/>
      <c r="AL1866" s="27"/>
      <c r="AM1866" s="27"/>
      <c r="AN1866" s="27"/>
      <c r="AO1866" s="27"/>
      <c r="AP1866" s="27" t="s">
        <v>9076</v>
      </c>
      <c r="AQ1866" s="27"/>
      <c r="AR1866" s="504"/>
      <c r="AS1866" s="332"/>
      <c r="AT1866" s="160"/>
    </row>
    <row r="1867" spans="1:46" ht="21.75" hidden="1" customHeight="1">
      <c r="A1867" s="331">
        <v>1866</v>
      </c>
      <c r="B1867" s="28" t="s">
        <v>93</v>
      </c>
      <c r="C1867" s="28" t="s">
        <v>9077</v>
      </c>
      <c r="D1867" s="444" t="s">
        <v>3741</v>
      </c>
      <c r="E1867" s="361" t="str">
        <f t="shared" ca="1" si="106"/>
        <v>LOSS</v>
      </c>
      <c r="F1867" s="29"/>
      <c r="G1867" s="28" t="s">
        <v>9078</v>
      </c>
      <c r="H1867" s="29" t="s">
        <v>2748</v>
      </c>
      <c r="I1867" s="29" t="s">
        <v>242</v>
      </c>
      <c r="J1867" s="28" t="s">
        <v>96</v>
      </c>
      <c r="K1867" s="28"/>
      <c r="L1867" s="27"/>
      <c r="M1867" s="27" t="s">
        <v>7267</v>
      </c>
      <c r="N1867" s="27" t="s">
        <v>373</v>
      </c>
      <c r="O1867" s="56"/>
      <c r="P1867" s="31">
        <v>521600000</v>
      </c>
      <c r="Q1867" s="31"/>
      <c r="R1867" s="32">
        <v>8000000</v>
      </c>
      <c r="S1867" s="32">
        <v>72000000</v>
      </c>
      <c r="T1867" s="34"/>
      <c r="U1867" s="334">
        <v>45490</v>
      </c>
      <c r="V1867" s="334">
        <v>45854</v>
      </c>
      <c r="W1867" s="27" t="s">
        <v>250</v>
      </c>
      <c r="X1867" s="27"/>
      <c r="Y1867" s="34">
        <f t="shared" ref="Y1867:Y1930" ca="1" si="108">TODAY()</f>
        <v>46290</v>
      </c>
      <c r="Z1867" s="35">
        <f t="shared" ca="1" si="102"/>
        <v>-436</v>
      </c>
      <c r="AA1867" s="27">
        <f t="shared" si="107"/>
        <v>7</v>
      </c>
      <c r="AB1867" s="27">
        <v>2025</v>
      </c>
      <c r="AC1867" s="28" t="s">
        <v>479</v>
      </c>
      <c r="AD1867" s="28" t="s">
        <v>9079</v>
      </c>
      <c r="AE1867" s="27">
        <v>4500023227</v>
      </c>
      <c r="AF1867" s="27" t="s">
        <v>333</v>
      </c>
      <c r="AG1867" s="29" t="s">
        <v>8516</v>
      </c>
      <c r="AH1867" s="160"/>
      <c r="AI1867" s="27"/>
      <c r="AJ1867" s="27"/>
      <c r="AK1867" s="27"/>
      <c r="AL1867" s="27"/>
      <c r="AM1867" s="27"/>
      <c r="AN1867" s="27"/>
      <c r="AO1867" s="27"/>
      <c r="AP1867" s="27" t="s">
        <v>9080</v>
      </c>
      <c r="AQ1867" s="27"/>
      <c r="AR1867" s="504"/>
      <c r="AS1867" s="332" t="s">
        <v>9081</v>
      </c>
      <c r="AT1867" s="160"/>
    </row>
    <row r="1868" spans="1:46" ht="21.75" hidden="1" customHeight="1">
      <c r="A1868" s="331">
        <v>1867</v>
      </c>
      <c r="B1868" s="28" t="s">
        <v>37</v>
      </c>
      <c r="C1868" s="28" t="s">
        <v>9082</v>
      </c>
      <c r="D1868" s="438" t="s">
        <v>6644</v>
      </c>
      <c r="E1868" s="361" t="str">
        <f t="shared" ca="1" si="106"/>
        <v>LOSS</v>
      </c>
      <c r="F1868" s="29"/>
      <c r="G1868" s="28" t="s">
        <v>9083</v>
      </c>
      <c r="H1868" s="29" t="s">
        <v>2748</v>
      </c>
      <c r="I1868" s="29" t="s">
        <v>242</v>
      </c>
      <c r="J1868" s="28" t="s">
        <v>39</v>
      </c>
      <c r="K1868" s="28"/>
      <c r="L1868" s="27"/>
      <c r="M1868" s="27" t="s">
        <v>329</v>
      </c>
      <c r="N1868" s="27" t="s">
        <v>7238</v>
      </c>
      <c r="O1868" s="197">
        <f>5000000</f>
        <v>5000000</v>
      </c>
      <c r="P1868" s="31">
        <f>53000000</f>
        <v>53000000</v>
      </c>
      <c r="Q1868" s="31"/>
      <c r="R1868" s="56">
        <v>2500000</v>
      </c>
      <c r="S1868" s="56">
        <f>12*1500000</f>
        <v>18000000</v>
      </c>
      <c r="T1868" s="34"/>
      <c r="U1868" s="334">
        <v>45474</v>
      </c>
      <c r="V1868" s="334">
        <v>45838</v>
      </c>
      <c r="W1868" s="27" t="s">
        <v>245</v>
      </c>
      <c r="X1868" s="27"/>
      <c r="Y1868" s="34">
        <f t="shared" ca="1" si="108"/>
        <v>46290</v>
      </c>
      <c r="Z1868" s="35">
        <f t="shared" ca="1" si="102"/>
        <v>-452</v>
      </c>
      <c r="AA1868" s="27">
        <f t="shared" si="107"/>
        <v>6</v>
      </c>
      <c r="AB1868" s="27">
        <f>YEAR(V1868)</f>
        <v>2025</v>
      </c>
      <c r="AC1868" s="28"/>
      <c r="AD1868" s="28" t="s">
        <v>9084</v>
      </c>
      <c r="AE1868" s="35">
        <v>4500022968</v>
      </c>
      <c r="AF1868" s="52" t="s">
        <v>333</v>
      </c>
      <c r="AG1868" s="29" t="s">
        <v>6656</v>
      </c>
      <c r="AH1868" s="160"/>
      <c r="AI1868" s="27"/>
      <c r="AJ1868" s="27"/>
      <c r="AK1868" s="27"/>
      <c r="AL1868" s="27"/>
      <c r="AM1868" s="27"/>
      <c r="AN1868" s="27"/>
      <c r="AO1868" s="27"/>
      <c r="AP1868" s="27" t="s">
        <v>9085</v>
      </c>
      <c r="AQ1868" s="27"/>
      <c r="AR1868" s="504"/>
      <c r="AS1868" s="332"/>
      <c r="AT1868" s="160"/>
    </row>
    <row r="1869" spans="1:46" ht="21.75" hidden="1" customHeight="1">
      <c r="A1869" s="331">
        <v>1868</v>
      </c>
      <c r="B1869" s="28" t="s">
        <v>61</v>
      </c>
      <c r="C1869" s="28" t="s">
        <v>9086</v>
      </c>
      <c r="D1869" s="437" t="s">
        <v>413</v>
      </c>
      <c r="E1869" s="361" t="str">
        <f t="shared" ca="1" si="106"/>
        <v>LOSS</v>
      </c>
      <c r="F1869" s="29"/>
      <c r="G1869" s="28" t="s">
        <v>9087</v>
      </c>
      <c r="H1869" s="29" t="s">
        <v>2748</v>
      </c>
      <c r="I1869" s="29" t="s">
        <v>242</v>
      </c>
      <c r="J1869" s="28" t="s">
        <v>63</v>
      </c>
      <c r="K1869" s="28"/>
      <c r="L1869" s="27"/>
      <c r="M1869" s="27"/>
      <c r="N1869" s="27"/>
      <c r="O1869" s="197">
        <v>3500000</v>
      </c>
      <c r="P1869" s="31">
        <v>87500000</v>
      </c>
      <c r="Q1869" s="31"/>
      <c r="R1869" s="30"/>
      <c r="S1869" s="32">
        <v>8000000</v>
      </c>
      <c r="T1869" s="34"/>
      <c r="U1869" s="334">
        <v>45502</v>
      </c>
      <c r="V1869" s="334">
        <v>45866</v>
      </c>
      <c r="W1869" s="27" t="s">
        <v>250</v>
      </c>
      <c r="X1869" s="27"/>
      <c r="Y1869" s="34">
        <f t="shared" ca="1" si="108"/>
        <v>46290</v>
      </c>
      <c r="Z1869" s="35">
        <f t="shared" ca="1" si="102"/>
        <v>-424</v>
      </c>
      <c r="AA1869" s="27">
        <f t="shared" si="107"/>
        <v>7</v>
      </c>
      <c r="AB1869" s="27">
        <f>YEAR(V1869)</f>
        <v>2025</v>
      </c>
      <c r="AC1869" s="28" t="s">
        <v>479</v>
      </c>
      <c r="AD1869" s="28" t="s">
        <v>9088</v>
      </c>
      <c r="AE1869" s="27">
        <v>4500023226</v>
      </c>
      <c r="AF1869" s="52" t="s">
        <v>333</v>
      </c>
      <c r="AG1869" s="29" t="s">
        <v>8547</v>
      </c>
      <c r="AH1869" s="160"/>
      <c r="AI1869" s="27"/>
      <c r="AJ1869" s="27"/>
      <c r="AK1869" s="27"/>
      <c r="AL1869" s="27"/>
      <c r="AM1869" s="27"/>
      <c r="AN1869" s="27"/>
      <c r="AO1869" s="27"/>
      <c r="AP1869" s="27" t="s">
        <v>9089</v>
      </c>
      <c r="AQ1869" s="27"/>
      <c r="AR1869" s="504"/>
      <c r="AS1869" s="332" t="s">
        <v>8549</v>
      </c>
      <c r="AT1869" s="160"/>
    </row>
    <row r="1870" spans="1:46" ht="21.75" hidden="1" customHeight="1">
      <c r="A1870" s="331">
        <v>1869</v>
      </c>
      <c r="B1870" s="28" t="s">
        <v>213</v>
      </c>
      <c r="C1870" s="28" t="s">
        <v>7550</v>
      </c>
      <c r="D1870" s="438" t="s">
        <v>7540</v>
      </c>
      <c r="E1870" s="361" t="str">
        <f t="shared" ca="1" si="106"/>
        <v>LOSS</v>
      </c>
      <c r="F1870" s="29"/>
      <c r="G1870" s="28" t="s">
        <v>7541</v>
      </c>
      <c r="H1870" s="29" t="s">
        <v>2748</v>
      </c>
      <c r="I1870" s="29" t="s">
        <v>346</v>
      </c>
      <c r="J1870" s="28" t="s">
        <v>214</v>
      </c>
      <c r="K1870" s="28"/>
      <c r="L1870" s="27"/>
      <c r="M1870" s="27"/>
      <c r="N1870" s="27"/>
      <c r="O1870" s="56"/>
      <c r="P1870" s="31">
        <f>543600000/2</f>
        <v>271800000</v>
      </c>
      <c r="Q1870" s="31"/>
      <c r="R1870" s="30"/>
      <c r="S1870" s="32">
        <v>159804500</v>
      </c>
      <c r="T1870" s="34"/>
      <c r="U1870" s="334">
        <v>45505</v>
      </c>
      <c r="V1870" s="334">
        <v>45869</v>
      </c>
      <c r="W1870" s="27" t="s">
        <v>250</v>
      </c>
      <c r="X1870" s="27"/>
      <c r="Y1870" s="34">
        <f t="shared" ca="1" si="108"/>
        <v>46290</v>
      </c>
      <c r="Z1870" s="35">
        <f t="shared" ca="1" si="102"/>
        <v>-421</v>
      </c>
      <c r="AA1870" s="27">
        <f t="shared" si="107"/>
        <v>7</v>
      </c>
      <c r="AB1870" s="27">
        <f>YEAR(V1870)</f>
        <v>2025</v>
      </c>
      <c r="AC1870" s="28"/>
      <c r="AD1870" s="28" t="s">
        <v>9090</v>
      </c>
      <c r="AE1870" s="27">
        <v>4500023159</v>
      </c>
      <c r="AF1870" s="27" t="s">
        <v>339</v>
      </c>
      <c r="AG1870" s="29" t="s">
        <v>7545</v>
      </c>
      <c r="AH1870" s="160"/>
      <c r="AI1870" s="27"/>
      <c r="AJ1870" s="27"/>
      <c r="AK1870" s="27"/>
      <c r="AL1870" s="27"/>
      <c r="AM1870" s="27"/>
      <c r="AN1870" s="27"/>
      <c r="AO1870" s="27"/>
      <c r="AP1870" s="27" t="s">
        <v>9091</v>
      </c>
      <c r="AQ1870" s="27"/>
      <c r="AR1870" s="504"/>
      <c r="AS1870" s="332"/>
      <c r="AT1870" s="160"/>
    </row>
    <row r="1871" spans="1:46" ht="21.75" hidden="1" customHeight="1">
      <c r="A1871" s="331">
        <v>1870</v>
      </c>
      <c r="B1871" s="28" t="s">
        <v>221</v>
      </c>
      <c r="C1871" s="28" t="s">
        <v>1000</v>
      </c>
      <c r="D1871" s="437" t="s">
        <v>369</v>
      </c>
      <c r="E1871" s="361" t="str">
        <f t="shared" ca="1" si="106"/>
        <v>LOSS</v>
      </c>
      <c r="F1871" s="29"/>
      <c r="G1871" s="28" t="s">
        <v>9092</v>
      </c>
      <c r="H1871" s="29" t="s">
        <v>2748</v>
      </c>
      <c r="I1871" s="29" t="s">
        <v>242</v>
      </c>
      <c r="J1871" s="28" t="s">
        <v>224</v>
      </c>
      <c r="K1871" s="28"/>
      <c r="L1871" s="27"/>
      <c r="M1871" s="27" t="s">
        <v>329</v>
      </c>
      <c r="N1871" s="27" t="s">
        <v>6649</v>
      </c>
      <c r="O1871" s="56"/>
      <c r="P1871" s="31">
        <v>142432443</v>
      </c>
      <c r="Q1871" s="31"/>
      <c r="R1871" s="32">
        <v>12000000</v>
      </c>
      <c r="S1871" s="32">
        <v>24000000</v>
      </c>
      <c r="T1871" s="34"/>
      <c r="U1871" s="334">
        <v>45378</v>
      </c>
      <c r="V1871" s="334">
        <v>45742</v>
      </c>
      <c r="W1871" s="27" t="s">
        <v>17</v>
      </c>
      <c r="X1871" s="27" t="s">
        <v>6242</v>
      </c>
      <c r="Y1871" s="34">
        <f t="shared" ca="1" si="108"/>
        <v>46290</v>
      </c>
      <c r="Z1871" s="35">
        <f t="shared" ca="1" si="102"/>
        <v>-548</v>
      </c>
      <c r="AA1871" s="27">
        <f t="shared" si="107"/>
        <v>3</v>
      </c>
      <c r="AB1871" s="27">
        <v>2025</v>
      </c>
      <c r="AC1871" s="28"/>
      <c r="AD1871" s="28" t="s">
        <v>8877</v>
      </c>
      <c r="AE1871" s="27">
        <v>4500022671</v>
      </c>
      <c r="AF1871" s="27" t="s">
        <v>333</v>
      </c>
      <c r="AG1871" s="29" t="s">
        <v>376</v>
      </c>
      <c r="AH1871" s="160"/>
      <c r="AI1871" s="27"/>
      <c r="AJ1871" s="27"/>
      <c r="AK1871" s="27"/>
      <c r="AL1871" s="27"/>
      <c r="AM1871" s="27"/>
      <c r="AN1871" s="27"/>
      <c r="AO1871" s="27"/>
      <c r="AP1871" s="27" t="s">
        <v>9093</v>
      </c>
      <c r="AQ1871" s="27"/>
      <c r="AR1871" s="504"/>
      <c r="AS1871" s="332" t="s">
        <v>9094</v>
      </c>
      <c r="AT1871" s="160"/>
    </row>
    <row r="1872" spans="1:46" ht="21.75" hidden="1" customHeight="1">
      <c r="A1872" s="331">
        <v>1871</v>
      </c>
      <c r="B1872" s="28" t="s">
        <v>55</v>
      </c>
      <c r="C1872" s="28" t="s">
        <v>3051</v>
      </c>
      <c r="D1872" s="438" t="s">
        <v>3052</v>
      </c>
      <c r="E1872" s="361" t="str">
        <f t="shared" ca="1" si="106"/>
        <v>LOSS</v>
      </c>
      <c r="F1872" s="29"/>
      <c r="G1872" s="28" t="s">
        <v>3053</v>
      </c>
      <c r="H1872" s="29" t="s">
        <v>2748</v>
      </c>
      <c r="I1872" s="361" t="s">
        <v>3054</v>
      </c>
      <c r="J1872" s="28" t="s">
        <v>56</v>
      </c>
      <c r="K1872" s="28"/>
      <c r="L1872" s="27"/>
      <c r="M1872" s="27"/>
      <c r="N1872" s="27"/>
      <c r="O1872" s="56"/>
      <c r="P1872" s="31">
        <f>12*5000000</f>
        <v>60000000</v>
      </c>
      <c r="Q1872" s="31"/>
      <c r="R1872" s="30"/>
      <c r="S1872" s="32">
        <v>15000000</v>
      </c>
      <c r="T1872" s="34"/>
      <c r="U1872" s="334">
        <v>45566</v>
      </c>
      <c r="V1872" s="334">
        <v>45930</v>
      </c>
      <c r="W1872" s="27" t="s">
        <v>250</v>
      </c>
      <c r="X1872" s="27"/>
      <c r="Y1872" s="34">
        <f t="shared" ca="1" si="108"/>
        <v>46290</v>
      </c>
      <c r="Z1872" s="35">
        <f t="shared" ca="1" si="102"/>
        <v>-360</v>
      </c>
      <c r="AA1872" s="27">
        <f t="shared" si="107"/>
        <v>9</v>
      </c>
      <c r="AB1872" s="27">
        <f>YEAR(V1872)</f>
        <v>2025</v>
      </c>
      <c r="AC1872" s="28"/>
      <c r="AD1872" s="28" t="s">
        <v>9095</v>
      </c>
      <c r="AE1872" s="27">
        <v>4500023314</v>
      </c>
      <c r="AF1872" s="27" t="s">
        <v>333</v>
      </c>
      <c r="AG1872" s="29"/>
      <c r="AH1872" s="160"/>
      <c r="AI1872" s="27"/>
      <c r="AJ1872" s="27"/>
      <c r="AK1872" s="27"/>
      <c r="AL1872" s="27"/>
      <c r="AM1872" s="27"/>
      <c r="AN1872" s="27"/>
      <c r="AO1872" s="27"/>
      <c r="AP1872" s="27" t="s">
        <v>9096</v>
      </c>
      <c r="AQ1872" s="27"/>
      <c r="AR1872" s="504"/>
      <c r="AS1872" s="332"/>
      <c r="AT1872" s="160"/>
    </row>
    <row r="1873" spans="1:46" ht="21.75" hidden="1" customHeight="1">
      <c r="A1873" s="331">
        <v>1872</v>
      </c>
      <c r="B1873" s="28" t="s">
        <v>165</v>
      </c>
      <c r="C1873" s="28" t="s">
        <v>7108</v>
      </c>
      <c r="D1873" s="437" t="s">
        <v>7124</v>
      </c>
      <c r="E1873" s="361" t="str">
        <f t="shared" ca="1" si="106"/>
        <v>LOSS</v>
      </c>
      <c r="F1873" s="29" t="s">
        <v>8915</v>
      </c>
      <c r="G1873" s="28" t="s">
        <v>9097</v>
      </c>
      <c r="H1873" s="29" t="s">
        <v>261</v>
      </c>
      <c r="I1873" s="361" t="s">
        <v>243</v>
      </c>
      <c r="J1873" s="28" t="s">
        <v>8916</v>
      </c>
      <c r="K1873" s="36" t="s">
        <v>8917</v>
      </c>
      <c r="L1873" s="27" t="s">
        <v>4749</v>
      </c>
      <c r="M1873" s="27" t="s">
        <v>365</v>
      </c>
      <c r="N1873" s="27" t="s">
        <v>6727</v>
      </c>
      <c r="O1873" s="56"/>
      <c r="P1873" s="31">
        <f>(85400000*3)+(85400000*26/31)</f>
        <v>327825806.45161289</v>
      </c>
      <c r="Q1873" s="31"/>
      <c r="R1873" s="56"/>
      <c r="S1873" s="100">
        <v>299419380</v>
      </c>
      <c r="T1873" s="34"/>
      <c r="U1873" s="334">
        <v>45418</v>
      </c>
      <c r="V1873" s="334">
        <v>45535</v>
      </c>
      <c r="W1873" s="27" t="s">
        <v>250</v>
      </c>
      <c r="X1873" s="27"/>
      <c r="Y1873" s="34">
        <f t="shared" ca="1" si="108"/>
        <v>46290</v>
      </c>
      <c r="Z1873" s="35">
        <f t="shared" ca="1" si="102"/>
        <v>-755</v>
      </c>
      <c r="AA1873" s="27">
        <f t="shared" si="107"/>
        <v>8</v>
      </c>
      <c r="AB1873" s="27">
        <f>YEAR(V1873)</f>
        <v>2024</v>
      </c>
      <c r="AC1873" s="28" t="s">
        <v>9098</v>
      </c>
      <c r="AD1873" s="28" t="s">
        <v>9099</v>
      </c>
      <c r="AE1873" s="27">
        <v>4500023117</v>
      </c>
      <c r="AF1873" s="52" t="s">
        <v>471</v>
      </c>
      <c r="AG1873" s="29" t="s">
        <v>9100</v>
      </c>
      <c r="AH1873" s="160" t="s">
        <v>7099</v>
      </c>
      <c r="AI1873" s="27"/>
      <c r="AJ1873" s="27"/>
      <c r="AK1873" s="27"/>
      <c r="AL1873" s="27"/>
      <c r="AM1873" s="27"/>
      <c r="AN1873" s="27"/>
      <c r="AO1873" s="27"/>
      <c r="AP1873" s="27">
        <v>289</v>
      </c>
      <c r="AQ1873" s="27"/>
      <c r="AR1873" s="504"/>
      <c r="AS1873" s="332" t="s">
        <v>9101</v>
      </c>
      <c r="AT1873" s="160"/>
    </row>
    <row r="1874" spans="1:46" ht="21.75" hidden="1" customHeight="1">
      <c r="A1874" s="331">
        <v>1873</v>
      </c>
      <c r="B1874" s="28" t="s">
        <v>5947</v>
      </c>
      <c r="C1874" s="28" t="s">
        <v>5948</v>
      </c>
      <c r="D1874" s="438" t="s">
        <v>5949</v>
      </c>
      <c r="E1874" s="361" t="str">
        <f t="shared" ca="1" si="106"/>
        <v>LOSS</v>
      </c>
      <c r="F1874" s="29"/>
      <c r="G1874" s="28" t="s">
        <v>5950</v>
      </c>
      <c r="H1874" s="29" t="s">
        <v>2748</v>
      </c>
      <c r="I1874" s="29" t="s">
        <v>346</v>
      </c>
      <c r="J1874" s="28" t="s">
        <v>5951</v>
      </c>
      <c r="K1874" s="28"/>
      <c r="L1874" s="27"/>
      <c r="M1874" s="27"/>
      <c r="N1874" s="27"/>
      <c r="O1874" s="56"/>
      <c r="P1874" s="31">
        <f>41000000*12</f>
        <v>492000000</v>
      </c>
      <c r="Q1874" s="31"/>
      <c r="R1874" s="30"/>
      <c r="S1874" s="32">
        <v>36000000</v>
      </c>
      <c r="T1874" s="34"/>
      <c r="U1874" s="334">
        <v>45290</v>
      </c>
      <c r="V1874" s="334">
        <v>45655</v>
      </c>
      <c r="W1874" s="27" t="s">
        <v>250</v>
      </c>
      <c r="X1874" s="27"/>
      <c r="Y1874" s="34">
        <f t="shared" ca="1" si="108"/>
        <v>46290</v>
      </c>
      <c r="Z1874" s="35">
        <f t="shared" ca="1" si="102"/>
        <v>-635</v>
      </c>
      <c r="AA1874" s="27">
        <f t="shared" si="107"/>
        <v>12</v>
      </c>
      <c r="AB1874" s="27">
        <f>YEAR(V1874)</f>
        <v>2024</v>
      </c>
      <c r="AC1874" s="28"/>
      <c r="AD1874" s="28" t="s">
        <v>9102</v>
      </c>
      <c r="AE1874" s="27">
        <v>4500023109</v>
      </c>
      <c r="AF1874" s="27" t="s">
        <v>339</v>
      </c>
      <c r="AG1874" s="29"/>
      <c r="AH1874" s="160"/>
      <c r="AI1874" s="27"/>
      <c r="AJ1874" s="27"/>
      <c r="AK1874" s="27"/>
      <c r="AL1874" s="27"/>
      <c r="AM1874" s="27"/>
      <c r="AN1874" s="27"/>
      <c r="AO1874" s="27" t="s">
        <v>9103</v>
      </c>
      <c r="AP1874" s="27"/>
      <c r="AQ1874" s="27"/>
      <c r="AR1874" s="504"/>
      <c r="AS1874" s="332"/>
      <c r="AT1874" s="160"/>
    </row>
    <row r="1875" spans="1:46" ht="21.75" hidden="1" customHeight="1">
      <c r="A1875" s="331">
        <v>1874</v>
      </c>
      <c r="B1875" s="28" t="s">
        <v>1043</v>
      </c>
      <c r="C1875" s="28" t="s">
        <v>2689</v>
      </c>
      <c r="D1875" s="437" t="s">
        <v>6810</v>
      </c>
      <c r="E1875" s="361" t="str">
        <f t="shared" ca="1" si="106"/>
        <v>LOSS</v>
      </c>
      <c r="F1875" s="29"/>
      <c r="G1875" s="28" t="s">
        <v>9104</v>
      </c>
      <c r="H1875" s="29" t="s">
        <v>261</v>
      </c>
      <c r="I1875" s="361" t="s">
        <v>243</v>
      </c>
      <c r="J1875" s="28" t="s">
        <v>6850</v>
      </c>
      <c r="K1875" s="38" t="s">
        <v>6851</v>
      </c>
      <c r="L1875" s="53" t="s">
        <v>4749</v>
      </c>
      <c r="M1875" s="27" t="s">
        <v>365</v>
      </c>
      <c r="N1875" s="27" t="s">
        <v>417</v>
      </c>
      <c r="O1875" s="56"/>
      <c r="P1875" s="31">
        <f>3000000*12</f>
        <v>36000000</v>
      </c>
      <c r="Q1875" s="31"/>
      <c r="R1875" s="56"/>
      <c r="S1875" s="100">
        <f>1500000*12</f>
        <v>18000000</v>
      </c>
      <c r="T1875" s="34"/>
      <c r="U1875" s="334">
        <v>45526</v>
      </c>
      <c r="V1875" s="334">
        <v>45890</v>
      </c>
      <c r="W1875" s="27" t="s">
        <v>250</v>
      </c>
      <c r="X1875" s="27"/>
      <c r="Y1875" s="34">
        <f t="shared" ca="1" si="108"/>
        <v>46290</v>
      </c>
      <c r="Z1875" s="35">
        <f t="shared" ca="1" si="102"/>
        <v>-400</v>
      </c>
      <c r="AA1875" s="27">
        <v>8</v>
      </c>
      <c r="AB1875" s="27">
        <v>2025</v>
      </c>
      <c r="AC1875" s="28" t="s">
        <v>9105</v>
      </c>
      <c r="AD1875" s="28" t="s">
        <v>9106</v>
      </c>
      <c r="AE1875" s="268" t="s">
        <v>9107</v>
      </c>
      <c r="AF1875" s="52" t="s">
        <v>471</v>
      </c>
      <c r="AG1875" s="29" t="s">
        <v>8922</v>
      </c>
      <c r="AH1875" s="160"/>
      <c r="AI1875" s="27"/>
      <c r="AJ1875" s="27"/>
      <c r="AK1875" s="27"/>
      <c r="AL1875" s="27"/>
      <c r="AM1875" s="27"/>
      <c r="AN1875" s="27"/>
      <c r="AO1875" s="27"/>
      <c r="AP1875" s="27">
        <v>188</v>
      </c>
      <c r="AQ1875" s="27"/>
      <c r="AR1875" s="504"/>
      <c r="AS1875" s="332"/>
      <c r="AT1875" s="160"/>
    </row>
    <row r="1876" spans="1:46" ht="21.75" hidden="1" customHeight="1">
      <c r="A1876" s="331">
        <v>1875</v>
      </c>
      <c r="B1876" s="28" t="s">
        <v>1043</v>
      </c>
      <c r="C1876" s="28" t="s">
        <v>2712</v>
      </c>
      <c r="D1876" s="438" t="s">
        <v>6810</v>
      </c>
      <c r="E1876" s="361" t="str">
        <f t="shared" ca="1" si="106"/>
        <v>LOSS</v>
      </c>
      <c r="F1876" s="28"/>
      <c r="G1876" s="28" t="s">
        <v>9108</v>
      </c>
      <c r="H1876" s="28" t="s">
        <v>261</v>
      </c>
      <c r="I1876" s="361" t="s">
        <v>243</v>
      </c>
      <c r="J1876" s="28" t="s">
        <v>9109</v>
      </c>
      <c r="K1876" s="38" t="s">
        <v>9110</v>
      </c>
      <c r="L1876" s="53">
        <v>0.995</v>
      </c>
      <c r="M1876" s="27" t="s">
        <v>329</v>
      </c>
      <c r="N1876" s="27" t="s">
        <v>417</v>
      </c>
      <c r="O1876" s="56"/>
      <c r="P1876" s="31">
        <f>2545455*12</f>
        <v>30545460</v>
      </c>
      <c r="Q1876" s="31"/>
      <c r="R1876" s="56"/>
      <c r="S1876" s="100">
        <f>2500000*12</f>
        <v>30000000</v>
      </c>
      <c r="T1876" s="34"/>
      <c r="U1876" s="334">
        <v>45474</v>
      </c>
      <c r="V1876" s="334">
        <v>45838</v>
      </c>
      <c r="W1876" s="27" t="s">
        <v>250</v>
      </c>
      <c r="X1876" s="27"/>
      <c r="Y1876" s="34">
        <f t="shared" ca="1" si="108"/>
        <v>46290</v>
      </c>
      <c r="Z1876" s="35">
        <f t="shared" ca="1" si="102"/>
        <v>-452</v>
      </c>
      <c r="AA1876" s="27">
        <v>6</v>
      </c>
      <c r="AB1876" s="27">
        <v>2025</v>
      </c>
      <c r="AC1876" s="28" t="s">
        <v>9111</v>
      </c>
      <c r="AD1876" s="28" t="s">
        <v>9112</v>
      </c>
      <c r="AE1876" s="47">
        <v>4500023316</v>
      </c>
      <c r="AF1876" s="52" t="s">
        <v>471</v>
      </c>
      <c r="AG1876" s="29" t="s">
        <v>8922</v>
      </c>
      <c r="AH1876" s="160"/>
      <c r="AI1876" s="27"/>
      <c r="AJ1876" s="27"/>
      <c r="AK1876" s="27"/>
      <c r="AL1876" s="27"/>
      <c r="AM1876" s="27"/>
      <c r="AN1876" s="27"/>
      <c r="AO1876" s="27"/>
      <c r="AP1876" s="27">
        <v>359</v>
      </c>
      <c r="AQ1876" s="27"/>
      <c r="AR1876" s="504"/>
      <c r="AS1876" s="332"/>
      <c r="AT1876" s="160"/>
    </row>
    <row r="1877" spans="1:46" ht="21.75" hidden="1" customHeight="1">
      <c r="A1877" s="331">
        <v>1876</v>
      </c>
      <c r="B1877" s="28" t="s">
        <v>2354</v>
      </c>
      <c r="C1877" s="28" t="s">
        <v>1804</v>
      </c>
      <c r="D1877" s="437" t="s">
        <v>6810</v>
      </c>
      <c r="E1877" s="361" t="str">
        <f t="shared" ca="1" si="106"/>
        <v>LOSS</v>
      </c>
      <c r="F1877" s="28"/>
      <c r="G1877" s="28" t="s">
        <v>9113</v>
      </c>
      <c r="H1877" s="28" t="s">
        <v>261</v>
      </c>
      <c r="I1877" s="361" t="s">
        <v>243</v>
      </c>
      <c r="J1877" s="28" t="s">
        <v>6847</v>
      </c>
      <c r="K1877" s="38" t="s">
        <v>9114</v>
      </c>
      <c r="L1877" s="53">
        <v>0.995</v>
      </c>
      <c r="M1877" s="27" t="s">
        <v>365</v>
      </c>
      <c r="N1877" s="27" t="s">
        <v>494</v>
      </c>
      <c r="O1877" s="56"/>
      <c r="P1877" s="31">
        <f>6850000*12</f>
        <v>82200000</v>
      </c>
      <c r="Q1877" s="31"/>
      <c r="R1877" s="56"/>
      <c r="S1877" s="100">
        <f>7000000*12</f>
        <v>84000000</v>
      </c>
      <c r="T1877" s="34"/>
      <c r="U1877" s="334">
        <v>45474</v>
      </c>
      <c r="V1877" s="334">
        <v>45838</v>
      </c>
      <c r="W1877" s="27" t="s">
        <v>245</v>
      </c>
      <c r="X1877" s="27"/>
      <c r="Y1877" s="34">
        <f t="shared" ca="1" si="108"/>
        <v>46290</v>
      </c>
      <c r="Z1877" s="35">
        <f t="shared" ca="1" si="102"/>
        <v>-452</v>
      </c>
      <c r="AA1877" s="27">
        <v>6</v>
      </c>
      <c r="AB1877" s="27">
        <v>2025</v>
      </c>
      <c r="AC1877" s="28" t="s">
        <v>9111</v>
      </c>
      <c r="AD1877" s="28" t="s">
        <v>9115</v>
      </c>
      <c r="AE1877" s="47" t="s">
        <v>9116</v>
      </c>
      <c r="AF1877" s="52" t="s">
        <v>471</v>
      </c>
      <c r="AG1877" s="29" t="s">
        <v>8922</v>
      </c>
      <c r="AH1877" s="160"/>
      <c r="AI1877" s="27"/>
      <c r="AJ1877" s="27"/>
      <c r="AK1877" s="27"/>
      <c r="AL1877" s="27"/>
      <c r="AM1877" s="27"/>
      <c r="AN1877" s="27"/>
      <c r="AO1877" s="27"/>
      <c r="AP1877" s="27">
        <v>354</v>
      </c>
      <c r="AQ1877" s="27"/>
      <c r="AR1877" s="504"/>
      <c r="AS1877" s="332"/>
      <c r="AT1877" s="160"/>
    </row>
    <row r="1878" spans="1:46" ht="21.75" hidden="1" customHeight="1">
      <c r="A1878" s="331">
        <v>1877</v>
      </c>
      <c r="B1878" s="28" t="s">
        <v>2354</v>
      </c>
      <c r="C1878" s="28" t="s">
        <v>6830</v>
      </c>
      <c r="D1878" s="438" t="s">
        <v>6810</v>
      </c>
      <c r="E1878" s="361" t="str">
        <f t="shared" ca="1" si="106"/>
        <v>LOSS</v>
      </c>
      <c r="F1878" s="29" t="s">
        <v>6831</v>
      </c>
      <c r="G1878" s="28" t="s">
        <v>6832</v>
      </c>
      <c r="H1878" s="28" t="s">
        <v>261</v>
      </c>
      <c r="I1878" s="361" t="s">
        <v>243</v>
      </c>
      <c r="J1878" s="28" t="s">
        <v>9117</v>
      </c>
      <c r="K1878" s="36" t="s">
        <v>6834</v>
      </c>
      <c r="L1878" s="60">
        <v>0.995</v>
      </c>
      <c r="M1878" s="27" t="s">
        <v>329</v>
      </c>
      <c r="N1878" s="27" t="s">
        <v>6835</v>
      </c>
      <c r="O1878" s="56"/>
      <c r="P1878" s="31">
        <f>3000000*12</f>
        <v>36000000</v>
      </c>
      <c r="Q1878" s="31"/>
      <c r="R1878" s="56"/>
      <c r="S1878" s="32">
        <f>1200000*12</f>
        <v>14400000</v>
      </c>
      <c r="T1878" s="33"/>
      <c r="U1878" s="334">
        <v>45474</v>
      </c>
      <c r="V1878" s="334">
        <v>45838</v>
      </c>
      <c r="W1878" s="27" t="s">
        <v>250</v>
      </c>
      <c r="X1878" s="27"/>
      <c r="Y1878" s="34">
        <f t="shared" ca="1" si="108"/>
        <v>46290</v>
      </c>
      <c r="Z1878" s="35">
        <f t="shared" ca="1" si="102"/>
        <v>-452</v>
      </c>
      <c r="AA1878" s="27">
        <f t="shared" ref="AA1878:AA1893" si="109">MONTH(V1878)</f>
        <v>6</v>
      </c>
      <c r="AB1878" s="27">
        <f t="shared" ref="AB1878:AB1892" si="110">YEAR(V1878)</f>
        <v>2025</v>
      </c>
      <c r="AC1878" s="28" t="s">
        <v>9118</v>
      </c>
      <c r="AD1878" s="28" t="s">
        <v>9119</v>
      </c>
      <c r="AE1878" s="47" t="s">
        <v>9120</v>
      </c>
      <c r="AF1878" s="27" t="s">
        <v>471</v>
      </c>
      <c r="AG1878" s="29" t="s">
        <v>8922</v>
      </c>
      <c r="AH1878" s="160"/>
      <c r="AI1878" s="27"/>
      <c r="AJ1878" s="27"/>
      <c r="AK1878" s="27"/>
      <c r="AL1878" s="27"/>
      <c r="AM1878" s="27"/>
      <c r="AN1878" s="27"/>
      <c r="AO1878" s="27"/>
      <c r="AP1878" s="27">
        <v>138</v>
      </c>
      <c r="AQ1878" s="27"/>
      <c r="AR1878" s="504"/>
      <c r="AS1878" s="332"/>
      <c r="AT1878" s="160"/>
    </row>
    <row r="1879" spans="1:46" ht="21.75" hidden="1" customHeight="1">
      <c r="A1879" s="331">
        <v>1878</v>
      </c>
      <c r="B1879" s="28" t="s">
        <v>2354</v>
      </c>
      <c r="C1879" s="28" t="s">
        <v>6859</v>
      </c>
      <c r="D1879" s="437" t="s">
        <v>6810</v>
      </c>
      <c r="E1879" s="361" t="str">
        <f t="shared" ca="1" si="106"/>
        <v>LOSS</v>
      </c>
      <c r="F1879" s="29" t="s">
        <v>9121</v>
      </c>
      <c r="G1879" s="28" t="s">
        <v>9122</v>
      </c>
      <c r="H1879" s="28" t="s">
        <v>261</v>
      </c>
      <c r="I1879" s="361" t="s">
        <v>243</v>
      </c>
      <c r="J1879" s="28" t="s">
        <v>6861</v>
      </c>
      <c r="K1879" s="63">
        <v>111205023926</v>
      </c>
      <c r="L1879" s="53">
        <v>0.995</v>
      </c>
      <c r="M1879" s="27" t="s">
        <v>329</v>
      </c>
      <c r="N1879" s="27" t="s">
        <v>417</v>
      </c>
      <c r="O1879" s="56"/>
      <c r="P1879" s="31">
        <f>3600000*12</f>
        <v>43200000</v>
      </c>
      <c r="Q1879" s="31"/>
      <c r="R1879" s="56"/>
      <c r="S1879" s="32">
        <f>1500000*12</f>
        <v>18000000</v>
      </c>
      <c r="T1879" s="33"/>
      <c r="U1879" s="334">
        <v>45560</v>
      </c>
      <c r="V1879" s="334">
        <v>45924</v>
      </c>
      <c r="W1879" s="27" t="s">
        <v>245</v>
      </c>
      <c r="X1879" s="27"/>
      <c r="Y1879" s="34">
        <f t="shared" ca="1" si="108"/>
        <v>46290</v>
      </c>
      <c r="Z1879" s="35">
        <f t="shared" ca="1" si="102"/>
        <v>-366</v>
      </c>
      <c r="AA1879" s="27">
        <f t="shared" si="109"/>
        <v>9</v>
      </c>
      <c r="AB1879" s="27">
        <f t="shared" si="110"/>
        <v>2025</v>
      </c>
      <c r="AC1879" s="28" t="s">
        <v>9123</v>
      </c>
      <c r="AD1879" s="28" t="s">
        <v>9124</v>
      </c>
      <c r="AE1879" s="47" t="s">
        <v>9125</v>
      </c>
      <c r="AF1879" s="27" t="s">
        <v>471</v>
      </c>
      <c r="AG1879" s="29" t="s">
        <v>8922</v>
      </c>
      <c r="AH1879" s="160"/>
      <c r="AI1879" s="27"/>
      <c r="AJ1879" s="27"/>
      <c r="AK1879" s="27"/>
      <c r="AL1879" s="27"/>
      <c r="AM1879" s="27"/>
      <c r="AN1879" s="27"/>
      <c r="AO1879" s="27"/>
      <c r="AP1879" s="27">
        <v>241</v>
      </c>
      <c r="AQ1879" s="27"/>
      <c r="AR1879" s="504"/>
      <c r="AS1879" s="332"/>
      <c r="AT1879" s="160"/>
    </row>
    <row r="1880" spans="1:46" ht="21.75" hidden="1" customHeight="1">
      <c r="A1880" s="331">
        <v>1879</v>
      </c>
      <c r="B1880" s="28" t="s">
        <v>2200</v>
      </c>
      <c r="C1880" s="28" t="s">
        <v>6881</v>
      </c>
      <c r="D1880" s="438" t="s">
        <v>6868</v>
      </c>
      <c r="E1880" s="361" t="str">
        <f t="shared" ca="1" si="106"/>
        <v>LOSS</v>
      </c>
      <c r="F1880" s="29" t="s">
        <v>6882</v>
      </c>
      <c r="G1880" s="28" t="s">
        <v>6883</v>
      </c>
      <c r="H1880" s="28" t="s">
        <v>261</v>
      </c>
      <c r="I1880" s="361" t="s">
        <v>243</v>
      </c>
      <c r="J1880" s="28" t="s">
        <v>2621</v>
      </c>
      <c r="K1880" s="38" t="s">
        <v>9126</v>
      </c>
      <c r="L1880" s="51">
        <v>0.995</v>
      </c>
      <c r="M1880" s="27" t="s">
        <v>329</v>
      </c>
      <c r="N1880" s="27" t="s">
        <v>6885</v>
      </c>
      <c r="O1880" s="56"/>
      <c r="P1880" s="61">
        <f>4700000*12</f>
        <v>56400000</v>
      </c>
      <c r="Q1880" s="61"/>
      <c r="R1880" s="56"/>
      <c r="S1880" s="33">
        <f>3600000*12</f>
        <v>43200000</v>
      </c>
      <c r="T1880" s="33"/>
      <c r="U1880" s="334">
        <v>45506</v>
      </c>
      <c r="V1880" s="334">
        <v>45870</v>
      </c>
      <c r="W1880" s="27" t="s">
        <v>250</v>
      </c>
      <c r="X1880" s="27"/>
      <c r="Y1880" s="34">
        <f t="shared" ca="1" si="108"/>
        <v>46290</v>
      </c>
      <c r="Z1880" s="35">
        <f t="shared" ref="Z1880:Z1943" ca="1" si="111">V1880-Y1880</f>
        <v>-420</v>
      </c>
      <c r="AA1880" s="27">
        <f t="shared" si="109"/>
        <v>8</v>
      </c>
      <c r="AB1880" s="27">
        <f t="shared" si="110"/>
        <v>2025</v>
      </c>
      <c r="AC1880" s="28" t="s">
        <v>9127</v>
      </c>
      <c r="AD1880" s="28" t="s">
        <v>9128</v>
      </c>
      <c r="AE1880" s="47" t="s">
        <v>9129</v>
      </c>
      <c r="AF1880" s="27" t="s">
        <v>471</v>
      </c>
      <c r="AG1880" s="29"/>
      <c r="AH1880" s="160"/>
      <c r="AI1880" s="27"/>
      <c r="AJ1880" s="27"/>
      <c r="AK1880" s="27"/>
      <c r="AL1880" s="27"/>
      <c r="AM1880" s="27"/>
      <c r="AN1880" s="27"/>
      <c r="AO1880" s="27"/>
      <c r="AP1880" s="27">
        <v>355</v>
      </c>
      <c r="AQ1880" s="27"/>
      <c r="AR1880" s="504"/>
      <c r="AS1880" s="332"/>
      <c r="AT1880" s="160"/>
    </row>
    <row r="1881" spans="1:46" ht="21.75" hidden="1" customHeight="1">
      <c r="A1881" s="331">
        <v>1880</v>
      </c>
      <c r="B1881" s="28" t="s">
        <v>2615</v>
      </c>
      <c r="C1881" s="28" t="s">
        <v>2616</v>
      </c>
      <c r="D1881" s="437" t="s">
        <v>6750</v>
      </c>
      <c r="E1881" s="361" t="str">
        <f t="shared" ca="1" si="106"/>
        <v>LOSS</v>
      </c>
      <c r="F1881" s="28" t="s">
        <v>115</v>
      </c>
      <c r="G1881" s="28" t="s">
        <v>9130</v>
      </c>
      <c r="H1881" s="28" t="s">
        <v>261</v>
      </c>
      <c r="I1881" s="361" t="s">
        <v>243</v>
      </c>
      <c r="J1881" s="28" t="s">
        <v>9131</v>
      </c>
      <c r="K1881" s="38" t="s">
        <v>9132</v>
      </c>
      <c r="L1881" s="51">
        <v>0.995</v>
      </c>
      <c r="M1881" s="27" t="s">
        <v>353</v>
      </c>
      <c r="N1881" s="27" t="s">
        <v>6762</v>
      </c>
      <c r="O1881" s="56"/>
      <c r="P1881" s="61">
        <f>32004800*12</f>
        <v>384057600</v>
      </c>
      <c r="Q1881" s="61"/>
      <c r="R1881" s="56"/>
      <c r="S1881" s="33">
        <f>17500000*12</f>
        <v>210000000</v>
      </c>
      <c r="T1881" s="33"/>
      <c r="U1881" s="334">
        <v>45526</v>
      </c>
      <c r="V1881" s="334">
        <v>45890</v>
      </c>
      <c r="W1881" s="27" t="s">
        <v>250</v>
      </c>
      <c r="X1881" s="27"/>
      <c r="Y1881" s="34">
        <f t="shared" ca="1" si="108"/>
        <v>46290</v>
      </c>
      <c r="Z1881" s="35">
        <f t="shared" ca="1" si="111"/>
        <v>-400</v>
      </c>
      <c r="AA1881" s="27">
        <f t="shared" si="109"/>
        <v>8</v>
      </c>
      <c r="AB1881" s="27">
        <f t="shared" si="110"/>
        <v>2025</v>
      </c>
      <c r="AC1881" s="28" t="s">
        <v>9133</v>
      </c>
      <c r="AD1881" s="28" t="s">
        <v>9134</v>
      </c>
      <c r="AE1881" s="47" t="s">
        <v>9135</v>
      </c>
      <c r="AF1881" s="27" t="s">
        <v>471</v>
      </c>
      <c r="AG1881" s="29" t="s">
        <v>8837</v>
      </c>
      <c r="AH1881" s="174" t="s">
        <v>6757</v>
      </c>
      <c r="AI1881" s="27"/>
      <c r="AJ1881" s="27"/>
      <c r="AK1881" s="27"/>
      <c r="AL1881" s="27"/>
      <c r="AM1881" s="27"/>
      <c r="AN1881" s="27"/>
      <c r="AO1881" s="27"/>
      <c r="AP1881" s="27">
        <v>360</v>
      </c>
      <c r="AQ1881" s="27"/>
      <c r="AR1881" s="504"/>
      <c r="AS1881" s="332"/>
      <c r="AT1881" s="160"/>
    </row>
    <row r="1882" spans="1:46" ht="21.75" hidden="1" customHeight="1">
      <c r="A1882" s="331">
        <v>1881</v>
      </c>
      <c r="B1882" s="28" t="s">
        <v>9136</v>
      </c>
      <c r="C1882" s="28" t="s">
        <v>670</v>
      </c>
      <c r="D1882" s="438" t="s">
        <v>6933</v>
      </c>
      <c r="E1882" s="361" t="str">
        <f t="shared" ca="1" si="106"/>
        <v>LOSS</v>
      </c>
      <c r="F1882" s="28" t="s">
        <v>6934</v>
      </c>
      <c r="G1882" s="28" t="s">
        <v>6935</v>
      </c>
      <c r="H1882" s="28" t="s">
        <v>261</v>
      </c>
      <c r="I1882" s="361" t="s">
        <v>243</v>
      </c>
      <c r="J1882" s="28" t="s">
        <v>6936</v>
      </c>
      <c r="K1882" s="38" t="s">
        <v>9137</v>
      </c>
      <c r="L1882" s="53" t="s">
        <v>4749</v>
      </c>
      <c r="M1882" s="27" t="s">
        <v>365</v>
      </c>
      <c r="N1882" s="27" t="s">
        <v>362</v>
      </c>
      <c r="O1882" s="56"/>
      <c r="P1882" s="52">
        <f>18500000*12</f>
        <v>222000000</v>
      </c>
      <c r="Q1882" s="52"/>
      <c r="R1882" s="56"/>
      <c r="S1882" s="32">
        <f>10500000*12</f>
        <v>126000000</v>
      </c>
      <c r="T1882" s="33"/>
      <c r="U1882" s="334">
        <v>45544</v>
      </c>
      <c r="V1882" s="334">
        <v>45908</v>
      </c>
      <c r="W1882" s="27" t="s">
        <v>250</v>
      </c>
      <c r="X1882" s="27"/>
      <c r="Y1882" s="34">
        <f t="shared" ca="1" si="108"/>
        <v>46290</v>
      </c>
      <c r="Z1882" s="35">
        <f t="shared" ca="1" si="111"/>
        <v>-382</v>
      </c>
      <c r="AA1882" s="27">
        <f t="shared" si="109"/>
        <v>9</v>
      </c>
      <c r="AB1882" s="27">
        <f t="shared" si="110"/>
        <v>2025</v>
      </c>
      <c r="AC1882" s="28" t="s">
        <v>9138</v>
      </c>
      <c r="AD1882" s="28" t="s">
        <v>9139</v>
      </c>
      <c r="AE1882" s="27">
        <v>4500023263</v>
      </c>
      <c r="AF1882" s="27" t="s">
        <v>471</v>
      </c>
      <c r="AG1882" s="29" t="s">
        <v>9140</v>
      </c>
      <c r="AH1882" s="29" t="s">
        <v>6939</v>
      </c>
      <c r="AI1882" s="27"/>
      <c r="AJ1882" s="27"/>
      <c r="AK1882" s="27"/>
      <c r="AL1882" s="27"/>
      <c r="AM1882" s="27"/>
      <c r="AN1882" s="27"/>
      <c r="AO1882" s="27"/>
      <c r="AP1882" s="27">
        <v>352</v>
      </c>
      <c r="AQ1882" s="27"/>
      <c r="AR1882" s="504"/>
      <c r="AS1882" s="332"/>
      <c r="AT1882" s="160"/>
    </row>
    <row r="1883" spans="1:46" ht="21.75" hidden="1" customHeight="1">
      <c r="A1883" s="331">
        <v>1882</v>
      </c>
      <c r="B1883" s="28" t="s">
        <v>628</v>
      </c>
      <c r="C1883" s="28" t="s">
        <v>938</v>
      </c>
      <c r="D1883" s="437" t="s">
        <v>7640</v>
      </c>
      <c r="E1883" s="361" t="str">
        <f t="shared" ca="1" si="106"/>
        <v>LOSS</v>
      </c>
      <c r="F1883" s="28" t="s">
        <v>9141</v>
      </c>
      <c r="G1883" s="28" t="s">
        <v>7680</v>
      </c>
      <c r="H1883" s="28" t="s">
        <v>261</v>
      </c>
      <c r="I1883" s="361" t="s">
        <v>243</v>
      </c>
      <c r="J1883" s="28" t="s">
        <v>7095</v>
      </c>
      <c r="K1883" s="38" t="s">
        <v>7682</v>
      </c>
      <c r="L1883" s="53" t="s">
        <v>4749</v>
      </c>
      <c r="M1883" s="27" t="s">
        <v>365</v>
      </c>
      <c r="N1883" s="27" t="s">
        <v>494</v>
      </c>
      <c r="O1883" s="56"/>
      <c r="P1883" s="52">
        <f>20315000*12</f>
        <v>243780000</v>
      </c>
      <c r="Q1883" s="52"/>
      <c r="R1883" s="56"/>
      <c r="S1883" s="32">
        <f>5040000*12</f>
        <v>60480000</v>
      </c>
      <c r="T1883" s="33"/>
      <c r="U1883" s="334">
        <v>45513</v>
      </c>
      <c r="V1883" s="334">
        <v>45877</v>
      </c>
      <c r="W1883" s="27" t="s">
        <v>250</v>
      </c>
      <c r="X1883" s="27"/>
      <c r="Y1883" s="34">
        <f t="shared" ca="1" si="108"/>
        <v>46290</v>
      </c>
      <c r="Z1883" s="35">
        <f t="shared" ca="1" si="111"/>
        <v>-413</v>
      </c>
      <c r="AA1883" s="27">
        <f t="shared" si="109"/>
        <v>8</v>
      </c>
      <c r="AB1883" s="27">
        <f t="shared" si="110"/>
        <v>2025</v>
      </c>
      <c r="AC1883" s="28" t="s">
        <v>9142</v>
      </c>
      <c r="AD1883" s="28" t="s">
        <v>9143</v>
      </c>
      <c r="AE1883" s="27">
        <v>4500023262</v>
      </c>
      <c r="AF1883" s="27" t="s">
        <v>471</v>
      </c>
      <c r="AG1883" s="160" t="s">
        <v>633</v>
      </c>
      <c r="AH1883" s="174" t="s">
        <v>634</v>
      </c>
      <c r="AI1883" s="27"/>
      <c r="AJ1883" s="27"/>
      <c r="AK1883" s="27"/>
      <c r="AL1883" s="27"/>
      <c r="AM1883" s="27"/>
      <c r="AN1883" s="27"/>
      <c r="AO1883" s="27"/>
      <c r="AP1883" s="27">
        <v>353</v>
      </c>
      <c r="AQ1883" s="27"/>
      <c r="AR1883" s="504"/>
      <c r="AS1883" s="332"/>
      <c r="AT1883" s="160"/>
    </row>
    <row r="1884" spans="1:46" ht="21.75" hidden="1" customHeight="1">
      <c r="A1884" s="331">
        <v>1883</v>
      </c>
      <c r="B1884" s="28" t="s">
        <v>628</v>
      </c>
      <c r="C1884" s="28" t="s">
        <v>7675</v>
      </c>
      <c r="D1884" s="438" t="s">
        <v>7640</v>
      </c>
      <c r="E1884" s="361" t="str">
        <f t="shared" ca="1" si="106"/>
        <v>LOSS</v>
      </c>
      <c r="F1884" s="28"/>
      <c r="G1884" s="28" t="s">
        <v>7676</v>
      </c>
      <c r="H1884" s="28" t="s">
        <v>261</v>
      </c>
      <c r="I1884" s="361" t="s">
        <v>243</v>
      </c>
      <c r="J1884" s="28" t="s">
        <v>2586</v>
      </c>
      <c r="K1884" s="38" t="s">
        <v>7677</v>
      </c>
      <c r="L1884" s="53" t="s">
        <v>4749</v>
      </c>
      <c r="M1884" s="27" t="s">
        <v>365</v>
      </c>
      <c r="N1884" s="27" t="s">
        <v>7678</v>
      </c>
      <c r="O1884" s="56"/>
      <c r="P1884" s="52">
        <f>10750000*12</f>
        <v>129000000</v>
      </c>
      <c r="Q1884" s="52"/>
      <c r="R1884" s="56"/>
      <c r="S1884" s="32">
        <f>7980000*12</f>
        <v>95760000</v>
      </c>
      <c r="T1884" s="33"/>
      <c r="U1884" s="334">
        <v>45493</v>
      </c>
      <c r="V1884" s="334">
        <v>45857</v>
      </c>
      <c r="W1884" s="27" t="s">
        <v>250</v>
      </c>
      <c r="X1884" s="27"/>
      <c r="Y1884" s="34">
        <f t="shared" ca="1" si="108"/>
        <v>46290</v>
      </c>
      <c r="Z1884" s="35">
        <f t="shared" ca="1" si="111"/>
        <v>-433</v>
      </c>
      <c r="AA1884" s="27">
        <f t="shared" si="109"/>
        <v>7</v>
      </c>
      <c r="AB1884" s="27">
        <f t="shared" si="110"/>
        <v>2025</v>
      </c>
      <c r="AC1884" s="28" t="s">
        <v>9144</v>
      </c>
      <c r="AD1884" s="28" t="s">
        <v>9145</v>
      </c>
      <c r="AE1884" s="27">
        <v>4500023116</v>
      </c>
      <c r="AF1884" s="27" t="s">
        <v>471</v>
      </c>
      <c r="AG1884" s="160" t="s">
        <v>633</v>
      </c>
      <c r="AH1884" s="174" t="s">
        <v>634</v>
      </c>
      <c r="AI1884" s="27"/>
      <c r="AJ1884" s="27"/>
      <c r="AK1884" s="27"/>
      <c r="AL1884" s="27"/>
      <c r="AM1884" s="27"/>
      <c r="AN1884" s="27"/>
      <c r="AO1884" s="27"/>
      <c r="AP1884" s="27">
        <v>235</v>
      </c>
      <c r="AQ1884" s="27"/>
      <c r="AR1884" s="504"/>
      <c r="AS1884" s="332"/>
      <c r="AT1884" s="160"/>
    </row>
    <row r="1885" spans="1:46" ht="21.75" hidden="1" customHeight="1">
      <c r="A1885" s="331">
        <v>1884</v>
      </c>
      <c r="B1885" s="28" t="s">
        <v>1160</v>
      </c>
      <c r="C1885" s="28" t="s">
        <v>1252</v>
      </c>
      <c r="D1885" s="437" t="s">
        <v>4715</v>
      </c>
      <c r="E1885" s="361" t="str">
        <f t="shared" ca="1" si="106"/>
        <v>LOSS</v>
      </c>
      <c r="F1885" s="28"/>
      <c r="G1885" s="28" t="s">
        <v>9146</v>
      </c>
      <c r="H1885" s="28" t="s">
        <v>261</v>
      </c>
      <c r="I1885" s="361" t="s">
        <v>243</v>
      </c>
      <c r="J1885" s="28" t="s">
        <v>1163</v>
      </c>
      <c r="K1885" s="38" t="s">
        <v>4741</v>
      </c>
      <c r="L1885" s="53">
        <v>0.995</v>
      </c>
      <c r="M1885" s="27" t="s">
        <v>353</v>
      </c>
      <c r="N1885" s="27" t="s">
        <v>417</v>
      </c>
      <c r="O1885" s="56"/>
      <c r="P1885" s="52">
        <f>3000000*12</f>
        <v>36000000</v>
      </c>
      <c r="Q1885" s="52"/>
      <c r="R1885" s="56"/>
      <c r="S1885" s="32">
        <f>605000*12</f>
        <v>7260000</v>
      </c>
      <c r="T1885" s="33"/>
      <c r="U1885" s="334">
        <v>45523</v>
      </c>
      <c r="V1885" s="334">
        <v>45887</v>
      </c>
      <c r="W1885" s="27" t="s">
        <v>250</v>
      </c>
      <c r="X1885" s="27"/>
      <c r="Y1885" s="34">
        <f t="shared" ca="1" si="108"/>
        <v>46290</v>
      </c>
      <c r="Z1885" s="35">
        <f t="shared" ca="1" si="111"/>
        <v>-403</v>
      </c>
      <c r="AA1885" s="27">
        <f t="shared" si="109"/>
        <v>8</v>
      </c>
      <c r="AB1885" s="27">
        <f t="shared" si="110"/>
        <v>2025</v>
      </c>
      <c r="AC1885" s="28" t="s">
        <v>9147</v>
      </c>
      <c r="AD1885" s="28" t="s">
        <v>9148</v>
      </c>
      <c r="AE1885" s="27">
        <v>4500022922</v>
      </c>
      <c r="AF1885" s="27" t="s">
        <v>471</v>
      </c>
      <c r="AG1885" s="160" t="s">
        <v>9149</v>
      </c>
      <c r="AH1885" s="29"/>
      <c r="AI1885" s="27"/>
      <c r="AJ1885" s="27"/>
      <c r="AK1885" s="27"/>
      <c r="AL1885" s="27"/>
      <c r="AM1885" s="27"/>
      <c r="AN1885" s="27"/>
      <c r="AO1885" s="27"/>
      <c r="AP1885" s="27">
        <v>195</v>
      </c>
      <c r="AQ1885" s="27"/>
      <c r="AR1885" s="504"/>
      <c r="AS1885" s="332"/>
      <c r="AT1885" s="160"/>
    </row>
    <row r="1886" spans="1:46" ht="21.75" hidden="1" customHeight="1">
      <c r="A1886" s="331">
        <v>1885</v>
      </c>
      <c r="B1886" s="28" t="s">
        <v>3272</v>
      </c>
      <c r="C1886" s="28" t="s">
        <v>2868</v>
      </c>
      <c r="D1886" s="438" t="s">
        <v>7161</v>
      </c>
      <c r="E1886" s="361" t="str">
        <f t="shared" ca="1" si="106"/>
        <v>LOSS</v>
      </c>
      <c r="F1886" s="29"/>
      <c r="G1886" s="28" t="s">
        <v>7168</v>
      </c>
      <c r="H1886" s="28" t="s">
        <v>261</v>
      </c>
      <c r="I1886" s="361" t="s">
        <v>243</v>
      </c>
      <c r="J1886" s="28" t="s">
        <v>1837</v>
      </c>
      <c r="K1886" s="38" t="s">
        <v>7169</v>
      </c>
      <c r="L1886" s="27" t="s">
        <v>4749</v>
      </c>
      <c r="M1886" s="27" t="s">
        <v>329</v>
      </c>
      <c r="N1886" s="27" t="s">
        <v>389</v>
      </c>
      <c r="O1886" s="56"/>
      <c r="P1886" s="61">
        <f>41000000*12</f>
        <v>492000000</v>
      </c>
      <c r="Q1886" s="61"/>
      <c r="R1886" s="56"/>
      <c r="S1886" s="33">
        <v>120000003</v>
      </c>
      <c r="T1886" s="33"/>
      <c r="U1886" s="334">
        <v>45482</v>
      </c>
      <c r="V1886" s="334">
        <v>45846</v>
      </c>
      <c r="W1886" s="27" t="s">
        <v>250</v>
      </c>
      <c r="X1886" s="27"/>
      <c r="Y1886" s="34">
        <f t="shared" ca="1" si="108"/>
        <v>46290</v>
      </c>
      <c r="Z1886" s="35">
        <f t="shared" ca="1" si="111"/>
        <v>-444</v>
      </c>
      <c r="AA1886" s="27">
        <f t="shared" si="109"/>
        <v>7</v>
      </c>
      <c r="AB1886" s="27">
        <f t="shared" si="110"/>
        <v>2025</v>
      </c>
      <c r="AC1886" s="28" t="s">
        <v>9150</v>
      </c>
      <c r="AD1886" s="28" t="s">
        <v>9151</v>
      </c>
      <c r="AE1886" s="27">
        <v>4500022921</v>
      </c>
      <c r="AF1886" s="27" t="s">
        <v>471</v>
      </c>
      <c r="AG1886" s="160"/>
      <c r="AH1886" s="29" t="s">
        <v>7166</v>
      </c>
      <c r="AI1886" s="27"/>
      <c r="AJ1886" s="27"/>
      <c r="AK1886" s="27"/>
      <c r="AL1886" s="27"/>
      <c r="AM1886" s="27"/>
      <c r="AN1886" s="27"/>
      <c r="AO1886" s="27"/>
      <c r="AP1886" s="27">
        <v>196</v>
      </c>
      <c r="AQ1886" s="27"/>
      <c r="AR1886" s="504"/>
      <c r="AS1886" s="332"/>
      <c r="AT1886" s="160"/>
    </row>
    <row r="1887" spans="1:46" ht="21.75" hidden="1" customHeight="1">
      <c r="A1887" s="331">
        <v>1886</v>
      </c>
      <c r="B1887" s="361" t="s">
        <v>664</v>
      </c>
      <c r="C1887" s="28" t="s">
        <v>9152</v>
      </c>
      <c r="D1887" s="437" t="s">
        <v>7226</v>
      </c>
      <c r="E1887" s="361" t="str">
        <f t="shared" ca="1" si="106"/>
        <v>LOSS</v>
      </c>
      <c r="F1887" s="29"/>
      <c r="G1887" s="28" t="s">
        <v>9153</v>
      </c>
      <c r="H1887" s="29" t="s">
        <v>261</v>
      </c>
      <c r="I1887" s="361" t="s">
        <v>243</v>
      </c>
      <c r="J1887" s="28" t="s">
        <v>9154</v>
      </c>
      <c r="K1887" s="36" t="s">
        <v>9155</v>
      </c>
      <c r="L1887" s="60">
        <v>0.995</v>
      </c>
      <c r="M1887" s="27" t="s">
        <v>329</v>
      </c>
      <c r="N1887" s="27" t="s">
        <v>6885</v>
      </c>
      <c r="O1887" s="56"/>
      <c r="P1887" s="31">
        <f>883894*12</f>
        <v>10606728</v>
      </c>
      <c r="Q1887" s="31"/>
      <c r="R1887" s="56">
        <v>5000000</v>
      </c>
      <c r="S1887" s="100">
        <f>2000000*12</f>
        <v>24000000</v>
      </c>
      <c r="T1887" s="34"/>
      <c r="U1887" s="334">
        <v>45471</v>
      </c>
      <c r="V1887" s="334">
        <v>45835</v>
      </c>
      <c r="W1887" s="27" t="s">
        <v>250</v>
      </c>
      <c r="X1887" s="27"/>
      <c r="Y1887" s="34">
        <f t="shared" ca="1" si="108"/>
        <v>46290</v>
      </c>
      <c r="Z1887" s="35">
        <f t="shared" ca="1" si="111"/>
        <v>-455</v>
      </c>
      <c r="AA1887" s="27">
        <f t="shared" si="109"/>
        <v>6</v>
      </c>
      <c r="AB1887" s="27">
        <f t="shared" si="110"/>
        <v>2025</v>
      </c>
      <c r="AC1887" s="28" t="s">
        <v>3371</v>
      </c>
      <c r="AD1887" s="28" t="s">
        <v>9156</v>
      </c>
      <c r="AE1887" s="47" t="s">
        <v>9157</v>
      </c>
      <c r="AF1887" s="27" t="s">
        <v>471</v>
      </c>
      <c r="AG1887" s="160"/>
      <c r="AH1887" s="29" t="s">
        <v>7239</v>
      </c>
      <c r="AI1887" s="27"/>
      <c r="AJ1887" s="27"/>
      <c r="AK1887" s="27"/>
      <c r="AL1887" s="27"/>
      <c r="AM1887" s="27"/>
      <c r="AN1887" s="27"/>
      <c r="AO1887" s="27"/>
      <c r="AP1887" s="27">
        <v>326</v>
      </c>
      <c r="AQ1887" s="27"/>
      <c r="AR1887" s="504"/>
      <c r="AS1887" s="332"/>
      <c r="AT1887" s="160"/>
    </row>
    <row r="1888" spans="1:46" ht="21.75" hidden="1" customHeight="1">
      <c r="A1888" s="331">
        <v>1887</v>
      </c>
      <c r="B1888" s="361" t="s">
        <v>664</v>
      </c>
      <c r="C1888" s="28" t="s">
        <v>9158</v>
      </c>
      <c r="D1888" s="438" t="s">
        <v>7226</v>
      </c>
      <c r="E1888" s="361" t="str">
        <f t="shared" ca="1" si="106"/>
        <v>LOSS</v>
      </c>
      <c r="F1888" s="29"/>
      <c r="G1888" s="28" t="s">
        <v>9159</v>
      </c>
      <c r="H1888" s="29" t="s">
        <v>261</v>
      </c>
      <c r="I1888" s="361" t="s">
        <v>243</v>
      </c>
      <c r="J1888" s="28" t="s">
        <v>9160</v>
      </c>
      <c r="K1888" s="36" t="s">
        <v>9161</v>
      </c>
      <c r="L1888" s="60">
        <v>0.995</v>
      </c>
      <c r="M1888" s="27" t="s">
        <v>329</v>
      </c>
      <c r="N1888" s="27" t="s">
        <v>6885</v>
      </c>
      <c r="O1888" s="56"/>
      <c r="P1888" s="31">
        <f>883894*12</f>
        <v>10606728</v>
      </c>
      <c r="Q1888" s="31"/>
      <c r="R1888" s="56">
        <v>5000000</v>
      </c>
      <c r="S1888" s="100">
        <f>2000000*12</f>
        <v>24000000</v>
      </c>
      <c r="T1888" s="34"/>
      <c r="U1888" s="334">
        <v>45456</v>
      </c>
      <c r="V1888" s="334">
        <v>45820</v>
      </c>
      <c r="W1888" s="27" t="s">
        <v>250</v>
      </c>
      <c r="X1888" s="27"/>
      <c r="Y1888" s="34">
        <f t="shared" ca="1" si="108"/>
        <v>46290</v>
      </c>
      <c r="Z1888" s="35">
        <f t="shared" ca="1" si="111"/>
        <v>-470</v>
      </c>
      <c r="AA1888" s="27">
        <f t="shared" si="109"/>
        <v>6</v>
      </c>
      <c r="AB1888" s="27">
        <f t="shared" si="110"/>
        <v>2025</v>
      </c>
      <c r="AC1888" s="28" t="s">
        <v>3371</v>
      </c>
      <c r="AD1888" s="28" t="s">
        <v>9162</v>
      </c>
      <c r="AE1888" s="47" t="s">
        <v>9163</v>
      </c>
      <c r="AF1888" s="27" t="s">
        <v>471</v>
      </c>
      <c r="AG1888" s="160"/>
      <c r="AH1888" s="29" t="s">
        <v>7239</v>
      </c>
      <c r="AI1888" s="27"/>
      <c r="AJ1888" s="27"/>
      <c r="AK1888" s="27"/>
      <c r="AL1888" s="27"/>
      <c r="AM1888" s="27"/>
      <c r="AN1888" s="27"/>
      <c r="AO1888" s="27"/>
      <c r="AP1888" s="27">
        <v>325</v>
      </c>
      <c r="AQ1888" s="27"/>
      <c r="AR1888" s="504"/>
      <c r="AS1888" s="332"/>
      <c r="AT1888" s="160"/>
    </row>
    <row r="1889" spans="1:46" ht="21.75" hidden="1" customHeight="1">
      <c r="A1889" s="331">
        <v>1888</v>
      </c>
      <c r="B1889" s="361" t="s">
        <v>664</v>
      </c>
      <c r="C1889" s="28" t="s">
        <v>9164</v>
      </c>
      <c r="D1889" s="437" t="s">
        <v>7226</v>
      </c>
      <c r="E1889" s="361" t="str">
        <f t="shared" ca="1" si="106"/>
        <v>LOSS</v>
      </c>
      <c r="F1889" s="29"/>
      <c r="G1889" s="28" t="s">
        <v>9165</v>
      </c>
      <c r="H1889" s="29" t="s">
        <v>261</v>
      </c>
      <c r="I1889" s="361" t="s">
        <v>243</v>
      </c>
      <c r="J1889" s="28" t="s">
        <v>9166</v>
      </c>
      <c r="K1889" s="36" t="s">
        <v>9167</v>
      </c>
      <c r="L1889" s="60">
        <v>0.995</v>
      </c>
      <c r="M1889" s="27" t="s">
        <v>329</v>
      </c>
      <c r="N1889" s="27" t="s">
        <v>6885</v>
      </c>
      <c r="O1889" s="56"/>
      <c r="P1889" s="31">
        <f>883894*12</f>
        <v>10606728</v>
      </c>
      <c r="Q1889" s="31"/>
      <c r="R1889" s="56">
        <v>5000000</v>
      </c>
      <c r="S1889" s="100">
        <f>2000000*12</f>
        <v>24000000</v>
      </c>
      <c r="T1889" s="34"/>
      <c r="U1889" s="334">
        <v>45469</v>
      </c>
      <c r="V1889" s="334">
        <v>45833</v>
      </c>
      <c r="W1889" s="27" t="s">
        <v>250</v>
      </c>
      <c r="X1889" s="27"/>
      <c r="Y1889" s="34">
        <f t="shared" ca="1" si="108"/>
        <v>46290</v>
      </c>
      <c r="Z1889" s="35">
        <f t="shared" ca="1" si="111"/>
        <v>-457</v>
      </c>
      <c r="AA1889" s="27">
        <f t="shared" si="109"/>
        <v>6</v>
      </c>
      <c r="AB1889" s="27">
        <f t="shared" si="110"/>
        <v>2025</v>
      </c>
      <c r="AC1889" s="28" t="s">
        <v>3371</v>
      </c>
      <c r="AD1889" s="28" t="s">
        <v>9168</v>
      </c>
      <c r="AE1889" s="47" t="s">
        <v>9169</v>
      </c>
      <c r="AF1889" s="27" t="s">
        <v>471</v>
      </c>
      <c r="AG1889" s="160"/>
      <c r="AH1889" s="29" t="s">
        <v>7239</v>
      </c>
      <c r="AI1889" s="27"/>
      <c r="AJ1889" s="27"/>
      <c r="AK1889" s="27"/>
      <c r="AL1889" s="27"/>
      <c r="AM1889" s="27"/>
      <c r="AN1889" s="27"/>
      <c r="AO1889" s="27"/>
      <c r="AP1889" s="27">
        <v>324</v>
      </c>
      <c r="AQ1889" s="27"/>
      <c r="AR1889" s="504"/>
      <c r="AS1889" s="332"/>
      <c r="AT1889" s="160"/>
    </row>
    <row r="1890" spans="1:46" ht="21.75" hidden="1" customHeight="1">
      <c r="A1890" s="331">
        <v>1889</v>
      </c>
      <c r="B1890" s="28" t="s">
        <v>9045</v>
      </c>
      <c r="C1890" s="28" t="s">
        <v>6722</v>
      </c>
      <c r="D1890" s="438" t="s">
        <v>6723</v>
      </c>
      <c r="E1890" s="361" t="str">
        <f t="shared" ca="1" si="106"/>
        <v>LOSS</v>
      </c>
      <c r="F1890" s="28" t="s">
        <v>9170</v>
      </c>
      <c r="G1890" s="28" t="s">
        <v>9171</v>
      </c>
      <c r="H1890" s="28" t="s">
        <v>261</v>
      </c>
      <c r="I1890" s="361" t="s">
        <v>243</v>
      </c>
      <c r="J1890" s="28" t="s">
        <v>2569</v>
      </c>
      <c r="K1890" s="38" t="s">
        <v>9172</v>
      </c>
      <c r="L1890" s="53">
        <v>0.995</v>
      </c>
      <c r="M1890" s="27" t="s">
        <v>365</v>
      </c>
      <c r="N1890" s="27" t="s">
        <v>6727</v>
      </c>
      <c r="O1890" s="56"/>
      <c r="P1890" s="52">
        <f>46400000*12</f>
        <v>556800000</v>
      </c>
      <c r="Q1890" s="52"/>
      <c r="R1890" s="56"/>
      <c r="S1890" s="32">
        <f>29400000*12</f>
        <v>352800000</v>
      </c>
      <c r="T1890" s="33"/>
      <c r="U1890" s="334">
        <v>45495</v>
      </c>
      <c r="V1890" s="334">
        <v>45859</v>
      </c>
      <c r="W1890" s="27" t="s">
        <v>250</v>
      </c>
      <c r="X1890" s="27"/>
      <c r="Y1890" s="34">
        <f t="shared" ca="1" si="108"/>
        <v>46290</v>
      </c>
      <c r="Z1890" s="35">
        <f t="shared" ca="1" si="111"/>
        <v>-431</v>
      </c>
      <c r="AA1890" s="27">
        <f t="shared" si="109"/>
        <v>7</v>
      </c>
      <c r="AB1890" s="27">
        <f t="shared" si="110"/>
        <v>2025</v>
      </c>
      <c r="AC1890" s="28" t="s">
        <v>9173</v>
      </c>
      <c r="AD1890" s="28" t="s">
        <v>9174</v>
      </c>
      <c r="AE1890" s="27">
        <v>4500023319</v>
      </c>
      <c r="AF1890" s="27" t="s">
        <v>471</v>
      </c>
      <c r="AG1890" s="160"/>
      <c r="AH1890" s="29" t="s">
        <v>6708</v>
      </c>
      <c r="AI1890" s="27"/>
      <c r="AJ1890" s="27"/>
      <c r="AK1890" s="27"/>
      <c r="AL1890" s="27"/>
      <c r="AM1890" s="27"/>
      <c r="AN1890" s="27"/>
      <c r="AO1890" s="27"/>
      <c r="AP1890" s="27">
        <v>356</v>
      </c>
      <c r="AQ1890" s="27"/>
      <c r="AR1890" s="504"/>
      <c r="AS1890" s="332"/>
      <c r="AT1890" s="160"/>
    </row>
    <row r="1891" spans="1:46" ht="21.75" hidden="1" customHeight="1">
      <c r="A1891" s="331">
        <v>1890</v>
      </c>
      <c r="B1891" s="28" t="s">
        <v>6694</v>
      </c>
      <c r="C1891" s="28" t="s">
        <v>6729</v>
      </c>
      <c r="D1891" s="437" t="s">
        <v>6723</v>
      </c>
      <c r="E1891" s="361" t="str">
        <f t="shared" ca="1" si="106"/>
        <v>LOSS</v>
      </c>
      <c r="F1891" s="28" t="s">
        <v>9170</v>
      </c>
      <c r="G1891" s="28" t="s">
        <v>9171</v>
      </c>
      <c r="H1891" s="28" t="s">
        <v>261</v>
      </c>
      <c r="I1891" s="361" t="s">
        <v>243</v>
      </c>
      <c r="J1891" s="28" t="s">
        <v>2569</v>
      </c>
      <c r="K1891" s="38" t="s">
        <v>9172</v>
      </c>
      <c r="L1891" s="53">
        <v>0.995</v>
      </c>
      <c r="M1891" s="27" t="s">
        <v>365</v>
      </c>
      <c r="N1891" s="27" t="s">
        <v>6727</v>
      </c>
      <c r="O1891" s="56"/>
      <c r="P1891" s="52">
        <f>46400000*12</f>
        <v>556800000</v>
      </c>
      <c r="Q1891" s="31"/>
      <c r="R1891" s="56"/>
      <c r="S1891" s="32">
        <f>10000000*12</f>
        <v>120000000</v>
      </c>
      <c r="T1891" s="33"/>
      <c r="U1891" s="334">
        <v>45495</v>
      </c>
      <c r="V1891" s="334">
        <v>45859</v>
      </c>
      <c r="W1891" s="27" t="s">
        <v>250</v>
      </c>
      <c r="X1891" s="27"/>
      <c r="Y1891" s="34">
        <f t="shared" ca="1" si="108"/>
        <v>46290</v>
      </c>
      <c r="Z1891" s="35">
        <f t="shared" ca="1" si="111"/>
        <v>-431</v>
      </c>
      <c r="AA1891" s="27">
        <f t="shared" si="109"/>
        <v>7</v>
      </c>
      <c r="AB1891" s="27">
        <f t="shared" si="110"/>
        <v>2025</v>
      </c>
      <c r="AC1891" s="28" t="s">
        <v>9175</v>
      </c>
      <c r="AD1891" s="28" t="s">
        <v>9176</v>
      </c>
      <c r="AE1891" s="27">
        <v>4500023318</v>
      </c>
      <c r="AF1891" s="27" t="s">
        <v>471</v>
      </c>
      <c r="AG1891" s="160"/>
      <c r="AH1891" s="29" t="s">
        <v>6708</v>
      </c>
      <c r="AI1891" s="27"/>
      <c r="AJ1891" s="27"/>
      <c r="AK1891" s="27"/>
      <c r="AL1891" s="27"/>
      <c r="AM1891" s="27"/>
      <c r="AN1891" s="27"/>
      <c r="AO1891" s="27"/>
      <c r="AP1891" s="27">
        <v>358</v>
      </c>
      <c r="AQ1891" s="27"/>
      <c r="AR1891" s="504"/>
      <c r="AS1891" s="332"/>
      <c r="AT1891" s="160"/>
    </row>
    <row r="1892" spans="1:46" ht="21.75" hidden="1" customHeight="1">
      <c r="A1892" s="331">
        <v>1891</v>
      </c>
      <c r="B1892" s="173" t="s">
        <v>7295</v>
      </c>
      <c r="C1892" s="28" t="s">
        <v>7296</v>
      </c>
      <c r="D1892" s="438" t="s">
        <v>7297</v>
      </c>
      <c r="E1892" s="361" t="str">
        <f t="shared" ca="1" si="106"/>
        <v>LOSS</v>
      </c>
      <c r="F1892" s="29"/>
      <c r="G1892" s="28" t="s">
        <v>9177</v>
      </c>
      <c r="H1892" s="28" t="s">
        <v>261</v>
      </c>
      <c r="I1892" s="361" t="s">
        <v>243</v>
      </c>
      <c r="J1892" s="28" t="s">
        <v>2037</v>
      </c>
      <c r="K1892" s="38" t="s">
        <v>9178</v>
      </c>
      <c r="L1892" s="51">
        <v>0.99</v>
      </c>
      <c r="M1892" s="27" t="s">
        <v>467</v>
      </c>
      <c r="N1892" s="27" t="s">
        <v>494</v>
      </c>
      <c r="O1892" s="151"/>
      <c r="P1892" s="61">
        <f>2000000*12</f>
        <v>24000000</v>
      </c>
      <c r="Q1892" s="61"/>
      <c r="R1892" s="56"/>
      <c r="S1892" s="33">
        <f>1280000*12</f>
        <v>15360000</v>
      </c>
      <c r="T1892" s="33"/>
      <c r="U1892" s="334">
        <v>45519</v>
      </c>
      <c r="V1892" s="334">
        <v>45883</v>
      </c>
      <c r="W1892" s="27" t="s">
        <v>250</v>
      </c>
      <c r="X1892" s="27"/>
      <c r="Y1892" s="34">
        <f t="shared" ca="1" si="108"/>
        <v>46290</v>
      </c>
      <c r="Z1892" s="35">
        <f t="shared" ca="1" si="111"/>
        <v>-407</v>
      </c>
      <c r="AA1892" s="27">
        <f t="shared" si="109"/>
        <v>8</v>
      </c>
      <c r="AB1892" s="27">
        <f t="shared" si="110"/>
        <v>2025</v>
      </c>
      <c r="AC1892" s="28" t="s">
        <v>9179</v>
      </c>
      <c r="AD1892" s="28" t="s">
        <v>9180</v>
      </c>
      <c r="AE1892" s="27">
        <v>4500023260</v>
      </c>
      <c r="AF1892" s="27" t="s">
        <v>471</v>
      </c>
      <c r="AG1892" s="29" t="s">
        <v>9181</v>
      </c>
      <c r="AH1892" s="160" t="s">
        <v>9182</v>
      </c>
      <c r="AI1892" s="27"/>
      <c r="AJ1892" s="27"/>
      <c r="AK1892" s="27"/>
      <c r="AL1892" s="27"/>
      <c r="AM1892" s="27"/>
      <c r="AN1892" s="27"/>
      <c r="AO1892" s="27"/>
      <c r="AP1892" s="27">
        <v>240</v>
      </c>
      <c r="AQ1892" s="27"/>
      <c r="AR1892" s="504"/>
      <c r="AS1892" s="332"/>
      <c r="AT1892" s="160"/>
    </row>
    <row r="1893" spans="1:46" ht="21.75" hidden="1" customHeight="1">
      <c r="A1893" s="331">
        <v>1892</v>
      </c>
      <c r="B1893" s="28" t="s">
        <v>348</v>
      </c>
      <c r="C1893" s="28" t="s">
        <v>9183</v>
      </c>
      <c r="D1893" s="437" t="s">
        <v>9184</v>
      </c>
      <c r="E1893" s="361" t="str">
        <f t="shared" ca="1" si="106"/>
        <v>LOSS</v>
      </c>
      <c r="F1893" s="29" t="s">
        <v>9185</v>
      </c>
      <c r="G1893" s="28" t="s">
        <v>9186</v>
      </c>
      <c r="H1893" s="29" t="s">
        <v>2748</v>
      </c>
      <c r="I1893" s="29" t="s">
        <v>242</v>
      </c>
      <c r="J1893" s="28" t="s">
        <v>9187</v>
      </c>
      <c r="K1893" s="420" t="s">
        <v>9188</v>
      </c>
      <c r="L1893" s="27"/>
      <c r="M1893" s="27" t="s">
        <v>365</v>
      </c>
      <c r="N1893" s="27" t="s">
        <v>468</v>
      </c>
      <c r="O1893" s="151">
        <v>3000000</v>
      </c>
      <c r="P1893" s="61">
        <v>23887097</v>
      </c>
      <c r="Q1893" s="31"/>
      <c r="R1893" s="56"/>
      <c r="S1893" s="100">
        <v>11802230</v>
      </c>
      <c r="T1893" s="34"/>
      <c r="U1893" s="334">
        <v>45524</v>
      </c>
      <c r="V1893" s="334">
        <v>45657</v>
      </c>
      <c r="W1893" s="27" t="s">
        <v>250</v>
      </c>
      <c r="X1893" s="27"/>
      <c r="Y1893" s="34">
        <f t="shared" ca="1" si="108"/>
        <v>46290</v>
      </c>
      <c r="Z1893" s="35">
        <f t="shared" ca="1" si="111"/>
        <v>-633</v>
      </c>
      <c r="AA1893" s="27">
        <f t="shared" si="109"/>
        <v>12</v>
      </c>
      <c r="AB1893" s="27">
        <f>YEAR(Table1[[#This Row],[End]])</f>
        <v>2024</v>
      </c>
      <c r="AC1893" s="28"/>
      <c r="AD1893" s="28" t="s">
        <v>9189</v>
      </c>
      <c r="AE1893" s="47" t="s">
        <v>9190</v>
      </c>
      <c r="AF1893" s="52" t="s">
        <v>356</v>
      </c>
      <c r="AG1893" s="29" t="s">
        <v>9191</v>
      </c>
      <c r="AH1893" s="160"/>
      <c r="AI1893" s="27"/>
      <c r="AJ1893" s="27"/>
      <c r="AK1893" s="27"/>
      <c r="AL1893" s="27"/>
      <c r="AM1893" s="27"/>
      <c r="AN1893" s="27"/>
      <c r="AO1893" s="27"/>
      <c r="AP1893" s="27">
        <v>215</v>
      </c>
      <c r="AQ1893" s="27"/>
      <c r="AR1893" s="504"/>
      <c r="AS1893" s="332"/>
      <c r="AT1893" s="160"/>
    </row>
    <row r="1894" spans="1:46" ht="21.75" hidden="1" customHeight="1">
      <c r="A1894" s="331">
        <v>1893</v>
      </c>
      <c r="B1894" s="28" t="s">
        <v>221</v>
      </c>
      <c r="C1894" s="28" t="s">
        <v>684</v>
      </c>
      <c r="D1894" s="438" t="s">
        <v>369</v>
      </c>
      <c r="E1894" s="361" t="str">
        <f t="shared" ca="1" si="106"/>
        <v>LOSS</v>
      </c>
      <c r="F1894" s="29"/>
      <c r="G1894" s="28" t="s">
        <v>9192</v>
      </c>
      <c r="H1894" s="29" t="s">
        <v>2748</v>
      </c>
      <c r="I1894" s="29" t="s">
        <v>242</v>
      </c>
      <c r="J1894" s="28" t="s">
        <v>9193</v>
      </c>
      <c r="K1894" s="28"/>
      <c r="L1894" s="27"/>
      <c r="M1894" s="27" t="s">
        <v>329</v>
      </c>
      <c r="N1894" s="27" t="s">
        <v>6649</v>
      </c>
      <c r="O1894" s="56">
        <v>2000000</v>
      </c>
      <c r="P1894" s="31">
        <f>2100000*12</f>
        <v>25200000</v>
      </c>
      <c r="Q1894" s="31"/>
      <c r="R1894" s="56">
        <v>3000000</v>
      </c>
      <c r="S1894" s="100">
        <v>6000000</v>
      </c>
      <c r="T1894" s="34"/>
      <c r="U1894" s="334">
        <v>45478</v>
      </c>
      <c r="V1894" s="334">
        <v>45842</v>
      </c>
      <c r="W1894" s="27" t="s">
        <v>250</v>
      </c>
      <c r="X1894" s="27"/>
      <c r="Y1894" s="34">
        <f t="shared" ca="1" si="108"/>
        <v>46290</v>
      </c>
      <c r="Z1894" s="35">
        <f t="shared" ca="1" si="111"/>
        <v>-448</v>
      </c>
      <c r="AA1894" s="27">
        <v>4</v>
      </c>
      <c r="AB1894" s="27">
        <v>2025</v>
      </c>
      <c r="AC1894" s="28"/>
      <c r="AD1894" s="28" t="s">
        <v>9194</v>
      </c>
      <c r="AE1894" s="27">
        <v>4500023107</v>
      </c>
      <c r="AF1894" s="27" t="s">
        <v>333</v>
      </c>
      <c r="AG1894" s="29" t="s">
        <v>376</v>
      </c>
      <c r="AH1894" s="160"/>
      <c r="AI1894" s="27"/>
      <c r="AJ1894" s="27"/>
      <c r="AK1894" s="27"/>
      <c r="AL1894" s="27"/>
      <c r="AM1894" s="27"/>
      <c r="AN1894" s="27"/>
      <c r="AO1894" s="27"/>
      <c r="AP1894" s="27" t="s">
        <v>9195</v>
      </c>
      <c r="AQ1894" s="27"/>
      <c r="AR1894" s="504"/>
      <c r="AS1894" s="332" t="s">
        <v>9196</v>
      </c>
      <c r="AT1894" s="160"/>
    </row>
    <row r="1895" spans="1:46" ht="21.75" hidden="1" customHeight="1">
      <c r="A1895" s="331">
        <v>1894</v>
      </c>
      <c r="B1895" s="28" t="s">
        <v>103</v>
      </c>
      <c r="C1895" s="28" t="s">
        <v>2435</v>
      </c>
      <c r="D1895" s="437" t="s">
        <v>4122</v>
      </c>
      <c r="E1895" s="361" t="str">
        <f t="shared" ca="1" si="106"/>
        <v>LOSS</v>
      </c>
      <c r="F1895" s="29"/>
      <c r="G1895" s="28" t="s">
        <v>8431</v>
      </c>
      <c r="H1895" s="29" t="s">
        <v>2748</v>
      </c>
      <c r="I1895" s="29" t="s">
        <v>346</v>
      </c>
      <c r="J1895" s="28" t="s">
        <v>9197</v>
      </c>
      <c r="K1895" s="28"/>
      <c r="L1895" s="27"/>
      <c r="M1895" s="27"/>
      <c r="N1895" s="29"/>
      <c r="O1895" s="56"/>
      <c r="P1895" s="31">
        <f>11875000*12</f>
        <v>142500000</v>
      </c>
      <c r="Q1895" s="31"/>
      <c r="R1895" s="56"/>
      <c r="S1895" s="32">
        <v>40000000</v>
      </c>
      <c r="T1895" s="34"/>
      <c r="U1895" s="334">
        <v>45531</v>
      </c>
      <c r="V1895" s="334">
        <v>45895</v>
      </c>
      <c r="W1895" s="27" t="s">
        <v>250</v>
      </c>
      <c r="X1895" s="27"/>
      <c r="Y1895" s="34">
        <f t="shared" ca="1" si="108"/>
        <v>46290</v>
      </c>
      <c r="Z1895" s="35">
        <f t="shared" ca="1" si="111"/>
        <v>-395</v>
      </c>
      <c r="AA1895" s="27">
        <f t="shared" ref="AA1895:AA1926" si="112">MONTH(V1895)</f>
        <v>8</v>
      </c>
      <c r="AB1895" s="27">
        <f>YEAR(V1895)</f>
        <v>2025</v>
      </c>
      <c r="AC1895" s="28" t="s">
        <v>9198</v>
      </c>
      <c r="AD1895" s="28" t="s">
        <v>9199</v>
      </c>
      <c r="AE1895" s="27">
        <v>4500023287</v>
      </c>
      <c r="AF1895" s="52" t="s">
        <v>333</v>
      </c>
      <c r="AG1895" s="160" t="s">
        <v>4179</v>
      </c>
      <c r="AH1895" s="160"/>
      <c r="AI1895" s="27"/>
      <c r="AJ1895" s="27"/>
      <c r="AK1895" s="27"/>
      <c r="AL1895" s="27"/>
      <c r="AM1895" s="27"/>
      <c r="AN1895" s="27"/>
      <c r="AO1895" s="27"/>
      <c r="AP1895" s="27" t="s">
        <v>9200</v>
      </c>
      <c r="AQ1895" s="27"/>
      <c r="AR1895" s="504"/>
      <c r="AS1895" s="332"/>
      <c r="AT1895" s="160"/>
    </row>
    <row r="1896" spans="1:46" ht="21.75" hidden="1" customHeight="1">
      <c r="A1896" s="331">
        <v>1895</v>
      </c>
      <c r="B1896" s="28" t="s">
        <v>5988</v>
      </c>
      <c r="C1896" s="28" t="s">
        <v>5989</v>
      </c>
      <c r="D1896" s="438" t="s">
        <v>5990</v>
      </c>
      <c r="E1896" s="361" t="str">
        <f t="shared" ca="1" si="106"/>
        <v>LOSS</v>
      </c>
      <c r="F1896" s="29" t="s">
        <v>9201</v>
      </c>
      <c r="G1896" s="28" t="s">
        <v>9202</v>
      </c>
      <c r="H1896" s="29" t="s">
        <v>2748</v>
      </c>
      <c r="I1896" s="29" t="s">
        <v>346</v>
      </c>
      <c r="J1896" s="28" t="s">
        <v>9203</v>
      </c>
      <c r="K1896" s="28"/>
      <c r="L1896" s="27"/>
      <c r="M1896" s="27"/>
      <c r="N1896" s="29"/>
      <c r="O1896" s="56"/>
      <c r="P1896" s="31">
        <v>557275680</v>
      </c>
      <c r="Q1896" s="31"/>
      <c r="R1896" s="56"/>
      <c r="S1896" s="32">
        <v>58000000</v>
      </c>
      <c r="T1896" s="34"/>
      <c r="U1896" s="334">
        <v>45896</v>
      </c>
      <c r="V1896" s="367">
        <v>46260</v>
      </c>
      <c r="W1896" s="27" t="s">
        <v>17</v>
      </c>
      <c r="X1896" s="27"/>
      <c r="Y1896" s="34">
        <f t="shared" ca="1" si="108"/>
        <v>46290</v>
      </c>
      <c r="Z1896" s="35">
        <f t="shared" ca="1" si="111"/>
        <v>-30</v>
      </c>
      <c r="AA1896" s="27">
        <f t="shared" si="112"/>
        <v>8</v>
      </c>
      <c r="AB1896" s="27">
        <f>YEAR(V1896)</f>
        <v>2026</v>
      </c>
      <c r="AC1896" s="46" t="s">
        <v>5995</v>
      </c>
      <c r="AD1896" s="28" t="s">
        <v>9204</v>
      </c>
      <c r="AE1896" s="47" t="s">
        <v>9205</v>
      </c>
      <c r="AF1896" s="52" t="s">
        <v>333</v>
      </c>
      <c r="AG1896" s="29"/>
      <c r="AH1896" s="160"/>
      <c r="AI1896" s="27"/>
      <c r="AJ1896" s="27"/>
      <c r="AK1896" s="27"/>
      <c r="AL1896" s="27"/>
      <c r="AM1896" s="27"/>
      <c r="AN1896" s="27"/>
      <c r="AO1896" s="27"/>
      <c r="AP1896" s="27" t="s">
        <v>9206</v>
      </c>
      <c r="AQ1896" s="27"/>
      <c r="AR1896" s="504"/>
      <c r="AS1896" s="332"/>
      <c r="AT1896" s="160"/>
    </row>
    <row r="1897" spans="1:46" ht="21.75" hidden="1" customHeight="1">
      <c r="A1897" s="331">
        <v>1896</v>
      </c>
      <c r="B1897" s="28" t="s">
        <v>169</v>
      </c>
      <c r="C1897" s="28" t="s">
        <v>9207</v>
      </c>
      <c r="D1897" s="437" t="s">
        <v>862</v>
      </c>
      <c r="E1897" s="361" t="str">
        <f t="shared" ca="1" si="106"/>
        <v>LOSS</v>
      </c>
      <c r="F1897" s="29"/>
      <c r="G1897" s="28"/>
      <c r="H1897" s="29" t="s">
        <v>2748</v>
      </c>
      <c r="I1897" s="29" t="s">
        <v>242</v>
      </c>
      <c r="J1897" s="28" t="s">
        <v>9208</v>
      </c>
      <c r="K1897" s="28"/>
      <c r="L1897" s="27"/>
      <c r="M1897" s="27"/>
      <c r="N1897" s="29"/>
      <c r="O1897" s="56"/>
      <c r="P1897" s="31"/>
      <c r="Q1897" s="31"/>
      <c r="R1897" s="56">
        <v>1500000</v>
      </c>
      <c r="S1897" s="100">
        <f>1500000*12</f>
        <v>18000000</v>
      </c>
      <c r="T1897" s="34"/>
      <c r="U1897" s="334">
        <v>45497</v>
      </c>
      <c r="V1897" s="334">
        <v>45861</v>
      </c>
      <c r="W1897" s="27" t="s">
        <v>250</v>
      </c>
      <c r="X1897" s="27"/>
      <c r="Y1897" s="34">
        <f t="shared" ca="1" si="108"/>
        <v>46290</v>
      </c>
      <c r="Z1897" s="35">
        <f t="shared" ca="1" si="111"/>
        <v>-429</v>
      </c>
      <c r="AA1897" s="27">
        <f t="shared" si="112"/>
        <v>7</v>
      </c>
      <c r="AB1897" s="27">
        <f>YEAR(V1897)</f>
        <v>2025</v>
      </c>
      <c r="AC1897" s="28" t="s">
        <v>479</v>
      </c>
      <c r="AD1897" s="28" t="s">
        <v>9209</v>
      </c>
      <c r="AE1897" s="35">
        <v>4500023297</v>
      </c>
      <c r="AF1897" s="27" t="s">
        <v>333</v>
      </c>
      <c r="AG1897" s="29" t="s">
        <v>381</v>
      </c>
      <c r="AH1897" s="160"/>
      <c r="AI1897" s="27"/>
      <c r="AJ1897" s="27"/>
      <c r="AK1897" s="27"/>
      <c r="AL1897" s="27"/>
      <c r="AM1897" s="27"/>
      <c r="AN1897" s="27"/>
      <c r="AO1897" s="27"/>
      <c r="AP1897" s="27" t="s">
        <v>9210</v>
      </c>
      <c r="AQ1897" s="27"/>
      <c r="AR1897" s="504"/>
      <c r="AS1897" s="332" t="s">
        <v>8858</v>
      </c>
      <c r="AT1897" s="160"/>
    </row>
    <row r="1898" spans="1:46" ht="21.75" hidden="1" customHeight="1">
      <c r="A1898" s="331">
        <v>1897</v>
      </c>
      <c r="B1898" s="28" t="s">
        <v>4202</v>
      </c>
      <c r="C1898" s="40" t="s">
        <v>9211</v>
      </c>
      <c r="D1898" s="438" t="s">
        <v>9212</v>
      </c>
      <c r="E1898" s="361" t="str">
        <f t="shared" ca="1" si="106"/>
        <v>LOSS</v>
      </c>
      <c r="F1898" s="29"/>
      <c r="G1898" s="28" t="s">
        <v>4212</v>
      </c>
      <c r="H1898" s="29" t="s">
        <v>2748</v>
      </c>
      <c r="I1898" s="29" t="s">
        <v>346</v>
      </c>
      <c r="J1898" s="28" t="s">
        <v>9213</v>
      </c>
      <c r="K1898" s="28"/>
      <c r="L1898" s="27"/>
      <c r="M1898" s="27"/>
      <c r="N1898" s="29"/>
      <c r="O1898" s="56"/>
      <c r="P1898" s="31">
        <v>126771522</v>
      </c>
      <c r="Q1898" s="31"/>
      <c r="R1898" s="56"/>
      <c r="S1898" s="100">
        <v>60000000</v>
      </c>
      <c r="T1898" s="34"/>
      <c r="U1898" s="334">
        <v>45276</v>
      </c>
      <c r="V1898" s="334">
        <v>45641</v>
      </c>
      <c r="W1898" s="27" t="s">
        <v>250</v>
      </c>
      <c r="X1898" s="27"/>
      <c r="Y1898" s="34">
        <f t="shared" ca="1" si="108"/>
        <v>46290</v>
      </c>
      <c r="Z1898" s="35">
        <f t="shared" ca="1" si="111"/>
        <v>-649</v>
      </c>
      <c r="AA1898" s="27">
        <f t="shared" si="112"/>
        <v>12</v>
      </c>
      <c r="AB1898" s="27">
        <f>YEAR(V1898)</f>
        <v>2024</v>
      </c>
      <c r="AC1898" s="28"/>
      <c r="AD1898" s="28" t="s">
        <v>9214</v>
      </c>
      <c r="AE1898" s="27">
        <v>4500021749</v>
      </c>
      <c r="AF1898" s="27" t="s">
        <v>333</v>
      </c>
      <c r="AG1898" s="29"/>
      <c r="AH1898" s="160"/>
      <c r="AI1898" s="27"/>
      <c r="AJ1898" s="27"/>
      <c r="AK1898" s="27"/>
      <c r="AL1898" s="27"/>
      <c r="AM1898" s="27"/>
      <c r="AN1898" s="27"/>
      <c r="AO1898" s="27" t="s">
        <v>9215</v>
      </c>
      <c r="AP1898" s="27"/>
      <c r="AQ1898" s="27"/>
      <c r="AR1898" s="504"/>
      <c r="AS1898" s="332"/>
      <c r="AT1898" s="160"/>
    </row>
    <row r="1899" spans="1:46" ht="21.75" hidden="1" customHeight="1">
      <c r="A1899" s="331">
        <v>1898</v>
      </c>
      <c r="B1899" s="28" t="s">
        <v>348</v>
      </c>
      <c r="C1899" s="28" t="s">
        <v>9183</v>
      </c>
      <c r="D1899" s="437" t="s">
        <v>474</v>
      </c>
      <c r="E1899" s="361" t="str">
        <f t="shared" ca="1" si="106"/>
        <v>LOSS</v>
      </c>
      <c r="F1899" s="29" t="s">
        <v>9216</v>
      </c>
      <c r="G1899" s="28" t="s">
        <v>9217</v>
      </c>
      <c r="H1899" s="29" t="s">
        <v>2748</v>
      </c>
      <c r="I1899" s="29" t="s">
        <v>242</v>
      </c>
      <c r="J1899" s="28" t="s">
        <v>9187</v>
      </c>
      <c r="K1899" s="28"/>
      <c r="L1899" s="27"/>
      <c r="M1899" s="27" t="s">
        <v>365</v>
      </c>
      <c r="N1899" s="27" t="s">
        <v>468</v>
      </c>
      <c r="O1899" s="56">
        <v>3000000</v>
      </c>
      <c r="P1899" s="31">
        <v>20887097</v>
      </c>
      <c r="Q1899" s="31"/>
      <c r="R1899" s="56"/>
      <c r="S1899" s="100">
        <v>11913875</v>
      </c>
      <c r="T1899" s="34"/>
      <c r="U1899" s="334">
        <v>45524</v>
      </c>
      <c r="V1899" s="334">
        <v>45657</v>
      </c>
      <c r="W1899" s="27" t="s">
        <v>250</v>
      </c>
      <c r="X1899" s="27"/>
      <c r="Y1899" s="34">
        <f t="shared" ca="1" si="108"/>
        <v>46290</v>
      </c>
      <c r="Z1899" s="35">
        <f t="shared" ca="1" si="111"/>
        <v>-633</v>
      </c>
      <c r="AA1899" s="27">
        <f t="shared" si="112"/>
        <v>12</v>
      </c>
      <c r="AB1899" s="27">
        <v>2024</v>
      </c>
      <c r="AC1899" s="194"/>
      <c r="AD1899" s="194" t="s">
        <v>9189</v>
      </c>
      <c r="AE1899" s="47" t="s">
        <v>9190</v>
      </c>
      <c r="AF1899" s="52" t="s">
        <v>356</v>
      </c>
      <c r="AG1899" s="29" t="s">
        <v>9218</v>
      </c>
      <c r="AH1899" s="160"/>
      <c r="AI1899" s="27"/>
      <c r="AJ1899" s="27"/>
      <c r="AK1899" s="27"/>
      <c r="AL1899" s="27"/>
      <c r="AM1899" s="27"/>
      <c r="AN1899" s="27"/>
      <c r="AO1899" s="27"/>
      <c r="AP1899" s="27"/>
      <c r="AQ1899" s="27"/>
      <c r="AR1899" s="504"/>
      <c r="AS1899" s="332"/>
      <c r="AT1899" s="160"/>
    </row>
    <row r="1900" spans="1:46" ht="21.75" hidden="1" customHeight="1">
      <c r="A1900" s="331">
        <v>1899</v>
      </c>
      <c r="B1900" s="28" t="s">
        <v>4202</v>
      </c>
      <c r="C1900" s="28" t="s">
        <v>9219</v>
      </c>
      <c r="D1900" s="438" t="s">
        <v>9212</v>
      </c>
      <c r="E1900" s="361" t="str">
        <f t="shared" ca="1" si="106"/>
        <v>LOSS</v>
      </c>
      <c r="F1900" s="29" t="s">
        <v>9220</v>
      </c>
      <c r="G1900" s="28" t="s">
        <v>9221</v>
      </c>
      <c r="H1900" s="29" t="s">
        <v>2748</v>
      </c>
      <c r="I1900" s="29" t="s">
        <v>242</v>
      </c>
      <c r="J1900" s="28" t="s">
        <v>9222</v>
      </c>
      <c r="K1900" s="28"/>
      <c r="L1900" s="27"/>
      <c r="M1900" s="27"/>
      <c r="N1900" s="27"/>
      <c r="O1900" s="56"/>
      <c r="P1900" s="31">
        <v>237283200</v>
      </c>
      <c r="Q1900" s="31"/>
      <c r="R1900" s="56">
        <v>1500000</v>
      </c>
      <c r="S1900" s="100">
        <v>24000000</v>
      </c>
      <c r="T1900" s="34"/>
      <c r="U1900" s="334">
        <v>45530</v>
      </c>
      <c r="V1900" s="334">
        <v>45894</v>
      </c>
      <c r="W1900" s="27" t="s">
        <v>250</v>
      </c>
      <c r="X1900" s="27"/>
      <c r="Y1900" s="34">
        <f t="shared" ca="1" si="108"/>
        <v>46290</v>
      </c>
      <c r="Z1900" s="35">
        <f t="shared" ca="1" si="111"/>
        <v>-396</v>
      </c>
      <c r="AA1900" s="27">
        <f t="shared" si="112"/>
        <v>8</v>
      </c>
      <c r="AB1900" s="27">
        <f>YEAR(Table1[[#This Row],[End]])</f>
        <v>2025</v>
      </c>
      <c r="AC1900" s="28"/>
      <c r="AD1900" s="28" t="s">
        <v>9223</v>
      </c>
      <c r="AE1900" s="47" t="s">
        <v>9224</v>
      </c>
      <c r="AF1900" s="52" t="s">
        <v>356</v>
      </c>
      <c r="AG1900" s="29"/>
      <c r="AH1900" s="160"/>
      <c r="AI1900" s="27"/>
      <c r="AJ1900" s="27"/>
      <c r="AK1900" s="27"/>
      <c r="AL1900" s="27"/>
      <c r="AM1900" s="27"/>
      <c r="AN1900" s="27"/>
      <c r="AO1900" s="27"/>
      <c r="AP1900" s="27"/>
      <c r="AQ1900" s="27" t="s">
        <v>9225</v>
      </c>
      <c r="AR1900" s="504"/>
      <c r="AS1900" s="332"/>
      <c r="AT1900" s="160"/>
    </row>
    <row r="1901" spans="1:46" ht="21.75" hidden="1" customHeight="1">
      <c r="A1901" s="331">
        <v>1900</v>
      </c>
      <c r="B1901" s="28" t="s">
        <v>154</v>
      </c>
      <c r="C1901" s="28" t="s">
        <v>9226</v>
      </c>
      <c r="D1901" s="438" t="s">
        <v>9227</v>
      </c>
      <c r="E1901" s="361" t="str">
        <f t="shared" ca="1" si="106"/>
        <v>LOSS</v>
      </c>
      <c r="F1901" s="29" t="s">
        <v>9228</v>
      </c>
      <c r="G1901" s="28"/>
      <c r="H1901" s="29" t="s">
        <v>2748</v>
      </c>
      <c r="I1901" s="29" t="s">
        <v>9229</v>
      </c>
      <c r="J1901" s="28" t="s">
        <v>9230</v>
      </c>
      <c r="K1901" s="28"/>
      <c r="L1901" s="27"/>
      <c r="M1901" s="27" t="s">
        <v>365</v>
      </c>
      <c r="N1901" s="27"/>
      <c r="O1901" s="56">
        <v>16000000</v>
      </c>
      <c r="P1901" s="31">
        <v>202556500</v>
      </c>
      <c r="Q1901" s="31"/>
      <c r="R1901" s="56"/>
      <c r="S1901" s="100">
        <v>24000000</v>
      </c>
      <c r="T1901" s="34"/>
      <c r="U1901" s="334">
        <v>45534</v>
      </c>
      <c r="V1901" s="334">
        <v>45898</v>
      </c>
      <c r="W1901" s="27" t="s">
        <v>250</v>
      </c>
      <c r="X1901" s="27"/>
      <c r="Y1901" s="34">
        <f t="shared" ca="1" si="108"/>
        <v>46290</v>
      </c>
      <c r="Z1901" s="35">
        <f t="shared" ca="1" si="111"/>
        <v>-392</v>
      </c>
      <c r="AA1901" s="27">
        <f t="shared" si="112"/>
        <v>8</v>
      </c>
      <c r="AB1901" s="27">
        <f>YEAR(Table1[[#This Row],[End]])</f>
        <v>2025</v>
      </c>
      <c r="AC1901" s="269" t="s">
        <v>9231</v>
      </c>
      <c r="AD1901" s="28" t="s">
        <v>9232</v>
      </c>
      <c r="AE1901" s="47" t="s">
        <v>9233</v>
      </c>
      <c r="AF1901" s="52" t="s">
        <v>356</v>
      </c>
      <c r="AG1901" s="29" t="s">
        <v>8975</v>
      </c>
      <c r="AH1901" s="160"/>
      <c r="AI1901" s="27"/>
      <c r="AJ1901" s="27"/>
      <c r="AK1901" s="27"/>
      <c r="AL1901" s="27"/>
      <c r="AM1901" s="27"/>
      <c r="AN1901" s="27"/>
      <c r="AO1901" s="27"/>
      <c r="AP1901" s="27" t="s">
        <v>9234</v>
      </c>
      <c r="AQ1901" s="27"/>
      <c r="AR1901" s="504"/>
      <c r="AS1901" s="332"/>
      <c r="AT1901" s="160"/>
    </row>
    <row r="1902" spans="1:46" ht="21.75" hidden="1" customHeight="1">
      <c r="A1902" s="331">
        <v>1901</v>
      </c>
      <c r="B1902" s="28" t="s">
        <v>348</v>
      </c>
      <c r="C1902" s="28" t="s">
        <v>5137</v>
      </c>
      <c r="D1902" s="448" t="s">
        <v>474</v>
      </c>
      <c r="E1902" s="361" t="str">
        <f t="shared" ca="1" si="106"/>
        <v>LOSS</v>
      </c>
      <c r="F1902" s="29"/>
      <c r="G1902" s="28" t="s">
        <v>9235</v>
      </c>
      <c r="H1902" s="29" t="s">
        <v>2748</v>
      </c>
      <c r="I1902" s="29" t="s">
        <v>242</v>
      </c>
      <c r="J1902" s="38" t="s">
        <v>9236</v>
      </c>
      <c r="K1902" s="28"/>
      <c r="L1902" s="27"/>
      <c r="M1902" s="27" t="s">
        <v>365</v>
      </c>
      <c r="N1902" s="27" t="s">
        <v>9237</v>
      </c>
      <c r="O1902" s="56"/>
      <c r="P1902" s="31">
        <v>97500000</v>
      </c>
      <c r="Q1902" s="31"/>
      <c r="R1902" s="56"/>
      <c r="S1902" s="103">
        <v>25720676</v>
      </c>
      <c r="T1902" s="34"/>
      <c r="U1902" s="334">
        <v>45531</v>
      </c>
      <c r="V1902" s="334">
        <v>45657</v>
      </c>
      <c r="W1902" s="27" t="s">
        <v>17</v>
      </c>
      <c r="X1902" s="27"/>
      <c r="Y1902" s="34">
        <f t="shared" ca="1" si="108"/>
        <v>46290</v>
      </c>
      <c r="Z1902" s="35">
        <f t="shared" ca="1" si="111"/>
        <v>-633</v>
      </c>
      <c r="AA1902" s="27">
        <f t="shared" si="112"/>
        <v>12</v>
      </c>
      <c r="AB1902" s="27">
        <f>YEAR(Table1[[#This Row],[End]])</f>
        <v>2024</v>
      </c>
      <c r="AC1902" s="28"/>
      <c r="AD1902" s="28" t="s">
        <v>9238</v>
      </c>
      <c r="AE1902" s="47" t="s">
        <v>9239</v>
      </c>
      <c r="AF1902" s="52" t="s">
        <v>356</v>
      </c>
      <c r="AG1902" s="270" t="s">
        <v>9218</v>
      </c>
      <c r="AH1902" s="160"/>
      <c r="AI1902" s="27"/>
      <c r="AJ1902" s="27"/>
      <c r="AK1902" s="27"/>
      <c r="AL1902" s="27"/>
      <c r="AM1902" s="27"/>
      <c r="AN1902" s="27"/>
      <c r="AO1902" s="27"/>
      <c r="AP1902" s="27"/>
      <c r="AQ1902" s="27"/>
      <c r="AR1902" s="504"/>
      <c r="AS1902" s="332"/>
      <c r="AT1902" s="160"/>
    </row>
    <row r="1903" spans="1:46" ht="21.75" hidden="1" customHeight="1">
      <c r="A1903" s="331">
        <v>1902</v>
      </c>
      <c r="B1903" s="28" t="s">
        <v>93</v>
      </c>
      <c r="C1903" s="28" t="s">
        <v>1045</v>
      </c>
      <c r="D1903" s="444" t="s">
        <v>3741</v>
      </c>
      <c r="E1903" s="361" t="str">
        <f t="shared" ca="1" si="106"/>
        <v>LOSS</v>
      </c>
      <c r="F1903" s="29"/>
      <c r="G1903" s="28" t="s">
        <v>8829</v>
      </c>
      <c r="H1903" s="29" t="s">
        <v>2748</v>
      </c>
      <c r="I1903" s="29" t="s">
        <v>9229</v>
      </c>
      <c r="J1903" s="28"/>
      <c r="K1903" s="28"/>
      <c r="L1903" s="27"/>
      <c r="M1903" s="27"/>
      <c r="N1903" s="27"/>
      <c r="O1903" s="56"/>
      <c r="P1903" s="31">
        <v>926400000</v>
      </c>
      <c r="Q1903" s="31"/>
      <c r="R1903" s="56">
        <v>35000000</v>
      </c>
      <c r="S1903" s="100">
        <v>312000000</v>
      </c>
      <c r="T1903" s="34"/>
      <c r="U1903" s="334">
        <v>45530</v>
      </c>
      <c r="V1903" s="334">
        <v>45894</v>
      </c>
      <c r="W1903" s="27" t="s">
        <v>250</v>
      </c>
      <c r="X1903" s="27"/>
      <c r="Y1903" s="34">
        <f t="shared" ca="1" si="108"/>
        <v>46290</v>
      </c>
      <c r="Z1903" s="35">
        <f t="shared" ca="1" si="111"/>
        <v>-396</v>
      </c>
      <c r="AA1903" s="27">
        <f t="shared" si="112"/>
        <v>8</v>
      </c>
      <c r="AB1903" s="27">
        <v>2025</v>
      </c>
      <c r="AC1903" s="28" t="s">
        <v>479</v>
      </c>
      <c r="AD1903" s="28" t="s">
        <v>9240</v>
      </c>
      <c r="AE1903" s="27">
        <v>4500023591</v>
      </c>
      <c r="AF1903" s="52" t="s">
        <v>333</v>
      </c>
      <c r="AG1903" s="29"/>
      <c r="AH1903" s="160"/>
      <c r="AI1903" s="27"/>
      <c r="AJ1903" s="27"/>
      <c r="AK1903" s="27"/>
      <c r="AL1903" s="27"/>
      <c r="AM1903" s="27"/>
      <c r="AN1903" s="27"/>
      <c r="AO1903" s="27"/>
      <c r="AP1903" s="27" t="s">
        <v>9241</v>
      </c>
      <c r="AQ1903" s="27"/>
      <c r="AR1903" s="504"/>
      <c r="AS1903" s="332"/>
      <c r="AT1903" s="160"/>
    </row>
    <row r="1904" spans="1:46" ht="21.75" hidden="1" customHeight="1">
      <c r="A1904" s="331">
        <v>1903</v>
      </c>
      <c r="B1904" s="28" t="s">
        <v>3409</v>
      </c>
      <c r="C1904" s="28" t="s">
        <v>322</v>
      </c>
      <c r="D1904" s="438" t="s">
        <v>6774</v>
      </c>
      <c r="E1904" s="361" t="str">
        <f t="shared" ca="1" si="106"/>
        <v>LOSS</v>
      </c>
      <c r="F1904" s="29" t="s">
        <v>9242</v>
      </c>
      <c r="G1904" s="28" t="s">
        <v>9243</v>
      </c>
      <c r="H1904" s="29" t="s">
        <v>2748</v>
      </c>
      <c r="I1904" s="29" t="s">
        <v>346</v>
      </c>
      <c r="J1904" s="271" t="s">
        <v>2418</v>
      </c>
      <c r="K1904" s="57">
        <v>111205023555</v>
      </c>
      <c r="L1904" s="27"/>
      <c r="M1904" s="27"/>
      <c r="N1904" s="27"/>
      <c r="O1904" s="56"/>
      <c r="P1904" s="31">
        <f>5000000*12</f>
        <v>60000000</v>
      </c>
      <c r="Q1904" s="31"/>
      <c r="R1904" s="56"/>
      <c r="S1904" s="100">
        <v>14400000</v>
      </c>
      <c r="T1904" s="34"/>
      <c r="U1904" s="334">
        <v>45210</v>
      </c>
      <c r="V1904" s="334">
        <v>45940</v>
      </c>
      <c r="W1904" s="27" t="s">
        <v>250</v>
      </c>
      <c r="X1904" s="27"/>
      <c r="Y1904" s="34">
        <f t="shared" ca="1" si="108"/>
        <v>46290</v>
      </c>
      <c r="Z1904" s="35">
        <f t="shared" ca="1" si="111"/>
        <v>-350</v>
      </c>
      <c r="AA1904" s="27">
        <f t="shared" si="112"/>
        <v>10</v>
      </c>
      <c r="AB1904" s="27">
        <f>YEAR(V1904)</f>
        <v>2025</v>
      </c>
      <c r="AC1904" s="28" t="s">
        <v>9244</v>
      </c>
      <c r="AD1904" s="28" t="s">
        <v>9245</v>
      </c>
      <c r="AE1904" s="27">
        <v>4500023601</v>
      </c>
      <c r="AF1904" s="148" t="s">
        <v>333</v>
      </c>
      <c r="AG1904" s="160" t="s">
        <v>6803</v>
      </c>
      <c r="AH1904" s="160"/>
      <c r="AI1904" s="27" t="s">
        <v>3436</v>
      </c>
      <c r="AJ1904" s="27" t="s">
        <v>3437</v>
      </c>
      <c r="AK1904" s="27" t="s">
        <v>3438</v>
      </c>
      <c r="AL1904" s="27" t="s">
        <v>3439</v>
      </c>
      <c r="AM1904" s="27" t="s">
        <v>3440</v>
      </c>
      <c r="AN1904" s="27" t="s">
        <v>3441</v>
      </c>
      <c r="AO1904" s="27"/>
      <c r="AP1904" s="27" t="s">
        <v>9246</v>
      </c>
      <c r="AQ1904" s="27"/>
      <c r="AR1904" s="504"/>
      <c r="AS1904" s="332"/>
      <c r="AT1904" s="160"/>
    </row>
    <row r="1905" spans="1:46" ht="21.75" hidden="1" customHeight="1">
      <c r="A1905" s="331">
        <v>1904</v>
      </c>
      <c r="B1905" s="28" t="s">
        <v>221</v>
      </c>
      <c r="C1905" s="28" t="s">
        <v>1045</v>
      </c>
      <c r="D1905" s="437" t="s">
        <v>369</v>
      </c>
      <c r="E1905" s="361" t="str">
        <f t="shared" ca="1" si="106"/>
        <v>LOSS</v>
      </c>
      <c r="F1905" s="29"/>
      <c r="G1905" s="28" t="s">
        <v>9247</v>
      </c>
      <c r="H1905" s="29" t="s">
        <v>2748</v>
      </c>
      <c r="I1905" s="29" t="s">
        <v>346</v>
      </c>
      <c r="J1905" s="272" t="s">
        <v>9248</v>
      </c>
      <c r="K1905" s="57"/>
      <c r="L1905" s="27"/>
      <c r="M1905" s="27"/>
      <c r="N1905" s="27"/>
      <c r="O1905" s="56"/>
      <c r="P1905" s="31"/>
      <c r="Q1905" s="31"/>
      <c r="R1905" s="56">
        <f>10000000+12000000</f>
        <v>22000000</v>
      </c>
      <c r="S1905" s="100">
        <f>78000000+24000000</f>
        <v>102000000</v>
      </c>
      <c r="T1905" s="34"/>
      <c r="U1905" s="334">
        <v>45531</v>
      </c>
      <c r="V1905" s="334">
        <v>45895</v>
      </c>
      <c r="W1905" s="27" t="s">
        <v>250</v>
      </c>
      <c r="X1905" s="27"/>
      <c r="Y1905" s="34">
        <f t="shared" ca="1" si="108"/>
        <v>46290</v>
      </c>
      <c r="Z1905" s="35">
        <f t="shared" ca="1" si="111"/>
        <v>-395</v>
      </c>
      <c r="AA1905" s="27">
        <f t="shared" si="112"/>
        <v>8</v>
      </c>
      <c r="AB1905" s="27">
        <v>2025</v>
      </c>
      <c r="AC1905" s="28"/>
      <c r="AD1905" s="28" t="s">
        <v>9249</v>
      </c>
      <c r="AE1905" s="27">
        <v>4500023598</v>
      </c>
      <c r="AF1905" s="273" t="s">
        <v>333</v>
      </c>
      <c r="AG1905" s="29" t="s">
        <v>376</v>
      </c>
      <c r="AH1905" s="160"/>
      <c r="AI1905" s="27"/>
      <c r="AJ1905" s="27"/>
      <c r="AK1905" s="27"/>
      <c r="AL1905" s="27"/>
      <c r="AM1905" s="27"/>
      <c r="AN1905" s="27"/>
      <c r="AO1905" s="27"/>
      <c r="AP1905" s="27" t="s">
        <v>9250</v>
      </c>
      <c r="AQ1905" s="27"/>
      <c r="AR1905" s="504"/>
      <c r="AS1905" s="332"/>
      <c r="AT1905" s="160"/>
    </row>
    <row r="1906" spans="1:46" ht="21.75" hidden="1" customHeight="1">
      <c r="A1906" s="331">
        <v>1905</v>
      </c>
      <c r="B1906" s="28" t="s">
        <v>97</v>
      </c>
      <c r="C1906" s="28" t="s">
        <v>9251</v>
      </c>
      <c r="D1906" s="438" t="s">
        <v>2363</v>
      </c>
      <c r="E1906" s="361" t="str">
        <f t="shared" ca="1" si="106"/>
        <v>LOSS</v>
      </c>
      <c r="F1906" s="29" t="s">
        <v>9252</v>
      </c>
      <c r="G1906" s="28" t="s">
        <v>9253</v>
      </c>
      <c r="H1906" s="29" t="s">
        <v>2748</v>
      </c>
      <c r="I1906" s="29" t="s">
        <v>242</v>
      </c>
      <c r="J1906" s="271" t="s">
        <v>9254</v>
      </c>
      <c r="K1906" s="57"/>
      <c r="L1906" s="27"/>
      <c r="M1906" s="27"/>
      <c r="N1906" s="27"/>
      <c r="O1906" s="56"/>
      <c r="P1906" s="31">
        <v>324000000</v>
      </c>
      <c r="Q1906" s="31"/>
      <c r="R1906" s="56"/>
      <c r="S1906" s="100">
        <v>2000000</v>
      </c>
      <c r="T1906" s="34"/>
      <c r="U1906" s="334">
        <v>44986</v>
      </c>
      <c r="V1906" s="334">
        <v>45716</v>
      </c>
      <c r="W1906" s="27" t="s">
        <v>17</v>
      </c>
      <c r="X1906" s="27"/>
      <c r="Y1906" s="34">
        <f t="shared" ca="1" si="108"/>
        <v>46290</v>
      </c>
      <c r="Z1906" s="35">
        <f t="shared" ca="1" si="111"/>
        <v>-574</v>
      </c>
      <c r="AA1906" s="27">
        <f t="shared" si="112"/>
        <v>2</v>
      </c>
      <c r="AB1906" s="27">
        <f t="shared" ref="AB1906:AB1928" si="113">YEAR(V1906)</f>
        <v>2025</v>
      </c>
      <c r="AC1906" s="28" t="s">
        <v>9255</v>
      </c>
      <c r="AD1906" s="28" t="s">
        <v>9256</v>
      </c>
      <c r="AE1906" s="27">
        <v>4500023495</v>
      </c>
      <c r="AF1906" s="148" t="s">
        <v>333</v>
      </c>
      <c r="AG1906" s="29" t="s">
        <v>3887</v>
      </c>
      <c r="AH1906" s="160"/>
      <c r="AI1906" s="27">
        <v>58</v>
      </c>
      <c r="AJ1906" s="27" t="s">
        <v>3977</v>
      </c>
      <c r="AK1906" s="27" t="s">
        <v>3978</v>
      </c>
      <c r="AL1906" s="27" t="s">
        <v>3979</v>
      </c>
      <c r="AM1906" s="27" t="s">
        <v>3980</v>
      </c>
      <c r="AN1906" s="27"/>
      <c r="AO1906" s="27"/>
      <c r="AP1906" s="27"/>
      <c r="AQ1906" s="27"/>
      <c r="AR1906" s="504"/>
      <c r="AS1906" s="332"/>
      <c r="AT1906" s="160"/>
    </row>
    <row r="1907" spans="1:46" ht="21.75" hidden="1" customHeight="1">
      <c r="A1907" s="331">
        <v>1906</v>
      </c>
      <c r="B1907" s="159" t="s">
        <v>614</v>
      </c>
      <c r="C1907" s="28" t="s">
        <v>322</v>
      </c>
      <c r="D1907" s="437" t="s">
        <v>9257</v>
      </c>
      <c r="E1907" s="361" t="str">
        <f t="shared" ca="1" si="106"/>
        <v>LOSS</v>
      </c>
      <c r="F1907" s="29" t="s">
        <v>9258</v>
      </c>
      <c r="G1907" s="38" t="s">
        <v>9259</v>
      </c>
      <c r="H1907" s="29" t="s">
        <v>261</v>
      </c>
      <c r="I1907" s="29" t="s">
        <v>243</v>
      </c>
      <c r="J1907" s="28" t="s">
        <v>9260</v>
      </c>
      <c r="K1907" s="38" t="s">
        <v>6801</v>
      </c>
      <c r="L1907" s="274">
        <v>0.99</v>
      </c>
      <c r="M1907" s="27" t="s">
        <v>365</v>
      </c>
      <c r="N1907" s="27" t="s">
        <v>6802</v>
      </c>
      <c r="O1907" s="56"/>
      <c r="P1907" s="31">
        <f>3950000*12</f>
        <v>47400000</v>
      </c>
      <c r="Q1907" s="31"/>
      <c r="R1907" s="27"/>
      <c r="S1907" s="32">
        <v>72000000</v>
      </c>
      <c r="T1907" s="27"/>
      <c r="U1907" s="334">
        <v>45581</v>
      </c>
      <c r="V1907" s="334">
        <v>45945</v>
      </c>
      <c r="W1907" s="27" t="s">
        <v>250</v>
      </c>
      <c r="X1907" s="27"/>
      <c r="Y1907" s="34">
        <f t="shared" ca="1" si="108"/>
        <v>46290</v>
      </c>
      <c r="Z1907" s="35">
        <f t="shared" ca="1" si="111"/>
        <v>-345</v>
      </c>
      <c r="AA1907" s="27">
        <f t="shared" si="112"/>
        <v>10</v>
      </c>
      <c r="AB1907" s="27">
        <f t="shared" si="113"/>
        <v>2025</v>
      </c>
      <c r="AC1907" s="28" t="s">
        <v>9261</v>
      </c>
      <c r="AD1907" s="28" t="s">
        <v>9262</v>
      </c>
      <c r="AE1907" s="27">
        <v>4500023624</v>
      </c>
      <c r="AF1907" s="27" t="s">
        <v>8995</v>
      </c>
      <c r="AG1907" s="160" t="s">
        <v>6803</v>
      </c>
      <c r="AH1907" s="160"/>
      <c r="AI1907" s="27"/>
      <c r="AJ1907" s="27"/>
      <c r="AK1907" s="27"/>
      <c r="AL1907" s="27"/>
      <c r="AM1907" s="27"/>
      <c r="AN1907" s="27"/>
      <c r="AO1907" s="27"/>
      <c r="AP1907" s="27">
        <v>330</v>
      </c>
      <c r="AQ1907" s="27"/>
      <c r="AR1907" s="504"/>
      <c r="AS1907" s="332"/>
      <c r="AT1907" s="160"/>
    </row>
    <row r="1908" spans="1:46" ht="21.75" hidden="1" customHeight="1">
      <c r="A1908" s="331">
        <v>1907</v>
      </c>
      <c r="B1908" s="147" t="s">
        <v>97</v>
      </c>
      <c r="C1908" s="147" t="s">
        <v>991</v>
      </c>
      <c r="D1908" s="447" t="s">
        <v>2363</v>
      </c>
      <c r="E1908" s="361" t="str">
        <f t="shared" ca="1" si="106"/>
        <v>LOSS</v>
      </c>
      <c r="F1908" s="147"/>
      <c r="G1908" s="147" t="s">
        <v>9263</v>
      </c>
      <c r="H1908" s="147" t="s">
        <v>2748</v>
      </c>
      <c r="I1908" s="147" t="s">
        <v>242</v>
      </c>
      <c r="J1908" s="147" t="s">
        <v>9264</v>
      </c>
      <c r="K1908" s="275"/>
      <c r="L1908" s="147"/>
      <c r="M1908" s="147"/>
      <c r="N1908" s="147"/>
      <c r="O1908" s="276"/>
      <c r="P1908" s="277">
        <v>444000000</v>
      </c>
      <c r="Q1908" s="278"/>
      <c r="R1908" s="278"/>
      <c r="S1908" s="32">
        <v>2000000</v>
      </c>
      <c r="T1908" s="148"/>
      <c r="U1908" s="334">
        <v>45292</v>
      </c>
      <c r="V1908" s="334">
        <v>46022</v>
      </c>
      <c r="W1908" s="27" t="s">
        <v>17</v>
      </c>
      <c r="X1908" s="146"/>
      <c r="Y1908" s="34">
        <f t="shared" ca="1" si="108"/>
        <v>46290</v>
      </c>
      <c r="Z1908" s="35">
        <f t="shared" ca="1" si="111"/>
        <v>-268</v>
      </c>
      <c r="AA1908" s="27">
        <f t="shared" si="112"/>
        <v>12</v>
      </c>
      <c r="AB1908" s="27">
        <f t="shared" si="113"/>
        <v>2025</v>
      </c>
      <c r="AC1908" s="147" t="s">
        <v>3965</v>
      </c>
      <c r="AD1908" s="147" t="s">
        <v>9265</v>
      </c>
      <c r="AE1908" s="27">
        <v>4500023595</v>
      </c>
      <c r="AF1908" s="148" t="s">
        <v>333</v>
      </c>
      <c r="AG1908" s="29" t="s">
        <v>3887</v>
      </c>
      <c r="AH1908" s="160"/>
      <c r="AI1908" s="147"/>
      <c r="AJ1908" s="27" t="s">
        <v>3967</v>
      </c>
      <c r="AK1908" s="27" t="s">
        <v>3968</v>
      </c>
      <c r="AL1908" s="27" t="s">
        <v>3969</v>
      </c>
      <c r="AM1908" s="27" t="s">
        <v>3970</v>
      </c>
      <c r="AN1908" s="27" t="s">
        <v>3971</v>
      </c>
      <c r="AO1908" s="27" t="s">
        <v>3972</v>
      </c>
      <c r="AP1908" s="27" t="s">
        <v>9266</v>
      </c>
      <c r="AQ1908" s="27"/>
      <c r="AR1908" s="504"/>
      <c r="AS1908" s="332"/>
      <c r="AT1908" s="160"/>
    </row>
    <row r="1909" spans="1:46" ht="21.75" hidden="1" customHeight="1">
      <c r="A1909" s="331">
        <v>1908</v>
      </c>
      <c r="B1909" s="361" t="s">
        <v>1043</v>
      </c>
      <c r="C1909" s="28" t="s">
        <v>9267</v>
      </c>
      <c r="D1909" s="436" t="s">
        <v>6810</v>
      </c>
      <c r="E1909" s="361" t="str">
        <f t="shared" ca="1" si="106"/>
        <v>LOSS</v>
      </c>
      <c r="F1909" s="29" t="s">
        <v>9268</v>
      </c>
      <c r="G1909" s="29" t="s">
        <v>6852</v>
      </c>
      <c r="H1909" s="29" t="s">
        <v>261</v>
      </c>
      <c r="I1909" s="29" t="s">
        <v>243</v>
      </c>
      <c r="J1909" s="28" t="s">
        <v>9269</v>
      </c>
      <c r="K1909" s="28" t="s">
        <v>9270</v>
      </c>
      <c r="L1909" s="258">
        <v>0.995</v>
      </c>
      <c r="M1909" s="27" t="s">
        <v>6855</v>
      </c>
      <c r="N1909" s="27" t="s">
        <v>6727</v>
      </c>
      <c r="O1909" s="56"/>
      <c r="P1909" s="56">
        <f>39500000*12</f>
        <v>474000000</v>
      </c>
      <c r="Q1909" s="27"/>
      <c r="R1909" s="151"/>
      <c r="S1909" s="56">
        <f>11500000*12</f>
        <v>138000000</v>
      </c>
      <c r="T1909" s="65"/>
      <c r="U1909" s="334">
        <v>45413</v>
      </c>
      <c r="V1909" s="334">
        <v>45777</v>
      </c>
      <c r="W1909" s="27" t="s">
        <v>250</v>
      </c>
      <c r="X1909" s="27"/>
      <c r="Y1909" s="34">
        <f t="shared" ca="1" si="108"/>
        <v>46290</v>
      </c>
      <c r="Z1909" s="35">
        <f t="shared" ca="1" si="111"/>
        <v>-513</v>
      </c>
      <c r="AA1909" s="27">
        <f t="shared" si="112"/>
        <v>4</v>
      </c>
      <c r="AB1909" s="27">
        <f t="shared" si="113"/>
        <v>2025</v>
      </c>
      <c r="AC1909" s="28" t="s">
        <v>9271</v>
      </c>
      <c r="AD1909" s="29" t="s">
        <v>9272</v>
      </c>
      <c r="AE1909" s="47" t="s">
        <v>9273</v>
      </c>
      <c r="AF1909" s="52" t="s">
        <v>471</v>
      </c>
      <c r="AG1909" s="29" t="s">
        <v>8922</v>
      </c>
      <c r="AH1909" s="160"/>
      <c r="AI1909" s="27"/>
      <c r="AJ1909" s="27"/>
      <c r="AK1909" s="27"/>
      <c r="AL1909" s="27"/>
      <c r="AM1909" s="27"/>
      <c r="AN1909" s="27"/>
      <c r="AO1909" s="27"/>
      <c r="AP1909" s="29">
        <v>144</v>
      </c>
      <c r="AQ1909" s="29"/>
      <c r="AR1909" s="506"/>
      <c r="AS1909" s="332"/>
      <c r="AT1909" s="160"/>
    </row>
    <row r="1910" spans="1:46" ht="21.75" hidden="1" customHeight="1">
      <c r="A1910" s="331">
        <v>1909</v>
      </c>
      <c r="B1910" s="28" t="s">
        <v>1043</v>
      </c>
      <c r="C1910" s="28" t="s">
        <v>543</v>
      </c>
      <c r="D1910" s="435" t="s">
        <v>6810</v>
      </c>
      <c r="E1910" s="361" t="str">
        <f t="shared" ca="1" si="106"/>
        <v>LOSS</v>
      </c>
      <c r="F1910" s="29"/>
      <c r="G1910" s="29" t="s">
        <v>9274</v>
      </c>
      <c r="H1910" s="29" t="s">
        <v>261</v>
      </c>
      <c r="I1910" s="29" t="s">
        <v>243</v>
      </c>
      <c r="J1910" s="28" t="s">
        <v>6865</v>
      </c>
      <c r="K1910" s="28" t="s">
        <v>9275</v>
      </c>
      <c r="L1910" s="258">
        <v>0.995</v>
      </c>
      <c r="M1910" s="27" t="s">
        <v>353</v>
      </c>
      <c r="N1910" s="27" t="s">
        <v>362</v>
      </c>
      <c r="O1910" s="56"/>
      <c r="P1910" s="56">
        <f>9600000*12</f>
        <v>115200000</v>
      </c>
      <c r="Q1910" s="27"/>
      <c r="R1910" s="56"/>
      <c r="S1910" s="56">
        <f>10166000*12</f>
        <v>121992000</v>
      </c>
      <c r="T1910" s="65"/>
      <c r="U1910" s="334">
        <v>45482</v>
      </c>
      <c r="V1910" s="334">
        <v>45846</v>
      </c>
      <c r="W1910" s="27" t="s">
        <v>250</v>
      </c>
      <c r="X1910" s="27"/>
      <c r="Y1910" s="34">
        <f t="shared" ca="1" si="108"/>
        <v>46290</v>
      </c>
      <c r="Z1910" s="35">
        <f t="shared" ca="1" si="111"/>
        <v>-444</v>
      </c>
      <c r="AA1910" s="27">
        <f t="shared" si="112"/>
        <v>7</v>
      </c>
      <c r="AB1910" s="27">
        <f t="shared" si="113"/>
        <v>2025</v>
      </c>
      <c r="AC1910" s="28" t="s">
        <v>9276</v>
      </c>
      <c r="AD1910" s="29" t="s">
        <v>9277</v>
      </c>
      <c r="AE1910" s="47" t="s">
        <v>9278</v>
      </c>
      <c r="AF1910" s="52" t="s">
        <v>471</v>
      </c>
      <c r="AG1910" s="29" t="s">
        <v>8922</v>
      </c>
      <c r="AH1910" s="160"/>
      <c r="AI1910" s="27"/>
      <c r="AJ1910" s="27"/>
      <c r="AK1910" s="27"/>
      <c r="AL1910" s="27"/>
      <c r="AM1910" s="27"/>
      <c r="AN1910" s="27"/>
      <c r="AO1910" s="27"/>
      <c r="AP1910" s="29">
        <v>369</v>
      </c>
      <c r="AQ1910" s="29"/>
      <c r="AR1910" s="506"/>
      <c r="AS1910" s="332"/>
      <c r="AT1910" s="160"/>
    </row>
    <row r="1911" spans="1:46" ht="21.75" hidden="1" customHeight="1">
      <c r="A1911" s="331">
        <v>1910</v>
      </c>
      <c r="B1911" s="361" t="s">
        <v>1659</v>
      </c>
      <c r="C1911" s="28" t="s">
        <v>6914</v>
      </c>
      <c r="D1911" s="436" t="s">
        <v>6903</v>
      </c>
      <c r="E1911" s="361" t="str">
        <f t="shared" ca="1" si="106"/>
        <v>LOSS</v>
      </c>
      <c r="F1911" s="29"/>
      <c r="G1911" s="29" t="s">
        <v>6916</v>
      </c>
      <c r="H1911" s="29" t="s">
        <v>261</v>
      </c>
      <c r="I1911" s="29" t="s">
        <v>243</v>
      </c>
      <c r="J1911" s="28" t="s">
        <v>9279</v>
      </c>
      <c r="K1911" s="28" t="s">
        <v>9280</v>
      </c>
      <c r="L1911" s="258">
        <v>0.995</v>
      </c>
      <c r="M1911" s="27" t="s">
        <v>6919</v>
      </c>
      <c r="N1911" s="27" t="s">
        <v>389</v>
      </c>
      <c r="O1911" s="56"/>
      <c r="P1911" s="56">
        <f>24500000*12</f>
        <v>294000000</v>
      </c>
      <c r="Q1911" s="27"/>
      <c r="R1911" s="56"/>
      <c r="S1911" s="56">
        <f>23000000*12</f>
        <v>276000000</v>
      </c>
      <c r="T1911" s="65"/>
      <c r="U1911" s="334">
        <v>45488</v>
      </c>
      <c r="V1911" s="334">
        <v>45838</v>
      </c>
      <c r="W1911" s="27" t="s">
        <v>250</v>
      </c>
      <c r="X1911" s="27"/>
      <c r="Y1911" s="34">
        <f t="shared" ca="1" si="108"/>
        <v>46290</v>
      </c>
      <c r="Z1911" s="35">
        <f t="shared" ca="1" si="111"/>
        <v>-452</v>
      </c>
      <c r="AA1911" s="27">
        <f t="shared" si="112"/>
        <v>6</v>
      </c>
      <c r="AB1911" s="27">
        <f t="shared" si="113"/>
        <v>2025</v>
      </c>
      <c r="AC1911" s="28" t="s">
        <v>9281</v>
      </c>
      <c r="AD1911" s="29" t="s">
        <v>9282</v>
      </c>
      <c r="AE1911" s="47" t="s">
        <v>9283</v>
      </c>
      <c r="AF1911" s="52" t="s">
        <v>471</v>
      </c>
      <c r="AG1911" s="29" t="s">
        <v>9140</v>
      </c>
      <c r="AH1911" s="160"/>
      <c r="AI1911" s="27"/>
      <c r="AJ1911" s="27"/>
      <c r="AK1911" s="27"/>
      <c r="AL1911" s="27"/>
      <c r="AM1911" s="27"/>
      <c r="AN1911" s="27"/>
      <c r="AO1911" s="27"/>
      <c r="AP1911" s="29">
        <v>236</v>
      </c>
      <c r="AQ1911" s="29"/>
      <c r="AR1911" s="506"/>
      <c r="AS1911" s="332"/>
      <c r="AT1911" s="160"/>
    </row>
    <row r="1912" spans="1:46" ht="21.75" hidden="1" customHeight="1">
      <c r="A1912" s="331">
        <v>1911</v>
      </c>
      <c r="B1912" s="28" t="s">
        <v>348</v>
      </c>
      <c r="C1912" s="28" t="s">
        <v>461</v>
      </c>
      <c r="D1912" s="448" t="s">
        <v>474</v>
      </c>
      <c r="E1912" s="361" t="str">
        <f t="shared" ca="1" si="106"/>
        <v>LOSS</v>
      </c>
      <c r="F1912" s="29"/>
      <c r="G1912" s="29" t="s">
        <v>9284</v>
      </c>
      <c r="H1912" s="29" t="s">
        <v>2748</v>
      </c>
      <c r="I1912" s="29" t="s">
        <v>242</v>
      </c>
      <c r="J1912" s="28" t="s">
        <v>9285</v>
      </c>
      <c r="K1912" s="38" t="s">
        <v>9286</v>
      </c>
      <c r="L1912" s="27"/>
      <c r="M1912" s="27" t="s">
        <v>365</v>
      </c>
      <c r="N1912" s="27" t="s">
        <v>494</v>
      </c>
      <c r="O1912" s="56">
        <v>204538</v>
      </c>
      <c r="P1912" s="56">
        <v>19074240</v>
      </c>
      <c r="Q1912" s="27"/>
      <c r="R1912" s="151"/>
      <c r="S1912" s="279">
        <v>3715372</v>
      </c>
      <c r="T1912" s="65"/>
      <c r="U1912" s="334">
        <v>45561</v>
      </c>
      <c r="V1912" s="334">
        <v>45657</v>
      </c>
      <c r="W1912" s="27" t="s">
        <v>17</v>
      </c>
      <c r="X1912" s="27"/>
      <c r="Y1912" s="34">
        <f t="shared" ca="1" si="108"/>
        <v>46290</v>
      </c>
      <c r="Z1912" s="35">
        <f t="shared" ca="1" si="111"/>
        <v>-633</v>
      </c>
      <c r="AA1912" s="27">
        <f t="shared" si="112"/>
        <v>12</v>
      </c>
      <c r="AB1912" s="27">
        <f t="shared" si="113"/>
        <v>2024</v>
      </c>
      <c r="AC1912" s="28"/>
      <c r="AD1912" s="147" t="s">
        <v>9287</v>
      </c>
      <c r="AE1912" s="47" t="s">
        <v>9288</v>
      </c>
      <c r="AF1912" s="52" t="s">
        <v>356</v>
      </c>
      <c r="AG1912" s="170" t="s">
        <v>9218</v>
      </c>
      <c r="AH1912" s="160"/>
      <c r="AI1912" s="27"/>
      <c r="AJ1912" s="27"/>
      <c r="AK1912" s="27"/>
      <c r="AL1912" s="27"/>
      <c r="AM1912" s="27"/>
      <c r="AN1912" s="27"/>
      <c r="AO1912" s="27"/>
      <c r="AP1912" s="29"/>
      <c r="AQ1912" s="29"/>
      <c r="AR1912" s="506"/>
      <c r="AS1912" s="332"/>
      <c r="AT1912" s="160"/>
    </row>
    <row r="1913" spans="1:46" ht="21.75" hidden="1" customHeight="1">
      <c r="A1913" s="331">
        <v>1912</v>
      </c>
      <c r="B1913" s="28" t="s">
        <v>1462</v>
      </c>
      <c r="C1913" s="28" t="s">
        <v>1463</v>
      </c>
      <c r="D1913" s="444" t="s">
        <v>9289</v>
      </c>
      <c r="E1913" s="361" t="str">
        <f t="shared" ca="1" si="106"/>
        <v>LOSS</v>
      </c>
      <c r="F1913" s="29"/>
      <c r="G1913" s="28" t="s">
        <v>9290</v>
      </c>
      <c r="H1913" s="29" t="s">
        <v>261</v>
      </c>
      <c r="I1913" s="29" t="s">
        <v>243</v>
      </c>
      <c r="J1913" s="28" t="s">
        <v>2329</v>
      </c>
      <c r="K1913" s="38" t="s">
        <v>6975</v>
      </c>
      <c r="L1913" s="280">
        <v>0.995</v>
      </c>
      <c r="M1913" s="27" t="s">
        <v>329</v>
      </c>
      <c r="N1913" s="27" t="s">
        <v>354</v>
      </c>
      <c r="O1913" s="56"/>
      <c r="P1913" s="31">
        <f>2500000*12</f>
        <v>30000000</v>
      </c>
      <c r="Q1913" s="31"/>
      <c r="R1913" s="56"/>
      <c r="S1913" s="100">
        <v>78000000</v>
      </c>
      <c r="T1913" s="34"/>
      <c r="U1913" s="334">
        <v>45597</v>
      </c>
      <c r="V1913" s="334">
        <v>45961</v>
      </c>
      <c r="W1913" s="27" t="s">
        <v>250</v>
      </c>
      <c r="X1913" s="27"/>
      <c r="Y1913" s="34">
        <f t="shared" ca="1" si="108"/>
        <v>46290</v>
      </c>
      <c r="Z1913" s="35">
        <f t="shared" ca="1" si="111"/>
        <v>-329</v>
      </c>
      <c r="AA1913" s="27">
        <f t="shared" si="112"/>
        <v>10</v>
      </c>
      <c r="AB1913" s="27">
        <f t="shared" si="113"/>
        <v>2025</v>
      </c>
      <c r="AC1913" s="194" t="s">
        <v>6976</v>
      </c>
      <c r="AD1913" s="194" t="s">
        <v>9291</v>
      </c>
      <c r="AE1913" s="47" t="s">
        <v>9292</v>
      </c>
      <c r="AF1913" s="52" t="s">
        <v>8995</v>
      </c>
      <c r="AG1913" s="170" t="s">
        <v>6977</v>
      </c>
      <c r="AH1913" s="174" t="s">
        <v>6978</v>
      </c>
      <c r="AI1913" s="27"/>
      <c r="AJ1913" s="27"/>
      <c r="AK1913" s="27"/>
      <c r="AL1913" s="27"/>
      <c r="AM1913" s="27"/>
      <c r="AN1913" s="27"/>
      <c r="AO1913" s="27"/>
      <c r="AP1913" s="27">
        <v>265</v>
      </c>
      <c r="AQ1913" s="27"/>
      <c r="AR1913" s="504"/>
      <c r="AS1913" s="332"/>
      <c r="AT1913" s="160"/>
    </row>
    <row r="1914" spans="1:46" ht="21.75" hidden="1" customHeight="1">
      <c r="A1914" s="331">
        <v>1913</v>
      </c>
      <c r="B1914" s="28" t="s">
        <v>614</v>
      </c>
      <c r="C1914" s="28" t="s">
        <v>9293</v>
      </c>
      <c r="D1914" s="443" t="s">
        <v>9294</v>
      </c>
      <c r="E1914" s="361" t="str">
        <f t="shared" ca="1" si="106"/>
        <v>LOSS</v>
      </c>
      <c r="F1914" s="29" t="s">
        <v>9258</v>
      </c>
      <c r="G1914" s="38" t="s">
        <v>9259</v>
      </c>
      <c r="H1914" s="29" t="s">
        <v>261</v>
      </c>
      <c r="I1914" s="29" t="s">
        <v>243</v>
      </c>
      <c r="J1914" s="28" t="s">
        <v>9260</v>
      </c>
      <c r="K1914" s="38" t="s">
        <v>6801</v>
      </c>
      <c r="L1914" s="274">
        <v>0.99</v>
      </c>
      <c r="M1914" s="27" t="s">
        <v>365</v>
      </c>
      <c r="N1914" s="27" t="s">
        <v>6802</v>
      </c>
      <c r="O1914" s="56"/>
      <c r="P1914" s="31">
        <v>47400000</v>
      </c>
      <c r="Q1914" s="31"/>
      <c r="R1914" s="56"/>
      <c r="S1914" s="100">
        <f>3500000*12</f>
        <v>42000000</v>
      </c>
      <c r="T1914" s="34"/>
      <c r="U1914" s="334">
        <v>45575</v>
      </c>
      <c r="V1914" s="334">
        <v>45939</v>
      </c>
      <c r="W1914" s="27" t="s">
        <v>250</v>
      </c>
      <c r="X1914" s="27"/>
      <c r="Y1914" s="34">
        <f t="shared" ca="1" si="108"/>
        <v>46290</v>
      </c>
      <c r="Z1914" s="35">
        <f t="shared" ca="1" si="111"/>
        <v>-351</v>
      </c>
      <c r="AA1914" s="27">
        <f t="shared" si="112"/>
        <v>10</v>
      </c>
      <c r="AB1914" s="27">
        <f t="shared" si="113"/>
        <v>2025</v>
      </c>
      <c r="AC1914" s="194" t="s">
        <v>9295</v>
      </c>
      <c r="AD1914" s="194" t="s">
        <v>9296</v>
      </c>
      <c r="AE1914" s="47" t="s">
        <v>9297</v>
      </c>
      <c r="AF1914" s="52" t="s">
        <v>8995</v>
      </c>
      <c r="AG1914" s="160" t="s">
        <v>6803</v>
      </c>
      <c r="AH1914" s="160"/>
      <c r="AI1914" s="27"/>
      <c r="AJ1914" s="27"/>
      <c r="AK1914" s="27"/>
      <c r="AL1914" s="27"/>
      <c r="AM1914" s="27"/>
      <c r="AN1914" s="27"/>
      <c r="AO1914" s="27"/>
      <c r="AP1914" s="27">
        <v>331</v>
      </c>
      <c r="AQ1914" s="27"/>
      <c r="AR1914" s="504"/>
      <c r="AS1914" s="332"/>
      <c r="AT1914" s="160"/>
    </row>
    <row r="1915" spans="1:46" ht="21.75" hidden="1" customHeight="1">
      <c r="A1915" s="331">
        <v>1914</v>
      </c>
      <c r="B1915" s="28" t="s">
        <v>1659</v>
      </c>
      <c r="C1915" s="28" t="s">
        <v>322</v>
      </c>
      <c r="D1915" s="444" t="s">
        <v>9298</v>
      </c>
      <c r="E1915" s="361" t="str">
        <f t="shared" ca="1" si="106"/>
        <v>LOSS</v>
      </c>
      <c r="F1915" s="29" t="s">
        <v>9299</v>
      </c>
      <c r="G1915" s="28" t="s">
        <v>9300</v>
      </c>
      <c r="H1915" s="29" t="s">
        <v>261</v>
      </c>
      <c r="I1915" s="29" t="s">
        <v>243</v>
      </c>
      <c r="J1915" s="281" t="s">
        <v>9301</v>
      </c>
      <c r="K1915" s="38">
        <v>1000057869</v>
      </c>
      <c r="L1915" s="280">
        <v>0.995</v>
      </c>
      <c r="M1915" s="27" t="s">
        <v>329</v>
      </c>
      <c r="N1915" s="27" t="s">
        <v>6802</v>
      </c>
      <c r="O1915" s="56"/>
      <c r="P1915" s="31">
        <f>4200000*12</f>
        <v>50400000</v>
      </c>
      <c r="Q1915" s="31"/>
      <c r="R1915" s="56"/>
      <c r="S1915" s="100">
        <f>4000000*12</f>
        <v>48000000</v>
      </c>
      <c r="T1915" s="34"/>
      <c r="U1915" s="334">
        <v>45575</v>
      </c>
      <c r="V1915" s="334">
        <v>45939</v>
      </c>
      <c r="W1915" s="27" t="s">
        <v>250</v>
      </c>
      <c r="X1915" s="27"/>
      <c r="Y1915" s="34">
        <f t="shared" ca="1" si="108"/>
        <v>46290</v>
      </c>
      <c r="Z1915" s="35">
        <f t="shared" ca="1" si="111"/>
        <v>-351</v>
      </c>
      <c r="AA1915" s="27">
        <f t="shared" si="112"/>
        <v>10</v>
      </c>
      <c r="AB1915" s="27">
        <f t="shared" si="113"/>
        <v>2025</v>
      </c>
      <c r="AC1915" s="194" t="s">
        <v>9302</v>
      </c>
      <c r="AD1915" s="194" t="s">
        <v>9303</v>
      </c>
      <c r="AE1915" s="47" t="s">
        <v>9304</v>
      </c>
      <c r="AF1915" s="52" t="s">
        <v>8995</v>
      </c>
      <c r="AG1915" s="170" t="s">
        <v>9305</v>
      </c>
      <c r="AH1915" s="160"/>
      <c r="AI1915" s="27"/>
      <c r="AJ1915" s="27"/>
      <c r="AK1915" s="27"/>
      <c r="AL1915" s="27"/>
      <c r="AM1915" s="27"/>
      <c r="AN1915" s="27"/>
      <c r="AO1915" s="27"/>
      <c r="AP1915" s="27">
        <v>397</v>
      </c>
      <c r="AQ1915" s="27"/>
      <c r="AR1915" s="504"/>
      <c r="AS1915" s="332"/>
      <c r="AT1915" s="160"/>
    </row>
    <row r="1916" spans="1:46" ht="21.75" hidden="1" customHeight="1">
      <c r="A1916" s="331">
        <v>1915</v>
      </c>
      <c r="B1916" s="28" t="s">
        <v>628</v>
      </c>
      <c r="C1916" s="28" t="s">
        <v>9306</v>
      </c>
      <c r="D1916" s="438" t="s">
        <v>7640</v>
      </c>
      <c r="E1916" s="361" t="str">
        <f t="shared" ca="1" si="106"/>
        <v>LOSS</v>
      </c>
      <c r="F1916" s="29"/>
      <c r="G1916" s="28" t="s">
        <v>9307</v>
      </c>
      <c r="H1916" s="29" t="s">
        <v>261</v>
      </c>
      <c r="I1916" s="29" t="s">
        <v>243</v>
      </c>
      <c r="J1916" s="28" t="s">
        <v>7698</v>
      </c>
      <c r="K1916" s="38" t="s">
        <v>9308</v>
      </c>
      <c r="L1916" s="27" t="s">
        <v>4749</v>
      </c>
      <c r="M1916" s="27" t="s">
        <v>329</v>
      </c>
      <c r="N1916" s="27" t="s">
        <v>6649</v>
      </c>
      <c r="O1916" s="56"/>
      <c r="P1916" s="31">
        <f>2975000*12</f>
        <v>35700000</v>
      </c>
      <c r="Q1916" s="31"/>
      <c r="R1916" s="56">
        <v>3000000</v>
      </c>
      <c r="S1916" s="100">
        <f>360000*12</f>
        <v>4320000</v>
      </c>
      <c r="T1916" s="34"/>
      <c r="U1916" s="334">
        <v>45292</v>
      </c>
      <c r="V1916" s="334">
        <v>45657</v>
      </c>
      <c r="W1916" s="27" t="s">
        <v>250</v>
      </c>
      <c r="X1916" s="27"/>
      <c r="Y1916" s="34">
        <f t="shared" ca="1" si="108"/>
        <v>46290</v>
      </c>
      <c r="Z1916" s="35">
        <f t="shared" ca="1" si="111"/>
        <v>-633</v>
      </c>
      <c r="AA1916" s="27">
        <f t="shared" si="112"/>
        <v>12</v>
      </c>
      <c r="AB1916" s="27">
        <f t="shared" si="113"/>
        <v>2024</v>
      </c>
      <c r="AC1916" s="28"/>
      <c r="AD1916" s="171" t="s">
        <v>9309</v>
      </c>
      <c r="AE1916" s="47" t="s">
        <v>9310</v>
      </c>
      <c r="AF1916" s="52" t="s">
        <v>471</v>
      </c>
      <c r="AG1916" s="160" t="s">
        <v>633</v>
      </c>
      <c r="AH1916" s="174" t="s">
        <v>634</v>
      </c>
      <c r="AI1916" s="27"/>
      <c r="AJ1916" s="27"/>
      <c r="AK1916" s="27"/>
      <c r="AL1916" s="27"/>
      <c r="AM1916" s="27"/>
      <c r="AN1916" s="27"/>
      <c r="AO1916" s="27"/>
      <c r="AP1916" s="27">
        <v>135</v>
      </c>
      <c r="AQ1916" s="27"/>
      <c r="AR1916" s="504"/>
      <c r="AS1916" s="332" t="s">
        <v>9311</v>
      </c>
      <c r="AT1916" s="160"/>
    </row>
    <row r="1917" spans="1:46" ht="21.75" hidden="1" customHeight="1">
      <c r="A1917" s="331">
        <v>1916</v>
      </c>
      <c r="B1917" s="173" t="s">
        <v>7295</v>
      </c>
      <c r="C1917" s="28" t="s">
        <v>1467</v>
      </c>
      <c r="D1917" s="437" t="s">
        <v>7322</v>
      </c>
      <c r="E1917" s="361" t="str">
        <f t="shared" ca="1" si="106"/>
        <v>LOSS</v>
      </c>
      <c r="F1917" s="28" t="s">
        <v>7323</v>
      </c>
      <c r="G1917" s="28" t="s">
        <v>7324</v>
      </c>
      <c r="H1917" s="28" t="s">
        <v>261</v>
      </c>
      <c r="I1917" s="264" t="s">
        <v>243</v>
      </c>
      <c r="J1917" s="28" t="s">
        <v>7325</v>
      </c>
      <c r="K1917" s="38" t="s">
        <v>7326</v>
      </c>
      <c r="L1917" s="150">
        <v>0.98</v>
      </c>
      <c r="M1917" s="27" t="s">
        <v>329</v>
      </c>
      <c r="N1917" s="27" t="s">
        <v>6835</v>
      </c>
      <c r="O1917" s="56"/>
      <c r="P1917" s="52">
        <f>6007392*12</f>
        <v>72088704</v>
      </c>
      <c r="Q1917" s="52"/>
      <c r="R1917" s="56"/>
      <c r="S1917" s="32">
        <f>5440000*12</f>
        <v>65280000</v>
      </c>
      <c r="T1917" s="33"/>
      <c r="U1917" s="334">
        <v>45565</v>
      </c>
      <c r="V1917" s="334">
        <v>45929</v>
      </c>
      <c r="W1917" s="27" t="s">
        <v>250</v>
      </c>
      <c r="X1917" s="27"/>
      <c r="Y1917" s="34">
        <f t="shared" ca="1" si="108"/>
        <v>46290</v>
      </c>
      <c r="Z1917" s="35">
        <f t="shared" ca="1" si="111"/>
        <v>-361</v>
      </c>
      <c r="AA1917" s="27">
        <f t="shared" si="112"/>
        <v>9</v>
      </c>
      <c r="AB1917" s="27">
        <f t="shared" si="113"/>
        <v>2025</v>
      </c>
      <c r="AC1917" s="28" t="s">
        <v>9312</v>
      </c>
      <c r="AD1917" s="28" t="s">
        <v>9313</v>
      </c>
      <c r="AE1917" s="27">
        <v>4500023790</v>
      </c>
      <c r="AF1917" s="27" t="s">
        <v>471</v>
      </c>
      <c r="AG1917" s="29" t="s">
        <v>9314</v>
      </c>
      <c r="AH1917" s="174" t="s">
        <v>9315</v>
      </c>
      <c r="AI1917" s="27"/>
      <c r="AJ1917" s="27"/>
      <c r="AK1917" s="27"/>
      <c r="AL1917" s="27"/>
      <c r="AM1917" s="27"/>
      <c r="AN1917" s="27"/>
      <c r="AO1917" s="27"/>
      <c r="AP1917" s="27">
        <v>395</v>
      </c>
      <c r="AQ1917" s="27"/>
      <c r="AR1917" s="504"/>
      <c r="AS1917" s="332"/>
      <c r="AT1917" s="160"/>
    </row>
    <row r="1918" spans="1:46" ht="21.75" hidden="1" customHeight="1">
      <c r="A1918" s="331">
        <v>1917</v>
      </c>
      <c r="B1918" s="173" t="s">
        <v>7295</v>
      </c>
      <c r="C1918" s="28" t="s">
        <v>9316</v>
      </c>
      <c r="D1918" s="438" t="s">
        <v>7317</v>
      </c>
      <c r="E1918" s="361" t="str">
        <f t="shared" ca="1" si="106"/>
        <v>LOSS</v>
      </c>
      <c r="F1918" s="29"/>
      <c r="G1918" s="28" t="s">
        <v>9317</v>
      </c>
      <c r="H1918" s="29" t="s">
        <v>261</v>
      </c>
      <c r="I1918" s="29" t="s">
        <v>243</v>
      </c>
      <c r="J1918" s="28" t="s">
        <v>9193</v>
      </c>
      <c r="K1918" s="36" t="s">
        <v>9318</v>
      </c>
      <c r="L1918" s="70">
        <v>0.99</v>
      </c>
      <c r="M1918" s="27" t="s">
        <v>329</v>
      </c>
      <c r="N1918" s="27" t="s">
        <v>6649</v>
      </c>
      <c r="O1918" s="56">
        <v>2000000</v>
      </c>
      <c r="P1918" s="31">
        <f>2100000*12</f>
        <v>25200000</v>
      </c>
      <c r="Q1918" s="31"/>
      <c r="R1918" s="56">
        <v>3000000</v>
      </c>
      <c r="S1918" s="100">
        <f>(682200*2)*12</f>
        <v>16372800</v>
      </c>
      <c r="T1918" s="34"/>
      <c r="U1918" s="334">
        <v>45504</v>
      </c>
      <c r="V1918" s="334">
        <v>45868</v>
      </c>
      <c r="W1918" s="27" t="s">
        <v>250</v>
      </c>
      <c r="X1918" s="27"/>
      <c r="Y1918" s="34">
        <f t="shared" ca="1" si="108"/>
        <v>46290</v>
      </c>
      <c r="Z1918" s="35">
        <f t="shared" ca="1" si="111"/>
        <v>-422</v>
      </c>
      <c r="AA1918" s="27">
        <f t="shared" si="112"/>
        <v>7</v>
      </c>
      <c r="AB1918" s="27">
        <f t="shared" si="113"/>
        <v>2025</v>
      </c>
      <c r="AC1918" s="28" t="s">
        <v>3371</v>
      </c>
      <c r="AD1918" s="171" t="s">
        <v>9319</v>
      </c>
      <c r="AE1918" s="47" t="s">
        <v>9320</v>
      </c>
      <c r="AF1918" s="52" t="s">
        <v>471</v>
      </c>
      <c r="AG1918" s="29" t="s">
        <v>9314</v>
      </c>
      <c r="AH1918" s="174" t="s">
        <v>9315</v>
      </c>
      <c r="AI1918" s="27"/>
      <c r="AJ1918" s="27"/>
      <c r="AK1918" s="27"/>
      <c r="AL1918" s="27"/>
      <c r="AM1918" s="27"/>
      <c r="AN1918" s="27"/>
      <c r="AO1918" s="27"/>
      <c r="AP1918" s="27">
        <v>357</v>
      </c>
      <c r="AQ1918" s="27"/>
      <c r="AR1918" s="504"/>
      <c r="AS1918" s="332"/>
      <c r="AT1918" s="160"/>
    </row>
    <row r="1919" spans="1:46" ht="21.75" hidden="1" customHeight="1">
      <c r="A1919" s="331">
        <v>1918</v>
      </c>
      <c r="B1919" s="28" t="s">
        <v>1043</v>
      </c>
      <c r="C1919" s="28" t="s">
        <v>7229</v>
      </c>
      <c r="D1919" s="437" t="s">
        <v>6810</v>
      </c>
      <c r="E1919" s="361" t="str">
        <f t="shared" ca="1" si="106"/>
        <v>LOSS</v>
      </c>
      <c r="F1919" s="29"/>
      <c r="G1919" s="28" t="s">
        <v>8309</v>
      </c>
      <c r="H1919" s="29" t="s">
        <v>261</v>
      </c>
      <c r="I1919" s="29" t="s">
        <v>243</v>
      </c>
      <c r="J1919" s="28" t="s">
        <v>9321</v>
      </c>
      <c r="K1919" s="36" t="s">
        <v>8311</v>
      </c>
      <c r="L1919" s="51">
        <v>0.995</v>
      </c>
      <c r="M1919" s="27" t="s">
        <v>365</v>
      </c>
      <c r="N1919" s="27" t="s">
        <v>6762</v>
      </c>
      <c r="O1919" s="56"/>
      <c r="P1919" s="31">
        <f>75000000*12</f>
        <v>900000000</v>
      </c>
      <c r="Q1919" s="31"/>
      <c r="R1919" s="56"/>
      <c r="S1919" s="100">
        <f>17000000*12</f>
        <v>204000000</v>
      </c>
      <c r="T1919" s="34"/>
      <c r="U1919" s="334">
        <v>45517</v>
      </c>
      <c r="V1919" s="334">
        <v>45869</v>
      </c>
      <c r="W1919" s="27" t="s">
        <v>250</v>
      </c>
      <c r="X1919" s="27"/>
      <c r="Y1919" s="34">
        <f t="shared" ca="1" si="108"/>
        <v>46290</v>
      </c>
      <c r="Z1919" s="35">
        <f t="shared" ca="1" si="111"/>
        <v>-421</v>
      </c>
      <c r="AA1919" s="27">
        <f t="shared" si="112"/>
        <v>7</v>
      </c>
      <c r="AB1919" s="27">
        <f t="shared" si="113"/>
        <v>2025</v>
      </c>
      <c r="AC1919" s="28" t="s">
        <v>9322</v>
      </c>
      <c r="AD1919" s="171" t="s">
        <v>9323</v>
      </c>
      <c r="AE1919" s="47" t="s">
        <v>9324</v>
      </c>
      <c r="AF1919" s="52" t="s">
        <v>471</v>
      </c>
      <c r="AG1919" s="29" t="s">
        <v>9140</v>
      </c>
      <c r="AH1919" s="29" t="s">
        <v>8922</v>
      </c>
      <c r="AI1919" s="27"/>
      <c r="AJ1919" s="27"/>
      <c r="AK1919" s="27"/>
      <c r="AL1919" s="27"/>
      <c r="AM1919" s="27"/>
      <c r="AN1919" s="27"/>
      <c r="AO1919" s="27"/>
      <c r="AP1919" s="27">
        <v>392</v>
      </c>
      <c r="AQ1919" s="27"/>
      <c r="AR1919" s="504"/>
      <c r="AS1919" s="332" t="s">
        <v>6921</v>
      </c>
      <c r="AT1919" s="160"/>
    </row>
    <row r="1920" spans="1:46" ht="21.75" hidden="1" customHeight="1">
      <c r="A1920" s="331">
        <v>1919</v>
      </c>
      <c r="B1920" s="28" t="s">
        <v>1043</v>
      </c>
      <c r="C1920" s="28" t="s">
        <v>6825</v>
      </c>
      <c r="D1920" s="438" t="s">
        <v>6810</v>
      </c>
      <c r="E1920" s="361" t="str">
        <f t="shared" ca="1" si="106"/>
        <v>LOSS</v>
      </c>
      <c r="F1920" s="29"/>
      <c r="G1920" s="28" t="s">
        <v>9325</v>
      </c>
      <c r="H1920" s="29" t="s">
        <v>261</v>
      </c>
      <c r="I1920" s="29" t="s">
        <v>243</v>
      </c>
      <c r="J1920" s="28" t="s">
        <v>6827</v>
      </c>
      <c r="K1920" s="36" t="s">
        <v>9326</v>
      </c>
      <c r="L1920" s="27" t="s">
        <v>4749</v>
      </c>
      <c r="M1920" s="27" t="s">
        <v>365</v>
      </c>
      <c r="N1920" s="27" t="s">
        <v>6802</v>
      </c>
      <c r="O1920" s="56"/>
      <c r="P1920" s="31">
        <f>3950000*12</f>
        <v>47400000</v>
      </c>
      <c r="Q1920" s="31"/>
      <c r="R1920" s="31"/>
      <c r="S1920" s="56">
        <f>3500000*12</f>
        <v>42000000</v>
      </c>
      <c r="T1920" s="34"/>
      <c r="U1920" s="334">
        <v>45516</v>
      </c>
      <c r="V1920" s="334">
        <v>45880</v>
      </c>
      <c r="W1920" s="27" t="s">
        <v>250</v>
      </c>
      <c r="X1920" s="27"/>
      <c r="Y1920" s="34">
        <f t="shared" ca="1" si="108"/>
        <v>46290</v>
      </c>
      <c r="Z1920" s="35">
        <f t="shared" ca="1" si="111"/>
        <v>-410</v>
      </c>
      <c r="AA1920" s="27">
        <f t="shared" si="112"/>
        <v>8</v>
      </c>
      <c r="AB1920" s="27">
        <f t="shared" si="113"/>
        <v>2025</v>
      </c>
      <c r="AC1920" s="28" t="s">
        <v>9327</v>
      </c>
      <c r="AD1920" s="171" t="s">
        <v>9328</v>
      </c>
      <c r="AE1920" s="47" t="s">
        <v>9329</v>
      </c>
      <c r="AF1920" s="52" t="s">
        <v>471</v>
      </c>
      <c r="AG1920" s="29" t="s">
        <v>9140</v>
      </c>
      <c r="AH1920" s="29" t="s">
        <v>8922</v>
      </c>
      <c r="AI1920" s="27"/>
      <c r="AJ1920" s="27"/>
      <c r="AK1920" s="27"/>
      <c r="AL1920" s="27"/>
      <c r="AM1920" s="27"/>
      <c r="AN1920" s="27"/>
      <c r="AO1920" s="27"/>
      <c r="AP1920" s="27">
        <v>386</v>
      </c>
      <c r="AQ1920" s="27"/>
      <c r="AR1920" s="504"/>
      <c r="AS1920" s="332"/>
      <c r="AT1920" s="160"/>
    </row>
    <row r="1921" spans="1:46" ht="21.75" hidden="1" customHeight="1">
      <c r="A1921" s="331">
        <v>1920</v>
      </c>
      <c r="B1921" s="28" t="s">
        <v>628</v>
      </c>
      <c r="C1921" s="28" t="s">
        <v>684</v>
      </c>
      <c r="D1921" s="437" t="s">
        <v>7640</v>
      </c>
      <c r="E1921" s="361" t="str">
        <f t="shared" ca="1" si="106"/>
        <v>LOSS</v>
      </c>
      <c r="F1921" s="29"/>
      <c r="G1921" s="28" t="s">
        <v>7684</v>
      </c>
      <c r="H1921" s="29" t="s">
        <v>261</v>
      </c>
      <c r="I1921" s="29" t="s">
        <v>243</v>
      </c>
      <c r="J1921" s="28" t="s">
        <v>2661</v>
      </c>
      <c r="K1921" s="38" t="s">
        <v>7685</v>
      </c>
      <c r="L1921" s="53" t="s">
        <v>4749</v>
      </c>
      <c r="M1921" s="27" t="s">
        <v>329</v>
      </c>
      <c r="N1921" s="27" t="s">
        <v>354</v>
      </c>
      <c r="O1921" s="56"/>
      <c r="P1921" s="31">
        <f>2500000*12</f>
        <v>30000000</v>
      </c>
      <c r="Q1921" s="31"/>
      <c r="R1921" s="56"/>
      <c r="S1921" s="100">
        <f>7200000*12</f>
        <v>86400000</v>
      </c>
      <c r="T1921" s="34"/>
      <c r="U1921" s="334">
        <v>45536</v>
      </c>
      <c r="V1921" s="334">
        <v>45900</v>
      </c>
      <c r="W1921" s="27" t="s">
        <v>250</v>
      </c>
      <c r="X1921" s="27"/>
      <c r="Y1921" s="34">
        <f t="shared" ca="1" si="108"/>
        <v>46290</v>
      </c>
      <c r="Z1921" s="35">
        <f t="shared" ca="1" si="111"/>
        <v>-390</v>
      </c>
      <c r="AA1921" s="27">
        <f t="shared" si="112"/>
        <v>8</v>
      </c>
      <c r="AB1921" s="27">
        <f t="shared" si="113"/>
        <v>2025</v>
      </c>
      <c r="AC1921" s="28" t="s">
        <v>9330</v>
      </c>
      <c r="AD1921" s="170" t="s">
        <v>9331</v>
      </c>
      <c r="AE1921" s="47" t="s">
        <v>9332</v>
      </c>
      <c r="AF1921" s="52" t="s">
        <v>471</v>
      </c>
      <c r="AG1921" s="160" t="s">
        <v>633</v>
      </c>
      <c r="AH1921" s="174" t="s">
        <v>634</v>
      </c>
      <c r="AI1921" s="27"/>
      <c r="AJ1921" s="27"/>
      <c r="AK1921" s="27"/>
      <c r="AL1921" s="27"/>
      <c r="AM1921" s="27"/>
      <c r="AN1921" s="27"/>
      <c r="AO1921" s="27"/>
      <c r="AP1921" s="27">
        <v>389</v>
      </c>
      <c r="AQ1921" s="27"/>
      <c r="AR1921" s="504"/>
      <c r="AS1921" s="332"/>
      <c r="AT1921" s="160"/>
    </row>
    <row r="1922" spans="1:46" ht="21.75" hidden="1" customHeight="1">
      <c r="A1922" s="331">
        <v>1921</v>
      </c>
      <c r="B1922" s="28" t="s">
        <v>9333</v>
      </c>
      <c r="C1922" s="28" t="s">
        <v>8333</v>
      </c>
      <c r="D1922" s="438" t="s">
        <v>8367</v>
      </c>
      <c r="E1922" s="361" t="str">
        <f t="shared" ref="E1922:E1985" ca="1" si="114">IF(Z1922&lt;=0, "LOSS",IF(Z1922&lt;=15, "CRITICAL",IF(Z1922&lt;=30, "WARNING",IF(Z1922&lt;60, "ATTENTION", "ON TRACK"))))</f>
        <v>LOSS</v>
      </c>
      <c r="F1922" s="29"/>
      <c r="G1922" s="28" t="s">
        <v>8368</v>
      </c>
      <c r="H1922" s="29" t="s">
        <v>261</v>
      </c>
      <c r="I1922" s="29" t="s">
        <v>243</v>
      </c>
      <c r="J1922" s="28" t="s">
        <v>9334</v>
      </c>
      <c r="K1922" s="36" t="s">
        <v>8370</v>
      </c>
      <c r="L1922" s="51">
        <v>0.995</v>
      </c>
      <c r="M1922" s="27" t="s">
        <v>7153</v>
      </c>
      <c r="N1922" s="27" t="s">
        <v>389</v>
      </c>
      <c r="O1922" s="56"/>
      <c r="P1922" s="31">
        <f>25000000*12</f>
        <v>300000000</v>
      </c>
      <c r="Q1922" s="31"/>
      <c r="R1922" s="56">
        <v>35000000</v>
      </c>
      <c r="S1922" s="100">
        <f>35000000*12</f>
        <v>420000000</v>
      </c>
      <c r="T1922" s="34"/>
      <c r="U1922" s="334">
        <v>45497</v>
      </c>
      <c r="V1922" s="334">
        <v>45861</v>
      </c>
      <c r="W1922" s="27" t="s">
        <v>250</v>
      </c>
      <c r="X1922" s="27"/>
      <c r="Y1922" s="34">
        <f t="shared" ca="1" si="108"/>
        <v>46290</v>
      </c>
      <c r="Z1922" s="35">
        <f t="shared" ca="1" si="111"/>
        <v>-429</v>
      </c>
      <c r="AA1922" s="27">
        <f t="shared" si="112"/>
        <v>7</v>
      </c>
      <c r="AB1922" s="27">
        <f t="shared" si="113"/>
        <v>2025</v>
      </c>
      <c r="AC1922" s="28" t="s">
        <v>9335</v>
      </c>
      <c r="AD1922" s="171" t="s">
        <v>9336</v>
      </c>
      <c r="AE1922" s="47" t="s">
        <v>9337</v>
      </c>
      <c r="AF1922" s="52" t="s">
        <v>471</v>
      </c>
      <c r="AG1922" s="29" t="s">
        <v>5175</v>
      </c>
      <c r="AH1922" s="29" t="s">
        <v>8372</v>
      </c>
      <c r="AI1922" s="27"/>
      <c r="AJ1922" s="27"/>
      <c r="AK1922" s="27"/>
      <c r="AL1922" s="27"/>
      <c r="AM1922" s="27"/>
      <c r="AN1922" s="27"/>
      <c r="AO1922" s="27"/>
      <c r="AP1922" s="27">
        <v>390</v>
      </c>
      <c r="AQ1922" s="27"/>
      <c r="AR1922" s="504"/>
      <c r="AS1922" s="332"/>
      <c r="AT1922" s="160"/>
    </row>
    <row r="1923" spans="1:46" ht="21.75" hidden="1" customHeight="1">
      <c r="A1923" s="331">
        <v>1922</v>
      </c>
      <c r="B1923" s="28" t="s">
        <v>119</v>
      </c>
      <c r="C1923" s="28" t="s">
        <v>1299</v>
      </c>
      <c r="D1923" s="437" t="s">
        <v>452</v>
      </c>
      <c r="E1923" s="361" t="str">
        <f t="shared" ca="1" si="114"/>
        <v>LOSS</v>
      </c>
      <c r="F1923" s="28" t="s">
        <v>7019</v>
      </c>
      <c r="G1923" s="28" t="s">
        <v>7019</v>
      </c>
      <c r="H1923" s="29" t="s">
        <v>261</v>
      </c>
      <c r="I1923" s="29" t="s">
        <v>243</v>
      </c>
      <c r="J1923" s="28" t="s">
        <v>6251</v>
      </c>
      <c r="K1923" s="38" t="s">
        <v>7021</v>
      </c>
      <c r="L1923" s="51">
        <v>0.995</v>
      </c>
      <c r="M1923" s="27" t="s">
        <v>329</v>
      </c>
      <c r="N1923" s="27" t="s">
        <v>389</v>
      </c>
      <c r="O1923" s="56"/>
      <c r="P1923" s="31">
        <f>41500000*12</f>
        <v>498000000</v>
      </c>
      <c r="Q1923" s="31"/>
      <c r="R1923" s="56"/>
      <c r="S1923" s="100">
        <f>30000000*12</f>
        <v>360000000</v>
      </c>
      <c r="T1923" s="34"/>
      <c r="U1923" s="334">
        <v>45518</v>
      </c>
      <c r="V1923" s="334">
        <v>45882</v>
      </c>
      <c r="W1923" s="27" t="s">
        <v>245</v>
      </c>
      <c r="X1923" s="27"/>
      <c r="Y1923" s="34">
        <f t="shared" ca="1" si="108"/>
        <v>46290</v>
      </c>
      <c r="Z1923" s="35">
        <f t="shared" ca="1" si="111"/>
        <v>-408</v>
      </c>
      <c r="AA1923" s="27">
        <f t="shared" si="112"/>
        <v>8</v>
      </c>
      <c r="AB1923" s="27">
        <f t="shared" si="113"/>
        <v>2025</v>
      </c>
      <c r="AC1923" s="28" t="s">
        <v>9338</v>
      </c>
      <c r="AD1923" s="46" t="s">
        <v>9339</v>
      </c>
      <c r="AE1923" s="47" t="s">
        <v>9340</v>
      </c>
      <c r="AF1923" s="52" t="s">
        <v>471</v>
      </c>
      <c r="AG1923" s="170"/>
      <c r="AH1923" s="160"/>
      <c r="AI1923" s="27"/>
      <c r="AJ1923" s="27"/>
      <c r="AK1923" s="27"/>
      <c r="AL1923" s="27"/>
      <c r="AM1923" s="27"/>
      <c r="AN1923" s="27"/>
      <c r="AO1923" s="27"/>
      <c r="AP1923" s="27">
        <v>388</v>
      </c>
      <c r="AQ1923" s="27"/>
      <c r="AR1923" s="504"/>
      <c r="AS1923" s="332"/>
      <c r="AT1923" s="160"/>
    </row>
    <row r="1924" spans="1:46" ht="21.75" hidden="1" customHeight="1">
      <c r="A1924" s="331">
        <v>1923</v>
      </c>
      <c r="B1924" s="28" t="s">
        <v>6688</v>
      </c>
      <c r="C1924" s="28" t="s">
        <v>9341</v>
      </c>
      <c r="D1924" s="443" t="s">
        <v>9342</v>
      </c>
      <c r="E1924" s="361" t="str">
        <f t="shared" ca="1" si="114"/>
        <v>ON TRACK</v>
      </c>
      <c r="F1924" s="29"/>
      <c r="G1924" s="28" t="s">
        <v>9343</v>
      </c>
      <c r="H1924" s="29" t="s">
        <v>261</v>
      </c>
      <c r="I1924" s="29" t="s">
        <v>243</v>
      </c>
      <c r="J1924" s="28" t="s">
        <v>9344</v>
      </c>
      <c r="K1924" s="36" t="s">
        <v>9345</v>
      </c>
      <c r="L1924" s="51">
        <v>0.995</v>
      </c>
      <c r="M1924" s="27" t="s">
        <v>353</v>
      </c>
      <c r="N1924" s="27" t="s">
        <v>6885</v>
      </c>
      <c r="O1924" s="56">
        <v>10181135</v>
      </c>
      <c r="P1924" s="31">
        <f>1800000*12</f>
        <v>21600000</v>
      </c>
      <c r="Q1924" s="31"/>
      <c r="R1924" s="56">
        <v>3000000</v>
      </c>
      <c r="S1924" s="100">
        <f>1000000*12</f>
        <v>12000000</v>
      </c>
      <c r="T1924" s="34"/>
      <c r="U1924" s="334">
        <v>45516</v>
      </c>
      <c r="V1924" s="334">
        <v>46610</v>
      </c>
      <c r="W1924" s="27" t="s">
        <v>17</v>
      </c>
      <c r="X1924" s="27"/>
      <c r="Y1924" s="34">
        <f t="shared" ca="1" si="108"/>
        <v>46290</v>
      </c>
      <c r="Z1924" s="35">
        <f t="shared" ca="1" si="111"/>
        <v>320</v>
      </c>
      <c r="AA1924" s="27">
        <f t="shared" si="112"/>
        <v>8</v>
      </c>
      <c r="AB1924" s="27">
        <f t="shared" si="113"/>
        <v>2027</v>
      </c>
      <c r="AC1924" s="28"/>
      <c r="AD1924" s="28" t="s">
        <v>9346</v>
      </c>
      <c r="AE1924" s="47" t="s">
        <v>9347</v>
      </c>
      <c r="AF1924" s="52" t="s">
        <v>471</v>
      </c>
      <c r="AG1924" s="170" t="s">
        <v>9348</v>
      </c>
      <c r="AH1924" s="160"/>
      <c r="AI1924" s="27"/>
      <c r="AJ1924" s="27"/>
      <c r="AK1924" s="27"/>
      <c r="AL1924" s="27"/>
      <c r="AM1924" s="27"/>
      <c r="AN1924" s="27"/>
      <c r="AO1924" s="27"/>
      <c r="AP1924" s="27">
        <v>191</v>
      </c>
      <c r="AQ1924" s="27"/>
      <c r="AR1924" s="504"/>
      <c r="AS1924" s="332"/>
      <c r="AT1924" s="160"/>
    </row>
    <row r="1925" spans="1:46" ht="21.75" hidden="1" customHeight="1">
      <c r="A1925" s="331">
        <v>1924</v>
      </c>
      <c r="B1925" s="28" t="s">
        <v>9349</v>
      </c>
      <c r="C1925" s="28" t="s">
        <v>8460</v>
      </c>
      <c r="D1925" s="438" t="s">
        <v>1620</v>
      </c>
      <c r="E1925" s="361" t="str">
        <f t="shared" ca="1" si="114"/>
        <v>LOSS</v>
      </c>
      <c r="F1925" s="29" t="s">
        <v>8461</v>
      </c>
      <c r="G1925" s="28" t="s">
        <v>8462</v>
      </c>
      <c r="H1925" s="29" t="s">
        <v>261</v>
      </c>
      <c r="I1925" s="29" t="s">
        <v>243</v>
      </c>
      <c r="J1925" s="28" t="s">
        <v>9350</v>
      </c>
      <c r="K1925" s="36" t="s">
        <v>8464</v>
      </c>
      <c r="L1925" s="27" t="s">
        <v>4749</v>
      </c>
      <c r="M1925" s="27" t="s">
        <v>353</v>
      </c>
      <c r="N1925" s="27" t="s">
        <v>468</v>
      </c>
      <c r="O1925" s="56"/>
      <c r="P1925" s="31">
        <f>6200000*12</f>
        <v>74400000</v>
      </c>
      <c r="Q1925" s="31"/>
      <c r="R1925" s="56"/>
      <c r="S1925" s="100">
        <f>6000000*12</f>
        <v>72000000</v>
      </c>
      <c r="T1925" s="34"/>
      <c r="U1925" s="334">
        <v>45505</v>
      </c>
      <c r="V1925" s="334">
        <v>45869</v>
      </c>
      <c r="W1925" s="27" t="s">
        <v>250</v>
      </c>
      <c r="X1925" s="27"/>
      <c r="Y1925" s="34">
        <f t="shared" ca="1" si="108"/>
        <v>46290</v>
      </c>
      <c r="Z1925" s="35">
        <f t="shared" ca="1" si="111"/>
        <v>-421</v>
      </c>
      <c r="AA1925" s="27">
        <f t="shared" si="112"/>
        <v>7</v>
      </c>
      <c r="AB1925" s="27">
        <f t="shared" si="113"/>
        <v>2025</v>
      </c>
      <c r="AC1925" s="28" t="s">
        <v>9351</v>
      </c>
      <c r="AD1925" s="46" t="s">
        <v>9352</v>
      </c>
      <c r="AE1925" s="47" t="s">
        <v>9353</v>
      </c>
      <c r="AF1925" s="52" t="s">
        <v>471</v>
      </c>
      <c r="AG1925" s="29" t="s">
        <v>7075</v>
      </c>
      <c r="AH1925" s="160"/>
      <c r="AI1925" s="27"/>
      <c r="AJ1925" s="27"/>
      <c r="AK1925" s="27"/>
      <c r="AL1925" s="27"/>
      <c r="AM1925" s="27"/>
      <c r="AN1925" s="27"/>
      <c r="AO1925" s="27"/>
      <c r="AP1925" s="27">
        <v>380</v>
      </c>
      <c r="AQ1925" s="27"/>
      <c r="AR1925" s="504"/>
      <c r="AS1925" s="332"/>
      <c r="AT1925" s="160"/>
    </row>
    <row r="1926" spans="1:46" ht="21.75" hidden="1" customHeight="1">
      <c r="A1926" s="331">
        <v>1925</v>
      </c>
      <c r="B1926" s="28" t="s">
        <v>1909</v>
      </c>
      <c r="C1926" s="28" t="s">
        <v>6629</v>
      </c>
      <c r="D1926" s="438" t="s">
        <v>6630</v>
      </c>
      <c r="E1926" s="361" t="str">
        <f t="shared" ca="1" si="114"/>
        <v>LOSS</v>
      </c>
      <c r="F1926" s="29" t="s">
        <v>9354</v>
      </c>
      <c r="G1926" s="28" t="s">
        <v>6631</v>
      </c>
      <c r="H1926" s="29" t="s">
        <v>261</v>
      </c>
      <c r="I1926" s="29" t="s">
        <v>243</v>
      </c>
      <c r="J1926" s="28" t="s">
        <v>6632</v>
      </c>
      <c r="K1926" s="38" t="s">
        <v>6633</v>
      </c>
      <c r="L1926" s="53">
        <v>0.99</v>
      </c>
      <c r="M1926" s="27" t="s">
        <v>329</v>
      </c>
      <c r="N1926" s="27" t="s">
        <v>494</v>
      </c>
      <c r="O1926" s="56"/>
      <c r="P1926" s="31">
        <f>11318182*12</f>
        <v>135818184</v>
      </c>
      <c r="Q1926" s="31"/>
      <c r="R1926" s="56"/>
      <c r="S1926" s="100">
        <f>7500000*12</f>
        <v>90000000</v>
      </c>
      <c r="T1926" s="34"/>
      <c r="U1926" s="334">
        <v>45522</v>
      </c>
      <c r="V1926" s="334">
        <v>45886</v>
      </c>
      <c r="W1926" s="27" t="s">
        <v>250</v>
      </c>
      <c r="X1926" s="27"/>
      <c r="Y1926" s="34">
        <f t="shared" ca="1" si="108"/>
        <v>46290</v>
      </c>
      <c r="Z1926" s="35">
        <f t="shared" ca="1" si="111"/>
        <v>-404</v>
      </c>
      <c r="AA1926" s="27">
        <f t="shared" si="112"/>
        <v>8</v>
      </c>
      <c r="AB1926" s="27">
        <f t="shared" si="113"/>
        <v>2025</v>
      </c>
      <c r="AC1926" s="28" t="s">
        <v>9355</v>
      </c>
      <c r="AD1926" s="46" t="s">
        <v>9356</v>
      </c>
      <c r="AE1926" s="47" t="s">
        <v>9357</v>
      </c>
      <c r="AF1926" s="52" t="s">
        <v>471</v>
      </c>
      <c r="AG1926" s="29" t="s">
        <v>6635</v>
      </c>
      <c r="AH1926" s="160"/>
      <c r="AI1926" s="27"/>
      <c r="AJ1926" s="27"/>
      <c r="AK1926" s="27"/>
      <c r="AL1926" s="27"/>
      <c r="AM1926" s="27"/>
      <c r="AN1926" s="27"/>
      <c r="AO1926" s="27"/>
      <c r="AP1926" s="27">
        <v>382</v>
      </c>
      <c r="AQ1926" s="27"/>
      <c r="AR1926" s="504"/>
      <c r="AS1926" s="332"/>
      <c r="AT1926" s="160"/>
    </row>
    <row r="1927" spans="1:46" ht="21.75" hidden="1" customHeight="1">
      <c r="A1927" s="331">
        <v>1926</v>
      </c>
      <c r="B1927" s="28" t="s">
        <v>1554</v>
      </c>
      <c r="C1927" s="28" t="s">
        <v>6887</v>
      </c>
      <c r="D1927" s="437" t="s">
        <v>6868</v>
      </c>
      <c r="E1927" s="361" t="str">
        <f t="shared" ca="1" si="114"/>
        <v>LOSS</v>
      </c>
      <c r="F1927" s="29"/>
      <c r="G1927" s="28" t="s">
        <v>6888</v>
      </c>
      <c r="H1927" s="29" t="s">
        <v>261</v>
      </c>
      <c r="I1927" s="29" t="s">
        <v>243</v>
      </c>
      <c r="J1927" s="28" t="s">
        <v>6889</v>
      </c>
      <c r="K1927" s="38" t="s">
        <v>9358</v>
      </c>
      <c r="L1927" s="51">
        <v>0.995</v>
      </c>
      <c r="M1927" s="27" t="s">
        <v>329</v>
      </c>
      <c r="N1927" s="27" t="s">
        <v>6885</v>
      </c>
      <c r="O1927" s="56"/>
      <c r="P1927" s="31">
        <f>2600000*12</f>
        <v>31200000</v>
      </c>
      <c r="Q1927" s="31"/>
      <c r="R1927" s="56"/>
      <c r="S1927" s="100">
        <f>1500000*12</f>
        <v>18000000</v>
      </c>
      <c r="T1927" s="34"/>
      <c r="U1927" s="334">
        <v>45537</v>
      </c>
      <c r="V1927" s="334">
        <v>45901</v>
      </c>
      <c r="W1927" s="27" t="s">
        <v>245</v>
      </c>
      <c r="X1927" s="27"/>
      <c r="Y1927" s="34">
        <f t="shared" ca="1" si="108"/>
        <v>46290</v>
      </c>
      <c r="Z1927" s="35">
        <f t="shared" ca="1" si="111"/>
        <v>-389</v>
      </c>
      <c r="AA1927" s="27">
        <f t="shared" ref="AA1927:AA1958" si="115">MONTH(V1927)</f>
        <v>9</v>
      </c>
      <c r="AB1927" s="27">
        <f t="shared" si="113"/>
        <v>2025</v>
      </c>
      <c r="AC1927" s="28" t="s">
        <v>9359</v>
      </c>
      <c r="AD1927" s="171" t="s">
        <v>9360</v>
      </c>
      <c r="AE1927" s="47" t="s">
        <v>9361</v>
      </c>
      <c r="AF1927" s="52" t="s">
        <v>471</v>
      </c>
      <c r="AG1927" s="27" t="s">
        <v>9362</v>
      </c>
      <c r="AH1927" s="160"/>
      <c r="AI1927" s="27"/>
      <c r="AJ1927" s="27"/>
      <c r="AK1927" s="27"/>
      <c r="AL1927" s="27"/>
      <c r="AM1927" s="27"/>
      <c r="AN1927" s="27"/>
      <c r="AO1927" s="27"/>
      <c r="AP1927" s="27">
        <v>387</v>
      </c>
      <c r="AQ1927" s="27"/>
      <c r="AR1927" s="504"/>
      <c r="AS1927" s="332"/>
      <c r="AT1927" s="160"/>
    </row>
    <row r="1928" spans="1:46" ht="21.75" hidden="1" customHeight="1">
      <c r="A1928" s="331">
        <v>1927</v>
      </c>
      <c r="B1928" s="28" t="s">
        <v>1160</v>
      </c>
      <c r="C1928" s="28" t="s">
        <v>383</v>
      </c>
      <c r="D1928" s="438" t="s">
        <v>4715</v>
      </c>
      <c r="E1928" s="361" t="str">
        <f t="shared" ca="1" si="114"/>
        <v>LOSS</v>
      </c>
      <c r="F1928" s="29"/>
      <c r="G1928" s="28" t="s">
        <v>4746</v>
      </c>
      <c r="H1928" s="29" t="s">
        <v>261</v>
      </c>
      <c r="I1928" s="29" t="s">
        <v>243</v>
      </c>
      <c r="J1928" s="28" t="s">
        <v>4747</v>
      </c>
      <c r="K1928" s="36" t="s">
        <v>4748</v>
      </c>
      <c r="L1928" s="53" t="s">
        <v>4749</v>
      </c>
      <c r="M1928" s="27" t="s">
        <v>353</v>
      </c>
      <c r="N1928" s="27" t="s">
        <v>4750</v>
      </c>
      <c r="O1928" s="56"/>
      <c r="P1928" s="31">
        <f>3500000*12</f>
        <v>42000000</v>
      </c>
      <c r="Q1928" s="31"/>
      <c r="R1928" s="56"/>
      <c r="S1928" s="100">
        <f>907500*12</f>
        <v>10890000</v>
      </c>
      <c r="T1928" s="34"/>
      <c r="U1928" s="334">
        <v>45566</v>
      </c>
      <c r="V1928" s="334">
        <v>45930</v>
      </c>
      <c r="W1928" s="27" t="s">
        <v>250</v>
      </c>
      <c r="X1928" s="27"/>
      <c r="Y1928" s="34">
        <f t="shared" ca="1" si="108"/>
        <v>46290</v>
      </c>
      <c r="Z1928" s="35">
        <f t="shared" ca="1" si="111"/>
        <v>-360</v>
      </c>
      <c r="AA1928" s="27">
        <f t="shared" si="115"/>
        <v>9</v>
      </c>
      <c r="AB1928" s="27">
        <f t="shared" si="113"/>
        <v>2025</v>
      </c>
      <c r="AC1928" s="28" t="s">
        <v>9363</v>
      </c>
      <c r="AD1928" s="171" t="s">
        <v>9364</v>
      </c>
      <c r="AE1928" s="47" t="s">
        <v>9365</v>
      </c>
      <c r="AF1928" s="52" t="s">
        <v>471</v>
      </c>
      <c r="AG1928" s="29"/>
      <c r="AH1928" s="160"/>
      <c r="AI1928" s="27"/>
      <c r="AJ1928" s="27"/>
      <c r="AK1928" s="27"/>
      <c r="AL1928" s="27"/>
      <c r="AM1928" s="27"/>
      <c r="AN1928" s="27"/>
      <c r="AO1928" s="27"/>
      <c r="AP1928" s="27">
        <v>383</v>
      </c>
      <c r="AQ1928" s="27"/>
      <c r="AR1928" s="504"/>
      <c r="AS1928" s="332"/>
      <c r="AT1928" s="160"/>
    </row>
    <row r="1929" spans="1:46" s="1" customFormat="1" ht="21.75" hidden="1" customHeight="1">
      <c r="A1929" s="331">
        <v>1928</v>
      </c>
      <c r="B1929" s="28" t="s">
        <v>584</v>
      </c>
      <c r="C1929" s="28" t="s">
        <v>2665</v>
      </c>
      <c r="D1929" s="437" t="s">
        <v>9366</v>
      </c>
      <c r="E1929" s="361" t="str">
        <f t="shared" ca="1" si="114"/>
        <v>LOSS</v>
      </c>
      <c r="F1929" s="29"/>
      <c r="G1929" s="28" t="s">
        <v>9367</v>
      </c>
      <c r="H1929" s="89" t="s">
        <v>2748</v>
      </c>
      <c r="I1929" s="29" t="s">
        <v>346</v>
      </c>
      <c r="J1929" s="28" t="s">
        <v>5158</v>
      </c>
      <c r="K1929" s="29"/>
      <c r="L1929" s="27"/>
      <c r="M1929" s="27" t="s">
        <v>365</v>
      </c>
      <c r="N1929" s="27" t="s">
        <v>6802</v>
      </c>
      <c r="O1929" s="56"/>
      <c r="P1929" s="31">
        <v>2333700000</v>
      </c>
      <c r="Q1929" s="31"/>
      <c r="R1929" s="27"/>
      <c r="S1929" s="32">
        <v>28280000</v>
      </c>
      <c r="T1929" s="27"/>
      <c r="U1929" s="334">
        <v>45303</v>
      </c>
      <c r="V1929" s="334">
        <v>45668</v>
      </c>
      <c r="W1929" s="27" t="s">
        <v>250</v>
      </c>
      <c r="X1929" s="27"/>
      <c r="Y1929" s="34">
        <f t="shared" ca="1" si="108"/>
        <v>46290</v>
      </c>
      <c r="Z1929" s="35">
        <f t="shared" ca="1" si="111"/>
        <v>-622</v>
      </c>
      <c r="AA1929" s="27">
        <f t="shared" si="115"/>
        <v>1</v>
      </c>
      <c r="AB1929" s="27">
        <v>2025</v>
      </c>
      <c r="AC1929" s="28">
        <v>4500022309</v>
      </c>
      <c r="AD1929" s="28" t="s">
        <v>9368</v>
      </c>
      <c r="AE1929" s="27">
        <v>4500023875</v>
      </c>
      <c r="AF1929" s="27" t="s">
        <v>339</v>
      </c>
      <c r="AG1929" s="29"/>
      <c r="AH1929" s="160"/>
      <c r="AI1929" s="27"/>
      <c r="AJ1929" s="27"/>
      <c r="AK1929" s="27"/>
      <c r="AL1929" s="27"/>
      <c r="AM1929" s="27"/>
      <c r="AN1929" s="27"/>
      <c r="AO1929" s="27"/>
      <c r="AP1929" s="27" t="s">
        <v>9369</v>
      </c>
      <c r="AQ1929" s="27"/>
      <c r="AR1929" s="504"/>
      <c r="AS1929" s="332"/>
      <c r="AT1929" s="160"/>
    </row>
    <row r="1930" spans="1:46" ht="21.75" hidden="1" customHeight="1">
      <c r="A1930" s="331">
        <v>1929</v>
      </c>
      <c r="B1930" s="28" t="s">
        <v>584</v>
      </c>
      <c r="C1930" s="40" t="s">
        <v>2665</v>
      </c>
      <c r="D1930" s="438" t="s">
        <v>9366</v>
      </c>
      <c r="E1930" s="361" t="str">
        <f t="shared" ca="1" si="114"/>
        <v>LOSS</v>
      </c>
      <c r="F1930" s="29"/>
      <c r="G1930" s="40" t="s">
        <v>9367</v>
      </c>
      <c r="H1930" s="29" t="s">
        <v>2748</v>
      </c>
      <c r="I1930" s="29" t="s">
        <v>346</v>
      </c>
      <c r="J1930" s="40" t="s">
        <v>5158</v>
      </c>
      <c r="K1930" s="28"/>
      <c r="L1930" s="27"/>
      <c r="M1930" s="27" t="s">
        <v>365</v>
      </c>
      <c r="N1930" s="27" t="s">
        <v>6802</v>
      </c>
      <c r="O1930" s="56"/>
      <c r="P1930" s="31">
        <v>2333700000</v>
      </c>
      <c r="Q1930" s="31"/>
      <c r="R1930" s="27"/>
      <c r="S1930" s="32">
        <v>28280000</v>
      </c>
      <c r="T1930" s="27"/>
      <c r="U1930" s="334">
        <v>45627</v>
      </c>
      <c r="V1930" s="334">
        <v>45991</v>
      </c>
      <c r="W1930" s="27" t="s">
        <v>245</v>
      </c>
      <c r="X1930" s="27"/>
      <c r="Y1930" s="34">
        <f t="shared" ca="1" si="108"/>
        <v>46290</v>
      </c>
      <c r="Z1930" s="35">
        <f t="shared" ca="1" si="111"/>
        <v>-299</v>
      </c>
      <c r="AA1930" s="27">
        <f t="shared" si="115"/>
        <v>11</v>
      </c>
      <c r="AB1930" s="27">
        <v>2025</v>
      </c>
      <c r="AC1930" s="28">
        <v>4500022309</v>
      </c>
      <c r="AD1930" s="154" t="s">
        <v>9368</v>
      </c>
      <c r="AE1930" s="27">
        <v>4500023875</v>
      </c>
      <c r="AF1930" s="27" t="s">
        <v>339</v>
      </c>
      <c r="AG1930" s="29"/>
      <c r="AH1930" s="160"/>
      <c r="AI1930" s="27"/>
      <c r="AJ1930" s="27"/>
      <c r="AK1930" s="27"/>
      <c r="AL1930" s="27"/>
      <c r="AM1930" s="27"/>
      <c r="AN1930" s="27"/>
      <c r="AO1930" s="27"/>
      <c r="AP1930" s="27" t="s">
        <v>9369</v>
      </c>
      <c r="AQ1930" s="27"/>
      <c r="AR1930" s="504"/>
      <c r="AS1930" s="332"/>
      <c r="AT1930" s="160"/>
    </row>
    <row r="1931" spans="1:46" ht="21.75" hidden="1" customHeight="1">
      <c r="A1931" s="331">
        <v>1930</v>
      </c>
      <c r="B1931" s="28" t="s">
        <v>169</v>
      </c>
      <c r="C1931" s="40" t="s">
        <v>9370</v>
      </c>
      <c r="D1931" s="437" t="s">
        <v>862</v>
      </c>
      <c r="E1931" s="361" t="str">
        <f t="shared" ca="1" si="114"/>
        <v>LOSS</v>
      </c>
      <c r="F1931" s="29" t="s">
        <v>9371</v>
      </c>
      <c r="G1931" s="40" t="s">
        <v>9372</v>
      </c>
      <c r="H1931" s="29" t="s">
        <v>2748</v>
      </c>
      <c r="I1931" s="29" t="s">
        <v>346</v>
      </c>
      <c r="J1931" s="40" t="s">
        <v>9373</v>
      </c>
      <c r="K1931" s="28"/>
      <c r="L1931" s="27"/>
      <c r="M1931" s="27" t="s">
        <v>365</v>
      </c>
      <c r="N1931" s="27" t="s">
        <v>9374</v>
      </c>
      <c r="O1931" s="56"/>
      <c r="P1931" s="31">
        <v>1350500000</v>
      </c>
      <c r="Q1931" s="31"/>
      <c r="R1931" s="27"/>
      <c r="S1931" s="32">
        <v>450000000</v>
      </c>
      <c r="T1931" s="27"/>
      <c r="U1931" s="334">
        <v>45603</v>
      </c>
      <c r="V1931" s="334">
        <v>45931</v>
      </c>
      <c r="W1931" s="27" t="s">
        <v>250</v>
      </c>
      <c r="X1931" s="27"/>
      <c r="Y1931" s="34">
        <f t="shared" ref="Y1931:Y1994" ca="1" si="116">TODAY()</f>
        <v>46290</v>
      </c>
      <c r="Z1931" s="35">
        <f t="shared" ca="1" si="111"/>
        <v>-359</v>
      </c>
      <c r="AA1931" s="27">
        <f t="shared" si="115"/>
        <v>10</v>
      </c>
      <c r="AB1931" s="27">
        <v>2025</v>
      </c>
      <c r="AC1931" s="28">
        <v>4500022128</v>
      </c>
      <c r="AD1931" s="28" t="s">
        <v>9375</v>
      </c>
      <c r="AE1931" s="27">
        <v>4500023322</v>
      </c>
      <c r="AF1931" s="27" t="s">
        <v>339</v>
      </c>
      <c r="AG1931" s="29" t="s">
        <v>381</v>
      </c>
      <c r="AH1931" s="160"/>
      <c r="AI1931" s="27"/>
      <c r="AJ1931" s="27"/>
      <c r="AK1931" s="27"/>
      <c r="AL1931" s="27"/>
      <c r="AM1931" s="27"/>
      <c r="AN1931" s="27"/>
      <c r="AO1931" s="27"/>
      <c r="AP1931" s="27" t="s">
        <v>9376</v>
      </c>
      <c r="AQ1931" s="27"/>
      <c r="AR1931" s="504"/>
      <c r="AS1931" s="332"/>
      <c r="AT1931" s="160"/>
    </row>
    <row r="1932" spans="1:46" ht="21.75" hidden="1" customHeight="1">
      <c r="A1932" s="331">
        <v>1931</v>
      </c>
      <c r="B1932" s="28" t="s">
        <v>6396</v>
      </c>
      <c r="C1932" s="40" t="s">
        <v>9377</v>
      </c>
      <c r="D1932" s="438" t="s">
        <v>9378</v>
      </c>
      <c r="E1932" s="361" t="str">
        <f t="shared" ca="1" si="114"/>
        <v>LOSS</v>
      </c>
      <c r="F1932" s="29"/>
      <c r="G1932" s="40" t="s">
        <v>9379</v>
      </c>
      <c r="H1932" s="29" t="s">
        <v>2748</v>
      </c>
      <c r="I1932" s="29" t="s">
        <v>346</v>
      </c>
      <c r="J1932" s="28" t="s">
        <v>9380</v>
      </c>
      <c r="K1932" s="28"/>
      <c r="L1932" s="27"/>
      <c r="M1932" s="91" t="s">
        <v>9381</v>
      </c>
      <c r="N1932" s="27" t="s">
        <v>6735</v>
      </c>
      <c r="O1932" s="56"/>
      <c r="P1932" s="31">
        <v>3850000</v>
      </c>
      <c r="Q1932" s="31"/>
      <c r="R1932" s="27"/>
      <c r="S1932" s="32">
        <v>5500000</v>
      </c>
      <c r="T1932" s="27"/>
      <c r="U1932" s="334">
        <v>45292</v>
      </c>
      <c r="V1932" s="334">
        <v>45657</v>
      </c>
      <c r="W1932" s="27" t="s">
        <v>250</v>
      </c>
      <c r="X1932" s="27"/>
      <c r="Y1932" s="34">
        <f t="shared" ca="1" si="116"/>
        <v>46290</v>
      </c>
      <c r="Z1932" s="35">
        <f t="shared" ca="1" si="111"/>
        <v>-633</v>
      </c>
      <c r="AA1932" s="27">
        <f t="shared" si="115"/>
        <v>12</v>
      </c>
      <c r="AB1932" s="27">
        <v>2024</v>
      </c>
      <c r="AC1932" s="28">
        <v>4500021415</v>
      </c>
      <c r="AD1932" s="28" t="s">
        <v>9382</v>
      </c>
      <c r="AE1932" s="27">
        <v>4500022312</v>
      </c>
      <c r="AF1932" s="27" t="s">
        <v>339</v>
      </c>
      <c r="AG1932" s="29" t="s">
        <v>6402</v>
      </c>
      <c r="AH1932" s="160"/>
      <c r="AI1932" s="27"/>
      <c r="AJ1932" s="27"/>
      <c r="AK1932" s="27"/>
      <c r="AL1932" s="27"/>
      <c r="AM1932" s="27"/>
      <c r="AN1932" s="27"/>
      <c r="AO1932" s="27"/>
      <c r="AP1932" s="27" t="s">
        <v>6406</v>
      </c>
      <c r="AQ1932" s="27"/>
      <c r="AR1932" s="504"/>
      <c r="AS1932" s="332"/>
      <c r="AT1932" s="160"/>
    </row>
    <row r="1933" spans="1:46" ht="21.75" hidden="1" customHeight="1">
      <c r="A1933" s="331">
        <v>1932</v>
      </c>
      <c r="B1933" s="159" t="s">
        <v>1663</v>
      </c>
      <c r="C1933" s="28" t="s">
        <v>9383</v>
      </c>
      <c r="D1933" s="437" t="s">
        <v>9384</v>
      </c>
      <c r="E1933" s="361" t="str">
        <f t="shared" ca="1" si="114"/>
        <v>LOSS</v>
      </c>
      <c r="F1933" s="29"/>
      <c r="G1933" s="28" t="s">
        <v>9385</v>
      </c>
      <c r="H1933" s="29" t="s">
        <v>2748</v>
      </c>
      <c r="I1933" s="29" t="s">
        <v>242</v>
      </c>
      <c r="J1933" s="28"/>
      <c r="K1933" s="28" t="s">
        <v>9386</v>
      </c>
      <c r="L1933" s="27"/>
      <c r="M1933" s="27" t="s">
        <v>9387</v>
      </c>
      <c r="N1933" s="27" t="s">
        <v>6856</v>
      </c>
      <c r="O1933" s="56"/>
      <c r="P1933" s="31">
        <v>5500000</v>
      </c>
      <c r="Q1933" s="31"/>
      <c r="R1933" s="27"/>
      <c r="S1933" s="32">
        <v>10000002</v>
      </c>
      <c r="T1933" s="27"/>
      <c r="U1933" s="334">
        <v>45292</v>
      </c>
      <c r="V1933" s="334">
        <v>45950</v>
      </c>
      <c r="W1933" s="27" t="s">
        <v>250</v>
      </c>
      <c r="X1933" s="27"/>
      <c r="Y1933" s="34">
        <f t="shared" ca="1" si="116"/>
        <v>46290</v>
      </c>
      <c r="Z1933" s="35">
        <f t="shared" ca="1" si="111"/>
        <v>-340</v>
      </c>
      <c r="AA1933" s="27">
        <f t="shared" si="115"/>
        <v>10</v>
      </c>
      <c r="AB1933" s="27">
        <v>2025</v>
      </c>
      <c r="AC1933" s="28"/>
      <c r="AD1933" s="28" t="s">
        <v>9388</v>
      </c>
      <c r="AE1933" s="27">
        <v>4500023833</v>
      </c>
      <c r="AF1933" s="27" t="s">
        <v>339</v>
      </c>
      <c r="AG1933" s="29"/>
      <c r="AH1933" s="160"/>
      <c r="AI1933" s="27"/>
      <c r="AJ1933" s="27"/>
      <c r="AK1933" s="27"/>
      <c r="AL1933" s="27"/>
      <c r="AM1933" s="27"/>
      <c r="AN1933" s="27"/>
      <c r="AO1933" s="27"/>
      <c r="AP1933" s="27" t="s">
        <v>9389</v>
      </c>
      <c r="AQ1933" s="27"/>
      <c r="AR1933" s="504"/>
      <c r="AS1933" s="332"/>
      <c r="AT1933" s="160"/>
    </row>
    <row r="1934" spans="1:46" ht="21.75" hidden="1" customHeight="1">
      <c r="A1934" s="331">
        <v>1933</v>
      </c>
      <c r="B1934" s="28" t="s">
        <v>114</v>
      </c>
      <c r="C1934" s="40" t="s">
        <v>9390</v>
      </c>
      <c r="D1934" s="438" t="s">
        <v>764</v>
      </c>
      <c r="E1934" s="361" t="str">
        <f t="shared" ca="1" si="114"/>
        <v>LOSS</v>
      </c>
      <c r="F1934" s="29"/>
      <c r="G1934" s="40" t="s">
        <v>9391</v>
      </c>
      <c r="H1934" s="29" t="s">
        <v>2748</v>
      </c>
      <c r="I1934" s="29" t="s">
        <v>346</v>
      </c>
      <c r="J1934" s="40"/>
      <c r="K1934" s="40" t="s">
        <v>9392</v>
      </c>
      <c r="L1934" s="27"/>
      <c r="M1934" s="91" t="s">
        <v>9393</v>
      </c>
      <c r="N1934" s="27"/>
      <c r="O1934" s="56"/>
      <c r="P1934" s="31">
        <v>47048900</v>
      </c>
      <c r="Q1934" s="31"/>
      <c r="R1934" s="56"/>
      <c r="S1934" s="100">
        <v>119700000</v>
      </c>
      <c r="T1934" s="34"/>
      <c r="U1934" s="334">
        <v>45302</v>
      </c>
      <c r="V1934" s="334">
        <v>45961</v>
      </c>
      <c r="W1934" s="27" t="s">
        <v>250</v>
      </c>
      <c r="X1934" s="27"/>
      <c r="Y1934" s="34">
        <f t="shared" ca="1" si="116"/>
        <v>46290</v>
      </c>
      <c r="Z1934" s="35">
        <f t="shared" ca="1" si="111"/>
        <v>-329</v>
      </c>
      <c r="AA1934" s="27">
        <f t="shared" si="115"/>
        <v>10</v>
      </c>
      <c r="AB1934" s="27">
        <v>2025</v>
      </c>
      <c r="AC1934" s="28">
        <v>4500021750</v>
      </c>
      <c r="AD1934" s="28" t="s">
        <v>9394</v>
      </c>
      <c r="AE1934" s="47" t="s">
        <v>9395</v>
      </c>
      <c r="AF1934" s="52" t="s">
        <v>339</v>
      </c>
      <c r="AG1934" s="29"/>
      <c r="AH1934" s="160"/>
      <c r="AI1934" s="27"/>
      <c r="AJ1934" s="27"/>
      <c r="AK1934" s="27"/>
      <c r="AL1934" s="27"/>
      <c r="AM1934" s="27"/>
      <c r="AN1934" s="27"/>
      <c r="AO1934" s="27"/>
      <c r="AP1934" s="27" t="s">
        <v>9396</v>
      </c>
      <c r="AQ1934" s="27"/>
      <c r="AR1934" s="504"/>
      <c r="AS1934" s="332"/>
      <c r="AT1934" s="160"/>
    </row>
    <row r="1935" spans="1:46" ht="21.75" hidden="1" customHeight="1">
      <c r="A1935" s="331">
        <v>1934</v>
      </c>
      <c r="B1935" s="159" t="s">
        <v>903</v>
      </c>
      <c r="C1935" s="28" t="s">
        <v>9397</v>
      </c>
      <c r="D1935" s="437" t="s">
        <v>7496</v>
      </c>
      <c r="E1935" s="361" t="str">
        <f t="shared" ca="1" si="114"/>
        <v>LOSS</v>
      </c>
      <c r="F1935" s="29"/>
      <c r="G1935" s="28" t="s">
        <v>9398</v>
      </c>
      <c r="H1935" s="29" t="s">
        <v>2748</v>
      </c>
      <c r="I1935" s="29" t="s">
        <v>346</v>
      </c>
      <c r="J1935" s="28"/>
      <c r="K1935" s="28">
        <v>1000317569</v>
      </c>
      <c r="L1935" s="27"/>
      <c r="M1935" s="27" t="s">
        <v>365</v>
      </c>
      <c r="N1935" s="27" t="s">
        <v>362</v>
      </c>
      <c r="O1935" s="56"/>
      <c r="P1935" s="31">
        <v>8000000</v>
      </c>
      <c r="Q1935" s="31"/>
      <c r="R1935" s="56"/>
      <c r="S1935" s="100">
        <v>25200000000</v>
      </c>
      <c r="T1935" s="34"/>
      <c r="U1935" s="334">
        <v>45300</v>
      </c>
      <c r="V1935" s="334">
        <v>45900</v>
      </c>
      <c r="W1935" s="27" t="s">
        <v>250</v>
      </c>
      <c r="X1935" s="27"/>
      <c r="Y1935" s="34">
        <f t="shared" ca="1" si="116"/>
        <v>46290</v>
      </c>
      <c r="Z1935" s="35">
        <f t="shared" ca="1" si="111"/>
        <v>-390</v>
      </c>
      <c r="AA1935" s="27">
        <f t="shared" si="115"/>
        <v>8</v>
      </c>
      <c r="AB1935" s="27">
        <v>2025</v>
      </c>
      <c r="AC1935" s="28">
        <v>4500021699</v>
      </c>
      <c r="AD1935" s="28" t="s">
        <v>9399</v>
      </c>
      <c r="AE1935" s="47" t="s">
        <v>9400</v>
      </c>
      <c r="AF1935" s="52" t="s">
        <v>339</v>
      </c>
      <c r="AG1935" s="29"/>
      <c r="AH1935" s="160"/>
      <c r="AI1935" s="27"/>
      <c r="AJ1935" s="27"/>
      <c r="AK1935" s="27"/>
      <c r="AL1935" s="27"/>
      <c r="AM1935" s="27"/>
      <c r="AN1935" s="27"/>
      <c r="AO1935" s="27"/>
      <c r="AP1935" s="27" t="s">
        <v>9401</v>
      </c>
      <c r="AQ1935" s="27"/>
      <c r="AR1935" s="504"/>
      <c r="AS1935" s="332"/>
      <c r="AT1935" s="160"/>
    </row>
    <row r="1936" spans="1:46" ht="21.75" hidden="1" customHeight="1">
      <c r="A1936" s="331">
        <v>1935</v>
      </c>
      <c r="B1936" s="28" t="s">
        <v>169</v>
      </c>
      <c r="C1936" s="40" t="s">
        <v>6241</v>
      </c>
      <c r="D1936" s="438" t="s">
        <v>862</v>
      </c>
      <c r="E1936" s="361" t="str">
        <f t="shared" ca="1" si="114"/>
        <v>LOSS</v>
      </c>
      <c r="F1936" s="29" t="s">
        <v>9371</v>
      </c>
      <c r="G1936" s="28" t="s">
        <v>9402</v>
      </c>
      <c r="H1936" s="29" t="s">
        <v>2748</v>
      </c>
      <c r="I1936" s="29" t="s">
        <v>242</v>
      </c>
      <c r="J1936" s="28"/>
      <c r="K1936" s="28">
        <v>4000042068</v>
      </c>
      <c r="L1936" s="27"/>
      <c r="M1936" s="27" t="s">
        <v>9387</v>
      </c>
      <c r="N1936" s="27"/>
      <c r="O1936" s="56"/>
      <c r="P1936" s="31">
        <v>22850000</v>
      </c>
      <c r="Q1936" s="31"/>
      <c r="R1936" s="56"/>
      <c r="S1936" s="100">
        <v>18000000</v>
      </c>
      <c r="T1936" s="34"/>
      <c r="U1936" s="334">
        <v>45472</v>
      </c>
      <c r="V1936" s="334">
        <v>45836</v>
      </c>
      <c r="W1936" s="27" t="s">
        <v>250</v>
      </c>
      <c r="X1936" s="27"/>
      <c r="Y1936" s="34">
        <f t="shared" ca="1" si="116"/>
        <v>46290</v>
      </c>
      <c r="Z1936" s="35">
        <f t="shared" ca="1" si="111"/>
        <v>-454</v>
      </c>
      <c r="AA1936" s="27">
        <f t="shared" si="115"/>
        <v>6</v>
      </c>
      <c r="AB1936" s="27">
        <v>2025</v>
      </c>
      <c r="AC1936" s="28">
        <v>4500021083</v>
      </c>
      <c r="AD1936" s="28" t="s">
        <v>9403</v>
      </c>
      <c r="AE1936" s="47" t="s">
        <v>9404</v>
      </c>
      <c r="AF1936" s="52" t="s">
        <v>339</v>
      </c>
      <c r="AG1936" s="29" t="s">
        <v>381</v>
      </c>
      <c r="AH1936" s="160"/>
      <c r="AI1936" s="27"/>
      <c r="AJ1936" s="27"/>
      <c r="AK1936" s="27"/>
      <c r="AL1936" s="27"/>
      <c r="AM1936" s="27"/>
      <c r="AN1936" s="27"/>
      <c r="AO1936" s="27"/>
      <c r="AP1936" s="27" t="s">
        <v>9405</v>
      </c>
      <c r="AQ1936" s="27"/>
      <c r="AR1936" s="504"/>
      <c r="AS1936" s="332"/>
      <c r="AT1936" s="160"/>
    </row>
    <row r="1937" spans="1:46" ht="21.75" hidden="1" customHeight="1">
      <c r="A1937" s="331">
        <v>1936</v>
      </c>
      <c r="B1937" s="28" t="s">
        <v>1592</v>
      </c>
      <c r="C1937" s="40" t="s">
        <v>6959</v>
      </c>
      <c r="D1937" s="437" t="s">
        <v>2186</v>
      </c>
      <c r="E1937" s="361" t="str">
        <f t="shared" ca="1" si="114"/>
        <v>LOSS</v>
      </c>
      <c r="F1937" s="41" t="s">
        <v>9406</v>
      </c>
      <c r="G1937" s="28" t="s">
        <v>9407</v>
      </c>
      <c r="H1937" s="29" t="s">
        <v>2748</v>
      </c>
      <c r="I1937" s="160" t="s">
        <v>346</v>
      </c>
      <c r="J1937" s="28"/>
      <c r="K1937" s="40" t="s">
        <v>9408</v>
      </c>
      <c r="L1937" s="27"/>
      <c r="M1937" s="27" t="s">
        <v>9409</v>
      </c>
      <c r="N1937" s="27" t="s">
        <v>406</v>
      </c>
      <c r="O1937" s="56"/>
      <c r="P1937" s="31">
        <v>22750000</v>
      </c>
      <c r="Q1937" s="31"/>
      <c r="R1937" s="56"/>
      <c r="S1937" s="100">
        <v>40000005</v>
      </c>
      <c r="T1937" s="34"/>
      <c r="U1937" s="334">
        <v>45560</v>
      </c>
      <c r="V1937" s="334">
        <v>45924</v>
      </c>
      <c r="W1937" s="27" t="s">
        <v>250</v>
      </c>
      <c r="X1937" s="27"/>
      <c r="Y1937" s="34">
        <f t="shared" ca="1" si="116"/>
        <v>46290</v>
      </c>
      <c r="Z1937" s="35">
        <f t="shared" ca="1" si="111"/>
        <v>-366</v>
      </c>
      <c r="AA1937" s="27">
        <f t="shared" si="115"/>
        <v>9</v>
      </c>
      <c r="AB1937" s="27">
        <f>YEAR(V1937)</f>
        <v>2025</v>
      </c>
      <c r="AC1937" s="28">
        <v>4500020905</v>
      </c>
      <c r="AD1937" s="28"/>
      <c r="AE1937" s="47" t="s">
        <v>9410</v>
      </c>
      <c r="AF1937" s="52" t="s">
        <v>339</v>
      </c>
      <c r="AG1937" s="29"/>
      <c r="AH1937" s="160"/>
      <c r="AI1937" s="27"/>
      <c r="AJ1937" s="27"/>
      <c r="AK1937" s="27"/>
      <c r="AL1937" s="27"/>
      <c r="AM1937" s="27"/>
      <c r="AN1937" s="27"/>
      <c r="AO1937" s="27"/>
      <c r="AP1937" s="27" t="s">
        <v>9411</v>
      </c>
      <c r="AQ1937" s="27"/>
      <c r="AR1937" s="504"/>
      <c r="AS1937" s="332"/>
      <c r="AT1937" s="160"/>
    </row>
    <row r="1938" spans="1:46" ht="21.75" hidden="1" customHeight="1">
      <c r="A1938" s="331">
        <v>1937</v>
      </c>
      <c r="B1938" s="28" t="s">
        <v>114</v>
      </c>
      <c r="C1938" s="40" t="s">
        <v>9412</v>
      </c>
      <c r="D1938" s="438" t="s">
        <v>9413</v>
      </c>
      <c r="E1938" s="361" t="str">
        <f t="shared" ca="1" si="114"/>
        <v>LOSS</v>
      </c>
      <c r="F1938" s="29"/>
      <c r="G1938" s="40" t="s">
        <v>9414</v>
      </c>
      <c r="H1938" s="29" t="s">
        <v>2748</v>
      </c>
      <c r="I1938" s="29" t="s">
        <v>346</v>
      </c>
      <c r="J1938" s="28"/>
      <c r="K1938" s="40" t="s">
        <v>9415</v>
      </c>
      <c r="L1938" s="27"/>
      <c r="M1938" s="91" t="s">
        <v>9416</v>
      </c>
      <c r="N1938" s="27" t="s">
        <v>4750</v>
      </c>
      <c r="O1938" s="56"/>
      <c r="P1938" s="31">
        <v>347745000</v>
      </c>
      <c r="Q1938" s="31"/>
      <c r="R1938" s="56"/>
      <c r="S1938" s="100">
        <v>119700000</v>
      </c>
      <c r="T1938" s="34"/>
      <c r="U1938" s="334">
        <v>45640</v>
      </c>
      <c r="V1938" s="334">
        <v>46004</v>
      </c>
      <c r="W1938" s="27" t="s">
        <v>250</v>
      </c>
      <c r="X1938" s="27"/>
      <c r="Y1938" s="34">
        <f t="shared" ca="1" si="116"/>
        <v>46290</v>
      </c>
      <c r="Z1938" s="35">
        <f t="shared" ca="1" si="111"/>
        <v>-286</v>
      </c>
      <c r="AA1938" s="27">
        <f t="shared" si="115"/>
        <v>12</v>
      </c>
      <c r="AB1938" s="27">
        <v>2025</v>
      </c>
      <c r="AC1938" s="28">
        <v>4500021742</v>
      </c>
      <c r="AD1938" s="28" t="s">
        <v>9417</v>
      </c>
      <c r="AE1938" s="47" t="s">
        <v>9418</v>
      </c>
      <c r="AF1938" s="52" t="s">
        <v>339</v>
      </c>
      <c r="AG1938" s="29"/>
      <c r="AH1938" s="160"/>
      <c r="AI1938" s="27"/>
      <c r="AJ1938" s="27"/>
      <c r="AK1938" s="27"/>
      <c r="AL1938" s="27"/>
      <c r="AM1938" s="27"/>
      <c r="AN1938" s="27"/>
      <c r="AO1938" s="27"/>
      <c r="AP1938" s="27" t="s">
        <v>9419</v>
      </c>
      <c r="AQ1938" s="27"/>
      <c r="AR1938" s="504"/>
      <c r="AS1938" s="332"/>
      <c r="AT1938" s="160"/>
    </row>
    <row r="1939" spans="1:46" ht="21.75" hidden="1" customHeight="1">
      <c r="A1939" s="331">
        <v>1938</v>
      </c>
      <c r="B1939" s="28" t="s">
        <v>114</v>
      </c>
      <c r="C1939" s="40" t="s">
        <v>9412</v>
      </c>
      <c r="D1939" s="437" t="s">
        <v>764</v>
      </c>
      <c r="E1939" s="361" t="str">
        <f t="shared" ca="1" si="114"/>
        <v>LOSS</v>
      </c>
      <c r="F1939" s="29"/>
      <c r="G1939" s="40" t="s">
        <v>9414</v>
      </c>
      <c r="H1939" s="29" t="s">
        <v>2748</v>
      </c>
      <c r="I1939" s="29" t="s">
        <v>346</v>
      </c>
      <c r="J1939" s="28"/>
      <c r="K1939" s="40" t="s">
        <v>9415</v>
      </c>
      <c r="L1939" s="27"/>
      <c r="M1939" s="91" t="s">
        <v>9416</v>
      </c>
      <c r="N1939" s="27" t="s">
        <v>4750</v>
      </c>
      <c r="O1939" s="56"/>
      <c r="P1939" s="31">
        <v>347745000</v>
      </c>
      <c r="Q1939" s="31"/>
      <c r="R1939" s="56"/>
      <c r="S1939" s="100">
        <v>142500000</v>
      </c>
      <c r="T1939" s="34"/>
      <c r="U1939" s="334">
        <v>45585</v>
      </c>
      <c r="V1939" s="334">
        <v>45949</v>
      </c>
      <c r="W1939" s="27" t="s">
        <v>250</v>
      </c>
      <c r="X1939" s="27"/>
      <c r="Y1939" s="34">
        <f t="shared" ca="1" si="116"/>
        <v>46290</v>
      </c>
      <c r="Z1939" s="35">
        <f t="shared" ca="1" si="111"/>
        <v>-341</v>
      </c>
      <c r="AA1939" s="27">
        <f t="shared" si="115"/>
        <v>10</v>
      </c>
      <c r="AB1939" s="27">
        <v>2025</v>
      </c>
      <c r="AC1939" s="28">
        <v>4500021743</v>
      </c>
      <c r="AD1939" s="28" t="s">
        <v>9420</v>
      </c>
      <c r="AE1939" s="47" t="s">
        <v>9421</v>
      </c>
      <c r="AF1939" s="52" t="s">
        <v>339</v>
      </c>
      <c r="AG1939" s="29"/>
      <c r="AH1939" s="160"/>
      <c r="AI1939" s="27"/>
      <c r="AJ1939" s="27"/>
      <c r="AK1939" s="27"/>
      <c r="AL1939" s="27"/>
      <c r="AM1939" s="27"/>
      <c r="AN1939" s="27"/>
      <c r="AO1939" s="27"/>
      <c r="AP1939" s="27" t="s">
        <v>9422</v>
      </c>
      <c r="AQ1939" s="27"/>
      <c r="AR1939" s="504"/>
      <c r="AS1939" s="332"/>
      <c r="AT1939" s="160"/>
    </row>
    <row r="1940" spans="1:46" ht="21.75" hidden="1" customHeight="1">
      <c r="A1940" s="331">
        <v>1939</v>
      </c>
      <c r="B1940" s="28" t="s">
        <v>169</v>
      </c>
      <c r="C1940" s="40" t="s">
        <v>9423</v>
      </c>
      <c r="D1940" s="438" t="s">
        <v>862</v>
      </c>
      <c r="E1940" s="361" t="str">
        <f t="shared" ca="1" si="114"/>
        <v>LOSS</v>
      </c>
      <c r="F1940" s="29"/>
      <c r="G1940" s="28" t="s">
        <v>9424</v>
      </c>
      <c r="H1940" s="29" t="s">
        <v>2748</v>
      </c>
      <c r="I1940" s="29" t="s">
        <v>242</v>
      </c>
      <c r="J1940" s="28"/>
      <c r="K1940" s="40" t="s">
        <v>9425</v>
      </c>
      <c r="L1940" s="27"/>
      <c r="M1940" s="27" t="s">
        <v>329</v>
      </c>
      <c r="N1940" s="29"/>
      <c r="O1940" s="56"/>
      <c r="P1940" s="31">
        <v>16950200</v>
      </c>
      <c r="Q1940" s="31"/>
      <c r="R1940" s="56"/>
      <c r="S1940" s="100">
        <v>36000000</v>
      </c>
      <c r="T1940" s="34"/>
      <c r="U1940" s="334">
        <v>45496</v>
      </c>
      <c r="V1940" s="334">
        <v>45860</v>
      </c>
      <c r="W1940" s="27" t="s">
        <v>17</v>
      </c>
      <c r="X1940" s="27"/>
      <c r="Y1940" s="34">
        <f t="shared" ca="1" si="116"/>
        <v>46290</v>
      </c>
      <c r="Z1940" s="35">
        <f t="shared" ca="1" si="111"/>
        <v>-430</v>
      </c>
      <c r="AA1940" s="27">
        <f t="shared" si="115"/>
        <v>7</v>
      </c>
      <c r="AB1940" s="27">
        <v>2025</v>
      </c>
      <c r="AC1940" s="28">
        <v>4500021082</v>
      </c>
      <c r="AD1940" s="28" t="s">
        <v>9426</v>
      </c>
      <c r="AE1940" s="47" t="s">
        <v>9427</v>
      </c>
      <c r="AF1940" s="52" t="s">
        <v>339</v>
      </c>
      <c r="AG1940" s="29" t="s">
        <v>381</v>
      </c>
      <c r="AH1940" s="160"/>
      <c r="AI1940" s="27"/>
      <c r="AJ1940" s="27"/>
      <c r="AK1940" s="27"/>
      <c r="AL1940" s="27"/>
      <c r="AM1940" s="27"/>
      <c r="AN1940" s="27"/>
      <c r="AO1940" s="27"/>
      <c r="AP1940" s="27" t="s">
        <v>9428</v>
      </c>
      <c r="AQ1940" s="27"/>
      <c r="AR1940" s="504"/>
      <c r="AS1940" s="332"/>
      <c r="AT1940" s="160"/>
    </row>
    <row r="1941" spans="1:46" ht="21.75" hidden="1" customHeight="1">
      <c r="A1941" s="331">
        <v>1940</v>
      </c>
      <c r="B1941" s="159" t="s">
        <v>1387</v>
      </c>
      <c r="C1941" s="159" t="s">
        <v>5989</v>
      </c>
      <c r="D1941" s="437" t="s">
        <v>2183</v>
      </c>
      <c r="E1941" s="361" t="str">
        <f t="shared" ca="1" si="114"/>
        <v>LOSS</v>
      </c>
      <c r="F1941" s="29"/>
      <c r="G1941" s="28" t="s">
        <v>9429</v>
      </c>
      <c r="H1941" s="29" t="s">
        <v>2748</v>
      </c>
      <c r="I1941" s="361" t="s">
        <v>346</v>
      </c>
      <c r="J1941" s="28" t="s">
        <v>9430</v>
      </c>
      <c r="K1941" s="28"/>
      <c r="L1941" s="27"/>
      <c r="M1941" s="91" t="s">
        <v>9431</v>
      </c>
      <c r="N1941" s="29"/>
      <c r="O1941" s="56"/>
      <c r="P1941" s="31">
        <v>174463636</v>
      </c>
      <c r="Q1941" s="31"/>
      <c r="R1941" s="56"/>
      <c r="S1941" s="100">
        <v>64000003</v>
      </c>
      <c r="T1941" s="34"/>
      <c r="U1941" s="334">
        <v>45496</v>
      </c>
      <c r="V1941" s="334">
        <v>45860</v>
      </c>
      <c r="W1941" s="27" t="s">
        <v>250</v>
      </c>
      <c r="X1941" s="27"/>
      <c r="Y1941" s="34">
        <f t="shared" ca="1" si="116"/>
        <v>46290</v>
      </c>
      <c r="Z1941" s="35">
        <f t="shared" ca="1" si="111"/>
        <v>-430</v>
      </c>
      <c r="AA1941" s="27">
        <f t="shared" si="115"/>
        <v>7</v>
      </c>
      <c r="AB1941" s="27">
        <v>2025</v>
      </c>
      <c r="AC1941" s="28">
        <v>4500020981</v>
      </c>
      <c r="AD1941" s="28" t="s">
        <v>2806</v>
      </c>
      <c r="AE1941" s="47" t="s">
        <v>9432</v>
      </c>
      <c r="AF1941" s="52" t="s">
        <v>339</v>
      </c>
      <c r="AG1941" s="29"/>
      <c r="AH1941" s="160"/>
      <c r="AI1941" s="27"/>
      <c r="AJ1941" s="27"/>
      <c r="AK1941" s="27"/>
      <c r="AL1941" s="27"/>
      <c r="AM1941" s="27"/>
      <c r="AN1941" s="27"/>
      <c r="AO1941" s="27"/>
      <c r="AP1941" s="27" t="s">
        <v>9433</v>
      </c>
      <c r="AQ1941" s="27"/>
      <c r="AR1941" s="504"/>
      <c r="AS1941" s="332"/>
      <c r="AT1941" s="160"/>
    </row>
    <row r="1942" spans="1:46" ht="21.75" hidden="1" customHeight="1">
      <c r="A1942" s="331">
        <v>1941</v>
      </c>
      <c r="B1942" s="28" t="s">
        <v>169</v>
      </c>
      <c r="C1942" s="40" t="s">
        <v>9434</v>
      </c>
      <c r="D1942" s="438" t="s">
        <v>862</v>
      </c>
      <c r="E1942" s="361" t="str">
        <f t="shared" ca="1" si="114"/>
        <v>LOSS</v>
      </c>
      <c r="F1942" s="29"/>
      <c r="G1942" s="29" t="s">
        <v>9435</v>
      </c>
      <c r="H1942" s="29" t="s">
        <v>2748</v>
      </c>
      <c r="I1942" s="29" t="s">
        <v>9436</v>
      </c>
      <c r="J1942" s="28" t="s">
        <v>9437</v>
      </c>
      <c r="K1942" s="28" t="s">
        <v>9438</v>
      </c>
      <c r="L1942" s="27"/>
      <c r="M1942" s="27"/>
      <c r="N1942" s="29"/>
      <c r="O1942" s="56"/>
      <c r="P1942" s="31">
        <v>43000000</v>
      </c>
      <c r="Q1942" s="31"/>
      <c r="R1942" s="56"/>
      <c r="S1942" s="100">
        <v>49500000</v>
      </c>
      <c r="T1942" s="34"/>
      <c r="U1942" s="334">
        <v>45484</v>
      </c>
      <c r="V1942" s="334">
        <v>45848</v>
      </c>
      <c r="W1942" s="27" t="s">
        <v>250</v>
      </c>
      <c r="X1942" s="27"/>
      <c r="Y1942" s="34">
        <f t="shared" ca="1" si="116"/>
        <v>46290</v>
      </c>
      <c r="Z1942" s="35">
        <f t="shared" ca="1" si="111"/>
        <v>-442</v>
      </c>
      <c r="AA1942" s="27">
        <f t="shared" si="115"/>
        <v>7</v>
      </c>
      <c r="AB1942" s="27">
        <v>2025</v>
      </c>
      <c r="AC1942" s="28">
        <v>4500020893</v>
      </c>
      <c r="AD1942" s="28" t="s">
        <v>5827</v>
      </c>
      <c r="AE1942" s="47" t="s">
        <v>9439</v>
      </c>
      <c r="AF1942" s="52" t="s">
        <v>339</v>
      </c>
      <c r="AG1942" s="29" t="s">
        <v>381</v>
      </c>
      <c r="AH1942" s="160"/>
      <c r="AI1942" s="27"/>
      <c r="AJ1942" s="27"/>
      <c r="AK1942" s="27"/>
      <c r="AL1942" s="27"/>
      <c r="AM1942" s="27"/>
      <c r="AN1942" s="27"/>
      <c r="AO1942" s="27"/>
      <c r="AP1942" s="27" t="s">
        <v>5828</v>
      </c>
      <c r="AQ1942" s="27"/>
      <c r="AR1942" s="504"/>
      <c r="AS1942" s="332"/>
      <c r="AT1942" s="160"/>
    </row>
    <row r="1943" spans="1:46" ht="21.75" hidden="1" customHeight="1">
      <c r="A1943" s="331">
        <v>1942</v>
      </c>
      <c r="B1943" s="28" t="s">
        <v>169</v>
      </c>
      <c r="C1943" s="40" t="s">
        <v>9440</v>
      </c>
      <c r="D1943" s="437" t="s">
        <v>862</v>
      </c>
      <c r="E1943" s="361" t="str">
        <f t="shared" ca="1" si="114"/>
        <v>LOSS</v>
      </c>
      <c r="F1943" s="41" t="s">
        <v>9441</v>
      </c>
      <c r="G1943" s="40" t="s">
        <v>9442</v>
      </c>
      <c r="H1943" s="29" t="s">
        <v>2748</v>
      </c>
      <c r="I1943" s="29" t="s">
        <v>346</v>
      </c>
      <c r="J1943" s="28"/>
      <c r="K1943" s="40" t="s">
        <v>9443</v>
      </c>
      <c r="L1943" s="27"/>
      <c r="M1943" s="27"/>
      <c r="N1943" s="29"/>
      <c r="O1943" s="56"/>
      <c r="P1943" s="31">
        <v>338000000</v>
      </c>
      <c r="Q1943" s="31"/>
      <c r="R1943" s="56"/>
      <c r="S1943" s="100">
        <v>72000000</v>
      </c>
      <c r="T1943" s="34"/>
      <c r="U1943" s="334">
        <v>45507</v>
      </c>
      <c r="V1943" s="334">
        <v>45871</v>
      </c>
      <c r="W1943" s="27" t="s">
        <v>17</v>
      </c>
      <c r="X1943" s="27"/>
      <c r="Y1943" s="34">
        <f t="shared" ca="1" si="116"/>
        <v>46290</v>
      </c>
      <c r="Z1943" s="35">
        <f t="shared" ca="1" si="111"/>
        <v>-419</v>
      </c>
      <c r="AA1943" s="27">
        <f t="shared" si="115"/>
        <v>8</v>
      </c>
      <c r="AB1943" s="27">
        <v>2025</v>
      </c>
      <c r="AC1943" s="28">
        <v>4500021201</v>
      </c>
      <c r="AD1943" s="28" t="s">
        <v>9444</v>
      </c>
      <c r="AE1943" s="47" t="s">
        <v>9445</v>
      </c>
      <c r="AF1943" s="52" t="s">
        <v>339</v>
      </c>
      <c r="AG1943" s="29" t="s">
        <v>381</v>
      </c>
      <c r="AH1943" s="160"/>
      <c r="AI1943" s="27"/>
      <c r="AJ1943" s="27"/>
      <c r="AK1943" s="27"/>
      <c r="AL1943" s="27"/>
      <c r="AM1943" s="27"/>
      <c r="AN1943" s="27"/>
      <c r="AO1943" s="27"/>
      <c r="AP1943" s="27"/>
      <c r="AQ1943" s="27"/>
      <c r="AR1943" s="504"/>
      <c r="AS1943" s="332"/>
      <c r="AT1943" s="160"/>
    </row>
    <row r="1944" spans="1:46" ht="21.75" hidden="1" customHeight="1">
      <c r="A1944" s="331">
        <v>1943</v>
      </c>
      <c r="B1944" s="28" t="s">
        <v>198</v>
      </c>
      <c r="C1944" s="40" t="s">
        <v>9446</v>
      </c>
      <c r="D1944" s="438" t="s">
        <v>9447</v>
      </c>
      <c r="E1944" s="361" t="str">
        <f t="shared" ca="1" si="114"/>
        <v>LOSS</v>
      </c>
      <c r="F1944" s="29" t="s">
        <v>9448</v>
      </c>
      <c r="G1944" s="28"/>
      <c r="H1944" s="29" t="s">
        <v>2748</v>
      </c>
      <c r="I1944" s="29" t="s">
        <v>346</v>
      </c>
      <c r="J1944" s="28"/>
      <c r="K1944" s="40" t="s">
        <v>9449</v>
      </c>
      <c r="L1944" s="27"/>
      <c r="M1944" s="27" t="s">
        <v>365</v>
      </c>
      <c r="N1944" s="29"/>
      <c r="O1944" s="56"/>
      <c r="P1944" s="31">
        <f>12*11968000</f>
        <v>143616000</v>
      </c>
      <c r="Q1944" s="31"/>
      <c r="R1944" s="56"/>
      <c r="S1944" s="100">
        <v>26796000</v>
      </c>
      <c r="T1944" s="34"/>
      <c r="U1944" s="334">
        <v>45387</v>
      </c>
      <c r="V1944" s="334">
        <v>45751</v>
      </c>
      <c r="W1944" s="27" t="s">
        <v>250</v>
      </c>
      <c r="X1944" s="27"/>
      <c r="Y1944" s="34">
        <f t="shared" ca="1" si="116"/>
        <v>46290</v>
      </c>
      <c r="Z1944" s="35">
        <f t="shared" ref="Z1944:Z2007" ca="1" si="117">V1944-Y1944</f>
        <v>-539</v>
      </c>
      <c r="AA1944" s="27">
        <f t="shared" si="115"/>
        <v>4</v>
      </c>
      <c r="AB1944" s="27">
        <v>2025</v>
      </c>
      <c r="AC1944" s="28">
        <v>4500020638</v>
      </c>
      <c r="AD1944" s="28" t="s">
        <v>9450</v>
      </c>
      <c r="AE1944" s="47" t="s">
        <v>9451</v>
      </c>
      <c r="AF1944" s="52" t="s">
        <v>339</v>
      </c>
      <c r="AG1944" s="29"/>
      <c r="AH1944" s="160"/>
      <c r="AI1944" s="27"/>
      <c r="AJ1944" s="27"/>
      <c r="AK1944" s="27"/>
      <c r="AL1944" s="27"/>
      <c r="AM1944" s="27"/>
      <c r="AN1944" s="27"/>
      <c r="AO1944" s="27"/>
      <c r="AP1944" s="27" t="s">
        <v>6420</v>
      </c>
      <c r="AQ1944" s="27"/>
      <c r="AR1944" s="504"/>
      <c r="AS1944" s="332"/>
      <c r="AT1944" s="160"/>
    </row>
    <row r="1945" spans="1:46" ht="21.75" hidden="1" customHeight="1">
      <c r="A1945" s="331">
        <v>1944</v>
      </c>
      <c r="B1945" s="28" t="s">
        <v>169</v>
      </c>
      <c r="C1945" s="27" t="s">
        <v>9452</v>
      </c>
      <c r="D1945" s="437" t="s">
        <v>862</v>
      </c>
      <c r="E1945" s="361" t="str">
        <f t="shared" ca="1" si="114"/>
        <v>LOSS</v>
      </c>
      <c r="F1945" s="41" t="s">
        <v>9441</v>
      </c>
      <c r="G1945" s="40" t="s">
        <v>9453</v>
      </c>
      <c r="H1945" s="29" t="s">
        <v>2748</v>
      </c>
      <c r="I1945" s="29" t="s">
        <v>242</v>
      </c>
      <c r="J1945" s="159"/>
      <c r="K1945" s="41" t="s">
        <v>9454</v>
      </c>
      <c r="L1945" s="158"/>
      <c r="M1945" s="91" t="s">
        <v>9455</v>
      </c>
      <c r="N1945" s="160"/>
      <c r="O1945" s="162"/>
      <c r="P1945" s="161">
        <v>551000000</v>
      </c>
      <c r="Q1945" s="161"/>
      <c r="R1945" s="162"/>
      <c r="S1945" s="163">
        <v>18000000</v>
      </c>
      <c r="T1945" s="164"/>
      <c r="U1945" s="334">
        <v>45358</v>
      </c>
      <c r="V1945" s="334">
        <v>45840</v>
      </c>
      <c r="W1945" s="27" t="s">
        <v>250</v>
      </c>
      <c r="X1945" s="158"/>
      <c r="Y1945" s="34">
        <f t="shared" ca="1" si="116"/>
        <v>46290</v>
      </c>
      <c r="Z1945" s="35">
        <f t="shared" ca="1" si="117"/>
        <v>-450</v>
      </c>
      <c r="AA1945" s="27">
        <f t="shared" si="115"/>
        <v>7</v>
      </c>
      <c r="AB1945" s="27">
        <v>2025</v>
      </c>
      <c r="AC1945" s="28">
        <v>4500021078</v>
      </c>
      <c r="AD1945" s="28" t="s">
        <v>9456</v>
      </c>
      <c r="AE1945" s="282" t="s">
        <v>9457</v>
      </c>
      <c r="AF1945" s="52" t="s">
        <v>339</v>
      </c>
      <c r="AG1945" s="29" t="s">
        <v>381</v>
      </c>
      <c r="AH1945" s="160"/>
      <c r="AI1945" s="158"/>
      <c r="AJ1945" s="158"/>
      <c r="AK1945" s="158"/>
      <c r="AL1945" s="158"/>
      <c r="AM1945" s="158"/>
      <c r="AN1945" s="158"/>
      <c r="AO1945" s="158"/>
      <c r="AP1945" s="27" t="s">
        <v>9458</v>
      </c>
      <c r="AQ1945" s="27"/>
      <c r="AR1945" s="504"/>
      <c r="AS1945" s="475"/>
      <c r="AT1945" s="160"/>
    </row>
    <row r="1946" spans="1:46" ht="21.75" hidden="1" customHeight="1">
      <c r="A1946" s="331">
        <v>1945</v>
      </c>
      <c r="B1946" s="28" t="s">
        <v>169</v>
      </c>
      <c r="C1946" s="28" t="s">
        <v>9452</v>
      </c>
      <c r="D1946" s="438" t="s">
        <v>862</v>
      </c>
      <c r="E1946" s="361" t="str">
        <f t="shared" ca="1" si="114"/>
        <v>LOSS</v>
      </c>
      <c r="F1946" s="160"/>
      <c r="G1946" s="40" t="s">
        <v>2936</v>
      </c>
      <c r="H1946" s="29" t="s">
        <v>2748</v>
      </c>
      <c r="I1946" s="29" t="s">
        <v>242</v>
      </c>
      <c r="J1946" s="28" t="s">
        <v>9459</v>
      </c>
      <c r="K1946" s="29" t="s">
        <v>9460</v>
      </c>
      <c r="L1946" s="158"/>
      <c r="M1946" s="27" t="s">
        <v>9461</v>
      </c>
      <c r="N1946" s="160"/>
      <c r="O1946" s="162"/>
      <c r="P1946" s="161">
        <v>132000000</v>
      </c>
      <c r="Q1946" s="161"/>
      <c r="R1946" s="162"/>
      <c r="S1946" s="163">
        <v>18000000</v>
      </c>
      <c r="T1946" s="164"/>
      <c r="U1946" s="334">
        <v>45330</v>
      </c>
      <c r="V1946" s="334">
        <v>45870</v>
      </c>
      <c r="W1946" s="27" t="s">
        <v>250</v>
      </c>
      <c r="X1946" s="158"/>
      <c r="Y1946" s="34">
        <f t="shared" ca="1" si="116"/>
        <v>46290</v>
      </c>
      <c r="Z1946" s="35">
        <f t="shared" ca="1" si="117"/>
        <v>-420</v>
      </c>
      <c r="AA1946" s="27">
        <f t="shared" si="115"/>
        <v>8</v>
      </c>
      <c r="AB1946" s="27">
        <v>2025</v>
      </c>
      <c r="AC1946" s="28">
        <v>4500021193</v>
      </c>
      <c r="AD1946" s="28" t="s">
        <v>9462</v>
      </c>
      <c r="AE1946" s="282" t="s">
        <v>9463</v>
      </c>
      <c r="AF1946" s="52" t="s">
        <v>339</v>
      </c>
      <c r="AG1946" s="29" t="s">
        <v>381</v>
      </c>
      <c r="AH1946" s="160"/>
      <c r="AI1946" s="158"/>
      <c r="AJ1946" s="158"/>
      <c r="AK1946" s="158"/>
      <c r="AL1946" s="158"/>
      <c r="AM1946" s="158"/>
      <c r="AN1946" s="158"/>
      <c r="AO1946" s="158"/>
      <c r="AP1946" s="27" t="s">
        <v>9464</v>
      </c>
      <c r="AQ1946" s="27"/>
      <c r="AR1946" s="504"/>
      <c r="AS1946" s="475"/>
      <c r="AT1946" s="160"/>
    </row>
    <row r="1947" spans="1:46" ht="15" hidden="1" customHeight="1">
      <c r="A1947" s="331">
        <v>1946</v>
      </c>
      <c r="B1947" s="159" t="s">
        <v>71</v>
      </c>
      <c r="C1947" s="159" t="s">
        <v>9465</v>
      </c>
      <c r="D1947" s="437" t="s">
        <v>490</v>
      </c>
      <c r="E1947" s="361" t="str">
        <f t="shared" ca="1" si="114"/>
        <v>LOSS</v>
      </c>
      <c r="F1947" s="160" t="s">
        <v>9466</v>
      </c>
      <c r="G1947" s="159" t="s">
        <v>9467</v>
      </c>
      <c r="H1947" s="160" t="s">
        <v>2748</v>
      </c>
      <c r="I1947" s="160" t="s">
        <v>242</v>
      </c>
      <c r="J1947" s="159" t="s">
        <v>3870</v>
      </c>
      <c r="K1947" s="160"/>
      <c r="L1947" s="158"/>
      <c r="M1947" s="158" t="s">
        <v>365</v>
      </c>
      <c r="N1947" s="158" t="s">
        <v>389</v>
      </c>
      <c r="O1947" s="162"/>
      <c r="P1947" s="161">
        <v>148800000</v>
      </c>
      <c r="Q1947" s="161"/>
      <c r="R1947" s="162"/>
      <c r="S1947" s="163">
        <v>36000000</v>
      </c>
      <c r="T1947" s="164"/>
      <c r="U1947" s="334">
        <v>45604</v>
      </c>
      <c r="V1947" s="334">
        <v>45968</v>
      </c>
      <c r="W1947" s="27" t="s">
        <v>250</v>
      </c>
      <c r="X1947" s="158"/>
      <c r="Y1947" s="34">
        <f t="shared" ca="1" si="116"/>
        <v>46290</v>
      </c>
      <c r="Z1947" s="35">
        <f t="shared" ca="1" si="117"/>
        <v>-322</v>
      </c>
      <c r="AA1947" s="27">
        <f t="shared" si="115"/>
        <v>11</v>
      </c>
      <c r="AB1947" s="158">
        <v>2025</v>
      </c>
      <c r="AC1947" s="159">
        <v>4500021659</v>
      </c>
      <c r="AD1947" s="28" t="s">
        <v>9468</v>
      </c>
      <c r="AE1947" s="184" t="s">
        <v>9469</v>
      </c>
      <c r="AF1947" s="201" t="s">
        <v>333</v>
      </c>
      <c r="AG1947" s="160" t="s">
        <v>9470</v>
      </c>
      <c r="AH1947" s="160"/>
      <c r="AI1947" s="158"/>
      <c r="AJ1947" s="158"/>
      <c r="AK1947" s="158"/>
      <c r="AL1947" s="158"/>
      <c r="AM1947" s="158"/>
      <c r="AN1947" s="158"/>
      <c r="AO1947" s="158"/>
      <c r="AP1947" s="158" t="s">
        <v>9471</v>
      </c>
      <c r="AQ1947" s="158"/>
      <c r="AR1947" s="507"/>
      <c r="AS1947" s="475"/>
      <c r="AT1947" s="160"/>
    </row>
    <row r="1948" spans="1:46" ht="15" hidden="1" customHeight="1">
      <c r="A1948" s="331">
        <v>1947</v>
      </c>
      <c r="B1948" s="159" t="s">
        <v>71</v>
      </c>
      <c r="C1948" s="159" t="s">
        <v>2387</v>
      </c>
      <c r="D1948" s="438" t="s">
        <v>490</v>
      </c>
      <c r="E1948" s="361" t="str">
        <f t="shared" ca="1" si="114"/>
        <v>LOSS</v>
      </c>
      <c r="F1948" s="160" t="s">
        <v>115</v>
      </c>
      <c r="G1948" s="159" t="s">
        <v>3696</v>
      </c>
      <c r="H1948" s="160" t="s">
        <v>2748</v>
      </c>
      <c r="I1948" s="160" t="s">
        <v>242</v>
      </c>
      <c r="J1948" s="159" t="s">
        <v>2388</v>
      </c>
      <c r="K1948" s="160"/>
      <c r="L1948" s="158"/>
      <c r="M1948" s="158" t="s">
        <v>6776</v>
      </c>
      <c r="N1948" s="158" t="s">
        <v>396</v>
      </c>
      <c r="O1948" s="162"/>
      <c r="P1948" s="161">
        <v>324000000</v>
      </c>
      <c r="Q1948" s="161"/>
      <c r="R1948" s="162"/>
      <c r="S1948" s="163">
        <v>36000000</v>
      </c>
      <c r="T1948" s="164"/>
      <c r="U1948" s="334">
        <v>45591</v>
      </c>
      <c r="V1948" s="334">
        <v>45955</v>
      </c>
      <c r="W1948" s="158" t="s">
        <v>250</v>
      </c>
      <c r="X1948" s="158"/>
      <c r="Y1948" s="34">
        <f t="shared" ca="1" si="116"/>
        <v>46290</v>
      </c>
      <c r="Z1948" s="35">
        <f t="shared" ca="1" si="117"/>
        <v>-335</v>
      </c>
      <c r="AA1948" s="27">
        <f t="shared" si="115"/>
        <v>10</v>
      </c>
      <c r="AB1948" s="158">
        <v>2025</v>
      </c>
      <c r="AC1948" s="159">
        <v>4500021694</v>
      </c>
      <c r="AD1948" s="28" t="s">
        <v>9472</v>
      </c>
      <c r="AE1948" s="184" t="s">
        <v>9473</v>
      </c>
      <c r="AF1948" s="201" t="s">
        <v>333</v>
      </c>
      <c r="AG1948" s="160"/>
      <c r="AH1948" s="160"/>
      <c r="AI1948" s="158"/>
      <c r="AJ1948" s="158"/>
      <c r="AK1948" s="158"/>
      <c r="AL1948" s="158"/>
      <c r="AM1948" s="158"/>
      <c r="AN1948" s="158"/>
      <c r="AO1948" s="158"/>
      <c r="AP1948" s="158" t="s">
        <v>9474</v>
      </c>
      <c r="AQ1948" s="158"/>
      <c r="AR1948" s="507"/>
      <c r="AS1948" s="475"/>
      <c r="AT1948" s="160"/>
    </row>
    <row r="1949" spans="1:46" ht="15" hidden="1" customHeight="1">
      <c r="A1949" s="331">
        <v>1948</v>
      </c>
      <c r="B1949" s="159" t="s">
        <v>71</v>
      </c>
      <c r="C1949" s="159" t="s">
        <v>1020</v>
      </c>
      <c r="D1949" s="437" t="s">
        <v>490</v>
      </c>
      <c r="E1949" s="361" t="str">
        <f t="shared" ca="1" si="114"/>
        <v>LOSS</v>
      </c>
      <c r="F1949" s="159" t="s">
        <v>9475</v>
      </c>
      <c r="G1949" s="159" t="s">
        <v>9476</v>
      </c>
      <c r="H1949" s="160" t="s">
        <v>2748</v>
      </c>
      <c r="I1949" s="160" t="s">
        <v>242</v>
      </c>
      <c r="J1949" s="159" t="s">
        <v>9477</v>
      </c>
      <c r="K1949" s="160"/>
      <c r="L1949" s="158"/>
      <c r="M1949" s="158" t="s">
        <v>6776</v>
      </c>
      <c r="N1949" s="158" t="s">
        <v>354</v>
      </c>
      <c r="O1949" s="162"/>
      <c r="P1949" s="161">
        <f>10000000*12</f>
        <v>120000000</v>
      </c>
      <c r="Q1949" s="161"/>
      <c r="R1949" s="162"/>
      <c r="S1949" s="163">
        <v>18000000</v>
      </c>
      <c r="T1949" s="164"/>
      <c r="U1949" s="334">
        <v>45608</v>
      </c>
      <c r="V1949" s="334">
        <v>45972</v>
      </c>
      <c r="W1949" s="158" t="s">
        <v>250</v>
      </c>
      <c r="X1949" s="158"/>
      <c r="Y1949" s="34">
        <f t="shared" ca="1" si="116"/>
        <v>46290</v>
      </c>
      <c r="Z1949" s="35">
        <f t="shared" ca="1" si="117"/>
        <v>-318</v>
      </c>
      <c r="AA1949" s="27">
        <f t="shared" si="115"/>
        <v>11</v>
      </c>
      <c r="AB1949" s="158">
        <v>2025</v>
      </c>
      <c r="AC1949" s="159">
        <v>4500021614</v>
      </c>
      <c r="AD1949" s="28" t="s">
        <v>9478</v>
      </c>
      <c r="AE1949" s="184" t="s">
        <v>9479</v>
      </c>
      <c r="AF1949" s="201" t="s">
        <v>333</v>
      </c>
      <c r="AG1949" s="160" t="s">
        <v>9470</v>
      </c>
      <c r="AH1949" s="160"/>
      <c r="AI1949" s="158"/>
      <c r="AJ1949" s="158"/>
      <c r="AK1949" s="158"/>
      <c r="AL1949" s="158"/>
      <c r="AM1949" s="158"/>
      <c r="AN1949" s="158"/>
      <c r="AO1949" s="158"/>
      <c r="AP1949" s="158" t="s">
        <v>9480</v>
      </c>
      <c r="AQ1949" s="158"/>
      <c r="AR1949" s="507"/>
      <c r="AS1949" s="475"/>
      <c r="AT1949" s="160"/>
    </row>
    <row r="1950" spans="1:46" ht="15" hidden="1" customHeight="1">
      <c r="A1950" s="331">
        <v>1949</v>
      </c>
      <c r="B1950" s="159" t="s">
        <v>71</v>
      </c>
      <c r="C1950" s="159" t="s">
        <v>615</v>
      </c>
      <c r="D1950" s="438" t="s">
        <v>490</v>
      </c>
      <c r="E1950" s="361" t="str">
        <f t="shared" ca="1" si="114"/>
        <v>LOSS</v>
      </c>
      <c r="F1950" s="160" t="s">
        <v>9481</v>
      </c>
      <c r="G1950" s="159" t="s">
        <v>9482</v>
      </c>
      <c r="H1950" s="160" t="s">
        <v>2748</v>
      </c>
      <c r="I1950" s="160" t="s">
        <v>242</v>
      </c>
      <c r="J1950" s="159"/>
      <c r="K1950" s="181" t="s">
        <v>9483</v>
      </c>
      <c r="L1950" s="158"/>
      <c r="M1950" s="158" t="s">
        <v>6776</v>
      </c>
      <c r="N1950" s="158" t="s">
        <v>354</v>
      </c>
      <c r="O1950" s="162"/>
      <c r="P1950" s="161">
        <f>54975000*12</f>
        <v>659700000</v>
      </c>
      <c r="Q1950" s="161"/>
      <c r="R1950" s="162"/>
      <c r="S1950" s="163">
        <v>18000000</v>
      </c>
      <c r="T1950" s="164"/>
      <c r="U1950" s="334">
        <v>45555</v>
      </c>
      <c r="V1950" s="334">
        <v>45919</v>
      </c>
      <c r="W1950" s="158" t="s">
        <v>245</v>
      </c>
      <c r="X1950" s="158"/>
      <c r="Y1950" s="34">
        <f t="shared" ca="1" si="116"/>
        <v>46290</v>
      </c>
      <c r="Z1950" s="35">
        <f t="shared" ca="1" si="117"/>
        <v>-371</v>
      </c>
      <c r="AA1950" s="27">
        <f t="shared" si="115"/>
        <v>9</v>
      </c>
      <c r="AB1950" s="158">
        <v>2025</v>
      </c>
      <c r="AC1950" s="159">
        <v>4500021634</v>
      </c>
      <c r="AD1950" s="28" t="s">
        <v>9484</v>
      </c>
      <c r="AE1950" s="184" t="s">
        <v>9485</v>
      </c>
      <c r="AF1950" s="201" t="s">
        <v>333</v>
      </c>
      <c r="AG1950" s="160" t="s">
        <v>9470</v>
      </c>
      <c r="AH1950" s="160"/>
      <c r="AI1950" s="158"/>
      <c r="AJ1950" s="158"/>
      <c r="AK1950" s="158"/>
      <c r="AL1950" s="158"/>
      <c r="AM1950" s="158"/>
      <c r="AN1950" s="158"/>
      <c r="AO1950" s="158"/>
      <c r="AP1950" s="158" t="s">
        <v>9486</v>
      </c>
      <c r="AQ1950" s="158"/>
      <c r="AR1950" s="507"/>
      <c r="AS1950" s="475"/>
      <c r="AT1950" s="160"/>
    </row>
    <row r="1951" spans="1:46" ht="15" hidden="1" customHeight="1">
      <c r="A1951" s="331">
        <v>1950</v>
      </c>
      <c r="B1951" s="159" t="s">
        <v>71</v>
      </c>
      <c r="C1951" s="159" t="s">
        <v>1265</v>
      </c>
      <c r="D1951" s="437" t="s">
        <v>490</v>
      </c>
      <c r="E1951" s="361" t="str">
        <f t="shared" ca="1" si="114"/>
        <v>LOSS</v>
      </c>
      <c r="F1951" s="160" t="s">
        <v>115</v>
      </c>
      <c r="G1951" s="159" t="s">
        <v>9487</v>
      </c>
      <c r="H1951" s="160" t="s">
        <v>2748</v>
      </c>
      <c r="I1951" s="160" t="s">
        <v>242</v>
      </c>
      <c r="J1951" s="159" t="s">
        <v>9488</v>
      </c>
      <c r="K1951" s="181"/>
      <c r="L1951" s="158"/>
      <c r="M1951" s="158" t="s">
        <v>6776</v>
      </c>
      <c r="N1951" s="158" t="s">
        <v>354</v>
      </c>
      <c r="O1951" s="162"/>
      <c r="P1951" s="161">
        <f>6000000*12</f>
        <v>72000000</v>
      </c>
      <c r="Q1951" s="161"/>
      <c r="R1951" s="162"/>
      <c r="S1951" s="163">
        <v>36000000</v>
      </c>
      <c r="T1951" s="164"/>
      <c r="U1951" s="334">
        <v>45562</v>
      </c>
      <c r="V1951" s="334">
        <v>45926</v>
      </c>
      <c r="W1951" s="158" t="s">
        <v>250</v>
      </c>
      <c r="X1951" s="158"/>
      <c r="Y1951" s="34">
        <f t="shared" ca="1" si="116"/>
        <v>46290</v>
      </c>
      <c r="Z1951" s="35">
        <f t="shared" ca="1" si="117"/>
        <v>-364</v>
      </c>
      <c r="AA1951" s="27">
        <f t="shared" si="115"/>
        <v>9</v>
      </c>
      <c r="AB1951" s="158">
        <v>2025</v>
      </c>
      <c r="AC1951" s="159">
        <v>4500022073</v>
      </c>
      <c r="AD1951" s="28" t="s">
        <v>9489</v>
      </c>
      <c r="AE1951" s="184" t="s">
        <v>9490</v>
      </c>
      <c r="AF1951" s="201" t="s">
        <v>333</v>
      </c>
      <c r="AG1951" s="160" t="s">
        <v>9470</v>
      </c>
      <c r="AH1951" s="160"/>
      <c r="AI1951" s="158"/>
      <c r="AJ1951" s="158"/>
      <c r="AK1951" s="158"/>
      <c r="AL1951" s="158"/>
      <c r="AM1951" s="158"/>
      <c r="AN1951" s="158"/>
      <c r="AO1951" s="158"/>
      <c r="AP1951" s="158" t="s">
        <v>9491</v>
      </c>
      <c r="AQ1951" s="158"/>
      <c r="AR1951" s="507"/>
      <c r="AS1951" s="475"/>
      <c r="AT1951" s="160"/>
    </row>
    <row r="1952" spans="1:46" ht="15" hidden="1" customHeight="1">
      <c r="A1952" s="331">
        <v>1951</v>
      </c>
      <c r="B1952" s="159" t="s">
        <v>71</v>
      </c>
      <c r="C1952" s="159" t="s">
        <v>9492</v>
      </c>
      <c r="D1952" s="438" t="s">
        <v>490</v>
      </c>
      <c r="E1952" s="361" t="str">
        <f t="shared" ca="1" si="114"/>
        <v>LOSS</v>
      </c>
      <c r="F1952" s="160" t="s">
        <v>3862</v>
      </c>
      <c r="G1952" s="159" t="s">
        <v>3863</v>
      </c>
      <c r="H1952" s="160" t="s">
        <v>2748</v>
      </c>
      <c r="I1952" s="160" t="s">
        <v>242</v>
      </c>
      <c r="J1952" s="159" t="s">
        <v>3864</v>
      </c>
      <c r="K1952" s="181"/>
      <c r="L1952" s="158"/>
      <c r="M1952" s="158" t="s">
        <v>329</v>
      </c>
      <c r="N1952" s="158" t="s">
        <v>417</v>
      </c>
      <c r="O1952" s="162"/>
      <c r="P1952" s="161">
        <f>4500000*12</f>
        <v>54000000</v>
      </c>
      <c r="Q1952" s="161"/>
      <c r="R1952" s="162"/>
      <c r="S1952" s="163">
        <v>36000000</v>
      </c>
      <c r="T1952" s="164"/>
      <c r="U1952" s="334">
        <v>45571</v>
      </c>
      <c r="V1952" s="334">
        <v>45935</v>
      </c>
      <c r="W1952" s="158" t="s">
        <v>250</v>
      </c>
      <c r="X1952" s="158"/>
      <c r="Y1952" s="34">
        <f t="shared" ca="1" si="116"/>
        <v>46290</v>
      </c>
      <c r="Z1952" s="35">
        <f t="shared" ca="1" si="117"/>
        <v>-355</v>
      </c>
      <c r="AA1952" s="27">
        <f t="shared" si="115"/>
        <v>10</v>
      </c>
      <c r="AB1952" s="158">
        <v>2025</v>
      </c>
      <c r="AC1952" s="159">
        <v>4500021509</v>
      </c>
      <c r="AD1952" s="28" t="s">
        <v>9493</v>
      </c>
      <c r="AE1952" s="184" t="s">
        <v>9494</v>
      </c>
      <c r="AF1952" s="201" t="s">
        <v>333</v>
      </c>
      <c r="AG1952" s="160" t="s">
        <v>9470</v>
      </c>
      <c r="AH1952" s="160"/>
      <c r="AI1952" s="158"/>
      <c r="AJ1952" s="158"/>
      <c r="AK1952" s="158"/>
      <c r="AL1952" s="158"/>
      <c r="AM1952" s="158"/>
      <c r="AN1952" s="158"/>
      <c r="AO1952" s="158"/>
      <c r="AP1952" s="158" t="s">
        <v>9495</v>
      </c>
      <c r="AQ1952" s="158"/>
      <c r="AR1952" s="507"/>
      <c r="AS1952" s="475"/>
      <c r="AT1952" s="160"/>
    </row>
    <row r="1953" spans="1:46" ht="15" hidden="1" customHeight="1">
      <c r="A1953" s="331">
        <v>1952</v>
      </c>
      <c r="B1953" s="159" t="s">
        <v>71</v>
      </c>
      <c r="C1953" s="159" t="s">
        <v>2285</v>
      </c>
      <c r="D1953" s="437" t="s">
        <v>490</v>
      </c>
      <c r="E1953" s="361" t="str">
        <f t="shared" ca="1" si="114"/>
        <v>LOSS</v>
      </c>
      <c r="F1953" s="160" t="s">
        <v>9496</v>
      </c>
      <c r="G1953" s="159" t="s">
        <v>9497</v>
      </c>
      <c r="H1953" s="160" t="s">
        <v>2748</v>
      </c>
      <c r="I1953" s="160" t="s">
        <v>242</v>
      </c>
      <c r="J1953" s="159"/>
      <c r="K1953" s="181" t="s">
        <v>9498</v>
      </c>
      <c r="L1953" s="158"/>
      <c r="M1953" s="158" t="s">
        <v>6776</v>
      </c>
      <c r="N1953" s="158" t="s">
        <v>354</v>
      </c>
      <c r="O1953" s="162"/>
      <c r="P1953" s="161">
        <f>10000000*12</f>
        <v>120000000</v>
      </c>
      <c r="Q1953" s="161"/>
      <c r="R1953" s="162"/>
      <c r="S1953" s="163">
        <v>18000000</v>
      </c>
      <c r="T1953" s="164"/>
      <c r="U1953" s="334">
        <v>45585</v>
      </c>
      <c r="V1953" s="334">
        <v>45949</v>
      </c>
      <c r="W1953" s="158" t="s">
        <v>250</v>
      </c>
      <c r="X1953" s="158"/>
      <c r="Y1953" s="34">
        <f t="shared" ca="1" si="116"/>
        <v>46290</v>
      </c>
      <c r="Z1953" s="35">
        <f t="shared" ca="1" si="117"/>
        <v>-341</v>
      </c>
      <c r="AA1953" s="27">
        <f t="shared" si="115"/>
        <v>10</v>
      </c>
      <c r="AB1953" s="158">
        <v>2025</v>
      </c>
      <c r="AC1953" s="159">
        <v>4500021710</v>
      </c>
      <c r="AD1953" s="28" t="s">
        <v>9499</v>
      </c>
      <c r="AE1953" s="184" t="s">
        <v>9500</v>
      </c>
      <c r="AF1953" s="201" t="s">
        <v>333</v>
      </c>
      <c r="AG1953" s="160" t="s">
        <v>9470</v>
      </c>
      <c r="AH1953" s="160"/>
      <c r="AI1953" s="158"/>
      <c r="AJ1953" s="158"/>
      <c r="AK1953" s="158"/>
      <c r="AL1953" s="158"/>
      <c r="AM1953" s="158"/>
      <c r="AN1953" s="158"/>
      <c r="AO1953" s="158"/>
      <c r="AP1953" s="158" t="s">
        <v>9501</v>
      </c>
      <c r="AQ1953" s="158"/>
      <c r="AR1953" s="507"/>
      <c r="AS1953" s="475"/>
      <c r="AT1953" s="160"/>
    </row>
    <row r="1954" spans="1:46" ht="15" hidden="1" customHeight="1">
      <c r="A1954" s="331">
        <v>1953</v>
      </c>
      <c r="B1954" s="159" t="s">
        <v>71</v>
      </c>
      <c r="C1954" s="159" t="s">
        <v>9502</v>
      </c>
      <c r="D1954" s="438" t="s">
        <v>490</v>
      </c>
      <c r="E1954" s="361" t="str">
        <f t="shared" ca="1" si="114"/>
        <v>LOSS</v>
      </c>
      <c r="F1954" s="160" t="s">
        <v>9503</v>
      </c>
      <c r="G1954" s="159" t="s">
        <v>9504</v>
      </c>
      <c r="H1954" s="160" t="s">
        <v>2748</v>
      </c>
      <c r="I1954" s="160" t="s">
        <v>242</v>
      </c>
      <c r="J1954" s="182" t="s">
        <v>9505</v>
      </c>
      <c r="K1954" s="181"/>
      <c r="L1954" s="158"/>
      <c r="M1954" s="158" t="s">
        <v>9506</v>
      </c>
      <c r="N1954" s="158"/>
      <c r="O1954" s="162"/>
      <c r="P1954" s="161"/>
      <c r="Q1954" s="161"/>
      <c r="R1954" s="162">
        <v>4000000</v>
      </c>
      <c r="S1954" s="163">
        <v>36000000</v>
      </c>
      <c r="T1954" s="164"/>
      <c r="U1954" s="334">
        <v>45547</v>
      </c>
      <c r="V1954" s="334">
        <v>45911</v>
      </c>
      <c r="W1954" s="158" t="s">
        <v>250</v>
      </c>
      <c r="X1954" s="158"/>
      <c r="Y1954" s="34">
        <f t="shared" ca="1" si="116"/>
        <v>46290</v>
      </c>
      <c r="Z1954" s="35">
        <f t="shared" ca="1" si="117"/>
        <v>-379</v>
      </c>
      <c r="AA1954" s="27">
        <f t="shared" si="115"/>
        <v>9</v>
      </c>
      <c r="AB1954" s="158">
        <v>2025</v>
      </c>
      <c r="AC1954" s="159" t="s">
        <v>479</v>
      </c>
      <c r="AD1954" s="28" t="s">
        <v>9507</v>
      </c>
      <c r="AE1954" s="184" t="s">
        <v>9508</v>
      </c>
      <c r="AF1954" s="201" t="s">
        <v>333</v>
      </c>
      <c r="AG1954" s="160" t="s">
        <v>9470</v>
      </c>
      <c r="AH1954" s="160"/>
      <c r="AI1954" s="158"/>
      <c r="AJ1954" s="158"/>
      <c r="AK1954" s="158"/>
      <c r="AL1954" s="158"/>
      <c r="AM1954" s="158"/>
      <c r="AN1954" s="158"/>
      <c r="AO1954" s="158"/>
      <c r="AP1954" s="158" t="s">
        <v>9509</v>
      </c>
      <c r="AQ1954" s="158"/>
      <c r="AR1954" s="507"/>
      <c r="AS1954" s="475"/>
      <c r="AT1954" s="160"/>
    </row>
    <row r="1955" spans="1:46" ht="14.25" hidden="1" customHeight="1">
      <c r="A1955" s="331">
        <v>1954</v>
      </c>
      <c r="B1955" s="159" t="s">
        <v>71</v>
      </c>
      <c r="C1955" s="159" t="s">
        <v>9510</v>
      </c>
      <c r="D1955" s="437" t="s">
        <v>490</v>
      </c>
      <c r="E1955" s="361" t="str">
        <f t="shared" ca="1" si="114"/>
        <v>LOSS</v>
      </c>
      <c r="F1955" s="160" t="s">
        <v>9503</v>
      </c>
      <c r="G1955" s="159" t="s">
        <v>9504</v>
      </c>
      <c r="H1955" s="160" t="s">
        <v>2748</v>
      </c>
      <c r="I1955" s="160" t="s">
        <v>242</v>
      </c>
      <c r="J1955" s="182" t="s">
        <v>9505</v>
      </c>
      <c r="K1955" s="181"/>
      <c r="L1955" s="158"/>
      <c r="M1955" s="158" t="s">
        <v>9506</v>
      </c>
      <c r="N1955" s="158"/>
      <c r="O1955" s="162"/>
      <c r="P1955" s="161"/>
      <c r="Q1955" s="161"/>
      <c r="R1955" s="162">
        <v>4000000</v>
      </c>
      <c r="S1955" s="163">
        <v>36000000</v>
      </c>
      <c r="T1955" s="164"/>
      <c r="U1955" s="334">
        <v>45535</v>
      </c>
      <c r="V1955" s="334">
        <v>45899</v>
      </c>
      <c r="W1955" s="158" t="s">
        <v>250</v>
      </c>
      <c r="X1955" s="158"/>
      <c r="Y1955" s="34">
        <f t="shared" ca="1" si="116"/>
        <v>46290</v>
      </c>
      <c r="Z1955" s="35">
        <f t="shared" ca="1" si="117"/>
        <v>-391</v>
      </c>
      <c r="AA1955" s="27">
        <f t="shared" si="115"/>
        <v>8</v>
      </c>
      <c r="AB1955" s="158">
        <v>2025</v>
      </c>
      <c r="AC1955" s="159" t="s">
        <v>479</v>
      </c>
      <c r="AD1955" s="28" t="s">
        <v>9511</v>
      </c>
      <c r="AE1955" s="184" t="s">
        <v>9512</v>
      </c>
      <c r="AF1955" s="201" t="s">
        <v>333</v>
      </c>
      <c r="AG1955" s="160" t="s">
        <v>9470</v>
      </c>
      <c r="AH1955" s="160"/>
      <c r="AI1955" s="158"/>
      <c r="AJ1955" s="158"/>
      <c r="AK1955" s="158"/>
      <c r="AL1955" s="158"/>
      <c r="AM1955" s="158"/>
      <c r="AN1955" s="158"/>
      <c r="AO1955" s="158"/>
      <c r="AP1955" s="158" t="s">
        <v>9513</v>
      </c>
      <c r="AQ1955" s="158"/>
      <c r="AR1955" s="507"/>
      <c r="AS1955" s="475"/>
      <c r="AT1955" s="160"/>
    </row>
    <row r="1956" spans="1:46" ht="17.25" hidden="1" customHeight="1">
      <c r="A1956" s="331">
        <v>1955</v>
      </c>
      <c r="B1956" s="159" t="s">
        <v>440</v>
      </c>
      <c r="C1956" s="159" t="s">
        <v>1327</v>
      </c>
      <c r="D1956" s="438" t="s">
        <v>442</v>
      </c>
      <c r="E1956" s="361" t="str">
        <f t="shared" ca="1" si="114"/>
        <v>LOSS</v>
      </c>
      <c r="F1956" s="160"/>
      <c r="G1956" s="159" t="s">
        <v>9514</v>
      </c>
      <c r="H1956" s="160" t="s">
        <v>2748</v>
      </c>
      <c r="I1956" s="29" t="s">
        <v>346</v>
      </c>
      <c r="J1956" s="182" t="s">
        <v>9515</v>
      </c>
      <c r="K1956" s="160"/>
      <c r="L1956" s="158"/>
      <c r="M1956" s="158" t="s">
        <v>9516</v>
      </c>
      <c r="N1956" s="158" t="s">
        <v>9517</v>
      </c>
      <c r="O1956" s="162"/>
      <c r="P1956" s="161"/>
      <c r="Q1956" s="161"/>
      <c r="R1956" s="162"/>
      <c r="S1956" s="163">
        <v>8100000</v>
      </c>
      <c r="T1956" s="164"/>
      <c r="U1956" s="334">
        <v>45627</v>
      </c>
      <c r="V1956" s="334">
        <v>45991</v>
      </c>
      <c r="W1956" s="158" t="s">
        <v>250</v>
      </c>
      <c r="X1956" s="158"/>
      <c r="Y1956" s="34">
        <f t="shared" ca="1" si="116"/>
        <v>46290</v>
      </c>
      <c r="Z1956" s="35">
        <f t="shared" ca="1" si="117"/>
        <v>-299</v>
      </c>
      <c r="AA1956" s="27">
        <f t="shared" si="115"/>
        <v>11</v>
      </c>
      <c r="AB1956" s="158">
        <v>2025</v>
      </c>
      <c r="AC1956" s="159" t="s">
        <v>479</v>
      </c>
      <c r="AD1956" s="28" t="s">
        <v>9518</v>
      </c>
      <c r="AE1956" s="184" t="s">
        <v>9519</v>
      </c>
      <c r="AF1956" s="201" t="s">
        <v>333</v>
      </c>
      <c r="AG1956" s="160" t="s">
        <v>449</v>
      </c>
      <c r="AH1956" s="160"/>
      <c r="AI1956" s="158"/>
      <c r="AJ1956" s="158"/>
      <c r="AK1956" s="158"/>
      <c r="AL1956" s="158"/>
      <c r="AM1956" s="158"/>
      <c r="AN1956" s="158"/>
      <c r="AO1956" s="158"/>
      <c r="AP1956" s="158" t="s">
        <v>9520</v>
      </c>
      <c r="AQ1956" s="158"/>
      <c r="AR1956" s="507"/>
      <c r="AS1956" s="475"/>
      <c r="AT1956" s="160"/>
    </row>
    <row r="1957" spans="1:46" ht="15.75" hidden="1" customHeight="1">
      <c r="A1957" s="331">
        <v>1956</v>
      </c>
      <c r="B1957" s="159" t="s">
        <v>440</v>
      </c>
      <c r="C1957" s="182" t="s">
        <v>9521</v>
      </c>
      <c r="D1957" s="437" t="s">
        <v>442</v>
      </c>
      <c r="E1957" s="361" t="str">
        <f t="shared" ca="1" si="114"/>
        <v>LOSS</v>
      </c>
      <c r="F1957" s="160" t="s">
        <v>9522</v>
      </c>
      <c r="G1957" s="159"/>
      <c r="H1957" s="160" t="s">
        <v>2748</v>
      </c>
      <c r="I1957" s="29" t="s">
        <v>346</v>
      </c>
      <c r="J1957" s="182" t="s">
        <v>9523</v>
      </c>
      <c r="K1957" s="160"/>
      <c r="L1957" s="158"/>
      <c r="M1957" s="158" t="s">
        <v>365</v>
      </c>
      <c r="N1957" s="158"/>
      <c r="O1957" s="162"/>
      <c r="P1957" s="161">
        <f>49770000*12</f>
        <v>597240000</v>
      </c>
      <c r="Q1957" s="161"/>
      <c r="R1957" s="162"/>
      <c r="S1957" s="163">
        <v>120000000</v>
      </c>
      <c r="T1957" s="164"/>
      <c r="U1957" s="334">
        <v>45607</v>
      </c>
      <c r="V1957" s="334">
        <v>45971</v>
      </c>
      <c r="W1957" s="158" t="s">
        <v>250</v>
      </c>
      <c r="X1957" s="158"/>
      <c r="Y1957" s="34">
        <f t="shared" ca="1" si="116"/>
        <v>46290</v>
      </c>
      <c r="Z1957" s="35">
        <f t="shared" ca="1" si="117"/>
        <v>-319</v>
      </c>
      <c r="AA1957" s="27">
        <f t="shared" si="115"/>
        <v>11</v>
      </c>
      <c r="AB1957" s="158">
        <v>2025</v>
      </c>
      <c r="AC1957" s="159">
        <v>4500021498</v>
      </c>
      <c r="AD1957" s="28" t="s">
        <v>9524</v>
      </c>
      <c r="AE1957" s="184" t="s">
        <v>9525</v>
      </c>
      <c r="AF1957" s="201" t="s">
        <v>333</v>
      </c>
      <c r="AG1957" s="160" t="s">
        <v>449</v>
      </c>
      <c r="AH1957" s="160"/>
      <c r="AI1957" s="158"/>
      <c r="AJ1957" s="158"/>
      <c r="AK1957" s="158"/>
      <c r="AL1957" s="158"/>
      <c r="AM1957" s="158"/>
      <c r="AN1957" s="158"/>
      <c r="AO1957" s="158"/>
      <c r="AP1957" s="158" t="s">
        <v>1054</v>
      </c>
      <c r="AQ1957" s="158"/>
      <c r="AR1957" s="507"/>
      <c r="AS1957" s="475"/>
      <c r="AT1957" s="160"/>
    </row>
    <row r="1958" spans="1:46" ht="17.25" hidden="1" customHeight="1">
      <c r="A1958" s="331">
        <v>1957</v>
      </c>
      <c r="B1958" s="159" t="s">
        <v>440</v>
      </c>
      <c r="C1958" s="182" t="s">
        <v>9521</v>
      </c>
      <c r="D1958" s="438" t="s">
        <v>442</v>
      </c>
      <c r="E1958" s="361" t="str">
        <f t="shared" ca="1" si="114"/>
        <v>LOSS</v>
      </c>
      <c r="F1958" s="160" t="s">
        <v>9522</v>
      </c>
      <c r="G1958" s="159"/>
      <c r="H1958" s="160" t="s">
        <v>2748</v>
      </c>
      <c r="I1958" s="29" t="s">
        <v>346</v>
      </c>
      <c r="J1958" s="182" t="s">
        <v>9523</v>
      </c>
      <c r="K1958" s="160"/>
      <c r="L1958" s="158"/>
      <c r="M1958" s="158" t="s">
        <v>365</v>
      </c>
      <c r="N1958" s="158"/>
      <c r="O1958" s="162"/>
      <c r="P1958" s="161">
        <f>49770000*12</f>
        <v>597240000</v>
      </c>
      <c r="Q1958" s="161"/>
      <c r="R1958" s="162"/>
      <c r="S1958" s="163">
        <v>12000000</v>
      </c>
      <c r="T1958" s="164"/>
      <c r="U1958" s="334">
        <v>45594</v>
      </c>
      <c r="V1958" s="334">
        <v>45958</v>
      </c>
      <c r="W1958" s="158" t="s">
        <v>250</v>
      </c>
      <c r="X1958" s="158"/>
      <c r="Y1958" s="34">
        <f t="shared" ca="1" si="116"/>
        <v>46290</v>
      </c>
      <c r="Z1958" s="35">
        <f t="shared" ca="1" si="117"/>
        <v>-332</v>
      </c>
      <c r="AA1958" s="27">
        <f t="shared" si="115"/>
        <v>10</v>
      </c>
      <c r="AB1958" s="158">
        <v>2025</v>
      </c>
      <c r="AC1958" s="159">
        <v>4500021491</v>
      </c>
      <c r="AD1958" s="28" t="s">
        <v>9526</v>
      </c>
      <c r="AE1958" s="184" t="s">
        <v>9527</v>
      </c>
      <c r="AF1958" s="201" t="s">
        <v>333</v>
      </c>
      <c r="AG1958" s="160" t="s">
        <v>449</v>
      </c>
      <c r="AH1958" s="160"/>
      <c r="AI1958" s="158"/>
      <c r="AJ1958" s="158"/>
      <c r="AK1958" s="158"/>
      <c r="AL1958" s="158"/>
      <c r="AM1958" s="158"/>
      <c r="AN1958" s="158"/>
      <c r="AO1958" s="158"/>
      <c r="AP1958" s="158" t="s">
        <v>9528</v>
      </c>
      <c r="AQ1958" s="158"/>
      <c r="AR1958" s="507"/>
      <c r="AS1958" s="475"/>
      <c r="AT1958" s="160"/>
    </row>
    <row r="1959" spans="1:46" ht="17.25" hidden="1" customHeight="1">
      <c r="A1959" s="331">
        <v>1958</v>
      </c>
      <c r="B1959" s="159" t="s">
        <v>440</v>
      </c>
      <c r="C1959" s="159" t="s">
        <v>9529</v>
      </c>
      <c r="D1959" s="437" t="s">
        <v>442</v>
      </c>
      <c r="E1959" s="361" t="str">
        <f t="shared" ca="1" si="114"/>
        <v>LOSS</v>
      </c>
      <c r="F1959" s="160"/>
      <c r="G1959" s="159" t="s">
        <v>9514</v>
      </c>
      <c r="H1959" s="160" t="s">
        <v>2748</v>
      </c>
      <c r="I1959" s="29" t="s">
        <v>346</v>
      </c>
      <c r="J1959" s="159" t="s">
        <v>9530</v>
      </c>
      <c r="K1959" s="160"/>
      <c r="L1959" s="158"/>
      <c r="M1959" s="158" t="s">
        <v>365</v>
      </c>
      <c r="N1959" s="158" t="s">
        <v>7088</v>
      </c>
      <c r="O1959" s="162"/>
      <c r="P1959" s="161">
        <f>6400000*12</f>
        <v>76800000</v>
      </c>
      <c r="Q1959" s="161"/>
      <c r="R1959" s="162"/>
      <c r="S1959" s="163">
        <v>13000000</v>
      </c>
      <c r="T1959" s="164"/>
      <c r="U1959" s="334">
        <v>45593</v>
      </c>
      <c r="V1959" s="334">
        <v>45957</v>
      </c>
      <c r="W1959" s="158" t="s">
        <v>250</v>
      </c>
      <c r="X1959" s="158"/>
      <c r="Y1959" s="34">
        <f t="shared" ca="1" si="116"/>
        <v>46290</v>
      </c>
      <c r="Z1959" s="35">
        <f t="shared" ca="1" si="117"/>
        <v>-333</v>
      </c>
      <c r="AA1959" s="27">
        <f t="shared" ref="AA1959:AA1976" si="118">MONTH(V1959)</f>
        <v>10</v>
      </c>
      <c r="AB1959" s="158">
        <v>2025</v>
      </c>
      <c r="AC1959" s="159" t="s">
        <v>479</v>
      </c>
      <c r="AD1959" s="159" t="s">
        <v>9531</v>
      </c>
      <c r="AE1959" s="184" t="s">
        <v>9532</v>
      </c>
      <c r="AF1959" s="201" t="s">
        <v>333</v>
      </c>
      <c r="AG1959" s="160" t="s">
        <v>449</v>
      </c>
      <c r="AH1959" s="160"/>
      <c r="AI1959" s="158"/>
      <c r="AJ1959" s="158"/>
      <c r="AK1959" s="158"/>
      <c r="AL1959" s="158"/>
      <c r="AM1959" s="158"/>
      <c r="AN1959" s="158"/>
      <c r="AO1959" s="158"/>
      <c r="AP1959" s="158" t="s">
        <v>9533</v>
      </c>
      <c r="AQ1959" s="158"/>
      <c r="AR1959" s="507"/>
      <c r="AS1959" s="475"/>
      <c r="AT1959" s="160"/>
    </row>
    <row r="1960" spans="1:46" ht="18.75" hidden="1" customHeight="1">
      <c r="A1960" s="331">
        <v>1959</v>
      </c>
      <c r="B1960" s="159" t="s">
        <v>542</v>
      </c>
      <c r="C1960" s="159" t="s">
        <v>9534</v>
      </c>
      <c r="D1960" s="438" t="s">
        <v>413</v>
      </c>
      <c r="E1960" s="361" t="str">
        <f t="shared" ca="1" si="114"/>
        <v>LOSS</v>
      </c>
      <c r="F1960" s="160"/>
      <c r="G1960" s="159" t="s">
        <v>9535</v>
      </c>
      <c r="H1960" s="160" t="s">
        <v>2748</v>
      </c>
      <c r="I1960" s="160" t="s">
        <v>242</v>
      </c>
      <c r="J1960" s="159" t="s">
        <v>9536</v>
      </c>
      <c r="K1960" s="160"/>
      <c r="L1960" s="158"/>
      <c r="M1960" s="158" t="s">
        <v>365</v>
      </c>
      <c r="N1960" s="158" t="s">
        <v>389</v>
      </c>
      <c r="O1960" s="283">
        <f>2000000</f>
        <v>2000000</v>
      </c>
      <c r="P1960" s="161">
        <f>12000000*12</f>
        <v>144000000</v>
      </c>
      <c r="Q1960" s="161"/>
      <c r="R1960" s="162">
        <v>4000000</v>
      </c>
      <c r="S1960" s="163">
        <v>8000000</v>
      </c>
      <c r="T1960" s="164"/>
      <c r="U1960" s="334">
        <v>45572</v>
      </c>
      <c r="V1960" s="334">
        <v>45936</v>
      </c>
      <c r="W1960" s="158" t="s">
        <v>250</v>
      </c>
      <c r="X1960" s="158"/>
      <c r="Y1960" s="34">
        <f t="shared" ca="1" si="116"/>
        <v>46290</v>
      </c>
      <c r="Z1960" s="35">
        <f t="shared" ca="1" si="117"/>
        <v>-354</v>
      </c>
      <c r="AA1960" s="27">
        <f t="shared" si="118"/>
        <v>10</v>
      </c>
      <c r="AB1960" s="158">
        <v>2025</v>
      </c>
      <c r="AC1960" s="159" t="s">
        <v>479</v>
      </c>
      <c r="AD1960" s="159" t="s">
        <v>9537</v>
      </c>
      <c r="AE1960" s="184" t="s">
        <v>9538</v>
      </c>
      <c r="AF1960" s="201" t="s">
        <v>333</v>
      </c>
      <c r="AG1960" s="160" t="s">
        <v>9539</v>
      </c>
      <c r="AH1960" s="160"/>
      <c r="AI1960" s="158"/>
      <c r="AJ1960" s="158"/>
      <c r="AK1960" s="158"/>
      <c r="AL1960" s="158"/>
      <c r="AM1960" s="158"/>
      <c r="AN1960" s="158"/>
      <c r="AO1960" s="158"/>
      <c r="AP1960" s="158" t="s">
        <v>9540</v>
      </c>
      <c r="AQ1960" s="158"/>
      <c r="AR1960" s="507"/>
      <c r="AS1960" s="475"/>
      <c r="AT1960" s="160"/>
    </row>
    <row r="1961" spans="1:46" ht="17.25" hidden="1" customHeight="1">
      <c r="A1961" s="331">
        <v>1960</v>
      </c>
      <c r="B1961" s="159" t="s">
        <v>739</v>
      </c>
      <c r="C1961" s="159" t="s">
        <v>9541</v>
      </c>
      <c r="D1961" s="437" t="s">
        <v>8260</v>
      </c>
      <c r="E1961" s="361" t="str">
        <f t="shared" ca="1" si="114"/>
        <v>LOSS</v>
      </c>
      <c r="F1961" s="160" t="s">
        <v>9542</v>
      </c>
      <c r="G1961" s="182" t="s">
        <v>9543</v>
      </c>
      <c r="H1961" s="160" t="s">
        <v>2748</v>
      </c>
      <c r="I1961" s="29" t="s">
        <v>346</v>
      </c>
      <c r="J1961" s="216" t="s">
        <v>9544</v>
      </c>
      <c r="K1961" s="160"/>
      <c r="L1961" s="158"/>
      <c r="M1961" s="158" t="s">
        <v>365</v>
      </c>
      <c r="N1961" s="158" t="s">
        <v>6885</v>
      </c>
      <c r="O1961" s="162"/>
      <c r="P1961" s="161">
        <f>8810000*12</f>
        <v>105720000</v>
      </c>
      <c r="Q1961" s="161"/>
      <c r="R1961" s="162"/>
      <c r="S1961" s="163">
        <v>22365000</v>
      </c>
      <c r="T1961" s="164"/>
      <c r="U1961" s="334">
        <v>45636</v>
      </c>
      <c r="V1961" s="334">
        <v>46000</v>
      </c>
      <c r="W1961" s="158" t="s">
        <v>250</v>
      </c>
      <c r="X1961" s="158"/>
      <c r="Y1961" s="34">
        <f t="shared" ca="1" si="116"/>
        <v>46290</v>
      </c>
      <c r="Z1961" s="35">
        <f t="shared" ca="1" si="117"/>
        <v>-290</v>
      </c>
      <c r="AA1961" s="27">
        <f t="shared" si="118"/>
        <v>12</v>
      </c>
      <c r="AB1961" s="158">
        <v>2025</v>
      </c>
      <c r="AC1961" s="159">
        <v>4500022133</v>
      </c>
      <c r="AD1961" s="159" t="s">
        <v>9545</v>
      </c>
      <c r="AE1961" s="184" t="s">
        <v>9546</v>
      </c>
      <c r="AF1961" s="201" t="s">
        <v>333</v>
      </c>
      <c r="AG1961" s="160" t="s">
        <v>8264</v>
      </c>
      <c r="AH1961" s="160"/>
      <c r="AI1961" s="158"/>
      <c r="AJ1961" s="158"/>
      <c r="AK1961" s="158"/>
      <c r="AL1961" s="158"/>
      <c r="AM1961" s="158"/>
      <c r="AN1961" s="158"/>
      <c r="AO1961" s="158"/>
      <c r="AP1961" s="158" t="s">
        <v>9547</v>
      </c>
      <c r="AQ1961" s="158"/>
      <c r="AR1961" s="507"/>
      <c r="AS1961" s="475"/>
      <c r="AT1961" s="160"/>
    </row>
    <row r="1962" spans="1:46" ht="15.75" hidden="1" customHeight="1">
      <c r="A1962" s="331">
        <v>1961</v>
      </c>
      <c r="B1962" s="159" t="s">
        <v>9548</v>
      </c>
      <c r="C1962" s="159" t="s">
        <v>9549</v>
      </c>
      <c r="D1962" s="438" t="s">
        <v>9550</v>
      </c>
      <c r="E1962" s="361" t="str">
        <f t="shared" ca="1" si="114"/>
        <v>LOSS</v>
      </c>
      <c r="F1962" s="160"/>
      <c r="G1962" s="159" t="s">
        <v>9551</v>
      </c>
      <c r="H1962" s="160" t="s">
        <v>2748</v>
      </c>
      <c r="I1962" s="160" t="s">
        <v>346</v>
      </c>
      <c r="J1962" s="159" t="s">
        <v>9552</v>
      </c>
      <c r="K1962" s="160"/>
      <c r="L1962" s="158"/>
      <c r="M1962" s="158" t="s">
        <v>365</v>
      </c>
      <c r="N1962" s="158"/>
      <c r="O1962" s="283">
        <f>3000000</f>
        <v>3000000</v>
      </c>
      <c r="P1962" s="161">
        <f>5945945*12</f>
        <v>71351340</v>
      </c>
      <c r="Q1962" s="161"/>
      <c r="R1962" s="162">
        <v>300000</v>
      </c>
      <c r="S1962" s="163">
        <f>13500000</f>
        <v>13500000</v>
      </c>
      <c r="T1962" s="164"/>
      <c r="U1962" s="334">
        <v>45589</v>
      </c>
      <c r="V1962" s="334">
        <v>45953</v>
      </c>
      <c r="W1962" s="158" t="s">
        <v>250</v>
      </c>
      <c r="X1962" s="158"/>
      <c r="Y1962" s="34">
        <f t="shared" ca="1" si="116"/>
        <v>46290</v>
      </c>
      <c r="Z1962" s="35">
        <f t="shared" ca="1" si="117"/>
        <v>-337</v>
      </c>
      <c r="AA1962" s="27">
        <f t="shared" si="118"/>
        <v>10</v>
      </c>
      <c r="AB1962" s="158">
        <v>2025</v>
      </c>
      <c r="AC1962" s="159" t="s">
        <v>479</v>
      </c>
      <c r="AD1962" s="159" t="s">
        <v>9553</v>
      </c>
      <c r="AE1962" s="184" t="s">
        <v>9554</v>
      </c>
      <c r="AF1962" s="201" t="s">
        <v>333</v>
      </c>
      <c r="AG1962" s="160"/>
      <c r="AH1962" s="160"/>
      <c r="AI1962" s="158"/>
      <c r="AJ1962" s="158"/>
      <c r="AK1962" s="158"/>
      <c r="AL1962" s="158"/>
      <c r="AM1962" s="158"/>
      <c r="AN1962" s="158"/>
      <c r="AO1962" s="158"/>
      <c r="AP1962" s="158" t="s">
        <v>9555</v>
      </c>
      <c r="AQ1962" s="158"/>
      <c r="AR1962" s="507"/>
      <c r="AS1962" s="475"/>
      <c r="AT1962" s="160"/>
    </row>
    <row r="1963" spans="1:46" ht="18.75" hidden="1" customHeight="1">
      <c r="A1963" s="331">
        <v>1962</v>
      </c>
      <c r="B1963" s="159" t="s">
        <v>9556</v>
      </c>
      <c r="C1963" s="159" t="s">
        <v>9465</v>
      </c>
      <c r="D1963" s="437" t="s">
        <v>9557</v>
      </c>
      <c r="E1963" s="361" t="str">
        <f t="shared" ca="1" si="114"/>
        <v>LOSS</v>
      </c>
      <c r="F1963" s="160" t="s">
        <v>9466</v>
      </c>
      <c r="G1963" s="159" t="s">
        <v>9467</v>
      </c>
      <c r="H1963" s="160" t="s">
        <v>2748</v>
      </c>
      <c r="I1963" s="160" t="s">
        <v>242</v>
      </c>
      <c r="J1963" s="159" t="s">
        <v>3870</v>
      </c>
      <c r="K1963" s="160"/>
      <c r="L1963" s="158"/>
      <c r="M1963" s="158" t="s">
        <v>365</v>
      </c>
      <c r="N1963" s="158" t="s">
        <v>389</v>
      </c>
      <c r="O1963" s="162"/>
      <c r="P1963" s="161">
        <f>12400000*12</f>
        <v>148800000</v>
      </c>
      <c r="Q1963" s="161"/>
      <c r="R1963" s="162"/>
      <c r="S1963" s="163">
        <v>12000000</v>
      </c>
      <c r="T1963" s="164"/>
      <c r="U1963" s="334">
        <v>45611</v>
      </c>
      <c r="V1963" s="334">
        <v>45975</v>
      </c>
      <c r="W1963" s="158" t="s">
        <v>245</v>
      </c>
      <c r="X1963" s="158"/>
      <c r="Y1963" s="34">
        <f t="shared" ca="1" si="116"/>
        <v>46290</v>
      </c>
      <c r="Z1963" s="35">
        <f t="shared" ca="1" si="117"/>
        <v>-315</v>
      </c>
      <c r="AA1963" s="27">
        <f t="shared" si="118"/>
        <v>11</v>
      </c>
      <c r="AB1963" s="158">
        <v>2025</v>
      </c>
      <c r="AC1963" s="159">
        <v>4500021704</v>
      </c>
      <c r="AD1963" s="159" t="s">
        <v>9558</v>
      </c>
      <c r="AE1963" s="184" t="s">
        <v>9559</v>
      </c>
      <c r="AF1963" s="201" t="s">
        <v>333</v>
      </c>
      <c r="AG1963" s="160" t="s">
        <v>9560</v>
      </c>
      <c r="AH1963" s="160"/>
      <c r="AI1963" s="158"/>
      <c r="AJ1963" s="158"/>
      <c r="AK1963" s="158"/>
      <c r="AL1963" s="158"/>
      <c r="AM1963" s="158"/>
      <c r="AN1963" s="158"/>
      <c r="AO1963" s="158"/>
      <c r="AP1963" s="158" t="s">
        <v>9561</v>
      </c>
      <c r="AQ1963" s="158"/>
      <c r="AR1963" s="507"/>
      <c r="AS1963" s="475"/>
      <c r="AT1963" s="160"/>
    </row>
    <row r="1964" spans="1:46" ht="17.25" hidden="1" customHeight="1">
      <c r="A1964" s="331">
        <v>1963</v>
      </c>
      <c r="B1964" s="159" t="s">
        <v>9562</v>
      </c>
      <c r="C1964" s="159" t="s">
        <v>9563</v>
      </c>
      <c r="D1964" s="438" t="s">
        <v>5563</v>
      </c>
      <c r="E1964" s="361" t="str">
        <f t="shared" ca="1" si="114"/>
        <v>LOSS</v>
      </c>
      <c r="F1964" s="160"/>
      <c r="G1964" s="159"/>
      <c r="H1964" s="160" t="s">
        <v>2748</v>
      </c>
      <c r="I1964" s="29" t="s">
        <v>346</v>
      </c>
      <c r="J1964" s="159"/>
      <c r="K1964" s="160"/>
      <c r="L1964" s="158"/>
      <c r="M1964" s="158"/>
      <c r="N1964" s="158"/>
      <c r="O1964" s="162"/>
      <c r="P1964" s="161"/>
      <c r="Q1964" s="161"/>
      <c r="R1964" s="162"/>
      <c r="S1964" s="163">
        <v>25000000</v>
      </c>
      <c r="T1964" s="164"/>
      <c r="U1964" s="334">
        <v>45325</v>
      </c>
      <c r="V1964" s="334">
        <v>45690</v>
      </c>
      <c r="W1964" s="158" t="s">
        <v>250</v>
      </c>
      <c r="X1964" s="158"/>
      <c r="Y1964" s="34">
        <f t="shared" ca="1" si="116"/>
        <v>46290</v>
      </c>
      <c r="Z1964" s="35">
        <f t="shared" ca="1" si="117"/>
        <v>-600</v>
      </c>
      <c r="AA1964" s="27">
        <f t="shared" si="118"/>
        <v>2</v>
      </c>
      <c r="AB1964" s="158">
        <v>2025</v>
      </c>
      <c r="AC1964" s="159">
        <v>4500019991</v>
      </c>
      <c r="AD1964" s="159" t="s">
        <v>9564</v>
      </c>
      <c r="AE1964" s="184" t="s">
        <v>9565</v>
      </c>
      <c r="AF1964" s="52" t="s">
        <v>339</v>
      </c>
      <c r="AG1964" s="160" t="s">
        <v>9566</v>
      </c>
      <c r="AH1964" s="160"/>
      <c r="AI1964" s="158"/>
      <c r="AJ1964" s="158"/>
      <c r="AK1964" s="158"/>
      <c r="AL1964" s="158"/>
      <c r="AM1964" s="158"/>
      <c r="AN1964" s="158"/>
      <c r="AO1964" s="158"/>
      <c r="AP1964" s="158" t="s">
        <v>9567</v>
      </c>
      <c r="AQ1964" s="158"/>
      <c r="AR1964" s="507"/>
      <c r="AS1964" s="475"/>
      <c r="AT1964" s="160"/>
    </row>
    <row r="1965" spans="1:46" ht="17.25" hidden="1" customHeight="1">
      <c r="A1965" s="331">
        <v>1964</v>
      </c>
      <c r="B1965" s="159" t="s">
        <v>169</v>
      </c>
      <c r="C1965" s="159" t="s">
        <v>9568</v>
      </c>
      <c r="D1965" s="437" t="s">
        <v>862</v>
      </c>
      <c r="E1965" s="361" t="str">
        <f t="shared" ca="1" si="114"/>
        <v>LOSS</v>
      </c>
      <c r="F1965" s="160" t="s">
        <v>9569</v>
      </c>
      <c r="G1965" s="159" t="s">
        <v>9570</v>
      </c>
      <c r="H1965" s="160" t="s">
        <v>2748</v>
      </c>
      <c r="I1965" s="160" t="s">
        <v>242</v>
      </c>
      <c r="J1965" s="159" t="s">
        <v>9571</v>
      </c>
      <c r="K1965" s="160"/>
      <c r="L1965" s="158"/>
      <c r="M1965" s="158" t="s">
        <v>8854</v>
      </c>
      <c r="N1965" s="158" t="s">
        <v>9572</v>
      </c>
      <c r="O1965" s="162"/>
      <c r="P1965" s="161">
        <f>135000000*12</f>
        <v>1620000000</v>
      </c>
      <c r="Q1965" s="161"/>
      <c r="R1965" s="162"/>
      <c r="S1965" s="163">
        <v>18000000</v>
      </c>
      <c r="T1965" s="164"/>
      <c r="U1965" s="334">
        <v>45551</v>
      </c>
      <c r="V1965" s="334">
        <v>45915</v>
      </c>
      <c r="W1965" s="158" t="s">
        <v>17</v>
      </c>
      <c r="X1965" s="158"/>
      <c r="Y1965" s="34">
        <f t="shared" ca="1" si="116"/>
        <v>46290</v>
      </c>
      <c r="Z1965" s="35">
        <f t="shared" ca="1" si="117"/>
        <v>-375</v>
      </c>
      <c r="AA1965" s="27">
        <f t="shared" si="118"/>
        <v>9</v>
      </c>
      <c r="AB1965" s="158">
        <v>2025</v>
      </c>
      <c r="AC1965" s="159">
        <v>4500021322</v>
      </c>
      <c r="AD1965" s="159" t="s">
        <v>9573</v>
      </c>
      <c r="AE1965" s="184" t="s">
        <v>9574</v>
      </c>
      <c r="AF1965" s="201" t="s">
        <v>333</v>
      </c>
      <c r="AG1965" s="160" t="s">
        <v>381</v>
      </c>
      <c r="AH1965" s="160"/>
      <c r="AI1965" s="158"/>
      <c r="AJ1965" s="158"/>
      <c r="AK1965" s="158"/>
      <c r="AL1965" s="158"/>
      <c r="AM1965" s="158"/>
      <c r="AN1965" s="158"/>
      <c r="AO1965" s="158"/>
      <c r="AP1965" s="158" t="s">
        <v>9575</v>
      </c>
      <c r="AQ1965" s="158"/>
      <c r="AR1965" s="507"/>
      <c r="AS1965" s="475"/>
      <c r="AT1965" s="160"/>
    </row>
    <row r="1966" spans="1:46" ht="19.5" hidden="1" customHeight="1">
      <c r="A1966" s="331">
        <v>1965</v>
      </c>
      <c r="B1966" s="159" t="s">
        <v>2391</v>
      </c>
      <c r="C1966" s="159" t="s">
        <v>1274</v>
      </c>
      <c r="D1966" s="438" t="s">
        <v>3035</v>
      </c>
      <c r="E1966" s="361" t="str">
        <f t="shared" ca="1" si="114"/>
        <v>LOSS</v>
      </c>
      <c r="F1966" s="160"/>
      <c r="G1966" s="159" t="s">
        <v>9576</v>
      </c>
      <c r="H1966" s="160" t="s">
        <v>2748</v>
      </c>
      <c r="I1966" s="29" t="s">
        <v>346</v>
      </c>
      <c r="J1966" s="159"/>
      <c r="K1966" s="160"/>
      <c r="L1966" s="158"/>
      <c r="M1966" s="158"/>
      <c r="N1966" s="158"/>
      <c r="O1966" s="162"/>
      <c r="P1966" s="161"/>
      <c r="Q1966" s="161"/>
      <c r="R1966" s="162"/>
      <c r="S1966" s="163">
        <v>10000000</v>
      </c>
      <c r="T1966" s="164"/>
      <c r="U1966" s="334">
        <v>45595</v>
      </c>
      <c r="V1966" s="334">
        <v>45959</v>
      </c>
      <c r="W1966" s="158" t="s">
        <v>250</v>
      </c>
      <c r="X1966" s="158"/>
      <c r="Y1966" s="34">
        <f t="shared" ca="1" si="116"/>
        <v>46290</v>
      </c>
      <c r="Z1966" s="35">
        <f t="shared" ca="1" si="117"/>
        <v>-331</v>
      </c>
      <c r="AA1966" s="27">
        <f t="shared" si="118"/>
        <v>10</v>
      </c>
      <c r="AB1966" s="158">
        <v>2025</v>
      </c>
      <c r="AC1966" s="159">
        <v>4500021582</v>
      </c>
      <c r="AD1966" s="159" t="s">
        <v>9577</v>
      </c>
      <c r="AE1966" s="184" t="s">
        <v>9578</v>
      </c>
      <c r="AF1966" s="201" t="s">
        <v>333</v>
      </c>
      <c r="AG1966" s="160"/>
      <c r="AH1966" s="160"/>
      <c r="AI1966" s="158"/>
      <c r="AJ1966" s="158"/>
      <c r="AK1966" s="158"/>
      <c r="AL1966" s="158"/>
      <c r="AM1966" s="158"/>
      <c r="AN1966" s="158"/>
      <c r="AO1966" s="158"/>
      <c r="AP1966" s="158" t="s">
        <v>9579</v>
      </c>
      <c r="AQ1966" s="158"/>
      <c r="AR1966" s="507"/>
      <c r="AS1966" s="475"/>
      <c r="AT1966" s="160"/>
    </row>
    <row r="1967" spans="1:46" ht="23.25" hidden="1" customHeight="1">
      <c r="A1967" s="331">
        <v>1966</v>
      </c>
      <c r="B1967" s="159" t="s">
        <v>169</v>
      </c>
      <c r="C1967" s="159" t="s">
        <v>1274</v>
      </c>
      <c r="D1967" s="437" t="s">
        <v>862</v>
      </c>
      <c r="E1967" s="361" t="str">
        <f t="shared" ca="1" si="114"/>
        <v>LOSS</v>
      </c>
      <c r="F1967" s="160"/>
      <c r="G1967" s="159" t="s">
        <v>9576</v>
      </c>
      <c r="H1967" s="160" t="s">
        <v>2748</v>
      </c>
      <c r="I1967" s="29" t="s">
        <v>346</v>
      </c>
      <c r="J1967" s="159"/>
      <c r="K1967" s="160"/>
      <c r="L1967" s="158"/>
      <c r="M1967" s="158"/>
      <c r="N1967" s="158"/>
      <c r="O1967" s="162"/>
      <c r="P1967" s="161"/>
      <c r="Q1967" s="161"/>
      <c r="R1967" s="162"/>
      <c r="S1967" s="163">
        <v>18000000</v>
      </c>
      <c r="T1967" s="164"/>
      <c r="U1967" s="334">
        <v>45550</v>
      </c>
      <c r="V1967" s="334">
        <v>45914</v>
      </c>
      <c r="W1967" s="158" t="s">
        <v>17</v>
      </c>
      <c r="X1967" s="158"/>
      <c r="Y1967" s="34">
        <f t="shared" ca="1" si="116"/>
        <v>46290</v>
      </c>
      <c r="Z1967" s="35">
        <f t="shared" ca="1" si="117"/>
        <v>-376</v>
      </c>
      <c r="AA1967" s="27">
        <f t="shared" si="118"/>
        <v>9</v>
      </c>
      <c r="AB1967" s="158">
        <v>2025</v>
      </c>
      <c r="AC1967" s="159">
        <v>4500021321</v>
      </c>
      <c r="AD1967" s="159" t="s">
        <v>9580</v>
      </c>
      <c r="AE1967" s="184" t="s">
        <v>9581</v>
      </c>
      <c r="AF1967" s="201" t="s">
        <v>333</v>
      </c>
      <c r="AG1967" s="160"/>
      <c r="AH1967" s="160"/>
      <c r="AI1967" s="158"/>
      <c r="AJ1967" s="158"/>
      <c r="AK1967" s="158"/>
      <c r="AL1967" s="158"/>
      <c r="AM1967" s="158"/>
      <c r="AN1967" s="158"/>
      <c r="AO1967" s="158"/>
      <c r="AP1967" s="158" t="s">
        <v>9582</v>
      </c>
      <c r="AQ1967" s="158"/>
      <c r="AR1967" s="507"/>
      <c r="AS1967" s="475"/>
      <c r="AT1967" s="160"/>
    </row>
    <row r="1968" spans="1:46" ht="15" hidden="1" customHeight="1">
      <c r="A1968" s="331">
        <v>1967</v>
      </c>
      <c r="B1968" s="159" t="s">
        <v>9583</v>
      </c>
      <c r="C1968" s="159" t="s">
        <v>9584</v>
      </c>
      <c r="D1968" s="438" t="s">
        <v>9585</v>
      </c>
      <c r="E1968" s="361" t="str">
        <f t="shared" ca="1" si="114"/>
        <v>LOSS</v>
      </c>
      <c r="F1968" s="160"/>
      <c r="G1968" s="159" t="s">
        <v>9586</v>
      </c>
      <c r="H1968" s="160" t="s">
        <v>2748</v>
      </c>
      <c r="I1968" s="160" t="s">
        <v>346</v>
      </c>
      <c r="J1968" s="159" t="s">
        <v>9587</v>
      </c>
      <c r="K1968" s="160"/>
      <c r="L1968" s="158"/>
      <c r="M1968" s="158" t="s">
        <v>353</v>
      </c>
      <c r="N1968" s="158" t="s">
        <v>354</v>
      </c>
      <c r="O1968" s="283">
        <f>11000000</f>
        <v>11000000</v>
      </c>
      <c r="P1968" s="161">
        <f>17000000*12</f>
        <v>204000000</v>
      </c>
      <c r="Q1968" s="161">
        <v>2150000</v>
      </c>
      <c r="R1968" s="162">
        <v>1650000</v>
      </c>
      <c r="S1968" s="163">
        <v>8600000</v>
      </c>
      <c r="T1968" s="164"/>
      <c r="U1968" s="334">
        <v>45581</v>
      </c>
      <c r="V1968" s="334">
        <v>45945</v>
      </c>
      <c r="W1968" s="158" t="s">
        <v>250</v>
      </c>
      <c r="X1968" s="158"/>
      <c r="Y1968" s="34">
        <f t="shared" ca="1" si="116"/>
        <v>46290</v>
      </c>
      <c r="Z1968" s="35">
        <f t="shared" ca="1" si="117"/>
        <v>-345</v>
      </c>
      <c r="AA1968" s="27">
        <f t="shared" si="118"/>
        <v>10</v>
      </c>
      <c r="AB1968" s="158">
        <v>2025</v>
      </c>
      <c r="AC1968" s="159" t="s">
        <v>479</v>
      </c>
      <c r="AD1968" s="159" t="s">
        <v>9588</v>
      </c>
      <c r="AE1968" s="158">
        <v>4500023756</v>
      </c>
      <c r="AF1968" s="201" t="s">
        <v>333</v>
      </c>
      <c r="AG1968" s="160"/>
      <c r="AH1968" s="160"/>
      <c r="AI1968" s="158"/>
      <c r="AJ1968" s="158"/>
      <c r="AK1968" s="158"/>
      <c r="AL1968" s="158"/>
      <c r="AM1968" s="158"/>
      <c r="AN1968" s="158"/>
      <c r="AO1968" s="158"/>
      <c r="AP1968" s="158" t="s">
        <v>9589</v>
      </c>
      <c r="AQ1968" s="158"/>
      <c r="AR1968" s="507"/>
      <c r="AS1968" s="475"/>
      <c r="AT1968" s="160"/>
    </row>
    <row r="1969" spans="1:46" ht="15" hidden="1" customHeight="1">
      <c r="A1969" s="331">
        <v>1968</v>
      </c>
      <c r="B1969" s="159" t="s">
        <v>9590</v>
      </c>
      <c r="C1969" s="159" t="s">
        <v>9591</v>
      </c>
      <c r="D1969" s="437" t="s">
        <v>9592</v>
      </c>
      <c r="E1969" s="361" t="str">
        <f t="shared" ca="1" si="114"/>
        <v>LOSS</v>
      </c>
      <c r="F1969" s="160"/>
      <c r="G1969" s="182" t="s">
        <v>9593</v>
      </c>
      <c r="H1969" s="160" t="s">
        <v>2748</v>
      </c>
      <c r="I1969" s="29" t="s">
        <v>346</v>
      </c>
      <c r="J1969" s="182" t="s">
        <v>9594</v>
      </c>
      <c r="K1969" s="160"/>
      <c r="L1969" s="158"/>
      <c r="M1969" s="158" t="s">
        <v>365</v>
      </c>
      <c r="N1969" s="158" t="s">
        <v>6739</v>
      </c>
      <c r="O1969" s="162"/>
      <c r="P1969" s="161">
        <f>10600000*12</f>
        <v>127200000</v>
      </c>
      <c r="Q1969" s="161"/>
      <c r="R1969" s="162"/>
      <c r="S1969" s="163">
        <v>24000000</v>
      </c>
      <c r="T1969" s="164"/>
      <c r="U1969" s="334">
        <v>45519</v>
      </c>
      <c r="V1969" s="334">
        <v>45883</v>
      </c>
      <c r="W1969" s="158" t="s">
        <v>250</v>
      </c>
      <c r="X1969" s="158"/>
      <c r="Y1969" s="34">
        <f t="shared" ca="1" si="116"/>
        <v>46290</v>
      </c>
      <c r="Z1969" s="35">
        <f t="shared" ca="1" si="117"/>
        <v>-407</v>
      </c>
      <c r="AA1969" s="27">
        <f t="shared" si="118"/>
        <v>8</v>
      </c>
      <c r="AB1969" s="158">
        <v>2025</v>
      </c>
      <c r="AC1969" s="159">
        <v>4500021040</v>
      </c>
      <c r="AD1969" s="159" t="s">
        <v>9595</v>
      </c>
      <c r="AE1969" s="158">
        <v>4500023703</v>
      </c>
      <c r="AF1969" s="201" t="s">
        <v>333</v>
      </c>
      <c r="AG1969" s="160"/>
      <c r="AH1969" s="160"/>
      <c r="AI1969" s="158"/>
      <c r="AJ1969" s="158"/>
      <c r="AK1969" s="158"/>
      <c r="AL1969" s="158"/>
      <c r="AM1969" s="158"/>
      <c r="AN1969" s="158"/>
      <c r="AO1969" s="158"/>
      <c r="AP1969" s="158" t="s">
        <v>9596</v>
      </c>
      <c r="AQ1969" s="158"/>
      <c r="AR1969" s="507"/>
      <c r="AS1969" s="475"/>
      <c r="AT1969" s="160"/>
    </row>
    <row r="1970" spans="1:46" ht="15" hidden="1" customHeight="1">
      <c r="A1970" s="331">
        <v>1969</v>
      </c>
      <c r="B1970" s="159" t="s">
        <v>382</v>
      </c>
      <c r="C1970" s="159" t="s">
        <v>9597</v>
      </c>
      <c r="D1970" s="435" t="s">
        <v>384</v>
      </c>
      <c r="E1970" s="361" t="str">
        <f t="shared" ca="1" si="114"/>
        <v>LOSS</v>
      </c>
      <c r="F1970" s="160"/>
      <c r="G1970" s="159" t="s">
        <v>9598</v>
      </c>
      <c r="H1970" s="160" t="s">
        <v>2748</v>
      </c>
      <c r="I1970" s="160" t="s">
        <v>242</v>
      </c>
      <c r="J1970" s="216" t="s">
        <v>9599</v>
      </c>
      <c r="K1970" s="160"/>
      <c r="L1970" s="158"/>
      <c r="M1970" s="158" t="s">
        <v>365</v>
      </c>
      <c r="N1970" s="158"/>
      <c r="O1970" s="162"/>
      <c r="P1970" s="161">
        <f>21758557*12</f>
        <v>261102684</v>
      </c>
      <c r="Q1970" s="161"/>
      <c r="R1970" s="162"/>
      <c r="S1970" s="163">
        <v>48000000</v>
      </c>
      <c r="T1970" s="164"/>
      <c r="U1970" s="334">
        <v>45552</v>
      </c>
      <c r="V1970" s="334">
        <v>45916</v>
      </c>
      <c r="W1970" s="158" t="s">
        <v>250</v>
      </c>
      <c r="X1970" s="158"/>
      <c r="Y1970" s="34">
        <f t="shared" ca="1" si="116"/>
        <v>46290</v>
      </c>
      <c r="Z1970" s="35">
        <f t="shared" ca="1" si="117"/>
        <v>-374</v>
      </c>
      <c r="AA1970" s="27">
        <f t="shared" si="118"/>
        <v>9</v>
      </c>
      <c r="AB1970" s="158">
        <v>2025</v>
      </c>
      <c r="AC1970" s="159" t="s">
        <v>479</v>
      </c>
      <c r="AD1970" s="159" t="s">
        <v>9600</v>
      </c>
      <c r="AE1970" s="184" t="s">
        <v>9601</v>
      </c>
      <c r="AF1970" s="201" t="s">
        <v>333</v>
      </c>
      <c r="AG1970" s="160"/>
      <c r="AH1970" s="160"/>
      <c r="AI1970" s="158"/>
      <c r="AJ1970" s="158"/>
      <c r="AK1970" s="158"/>
      <c r="AL1970" s="158"/>
      <c r="AM1970" s="158"/>
      <c r="AN1970" s="158"/>
      <c r="AO1970" s="158"/>
      <c r="AP1970" s="158" t="s">
        <v>9602</v>
      </c>
      <c r="AQ1970" s="158"/>
      <c r="AR1970" s="507"/>
      <c r="AS1970" s="475"/>
      <c r="AT1970" s="160"/>
    </row>
    <row r="1971" spans="1:46" ht="15" hidden="1" customHeight="1">
      <c r="A1971" s="331">
        <v>1970</v>
      </c>
      <c r="B1971" s="28" t="s">
        <v>129</v>
      </c>
      <c r="C1971" s="159" t="s">
        <v>9603</v>
      </c>
      <c r="D1971" s="436" t="s">
        <v>2447</v>
      </c>
      <c r="E1971" s="361" t="str">
        <f t="shared" ca="1" si="114"/>
        <v>LOSS</v>
      </c>
      <c r="F1971" s="160" t="s">
        <v>9604</v>
      </c>
      <c r="G1971" s="159" t="s">
        <v>9605</v>
      </c>
      <c r="H1971" s="160" t="s">
        <v>2748</v>
      </c>
      <c r="I1971" s="29" t="s">
        <v>346</v>
      </c>
      <c r="J1971" s="205" t="s">
        <v>9606</v>
      </c>
      <c r="K1971" s="160"/>
      <c r="L1971" s="158"/>
      <c r="M1971" s="158" t="s">
        <v>365</v>
      </c>
      <c r="N1971" s="158" t="s">
        <v>406</v>
      </c>
      <c r="O1971" s="162"/>
      <c r="P1971" s="161">
        <f>6500000*12</f>
        <v>78000000</v>
      </c>
      <c r="Q1971" s="161"/>
      <c r="R1971" s="162"/>
      <c r="S1971" s="163">
        <v>27823410</v>
      </c>
      <c r="T1971" s="164"/>
      <c r="U1971" s="334">
        <v>45529</v>
      </c>
      <c r="V1971" s="334">
        <v>45893</v>
      </c>
      <c r="W1971" s="158" t="s">
        <v>250</v>
      </c>
      <c r="X1971" s="158"/>
      <c r="Y1971" s="34">
        <f t="shared" ca="1" si="116"/>
        <v>46290</v>
      </c>
      <c r="Z1971" s="35">
        <f t="shared" ca="1" si="117"/>
        <v>-397</v>
      </c>
      <c r="AA1971" s="27">
        <f t="shared" si="118"/>
        <v>8</v>
      </c>
      <c r="AB1971" s="158">
        <v>2025</v>
      </c>
      <c r="AC1971" s="159">
        <v>4500022326</v>
      </c>
      <c r="AD1971" s="159" t="s">
        <v>9607</v>
      </c>
      <c r="AE1971" s="184" t="s">
        <v>9608</v>
      </c>
      <c r="AF1971" s="201" t="s">
        <v>333</v>
      </c>
      <c r="AG1971" s="160"/>
      <c r="AH1971" s="160"/>
      <c r="AI1971" s="158"/>
      <c r="AJ1971" s="158"/>
      <c r="AK1971" s="158"/>
      <c r="AL1971" s="158"/>
      <c r="AM1971" s="158"/>
      <c r="AN1971" s="158"/>
      <c r="AO1971" s="158"/>
      <c r="AP1971" s="158" t="s">
        <v>9609</v>
      </c>
      <c r="AQ1971" s="158"/>
      <c r="AR1971" s="507"/>
      <c r="AS1971" s="475"/>
      <c r="AT1971" s="160"/>
    </row>
    <row r="1972" spans="1:46" ht="15" hidden="1" customHeight="1">
      <c r="A1972" s="331">
        <v>1971</v>
      </c>
      <c r="B1972" s="28" t="s">
        <v>129</v>
      </c>
      <c r="C1972" s="159" t="s">
        <v>9610</v>
      </c>
      <c r="D1972" s="435" t="s">
        <v>2447</v>
      </c>
      <c r="E1972" s="361" t="str">
        <f t="shared" ca="1" si="114"/>
        <v>LOSS</v>
      </c>
      <c r="F1972" s="160"/>
      <c r="G1972" s="159" t="s">
        <v>9611</v>
      </c>
      <c r="H1972" s="160" t="s">
        <v>2748</v>
      </c>
      <c r="I1972" s="29" t="s">
        <v>346</v>
      </c>
      <c r="J1972" s="205" t="s">
        <v>5023</v>
      </c>
      <c r="K1972" s="160"/>
      <c r="L1972" s="158"/>
      <c r="M1972" s="158" t="s">
        <v>9612</v>
      </c>
      <c r="N1972" s="158" t="s">
        <v>424</v>
      </c>
      <c r="O1972" s="162"/>
      <c r="P1972" s="161">
        <f>1691700*12</f>
        <v>20300400</v>
      </c>
      <c r="Q1972" s="161"/>
      <c r="R1972" s="162"/>
      <c r="S1972" s="163">
        <v>14228910</v>
      </c>
      <c r="T1972" s="164"/>
      <c r="U1972" s="334">
        <v>45388</v>
      </c>
      <c r="V1972" s="334">
        <v>45752</v>
      </c>
      <c r="W1972" s="158" t="s">
        <v>250</v>
      </c>
      <c r="X1972" s="158"/>
      <c r="Y1972" s="34">
        <f t="shared" ca="1" si="116"/>
        <v>46290</v>
      </c>
      <c r="Z1972" s="35">
        <f t="shared" ca="1" si="117"/>
        <v>-538</v>
      </c>
      <c r="AA1972" s="27">
        <f t="shared" si="118"/>
        <v>4</v>
      </c>
      <c r="AB1972" s="158">
        <v>2025</v>
      </c>
      <c r="AC1972" s="159">
        <v>4500022186</v>
      </c>
      <c r="AD1972" s="159" t="s">
        <v>9613</v>
      </c>
      <c r="AE1972" s="184" t="s">
        <v>9614</v>
      </c>
      <c r="AF1972" s="201" t="s">
        <v>333</v>
      </c>
      <c r="AG1972" s="160"/>
      <c r="AH1972" s="160"/>
      <c r="AI1972" s="158"/>
      <c r="AJ1972" s="158"/>
      <c r="AK1972" s="158"/>
      <c r="AL1972" s="158"/>
      <c r="AM1972" s="158"/>
      <c r="AN1972" s="158"/>
      <c r="AO1972" s="158"/>
      <c r="AP1972" s="158" t="s">
        <v>9615</v>
      </c>
      <c r="AQ1972" s="158"/>
      <c r="AR1972" s="507"/>
      <c r="AS1972" s="475"/>
      <c r="AT1972" s="160"/>
    </row>
    <row r="1973" spans="1:46" ht="15" hidden="1" customHeight="1">
      <c r="A1973" s="331">
        <v>1972</v>
      </c>
      <c r="B1973" s="28" t="s">
        <v>129</v>
      </c>
      <c r="C1973" s="159" t="s">
        <v>9616</v>
      </c>
      <c r="D1973" s="436" t="s">
        <v>2447</v>
      </c>
      <c r="E1973" s="361" t="str">
        <f t="shared" ca="1" si="114"/>
        <v>LOSS</v>
      </c>
      <c r="F1973" s="160"/>
      <c r="G1973" s="159" t="s">
        <v>9617</v>
      </c>
      <c r="H1973" s="160" t="s">
        <v>2748</v>
      </c>
      <c r="I1973" s="29" t="s">
        <v>346</v>
      </c>
      <c r="J1973" s="205" t="s">
        <v>5030</v>
      </c>
      <c r="K1973" s="160"/>
      <c r="L1973" s="158"/>
      <c r="M1973" s="158" t="s">
        <v>9612</v>
      </c>
      <c r="N1973" s="158" t="s">
        <v>424</v>
      </c>
      <c r="O1973" s="162"/>
      <c r="P1973" s="161">
        <f>1691700*12</f>
        <v>20300400</v>
      </c>
      <c r="Q1973" s="161"/>
      <c r="R1973" s="162"/>
      <c r="S1973" s="163">
        <v>543780</v>
      </c>
      <c r="T1973" s="164"/>
      <c r="U1973" s="334">
        <v>45448</v>
      </c>
      <c r="V1973" s="334">
        <v>45812</v>
      </c>
      <c r="W1973" s="158" t="s">
        <v>250</v>
      </c>
      <c r="X1973" s="158"/>
      <c r="Y1973" s="34">
        <f t="shared" ca="1" si="116"/>
        <v>46290</v>
      </c>
      <c r="Z1973" s="35">
        <f t="shared" ca="1" si="117"/>
        <v>-478</v>
      </c>
      <c r="AA1973" s="27">
        <f t="shared" si="118"/>
        <v>6</v>
      </c>
      <c r="AB1973" s="158">
        <v>2025</v>
      </c>
      <c r="AC1973" s="159">
        <v>4500022188</v>
      </c>
      <c r="AD1973" s="159" t="s">
        <v>9618</v>
      </c>
      <c r="AE1973" s="184" t="s">
        <v>9619</v>
      </c>
      <c r="AF1973" s="201" t="s">
        <v>333</v>
      </c>
      <c r="AG1973" s="160"/>
      <c r="AH1973" s="160"/>
      <c r="AI1973" s="158"/>
      <c r="AJ1973" s="158"/>
      <c r="AK1973" s="158"/>
      <c r="AL1973" s="158"/>
      <c r="AM1973" s="158"/>
      <c r="AN1973" s="158"/>
      <c r="AO1973" s="158"/>
      <c r="AP1973" s="158" t="s">
        <v>9620</v>
      </c>
      <c r="AQ1973" s="158"/>
      <c r="AR1973" s="507"/>
      <c r="AS1973" s="475"/>
      <c r="AT1973" s="160"/>
    </row>
    <row r="1974" spans="1:46" ht="15" hidden="1" customHeight="1">
      <c r="A1974" s="331">
        <v>1973</v>
      </c>
      <c r="B1974" s="28" t="s">
        <v>129</v>
      </c>
      <c r="C1974" s="159" t="s">
        <v>9621</v>
      </c>
      <c r="D1974" s="435" t="s">
        <v>2447</v>
      </c>
      <c r="E1974" s="361" t="str">
        <f t="shared" ca="1" si="114"/>
        <v>LOSS</v>
      </c>
      <c r="F1974" s="160"/>
      <c r="G1974" s="159"/>
      <c r="H1974" s="160" t="s">
        <v>2748</v>
      </c>
      <c r="I1974" s="29" t="s">
        <v>346</v>
      </c>
      <c r="J1974" s="159"/>
      <c r="K1974" s="160"/>
      <c r="L1974" s="158"/>
      <c r="M1974" s="158"/>
      <c r="N1974" s="158"/>
      <c r="O1974" s="56">
        <v>5000000</v>
      </c>
      <c r="P1974" s="161">
        <f>12*3183000</f>
        <v>38196000</v>
      </c>
      <c r="Q1974" s="161"/>
      <c r="R1974" s="162"/>
      <c r="S1974" s="163">
        <v>26735854</v>
      </c>
      <c r="T1974" s="164"/>
      <c r="U1974" s="334">
        <v>45581</v>
      </c>
      <c r="V1974" s="334">
        <v>45945</v>
      </c>
      <c r="W1974" s="158" t="s">
        <v>250</v>
      </c>
      <c r="X1974" s="158"/>
      <c r="Y1974" s="34">
        <f t="shared" ca="1" si="116"/>
        <v>46290</v>
      </c>
      <c r="Z1974" s="35">
        <f t="shared" ca="1" si="117"/>
        <v>-345</v>
      </c>
      <c r="AA1974" s="27">
        <f t="shared" si="118"/>
        <v>10</v>
      </c>
      <c r="AB1974" s="158">
        <v>2025</v>
      </c>
      <c r="AC1974" s="159">
        <v>4500021726</v>
      </c>
      <c r="AD1974" s="159" t="s">
        <v>9622</v>
      </c>
      <c r="AE1974" s="184" t="s">
        <v>9623</v>
      </c>
      <c r="AF1974" s="52" t="s">
        <v>339</v>
      </c>
      <c r="AG1974" s="160"/>
      <c r="AH1974" s="160"/>
      <c r="AI1974" s="158"/>
      <c r="AJ1974" s="158"/>
      <c r="AK1974" s="158"/>
      <c r="AL1974" s="158"/>
      <c r="AM1974" s="158"/>
      <c r="AN1974" s="158"/>
      <c r="AO1974" s="158"/>
      <c r="AP1974" s="158" t="s">
        <v>9624</v>
      </c>
      <c r="AQ1974" s="158"/>
      <c r="AR1974" s="507"/>
      <c r="AS1974" s="475"/>
      <c r="AT1974" s="160"/>
    </row>
    <row r="1975" spans="1:46" ht="15" hidden="1" customHeight="1">
      <c r="A1975" s="331">
        <v>1974</v>
      </c>
      <c r="B1975" s="28" t="s">
        <v>129</v>
      </c>
      <c r="C1975" s="159" t="s">
        <v>9625</v>
      </c>
      <c r="D1975" s="436" t="s">
        <v>2447</v>
      </c>
      <c r="E1975" s="361" t="str">
        <f t="shared" ca="1" si="114"/>
        <v>LOSS</v>
      </c>
      <c r="F1975" s="160" t="s">
        <v>9626</v>
      </c>
      <c r="G1975" s="159" t="s">
        <v>9627</v>
      </c>
      <c r="H1975" s="160" t="s">
        <v>2748</v>
      </c>
      <c r="I1975" s="29" t="s">
        <v>346</v>
      </c>
      <c r="J1975" s="159"/>
      <c r="K1975" s="181" t="s">
        <v>9628</v>
      </c>
      <c r="L1975" s="158"/>
      <c r="M1975" s="158" t="s">
        <v>365</v>
      </c>
      <c r="N1975" s="158"/>
      <c r="O1975" s="162"/>
      <c r="P1975" s="161">
        <f>27500000*12</f>
        <v>330000000</v>
      </c>
      <c r="Q1975" s="161"/>
      <c r="R1975" s="162"/>
      <c r="S1975" s="163">
        <v>68516280</v>
      </c>
      <c r="T1975" s="164"/>
      <c r="U1975" s="334">
        <v>45395</v>
      </c>
      <c r="V1975" s="334">
        <v>45759</v>
      </c>
      <c r="W1975" s="158" t="s">
        <v>250</v>
      </c>
      <c r="X1975" s="158"/>
      <c r="Y1975" s="34">
        <f t="shared" ca="1" si="116"/>
        <v>46290</v>
      </c>
      <c r="Z1975" s="35">
        <f t="shared" ca="1" si="117"/>
        <v>-531</v>
      </c>
      <c r="AA1975" s="27">
        <f t="shared" si="118"/>
        <v>4</v>
      </c>
      <c r="AB1975" s="158">
        <v>2025</v>
      </c>
      <c r="AC1975" s="159">
        <v>4500021240</v>
      </c>
      <c r="AD1975" s="159" t="s">
        <v>9629</v>
      </c>
      <c r="AE1975" s="184" t="s">
        <v>9630</v>
      </c>
      <c r="AF1975" s="52" t="s">
        <v>333</v>
      </c>
      <c r="AG1975" s="160"/>
      <c r="AH1975" s="160"/>
      <c r="AI1975" s="158"/>
      <c r="AJ1975" s="158"/>
      <c r="AK1975" s="158"/>
      <c r="AL1975" s="158"/>
      <c r="AM1975" s="158"/>
      <c r="AN1975" s="158"/>
      <c r="AO1975" s="158"/>
      <c r="AP1975" s="158" t="s">
        <v>9631</v>
      </c>
      <c r="AQ1975" s="158"/>
      <c r="AR1975" s="507"/>
      <c r="AS1975" s="475"/>
      <c r="AT1975" s="160"/>
    </row>
    <row r="1976" spans="1:46" ht="15" hidden="1" customHeight="1">
      <c r="A1976" s="331">
        <v>1975</v>
      </c>
      <c r="B1976" s="28" t="s">
        <v>129</v>
      </c>
      <c r="C1976" s="159" t="s">
        <v>9632</v>
      </c>
      <c r="D1976" s="435" t="s">
        <v>2447</v>
      </c>
      <c r="E1976" s="361" t="str">
        <f t="shared" ca="1" si="114"/>
        <v>LOSS</v>
      </c>
      <c r="F1976" s="160"/>
      <c r="G1976" s="159"/>
      <c r="H1976" s="160" t="s">
        <v>2748</v>
      </c>
      <c r="I1976" s="29" t="s">
        <v>346</v>
      </c>
      <c r="J1976" s="159"/>
      <c r="K1976" s="160"/>
      <c r="L1976" s="158"/>
      <c r="M1976" s="158"/>
      <c r="N1976" s="158"/>
      <c r="O1976" s="162"/>
      <c r="P1976" s="161">
        <v>60000000</v>
      </c>
      <c r="Q1976" s="161"/>
      <c r="R1976" s="162"/>
      <c r="S1976" s="163">
        <v>38699010</v>
      </c>
      <c r="T1976" s="164"/>
      <c r="U1976" s="334">
        <v>45534</v>
      </c>
      <c r="V1976" s="334">
        <v>45898</v>
      </c>
      <c r="W1976" s="158" t="s">
        <v>250</v>
      </c>
      <c r="X1976" s="158"/>
      <c r="Y1976" s="34">
        <f t="shared" ca="1" si="116"/>
        <v>46290</v>
      </c>
      <c r="Z1976" s="35">
        <f t="shared" ca="1" si="117"/>
        <v>-392</v>
      </c>
      <c r="AA1976" s="27">
        <f t="shared" si="118"/>
        <v>8</v>
      </c>
      <c r="AB1976" s="158">
        <v>2025</v>
      </c>
      <c r="AC1976" s="159">
        <v>4500022325</v>
      </c>
      <c r="AD1976" s="159" t="s">
        <v>9633</v>
      </c>
      <c r="AE1976" s="184" t="s">
        <v>9634</v>
      </c>
      <c r="AF1976" s="52" t="s">
        <v>339</v>
      </c>
      <c r="AG1976" s="160"/>
      <c r="AH1976" s="160"/>
      <c r="AI1976" s="158"/>
      <c r="AJ1976" s="158"/>
      <c r="AK1976" s="158"/>
      <c r="AL1976" s="158"/>
      <c r="AM1976" s="158"/>
      <c r="AN1976" s="158"/>
      <c r="AO1976" s="158"/>
      <c r="AP1976" s="158" t="s">
        <v>9635</v>
      </c>
      <c r="AQ1976" s="158"/>
      <c r="AR1976" s="507"/>
      <c r="AS1976" s="475"/>
      <c r="AT1976" s="160"/>
    </row>
    <row r="1977" spans="1:46" ht="15" hidden="1" customHeight="1">
      <c r="A1977" s="331">
        <v>1976</v>
      </c>
      <c r="B1977" s="28" t="s">
        <v>348</v>
      </c>
      <c r="C1977" s="159" t="s">
        <v>9636</v>
      </c>
      <c r="D1977" s="449" t="s">
        <v>474</v>
      </c>
      <c r="E1977" s="361" t="str">
        <f t="shared" ca="1" si="114"/>
        <v>LOSS</v>
      </c>
      <c r="F1977" s="160"/>
      <c r="G1977" s="159" t="s">
        <v>9637</v>
      </c>
      <c r="H1977" s="160" t="s">
        <v>2748</v>
      </c>
      <c r="I1977" s="160" t="s">
        <v>242</v>
      </c>
      <c r="J1977" s="159" t="s">
        <v>9285</v>
      </c>
      <c r="K1977" s="284" t="s">
        <v>9638</v>
      </c>
      <c r="L1977" s="158"/>
      <c r="M1977" s="158" t="s">
        <v>353</v>
      </c>
      <c r="N1977" s="158" t="s">
        <v>494</v>
      </c>
      <c r="O1977" s="162">
        <v>3000000</v>
      </c>
      <c r="P1977" s="161">
        <v>13791667</v>
      </c>
      <c r="Q1977" s="161"/>
      <c r="R1977" s="162"/>
      <c r="S1977" s="163">
        <v>2346304</v>
      </c>
      <c r="T1977" s="164"/>
      <c r="U1977" s="340">
        <v>45597</v>
      </c>
      <c r="V1977" s="340">
        <v>45657</v>
      </c>
      <c r="W1977" s="158" t="s">
        <v>250</v>
      </c>
      <c r="X1977" s="158"/>
      <c r="Y1977" s="34">
        <f t="shared" ca="1" si="116"/>
        <v>46290</v>
      </c>
      <c r="Z1977" s="35">
        <f t="shared" ca="1" si="117"/>
        <v>-633</v>
      </c>
      <c r="AA1977" s="158">
        <f>MONTH(Table1[[#This Row],[End]])</f>
        <v>12</v>
      </c>
      <c r="AB1977" s="158">
        <f>YEAR(Table1[[#This Row],[End]])</f>
        <v>2024</v>
      </c>
      <c r="AC1977" s="159"/>
      <c r="AD1977" s="159" t="s">
        <v>9639</v>
      </c>
      <c r="AE1977" s="184" t="s">
        <v>9640</v>
      </c>
      <c r="AF1977" s="201" t="s">
        <v>9641</v>
      </c>
      <c r="AG1977" s="160"/>
      <c r="AH1977" s="160"/>
      <c r="AI1977" s="158"/>
      <c r="AJ1977" s="158"/>
      <c r="AK1977" s="158"/>
      <c r="AL1977" s="158"/>
      <c r="AM1977" s="158"/>
      <c r="AN1977" s="158"/>
      <c r="AO1977" s="158"/>
      <c r="AP1977" s="158" t="s">
        <v>9642</v>
      </c>
      <c r="AQ1977" s="158"/>
      <c r="AR1977" s="507"/>
      <c r="AS1977" s="475"/>
      <c r="AT1977" s="160"/>
    </row>
    <row r="1978" spans="1:46" ht="15" hidden="1" customHeight="1">
      <c r="A1978" s="331">
        <v>1977</v>
      </c>
      <c r="B1978" s="28" t="s">
        <v>348</v>
      </c>
      <c r="C1978" s="159" t="s">
        <v>9643</v>
      </c>
      <c r="D1978" s="450" t="s">
        <v>474</v>
      </c>
      <c r="E1978" s="361" t="str">
        <f t="shared" ca="1" si="114"/>
        <v>LOSS</v>
      </c>
      <c r="F1978" s="160"/>
      <c r="G1978" s="159" t="s">
        <v>9644</v>
      </c>
      <c r="H1978" s="160" t="s">
        <v>2748</v>
      </c>
      <c r="I1978" s="160" t="s">
        <v>242</v>
      </c>
      <c r="J1978" s="159" t="s">
        <v>9645</v>
      </c>
      <c r="K1978" s="284" t="s">
        <v>9646</v>
      </c>
      <c r="L1978" s="158"/>
      <c r="M1978" s="158" t="s">
        <v>353</v>
      </c>
      <c r="N1978" s="158" t="s">
        <v>406</v>
      </c>
      <c r="O1978" s="162">
        <v>3000000</v>
      </c>
      <c r="P1978" s="161">
        <v>28950000</v>
      </c>
      <c r="Q1978" s="161"/>
      <c r="R1978" s="162"/>
      <c r="S1978" s="163">
        <v>5341580</v>
      </c>
      <c r="T1978" s="164"/>
      <c r="U1978" s="340">
        <v>45546</v>
      </c>
      <c r="V1978" s="340">
        <v>45657</v>
      </c>
      <c r="W1978" s="158" t="s">
        <v>250</v>
      </c>
      <c r="X1978" s="158"/>
      <c r="Y1978" s="34">
        <f t="shared" ca="1" si="116"/>
        <v>46290</v>
      </c>
      <c r="Z1978" s="35">
        <f t="shared" ca="1" si="117"/>
        <v>-633</v>
      </c>
      <c r="AA1978" s="158">
        <f>MONTH(Table1[[#This Row],[End]])</f>
        <v>12</v>
      </c>
      <c r="AB1978" s="158">
        <f>YEAR(Table1[[#This Row],[End]])</f>
        <v>2024</v>
      </c>
      <c r="AC1978" s="159"/>
      <c r="AD1978" s="159" t="s">
        <v>9647</v>
      </c>
      <c r="AE1978" s="184" t="s">
        <v>9648</v>
      </c>
      <c r="AF1978" s="201" t="s">
        <v>9641</v>
      </c>
      <c r="AG1978" s="160"/>
      <c r="AH1978" s="160"/>
      <c r="AI1978" s="158"/>
      <c r="AJ1978" s="158"/>
      <c r="AK1978" s="158"/>
      <c r="AL1978" s="158"/>
      <c r="AM1978" s="158"/>
      <c r="AN1978" s="158"/>
      <c r="AO1978" s="158"/>
      <c r="AP1978" s="158" t="s">
        <v>9649</v>
      </c>
      <c r="AQ1978" s="158"/>
      <c r="AR1978" s="507"/>
      <c r="AS1978" s="475"/>
      <c r="AT1978" s="160"/>
    </row>
    <row r="1979" spans="1:46" ht="15" hidden="1" customHeight="1">
      <c r="A1979" s="331">
        <v>1978</v>
      </c>
      <c r="B1979" s="28" t="s">
        <v>348</v>
      </c>
      <c r="C1979" s="159" t="s">
        <v>9636</v>
      </c>
      <c r="D1979" s="449" t="s">
        <v>474</v>
      </c>
      <c r="E1979" s="361" t="str">
        <f t="shared" ca="1" si="114"/>
        <v>LOSS</v>
      </c>
      <c r="F1979" s="160"/>
      <c r="G1979" s="159" t="s">
        <v>9650</v>
      </c>
      <c r="H1979" s="160" t="s">
        <v>2748</v>
      </c>
      <c r="I1979" s="160" t="s">
        <v>242</v>
      </c>
      <c r="J1979" s="159" t="s">
        <v>9651</v>
      </c>
      <c r="K1979" s="284" t="s">
        <v>9652</v>
      </c>
      <c r="L1979" s="158"/>
      <c r="M1979" s="158" t="s">
        <v>353</v>
      </c>
      <c r="N1979" s="158" t="s">
        <v>494</v>
      </c>
      <c r="O1979" s="162">
        <v>3000000</v>
      </c>
      <c r="P1979" s="161">
        <v>5600000</v>
      </c>
      <c r="Q1979" s="161"/>
      <c r="R1979" s="162"/>
      <c r="S1979" s="163">
        <v>1798932</v>
      </c>
      <c r="T1979" s="164"/>
      <c r="U1979" s="340">
        <v>45611</v>
      </c>
      <c r="V1979" s="340">
        <v>45657</v>
      </c>
      <c r="W1979" s="158" t="s">
        <v>250</v>
      </c>
      <c r="X1979" s="158"/>
      <c r="Y1979" s="34">
        <f t="shared" ca="1" si="116"/>
        <v>46290</v>
      </c>
      <c r="Z1979" s="35">
        <f t="shared" ca="1" si="117"/>
        <v>-633</v>
      </c>
      <c r="AA1979" s="158">
        <f>MONTH(Table1[[#This Row],[End]])</f>
        <v>12</v>
      </c>
      <c r="AB1979" s="158">
        <f>YEAR(Table1[[#This Row],[End]])</f>
        <v>2024</v>
      </c>
      <c r="AC1979" s="159"/>
      <c r="AD1979" s="159" t="s">
        <v>9653</v>
      </c>
      <c r="AE1979" s="184" t="s">
        <v>9654</v>
      </c>
      <c r="AF1979" s="201" t="s">
        <v>9641</v>
      </c>
      <c r="AG1979" s="160"/>
      <c r="AH1979" s="160"/>
      <c r="AI1979" s="158"/>
      <c r="AJ1979" s="158"/>
      <c r="AK1979" s="158"/>
      <c r="AL1979" s="158"/>
      <c r="AM1979" s="158"/>
      <c r="AN1979" s="158"/>
      <c r="AO1979" s="158"/>
      <c r="AP1979" s="158" t="s">
        <v>9655</v>
      </c>
      <c r="AQ1979" s="158"/>
      <c r="AR1979" s="507"/>
      <c r="AS1979" s="475"/>
      <c r="AT1979" s="160"/>
    </row>
    <row r="1980" spans="1:46" ht="15" hidden="1" customHeight="1">
      <c r="A1980" s="331">
        <v>1979</v>
      </c>
      <c r="B1980" s="28" t="s">
        <v>348</v>
      </c>
      <c r="C1980" s="159" t="s">
        <v>9636</v>
      </c>
      <c r="D1980" s="450" t="s">
        <v>474</v>
      </c>
      <c r="E1980" s="361" t="str">
        <f t="shared" ca="1" si="114"/>
        <v>LOSS</v>
      </c>
      <c r="F1980" s="160"/>
      <c r="G1980" s="159" t="s">
        <v>9656</v>
      </c>
      <c r="H1980" s="160" t="s">
        <v>2748</v>
      </c>
      <c r="I1980" s="160" t="s">
        <v>242</v>
      </c>
      <c r="J1980" s="159" t="s">
        <v>9657</v>
      </c>
      <c r="K1980" s="284" t="s">
        <v>9658</v>
      </c>
      <c r="L1980" s="158"/>
      <c r="M1980" s="158" t="s">
        <v>353</v>
      </c>
      <c r="N1980" s="158" t="s">
        <v>7066</v>
      </c>
      <c r="O1980" s="162">
        <v>3000000</v>
      </c>
      <c r="P1980" s="161">
        <v>15980769</v>
      </c>
      <c r="Q1980" s="161"/>
      <c r="R1980" s="162"/>
      <c r="S1980" s="163">
        <v>5722639</v>
      </c>
      <c r="T1980" s="164"/>
      <c r="U1980" s="340">
        <v>45601</v>
      </c>
      <c r="V1980" s="340">
        <v>45657</v>
      </c>
      <c r="W1980" s="158" t="s">
        <v>250</v>
      </c>
      <c r="X1980" s="158"/>
      <c r="Y1980" s="34">
        <f t="shared" ca="1" si="116"/>
        <v>46290</v>
      </c>
      <c r="Z1980" s="35">
        <f t="shared" ca="1" si="117"/>
        <v>-633</v>
      </c>
      <c r="AA1980" s="158">
        <f>MONTH(V2000)</f>
        <v>12</v>
      </c>
      <c r="AB1980" s="158">
        <f>YEAR(Table1[[#This Row],[End]])</f>
        <v>2024</v>
      </c>
      <c r="AC1980" s="159"/>
      <c r="AD1980" s="159" t="s">
        <v>9659</v>
      </c>
      <c r="AE1980" s="184" t="s">
        <v>9660</v>
      </c>
      <c r="AF1980" s="201" t="s">
        <v>9641</v>
      </c>
      <c r="AG1980" s="160"/>
      <c r="AH1980" s="160"/>
      <c r="AI1980" s="158"/>
      <c r="AJ1980" s="158"/>
      <c r="AK1980" s="158"/>
      <c r="AL1980" s="158"/>
      <c r="AM1980" s="158"/>
      <c r="AN1980" s="158"/>
      <c r="AO1980" s="158"/>
      <c r="AP1980" s="158" t="s">
        <v>9661</v>
      </c>
      <c r="AQ1980" s="158"/>
      <c r="AR1980" s="507"/>
      <c r="AS1980" s="475"/>
      <c r="AT1980" s="160"/>
    </row>
    <row r="1981" spans="1:46" ht="15" hidden="1" customHeight="1">
      <c r="A1981" s="331">
        <v>1980</v>
      </c>
      <c r="B1981" s="285" t="s">
        <v>154</v>
      </c>
      <c r="C1981" s="159" t="s">
        <v>9662</v>
      </c>
      <c r="D1981" s="438" t="s">
        <v>9227</v>
      </c>
      <c r="E1981" s="361" t="str">
        <f t="shared" ca="1" si="114"/>
        <v>LOSS</v>
      </c>
      <c r="F1981" s="160"/>
      <c r="G1981" s="205" t="s">
        <v>9663</v>
      </c>
      <c r="H1981" s="160" t="s">
        <v>2748</v>
      </c>
      <c r="I1981" s="29" t="s">
        <v>9229</v>
      </c>
      <c r="J1981" s="205" t="s">
        <v>9664</v>
      </c>
      <c r="K1981" s="181" t="s">
        <v>9665</v>
      </c>
      <c r="L1981" s="158"/>
      <c r="M1981" s="158" t="s">
        <v>365</v>
      </c>
      <c r="N1981" s="158" t="s">
        <v>362</v>
      </c>
      <c r="O1981" s="162"/>
      <c r="P1981" s="161">
        <v>378000000</v>
      </c>
      <c r="Q1981" s="161"/>
      <c r="R1981" s="162">
        <v>5000000</v>
      </c>
      <c r="S1981" s="163">
        <v>78000000</v>
      </c>
      <c r="T1981" s="164"/>
      <c r="U1981" s="340">
        <v>45627</v>
      </c>
      <c r="V1981" s="340">
        <v>45991</v>
      </c>
      <c r="W1981" s="158" t="s">
        <v>250</v>
      </c>
      <c r="X1981" s="158"/>
      <c r="Y1981" s="34">
        <f t="shared" ca="1" si="116"/>
        <v>46290</v>
      </c>
      <c r="Z1981" s="35">
        <f t="shared" ca="1" si="117"/>
        <v>-299</v>
      </c>
      <c r="AA1981" s="158">
        <f>MONTH(Table1[[#This Row],[End]])</f>
        <v>11</v>
      </c>
      <c r="AB1981" s="158">
        <f>YEAR(Table1[[#This Row],[End]])</f>
        <v>2025</v>
      </c>
      <c r="AC1981" s="159"/>
      <c r="AD1981" s="159" t="s">
        <v>9666</v>
      </c>
      <c r="AE1981" s="184" t="s">
        <v>9667</v>
      </c>
      <c r="AF1981" s="201" t="s">
        <v>9641</v>
      </c>
      <c r="AG1981" s="160"/>
      <c r="AH1981" s="160"/>
      <c r="AI1981" s="158"/>
      <c r="AJ1981" s="158"/>
      <c r="AK1981" s="158"/>
      <c r="AL1981" s="158"/>
      <c r="AM1981" s="158"/>
      <c r="AN1981" s="158"/>
      <c r="AO1981" s="158"/>
      <c r="AP1981" s="158" t="s">
        <v>9668</v>
      </c>
      <c r="AQ1981" s="158"/>
      <c r="AR1981" s="507"/>
      <c r="AS1981" s="475"/>
      <c r="AT1981" s="160"/>
    </row>
    <row r="1982" spans="1:46" ht="15" hidden="1" customHeight="1">
      <c r="A1982" s="331">
        <v>1981</v>
      </c>
      <c r="B1982" s="28" t="s">
        <v>114</v>
      </c>
      <c r="C1982" s="159" t="s">
        <v>9669</v>
      </c>
      <c r="D1982" s="438" t="s">
        <v>9670</v>
      </c>
      <c r="E1982" s="361" t="str">
        <f t="shared" ca="1" si="114"/>
        <v>LOSS</v>
      </c>
      <c r="F1982" s="160"/>
      <c r="G1982" s="159" t="s">
        <v>9670</v>
      </c>
      <c r="H1982" s="160" t="s">
        <v>2748</v>
      </c>
      <c r="I1982" s="160" t="s">
        <v>242</v>
      </c>
      <c r="J1982" s="159" t="s">
        <v>9671</v>
      </c>
      <c r="K1982" s="160"/>
      <c r="L1982" s="158"/>
      <c r="M1982" s="158" t="s">
        <v>337</v>
      </c>
      <c r="N1982" s="160"/>
      <c r="O1982" s="162">
        <v>75873495</v>
      </c>
      <c r="P1982" s="161">
        <v>5815473395</v>
      </c>
      <c r="Q1982" s="161"/>
      <c r="R1982" s="162"/>
      <c r="S1982" s="163">
        <v>137700000</v>
      </c>
      <c r="T1982" s="164"/>
      <c r="U1982" s="340">
        <v>45292</v>
      </c>
      <c r="V1982" s="340">
        <v>45657</v>
      </c>
      <c r="W1982" s="158" t="s">
        <v>250</v>
      </c>
      <c r="X1982" s="158"/>
      <c r="Y1982" s="34">
        <f t="shared" ca="1" si="116"/>
        <v>46290</v>
      </c>
      <c r="Z1982" s="35">
        <f t="shared" ca="1" si="117"/>
        <v>-633</v>
      </c>
      <c r="AA1982" s="158">
        <f>MONTH(Table1[[#This Row],[End]])</f>
        <v>12</v>
      </c>
      <c r="AB1982" s="158">
        <f>YEAR(Table1[[#This Row],[End]])</f>
        <v>2024</v>
      </c>
      <c r="AC1982" s="159"/>
      <c r="AD1982" s="159" t="s">
        <v>9672</v>
      </c>
      <c r="AE1982" s="184" t="s">
        <v>9673</v>
      </c>
      <c r="AF1982" s="201" t="s">
        <v>9641</v>
      </c>
      <c r="AG1982" s="160"/>
      <c r="AH1982" s="160"/>
      <c r="AI1982" s="158"/>
      <c r="AJ1982" s="158"/>
      <c r="AK1982" s="158"/>
      <c r="AL1982" s="158"/>
      <c r="AM1982" s="158"/>
      <c r="AN1982" s="158"/>
      <c r="AO1982" s="158"/>
      <c r="AP1982" s="158" t="s">
        <v>9674</v>
      </c>
      <c r="AQ1982" s="158"/>
      <c r="AR1982" s="507"/>
      <c r="AS1982" s="475"/>
      <c r="AT1982" s="160"/>
    </row>
    <row r="1983" spans="1:46" ht="15" hidden="1" customHeight="1">
      <c r="A1983" s="331">
        <v>1982</v>
      </c>
      <c r="B1983" s="159" t="s">
        <v>37</v>
      </c>
      <c r="C1983" s="159" t="s">
        <v>9675</v>
      </c>
      <c r="D1983" s="437" t="s">
        <v>6644</v>
      </c>
      <c r="E1983" s="361" t="str">
        <f t="shared" ca="1" si="114"/>
        <v>LOSS</v>
      </c>
      <c r="F1983" s="160" t="s">
        <v>9676</v>
      </c>
      <c r="G1983" s="159" t="s">
        <v>9677</v>
      </c>
      <c r="H1983" s="160" t="s">
        <v>261</v>
      </c>
      <c r="I1983" s="160" t="s">
        <v>243</v>
      </c>
      <c r="J1983" s="159" t="s">
        <v>9678</v>
      </c>
      <c r="K1983" s="181" t="s">
        <v>9679</v>
      </c>
      <c r="L1983" s="158" t="s">
        <v>4749</v>
      </c>
      <c r="M1983" s="158" t="s">
        <v>365</v>
      </c>
      <c r="N1983" s="158" t="s">
        <v>362</v>
      </c>
      <c r="O1983" s="162"/>
      <c r="P1983" s="161">
        <v>42366667</v>
      </c>
      <c r="Q1983" s="161"/>
      <c r="R1983" s="162"/>
      <c r="S1983" s="162">
        <v>22391460</v>
      </c>
      <c r="T1983" s="164"/>
      <c r="U1983" s="340">
        <v>45250</v>
      </c>
      <c r="V1983" s="340">
        <v>45291</v>
      </c>
      <c r="W1983" s="158" t="s">
        <v>245</v>
      </c>
      <c r="X1983" s="158"/>
      <c r="Y1983" s="34">
        <f t="shared" ca="1" si="116"/>
        <v>46290</v>
      </c>
      <c r="Z1983" s="35">
        <f t="shared" ca="1" si="117"/>
        <v>-999</v>
      </c>
      <c r="AA1983" s="27">
        <f t="shared" ref="AA1983:AA1999" si="119">MONTH(V1983)</f>
        <v>12</v>
      </c>
      <c r="AB1983" s="27">
        <f t="shared" ref="AB1983:AB1999" si="120">YEAR(V1983)</f>
        <v>2023</v>
      </c>
      <c r="AC1983" s="159" t="s">
        <v>9680</v>
      </c>
      <c r="AD1983" s="159" t="s">
        <v>9681</v>
      </c>
      <c r="AE1983" s="184" t="s">
        <v>9682</v>
      </c>
      <c r="AF1983" s="201" t="s">
        <v>471</v>
      </c>
      <c r="AG1983" s="160"/>
      <c r="AH1983" s="160"/>
      <c r="AI1983" s="158"/>
      <c r="AJ1983" s="158"/>
      <c r="AK1983" s="158"/>
      <c r="AL1983" s="158"/>
      <c r="AM1983" s="158"/>
      <c r="AN1983" s="158"/>
      <c r="AO1983" s="158">
        <v>406</v>
      </c>
      <c r="AP1983" s="158"/>
      <c r="AQ1983" s="158"/>
      <c r="AR1983" s="507"/>
      <c r="AS1983" s="475"/>
      <c r="AT1983" s="160"/>
    </row>
    <row r="1984" spans="1:46" ht="15" hidden="1" customHeight="1">
      <c r="A1984" s="331">
        <v>1983</v>
      </c>
      <c r="B1984" s="159" t="s">
        <v>628</v>
      </c>
      <c r="C1984" s="159" t="s">
        <v>9683</v>
      </c>
      <c r="D1984" s="438" t="s">
        <v>7640</v>
      </c>
      <c r="E1984" s="361" t="str">
        <f t="shared" ca="1" si="114"/>
        <v>LOSS</v>
      </c>
      <c r="F1984" s="160"/>
      <c r="G1984" s="159" t="s">
        <v>9684</v>
      </c>
      <c r="H1984" s="160" t="s">
        <v>261</v>
      </c>
      <c r="I1984" s="160" t="s">
        <v>243</v>
      </c>
      <c r="J1984" s="159" t="s">
        <v>9685</v>
      </c>
      <c r="K1984" s="181" t="s">
        <v>9686</v>
      </c>
      <c r="L1984" s="53" t="s">
        <v>4749</v>
      </c>
      <c r="M1984" s="158" t="s">
        <v>6987</v>
      </c>
      <c r="N1984" s="158" t="s">
        <v>6885</v>
      </c>
      <c r="O1984" s="162"/>
      <c r="P1984" s="161">
        <f>1861664*12</f>
        <v>22339968</v>
      </c>
      <c r="Q1984" s="161"/>
      <c r="R1984" s="162">
        <v>3000000</v>
      </c>
      <c r="S1984" s="163">
        <f>1072800*12</f>
        <v>12873600</v>
      </c>
      <c r="T1984" s="164"/>
      <c r="U1984" s="340">
        <v>45506</v>
      </c>
      <c r="V1984" s="340">
        <v>45870</v>
      </c>
      <c r="W1984" s="158" t="s">
        <v>250</v>
      </c>
      <c r="X1984" s="158"/>
      <c r="Y1984" s="34">
        <f t="shared" ca="1" si="116"/>
        <v>46290</v>
      </c>
      <c r="Z1984" s="35">
        <f t="shared" ca="1" si="117"/>
        <v>-420</v>
      </c>
      <c r="AA1984" s="27">
        <f t="shared" si="119"/>
        <v>8</v>
      </c>
      <c r="AB1984" s="27">
        <f t="shared" si="120"/>
        <v>2025</v>
      </c>
      <c r="AC1984" s="159"/>
      <c r="AD1984" s="159" t="s">
        <v>9687</v>
      </c>
      <c r="AE1984" s="184" t="s">
        <v>9688</v>
      </c>
      <c r="AF1984" s="201" t="s">
        <v>471</v>
      </c>
      <c r="AG1984" s="160" t="s">
        <v>9689</v>
      </c>
      <c r="AH1984" s="174" t="s">
        <v>634</v>
      </c>
      <c r="AI1984" s="158"/>
      <c r="AJ1984" s="158"/>
      <c r="AK1984" s="158"/>
      <c r="AL1984" s="158"/>
      <c r="AM1984" s="158"/>
      <c r="AN1984" s="158"/>
      <c r="AO1984" s="158"/>
      <c r="AP1984" s="158">
        <v>233</v>
      </c>
      <c r="AQ1984" s="158"/>
      <c r="AR1984" s="507"/>
      <c r="AS1984" s="475"/>
      <c r="AT1984" s="160"/>
    </row>
    <row r="1985" spans="1:46" ht="15" hidden="1" customHeight="1">
      <c r="A1985" s="331">
        <v>1984</v>
      </c>
      <c r="B1985" s="159" t="s">
        <v>1043</v>
      </c>
      <c r="C1985" s="159" t="s">
        <v>9690</v>
      </c>
      <c r="D1985" s="437" t="s">
        <v>6810</v>
      </c>
      <c r="E1985" s="361" t="str">
        <f t="shared" ca="1" si="114"/>
        <v>LOSS</v>
      </c>
      <c r="F1985" s="160"/>
      <c r="G1985" s="159" t="s">
        <v>9691</v>
      </c>
      <c r="H1985" s="160" t="s">
        <v>9692</v>
      </c>
      <c r="I1985" s="160" t="s">
        <v>243</v>
      </c>
      <c r="J1985" s="159" t="s">
        <v>9693</v>
      </c>
      <c r="K1985" s="181" t="s">
        <v>9694</v>
      </c>
      <c r="L1985" s="27" t="s">
        <v>4749</v>
      </c>
      <c r="M1985" s="158" t="s">
        <v>353</v>
      </c>
      <c r="N1985" s="158" t="s">
        <v>396</v>
      </c>
      <c r="O1985" s="162"/>
      <c r="P1985" s="161">
        <f>12455800*12</f>
        <v>149469600</v>
      </c>
      <c r="Q1985" s="161"/>
      <c r="R1985" s="162">
        <v>4000000</v>
      </c>
      <c r="S1985" s="163">
        <f>8000000*12</f>
        <v>96000000</v>
      </c>
      <c r="T1985" s="164"/>
      <c r="U1985" s="340">
        <v>45559</v>
      </c>
      <c r="V1985" s="340">
        <v>45923</v>
      </c>
      <c r="W1985" s="158" t="s">
        <v>250</v>
      </c>
      <c r="X1985" s="158"/>
      <c r="Y1985" s="34">
        <f t="shared" ca="1" si="116"/>
        <v>46290</v>
      </c>
      <c r="Z1985" s="35">
        <f t="shared" ca="1" si="117"/>
        <v>-367</v>
      </c>
      <c r="AA1985" s="27">
        <f t="shared" si="119"/>
        <v>9</v>
      </c>
      <c r="AB1985" s="27">
        <f t="shared" si="120"/>
        <v>2025</v>
      </c>
      <c r="AC1985" s="159"/>
      <c r="AD1985" s="171" t="s">
        <v>9695</v>
      </c>
      <c r="AE1985" s="184" t="s">
        <v>9696</v>
      </c>
      <c r="AF1985" s="201" t="s">
        <v>471</v>
      </c>
      <c r="AG1985" s="160"/>
      <c r="AH1985" s="160" t="s">
        <v>8922</v>
      </c>
      <c r="AI1985" s="158"/>
      <c r="AJ1985" s="158"/>
      <c r="AK1985" s="158"/>
      <c r="AL1985" s="158"/>
      <c r="AM1985" s="158"/>
      <c r="AN1985" s="158"/>
      <c r="AO1985" s="158"/>
      <c r="AP1985" s="158">
        <v>400</v>
      </c>
      <c r="AQ1985" s="158"/>
      <c r="AR1985" s="507"/>
      <c r="AS1985" s="475"/>
      <c r="AT1985" s="160"/>
    </row>
    <row r="1986" spans="1:46" ht="15" hidden="1" customHeight="1">
      <c r="A1986" s="331">
        <v>1985</v>
      </c>
      <c r="B1986" s="159" t="s">
        <v>962</v>
      </c>
      <c r="C1986" s="28" t="s">
        <v>7188</v>
      </c>
      <c r="D1986" s="438" t="s">
        <v>7175</v>
      </c>
      <c r="E1986" s="361" t="str">
        <f t="shared" ref="E1986:E2049" ca="1" si="121">IF(Z1986&lt;=0, "LOSS",IF(Z1986&lt;=15, "CRITICAL",IF(Z1986&lt;=30, "WARNING",IF(Z1986&lt;60, "ATTENTION", "ON TRACK"))))</f>
        <v>LOSS</v>
      </c>
      <c r="F1986" s="28" t="s">
        <v>7189</v>
      </c>
      <c r="G1986" s="159" t="s">
        <v>9697</v>
      </c>
      <c r="H1986" s="160" t="s">
        <v>261</v>
      </c>
      <c r="I1986" s="160" t="s">
        <v>243</v>
      </c>
      <c r="J1986" s="28" t="s">
        <v>7191</v>
      </c>
      <c r="K1986" s="63" t="s">
        <v>7192</v>
      </c>
      <c r="L1986" s="53">
        <v>0.995</v>
      </c>
      <c r="M1986" s="27" t="s">
        <v>6788</v>
      </c>
      <c r="N1986" s="27" t="s">
        <v>7193</v>
      </c>
      <c r="O1986" s="162"/>
      <c r="P1986" s="161">
        <f>14000000*12</f>
        <v>168000000</v>
      </c>
      <c r="Q1986" s="161"/>
      <c r="R1986" s="162"/>
      <c r="S1986" s="162">
        <f>9500000*12</f>
        <v>114000000</v>
      </c>
      <c r="T1986" s="164"/>
      <c r="U1986" s="340">
        <v>45595</v>
      </c>
      <c r="V1986" s="340">
        <v>45959</v>
      </c>
      <c r="W1986" s="158" t="s">
        <v>250</v>
      </c>
      <c r="X1986" s="158"/>
      <c r="Y1986" s="34">
        <f t="shared" ca="1" si="116"/>
        <v>46290</v>
      </c>
      <c r="Z1986" s="35">
        <f t="shared" ca="1" si="117"/>
        <v>-331</v>
      </c>
      <c r="AA1986" s="27">
        <f t="shared" si="119"/>
        <v>10</v>
      </c>
      <c r="AB1986" s="27">
        <f t="shared" si="120"/>
        <v>2025</v>
      </c>
      <c r="AC1986" s="159" t="s">
        <v>9698</v>
      </c>
      <c r="AD1986" s="159" t="s">
        <v>9699</v>
      </c>
      <c r="AE1986" s="184" t="s">
        <v>9700</v>
      </c>
      <c r="AF1986" s="201" t="s">
        <v>471</v>
      </c>
      <c r="AG1986" s="160"/>
      <c r="AH1986" s="160"/>
      <c r="AI1986" s="158"/>
      <c r="AJ1986" s="158"/>
      <c r="AK1986" s="158"/>
      <c r="AL1986" s="158"/>
      <c r="AM1986" s="158"/>
      <c r="AN1986" s="158"/>
      <c r="AO1986" s="158"/>
      <c r="AP1986" s="158">
        <v>384</v>
      </c>
      <c r="AQ1986" s="158"/>
      <c r="AR1986" s="507"/>
      <c r="AS1986" s="475"/>
      <c r="AT1986" s="160"/>
    </row>
    <row r="1987" spans="1:46" ht="15" hidden="1" customHeight="1">
      <c r="A1987" s="331">
        <v>1986</v>
      </c>
      <c r="B1987" s="159" t="s">
        <v>956</v>
      </c>
      <c r="C1987" s="28" t="s">
        <v>6629</v>
      </c>
      <c r="D1987" s="437" t="s">
        <v>6892</v>
      </c>
      <c r="E1987" s="361" t="str">
        <f t="shared" ca="1" si="121"/>
        <v>LOSS</v>
      </c>
      <c r="F1987" s="203" t="s">
        <v>9701</v>
      </c>
      <c r="G1987" s="216" t="s">
        <v>9702</v>
      </c>
      <c r="H1987" s="160" t="s">
        <v>261</v>
      </c>
      <c r="I1987" s="160" t="s">
        <v>243</v>
      </c>
      <c r="J1987" s="205" t="s">
        <v>9703</v>
      </c>
      <c r="K1987" s="181" t="s">
        <v>9704</v>
      </c>
      <c r="L1987" s="53" t="s">
        <v>6895</v>
      </c>
      <c r="M1987" s="27" t="s">
        <v>329</v>
      </c>
      <c r="N1987" s="27" t="s">
        <v>354</v>
      </c>
      <c r="O1987" s="162"/>
      <c r="P1987" s="161">
        <f>3272727*12</f>
        <v>39272724</v>
      </c>
      <c r="Q1987" s="161"/>
      <c r="R1987" s="162"/>
      <c r="S1987" s="163">
        <v>30543348</v>
      </c>
      <c r="T1987" s="164"/>
      <c r="U1987" s="340">
        <v>45544</v>
      </c>
      <c r="V1987" s="340">
        <v>45930</v>
      </c>
      <c r="W1987" s="158" t="s">
        <v>250</v>
      </c>
      <c r="X1987" s="158"/>
      <c r="Y1987" s="34">
        <f t="shared" ca="1" si="116"/>
        <v>46290</v>
      </c>
      <c r="Z1987" s="35">
        <f t="shared" ca="1" si="117"/>
        <v>-360</v>
      </c>
      <c r="AA1987" s="27">
        <f t="shared" si="119"/>
        <v>9</v>
      </c>
      <c r="AB1987" s="27">
        <f t="shared" si="120"/>
        <v>2025</v>
      </c>
      <c r="AC1987" s="159" t="s">
        <v>9705</v>
      </c>
      <c r="AD1987" s="159" t="s">
        <v>9706</v>
      </c>
      <c r="AE1987" s="184" t="s">
        <v>9707</v>
      </c>
      <c r="AF1987" s="201" t="s">
        <v>471</v>
      </c>
      <c r="AG1987" s="160"/>
      <c r="AH1987" s="160"/>
      <c r="AI1987" s="158"/>
      <c r="AJ1987" s="158"/>
      <c r="AK1987" s="158"/>
      <c r="AL1987" s="158"/>
      <c r="AM1987" s="158"/>
      <c r="AN1987" s="158"/>
      <c r="AO1987" s="158"/>
      <c r="AP1987" s="158">
        <v>393</v>
      </c>
      <c r="AQ1987" s="158"/>
      <c r="AR1987" s="507"/>
      <c r="AS1987" s="475"/>
      <c r="AT1987" s="160"/>
    </row>
    <row r="1988" spans="1:46" ht="15" hidden="1" customHeight="1">
      <c r="A1988" s="331">
        <v>1987</v>
      </c>
      <c r="B1988" s="159" t="s">
        <v>9708</v>
      </c>
      <c r="C1988" s="159" t="s">
        <v>9709</v>
      </c>
      <c r="D1988" s="438" t="s">
        <v>8346</v>
      </c>
      <c r="E1988" s="361" t="str">
        <f t="shared" ca="1" si="121"/>
        <v>LOSS</v>
      </c>
      <c r="F1988" s="29" t="s">
        <v>8347</v>
      </c>
      <c r="G1988" s="28" t="s">
        <v>8348</v>
      </c>
      <c r="H1988" s="160" t="s">
        <v>261</v>
      </c>
      <c r="I1988" s="160" t="s">
        <v>243</v>
      </c>
      <c r="J1988" s="28" t="s">
        <v>8349</v>
      </c>
      <c r="K1988" s="38" t="s">
        <v>8350</v>
      </c>
      <c r="L1988" s="70">
        <v>0.99</v>
      </c>
      <c r="M1988" s="27" t="s">
        <v>365</v>
      </c>
      <c r="N1988" s="27" t="s">
        <v>494</v>
      </c>
      <c r="O1988" s="162"/>
      <c r="P1988" s="31">
        <f>5250000*12</f>
        <v>63000000</v>
      </c>
      <c r="Q1988" s="161"/>
      <c r="R1988" s="162"/>
      <c r="S1988" s="32">
        <f>3000000*12</f>
        <v>36000000</v>
      </c>
      <c r="T1988" s="164"/>
      <c r="U1988" s="340">
        <v>45611</v>
      </c>
      <c r="V1988" s="340">
        <v>45975</v>
      </c>
      <c r="W1988" s="158" t="s">
        <v>250</v>
      </c>
      <c r="X1988" s="158"/>
      <c r="Y1988" s="34">
        <f t="shared" ca="1" si="116"/>
        <v>46290</v>
      </c>
      <c r="Z1988" s="35">
        <f t="shared" ca="1" si="117"/>
        <v>-315</v>
      </c>
      <c r="AA1988" s="27">
        <f t="shared" si="119"/>
        <v>11</v>
      </c>
      <c r="AB1988" s="27">
        <f t="shared" si="120"/>
        <v>2025</v>
      </c>
      <c r="AC1988" s="28" t="s">
        <v>9710</v>
      </c>
      <c r="AD1988" s="159" t="s">
        <v>9711</v>
      </c>
      <c r="AE1988" s="184" t="s">
        <v>9712</v>
      </c>
      <c r="AF1988" s="201" t="s">
        <v>471</v>
      </c>
      <c r="AG1988" s="160"/>
      <c r="AH1988" s="29" t="s">
        <v>8353</v>
      </c>
      <c r="AI1988" s="158"/>
      <c r="AJ1988" s="158"/>
      <c r="AK1988" s="158"/>
      <c r="AL1988" s="158"/>
      <c r="AM1988" s="158"/>
      <c r="AN1988" s="158"/>
      <c r="AO1988" s="158"/>
      <c r="AP1988" s="158">
        <v>402</v>
      </c>
      <c r="AQ1988" s="158"/>
      <c r="AR1988" s="507"/>
      <c r="AS1988" s="475"/>
      <c r="AT1988" s="160"/>
    </row>
    <row r="1989" spans="1:46" ht="15" hidden="1" customHeight="1">
      <c r="A1989" s="331">
        <v>1988</v>
      </c>
      <c r="B1989" s="159" t="s">
        <v>9708</v>
      </c>
      <c r="C1989" s="159" t="s">
        <v>9709</v>
      </c>
      <c r="D1989" s="437" t="s">
        <v>8346</v>
      </c>
      <c r="E1989" s="361" t="str">
        <f t="shared" ca="1" si="121"/>
        <v>LOSS</v>
      </c>
      <c r="F1989" s="29" t="s">
        <v>8347</v>
      </c>
      <c r="G1989" s="28" t="s">
        <v>8348</v>
      </c>
      <c r="H1989" s="160" t="s">
        <v>261</v>
      </c>
      <c r="I1989" s="160" t="s">
        <v>243</v>
      </c>
      <c r="J1989" s="28" t="s">
        <v>8354</v>
      </c>
      <c r="K1989" s="38" t="s">
        <v>8355</v>
      </c>
      <c r="L1989" s="70">
        <v>0.99</v>
      </c>
      <c r="M1989" s="27" t="s">
        <v>365</v>
      </c>
      <c r="N1989" s="27" t="s">
        <v>468</v>
      </c>
      <c r="O1989" s="162"/>
      <c r="P1989" s="31">
        <f>8000000*12</f>
        <v>96000000</v>
      </c>
      <c r="Q1989" s="161"/>
      <c r="R1989" s="162"/>
      <c r="S1989" s="32">
        <f>4000000*12</f>
        <v>48000000</v>
      </c>
      <c r="T1989" s="164"/>
      <c r="U1989" s="340">
        <v>45611</v>
      </c>
      <c r="V1989" s="340">
        <v>45975</v>
      </c>
      <c r="W1989" s="158" t="s">
        <v>250</v>
      </c>
      <c r="X1989" s="158"/>
      <c r="Y1989" s="34">
        <f t="shared" ca="1" si="116"/>
        <v>46290</v>
      </c>
      <c r="Z1989" s="35">
        <f t="shared" ca="1" si="117"/>
        <v>-315</v>
      </c>
      <c r="AA1989" s="27">
        <f t="shared" si="119"/>
        <v>11</v>
      </c>
      <c r="AB1989" s="27">
        <f t="shared" si="120"/>
        <v>2025</v>
      </c>
      <c r="AC1989" s="28" t="s">
        <v>9710</v>
      </c>
      <c r="AD1989" s="159" t="s">
        <v>9711</v>
      </c>
      <c r="AE1989" s="184" t="s">
        <v>9712</v>
      </c>
      <c r="AF1989" s="201" t="s">
        <v>471</v>
      </c>
      <c r="AG1989" s="160"/>
      <c r="AH1989" s="29" t="s">
        <v>8353</v>
      </c>
      <c r="AI1989" s="158"/>
      <c r="AJ1989" s="158"/>
      <c r="AK1989" s="158"/>
      <c r="AL1989" s="158"/>
      <c r="AM1989" s="158"/>
      <c r="AN1989" s="158"/>
      <c r="AO1989" s="158"/>
      <c r="AP1989" s="158">
        <v>402</v>
      </c>
      <c r="AQ1989" s="158"/>
      <c r="AR1989" s="507"/>
      <c r="AS1989" s="475"/>
      <c r="AT1989" s="160"/>
    </row>
    <row r="1990" spans="1:46" ht="15" hidden="1" customHeight="1">
      <c r="A1990" s="331">
        <v>1989</v>
      </c>
      <c r="B1990" s="159" t="s">
        <v>9708</v>
      </c>
      <c r="C1990" s="159" t="s">
        <v>9709</v>
      </c>
      <c r="D1990" s="438" t="s">
        <v>8346</v>
      </c>
      <c r="E1990" s="361" t="str">
        <f t="shared" ca="1" si="121"/>
        <v>LOSS</v>
      </c>
      <c r="F1990" s="29" t="s">
        <v>8347</v>
      </c>
      <c r="G1990" s="28" t="s">
        <v>8348</v>
      </c>
      <c r="H1990" s="160" t="s">
        <v>261</v>
      </c>
      <c r="I1990" s="160" t="s">
        <v>243</v>
      </c>
      <c r="J1990" s="28" t="s">
        <v>8356</v>
      </c>
      <c r="K1990" s="38" t="s">
        <v>8357</v>
      </c>
      <c r="L1990" s="70">
        <v>0.99</v>
      </c>
      <c r="M1990" s="27" t="s">
        <v>365</v>
      </c>
      <c r="N1990" s="27" t="s">
        <v>6727</v>
      </c>
      <c r="O1990" s="162"/>
      <c r="P1990" s="31">
        <f>12350000*12</f>
        <v>148200000</v>
      </c>
      <c r="Q1990" s="161"/>
      <c r="R1990" s="162"/>
      <c r="S1990" s="32">
        <f>7000000*12</f>
        <v>84000000</v>
      </c>
      <c r="T1990" s="164"/>
      <c r="U1990" s="340">
        <v>45611</v>
      </c>
      <c r="V1990" s="340">
        <v>45975</v>
      </c>
      <c r="W1990" s="158" t="s">
        <v>250</v>
      </c>
      <c r="X1990" s="158"/>
      <c r="Y1990" s="34">
        <f t="shared" ca="1" si="116"/>
        <v>46290</v>
      </c>
      <c r="Z1990" s="35">
        <f t="shared" ca="1" si="117"/>
        <v>-315</v>
      </c>
      <c r="AA1990" s="27">
        <f t="shared" si="119"/>
        <v>11</v>
      </c>
      <c r="AB1990" s="27">
        <f t="shared" si="120"/>
        <v>2025</v>
      </c>
      <c r="AC1990" s="28" t="s">
        <v>9710</v>
      </c>
      <c r="AD1990" s="159" t="s">
        <v>9711</v>
      </c>
      <c r="AE1990" s="184" t="s">
        <v>9712</v>
      </c>
      <c r="AF1990" s="201" t="s">
        <v>471</v>
      </c>
      <c r="AG1990" s="160"/>
      <c r="AH1990" s="29" t="s">
        <v>8353</v>
      </c>
      <c r="AI1990" s="158"/>
      <c r="AJ1990" s="158"/>
      <c r="AK1990" s="158"/>
      <c r="AL1990" s="158"/>
      <c r="AM1990" s="158"/>
      <c r="AN1990" s="158"/>
      <c r="AO1990" s="158"/>
      <c r="AP1990" s="158">
        <v>402</v>
      </c>
      <c r="AQ1990" s="158"/>
      <c r="AR1990" s="507"/>
      <c r="AS1990" s="475"/>
      <c r="AT1990" s="160"/>
    </row>
    <row r="1991" spans="1:46" ht="15" hidden="1" customHeight="1">
      <c r="A1991" s="331">
        <v>1990</v>
      </c>
      <c r="B1991" s="159" t="s">
        <v>2615</v>
      </c>
      <c r="C1991" s="28" t="s">
        <v>1285</v>
      </c>
      <c r="D1991" s="437" t="s">
        <v>6750</v>
      </c>
      <c r="E1991" s="361" t="str">
        <f t="shared" ca="1" si="121"/>
        <v>LOSS</v>
      </c>
      <c r="F1991" s="29" t="s">
        <v>115</v>
      </c>
      <c r="G1991" s="28" t="s">
        <v>8325</v>
      </c>
      <c r="H1991" s="160" t="s">
        <v>261</v>
      </c>
      <c r="I1991" s="160" t="s">
        <v>243</v>
      </c>
      <c r="J1991" s="28" t="s">
        <v>8326</v>
      </c>
      <c r="K1991" s="28" t="s">
        <v>8327</v>
      </c>
      <c r="L1991" s="51">
        <v>0.995</v>
      </c>
      <c r="M1991" s="27" t="s">
        <v>353</v>
      </c>
      <c r="N1991" s="27" t="s">
        <v>362</v>
      </c>
      <c r="O1991" s="162"/>
      <c r="P1991" s="161">
        <f>25000000*12</f>
        <v>300000000</v>
      </c>
      <c r="Q1991" s="161"/>
      <c r="R1991" s="162"/>
      <c r="S1991" s="163">
        <f>3500000*12</f>
        <v>42000000</v>
      </c>
      <c r="T1991" s="164"/>
      <c r="U1991" s="340">
        <v>45628</v>
      </c>
      <c r="V1991" s="340">
        <v>45992</v>
      </c>
      <c r="W1991" s="158" t="s">
        <v>250</v>
      </c>
      <c r="X1991" s="158"/>
      <c r="Y1991" s="34">
        <f t="shared" ca="1" si="116"/>
        <v>46290</v>
      </c>
      <c r="Z1991" s="35">
        <f t="shared" ca="1" si="117"/>
        <v>-298</v>
      </c>
      <c r="AA1991" s="27">
        <f t="shared" si="119"/>
        <v>12</v>
      </c>
      <c r="AB1991" s="27">
        <f t="shared" si="120"/>
        <v>2025</v>
      </c>
      <c r="AC1991" s="28" t="s">
        <v>9713</v>
      </c>
      <c r="AD1991" s="159" t="s">
        <v>9714</v>
      </c>
      <c r="AE1991" s="184" t="s">
        <v>9715</v>
      </c>
      <c r="AF1991" s="52" t="s">
        <v>471</v>
      </c>
      <c r="AG1991" s="160"/>
      <c r="AH1991" s="174" t="s">
        <v>6757</v>
      </c>
      <c r="AI1991" s="158"/>
      <c r="AJ1991" s="158"/>
      <c r="AK1991" s="158"/>
      <c r="AL1991" s="158"/>
      <c r="AM1991" s="158"/>
      <c r="AN1991" s="158"/>
      <c r="AO1991" s="158"/>
      <c r="AP1991" s="158">
        <v>411</v>
      </c>
      <c r="AQ1991" s="158"/>
      <c r="AR1991" s="507"/>
      <c r="AS1991" s="475"/>
      <c r="AT1991" s="160"/>
    </row>
    <row r="1992" spans="1:46" ht="15" hidden="1" customHeight="1">
      <c r="A1992" s="331">
        <v>1991</v>
      </c>
      <c r="B1992" s="159" t="s">
        <v>2615</v>
      </c>
      <c r="C1992" s="28" t="s">
        <v>1285</v>
      </c>
      <c r="D1992" s="438" t="s">
        <v>6750</v>
      </c>
      <c r="E1992" s="361" t="str">
        <f t="shared" ca="1" si="121"/>
        <v>LOSS</v>
      </c>
      <c r="F1992" s="29" t="s">
        <v>115</v>
      </c>
      <c r="G1992" s="28" t="s">
        <v>8325</v>
      </c>
      <c r="H1992" s="160" t="s">
        <v>261</v>
      </c>
      <c r="I1992" s="160" t="s">
        <v>243</v>
      </c>
      <c r="J1992" s="28" t="s">
        <v>8331</v>
      </c>
      <c r="K1992" s="28" t="s">
        <v>8332</v>
      </c>
      <c r="L1992" s="51">
        <v>0.995</v>
      </c>
      <c r="M1992" s="27" t="s">
        <v>365</v>
      </c>
      <c r="N1992" s="27" t="s">
        <v>468</v>
      </c>
      <c r="O1992" s="162"/>
      <c r="P1992" s="161">
        <f>20000000*12</f>
        <v>240000000</v>
      </c>
      <c r="Q1992" s="161"/>
      <c r="R1992" s="162"/>
      <c r="S1992" s="163">
        <f>2150000*12</f>
        <v>25800000</v>
      </c>
      <c r="T1992" s="164"/>
      <c r="U1992" s="340">
        <v>45628</v>
      </c>
      <c r="V1992" s="340">
        <v>45992</v>
      </c>
      <c r="W1992" s="158" t="s">
        <v>250</v>
      </c>
      <c r="X1992" s="158"/>
      <c r="Y1992" s="34">
        <f t="shared" ca="1" si="116"/>
        <v>46290</v>
      </c>
      <c r="Z1992" s="35">
        <f t="shared" ca="1" si="117"/>
        <v>-298</v>
      </c>
      <c r="AA1992" s="27">
        <f t="shared" si="119"/>
        <v>12</v>
      </c>
      <c r="AB1992" s="27">
        <f t="shared" si="120"/>
        <v>2025</v>
      </c>
      <c r="AC1992" s="28" t="s">
        <v>9713</v>
      </c>
      <c r="AD1992" s="159" t="s">
        <v>9714</v>
      </c>
      <c r="AE1992" s="184" t="s">
        <v>9715</v>
      </c>
      <c r="AF1992" s="27" t="s">
        <v>471</v>
      </c>
      <c r="AG1992" s="160"/>
      <c r="AH1992" s="174" t="s">
        <v>6757</v>
      </c>
      <c r="AI1992" s="158"/>
      <c r="AJ1992" s="158"/>
      <c r="AK1992" s="158"/>
      <c r="AL1992" s="158"/>
      <c r="AM1992" s="158"/>
      <c r="AN1992" s="158"/>
      <c r="AO1992" s="158"/>
      <c r="AP1992" s="158">
        <v>411</v>
      </c>
      <c r="AQ1992" s="158"/>
      <c r="AR1992" s="507"/>
      <c r="AS1992" s="475"/>
      <c r="AT1992" s="160"/>
    </row>
    <row r="1993" spans="1:46" ht="15" hidden="1" customHeight="1">
      <c r="A1993" s="331">
        <v>1992</v>
      </c>
      <c r="B1993" s="159" t="s">
        <v>165</v>
      </c>
      <c r="C1993" s="28" t="s">
        <v>8358</v>
      </c>
      <c r="D1993" s="437" t="s">
        <v>7149</v>
      </c>
      <c r="E1993" s="361" t="str">
        <f t="shared" ca="1" si="121"/>
        <v>LOSS</v>
      </c>
      <c r="F1993" s="29"/>
      <c r="G1993" s="28" t="s">
        <v>8360</v>
      </c>
      <c r="H1993" s="28" t="s">
        <v>261</v>
      </c>
      <c r="I1993" s="361" t="s">
        <v>243</v>
      </c>
      <c r="J1993" s="28" t="s">
        <v>8361</v>
      </c>
      <c r="K1993" s="38" t="s">
        <v>8362</v>
      </c>
      <c r="L1993" s="51">
        <v>0.995</v>
      </c>
      <c r="M1993" s="27" t="s">
        <v>7153</v>
      </c>
      <c r="N1993" s="27" t="s">
        <v>8363</v>
      </c>
      <c r="O1993" s="162"/>
      <c r="P1993" s="161">
        <f>12800000*12</f>
        <v>153600000</v>
      </c>
      <c r="Q1993" s="161"/>
      <c r="R1993" s="162"/>
      <c r="S1993" s="163">
        <f>9500000*12</f>
        <v>114000000</v>
      </c>
      <c r="T1993" s="164"/>
      <c r="U1993" s="340">
        <v>45596</v>
      </c>
      <c r="V1993" s="340">
        <v>45960</v>
      </c>
      <c r="W1993" s="158" t="s">
        <v>250</v>
      </c>
      <c r="X1993" s="158"/>
      <c r="Y1993" s="34">
        <f t="shared" ca="1" si="116"/>
        <v>46290</v>
      </c>
      <c r="Z1993" s="35">
        <f t="shared" ca="1" si="117"/>
        <v>-330</v>
      </c>
      <c r="AA1993" s="27">
        <f t="shared" si="119"/>
        <v>10</v>
      </c>
      <c r="AB1993" s="27">
        <f t="shared" si="120"/>
        <v>2025</v>
      </c>
      <c r="AC1993" s="28" t="s">
        <v>9716</v>
      </c>
      <c r="AD1993" s="159" t="s">
        <v>9717</v>
      </c>
      <c r="AE1993" s="184" t="s">
        <v>9718</v>
      </c>
      <c r="AF1993" s="201" t="s">
        <v>471</v>
      </c>
      <c r="AG1993" s="29" t="s">
        <v>9100</v>
      </c>
      <c r="AH1993" s="160" t="s">
        <v>7099</v>
      </c>
      <c r="AI1993" s="158"/>
      <c r="AJ1993" s="158"/>
      <c r="AK1993" s="158"/>
      <c r="AL1993" s="158"/>
      <c r="AM1993" s="158"/>
      <c r="AN1993" s="158"/>
      <c r="AO1993" s="158"/>
      <c r="AP1993" s="158">
        <v>414</v>
      </c>
      <c r="AQ1993" s="158"/>
      <c r="AR1993" s="507"/>
      <c r="AS1993" s="475"/>
      <c r="AT1993" s="160"/>
    </row>
    <row r="1994" spans="1:46" ht="15" hidden="1" customHeight="1">
      <c r="A1994" s="331">
        <v>1993</v>
      </c>
      <c r="B1994" s="159" t="s">
        <v>165</v>
      </c>
      <c r="C1994" s="28" t="s">
        <v>7148</v>
      </c>
      <c r="D1994" s="438" t="s">
        <v>7149</v>
      </c>
      <c r="E1994" s="361" t="str">
        <f t="shared" ca="1" si="121"/>
        <v>LOSS</v>
      </c>
      <c r="F1994" s="29" t="s">
        <v>115</v>
      </c>
      <c r="G1994" s="28" t="s">
        <v>7150</v>
      </c>
      <c r="H1994" s="28" t="s">
        <v>261</v>
      </c>
      <c r="I1994" s="361" t="s">
        <v>243</v>
      </c>
      <c r="J1994" s="28" t="s">
        <v>7156</v>
      </c>
      <c r="K1994" s="38" t="s">
        <v>7157</v>
      </c>
      <c r="L1994" s="51">
        <v>0.995</v>
      </c>
      <c r="M1994" s="27" t="s">
        <v>6987</v>
      </c>
      <c r="N1994" s="27" t="s">
        <v>362</v>
      </c>
      <c r="O1994" s="162"/>
      <c r="P1994" s="161">
        <f>12850000*(4/30)</f>
        <v>1713333.3333333333</v>
      </c>
      <c r="Q1994" s="161"/>
      <c r="R1994" s="162"/>
      <c r="S1994" s="163">
        <v>1130500</v>
      </c>
      <c r="T1994" s="164"/>
      <c r="U1994" s="340">
        <v>45562</v>
      </c>
      <c r="V1994" s="340">
        <v>45565</v>
      </c>
      <c r="W1994" s="158" t="s">
        <v>245</v>
      </c>
      <c r="X1994" s="158"/>
      <c r="Y1994" s="34">
        <f t="shared" ca="1" si="116"/>
        <v>46290</v>
      </c>
      <c r="Z1994" s="35">
        <f t="shared" ca="1" si="117"/>
        <v>-725</v>
      </c>
      <c r="AA1994" s="27">
        <f t="shared" si="119"/>
        <v>9</v>
      </c>
      <c r="AB1994" s="27">
        <f t="shared" si="120"/>
        <v>2024</v>
      </c>
      <c r="AC1994" s="28" t="s">
        <v>9719</v>
      </c>
      <c r="AD1994" s="159" t="s">
        <v>9720</v>
      </c>
      <c r="AE1994" s="184" t="s">
        <v>9721</v>
      </c>
      <c r="AF1994" s="201" t="s">
        <v>471</v>
      </c>
      <c r="AG1994" s="29" t="s">
        <v>9100</v>
      </c>
      <c r="AH1994" s="160" t="s">
        <v>7099</v>
      </c>
      <c r="AI1994" s="158"/>
      <c r="AJ1994" s="158"/>
      <c r="AK1994" s="158"/>
      <c r="AL1994" s="158"/>
      <c r="AM1994" s="158"/>
      <c r="AN1994" s="158"/>
      <c r="AO1994" s="158"/>
      <c r="AP1994" s="158">
        <v>412</v>
      </c>
      <c r="AQ1994" s="158"/>
      <c r="AR1994" s="507"/>
      <c r="AS1994" s="475" t="s">
        <v>7155</v>
      </c>
      <c r="AT1994" s="160"/>
    </row>
    <row r="1995" spans="1:46" ht="15" hidden="1" customHeight="1">
      <c r="A1995" s="331">
        <v>1994</v>
      </c>
      <c r="B1995" s="28" t="s">
        <v>165</v>
      </c>
      <c r="C1995" s="28" t="s">
        <v>7108</v>
      </c>
      <c r="D1995" s="437" t="s">
        <v>7124</v>
      </c>
      <c r="E1995" s="361" t="str">
        <f t="shared" ca="1" si="121"/>
        <v>LOSS</v>
      </c>
      <c r="F1995" s="29" t="s">
        <v>9722</v>
      </c>
      <c r="G1995" s="28" t="s">
        <v>9723</v>
      </c>
      <c r="H1995" s="29" t="s">
        <v>261</v>
      </c>
      <c r="I1995" s="361" t="s">
        <v>243</v>
      </c>
      <c r="J1995" s="28" t="s">
        <v>8916</v>
      </c>
      <c r="K1995" s="36" t="s">
        <v>8917</v>
      </c>
      <c r="L1995" s="27" t="s">
        <v>4749</v>
      </c>
      <c r="M1995" s="27" t="s">
        <v>365</v>
      </c>
      <c r="N1995" s="27" t="s">
        <v>6727</v>
      </c>
      <c r="O1995" s="162"/>
      <c r="P1995" s="161">
        <f>85400000*3</f>
        <v>256200000</v>
      </c>
      <c r="Q1995" s="161"/>
      <c r="R1995" s="162"/>
      <c r="S1995" s="163">
        <f>78000000*3</f>
        <v>234000000</v>
      </c>
      <c r="T1995" s="164"/>
      <c r="U1995" s="340">
        <v>45536</v>
      </c>
      <c r="V1995" s="340">
        <v>45626</v>
      </c>
      <c r="W1995" s="158" t="s">
        <v>250</v>
      </c>
      <c r="X1995" s="158"/>
      <c r="Y1995" s="34">
        <f t="shared" ref="Y1995:Y2058" ca="1" si="122">TODAY()</f>
        <v>46290</v>
      </c>
      <c r="Z1995" s="35">
        <f t="shared" ca="1" si="117"/>
        <v>-664</v>
      </c>
      <c r="AA1995" s="27">
        <f t="shared" si="119"/>
        <v>11</v>
      </c>
      <c r="AB1995" s="27">
        <f t="shared" si="120"/>
        <v>2024</v>
      </c>
      <c r="AC1995" s="159" t="s">
        <v>9724</v>
      </c>
      <c r="AD1995" s="159" t="s">
        <v>9725</v>
      </c>
      <c r="AE1995" s="184" t="s">
        <v>9726</v>
      </c>
      <c r="AF1995" s="201" t="s">
        <v>471</v>
      </c>
      <c r="AG1995" s="29" t="s">
        <v>9100</v>
      </c>
      <c r="AH1995" s="160" t="s">
        <v>7099</v>
      </c>
      <c r="AI1995" s="158"/>
      <c r="AJ1995" s="158"/>
      <c r="AK1995" s="158"/>
      <c r="AL1995" s="158"/>
      <c r="AM1995" s="158"/>
      <c r="AN1995" s="158"/>
      <c r="AO1995" s="158"/>
      <c r="AP1995" s="158">
        <v>385</v>
      </c>
      <c r="AQ1995" s="158"/>
      <c r="AR1995" s="507"/>
      <c r="AS1995" s="475"/>
      <c r="AT1995" s="160"/>
    </row>
    <row r="1996" spans="1:46" ht="15" hidden="1" customHeight="1">
      <c r="A1996" s="331">
        <v>1995</v>
      </c>
      <c r="B1996" s="159" t="s">
        <v>165</v>
      </c>
      <c r="C1996" s="159" t="s">
        <v>9727</v>
      </c>
      <c r="D1996" s="438" t="s">
        <v>7124</v>
      </c>
      <c r="E1996" s="361" t="str">
        <f t="shared" ca="1" si="121"/>
        <v>LOSS</v>
      </c>
      <c r="F1996" s="160"/>
      <c r="G1996" s="159" t="s">
        <v>9728</v>
      </c>
      <c r="H1996" s="160" t="s">
        <v>261</v>
      </c>
      <c r="I1996" s="160" t="s">
        <v>243</v>
      </c>
      <c r="J1996" s="159" t="s">
        <v>9729</v>
      </c>
      <c r="K1996" s="181" t="s">
        <v>9730</v>
      </c>
      <c r="L1996" s="27" t="s">
        <v>4749</v>
      </c>
      <c r="M1996" s="158" t="s">
        <v>6987</v>
      </c>
      <c r="N1996" s="158" t="s">
        <v>9731</v>
      </c>
      <c r="O1996" s="283">
        <f>6000000</f>
        <v>6000000</v>
      </c>
      <c r="P1996" s="161">
        <f>45000000*12</f>
        <v>540000000</v>
      </c>
      <c r="Q1996" s="161"/>
      <c r="R1996" s="162">
        <v>6000000</v>
      </c>
      <c r="S1996" s="163">
        <f>10000000*12</f>
        <v>120000000</v>
      </c>
      <c r="T1996" s="164"/>
      <c r="U1996" s="340">
        <v>45547</v>
      </c>
      <c r="V1996" s="340">
        <v>45911</v>
      </c>
      <c r="W1996" s="158" t="s">
        <v>250</v>
      </c>
      <c r="X1996" s="158"/>
      <c r="Y1996" s="34">
        <f t="shared" ca="1" si="122"/>
        <v>46290</v>
      </c>
      <c r="Z1996" s="35">
        <f t="shared" ca="1" si="117"/>
        <v>-379</v>
      </c>
      <c r="AA1996" s="27">
        <f t="shared" si="119"/>
        <v>9</v>
      </c>
      <c r="AB1996" s="27">
        <f t="shared" si="120"/>
        <v>2025</v>
      </c>
      <c r="AC1996" s="159"/>
      <c r="AD1996" s="159" t="s">
        <v>9732</v>
      </c>
      <c r="AE1996" s="184" t="s">
        <v>9733</v>
      </c>
      <c r="AF1996" s="201" t="s">
        <v>471</v>
      </c>
      <c r="AG1996" s="29" t="s">
        <v>9100</v>
      </c>
      <c r="AH1996" s="160" t="s">
        <v>7099</v>
      </c>
      <c r="AI1996" s="158"/>
      <c r="AJ1996" s="158"/>
      <c r="AK1996" s="158"/>
      <c r="AL1996" s="158"/>
      <c r="AM1996" s="158"/>
      <c r="AN1996" s="158"/>
      <c r="AO1996" s="158"/>
      <c r="AP1996" s="158">
        <v>232</v>
      </c>
      <c r="AQ1996" s="158"/>
      <c r="AR1996" s="507"/>
      <c r="AS1996" s="475"/>
      <c r="AT1996" s="160"/>
    </row>
    <row r="1997" spans="1:46" ht="15" hidden="1" customHeight="1">
      <c r="A1997" s="331">
        <v>1996</v>
      </c>
      <c r="B1997" s="159" t="s">
        <v>628</v>
      </c>
      <c r="C1997" s="28" t="s">
        <v>9306</v>
      </c>
      <c r="D1997" s="437" t="s">
        <v>7640</v>
      </c>
      <c r="E1997" s="361" t="str">
        <f t="shared" ca="1" si="121"/>
        <v>LOSS</v>
      </c>
      <c r="F1997" s="29"/>
      <c r="G1997" s="28" t="s">
        <v>9307</v>
      </c>
      <c r="H1997" s="29" t="s">
        <v>261</v>
      </c>
      <c r="I1997" s="29" t="s">
        <v>243</v>
      </c>
      <c r="J1997" s="28" t="s">
        <v>7698</v>
      </c>
      <c r="K1997" s="38" t="s">
        <v>9308</v>
      </c>
      <c r="L1997" s="27" t="s">
        <v>4749</v>
      </c>
      <c r="M1997" s="27" t="s">
        <v>329</v>
      </c>
      <c r="N1997" s="27" t="s">
        <v>6649</v>
      </c>
      <c r="O1997" s="162"/>
      <c r="P1997" s="161">
        <f>2975000*12</f>
        <v>35700000</v>
      </c>
      <c r="Q1997" s="161"/>
      <c r="R1997" s="162"/>
      <c r="S1997" s="163">
        <f>360000*12</f>
        <v>4320000</v>
      </c>
      <c r="T1997" s="164"/>
      <c r="U1997" s="340">
        <v>45658</v>
      </c>
      <c r="V1997" s="340">
        <v>46022</v>
      </c>
      <c r="W1997" s="158" t="s">
        <v>250</v>
      </c>
      <c r="X1997" s="158"/>
      <c r="Y1997" s="34">
        <f t="shared" ca="1" si="122"/>
        <v>46290</v>
      </c>
      <c r="Z1997" s="35">
        <f t="shared" ca="1" si="117"/>
        <v>-268</v>
      </c>
      <c r="AA1997" s="27">
        <f t="shared" si="119"/>
        <v>12</v>
      </c>
      <c r="AB1997" s="27">
        <f t="shared" si="120"/>
        <v>2025</v>
      </c>
      <c r="AC1997" s="28" t="s">
        <v>9734</v>
      </c>
      <c r="AD1997" s="159" t="s">
        <v>9735</v>
      </c>
      <c r="AE1997" s="184" t="s">
        <v>9736</v>
      </c>
      <c r="AF1997" s="201" t="s">
        <v>471</v>
      </c>
      <c r="AG1997" s="160"/>
      <c r="AH1997" s="174" t="s">
        <v>634</v>
      </c>
      <c r="AI1997" s="158"/>
      <c r="AJ1997" s="158"/>
      <c r="AK1997" s="158"/>
      <c r="AL1997" s="158"/>
      <c r="AM1997" s="158"/>
      <c r="AN1997" s="158"/>
      <c r="AO1997" s="158"/>
      <c r="AP1997" s="158">
        <v>413</v>
      </c>
      <c r="AQ1997" s="158"/>
      <c r="AR1997" s="507"/>
      <c r="AS1997" s="475"/>
      <c r="AT1997" s="160"/>
    </row>
    <row r="1998" spans="1:46" ht="15" hidden="1" customHeight="1">
      <c r="A1998" s="331">
        <v>1997</v>
      </c>
      <c r="B1998" s="159" t="s">
        <v>4218</v>
      </c>
      <c r="C1998" s="159" t="s">
        <v>8374</v>
      </c>
      <c r="D1998" s="438" t="s">
        <v>9737</v>
      </c>
      <c r="E1998" s="361" t="str">
        <f t="shared" ca="1" si="121"/>
        <v>LOSS</v>
      </c>
      <c r="F1998" s="160" t="s">
        <v>9738</v>
      </c>
      <c r="G1998" s="159" t="s">
        <v>9739</v>
      </c>
      <c r="H1998" s="160" t="s">
        <v>261</v>
      </c>
      <c r="I1998" s="160" t="s">
        <v>243</v>
      </c>
      <c r="J1998" s="159" t="s">
        <v>8377</v>
      </c>
      <c r="K1998" s="181" t="s">
        <v>8378</v>
      </c>
      <c r="L1998" s="158" t="s">
        <v>6895</v>
      </c>
      <c r="M1998" s="158" t="s">
        <v>329</v>
      </c>
      <c r="N1998" s="158" t="s">
        <v>494</v>
      </c>
      <c r="O1998" s="162"/>
      <c r="P1998" s="161">
        <f>4300448*12</f>
        <v>51605376</v>
      </c>
      <c r="Q1998" s="161"/>
      <c r="R1998" s="162"/>
      <c r="S1998" s="163">
        <f>3894275*12</f>
        <v>46731300</v>
      </c>
      <c r="T1998" s="164"/>
      <c r="U1998" s="340">
        <v>45617</v>
      </c>
      <c r="V1998" s="340">
        <v>45981</v>
      </c>
      <c r="W1998" s="158" t="s">
        <v>250</v>
      </c>
      <c r="X1998" s="158"/>
      <c r="Y1998" s="34">
        <f t="shared" ca="1" si="122"/>
        <v>46290</v>
      </c>
      <c r="Z1998" s="35">
        <f t="shared" ca="1" si="117"/>
        <v>-309</v>
      </c>
      <c r="AA1998" s="158">
        <f t="shared" si="119"/>
        <v>11</v>
      </c>
      <c r="AB1998" s="158">
        <f t="shared" si="120"/>
        <v>2025</v>
      </c>
      <c r="AC1998" s="194" t="s">
        <v>9740</v>
      </c>
      <c r="AD1998" s="159" t="s">
        <v>9741</v>
      </c>
      <c r="AE1998" s="184" t="s">
        <v>9742</v>
      </c>
      <c r="AF1998" s="201" t="s">
        <v>8995</v>
      </c>
      <c r="AG1998" s="160"/>
      <c r="AH1998" s="160"/>
      <c r="AI1998" s="158"/>
      <c r="AJ1998" s="158"/>
      <c r="AK1998" s="158"/>
      <c r="AL1998" s="158"/>
      <c r="AM1998" s="158"/>
      <c r="AN1998" s="158"/>
      <c r="AO1998" s="158"/>
      <c r="AP1998" s="158">
        <v>432</v>
      </c>
      <c r="AQ1998" s="158"/>
      <c r="AR1998" s="507"/>
      <c r="AS1998" s="475"/>
      <c r="AT1998" s="160"/>
    </row>
    <row r="1999" spans="1:46" ht="15" hidden="1" customHeight="1">
      <c r="A1999" s="331">
        <v>1998</v>
      </c>
      <c r="B1999" s="159" t="s">
        <v>1043</v>
      </c>
      <c r="C1999" s="159" t="s">
        <v>2331</v>
      </c>
      <c r="D1999" s="437" t="s">
        <v>6810</v>
      </c>
      <c r="E1999" s="361" t="str">
        <f t="shared" ca="1" si="121"/>
        <v>LOSS</v>
      </c>
      <c r="F1999" s="160" t="s">
        <v>9743</v>
      </c>
      <c r="G1999" s="159" t="s">
        <v>9744</v>
      </c>
      <c r="H1999" s="160" t="s">
        <v>261</v>
      </c>
      <c r="I1999" s="160" t="s">
        <v>243</v>
      </c>
      <c r="J1999" s="159" t="s">
        <v>9745</v>
      </c>
      <c r="K1999" s="160" t="s">
        <v>9746</v>
      </c>
      <c r="L1999" s="158" t="s">
        <v>4749</v>
      </c>
      <c r="M1999" s="158" t="s">
        <v>9747</v>
      </c>
      <c r="N1999" s="158" t="s">
        <v>9748</v>
      </c>
      <c r="O1999" s="162"/>
      <c r="P1999" s="161">
        <f>39500000*12</f>
        <v>474000000</v>
      </c>
      <c r="Q1999" s="161"/>
      <c r="R1999" s="162"/>
      <c r="S1999" s="163">
        <f>12500000*12</f>
        <v>150000000</v>
      </c>
      <c r="T1999" s="164"/>
      <c r="U1999" s="340">
        <v>45566</v>
      </c>
      <c r="V1999" s="340">
        <v>45930</v>
      </c>
      <c r="W1999" s="158" t="s">
        <v>250</v>
      </c>
      <c r="X1999" s="158"/>
      <c r="Y1999" s="34">
        <f t="shared" ca="1" si="122"/>
        <v>46290</v>
      </c>
      <c r="Z1999" s="35">
        <f t="shared" ca="1" si="117"/>
        <v>-360</v>
      </c>
      <c r="AA1999" s="158">
        <f t="shared" si="119"/>
        <v>9</v>
      </c>
      <c r="AB1999" s="158">
        <f t="shared" si="120"/>
        <v>2025</v>
      </c>
      <c r="AC1999" s="159"/>
      <c r="AD1999" s="159" t="s">
        <v>9749</v>
      </c>
      <c r="AE1999" s="184" t="s">
        <v>9750</v>
      </c>
      <c r="AF1999" s="201" t="s">
        <v>8995</v>
      </c>
      <c r="AG1999" s="160"/>
      <c r="AH1999" s="160" t="s">
        <v>8922</v>
      </c>
      <c r="AI1999" s="158"/>
      <c r="AJ1999" s="158"/>
      <c r="AK1999" s="158"/>
      <c r="AL1999" s="158"/>
      <c r="AM1999" s="158"/>
      <c r="AN1999" s="158"/>
      <c r="AO1999" s="158"/>
      <c r="AP1999" s="158">
        <v>430</v>
      </c>
      <c r="AQ1999" s="158"/>
      <c r="AR1999" s="507"/>
      <c r="AS1999" s="475"/>
      <c r="AT1999" s="160"/>
    </row>
    <row r="2000" spans="1:46" ht="15" hidden="1" customHeight="1">
      <c r="A2000" s="331">
        <v>1999</v>
      </c>
      <c r="B2000" s="28" t="s">
        <v>348</v>
      </c>
      <c r="C2000" s="159" t="s">
        <v>9751</v>
      </c>
      <c r="D2000" s="448" t="s">
        <v>474</v>
      </c>
      <c r="E2000" s="361" t="str">
        <f t="shared" ca="1" si="121"/>
        <v>LOSS</v>
      </c>
      <c r="F2000" s="160"/>
      <c r="G2000" s="159" t="s">
        <v>9752</v>
      </c>
      <c r="H2000" s="160" t="s">
        <v>2748</v>
      </c>
      <c r="I2000" s="160" t="s">
        <v>242</v>
      </c>
      <c r="J2000" s="159" t="s">
        <v>9753</v>
      </c>
      <c r="K2000" s="181" t="s">
        <v>9754</v>
      </c>
      <c r="L2000" s="158"/>
      <c r="M2000" s="158" t="s">
        <v>353</v>
      </c>
      <c r="N2000" s="158" t="s">
        <v>362</v>
      </c>
      <c r="O2000" s="162"/>
      <c r="P2000" s="161">
        <v>30381818</v>
      </c>
      <c r="Q2000" s="161"/>
      <c r="R2000" s="162"/>
      <c r="S2000" s="163">
        <v>3477743</v>
      </c>
      <c r="T2000" s="164"/>
      <c r="U2000" s="340">
        <v>45616</v>
      </c>
      <c r="V2000" s="340">
        <v>45657</v>
      </c>
      <c r="W2000" s="158" t="s">
        <v>250</v>
      </c>
      <c r="X2000" s="158"/>
      <c r="Y2000" s="34">
        <f t="shared" ca="1" si="122"/>
        <v>46290</v>
      </c>
      <c r="Z2000" s="35">
        <f t="shared" ca="1" si="117"/>
        <v>-633</v>
      </c>
      <c r="AA2000" s="158">
        <f>MONTH(Table1[[#This Row],[End]])</f>
        <v>12</v>
      </c>
      <c r="AB2000" s="158">
        <f>YEAR(Table1[[#This Row],[End]])</f>
        <v>2024</v>
      </c>
      <c r="AC2000" s="159"/>
      <c r="AD2000" s="159" t="s">
        <v>9755</v>
      </c>
      <c r="AE2000" s="184" t="s">
        <v>9756</v>
      </c>
      <c r="AF2000" s="201" t="s">
        <v>9641</v>
      </c>
      <c r="AG2000" s="160"/>
      <c r="AH2000" s="160"/>
      <c r="AI2000" s="158"/>
      <c r="AJ2000" s="158"/>
      <c r="AK2000" s="158"/>
      <c r="AL2000" s="158"/>
      <c r="AM2000" s="158"/>
      <c r="AN2000" s="158"/>
      <c r="AO2000" s="158"/>
      <c r="AP2000" s="158" t="s">
        <v>9757</v>
      </c>
      <c r="AQ2000" s="158"/>
      <c r="AR2000" s="507"/>
      <c r="AS2000" s="475"/>
      <c r="AT2000" s="160"/>
    </row>
    <row r="2001" spans="1:46" ht="15" hidden="1" customHeight="1">
      <c r="A2001" s="331">
        <v>2000</v>
      </c>
      <c r="B2001" s="159" t="s">
        <v>169</v>
      </c>
      <c r="C2001" s="159" t="s">
        <v>2322</v>
      </c>
      <c r="D2001" s="437" t="s">
        <v>862</v>
      </c>
      <c r="E2001" s="361" t="str">
        <f t="shared" ca="1" si="121"/>
        <v>LOSS</v>
      </c>
      <c r="F2001" s="160"/>
      <c r="G2001" s="159" t="s">
        <v>9758</v>
      </c>
      <c r="H2001" s="160" t="s">
        <v>2748</v>
      </c>
      <c r="I2001" s="160" t="s">
        <v>242</v>
      </c>
      <c r="J2001" s="159" t="s">
        <v>5942</v>
      </c>
      <c r="K2001" s="181"/>
      <c r="L2001" s="158"/>
      <c r="M2001" s="158" t="s">
        <v>365</v>
      </c>
      <c r="N2001" s="158" t="s">
        <v>9572</v>
      </c>
      <c r="O2001" s="162"/>
      <c r="P2001" s="161">
        <f>80000000*12</f>
        <v>960000000</v>
      </c>
      <c r="Q2001" s="161"/>
      <c r="R2001" s="162"/>
      <c r="S2001" s="163">
        <v>18000000</v>
      </c>
      <c r="T2001" s="164"/>
      <c r="U2001" s="340">
        <v>45597</v>
      </c>
      <c r="V2001" s="340">
        <v>45961</v>
      </c>
      <c r="W2001" s="158" t="s">
        <v>17</v>
      </c>
      <c r="X2001" s="158"/>
      <c r="Y2001" s="34">
        <f t="shared" ca="1" si="122"/>
        <v>46290</v>
      </c>
      <c r="Z2001" s="35">
        <f t="shared" ca="1" si="117"/>
        <v>-329</v>
      </c>
      <c r="AA2001" s="158">
        <f t="shared" ref="AA2001:AA2032" si="123">MONTH(V2001)</f>
        <v>10</v>
      </c>
      <c r="AB2001" s="158">
        <f t="shared" ref="AB2001:AB2032" si="124">YEAR(V2001)</f>
        <v>2025</v>
      </c>
      <c r="AC2001" s="159">
        <v>4500021658</v>
      </c>
      <c r="AD2001" s="159" t="s">
        <v>9759</v>
      </c>
      <c r="AE2001" s="184" t="s">
        <v>9760</v>
      </c>
      <c r="AF2001" s="201" t="s">
        <v>333</v>
      </c>
      <c r="AG2001" s="160"/>
      <c r="AH2001" s="160"/>
      <c r="AI2001" s="158"/>
      <c r="AJ2001" s="158"/>
      <c r="AK2001" s="158"/>
      <c r="AL2001" s="158"/>
      <c r="AM2001" s="158"/>
      <c r="AN2001" s="158"/>
      <c r="AO2001" s="158"/>
      <c r="AP2001" s="158" t="s">
        <v>9761</v>
      </c>
      <c r="AQ2001" s="158"/>
      <c r="AR2001" s="507"/>
      <c r="AS2001" s="475"/>
      <c r="AT2001" s="160"/>
    </row>
    <row r="2002" spans="1:46" ht="15" hidden="1" customHeight="1">
      <c r="A2002" s="331">
        <v>2001</v>
      </c>
      <c r="B2002" s="159" t="s">
        <v>169</v>
      </c>
      <c r="C2002" s="159" t="s">
        <v>2322</v>
      </c>
      <c r="D2002" s="438" t="s">
        <v>862</v>
      </c>
      <c r="E2002" s="361" t="str">
        <f t="shared" ca="1" si="121"/>
        <v>LOSS</v>
      </c>
      <c r="F2002" s="160"/>
      <c r="G2002" s="159" t="s">
        <v>9758</v>
      </c>
      <c r="H2002" s="160" t="s">
        <v>2748</v>
      </c>
      <c r="I2002" s="160" t="s">
        <v>242</v>
      </c>
      <c r="J2002" s="159" t="s">
        <v>8407</v>
      </c>
      <c r="K2002" s="160"/>
      <c r="L2002" s="158"/>
      <c r="M2002" s="158" t="s">
        <v>8854</v>
      </c>
      <c r="N2002" s="158" t="s">
        <v>7088</v>
      </c>
      <c r="O2002" s="162"/>
      <c r="P2002" s="161">
        <f>13000000*12</f>
        <v>156000000</v>
      </c>
      <c r="Q2002" s="161"/>
      <c r="R2002" s="162"/>
      <c r="S2002" s="163">
        <v>18000000</v>
      </c>
      <c r="T2002" s="164"/>
      <c r="U2002" s="340">
        <v>45654</v>
      </c>
      <c r="V2002" s="340">
        <v>46018</v>
      </c>
      <c r="W2002" s="158" t="s">
        <v>17</v>
      </c>
      <c r="X2002" s="158"/>
      <c r="Y2002" s="34">
        <f t="shared" ca="1" si="122"/>
        <v>46290</v>
      </c>
      <c r="Z2002" s="35">
        <f t="shared" ca="1" si="117"/>
        <v>-272</v>
      </c>
      <c r="AA2002" s="158">
        <f t="shared" si="123"/>
        <v>12</v>
      </c>
      <c r="AB2002" s="158">
        <f t="shared" si="124"/>
        <v>2025</v>
      </c>
      <c r="AC2002" s="159">
        <v>4500022131</v>
      </c>
      <c r="AD2002" s="159" t="s">
        <v>9762</v>
      </c>
      <c r="AE2002" s="184" t="s">
        <v>9763</v>
      </c>
      <c r="AF2002" s="201" t="s">
        <v>333</v>
      </c>
      <c r="AG2002" s="160"/>
      <c r="AH2002" s="160"/>
      <c r="AI2002" s="158"/>
      <c r="AJ2002" s="158"/>
      <c r="AK2002" s="158"/>
      <c r="AL2002" s="158"/>
      <c r="AM2002" s="158"/>
      <c r="AN2002" s="158"/>
      <c r="AO2002" s="158"/>
      <c r="AP2002" s="158" t="s">
        <v>9764</v>
      </c>
      <c r="AQ2002" s="158"/>
      <c r="AR2002" s="507"/>
      <c r="AS2002" s="475"/>
      <c r="AT2002" s="160"/>
    </row>
    <row r="2003" spans="1:46" ht="15" hidden="1" customHeight="1">
      <c r="A2003" s="331">
        <v>2002</v>
      </c>
      <c r="B2003" s="159" t="s">
        <v>169</v>
      </c>
      <c r="C2003" s="159" t="s">
        <v>8844</v>
      </c>
      <c r="D2003" s="437" t="s">
        <v>862</v>
      </c>
      <c r="E2003" s="361" t="str">
        <f t="shared" ca="1" si="121"/>
        <v>LOSS</v>
      </c>
      <c r="F2003" s="159" t="s">
        <v>9765</v>
      </c>
      <c r="G2003" s="159" t="s">
        <v>9766</v>
      </c>
      <c r="H2003" s="160" t="s">
        <v>2748</v>
      </c>
      <c r="I2003" s="160" t="s">
        <v>242</v>
      </c>
      <c r="J2003" s="159" t="s">
        <v>9767</v>
      </c>
      <c r="K2003" s="160"/>
      <c r="L2003" s="158"/>
      <c r="M2003" s="158" t="s">
        <v>8854</v>
      </c>
      <c r="N2003" s="158"/>
      <c r="O2003" s="162"/>
      <c r="P2003" s="161">
        <f>168500000*12</f>
        <v>2022000000</v>
      </c>
      <c r="Q2003" s="161"/>
      <c r="R2003" s="162"/>
      <c r="S2003" s="163">
        <v>72000000</v>
      </c>
      <c r="T2003" s="164"/>
      <c r="U2003" s="340">
        <v>45550</v>
      </c>
      <c r="V2003" s="340">
        <v>45914</v>
      </c>
      <c r="W2003" s="158" t="s">
        <v>17</v>
      </c>
      <c r="X2003" s="158"/>
      <c r="Y2003" s="34">
        <f t="shared" ca="1" si="122"/>
        <v>46290</v>
      </c>
      <c r="Z2003" s="35">
        <f t="shared" ca="1" si="117"/>
        <v>-376</v>
      </c>
      <c r="AA2003" s="158">
        <f t="shared" si="123"/>
        <v>9</v>
      </c>
      <c r="AB2003" s="158">
        <f t="shared" si="124"/>
        <v>2025</v>
      </c>
      <c r="AC2003" s="159">
        <v>4500021320</v>
      </c>
      <c r="AD2003" s="159" t="s">
        <v>9768</v>
      </c>
      <c r="AE2003" s="184" t="s">
        <v>9769</v>
      </c>
      <c r="AF2003" s="201" t="s">
        <v>333</v>
      </c>
      <c r="AG2003" s="160"/>
      <c r="AH2003" s="160"/>
      <c r="AI2003" s="158"/>
      <c r="AJ2003" s="158"/>
      <c r="AK2003" s="158"/>
      <c r="AL2003" s="158"/>
      <c r="AM2003" s="158"/>
      <c r="AN2003" s="158"/>
      <c r="AO2003" s="158"/>
      <c r="AP2003" s="158" t="s">
        <v>9770</v>
      </c>
      <c r="AQ2003" s="158"/>
      <c r="AR2003" s="507"/>
      <c r="AS2003" s="475"/>
      <c r="AT2003" s="160"/>
    </row>
    <row r="2004" spans="1:46" ht="15" hidden="1" customHeight="1">
      <c r="A2004" s="331">
        <v>2003</v>
      </c>
      <c r="B2004" s="159" t="s">
        <v>169</v>
      </c>
      <c r="C2004" s="159" t="s">
        <v>322</v>
      </c>
      <c r="D2004" s="438" t="s">
        <v>862</v>
      </c>
      <c r="E2004" s="361" t="str">
        <f t="shared" ca="1" si="121"/>
        <v>LOSS</v>
      </c>
      <c r="F2004" s="160" t="s">
        <v>9771</v>
      </c>
      <c r="G2004" s="159" t="s">
        <v>9772</v>
      </c>
      <c r="H2004" s="160" t="s">
        <v>2748</v>
      </c>
      <c r="I2004" s="160" t="s">
        <v>242</v>
      </c>
      <c r="J2004" s="159" t="s">
        <v>1476</v>
      </c>
      <c r="K2004" s="160"/>
      <c r="L2004" s="158"/>
      <c r="M2004" s="158" t="s">
        <v>329</v>
      </c>
      <c r="N2004" s="158" t="s">
        <v>9773</v>
      </c>
      <c r="O2004" s="162"/>
      <c r="P2004" s="161">
        <f>1400000*12</f>
        <v>16800000</v>
      </c>
      <c r="Q2004" s="161"/>
      <c r="R2004" s="162"/>
      <c r="S2004" s="163">
        <v>18000000</v>
      </c>
      <c r="T2004" s="164"/>
      <c r="U2004" s="340">
        <v>45650</v>
      </c>
      <c r="V2004" s="340">
        <v>46014</v>
      </c>
      <c r="W2004" s="158" t="s">
        <v>17</v>
      </c>
      <c r="X2004" s="158"/>
      <c r="Y2004" s="34">
        <f t="shared" ca="1" si="122"/>
        <v>46290</v>
      </c>
      <c r="Z2004" s="35">
        <f t="shared" ca="1" si="117"/>
        <v>-276</v>
      </c>
      <c r="AA2004" s="158">
        <f t="shared" si="123"/>
        <v>12</v>
      </c>
      <c r="AB2004" s="158">
        <f t="shared" si="124"/>
        <v>2025</v>
      </c>
      <c r="AC2004" s="159">
        <v>4500022979</v>
      </c>
      <c r="AD2004" s="159" t="s">
        <v>9774</v>
      </c>
      <c r="AE2004" s="184" t="s">
        <v>9775</v>
      </c>
      <c r="AF2004" s="201" t="s">
        <v>333</v>
      </c>
      <c r="AG2004" s="160"/>
      <c r="AH2004" s="160"/>
      <c r="AI2004" s="158"/>
      <c r="AJ2004" s="158"/>
      <c r="AK2004" s="158"/>
      <c r="AL2004" s="158"/>
      <c r="AM2004" s="158"/>
      <c r="AN2004" s="158"/>
      <c r="AO2004" s="158"/>
      <c r="AP2004" s="158" t="s">
        <v>9776</v>
      </c>
      <c r="AQ2004" s="158"/>
      <c r="AR2004" s="507"/>
      <c r="AS2004" s="475"/>
      <c r="AT2004" s="160"/>
    </row>
    <row r="2005" spans="1:46" ht="15" hidden="1" customHeight="1">
      <c r="A2005" s="331">
        <v>2004</v>
      </c>
      <c r="B2005" s="159" t="s">
        <v>169</v>
      </c>
      <c r="C2005" s="159" t="s">
        <v>9777</v>
      </c>
      <c r="D2005" s="437" t="s">
        <v>862</v>
      </c>
      <c r="E2005" s="361" t="str">
        <f t="shared" ca="1" si="121"/>
        <v>LOSS</v>
      </c>
      <c r="F2005" s="160" t="s">
        <v>9778</v>
      </c>
      <c r="G2005" s="159" t="s">
        <v>9779</v>
      </c>
      <c r="H2005" s="160" t="s">
        <v>2748</v>
      </c>
      <c r="I2005" s="160" t="s">
        <v>242</v>
      </c>
      <c r="J2005" s="159" t="s">
        <v>2237</v>
      </c>
      <c r="K2005" s="160"/>
      <c r="L2005" s="158"/>
      <c r="M2005" s="158" t="s">
        <v>9780</v>
      </c>
      <c r="N2005" s="158" t="s">
        <v>6755</v>
      </c>
      <c r="O2005" s="162"/>
      <c r="P2005" s="161">
        <f>24500000*12</f>
        <v>294000000</v>
      </c>
      <c r="Q2005" s="161"/>
      <c r="R2005" s="162"/>
      <c r="S2005" s="163">
        <v>18000000</v>
      </c>
      <c r="T2005" s="164"/>
      <c r="U2005" s="340">
        <v>45625</v>
      </c>
      <c r="V2005" s="340">
        <v>45989</v>
      </c>
      <c r="W2005" s="158" t="s">
        <v>17</v>
      </c>
      <c r="X2005" s="158"/>
      <c r="Y2005" s="34">
        <f t="shared" ca="1" si="122"/>
        <v>46290</v>
      </c>
      <c r="Z2005" s="35">
        <f t="shared" ca="1" si="117"/>
        <v>-301</v>
      </c>
      <c r="AA2005" s="158">
        <f t="shared" si="123"/>
        <v>11</v>
      </c>
      <c r="AB2005" s="158">
        <f t="shared" si="124"/>
        <v>2025</v>
      </c>
      <c r="AC2005" s="159">
        <v>4500022185</v>
      </c>
      <c r="AD2005" s="159" t="s">
        <v>9781</v>
      </c>
      <c r="AE2005" s="184" t="s">
        <v>9782</v>
      </c>
      <c r="AF2005" s="201" t="s">
        <v>333</v>
      </c>
      <c r="AG2005" s="160"/>
      <c r="AH2005" s="160"/>
      <c r="AI2005" s="158"/>
      <c r="AJ2005" s="158"/>
      <c r="AK2005" s="158"/>
      <c r="AL2005" s="158"/>
      <c r="AM2005" s="158"/>
      <c r="AN2005" s="158"/>
      <c r="AO2005" s="158"/>
      <c r="AP2005" s="158" t="s">
        <v>9783</v>
      </c>
      <c r="AQ2005" s="158"/>
      <c r="AR2005" s="507"/>
      <c r="AS2005" s="475"/>
      <c r="AT2005" s="160"/>
    </row>
    <row r="2006" spans="1:46" ht="15" hidden="1" customHeight="1">
      <c r="A2006" s="331">
        <v>2005</v>
      </c>
      <c r="B2006" s="159" t="s">
        <v>169</v>
      </c>
      <c r="C2006" s="159" t="s">
        <v>1192</v>
      </c>
      <c r="D2006" s="438" t="s">
        <v>862</v>
      </c>
      <c r="E2006" s="361" t="str">
        <f t="shared" ca="1" si="121"/>
        <v>LOSS</v>
      </c>
      <c r="F2006" s="160" t="s">
        <v>9784</v>
      </c>
      <c r="G2006" s="159" t="s">
        <v>9785</v>
      </c>
      <c r="H2006" s="160" t="s">
        <v>2748</v>
      </c>
      <c r="I2006" s="160" t="s">
        <v>242</v>
      </c>
      <c r="J2006" s="159" t="s">
        <v>9786</v>
      </c>
      <c r="K2006" s="160"/>
      <c r="L2006" s="158"/>
      <c r="M2006" s="158" t="s">
        <v>8854</v>
      </c>
      <c r="N2006" s="158" t="s">
        <v>9374</v>
      </c>
      <c r="O2006" s="162"/>
      <c r="P2006" s="161"/>
      <c r="Q2006" s="161"/>
      <c r="R2006" s="162"/>
      <c r="S2006" s="163">
        <v>18000000</v>
      </c>
      <c r="T2006" s="164"/>
      <c r="U2006" s="340">
        <v>45627</v>
      </c>
      <c r="V2006" s="340">
        <v>45991</v>
      </c>
      <c r="W2006" s="158" t="s">
        <v>17</v>
      </c>
      <c r="X2006" s="158"/>
      <c r="Y2006" s="34">
        <f t="shared" ca="1" si="122"/>
        <v>46290</v>
      </c>
      <c r="Z2006" s="35">
        <f t="shared" ca="1" si="117"/>
        <v>-299</v>
      </c>
      <c r="AA2006" s="158">
        <f t="shared" si="123"/>
        <v>11</v>
      </c>
      <c r="AB2006" s="158">
        <f t="shared" si="124"/>
        <v>2025</v>
      </c>
      <c r="AC2006" s="159">
        <v>4500021970</v>
      </c>
      <c r="AD2006" s="159" t="s">
        <v>9787</v>
      </c>
      <c r="AE2006" s="184" t="s">
        <v>9788</v>
      </c>
      <c r="AF2006" s="201" t="s">
        <v>333</v>
      </c>
      <c r="AG2006" s="160"/>
      <c r="AH2006" s="160"/>
      <c r="AI2006" s="158"/>
      <c r="AJ2006" s="158"/>
      <c r="AK2006" s="158"/>
      <c r="AL2006" s="158"/>
      <c r="AM2006" s="158"/>
      <c r="AN2006" s="158"/>
      <c r="AO2006" s="158"/>
      <c r="AP2006" s="158" t="s">
        <v>9789</v>
      </c>
      <c r="AQ2006" s="158"/>
      <c r="AR2006" s="507"/>
      <c r="AS2006" s="475"/>
      <c r="AT2006" s="160"/>
    </row>
    <row r="2007" spans="1:46" ht="15" hidden="1" customHeight="1">
      <c r="A2007" s="331">
        <v>2006</v>
      </c>
      <c r="B2007" s="159" t="s">
        <v>2615</v>
      </c>
      <c r="C2007" s="159" t="s">
        <v>8333</v>
      </c>
      <c r="D2007" s="437" t="s">
        <v>6750</v>
      </c>
      <c r="E2007" s="361" t="str">
        <f t="shared" ca="1" si="121"/>
        <v>LOSS</v>
      </c>
      <c r="F2007" s="160"/>
      <c r="G2007" s="160" t="s">
        <v>9790</v>
      </c>
      <c r="H2007" s="160" t="s">
        <v>2748</v>
      </c>
      <c r="I2007" s="160" t="s">
        <v>346</v>
      </c>
      <c r="J2007" s="159" t="s">
        <v>9041</v>
      </c>
      <c r="K2007" s="160"/>
      <c r="L2007" s="158"/>
      <c r="M2007" s="158" t="s">
        <v>353</v>
      </c>
      <c r="N2007" s="158" t="s">
        <v>9791</v>
      </c>
      <c r="O2007" s="162"/>
      <c r="P2007" s="161">
        <f>15364800*12</f>
        <v>184377600</v>
      </c>
      <c r="Q2007" s="161"/>
      <c r="R2007" s="162"/>
      <c r="S2007" s="163">
        <v>36000000</v>
      </c>
      <c r="T2007" s="164"/>
      <c r="U2007" s="340">
        <v>45599</v>
      </c>
      <c r="V2007" s="340">
        <v>45963</v>
      </c>
      <c r="W2007" s="158" t="s">
        <v>250</v>
      </c>
      <c r="X2007" s="158"/>
      <c r="Y2007" s="34">
        <f t="shared" ca="1" si="122"/>
        <v>46290</v>
      </c>
      <c r="Z2007" s="35">
        <f t="shared" ca="1" si="117"/>
        <v>-327</v>
      </c>
      <c r="AA2007" s="27">
        <f t="shared" si="123"/>
        <v>11</v>
      </c>
      <c r="AB2007" s="158">
        <f t="shared" si="124"/>
        <v>2025</v>
      </c>
      <c r="AC2007" s="159">
        <v>4500021579</v>
      </c>
      <c r="AD2007" s="159" t="s">
        <v>9792</v>
      </c>
      <c r="AE2007" s="184" t="s">
        <v>9793</v>
      </c>
      <c r="AF2007" s="201" t="s">
        <v>333</v>
      </c>
      <c r="AG2007" s="160"/>
      <c r="AH2007" s="174" t="s">
        <v>6757</v>
      </c>
      <c r="AI2007" s="158"/>
      <c r="AJ2007" s="158"/>
      <c r="AK2007" s="158"/>
      <c r="AL2007" s="158"/>
      <c r="AM2007" s="158"/>
      <c r="AN2007" s="158"/>
      <c r="AO2007" s="158"/>
      <c r="AP2007" s="158">
        <v>435</v>
      </c>
      <c r="AQ2007" s="158"/>
      <c r="AR2007" s="507"/>
      <c r="AS2007" s="475"/>
      <c r="AT2007" s="160"/>
    </row>
    <row r="2008" spans="1:46" ht="15" hidden="1" customHeight="1">
      <c r="A2008" s="331">
        <v>2007</v>
      </c>
      <c r="B2008" s="159" t="s">
        <v>2300</v>
      </c>
      <c r="C2008" s="159" t="s">
        <v>624</v>
      </c>
      <c r="D2008" s="438" t="s">
        <v>9794</v>
      </c>
      <c r="E2008" s="361" t="str">
        <f t="shared" ca="1" si="121"/>
        <v>LOSS</v>
      </c>
      <c r="F2008" s="160"/>
      <c r="G2008" s="159"/>
      <c r="H2008" s="160" t="s">
        <v>2748</v>
      </c>
      <c r="I2008" s="160" t="s">
        <v>346</v>
      </c>
      <c r="J2008" s="159" t="s">
        <v>9795</v>
      </c>
      <c r="K2008" s="160"/>
      <c r="L2008" s="158"/>
      <c r="M2008" s="158" t="s">
        <v>329</v>
      </c>
      <c r="N2008" s="158" t="s">
        <v>6802</v>
      </c>
      <c r="O2008" s="162"/>
      <c r="P2008" s="161">
        <f>5000000*12</f>
        <v>60000000</v>
      </c>
      <c r="Q2008" s="161"/>
      <c r="R2008" s="162"/>
      <c r="S2008" s="163">
        <v>10000000</v>
      </c>
      <c r="T2008" s="164"/>
      <c r="U2008" s="340">
        <v>45627</v>
      </c>
      <c r="V2008" s="340">
        <v>45991</v>
      </c>
      <c r="W2008" s="158" t="s">
        <v>250</v>
      </c>
      <c r="X2008" s="158"/>
      <c r="Y2008" s="34">
        <f t="shared" ca="1" si="122"/>
        <v>46290</v>
      </c>
      <c r="Z2008" s="35">
        <f t="shared" ref="Z2008:Z2071" ca="1" si="125">V2008-Y2008</f>
        <v>-299</v>
      </c>
      <c r="AA2008" s="158">
        <f t="shared" si="123"/>
        <v>11</v>
      </c>
      <c r="AB2008" s="158">
        <f t="shared" si="124"/>
        <v>2025</v>
      </c>
      <c r="AC2008" s="159">
        <v>4500021660</v>
      </c>
      <c r="AD2008" s="159" t="s">
        <v>9796</v>
      </c>
      <c r="AE2008" s="184" t="s">
        <v>9797</v>
      </c>
      <c r="AF2008" s="201" t="s">
        <v>333</v>
      </c>
      <c r="AG2008" s="160"/>
      <c r="AH2008" s="160"/>
      <c r="AI2008" s="158"/>
      <c r="AJ2008" s="158"/>
      <c r="AK2008" s="158"/>
      <c r="AL2008" s="158"/>
      <c r="AM2008" s="158"/>
      <c r="AN2008" s="158"/>
      <c r="AO2008" s="158"/>
      <c r="AP2008" s="158" t="s">
        <v>9798</v>
      </c>
      <c r="AQ2008" s="158"/>
      <c r="AR2008" s="507"/>
      <c r="AS2008" s="475"/>
      <c r="AT2008" s="160"/>
    </row>
    <row r="2009" spans="1:46" ht="15" hidden="1" customHeight="1">
      <c r="A2009" s="331">
        <v>2008</v>
      </c>
      <c r="B2009" s="159" t="s">
        <v>593</v>
      </c>
      <c r="C2009" s="159" t="s">
        <v>2612</v>
      </c>
      <c r="D2009" s="437" t="s">
        <v>9799</v>
      </c>
      <c r="E2009" s="361" t="str">
        <f t="shared" ca="1" si="121"/>
        <v>LOSS</v>
      </c>
      <c r="F2009" s="160" t="s">
        <v>9800</v>
      </c>
      <c r="G2009" s="159" t="s">
        <v>9801</v>
      </c>
      <c r="H2009" s="160" t="s">
        <v>2748</v>
      </c>
      <c r="I2009" s="160" t="s">
        <v>346</v>
      </c>
      <c r="J2009" s="159"/>
      <c r="K2009" s="181" t="s">
        <v>9802</v>
      </c>
      <c r="L2009" s="158"/>
      <c r="M2009" s="158" t="s">
        <v>365</v>
      </c>
      <c r="N2009" s="158"/>
      <c r="O2009" s="162"/>
      <c r="P2009" s="161">
        <f>5177500*12</f>
        <v>62130000</v>
      </c>
      <c r="Q2009" s="161"/>
      <c r="R2009" s="162"/>
      <c r="S2009" s="163">
        <v>25080000</v>
      </c>
      <c r="T2009" s="164"/>
      <c r="U2009" s="340">
        <v>45566</v>
      </c>
      <c r="V2009" s="340">
        <v>45930</v>
      </c>
      <c r="W2009" s="158" t="s">
        <v>250</v>
      </c>
      <c r="X2009" s="158"/>
      <c r="Y2009" s="34">
        <f t="shared" ca="1" si="122"/>
        <v>46290</v>
      </c>
      <c r="Z2009" s="35">
        <f t="shared" ca="1" si="125"/>
        <v>-360</v>
      </c>
      <c r="AA2009" s="158">
        <f t="shared" si="123"/>
        <v>9</v>
      </c>
      <c r="AB2009" s="158">
        <f t="shared" si="124"/>
        <v>2025</v>
      </c>
      <c r="AC2009" s="159">
        <v>4500021457</v>
      </c>
      <c r="AD2009" s="159" t="s">
        <v>9803</v>
      </c>
      <c r="AE2009" s="184" t="s">
        <v>9804</v>
      </c>
      <c r="AF2009" s="201" t="s">
        <v>333</v>
      </c>
      <c r="AG2009" s="160"/>
      <c r="AH2009" s="160"/>
      <c r="AI2009" s="158"/>
      <c r="AJ2009" s="158"/>
      <c r="AK2009" s="158"/>
      <c r="AL2009" s="158"/>
      <c r="AM2009" s="158"/>
      <c r="AN2009" s="158"/>
      <c r="AO2009" s="158"/>
      <c r="AP2009" s="158" t="s">
        <v>9805</v>
      </c>
      <c r="AQ2009" s="158"/>
      <c r="AR2009" s="507"/>
      <c r="AS2009" s="475"/>
      <c r="AT2009" s="160"/>
    </row>
    <row r="2010" spans="1:46" ht="15" hidden="1" customHeight="1">
      <c r="A2010" s="331">
        <v>2009</v>
      </c>
      <c r="B2010" s="159" t="s">
        <v>382</v>
      </c>
      <c r="C2010" s="159" t="s">
        <v>2451</v>
      </c>
      <c r="D2010" s="438" t="s">
        <v>384</v>
      </c>
      <c r="E2010" s="361" t="str">
        <f t="shared" ca="1" si="121"/>
        <v>LOSS</v>
      </c>
      <c r="F2010" s="160" t="s">
        <v>9806</v>
      </c>
      <c r="G2010" s="159" t="s">
        <v>9807</v>
      </c>
      <c r="H2010" s="160" t="s">
        <v>2748</v>
      </c>
      <c r="I2010" s="160" t="s">
        <v>242</v>
      </c>
      <c r="J2010" s="159" t="s">
        <v>9808</v>
      </c>
      <c r="K2010" s="160"/>
      <c r="L2010" s="158"/>
      <c r="M2010" s="158" t="s">
        <v>365</v>
      </c>
      <c r="N2010" s="158"/>
      <c r="O2010" s="162"/>
      <c r="P2010" s="161">
        <f>5000000*12</f>
        <v>60000000</v>
      </c>
      <c r="Q2010" s="161"/>
      <c r="R2010" s="162"/>
      <c r="S2010" s="163">
        <v>24000000</v>
      </c>
      <c r="T2010" s="164"/>
      <c r="U2010" s="340">
        <v>45611</v>
      </c>
      <c r="V2010" s="340">
        <v>45975</v>
      </c>
      <c r="W2010" s="158" t="s">
        <v>250</v>
      </c>
      <c r="X2010" s="158"/>
      <c r="Y2010" s="34">
        <f t="shared" ca="1" si="122"/>
        <v>46290</v>
      </c>
      <c r="Z2010" s="35">
        <f t="shared" ca="1" si="125"/>
        <v>-315</v>
      </c>
      <c r="AA2010" s="158">
        <f t="shared" si="123"/>
        <v>11</v>
      </c>
      <c r="AB2010" s="158">
        <f t="shared" si="124"/>
        <v>2025</v>
      </c>
      <c r="AC2010" s="159" t="s">
        <v>479</v>
      </c>
      <c r="AD2010" s="159" t="s">
        <v>9809</v>
      </c>
      <c r="AE2010" s="184" t="s">
        <v>9810</v>
      </c>
      <c r="AF2010" s="201" t="s">
        <v>333</v>
      </c>
      <c r="AG2010" s="160"/>
      <c r="AH2010" s="160"/>
      <c r="AI2010" s="158"/>
      <c r="AJ2010" s="158"/>
      <c r="AK2010" s="158"/>
      <c r="AL2010" s="158"/>
      <c r="AM2010" s="158"/>
      <c r="AN2010" s="158"/>
      <c r="AO2010" s="158"/>
      <c r="AP2010" s="158" t="s">
        <v>9811</v>
      </c>
      <c r="AQ2010" s="158"/>
      <c r="AR2010" s="507"/>
      <c r="AS2010" s="475"/>
      <c r="AT2010" s="160"/>
    </row>
    <row r="2011" spans="1:46" ht="15" hidden="1" customHeight="1">
      <c r="A2011" s="331">
        <v>2010</v>
      </c>
      <c r="B2011" s="159" t="s">
        <v>9812</v>
      </c>
      <c r="C2011" s="159" t="s">
        <v>8828</v>
      </c>
      <c r="D2011" s="437" t="s">
        <v>9813</v>
      </c>
      <c r="E2011" s="361" t="str">
        <f t="shared" ca="1" si="121"/>
        <v>LOSS</v>
      </c>
      <c r="F2011" s="160"/>
      <c r="G2011" s="159" t="s">
        <v>9814</v>
      </c>
      <c r="H2011" s="160" t="s">
        <v>2748</v>
      </c>
      <c r="I2011" s="160" t="s">
        <v>346</v>
      </c>
      <c r="J2011" s="182" t="s">
        <v>9815</v>
      </c>
      <c r="K2011" s="160"/>
      <c r="L2011" s="158"/>
      <c r="M2011" s="158" t="s">
        <v>365</v>
      </c>
      <c r="N2011" s="158" t="s">
        <v>417</v>
      </c>
      <c r="O2011" s="162"/>
      <c r="P2011" s="161">
        <f>4939640*12</f>
        <v>59275680</v>
      </c>
      <c r="Q2011" s="161"/>
      <c r="R2011" s="162"/>
      <c r="S2011" s="163">
        <v>35000000</v>
      </c>
      <c r="T2011" s="164"/>
      <c r="U2011" s="340">
        <v>45599</v>
      </c>
      <c r="V2011" s="340">
        <v>45963</v>
      </c>
      <c r="W2011" s="158" t="s">
        <v>250</v>
      </c>
      <c r="X2011" s="158"/>
      <c r="Y2011" s="34">
        <f t="shared" ca="1" si="122"/>
        <v>46290</v>
      </c>
      <c r="Z2011" s="35">
        <f t="shared" ca="1" si="125"/>
        <v>-327</v>
      </c>
      <c r="AA2011" s="158">
        <f t="shared" si="123"/>
        <v>11</v>
      </c>
      <c r="AB2011" s="158">
        <f t="shared" si="124"/>
        <v>2025</v>
      </c>
      <c r="AC2011" s="159">
        <v>4500021738</v>
      </c>
      <c r="AD2011" s="159" t="s">
        <v>9816</v>
      </c>
      <c r="AE2011" s="184" t="s">
        <v>9817</v>
      </c>
      <c r="AF2011" s="201" t="s">
        <v>333</v>
      </c>
      <c r="AG2011" s="160"/>
      <c r="AH2011" s="160"/>
      <c r="AI2011" s="158"/>
      <c r="AJ2011" s="158"/>
      <c r="AK2011" s="158"/>
      <c r="AL2011" s="158"/>
      <c r="AM2011" s="158"/>
      <c r="AN2011" s="158"/>
      <c r="AO2011" s="158"/>
      <c r="AP2011" s="158" t="s">
        <v>9818</v>
      </c>
      <c r="AQ2011" s="158"/>
      <c r="AR2011" s="507"/>
      <c r="AS2011" s="475"/>
      <c r="AT2011" s="160"/>
    </row>
    <row r="2012" spans="1:46" ht="15" hidden="1" customHeight="1">
      <c r="A2012" s="331">
        <v>2011</v>
      </c>
      <c r="B2012" s="159" t="s">
        <v>645</v>
      </c>
      <c r="C2012" s="159" t="s">
        <v>9819</v>
      </c>
      <c r="D2012" s="438" t="s">
        <v>6470</v>
      </c>
      <c r="E2012" s="361" t="str">
        <f t="shared" ca="1" si="121"/>
        <v>LOSS</v>
      </c>
      <c r="F2012" s="160"/>
      <c r="G2012" s="159" t="s">
        <v>9820</v>
      </c>
      <c r="H2012" s="160" t="s">
        <v>2748</v>
      </c>
      <c r="I2012" s="160" t="s">
        <v>346</v>
      </c>
      <c r="J2012" s="159" t="s">
        <v>9821</v>
      </c>
      <c r="K2012" s="160"/>
      <c r="L2012" s="158"/>
      <c r="M2012" s="158" t="s">
        <v>9822</v>
      </c>
      <c r="N2012" s="158" t="s">
        <v>494</v>
      </c>
      <c r="O2012" s="162"/>
      <c r="P2012" s="161">
        <f>850000*12</f>
        <v>10200000</v>
      </c>
      <c r="Q2012" s="161"/>
      <c r="R2012" s="162"/>
      <c r="S2012" s="163">
        <v>9500000</v>
      </c>
      <c r="T2012" s="164"/>
      <c r="U2012" s="340">
        <v>45616</v>
      </c>
      <c r="V2012" s="340">
        <v>45980</v>
      </c>
      <c r="W2012" s="158" t="s">
        <v>250</v>
      </c>
      <c r="X2012" s="158"/>
      <c r="Y2012" s="34">
        <f t="shared" ca="1" si="122"/>
        <v>46290</v>
      </c>
      <c r="Z2012" s="35">
        <f t="shared" ca="1" si="125"/>
        <v>-310</v>
      </c>
      <c r="AA2012" s="158">
        <f t="shared" si="123"/>
        <v>11</v>
      </c>
      <c r="AB2012" s="158">
        <f t="shared" si="124"/>
        <v>2025</v>
      </c>
      <c r="AC2012" s="159">
        <v>4500021656</v>
      </c>
      <c r="AD2012" s="159" t="s">
        <v>9823</v>
      </c>
      <c r="AE2012" s="184" t="s">
        <v>9824</v>
      </c>
      <c r="AF2012" s="201" t="s">
        <v>333</v>
      </c>
      <c r="AG2012" s="160"/>
      <c r="AH2012" s="160"/>
      <c r="AI2012" s="158"/>
      <c r="AJ2012" s="158"/>
      <c r="AK2012" s="158"/>
      <c r="AL2012" s="158"/>
      <c r="AM2012" s="158"/>
      <c r="AN2012" s="158"/>
      <c r="AO2012" s="158"/>
      <c r="AP2012" s="158" t="s">
        <v>9825</v>
      </c>
      <c r="AQ2012" s="158"/>
      <c r="AR2012" s="507"/>
      <c r="AS2012" s="475"/>
      <c r="AT2012" s="160"/>
    </row>
    <row r="2013" spans="1:46" ht="15" hidden="1" customHeight="1">
      <c r="A2013" s="331">
        <v>2012</v>
      </c>
      <c r="B2013" s="159" t="s">
        <v>2413</v>
      </c>
      <c r="C2013" s="159" t="s">
        <v>9826</v>
      </c>
      <c r="D2013" s="437" t="s">
        <v>9827</v>
      </c>
      <c r="E2013" s="361" t="str">
        <f t="shared" ca="1" si="121"/>
        <v>LOSS</v>
      </c>
      <c r="F2013" s="160" t="s">
        <v>9828</v>
      </c>
      <c r="G2013" s="159"/>
      <c r="H2013" s="160" t="s">
        <v>2748</v>
      </c>
      <c r="I2013" s="160" t="s">
        <v>346</v>
      </c>
      <c r="J2013" s="182" t="s">
        <v>9829</v>
      </c>
      <c r="K2013" s="218" t="s">
        <v>9830</v>
      </c>
      <c r="L2013" s="158"/>
      <c r="M2013" s="158" t="s">
        <v>365</v>
      </c>
      <c r="N2013" s="158" t="s">
        <v>6885</v>
      </c>
      <c r="O2013" s="162"/>
      <c r="P2013" s="161">
        <f>2100000*12</f>
        <v>25200000</v>
      </c>
      <c r="Q2013" s="161"/>
      <c r="R2013" s="162"/>
      <c r="S2013" s="163">
        <f>28500000</f>
        <v>28500000</v>
      </c>
      <c r="T2013" s="164"/>
      <c r="U2013" s="340">
        <v>45658</v>
      </c>
      <c r="V2013" s="340">
        <v>46022</v>
      </c>
      <c r="W2013" s="158" t="s">
        <v>250</v>
      </c>
      <c r="X2013" s="158"/>
      <c r="Y2013" s="34">
        <f t="shared" ca="1" si="122"/>
        <v>46290</v>
      </c>
      <c r="Z2013" s="35">
        <f t="shared" ca="1" si="125"/>
        <v>-268</v>
      </c>
      <c r="AA2013" s="158">
        <f t="shared" si="123"/>
        <v>12</v>
      </c>
      <c r="AB2013" s="158">
        <f t="shared" si="124"/>
        <v>2025</v>
      </c>
      <c r="AC2013" s="159">
        <v>4500021696</v>
      </c>
      <c r="AD2013" s="159" t="s">
        <v>9831</v>
      </c>
      <c r="AE2013" s="184" t="s">
        <v>9832</v>
      </c>
      <c r="AF2013" s="201" t="s">
        <v>333</v>
      </c>
      <c r="AG2013" s="160"/>
      <c r="AH2013" s="160"/>
      <c r="AI2013" s="158"/>
      <c r="AJ2013" s="158"/>
      <c r="AK2013" s="158"/>
      <c r="AL2013" s="158"/>
      <c r="AM2013" s="158"/>
      <c r="AN2013" s="158"/>
      <c r="AO2013" s="158"/>
      <c r="AP2013" s="158" t="s">
        <v>9833</v>
      </c>
      <c r="AQ2013" s="158"/>
      <c r="AR2013" s="507"/>
      <c r="AS2013" s="475"/>
      <c r="AT2013" s="160"/>
    </row>
    <row r="2014" spans="1:46" ht="15" hidden="1" customHeight="1">
      <c r="A2014" s="331">
        <v>2013</v>
      </c>
      <c r="B2014" s="159" t="s">
        <v>4202</v>
      </c>
      <c r="C2014" s="159" t="s">
        <v>571</v>
      </c>
      <c r="D2014" s="438" t="s">
        <v>9212</v>
      </c>
      <c r="E2014" s="361" t="str">
        <f t="shared" ca="1" si="121"/>
        <v>LOSS</v>
      </c>
      <c r="F2014" s="160" t="s">
        <v>9834</v>
      </c>
      <c r="G2014" s="159" t="s">
        <v>9835</v>
      </c>
      <c r="H2014" s="160" t="s">
        <v>2748</v>
      </c>
      <c r="I2014" s="160" t="s">
        <v>242</v>
      </c>
      <c r="J2014" s="159" t="s">
        <v>4205</v>
      </c>
      <c r="K2014" s="160"/>
      <c r="L2014" s="158"/>
      <c r="M2014" s="158" t="s">
        <v>329</v>
      </c>
      <c r="N2014" s="158" t="s">
        <v>4750</v>
      </c>
      <c r="O2014" s="162"/>
      <c r="P2014" s="161">
        <f>4500000*12</f>
        <v>54000000</v>
      </c>
      <c r="Q2014" s="161"/>
      <c r="R2014" s="162"/>
      <c r="S2014" s="163">
        <v>24000000</v>
      </c>
      <c r="T2014" s="164"/>
      <c r="U2014" s="340">
        <v>45656</v>
      </c>
      <c r="V2014" s="340">
        <v>46020</v>
      </c>
      <c r="W2014" s="158" t="s">
        <v>250</v>
      </c>
      <c r="X2014" s="158"/>
      <c r="Y2014" s="34">
        <f t="shared" ca="1" si="122"/>
        <v>46290</v>
      </c>
      <c r="Z2014" s="35">
        <f t="shared" ca="1" si="125"/>
        <v>-270</v>
      </c>
      <c r="AA2014" s="158">
        <f t="shared" si="123"/>
        <v>12</v>
      </c>
      <c r="AB2014" s="158">
        <f t="shared" si="124"/>
        <v>2025</v>
      </c>
      <c r="AC2014" s="159">
        <v>4500021746</v>
      </c>
      <c r="AD2014" s="159" t="s">
        <v>9836</v>
      </c>
      <c r="AE2014" s="184" t="s">
        <v>9837</v>
      </c>
      <c r="AF2014" s="201" t="s">
        <v>333</v>
      </c>
      <c r="AG2014" s="160"/>
      <c r="AH2014" s="160"/>
      <c r="AI2014" s="158"/>
      <c r="AJ2014" s="158"/>
      <c r="AK2014" s="158"/>
      <c r="AL2014" s="158"/>
      <c r="AM2014" s="158"/>
      <c r="AN2014" s="158"/>
      <c r="AO2014" s="158"/>
      <c r="AP2014" s="158" t="s">
        <v>9838</v>
      </c>
      <c r="AQ2014" s="158"/>
      <c r="AR2014" s="507"/>
      <c r="AS2014" s="475"/>
      <c r="AT2014" s="160"/>
    </row>
    <row r="2015" spans="1:46" ht="15" hidden="1" customHeight="1">
      <c r="A2015" s="331">
        <v>2014</v>
      </c>
      <c r="B2015" s="159" t="s">
        <v>4202</v>
      </c>
      <c r="C2015" s="159" t="s">
        <v>2610</v>
      </c>
      <c r="D2015" s="437" t="s">
        <v>9212</v>
      </c>
      <c r="E2015" s="361" t="str">
        <f t="shared" ca="1" si="121"/>
        <v>LOSS</v>
      </c>
      <c r="F2015" s="160"/>
      <c r="G2015" s="159" t="s">
        <v>9839</v>
      </c>
      <c r="H2015" s="160" t="s">
        <v>2748</v>
      </c>
      <c r="I2015" s="160" t="s">
        <v>242</v>
      </c>
      <c r="J2015" s="159" t="s">
        <v>9840</v>
      </c>
      <c r="K2015" s="160"/>
      <c r="L2015" s="158"/>
      <c r="M2015" s="158" t="s">
        <v>6788</v>
      </c>
      <c r="N2015" s="158" t="s">
        <v>417</v>
      </c>
      <c r="O2015" s="162"/>
      <c r="P2015" s="161">
        <f>5545455*12</f>
        <v>66545460</v>
      </c>
      <c r="Q2015" s="161"/>
      <c r="R2015" s="162"/>
      <c r="S2015" s="163">
        <v>24000000</v>
      </c>
      <c r="T2015" s="164"/>
      <c r="U2015" s="340">
        <v>45648</v>
      </c>
      <c r="V2015" s="340">
        <v>46012</v>
      </c>
      <c r="W2015" s="158" t="s">
        <v>250</v>
      </c>
      <c r="X2015" s="158"/>
      <c r="Y2015" s="34">
        <f t="shared" ca="1" si="122"/>
        <v>46290</v>
      </c>
      <c r="Z2015" s="35">
        <f t="shared" ca="1" si="125"/>
        <v>-278</v>
      </c>
      <c r="AA2015" s="158">
        <f t="shared" si="123"/>
        <v>12</v>
      </c>
      <c r="AB2015" s="158">
        <f t="shared" si="124"/>
        <v>2025</v>
      </c>
      <c r="AC2015" s="159">
        <v>4500021747</v>
      </c>
      <c r="AD2015" s="159" t="s">
        <v>9841</v>
      </c>
      <c r="AE2015" s="184" t="s">
        <v>9842</v>
      </c>
      <c r="AF2015" s="201" t="s">
        <v>333</v>
      </c>
      <c r="AG2015" s="160"/>
      <c r="AH2015" s="160"/>
      <c r="AI2015" s="158"/>
      <c r="AJ2015" s="158"/>
      <c r="AK2015" s="158"/>
      <c r="AL2015" s="158"/>
      <c r="AM2015" s="158"/>
      <c r="AN2015" s="158"/>
      <c r="AO2015" s="158"/>
      <c r="AP2015" s="158" t="s">
        <v>9843</v>
      </c>
      <c r="AQ2015" s="158"/>
      <c r="AR2015" s="507"/>
      <c r="AS2015" s="475"/>
      <c r="AT2015" s="160"/>
    </row>
    <row r="2016" spans="1:46" ht="15" hidden="1" customHeight="1">
      <c r="A2016" s="331">
        <v>2015</v>
      </c>
      <c r="B2016" s="159" t="s">
        <v>526</v>
      </c>
      <c r="C2016" s="159" t="s">
        <v>1000</v>
      </c>
      <c r="D2016" s="438" t="s">
        <v>4122</v>
      </c>
      <c r="E2016" s="361" t="str">
        <f t="shared" ca="1" si="121"/>
        <v>LOSS</v>
      </c>
      <c r="F2016" s="160" t="s">
        <v>4196</v>
      </c>
      <c r="G2016" s="159" t="s">
        <v>9844</v>
      </c>
      <c r="H2016" s="160" t="s">
        <v>2748</v>
      </c>
      <c r="I2016" s="160" t="s">
        <v>346</v>
      </c>
      <c r="J2016" s="159" t="s">
        <v>9845</v>
      </c>
      <c r="K2016" s="160"/>
      <c r="L2016" s="158"/>
      <c r="M2016" s="158" t="s">
        <v>6788</v>
      </c>
      <c r="N2016" s="158" t="s">
        <v>4750</v>
      </c>
      <c r="O2016" s="162"/>
      <c r="P2016" s="161">
        <f>6272727*12</f>
        <v>75272724</v>
      </c>
      <c r="Q2016" s="161"/>
      <c r="R2016" s="162"/>
      <c r="S2016" s="163">
        <v>46530000</v>
      </c>
      <c r="T2016" s="164"/>
      <c r="U2016" s="340">
        <v>45627</v>
      </c>
      <c r="V2016" s="340">
        <v>45991</v>
      </c>
      <c r="W2016" s="158" t="s">
        <v>250</v>
      </c>
      <c r="X2016" s="158"/>
      <c r="Y2016" s="34">
        <f t="shared" ca="1" si="122"/>
        <v>46290</v>
      </c>
      <c r="Z2016" s="35">
        <f t="shared" ca="1" si="125"/>
        <v>-299</v>
      </c>
      <c r="AA2016" s="158">
        <f t="shared" si="123"/>
        <v>11</v>
      </c>
      <c r="AB2016" s="158">
        <f t="shared" si="124"/>
        <v>2025</v>
      </c>
      <c r="AC2016" s="159">
        <v>4500021685</v>
      </c>
      <c r="AD2016" s="159" t="s">
        <v>9846</v>
      </c>
      <c r="AE2016" s="184" t="s">
        <v>9847</v>
      </c>
      <c r="AF2016" s="201" t="s">
        <v>333</v>
      </c>
      <c r="AG2016" s="160"/>
      <c r="AH2016" s="160"/>
      <c r="AI2016" s="158"/>
      <c r="AJ2016" s="158"/>
      <c r="AK2016" s="158"/>
      <c r="AL2016" s="158"/>
      <c r="AM2016" s="158"/>
      <c r="AN2016" s="158"/>
      <c r="AO2016" s="158"/>
      <c r="AP2016" s="158" t="s">
        <v>9848</v>
      </c>
      <c r="AQ2016" s="158"/>
      <c r="AR2016" s="507"/>
      <c r="AS2016" s="475"/>
      <c r="AT2016" s="160"/>
    </row>
    <row r="2017" spans="1:46" ht="15" hidden="1" customHeight="1">
      <c r="A2017" s="331">
        <v>2016</v>
      </c>
      <c r="B2017" s="159" t="s">
        <v>526</v>
      </c>
      <c r="C2017" s="159" t="s">
        <v>9849</v>
      </c>
      <c r="D2017" s="437" t="s">
        <v>4122</v>
      </c>
      <c r="E2017" s="361" t="str">
        <f t="shared" ca="1" si="121"/>
        <v>LOSS</v>
      </c>
      <c r="F2017" s="160"/>
      <c r="G2017" s="159" t="s">
        <v>9850</v>
      </c>
      <c r="H2017" s="160" t="s">
        <v>2748</v>
      </c>
      <c r="I2017" s="160" t="s">
        <v>346</v>
      </c>
      <c r="J2017" s="219">
        <v>111303011344</v>
      </c>
      <c r="K2017" s="160"/>
      <c r="L2017" s="158"/>
      <c r="M2017" s="158" t="s">
        <v>7091</v>
      </c>
      <c r="N2017" s="158" t="s">
        <v>9851</v>
      </c>
      <c r="O2017" s="162"/>
      <c r="P2017" s="161">
        <f>3150000*12</f>
        <v>37800000</v>
      </c>
      <c r="Q2017" s="161"/>
      <c r="R2017" s="162"/>
      <c r="S2017" s="163">
        <v>27000000</v>
      </c>
      <c r="T2017" s="164"/>
      <c r="U2017" s="340">
        <v>45627</v>
      </c>
      <c r="V2017" s="340">
        <v>45991</v>
      </c>
      <c r="W2017" s="158" t="s">
        <v>250</v>
      </c>
      <c r="X2017" s="158"/>
      <c r="Y2017" s="34">
        <f t="shared" ca="1" si="122"/>
        <v>46290</v>
      </c>
      <c r="Z2017" s="35">
        <f t="shared" ca="1" si="125"/>
        <v>-299</v>
      </c>
      <c r="AA2017" s="158">
        <f t="shared" si="123"/>
        <v>11</v>
      </c>
      <c r="AB2017" s="158">
        <f t="shared" si="124"/>
        <v>2025</v>
      </c>
      <c r="AC2017" s="159">
        <v>4500021850</v>
      </c>
      <c r="AD2017" s="159" t="s">
        <v>9852</v>
      </c>
      <c r="AE2017" s="184" t="s">
        <v>9853</v>
      </c>
      <c r="AF2017" s="201" t="s">
        <v>333</v>
      </c>
      <c r="AG2017" s="160"/>
      <c r="AH2017" s="160"/>
      <c r="AI2017" s="158"/>
      <c r="AJ2017" s="158"/>
      <c r="AK2017" s="158"/>
      <c r="AL2017" s="158"/>
      <c r="AM2017" s="158"/>
      <c r="AN2017" s="158"/>
      <c r="AO2017" s="158"/>
      <c r="AP2017" s="158">
        <v>418</v>
      </c>
      <c r="AQ2017" s="158"/>
      <c r="AR2017" s="507"/>
      <c r="AS2017" s="475"/>
      <c r="AT2017" s="160"/>
    </row>
    <row r="2018" spans="1:46" ht="15" hidden="1" customHeight="1">
      <c r="A2018" s="331">
        <v>2017</v>
      </c>
      <c r="B2018" s="159" t="s">
        <v>400</v>
      </c>
      <c r="C2018" s="159" t="s">
        <v>624</v>
      </c>
      <c r="D2018" s="438" t="s">
        <v>402</v>
      </c>
      <c r="E2018" s="361" t="str">
        <f t="shared" ca="1" si="121"/>
        <v>LOSS</v>
      </c>
      <c r="F2018" s="160" t="s">
        <v>9771</v>
      </c>
      <c r="G2018" s="159" t="s">
        <v>9854</v>
      </c>
      <c r="H2018" s="160" t="s">
        <v>2748</v>
      </c>
      <c r="I2018" s="160" t="s">
        <v>346</v>
      </c>
      <c r="J2018" s="205" t="s">
        <v>1476</v>
      </c>
      <c r="K2018" s="160"/>
      <c r="L2018" s="158"/>
      <c r="M2018" s="158" t="s">
        <v>329</v>
      </c>
      <c r="N2018" s="158" t="s">
        <v>9773</v>
      </c>
      <c r="O2018" s="162"/>
      <c r="P2018" s="161">
        <f>1400000*12</f>
        <v>16800000</v>
      </c>
      <c r="Q2018" s="161"/>
      <c r="R2018" s="162"/>
      <c r="S2018" s="163">
        <v>7500000</v>
      </c>
      <c r="T2018" s="164"/>
      <c r="U2018" s="340">
        <v>45589</v>
      </c>
      <c r="V2018" s="340">
        <v>45953</v>
      </c>
      <c r="W2018" s="158" t="s">
        <v>17</v>
      </c>
      <c r="X2018" s="158"/>
      <c r="Y2018" s="34">
        <f t="shared" ca="1" si="122"/>
        <v>46290</v>
      </c>
      <c r="Z2018" s="35">
        <f t="shared" ca="1" si="125"/>
        <v>-337</v>
      </c>
      <c r="AA2018" s="158">
        <f t="shared" si="123"/>
        <v>10</v>
      </c>
      <c r="AB2018" s="158">
        <f t="shared" si="124"/>
        <v>2025</v>
      </c>
      <c r="AC2018" s="159">
        <v>4500019535</v>
      </c>
      <c r="AD2018" s="159" t="s">
        <v>9855</v>
      </c>
      <c r="AE2018" s="184" t="s">
        <v>9856</v>
      </c>
      <c r="AF2018" s="201" t="s">
        <v>333</v>
      </c>
      <c r="AG2018" s="160"/>
      <c r="AH2018" s="160"/>
      <c r="AI2018" s="158"/>
      <c r="AJ2018" s="158"/>
      <c r="AK2018" s="158"/>
      <c r="AL2018" s="158"/>
      <c r="AM2018" s="158"/>
      <c r="AN2018" s="158"/>
      <c r="AO2018" s="158"/>
      <c r="AP2018" s="158" t="s">
        <v>9857</v>
      </c>
      <c r="AQ2018" s="158"/>
      <c r="AR2018" s="507"/>
      <c r="AS2018" s="475"/>
      <c r="AT2018" s="160"/>
    </row>
    <row r="2019" spans="1:46" ht="15" hidden="1" customHeight="1">
      <c r="A2019" s="331">
        <v>2018</v>
      </c>
      <c r="B2019" s="159" t="s">
        <v>400</v>
      </c>
      <c r="C2019" s="159" t="s">
        <v>568</v>
      </c>
      <c r="D2019" s="437" t="s">
        <v>402</v>
      </c>
      <c r="E2019" s="361" t="str">
        <f t="shared" ca="1" si="121"/>
        <v>LOSS</v>
      </c>
      <c r="F2019" s="160" t="s">
        <v>9858</v>
      </c>
      <c r="G2019" s="159" t="s">
        <v>9859</v>
      </c>
      <c r="H2019" s="160" t="s">
        <v>2748</v>
      </c>
      <c r="I2019" s="160" t="s">
        <v>346</v>
      </c>
      <c r="J2019" s="205" t="s">
        <v>9860</v>
      </c>
      <c r="K2019" s="160"/>
      <c r="L2019" s="158"/>
      <c r="M2019" s="158" t="s">
        <v>365</v>
      </c>
      <c r="N2019" s="158" t="s">
        <v>6762</v>
      </c>
      <c r="O2019" s="162"/>
      <c r="P2019" s="161">
        <f>10000000*12</f>
        <v>120000000</v>
      </c>
      <c r="Q2019" s="161"/>
      <c r="R2019" s="162"/>
      <c r="S2019" s="163">
        <v>17000000</v>
      </c>
      <c r="T2019" s="164"/>
      <c r="U2019" s="340">
        <v>45541</v>
      </c>
      <c r="V2019" s="340">
        <v>45905</v>
      </c>
      <c r="W2019" s="158" t="s">
        <v>17</v>
      </c>
      <c r="X2019" s="158"/>
      <c r="Y2019" s="34">
        <f t="shared" ca="1" si="122"/>
        <v>46290</v>
      </c>
      <c r="Z2019" s="35">
        <f t="shared" ca="1" si="125"/>
        <v>-385</v>
      </c>
      <c r="AA2019" s="158">
        <f t="shared" si="123"/>
        <v>9</v>
      </c>
      <c r="AB2019" s="158">
        <f t="shared" si="124"/>
        <v>2025</v>
      </c>
      <c r="AC2019" s="159">
        <v>4500020939</v>
      </c>
      <c r="AD2019" s="159" t="s">
        <v>9861</v>
      </c>
      <c r="AE2019" s="184" t="s">
        <v>9862</v>
      </c>
      <c r="AF2019" s="201" t="s">
        <v>333</v>
      </c>
      <c r="AG2019" s="160"/>
      <c r="AH2019" s="160"/>
      <c r="AI2019" s="158"/>
      <c r="AJ2019" s="158"/>
      <c r="AK2019" s="158"/>
      <c r="AL2019" s="158"/>
      <c r="AM2019" s="158"/>
      <c r="AN2019" s="158"/>
      <c r="AO2019" s="158"/>
      <c r="AP2019" s="158" t="s">
        <v>9863</v>
      </c>
      <c r="AQ2019" s="158"/>
      <c r="AR2019" s="507"/>
      <c r="AS2019" s="475"/>
      <c r="AT2019" s="160"/>
    </row>
    <row r="2020" spans="1:46" ht="15" hidden="1" customHeight="1">
      <c r="A2020" s="331">
        <v>2019</v>
      </c>
      <c r="B2020" s="173" t="s">
        <v>9864</v>
      </c>
      <c r="C2020" s="182" t="s">
        <v>9865</v>
      </c>
      <c r="D2020" s="447" t="s">
        <v>9866</v>
      </c>
      <c r="E2020" s="361" t="str">
        <f t="shared" ca="1" si="121"/>
        <v>LOSS</v>
      </c>
      <c r="F2020" s="160"/>
      <c r="G2020" s="159" t="s">
        <v>9867</v>
      </c>
      <c r="H2020" s="160" t="s">
        <v>2748</v>
      </c>
      <c r="I2020" s="160" t="s">
        <v>346</v>
      </c>
      <c r="J2020" s="182" t="s">
        <v>9868</v>
      </c>
      <c r="K2020" s="160"/>
      <c r="L2020" s="158"/>
      <c r="M2020" s="158" t="s">
        <v>329</v>
      </c>
      <c r="N2020" s="158"/>
      <c r="O2020" s="162"/>
      <c r="P2020" s="161">
        <f>12*(38850000)</f>
        <v>466200000</v>
      </c>
      <c r="Q2020" s="161"/>
      <c r="R2020" s="162"/>
      <c r="S2020" s="163">
        <v>435000000</v>
      </c>
      <c r="T2020" s="164"/>
      <c r="U2020" s="340">
        <v>45658</v>
      </c>
      <c r="V2020" s="340">
        <v>46022</v>
      </c>
      <c r="W2020" s="158" t="s">
        <v>250</v>
      </c>
      <c r="X2020" s="158"/>
      <c r="Y2020" s="34">
        <f t="shared" ca="1" si="122"/>
        <v>46290</v>
      </c>
      <c r="Z2020" s="35">
        <f t="shared" ca="1" si="125"/>
        <v>-268</v>
      </c>
      <c r="AA2020" s="158">
        <f t="shared" si="123"/>
        <v>12</v>
      </c>
      <c r="AB2020" s="158">
        <f t="shared" si="124"/>
        <v>2025</v>
      </c>
      <c r="AC2020" s="159" t="s">
        <v>479</v>
      </c>
      <c r="AD2020" s="159" t="s">
        <v>9869</v>
      </c>
      <c r="AE2020" s="184" t="s">
        <v>9870</v>
      </c>
      <c r="AF2020" s="201" t="s">
        <v>333</v>
      </c>
      <c r="AG2020" s="160"/>
      <c r="AH2020" s="160"/>
      <c r="AI2020" s="158"/>
      <c r="AJ2020" s="158"/>
      <c r="AK2020" s="158"/>
      <c r="AL2020" s="158"/>
      <c r="AM2020" s="158"/>
      <c r="AN2020" s="158"/>
      <c r="AO2020" s="158"/>
      <c r="AP2020" s="158" t="s">
        <v>9871</v>
      </c>
      <c r="AQ2020" s="158"/>
      <c r="AR2020" s="507"/>
      <c r="AS2020" s="475"/>
      <c r="AT2020" s="160"/>
    </row>
    <row r="2021" spans="1:46" ht="15" hidden="1" customHeight="1">
      <c r="A2021" s="331">
        <v>2020</v>
      </c>
      <c r="B2021" s="159" t="s">
        <v>9872</v>
      </c>
      <c r="C2021" s="159" t="s">
        <v>7757</v>
      </c>
      <c r="D2021" s="437" t="s">
        <v>9873</v>
      </c>
      <c r="E2021" s="361" t="str">
        <f t="shared" ca="1" si="121"/>
        <v>LOSS</v>
      </c>
      <c r="F2021" s="160" t="s">
        <v>9874</v>
      </c>
      <c r="G2021" s="159" t="s">
        <v>9875</v>
      </c>
      <c r="H2021" s="160" t="s">
        <v>2748</v>
      </c>
      <c r="I2021" s="160" t="s">
        <v>242</v>
      </c>
      <c r="J2021" s="205" t="s">
        <v>9876</v>
      </c>
      <c r="K2021" s="160"/>
      <c r="L2021" s="158"/>
      <c r="M2021" s="158" t="s">
        <v>365</v>
      </c>
      <c r="N2021" s="158" t="s">
        <v>389</v>
      </c>
      <c r="O2021" s="162"/>
      <c r="P2021" s="161">
        <f>2500000*12</f>
        <v>30000000</v>
      </c>
      <c r="Q2021" s="161"/>
      <c r="R2021" s="162"/>
      <c r="S2021" s="163">
        <v>1500000</v>
      </c>
      <c r="T2021" s="164"/>
      <c r="U2021" s="340">
        <v>45631</v>
      </c>
      <c r="V2021" s="340">
        <v>45995</v>
      </c>
      <c r="W2021" s="158" t="s">
        <v>250</v>
      </c>
      <c r="X2021" s="158"/>
      <c r="Y2021" s="34">
        <f t="shared" ca="1" si="122"/>
        <v>46290</v>
      </c>
      <c r="Z2021" s="35">
        <f t="shared" ca="1" si="125"/>
        <v>-295</v>
      </c>
      <c r="AA2021" s="158">
        <f t="shared" si="123"/>
        <v>12</v>
      </c>
      <c r="AB2021" s="158">
        <f t="shared" si="124"/>
        <v>2025</v>
      </c>
      <c r="AC2021" s="159">
        <v>4500021661</v>
      </c>
      <c r="AD2021" s="159" t="s">
        <v>9877</v>
      </c>
      <c r="AE2021" s="184" t="s">
        <v>9878</v>
      </c>
      <c r="AF2021" s="201" t="s">
        <v>333</v>
      </c>
      <c r="AG2021" s="160"/>
      <c r="AH2021" s="160"/>
      <c r="AI2021" s="158"/>
      <c r="AJ2021" s="158"/>
      <c r="AK2021" s="158"/>
      <c r="AL2021" s="158"/>
      <c r="AM2021" s="158"/>
      <c r="AN2021" s="158"/>
      <c r="AO2021" s="158"/>
      <c r="AP2021" s="158"/>
      <c r="AQ2021" s="158"/>
      <c r="AR2021" s="507"/>
      <c r="AS2021" s="475"/>
      <c r="AT2021" s="160"/>
    </row>
    <row r="2022" spans="1:46" ht="15" hidden="1" customHeight="1">
      <c r="A2022" s="331">
        <v>2021</v>
      </c>
      <c r="B2022" s="159" t="s">
        <v>542</v>
      </c>
      <c r="C2022" s="159" t="s">
        <v>2319</v>
      </c>
      <c r="D2022" s="438" t="s">
        <v>413</v>
      </c>
      <c r="E2022" s="361" t="str">
        <f t="shared" ca="1" si="121"/>
        <v>LOSS</v>
      </c>
      <c r="F2022" s="160"/>
      <c r="G2022" s="159" t="s">
        <v>9879</v>
      </c>
      <c r="H2022" s="160" t="s">
        <v>2748</v>
      </c>
      <c r="I2022" s="160" t="s">
        <v>242</v>
      </c>
      <c r="J2022" s="159" t="s">
        <v>1651</v>
      </c>
      <c r="K2022" s="160"/>
      <c r="L2022" s="158"/>
      <c r="M2022" s="158" t="s">
        <v>329</v>
      </c>
      <c r="N2022" s="158"/>
      <c r="O2022" s="162"/>
      <c r="P2022" s="161">
        <f>3500000*12</f>
        <v>42000000</v>
      </c>
      <c r="Q2022" s="161"/>
      <c r="R2022" s="162"/>
      <c r="S2022" s="163">
        <v>2000000</v>
      </c>
      <c r="T2022" s="164"/>
      <c r="U2022" s="340">
        <v>45410</v>
      </c>
      <c r="V2022" s="340">
        <v>45774</v>
      </c>
      <c r="W2022" s="158" t="s">
        <v>250</v>
      </c>
      <c r="X2022" s="158"/>
      <c r="Y2022" s="34">
        <f t="shared" ca="1" si="122"/>
        <v>46290</v>
      </c>
      <c r="Z2022" s="35">
        <f t="shared" ca="1" si="125"/>
        <v>-516</v>
      </c>
      <c r="AA2022" s="158">
        <f t="shared" si="123"/>
        <v>4</v>
      </c>
      <c r="AB2022" s="158">
        <f t="shared" si="124"/>
        <v>2025</v>
      </c>
      <c r="AC2022" s="159">
        <v>4500016837</v>
      </c>
      <c r="AD2022" s="159" t="s">
        <v>9880</v>
      </c>
      <c r="AE2022" s="184" t="s">
        <v>9881</v>
      </c>
      <c r="AF2022" s="201" t="s">
        <v>333</v>
      </c>
      <c r="AG2022" s="160"/>
      <c r="AH2022" s="160"/>
      <c r="AI2022" s="158"/>
      <c r="AJ2022" s="158"/>
      <c r="AK2022" s="158"/>
      <c r="AL2022" s="158"/>
      <c r="AM2022" s="158"/>
      <c r="AN2022" s="158"/>
      <c r="AO2022" s="158"/>
      <c r="AP2022" s="158" t="s">
        <v>9882</v>
      </c>
      <c r="AQ2022" s="158"/>
      <c r="AR2022" s="507"/>
      <c r="AS2022" s="475"/>
      <c r="AT2022" s="160"/>
    </row>
    <row r="2023" spans="1:46" ht="15" hidden="1" customHeight="1">
      <c r="A2023" s="331">
        <v>2022</v>
      </c>
      <c r="B2023" s="159" t="s">
        <v>450</v>
      </c>
      <c r="C2023" s="159" t="s">
        <v>1308</v>
      </c>
      <c r="D2023" s="437" t="s">
        <v>452</v>
      </c>
      <c r="E2023" s="361" t="str">
        <f t="shared" ca="1" si="121"/>
        <v>LOSS</v>
      </c>
      <c r="F2023" s="160" t="s">
        <v>9883</v>
      </c>
      <c r="G2023" s="159" t="s">
        <v>9884</v>
      </c>
      <c r="H2023" s="160" t="s">
        <v>2748</v>
      </c>
      <c r="I2023" s="160" t="s">
        <v>242</v>
      </c>
      <c r="J2023" s="205" t="s">
        <v>9885</v>
      </c>
      <c r="K2023" s="160"/>
      <c r="L2023" s="158"/>
      <c r="M2023" s="158" t="s">
        <v>9506</v>
      </c>
      <c r="N2023" s="158" t="s">
        <v>354</v>
      </c>
      <c r="O2023" s="162"/>
      <c r="P2023" s="161">
        <f>4250000*12</f>
        <v>51000000</v>
      </c>
      <c r="Q2023" s="161"/>
      <c r="R2023" s="162"/>
      <c r="S2023" s="163">
        <v>12000000</v>
      </c>
      <c r="T2023" s="164"/>
      <c r="U2023" s="340">
        <v>45513</v>
      </c>
      <c r="V2023" s="340">
        <v>45877</v>
      </c>
      <c r="W2023" s="158" t="s">
        <v>250</v>
      </c>
      <c r="X2023" s="158"/>
      <c r="Y2023" s="34">
        <f t="shared" ca="1" si="122"/>
        <v>46290</v>
      </c>
      <c r="Z2023" s="35">
        <f t="shared" ca="1" si="125"/>
        <v>-413</v>
      </c>
      <c r="AA2023" s="158">
        <f t="shared" si="123"/>
        <v>8</v>
      </c>
      <c r="AB2023" s="158">
        <f t="shared" si="124"/>
        <v>2025</v>
      </c>
      <c r="AC2023" s="159">
        <v>4500022072</v>
      </c>
      <c r="AD2023" s="159" t="s">
        <v>9886</v>
      </c>
      <c r="AE2023" s="184" t="s">
        <v>9887</v>
      </c>
      <c r="AF2023" s="201" t="s">
        <v>333</v>
      </c>
      <c r="AG2023" s="160"/>
      <c r="AH2023" s="160"/>
      <c r="AI2023" s="158"/>
      <c r="AJ2023" s="158"/>
      <c r="AK2023" s="158"/>
      <c r="AL2023" s="158"/>
      <c r="AM2023" s="158"/>
      <c r="AN2023" s="158"/>
      <c r="AO2023" s="158"/>
      <c r="AP2023" s="158" t="s">
        <v>9888</v>
      </c>
      <c r="AQ2023" s="158"/>
      <c r="AR2023" s="507"/>
      <c r="AS2023" s="475"/>
      <c r="AT2023" s="160"/>
    </row>
    <row r="2024" spans="1:46" ht="15" hidden="1" customHeight="1">
      <c r="A2024" s="331">
        <v>2023</v>
      </c>
      <c r="B2024" s="159" t="s">
        <v>450</v>
      </c>
      <c r="C2024" s="159" t="s">
        <v>9889</v>
      </c>
      <c r="D2024" s="438" t="s">
        <v>452</v>
      </c>
      <c r="E2024" s="361" t="str">
        <f t="shared" ca="1" si="121"/>
        <v>LOSS</v>
      </c>
      <c r="F2024" s="160"/>
      <c r="G2024" s="159" t="s">
        <v>9884</v>
      </c>
      <c r="H2024" s="160" t="s">
        <v>2748</v>
      </c>
      <c r="I2024" s="160" t="s">
        <v>242</v>
      </c>
      <c r="J2024" s="205" t="s">
        <v>9890</v>
      </c>
      <c r="K2024" s="160"/>
      <c r="L2024" s="158"/>
      <c r="M2024" s="158" t="s">
        <v>353</v>
      </c>
      <c r="N2024" s="158"/>
      <c r="O2024" s="162"/>
      <c r="P2024" s="161"/>
      <c r="Q2024" s="161"/>
      <c r="R2024" s="162">
        <v>1000000</v>
      </c>
      <c r="S2024" s="163">
        <v>12000000</v>
      </c>
      <c r="T2024" s="164"/>
      <c r="U2024" s="340">
        <v>45582</v>
      </c>
      <c r="V2024" s="340">
        <v>45946</v>
      </c>
      <c r="W2024" s="158" t="s">
        <v>250</v>
      </c>
      <c r="X2024" s="158"/>
      <c r="Y2024" s="34">
        <f t="shared" ca="1" si="122"/>
        <v>46290</v>
      </c>
      <c r="Z2024" s="35">
        <f t="shared" ca="1" si="125"/>
        <v>-344</v>
      </c>
      <c r="AA2024" s="158">
        <f t="shared" si="123"/>
        <v>10</v>
      </c>
      <c r="AB2024" s="158">
        <f t="shared" si="124"/>
        <v>2025</v>
      </c>
      <c r="AC2024" s="159" t="s">
        <v>479</v>
      </c>
      <c r="AD2024" s="159" t="s">
        <v>9891</v>
      </c>
      <c r="AE2024" s="184" t="s">
        <v>9892</v>
      </c>
      <c r="AF2024" s="201" t="s">
        <v>333</v>
      </c>
      <c r="AG2024" s="160"/>
      <c r="AH2024" s="160"/>
      <c r="AI2024" s="158"/>
      <c r="AJ2024" s="158"/>
      <c r="AK2024" s="158"/>
      <c r="AL2024" s="158"/>
      <c r="AM2024" s="158"/>
      <c r="AN2024" s="158"/>
      <c r="AO2024" s="158"/>
      <c r="AP2024" s="158" t="s">
        <v>9893</v>
      </c>
      <c r="AQ2024" s="158"/>
      <c r="AR2024" s="507"/>
      <c r="AS2024" s="475"/>
      <c r="AT2024" s="160"/>
    </row>
    <row r="2025" spans="1:46" ht="15" hidden="1" customHeight="1">
      <c r="A2025" s="331">
        <v>2024</v>
      </c>
      <c r="B2025" s="159" t="s">
        <v>450</v>
      </c>
      <c r="C2025" s="159" t="s">
        <v>9889</v>
      </c>
      <c r="D2025" s="437" t="s">
        <v>452</v>
      </c>
      <c r="E2025" s="361" t="str">
        <f t="shared" ca="1" si="121"/>
        <v>LOSS</v>
      </c>
      <c r="F2025" s="160"/>
      <c r="G2025" s="159" t="s">
        <v>9894</v>
      </c>
      <c r="H2025" s="160" t="s">
        <v>2748</v>
      </c>
      <c r="I2025" s="160" t="s">
        <v>242</v>
      </c>
      <c r="J2025" s="219">
        <v>110120500876</v>
      </c>
      <c r="K2025" s="160"/>
      <c r="L2025" s="158"/>
      <c r="M2025" s="158" t="s">
        <v>329</v>
      </c>
      <c r="N2025" s="158" t="s">
        <v>6802</v>
      </c>
      <c r="O2025" s="162"/>
      <c r="P2025" s="161">
        <f>5200000*12</f>
        <v>62400000</v>
      </c>
      <c r="Q2025" s="161"/>
      <c r="R2025" s="162"/>
      <c r="S2025" s="163">
        <v>12000000</v>
      </c>
      <c r="T2025" s="164"/>
      <c r="U2025" s="340">
        <v>45572</v>
      </c>
      <c r="V2025" s="340">
        <v>45936</v>
      </c>
      <c r="W2025" s="158" t="s">
        <v>250</v>
      </c>
      <c r="X2025" s="158"/>
      <c r="Y2025" s="34">
        <f t="shared" ca="1" si="122"/>
        <v>46290</v>
      </c>
      <c r="Z2025" s="35">
        <f t="shared" ca="1" si="125"/>
        <v>-354</v>
      </c>
      <c r="AA2025" s="158">
        <f t="shared" si="123"/>
        <v>10</v>
      </c>
      <c r="AB2025" s="158">
        <f t="shared" si="124"/>
        <v>2025</v>
      </c>
      <c r="AC2025" s="159">
        <v>4500021841</v>
      </c>
      <c r="AD2025" s="159" t="s">
        <v>9895</v>
      </c>
      <c r="AE2025" s="184" t="s">
        <v>9896</v>
      </c>
      <c r="AF2025" s="201" t="s">
        <v>333</v>
      </c>
      <c r="AG2025" s="160"/>
      <c r="AH2025" s="160"/>
      <c r="AI2025" s="158"/>
      <c r="AJ2025" s="158"/>
      <c r="AK2025" s="158"/>
      <c r="AL2025" s="158"/>
      <c r="AM2025" s="158"/>
      <c r="AN2025" s="158"/>
      <c r="AO2025" s="158"/>
      <c r="AP2025" s="158" t="s">
        <v>9897</v>
      </c>
      <c r="AQ2025" s="158"/>
      <c r="AR2025" s="507"/>
      <c r="AS2025" s="475"/>
      <c r="AT2025" s="160"/>
    </row>
    <row r="2026" spans="1:46" ht="15" hidden="1" customHeight="1">
      <c r="A2026" s="331">
        <v>2025</v>
      </c>
      <c r="B2026" s="159" t="s">
        <v>71</v>
      </c>
      <c r="C2026" s="159" t="s">
        <v>7060</v>
      </c>
      <c r="D2026" s="438" t="s">
        <v>490</v>
      </c>
      <c r="E2026" s="361" t="str">
        <f t="shared" ca="1" si="121"/>
        <v>LOSS</v>
      </c>
      <c r="F2026" s="160" t="s">
        <v>9898</v>
      </c>
      <c r="G2026" s="159" t="s">
        <v>9899</v>
      </c>
      <c r="H2026" s="160" t="s">
        <v>2748</v>
      </c>
      <c r="I2026" s="160" t="s">
        <v>242</v>
      </c>
      <c r="J2026" s="205" t="s">
        <v>1968</v>
      </c>
      <c r="K2026" s="160"/>
      <c r="L2026" s="158"/>
      <c r="M2026" s="158" t="s">
        <v>365</v>
      </c>
      <c r="N2026" s="158" t="s">
        <v>494</v>
      </c>
      <c r="O2026" s="162"/>
      <c r="P2026" s="161">
        <f>1850000*12</f>
        <v>22200000</v>
      </c>
      <c r="Q2026" s="161"/>
      <c r="R2026" s="162"/>
      <c r="S2026" s="163">
        <v>72000000</v>
      </c>
      <c r="T2026" s="164"/>
      <c r="U2026" s="340">
        <v>45627</v>
      </c>
      <c r="V2026" s="340">
        <v>45991</v>
      </c>
      <c r="W2026" s="158" t="s">
        <v>250</v>
      </c>
      <c r="X2026" s="158"/>
      <c r="Y2026" s="34">
        <f t="shared" ca="1" si="122"/>
        <v>46290</v>
      </c>
      <c r="Z2026" s="35">
        <f t="shared" ca="1" si="125"/>
        <v>-299</v>
      </c>
      <c r="AA2026" s="158">
        <f t="shared" si="123"/>
        <v>11</v>
      </c>
      <c r="AB2026" s="158">
        <f t="shared" si="124"/>
        <v>2025</v>
      </c>
      <c r="AC2026" s="159">
        <v>4500021708</v>
      </c>
      <c r="AD2026" s="159" t="s">
        <v>9900</v>
      </c>
      <c r="AE2026" s="184" t="s">
        <v>9901</v>
      </c>
      <c r="AF2026" s="201" t="s">
        <v>333</v>
      </c>
      <c r="AG2026" s="160"/>
      <c r="AH2026" s="160"/>
      <c r="AI2026" s="158"/>
      <c r="AJ2026" s="158"/>
      <c r="AK2026" s="158"/>
      <c r="AL2026" s="158"/>
      <c r="AM2026" s="158"/>
      <c r="AN2026" s="158"/>
      <c r="AO2026" s="158"/>
      <c r="AP2026" s="158" t="s">
        <v>9902</v>
      </c>
      <c r="AQ2026" s="158"/>
      <c r="AR2026" s="507"/>
      <c r="AS2026" s="475"/>
      <c r="AT2026" s="160"/>
    </row>
    <row r="2027" spans="1:46" ht="15" hidden="1" customHeight="1">
      <c r="A2027" s="331">
        <v>2026</v>
      </c>
      <c r="B2027" s="159" t="s">
        <v>71</v>
      </c>
      <c r="C2027" s="159" t="s">
        <v>6643</v>
      </c>
      <c r="D2027" s="437" t="s">
        <v>490</v>
      </c>
      <c r="E2027" s="361" t="str">
        <f t="shared" ca="1" si="121"/>
        <v>LOSS</v>
      </c>
      <c r="F2027" s="160"/>
      <c r="G2027" s="159" t="s">
        <v>9903</v>
      </c>
      <c r="H2027" s="160" t="s">
        <v>2748</v>
      </c>
      <c r="I2027" s="160" t="s">
        <v>242</v>
      </c>
      <c r="J2027" s="205" t="s">
        <v>9904</v>
      </c>
      <c r="K2027" s="160"/>
      <c r="L2027" s="158"/>
      <c r="M2027" s="158" t="s">
        <v>365</v>
      </c>
      <c r="N2027" s="158" t="s">
        <v>389</v>
      </c>
      <c r="O2027" s="283">
        <f>7000000</f>
        <v>7000000</v>
      </c>
      <c r="P2027" s="161">
        <f>16000000*12</f>
        <v>192000000</v>
      </c>
      <c r="Q2027" s="161"/>
      <c r="R2027" s="162">
        <v>5000000</v>
      </c>
      <c r="S2027" s="163">
        <f>8500000*12</f>
        <v>102000000</v>
      </c>
      <c r="T2027" s="164"/>
      <c r="U2027" s="340">
        <v>45597</v>
      </c>
      <c r="V2027" s="340">
        <v>45961</v>
      </c>
      <c r="W2027" s="158" t="s">
        <v>250</v>
      </c>
      <c r="X2027" s="158"/>
      <c r="Y2027" s="34">
        <f t="shared" ca="1" si="122"/>
        <v>46290</v>
      </c>
      <c r="Z2027" s="35">
        <f t="shared" ca="1" si="125"/>
        <v>-329</v>
      </c>
      <c r="AA2027" s="158">
        <f t="shared" si="123"/>
        <v>10</v>
      </c>
      <c r="AB2027" s="158">
        <f t="shared" si="124"/>
        <v>2025</v>
      </c>
      <c r="AC2027" s="159" t="s">
        <v>479</v>
      </c>
      <c r="AD2027" s="159" t="s">
        <v>9905</v>
      </c>
      <c r="AE2027" s="184" t="s">
        <v>9906</v>
      </c>
      <c r="AF2027" s="201" t="s">
        <v>333</v>
      </c>
      <c r="AG2027" s="160"/>
      <c r="AH2027" s="160"/>
      <c r="AI2027" s="158"/>
      <c r="AJ2027" s="158"/>
      <c r="AK2027" s="158"/>
      <c r="AL2027" s="158"/>
      <c r="AM2027" s="158"/>
      <c r="AN2027" s="158"/>
      <c r="AO2027" s="158"/>
      <c r="AP2027" s="158" t="s">
        <v>9907</v>
      </c>
      <c r="AQ2027" s="158"/>
      <c r="AR2027" s="507"/>
      <c r="AS2027" s="475"/>
      <c r="AT2027" s="160"/>
    </row>
    <row r="2028" spans="1:46" ht="15" hidden="1" customHeight="1">
      <c r="A2028" s="331">
        <v>2027</v>
      </c>
      <c r="B2028" s="159" t="s">
        <v>71</v>
      </c>
      <c r="C2028" s="159" t="s">
        <v>489</v>
      </c>
      <c r="D2028" s="438" t="s">
        <v>490</v>
      </c>
      <c r="E2028" s="361" t="str">
        <f t="shared" ca="1" si="121"/>
        <v>LOSS</v>
      </c>
      <c r="F2028" s="160" t="s">
        <v>491</v>
      </c>
      <c r="G2028" s="159" t="s">
        <v>492</v>
      </c>
      <c r="H2028" s="160" t="s">
        <v>2748</v>
      </c>
      <c r="I2028" s="160" t="s">
        <v>242</v>
      </c>
      <c r="J2028" s="205" t="s">
        <v>493</v>
      </c>
      <c r="K2028" s="160"/>
      <c r="L2028" s="158"/>
      <c r="M2028" s="158" t="s">
        <v>365</v>
      </c>
      <c r="N2028" s="158" t="s">
        <v>494</v>
      </c>
      <c r="O2028" s="162"/>
      <c r="P2028" s="161">
        <f>12977540*12</f>
        <v>155730480</v>
      </c>
      <c r="Q2028" s="161"/>
      <c r="R2028" s="162"/>
      <c r="S2028" s="163">
        <v>18000000</v>
      </c>
      <c r="T2028" s="164"/>
      <c r="U2028" s="340">
        <v>45667</v>
      </c>
      <c r="V2028" s="340">
        <v>46031</v>
      </c>
      <c r="W2028" s="158" t="s">
        <v>250</v>
      </c>
      <c r="X2028" s="158"/>
      <c r="Y2028" s="34">
        <f t="shared" ca="1" si="122"/>
        <v>46290</v>
      </c>
      <c r="Z2028" s="35">
        <f t="shared" ca="1" si="125"/>
        <v>-259</v>
      </c>
      <c r="AA2028" s="158">
        <f t="shared" si="123"/>
        <v>1</v>
      </c>
      <c r="AB2028" s="158">
        <f t="shared" si="124"/>
        <v>2026</v>
      </c>
      <c r="AC2028" s="159">
        <v>4500022157</v>
      </c>
      <c r="AD2028" s="159" t="s">
        <v>495</v>
      </c>
      <c r="AE2028" s="184" t="s">
        <v>496</v>
      </c>
      <c r="AF2028" s="201" t="s">
        <v>333</v>
      </c>
      <c r="AG2028" s="160"/>
      <c r="AH2028" s="160"/>
      <c r="AI2028" s="158"/>
      <c r="AJ2028" s="158"/>
      <c r="AK2028" s="158"/>
      <c r="AL2028" s="158"/>
      <c r="AM2028" s="158"/>
      <c r="AN2028" s="158"/>
      <c r="AO2028" s="158"/>
      <c r="AP2028" s="158" t="s">
        <v>498</v>
      </c>
      <c r="AQ2028" s="158"/>
      <c r="AR2028" s="507"/>
      <c r="AS2028" s="475"/>
      <c r="AT2028" s="160"/>
    </row>
    <row r="2029" spans="1:46" ht="15" hidden="1" customHeight="1">
      <c r="A2029" s="331">
        <v>2028</v>
      </c>
      <c r="B2029" s="159" t="s">
        <v>71</v>
      </c>
      <c r="C2029" s="159" t="s">
        <v>9908</v>
      </c>
      <c r="D2029" s="437" t="s">
        <v>490</v>
      </c>
      <c r="E2029" s="361" t="str">
        <f t="shared" ca="1" si="121"/>
        <v>LOSS</v>
      </c>
      <c r="F2029" s="160" t="s">
        <v>9909</v>
      </c>
      <c r="G2029" s="159" t="s">
        <v>9910</v>
      </c>
      <c r="H2029" s="160" t="s">
        <v>2748</v>
      </c>
      <c r="I2029" s="160" t="s">
        <v>242</v>
      </c>
      <c r="J2029" s="205" t="s">
        <v>9911</v>
      </c>
      <c r="K2029" s="160"/>
      <c r="L2029" s="158"/>
      <c r="M2029" s="158" t="s">
        <v>365</v>
      </c>
      <c r="N2029" s="158" t="s">
        <v>354</v>
      </c>
      <c r="O2029" s="162"/>
      <c r="P2029" s="161">
        <f>5500000*12</f>
        <v>66000000</v>
      </c>
      <c r="Q2029" s="161"/>
      <c r="R2029" s="162"/>
      <c r="S2029" s="163">
        <v>18000000</v>
      </c>
      <c r="T2029" s="164"/>
      <c r="U2029" s="340">
        <v>45623</v>
      </c>
      <c r="V2029" s="340">
        <v>45987</v>
      </c>
      <c r="W2029" s="158" t="s">
        <v>250</v>
      </c>
      <c r="X2029" s="158"/>
      <c r="Y2029" s="34">
        <f t="shared" ca="1" si="122"/>
        <v>46290</v>
      </c>
      <c r="Z2029" s="35">
        <f t="shared" ca="1" si="125"/>
        <v>-303</v>
      </c>
      <c r="AA2029" s="158">
        <f t="shared" si="123"/>
        <v>11</v>
      </c>
      <c r="AB2029" s="158">
        <f t="shared" si="124"/>
        <v>2025</v>
      </c>
      <c r="AC2029" s="159">
        <v>4500021969</v>
      </c>
      <c r="AD2029" s="159" t="s">
        <v>9912</v>
      </c>
      <c r="AE2029" s="184" t="s">
        <v>9913</v>
      </c>
      <c r="AF2029" s="201" t="s">
        <v>333</v>
      </c>
      <c r="AG2029" s="160"/>
      <c r="AH2029" s="160"/>
      <c r="AI2029" s="158"/>
      <c r="AJ2029" s="158"/>
      <c r="AK2029" s="158"/>
      <c r="AL2029" s="158"/>
      <c r="AM2029" s="158"/>
      <c r="AN2029" s="158"/>
      <c r="AO2029" s="158"/>
      <c r="AP2029" s="158" t="s">
        <v>9914</v>
      </c>
      <c r="AQ2029" s="158"/>
      <c r="AR2029" s="507"/>
      <c r="AS2029" s="475"/>
      <c r="AT2029" s="160"/>
    </row>
    <row r="2030" spans="1:46" ht="15" hidden="1" customHeight="1">
      <c r="A2030" s="331">
        <v>2029</v>
      </c>
      <c r="B2030" s="159" t="s">
        <v>71</v>
      </c>
      <c r="C2030" s="159" t="s">
        <v>2451</v>
      </c>
      <c r="D2030" s="438" t="s">
        <v>490</v>
      </c>
      <c r="E2030" s="361" t="str">
        <f t="shared" ca="1" si="121"/>
        <v>LOSS</v>
      </c>
      <c r="F2030" s="160" t="s">
        <v>9806</v>
      </c>
      <c r="G2030" s="159" t="s">
        <v>9807</v>
      </c>
      <c r="H2030" s="160" t="s">
        <v>2748</v>
      </c>
      <c r="I2030" s="160" t="s">
        <v>242</v>
      </c>
      <c r="J2030" s="159" t="s">
        <v>9915</v>
      </c>
      <c r="K2030" s="160"/>
      <c r="L2030" s="158"/>
      <c r="M2030" s="158" t="s">
        <v>9506</v>
      </c>
      <c r="N2030" s="158"/>
      <c r="O2030" s="283">
        <f>5000000</f>
        <v>5000000</v>
      </c>
      <c r="P2030" s="161">
        <f>5000000*12</f>
        <v>60000000</v>
      </c>
      <c r="Q2030" s="161"/>
      <c r="R2030" s="162">
        <v>1500000</v>
      </c>
      <c r="S2030" s="163">
        <f>1500000*12</f>
        <v>18000000</v>
      </c>
      <c r="T2030" s="164"/>
      <c r="U2030" s="340">
        <v>45614</v>
      </c>
      <c r="V2030" s="340">
        <v>45978</v>
      </c>
      <c r="W2030" s="158" t="s">
        <v>250</v>
      </c>
      <c r="X2030" s="158"/>
      <c r="Y2030" s="34">
        <f t="shared" ca="1" si="122"/>
        <v>46290</v>
      </c>
      <c r="Z2030" s="35">
        <f t="shared" ca="1" si="125"/>
        <v>-312</v>
      </c>
      <c r="AA2030" s="158">
        <f t="shared" si="123"/>
        <v>11</v>
      </c>
      <c r="AB2030" s="158">
        <f t="shared" si="124"/>
        <v>2025</v>
      </c>
      <c r="AC2030" s="159" t="s">
        <v>479</v>
      </c>
      <c r="AD2030" s="159" t="s">
        <v>9916</v>
      </c>
      <c r="AE2030" s="184" t="s">
        <v>9917</v>
      </c>
      <c r="AF2030" s="201" t="s">
        <v>333</v>
      </c>
      <c r="AG2030" s="160"/>
      <c r="AH2030" s="160"/>
      <c r="AI2030" s="158"/>
      <c r="AJ2030" s="158"/>
      <c r="AK2030" s="158"/>
      <c r="AL2030" s="158"/>
      <c r="AM2030" s="158"/>
      <c r="AN2030" s="158"/>
      <c r="AO2030" s="158"/>
      <c r="AP2030" s="158" t="s">
        <v>9918</v>
      </c>
      <c r="AQ2030" s="158"/>
      <c r="AR2030" s="507"/>
      <c r="AS2030" s="475"/>
      <c r="AT2030" s="160"/>
    </row>
    <row r="2031" spans="1:46" ht="15" hidden="1" customHeight="1">
      <c r="A2031" s="331">
        <v>2030</v>
      </c>
      <c r="B2031" s="159" t="s">
        <v>2391</v>
      </c>
      <c r="C2031" s="159" t="s">
        <v>2610</v>
      </c>
      <c r="D2031" s="437" t="s">
        <v>3035</v>
      </c>
      <c r="E2031" s="361" t="str">
        <f t="shared" ca="1" si="121"/>
        <v>LOSS</v>
      </c>
      <c r="F2031" s="160"/>
      <c r="G2031" s="159" t="s">
        <v>9919</v>
      </c>
      <c r="H2031" s="160" t="s">
        <v>2748</v>
      </c>
      <c r="I2031" s="160" t="s">
        <v>346</v>
      </c>
      <c r="J2031" s="159" t="s">
        <v>9920</v>
      </c>
      <c r="K2031" s="160"/>
      <c r="L2031" s="158"/>
      <c r="M2031" s="158" t="s">
        <v>365</v>
      </c>
      <c r="N2031" s="158" t="s">
        <v>389</v>
      </c>
      <c r="O2031" s="162"/>
      <c r="P2031" s="161"/>
      <c r="Q2031" s="161"/>
      <c r="R2031" s="162"/>
      <c r="S2031" s="163">
        <v>5000000</v>
      </c>
      <c r="T2031" s="164"/>
      <c r="U2031" s="340">
        <v>45627</v>
      </c>
      <c r="V2031" s="340">
        <v>45991</v>
      </c>
      <c r="W2031" s="158" t="s">
        <v>250</v>
      </c>
      <c r="X2031" s="158"/>
      <c r="Y2031" s="34">
        <f t="shared" ca="1" si="122"/>
        <v>46290</v>
      </c>
      <c r="Z2031" s="35">
        <f t="shared" ca="1" si="125"/>
        <v>-299</v>
      </c>
      <c r="AA2031" s="158">
        <f t="shared" si="123"/>
        <v>11</v>
      </c>
      <c r="AB2031" s="158">
        <f t="shared" si="124"/>
        <v>2025</v>
      </c>
      <c r="AC2031" s="159">
        <v>4500021821</v>
      </c>
      <c r="AD2031" s="159" t="s">
        <v>9921</v>
      </c>
      <c r="AE2031" s="184" t="s">
        <v>9922</v>
      </c>
      <c r="AF2031" s="201" t="s">
        <v>333</v>
      </c>
      <c r="AG2031" s="160"/>
      <c r="AH2031" s="160"/>
      <c r="AI2031" s="158"/>
      <c r="AJ2031" s="158"/>
      <c r="AK2031" s="158"/>
      <c r="AL2031" s="158"/>
      <c r="AM2031" s="158"/>
      <c r="AN2031" s="158"/>
      <c r="AO2031" s="158"/>
      <c r="AP2031" s="158" t="s">
        <v>9923</v>
      </c>
      <c r="AQ2031" s="158"/>
      <c r="AR2031" s="507"/>
      <c r="AS2031" s="475"/>
      <c r="AT2031" s="160"/>
    </row>
    <row r="2032" spans="1:46" ht="15" hidden="1" customHeight="1">
      <c r="A2032" s="331">
        <v>2031</v>
      </c>
      <c r="B2032" s="159" t="s">
        <v>348</v>
      </c>
      <c r="C2032" s="182" t="s">
        <v>9924</v>
      </c>
      <c r="D2032" s="438" t="s">
        <v>9925</v>
      </c>
      <c r="E2032" s="361" t="str">
        <f t="shared" ca="1" si="121"/>
        <v>LOSS</v>
      </c>
      <c r="F2032" s="160"/>
      <c r="G2032" s="182" t="s">
        <v>9926</v>
      </c>
      <c r="H2032" s="160" t="s">
        <v>2748</v>
      </c>
      <c r="I2032" s="160" t="s">
        <v>242</v>
      </c>
      <c r="J2032" s="182" t="s">
        <v>9927</v>
      </c>
      <c r="K2032" s="160"/>
      <c r="L2032" s="158"/>
      <c r="M2032" s="158" t="s">
        <v>365</v>
      </c>
      <c r="N2032" s="158"/>
      <c r="O2032" s="162"/>
      <c r="P2032" s="161">
        <f>90066000*12</f>
        <v>1080792000</v>
      </c>
      <c r="Q2032" s="161"/>
      <c r="R2032" s="162"/>
      <c r="S2032" s="163">
        <v>414839892</v>
      </c>
      <c r="T2032" s="164"/>
      <c r="U2032" s="340">
        <v>45292</v>
      </c>
      <c r="V2032" s="340">
        <v>45657</v>
      </c>
      <c r="W2032" s="158" t="s">
        <v>250</v>
      </c>
      <c r="X2032" s="158"/>
      <c r="Y2032" s="34">
        <f t="shared" ca="1" si="122"/>
        <v>46290</v>
      </c>
      <c r="Z2032" s="35">
        <f t="shared" ca="1" si="125"/>
        <v>-633</v>
      </c>
      <c r="AA2032" s="158">
        <f t="shared" si="123"/>
        <v>12</v>
      </c>
      <c r="AB2032" s="158">
        <f t="shared" si="124"/>
        <v>2024</v>
      </c>
      <c r="AC2032" s="159" t="s">
        <v>479</v>
      </c>
      <c r="AD2032" s="159" t="s">
        <v>9928</v>
      </c>
      <c r="AE2032" s="184" t="s">
        <v>9929</v>
      </c>
      <c r="AF2032" s="201" t="s">
        <v>333</v>
      </c>
      <c r="AG2032" s="160"/>
      <c r="AH2032" s="160"/>
      <c r="AI2032" s="158"/>
      <c r="AJ2032" s="158"/>
      <c r="AK2032" s="158"/>
      <c r="AL2032" s="158"/>
      <c r="AM2032" s="158"/>
      <c r="AN2032" s="158"/>
      <c r="AO2032" s="158"/>
      <c r="AP2032" s="158" t="s">
        <v>9930</v>
      </c>
      <c r="AQ2032" s="158"/>
      <c r="AR2032" s="507"/>
      <c r="AS2032" s="475"/>
      <c r="AT2032" s="160"/>
    </row>
    <row r="2033" spans="1:46" ht="15" hidden="1" customHeight="1">
      <c r="A2033" s="331">
        <v>2032</v>
      </c>
      <c r="B2033" s="159" t="s">
        <v>348</v>
      </c>
      <c r="C2033" s="182" t="s">
        <v>9931</v>
      </c>
      <c r="D2033" s="437" t="s">
        <v>9925</v>
      </c>
      <c r="E2033" s="361" t="str">
        <f t="shared" ca="1" si="121"/>
        <v>LOSS</v>
      </c>
      <c r="F2033" s="203" t="s">
        <v>9932</v>
      </c>
      <c r="G2033" s="182" t="s">
        <v>9933</v>
      </c>
      <c r="H2033" s="160" t="s">
        <v>2748</v>
      </c>
      <c r="I2033" s="160" t="s">
        <v>242</v>
      </c>
      <c r="J2033" s="182" t="s">
        <v>9934</v>
      </c>
      <c r="K2033" s="218" t="s">
        <v>9935</v>
      </c>
      <c r="L2033" s="158"/>
      <c r="M2033" s="158" t="s">
        <v>365</v>
      </c>
      <c r="N2033" s="158"/>
      <c r="O2033" s="162"/>
      <c r="P2033" s="161">
        <f>155500000*12</f>
        <v>1866000000</v>
      </c>
      <c r="Q2033" s="161"/>
      <c r="R2033" s="162"/>
      <c r="S2033" s="163">
        <v>442830420</v>
      </c>
      <c r="T2033" s="164"/>
      <c r="U2033" s="340">
        <v>45292</v>
      </c>
      <c r="V2033" s="340">
        <v>45657</v>
      </c>
      <c r="W2033" s="158" t="s">
        <v>250</v>
      </c>
      <c r="X2033" s="158"/>
      <c r="Y2033" s="34">
        <f t="shared" ca="1" si="122"/>
        <v>46290</v>
      </c>
      <c r="Z2033" s="35">
        <f t="shared" ca="1" si="125"/>
        <v>-633</v>
      </c>
      <c r="AA2033" s="158">
        <f t="shared" ref="AA2033:AA2056" si="126">MONTH(V2033)</f>
        <v>12</v>
      </c>
      <c r="AB2033" s="158">
        <f t="shared" ref="AB2033:AB2056" si="127">YEAR(V2033)</f>
        <v>2024</v>
      </c>
      <c r="AC2033" s="159" t="s">
        <v>479</v>
      </c>
      <c r="AD2033" s="159" t="s">
        <v>9936</v>
      </c>
      <c r="AE2033" s="184" t="s">
        <v>9937</v>
      </c>
      <c r="AF2033" s="201" t="s">
        <v>333</v>
      </c>
      <c r="AG2033" s="160"/>
      <c r="AH2033" s="160"/>
      <c r="AI2033" s="158"/>
      <c r="AJ2033" s="158"/>
      <c r="AK2033" s="158"/>
      <c r="AL2033" s="158"/>
      <c r="AM2033" s="158"/>
      <c r="AN2033" s="158"/>
      <c r="AO2033" s="158"/>
      <c r="AP2033" s="158" t="s">
        <v>9938</v>
      </c>
      <c r="AQ2033" s="158"/>
      <c r="AR2033" s="507"/>
      <c r="AS2033" s="475"/>
      <c r="AT2033" s="160"/>
    </row>
    <row r="2034" spans="1:46" ht="15" hidden="1" customHeight="1">
      <c r="A2034" s="331">
        <v>2033</v>
      </c>
      <c r="B2034" s="159" t="s">
        <v>348</v>
      </c>
      <c r="C2034" s="182" t="s">
        <v>9939</v>
      </c>
      <c r="D2034" s="435" t="s">
        <v>9925</v>
      </c>
      <c r="E2034" s="361" t="str">
        <f t="shared" ca="1" si="121"/>
        <v>LOSS</v>
      </c>
      <c r="F2034" s="160"/>
      <c r="G2034" s="182" t="s">
        <v>9940</v>
      </c>
      <c r="H2034" s="160" t="s">
        <v>2748</v>
      </c>
      <c r="I2034" s="160" t="s">
        <v>242</v>
      </c>
      <c r="J2034" s="182" t="s">
        <v>9941</v>
      </c>
      <c r="K2034" s="218" t="s">
        <v>9942</v>
      </c>
      <c r="L2034" s="158"/>
      <c r="M2034" s="158" t="s">
        <v>365</v>
      </c>
      <c r="N2034" s="158"/>
      <c r="O2034" s="162"/>
      <c r="P2034" s="161">
        <f>69112301*12</f>
        <v>829347612</v>
      </c>
      <c r="Q2034" s="161"/>
      <c r="R2034" s="162"/>
      <c r="S2034" s="163">
        <v>226701900</v>
      </c>
      <c r="T2034" s="164"/>
      <c r="U2034" s="340">
        <v>45292</v>
      </c>
      <c r="V2034" s="340">
        <v>45657</v>
      </c>
      <c r="W2034" s="158" t="s">
        <v>250</v>
      </c>
      <c r="X2034" s="158"/>
      <c r="Y2034" s="34">
        <f t="shared" ca="1" si="122"/>
        <v>46290</v>
      </c>
      <c r="Z2034" s="35">
        <f t="shared" ca="1" si="125"/>
        <v>-633</v>
      </c>
      <c r="AA2034" s="158">
        <f t="shared" si="126"/>
        <v>12</v>
      </c>
      <c r="AB2034" s="158">
        <f t="shared" si="127"/>
        <v>2024</v>
      </c>
      <c r="AC2034" s="159" t="s">
        <v>479</v>
      </c>
      <c r="AD2034" s="159" t="s">
        <v>9943</v>
      </c>
      <c r="AE2034" s="184" t="s">
        <v>9944</v>
      </c>
      <c r="AF2034" s="201" t="s">
        <v>333</v>
      </c>
      <c r="AG2034" s="160"/>
      <c r="AH2034" s="160"/>
      <c r="AI2034" s="158"/>
      <c r="AJ2034" s="158"/>
      <c r="AK2034" s="158"/>
      <c r="AL2034" s="158"/>
      <c r="AM2034" s="158"/>
      <c r="AN2034" s="158"/>
      <c r="AO2034" s="158"/>
      <c r="AP2034" s="158" t="s">
        <v>9945</v>
      </c>
      <c r="AQ2034" s="158"/>
      <c r="AR2034" s="507"/>
      <c r="AS2034" s="475"/>
      <c r="AT2034" s="160"/>
    </row>
    <row r="2035" spans="1:46" ht="15" hidden="1" customHeight="1">
      <c r="A2035" s="331">
        <v>2034</v>
      </c>
      <c r="B2035" s="159" t="s">
        <v>348</v>
      </c>
      <c r="C2035" s="182" t="s">
        <v>9946</v>
      </c>
      <c r="D2035" s="437" t="s">
        <v>9925</v>
      </c>
      <c r="E2035" s="361" t="str">
        <f t="shared" ca="1" si="121"/>
        <v>LOSS</v>
      </c>
      <c r="F2035" s="160"/>
      <c r="G2035" s="182" t="s">
        <v>9947</v>
      </c>
      <c r="H2035" s="160" t="s">
        <v>2748</v>
      </c>
      <c r="I2035" s="160" t="s">
        <v>242</v>
      </c>
      <c r="J2035" s="182" t="s">
        <v>9948</v>
      </c>
      <c r="K2035" s="160"/>
      <c r="L2035" s="158"/>
      <c r="M2035" s="158" t="s">
        <v>365</v>
      </c>
      <c r="N2035" s="158"/>
      <c r="O2035" s="162"/>
      <c r="P2035" s="161">
        <f>107300000*12</f>
        <v>1287600000</v>
      </c>
      <c r="Q2035" s="161"/>
      <c r="R2035" s="162"/>
      <c r="S2035" s="163">
        <f>360976068</f>
        <v>360976068</v>
      </c>
      <c r="T2035" s="164"/>
      <c r="U2035" s="340">
        <v>45292</v>
      </c>
      <c r="V2035" s="340">
        <v>45657</v>
      </c>
      <c r="W2035" s="158" t="s">
        <v>250</v>
      </c>
      <c r="X2035" s="158"/>
      <c r="Y2035" s="34">
        <f t="shared" ca="1" si="122"/>
        <v>46290</v>
      </c>
      <c r="Z2035" s="35">
        <f t="shared" ca="1" si="125"/>
        <v>-633</v>
      </c>
      <c r="AA2035" s="158">
        <f t="shared" si="126"/>
        <v>12</v>
      </c>
      <c r="AB2035" s="158">
        <f t="shared" si="127"/>
        <v>2024</v>
      </c>
      <c r="AC2035" s="159" t="s">
        <v>479</v>
      </c>
      <c r="AD2035" s="159" t="s">
        <v>9949</v>
      </c>
      <c r="AE2035" s="184" t="s">
        <v>9950</v>
      </c>
      <c r="AF2035" s="201" t="s">
        <v>333</v>
      </c>
      <c r="AG2035" s="160"/>
      <c r="AH2035" s="160"/>
      <c r="AI2035" s="158"/>
      <c r="AJ2035" s="158"/>
      <c r="AK2035" s="158"/>
      <c r="AL2035" s="158"/>
      <c r="AM2035" s="158"/>
      <c r="AN2035" s="158"/>
      <c r="AO2035" s="158"/>
      <c r="AP2035" s="158" t="s">
        <v>9951</v>
      </c>
      <c r="AQ2035" s="158"/>
      <c r="AR2035" s="507"/>
      <c r="AS2035" s="475"/>
      <c r="AT2035" s="160"/>
    </row>
    <row r="2036" spans="1:46" ht="15" hidden="1" customHeight="1">
      <c r="A2036" s="331">
        <v>2035</v>
      </c>
      <c r="B2036" s="159" t="s">
        <v>37</v>
      </c>
      <c r="C2036" s="159" t="s">
        <v>9952</v>
      </c>
      <c r="D2036" s="438" t="s">
        <v>6644</v>
      </c>
      <c r="E2036" s="361" t="str">
        <f t="shared" ca="1" si="121"/>
        <v>LOSS</v>
      </c>
      <c r="F2036" s="160" t="s">
        <v>9953</v>
      </c>
      <c r="G2036" s="159" t="s">
        <v>9953</v>
      </c>
      <c r="H2036" s="160" t="s">
        <v>2748</v>
      </c>
      <c r="I2036" s="160" t="s">
        <v>242</v>
      </c>
      <c r="J2036" s="159" t="s">
        <v>1921</v>
      </c>
      <c r="K2036" s="160"/>
      <c r="L2036" s="158"/>
      <c r="M2036" s="158" t="s">
        <v>329</v>
      </c>
      <c r="N2036" s="158" t="s">
        <v>417</v>
      </c>
      <c r="O2036" s="162"/>
      <c r="P2036" s="161">
        <f>14000000*12</f>
        <v>168000000</v>
      </c>
      <c r="Q2036" s="161"/>
      <c r="R2036" s="162"/>
      <c r="S2036" s="163">
        <f>1750000*12</f>
        <v>21000000</v>
      </c>
      <c r="T2036" s="164"/>
      <c r="U2036" s="340">
        <v>45404</v>
      </c>
      <c r="V2036" s="340">
        <v>45768</v>
      </c>
      <c r="W2036" s="158" t="s">
        <v>250</v>
      </c>
      <c r="X2036" s="158"/>
      <c r="Y2036" s="34">
        <f t="shared" ca="1" si="122"/>
        <v>46290</v>
      </c>
      <c r="Z2036" s="35">
        <f t="shared" ca="1" si="125"/>
        <v>-522</v>
      </c>
      <c r="AA2036" s="158">
        <f t="shared" si="126"/>
        <v>4</v>
      </c>
      <c r="AB2036" s="158">
        <f t="shared" si="127"/>
        <v>2025</v>
      </c>
      <c r="AC2036" s="159">
        <v>4500016006</v>
      </c>
      <c r="AD2036" s="159" t="s">
        <v>1922</v>
      </c>
      <c r="AE2036" s="184" t="s">
        <v>9954</v>
      </c>
      <c r="AF2036" s="201" t="s">
        <v>333</v>
      </c>
      <c r="AG2036" s="160"/>
      <c r="AH2036" s="160"/>
      <c r="AI2036" s="158"/>
      <c r="AJ2036" s="158"/>
      <c r="AK2036" s="158"/>
      <c r="AL2036" s="158"/>
      <c r="AM2036" s="158"/>
      <c r="AN2036" s="158"/>
      <c r="AO2036" s="158"/>
      <c r="AP2036" s="158" t="s">
        <v>9955</v>
      </c>
      <c r="AQ2036" s="158"/>
      <c r="AR2036" s="507"/>
      <c r="AS2036" s="475"/>
      <c r="AT2036" s="160"/>
    </row>
    <row r="2037" spans="1:46" ht="15" hidden="1" customHeight="1">
      <c r="A2037" s="331">
        <v>2036</v>
      </c>
      <c r="B2037" s="159" t="s">
        <v>9956</v>
      </c>
      <c r="C2037" s="182" t="s">
        <v>9957</v>
      </c>
      <c r="D2037" s="444" t="s">
        <v>3023</v>
      </c>
      <c r="E2037" s="361" t="str">
        <f t="shared" ca="1" si="121"/>
        <v>LOSS</v>
      </c>
      <c r="F2037" s="160"/>
      <c r="G2037" s="182" t="s">
        <v>9958</v>
      </c>
      <c r="H2037" s="160" t="s">
        <v>2748</v>
      </c>
      <c r="I2037" s="160" t="s">
        <v>346</v>
      </c>
      <c r="J2037" s="182" t="s">
        <v>9959</v>
      </c>
      <c r="K2037" s="160"/>
      <c r="L2037" s="158"/>
      <c r="M2037" s="158" t="s">
        <v>365</v>
      </c>
      <c r="N2037" s="158" t="s">
        <v>417</v>
      </c>
      <c r="O2037" s="162"/>
      <c r="P2037" s="161">
        <f>8618182*12</f>
        <v>103418184</v>
      </c>
      <c r="Q2037" s="161"/>
      <c r="R2037" s="162"/>
      <c r="S2037" s="163">
        <v>36000000</v>
      </c>
      <c r="T2037" s="164"/>
      <c r="U2037" s="340">
        <v>45493</v>
      </c>
      <c r="V2037" s="340">
        <v>45857</v>
      </c>
      <c r="W2037" s="158" t="s">
        <v>17</v>
      </c>
      <c r="X2037" s="158"/>
      <c r="Y2037" s="34">
        <f t="shared" ca="1" si="122"/>
        <v>46290</v>
      </c>
      <c r="Z2037" s="35">
        <f t="shared" ca="1" si="125"/>
        <v>-433</v>
      </c>
      <c r="AA2037" s="158">
        <f t="shared" si="126"/>
        <v>7</v>
      </c>
      <c r="AB2037" s="158">
        <f t="shared" si="127"/>
        <v>2025</v>
      </c>
      <c r="AC2037" s="159">
        <v>4500021351</v>
      </c>
      <c r="AD2037" s="159" t="s">
        <v>9960</v>
      </c>
      <c r="AE2037" s="184" t="s">
        <v>9961</v>
      </c>
      <c r="AF2037" s="201" t="s">
        <v>333</v>
      </c>
      <c r="AG2037" s="160"/>
      <c r="AH2037" s="160"/>
      <c r="AI2037" s="158"/>
      <c r="AJ2037" s="158"/>
      <c r="AK2037" s="158"/>
      <c r="AL2037" s="158"/>
      <c r="AM2037" s="158"/>
      <c r="AN2037" s="158"/>
      <c r="AO2037" s="158"/>
      <c r="AP2037" s="158" t="s">
        <v>9962</v>
      </c>
      <c r="AQ2037" s="158"/>
      <c r="AR2037" s="507"/>
      <c r="AS2037" s="475"/>
      <c r="AT2037" s="160"/>
    </row>
    <row r="2038" spans="1:46" ht="15" hidden="1" customHeight="1">
      <c r="A2038" s="331">
        <v>2037</v>
      </c>
      <c r="B2038" s="159" t="s">
        <v>2391</v>
      </c>
      <c r="C2038" s="159" t="s">
        <v>2610</v>
      </c>
      <c r="D2038" s="438" t="s">
        <v>3035</v>
      </c>
      <c r="E2038" s="361" t="str">
        <f t="shared" ca="1" si="121"/>
        <v>LOSS</v>
      </c>
      <c r="F2038" s="160"/>
      <c r="G2038" s="159" t="s">
        <v>9919</v>
      </c>
      <c r="H2038" s="160" t="s">
        <v>2748</v>
      </c>
      <c r="I2038" s="160" t="s">
        <v>346</v>
      </c>
      <c r="J2038" s="159" t="s">
        <v>9920</v>
      </c>
      <c r="K2038" s="160"/>
      <c r="L2038" s="158"/>
      <c r="M2038" s="158" t="s">
        <v>365</v>
      </c>
      <c r="N2038" s="158" t="s">
        <v>389</v>
      </c>
      <c r="O2038" s="162"/>
      <c r="P2038" s="161"/>
      <c r="Q2038" s="161"/>
      <c r="R2038" s="162"/>
      <c r="S2038" s="163">
        <v>8000000</v>
      </c>
      <c r="T2038" s="164"/>
      <c r="U2038" s="340">
        <v>45627</v>
      </c>
      <c r="V2038" s="340">
        <v>45991</v>
      </c>
      <c r="W2038" s="158" t="s">
        <v>250</v>
      </c>
      <c r="X2038" s="158"/>
      <c r="Y2038" s="34">
        <f t="shared" ca="1" si="122"/>
        <v>46290</v>
      </c>
      <c r="Z2038" s="35">
        <f t="shared" ca="1" si="125"/>
        <v>-299</v>
      </c>
      <c r="AA2038" s="158">
        <f t="shared" si="126"/>
        <v>11</v>
      </c>
      <c r="AB2038" s="158">
        <f t="shared" si="127"/>
        <v>2025</v>
      </c>
      <c r="AC2038" s="159">
        <v>4500021720</v>
      </c>
      <c r="AD2038" s="159" t="s">
        <v>9963</v>
      </c>
      <c r="AE2038" s="184" t="s">
        <v>9964</v>
      </c>
      <c r="AF2038" s="201" t="s">
        <v>333</v>
      </c>
      <c r="AG2038" s="160"/>
      <c r="AH2038" s="160"/>
      <c r="AI2038" s="158"/>
      <c r="AJ2038" s="158"/>
      <c r="AK2038" s="158"/>
      <c r="AL2038" s="158"/>
      <c r="AM2038" s="158"/>
      <c r="AN2038" s="158"/>
      <c r="AO2038" s="158"/>
      <c r="AP2038" s="158" t="s">
        <v>9965</v>
      </c>
      <c r="AQ2038" s="158"/>
      <c r="AR2038" s="507"/>
      <c r="AS2038" s="475"/>
      <c r="AT2038" s="160"/>
    </row>
    <row r="2039" spans="1:46" ht="15" hidden="1" customHeight="1">
      <c r="A2039" s="331">
        <v>2038</v>
      </c>
      <c r="B2039" s="159" t="s">
        <v>450</v>
      </c>
      <c r="C2039" s="159" t="s">
        <v>9889</v>
      </c>
      <c r="D2039" s="437" t="s">
        <v>452</v>
      </c>
      <c r="E2039" s="361" t="str">
        <f t="shared" ca="1" si="121"/>
        <v>LOSS</v>
      </c>
      <c r="F2039" s="160"/>
      <c r="G2039" s="182" t="s">
        <v>9966</v>
      </c>
      <c r="H2039" s="160" t="s">
        <v>2748</v>
      </c>
      <c r="I2039" s="160" t="s">
        <v>242</v>
      </c>
      <c r="J2039" s="159" t="s">
        <v>9967</v>
      </c>
      <c r="K2039" s="219">
        <v>110120202035</v>
      </c>
      <c r="L2039" s="158"/>
      <c r="M2039" s="158" t="s">
        <v>365</v>
      </c>
      <c r="N2039" s="158" t="s">
        <v>362</v>
      </c>
      <c r="O2039" s="162"/>
      <c r="P2039" s="161">
        <f>11300000*12</f>
        <v>135600000</v>
      </c>
      <c r="Q2039" s="161"/>
      <c r="R2039" s="162"/>
      <c r="S2039" s="163">
        <v>2500000</v>
      </c>
      <c r="T2039" s="164"/>
      <c r="U2039" s="340">
        <v>45615</v>
      </c>
      <c r="V2039" s="340">
        <v>45979</v>
      </c>
      <c r="W2039" s="158" t="s">
        <v>17</v>
      </c>
      <c r="X2039" s="158"/>
      <c r="Y2039" s="34">
        <f t="shared" ca="1" si="122"/>
        <v>46290</v>
      </c>
      <c r="Z2039" s="35">
        <f t="shared" ca="1" si="125"/>
        <v>-311</v>
      </c>
      <c r="AA2039" s="158">
        <f t="shared" si="126"/>
        <v>11</v>
      </c>
      <c r="AB2039" s="158">
        <f t="shared" si="127"/>
        <v>2025</v>
      </c>
      <c r="AC2039" s="159">
        <v>4500021842</v>
      </c>
      <c r="AD2039" s="159" t="s">
        <v>9968</v>
      </c>
      <c r="AE2039" s="184" t="s">
        <v>9969</v>
      </c>
      <c r="AF2039" s="201" t="s">
        <v>333</v>
      </c>
      <c r="AG2039" s="160"/>
      <c r="AH2039" s="160"/>
      <c r="AI2039" s="158"/>
      <c r="AJ2039" s="158"/>
      <c r="AK2039" s="158"/>
      <c r="AL2039" s="158"/>
      <c r="AM2039" s="158"/>
      <c r="AN2039" s="158"/>
      <c r="AO2039" s="158"/>
      <c r="AP2039" s="158" t="s">
        <v>9970</v>
      </c>
      <c r="AQ2039" s="158"/>
      <c r="AR2039" s="507"/>
      <c r="AS2039" s="475"/>
      <c r="AT2039" s="160"/>
    </row>
    <row r="2040" spans="1:46" ht="15" hidden="1" customHeight="1">
      <c r="A2040" s="331">
        <v>2039</v>
      </c>
      <c r="B2040" s="159" t="s">
        <v>97</v>
      </c>
      <c r="C2040" s="159" t="s">
        <v>2322</v>
      </c>
      <c r="D2040" s="447" t="s">
        <v>2363</v>
      </c>
      <c r="E2040" s="361" t="str">
        <f t="shared" ca="1" si="121"/>
        <v>LOSS</v>
      </c>
      <c r="F2040" s="160" t="s">
        <v>9971</v>
      </c>
      <c r="G2040" s="159" t="s">
        <v>9972</v>
      </c>
      <c r="H2040" s="160" t="s">
        <v>2748</v>
      </c>
      <c r="I2040" s="160" t="s">
        <v>242</v>
      </c>
      <c r="J2040" s="159" t="s">
        <v>4065</v>
      </c>
      <c r="K2040" s="160"/>
      <c r="L2040" s="158"/>
      <c r="M2040" s="158" t="s">
        <v>365</v>
      </c>
      <c r="N2040" s="158" t="s">
        <v>389</v>
      </c>
      <c r="O2040" s="162"/>
      <c r="P2040" s="161">
        <f>4300000*12</f>
        <v>51600000</v>
      </c>
      <c r="Q2040" s="161"/>
      <c r="R2040" s="162"/>
      <c r="S2040" s="163">
        <v>12000000</v>
      </c>
      <c r="T2040" s="164"/>
      <c r="U2040" s="340">
        <v>45548</v>
      </c>
      <c r="V2040" s="340">
        <v>45912</v>
      </c>
      <c r="W2040" s="158" t="s">
        <v>17</v>
      </c>
      <c r="X2040" s="158"/>
      <c r="Y2040" s="34">
        <f t="shared" ca="1" si="122"/>
        <v>46290</v>
      </c>
      <c r="Z2040" s="35">
        <f t="shared" ca="1" si="125"/>
        <v>-378</v>
      </c>
      <c r="AA2040" s="158">
        <f t="shared" si="126"/>
        <v>9</v>
      </c>
      <c r="AB2040" s="158">
        <f t="shared" si="127"/>
        <v>2025</v>
      </c>
      <c r="AC2040" s="159">
        <v>4500021319</v>
      </c>
      <c r="AD2040" s="159" t="s">
        <v>9973</v>
      </c>
      <c r="AE2040" s="184" t="s">
        <v>9974</v>
      </c>
      <c r="AF2040" s="201" t="s">
        <v>333</v>
      </c>
      <c r="AG2040" s="160"/>
      <c r="AH2040" s="160"/>
      <c r="AI2040" s="158"/>
      <c r="AJ2040" s="158"/>
      <c r="AK2040" s="158"/>
      <c r="AL2040" s="158"/>
      <c r="AM2040" s="158"/>
      <c r="AN2040" s="158"/>
      <c r="AO2040" s="158"/>
      <c r="AP2040" s="158" t="s">
        <v>9975</v>
      </c>
      <c r="AQ2040" s="158"/>
      <c r="AR2040" s="507"/>
      <c r="AS2040" s="475"/>
      <c r="AT2040" s="160"/>
    </row>
    <row r="2041" spans="1:46" ht="15" hidden="1" customHeight="1">
      <c r="A2041" s="331">
        <v>2040</v>
      </c>
      <c r="B2041" s="159" t="s">
        <v>221</v>
      </c>
      <c r="C2041" s="159" t="s">
        <v>8923</v>
      </c>
      <c r="D2041" s="437" t="s">
        <v>369</v>
      </c>
      <c r="E2041" s="361" t="str">
        <f t="shared" ca="1" si="121"/>
        <v>LOSS</v>
      </c>
      <c r="F2041" s="160"/>
      <c r="G2041" s="159" t="s">
        <v>9976</v>
      </c>
      <c r="H2041" s="160" t="s">
        <v>2748</v>
      </c>
      <c r="I2041" s="160" t="s">
        <v>242</v>
      </c>
      <c r="J2041" s="159" t="s">
        <v>9977</v>
      </c>
      <c r="K2041" s="219">
        <v>111202019799</v>
      </c>
      <c r="L2041" s="158"/>
      <c r="M2041" s="158" t="s">
        <v>365</v>
      </c>
      <c r="N2041" s="158" t="s">
        <v>417</v>
      </c>
      <c r="O2041" s="283">
        <f>5000000</f>
        <v>5000000</v>
      </c>
      <c r="P2041" s="161">
        <f>3000000*12</f>
        <v>36000000</v>
      </c>
      <c r="Q2041" s="161"/>
      <c r="R2041" s="163">
        <v>9000000</v>
      </c>
      <c r="S2041" s="163">
        <f>1500000*12</f>
        <v>18000000</v>
      </c>
      <c r="T2041" s="164"/>
      <c r="U2041" s="340">
        <v>45582</v>
      </c>
      <c r="V2041" s="340">
        <v>45946</v>
      </c>
      <c r="W2041" s="158" t="s">
        <v>250</v>
      </c>
      <c r="X2041" s="158"/>
      <c r="Y2041" s="34">
        <f t="shared" ca="1" si="122"/>
        <v>46290</v>
      </c>
      <c r="Z2041" s="35">
        <f t="shared" ca="1" si="125"/>
        <v>-344</v>
      </c>
      <c r="AA2041" s="158">
        <f t="shared" si="126"/>
        <v>10</v>
      </c>
      <c r="AB2041" s="158">
        <f t="shared" si="127"/>
        <v>2025</v>
      </c>
      <c r="AC2041" s="159" t="s">
        <v>479</v>
      </c>
      <c r="AD2041" s="159" t="s">
        <v>9978</v>
      </c>
      <c r="AE2041" s="184" t="s">
        <v>9979</v>
      </c>
      <c r="AF2041" s="201" t="s">
        <v>333</v>
      </c>
      <c r="AG2041" s="160"/>
      <c r="AH2041" s="160"/>
      <c r="AI2041" s="158"/>
      <c r="AJ2041" s="158"/>
      <c r="AK2041" s="158"/>
      <c r="AL2041" s="158"/>
      <c r="AM2041" s="158"/>
      <c r="AN2041" s="158"/>
      <c r="AO2041" s="158"/>
      <c r="AP2041" s="158" t="s">
        <v>9980</v>
      </c>
      <c r="AQ2041" s="158"/>
      <c r="AR2041" s="507"/>
      <c r="AS2041" s="475"/>
      <c r="AT2041" s="160"/>
    </row>
    <row r="2042" spans="1:46" ht="15" hidden="1" customHeight="1">
      <c r="A2042" s="331">
        <v>2041</v>
      </c>
      <c r="B2042" s="159" t="s">
        <v>9981</v>
      </c>
      <c r="C2042" s="182" t="s">
        <v>9982</v>
      </c>
      <c r="D2042" s="445"/>
      <c r="E2042" s="361" t="str">
        <f t="shared" ca="1" si="121"/>
        <v>LOSS</v>
      </c>
      <c r="F2042" s="160"/>
      <c r="G2042" s="160" t="s">
        <v>9983</v>
      </c>
      <c r="H2042" s="160" t="s">
        <v>2748</v>
      </c>
      <c r="I2042" s="160" t="s">
        <v>346</v>
      </c>
      <c r="J2042" s="159"/>
      <c r="K2042" s="203" t="s">
        <v>9984</v>
      </c>
      <c r="L2042" s="158"/>
      <c r="M2042" s="158" t="s">
        <v>353</v>
      </c>
      <c r="N2042" s="158"/>
      <c r="O2042" s="162"/>
      <c r="P2042" s="161">
        <f>31000000*12</f>
        <v>372000000</v>
      </c>
      <c r="Q2042" s="161"/>
      <c r="R2042" s="162"/>
      <c r="S2042" s="163">
        <v>110000000</v>
      </c>
      <c r="T2042" s="164"/>
      <c r="U2042" s="340">
        <v>45570</v>
      </c>
      <c r="V2042" s="340">
        <v>45934</v>
      </c>
      <c r="W2042" s="158" t="s">
        <v>17</v>
      </c>
      <c r="X2042" s="158"/>
      <c r="Y2042" s="34">
        <f t="shared" ca="1" si="122"/>
        <v>46290</v>
      </c>
      <c r="Z2042" s="35">
        <f t="shared" ca="1" si="125"/>
        <v>-356</v>
      </c>
      <c r="AA2042" s="158">
        <f t="shared" si="126"/>
        <v>10</v>
      </c>
      <c r="AB2042" s="158">
        <f t="shared" si="127"/>
        <v>2025</v>
      </c>
      <c r="AC2042" s="159">
        <v>4500021979</v>
      </c>
      <c r="AD2042" s="194" t="s">
        <v>9985</v>
      </c>
      <c r="AE2042" s="184" t="s">
        <v>9986</v>
      </c>
      <c r="AF2042" s="201" t="s">
        <v>339</v>
      </c>
      <c r="AG2042" s="160"/>
      <c r="AH2042" s="160"/>
      <c r="AI2042" s="158"/>
      <c r="AJ2042" s="158"/>
      <c r="AK2042" s="158"/>
      <c r="AL2042" s="158"/>
      <c r="AM2042" s="158"/>
      <c r="AN2042" s="158"/>
      <c r="AO2042" s="158"/>
      <c r="AP2042" s="158" t="s">
        <v>9987</v>
      </c>
      <c r="AQ2042" s="158"/>
      <c r="AR2042" s="507"/>
      <c r="AS2042" s="475"/>
      <c r="AT2042" s="160"/>
    </row>
    <row r="2043" spans="1:46" ht="15" hidden="1" customHeight="1">
      <c r="A2043" s="331">
        <v>2042</v>
      </c>
      <c r="B2043" s="159" t="s">
        <v>97</v>
      </c>
      <c r="C2043" s="159" t="s">
        <v>9988</v>
      </c>
      <c r="D2043" s="447" t="s">
        <v>2363</v>
      </c>
      <c r="E2043" s="361" t="str">
        <f t="shared" ca="1" si="121"/>
        <v>LOSS</v>
      </c>
      <c r="F2043" s="160" t="s">
        <v>9989</v>
      </c>
      <c r="G2043" s="159" t="s">
        <v>9990</v>
      </c>
      <c r="H2043" s="160" t="s">
        <v>2748</v>
      </c>
      <c r="I2043" s="160" t="s">
        <v>242</v>
      </c>
      <c r="J2043" s="182" t="s">
        <v>9991</v>
      </c>
      <c r="K2043" s="160"/>
      <c r="L2043" s="158"/>
      <c r="M2043" s="158" t="s">
        <v>365</v>
      </c>
      <c r="N2043" s="158" t="s">
        <v>417</v>
      </c>
      <c r="O2043" s="162"/>
      <c r="P2043" s="161">
        <f>8000000*12</f>
        <v>96000000</v>
      </c>
      <c r="Q2043" s="161"/>
      <c r="R2043" s="162"/>
      <c r="S2043" s="163">
        <v>24000000</v>
      </c>
      <c r="T2043" s="164"/>
      <c r="U2043" s="340">
        <v>45366</v>
      </c>
      <c r="V2043" s="340">
        <v>45730</v>
      </c>
      <c r="W2043" s="158" t="s">
        <v>17</v>
      </c>
      <c r="X2043" s="158"/>
      <c r="Y2043" s="34">
        <f t="shared" ca="1" si="122"/>
        <v>46290</v>
      </c>
      <c r="Z2043" s="35">
        <f t="shared" ca="1" si="125"/>
        <v>-560</v>
      </c>
      <c r="AA2043" s="158">
        <f t="shared" si="126"/>
        <v>3</v>
      </c>
      <c r="AB2043" s="158">
        <f t="shared" si="127"/>
        <v>2025</v>
      </c>
      <c r="AC2043" s="159">
        <v>4500020115</v>
      </c>
      <c r="AD2043" s="159" t="s">
        <v>4012</v>
      </c>
      <c r="AE2043" s="184" t="s">
        <v>9992</v>
      </c>
      <c r="AF2043" s="201" t="s">
        <v>339</v>
      </c>
      <c r="AG2043" s="160"/>
      <c r="AH2043" s="160"/>
      <c r="AI2043" s="158"/>
      <c r="AJ2043" s="158"/>
      <c r="AK2043" s="158"/>
      <c r="AL2043" s="158"/>
      <c r="AM2043" s="158"/>
      <c r="AN2043" s="158"/>
      <c r="AO2043" s="158"/>
      <c r="AP2043" s="158" t="s">
        <v>9993</v>
      </c>
      <c r="AQ2043" s="158"/>
      <c r="AR2043" s="507"/>
      <c r="AS2043" s="475"/>
      <c r="AT2043" s="160"/>
    </row>
    <row r="2044" spans="1:46" ht="15" hidden="1" customHeight="1">
      <c r="A2044" s="331">
        <v>2043</v>
      </c>
      <c r="B2044" s="159" t="s">
        <v>9994</v>
      </c>
      <c r="C2044" s="159" t="s">
        <v>2606</v>
      </c>
      <c r="D2044" s="445"/>
      <c r="E2044" s="361" t="str">
        <f t="shared" ca="1" si="121"/>
        <v>LOSS</v>
      </c>
      <c r="F2044" s="160"/>
      <c r="G2044" s="159"/>
      <c r="H2044" s="160" t="s">
        <v>2748</v>
      </c>
      <c r="I2044" s="160" t="s">
        <v>346</v>
      </c>
      <c r="J2044" s="159" t="s">
        <v>2608</v>
      </c>
      <c r="K2044" s="160"/>
      <c r="L2044" s="158"/>
      <c r="M2044" s="158" t="s">
        <v>329</v>
      </c>
      <c r="N2044" s="158" t="s">
        <v>9995</v>
      </c>
      <c r="O2044" s="162"/>
      <c r="P2044" s="161">
        <v>350000</v>
      </c>
      <c r="Q2044" s="161"/>
      <c r="R2044" s="162"/>
      <c r="S2044" s="163">
        <v>24000000</v>
      </c>
      <c r="T2044" s="164"/>
      <c r="U2044" s="340">
        <v>45509</v>
      </c>
      <c r="V2044" s="340">
        <v>45873</v>
      </c>
      <c r="W2044" s="158" t="s">
        <v>17</v>
      </c>
      <c r="X2044" s="158"/>
      <c r="Y2044" s="34">
        <f t="shared" ca="1" si="122"/>
        <v>46290</v>
      </c>
      <c r="Z2044" s="35">
        <f t="shared" ca="1" si="125"/>
        <v>-417</v>
      </c>
      <c r="AA2044" s="158">
        <f t="shared" si="126"/>
        <v>8</v>
      </c>
      <c r="AB2044" s="158">
        <f t="shared" si="127"/>
        <v>2025</v>
      </c>
      <c r="AC2044" s="159">
        <v>4500021426</v>
      </c>
      <c r="AD2044" s="159" t="s">
        <v>9996</v>
      </c>
      <c r="AE2044" s="184" t="s">
        <v>9997</v>
      </c>
      <c r="AF2044" s="201" t="s">
        <v>339</v>
      </c>
      <c r="AG2044" s="160"/>
      <c r="AH2044" s="160"/>
      <c r="AI2044" s="158"/>
      <c r="AJ2044" s="158"/>
      <c r="AK2044" s="158"/>
      <c r="AL2044" s="158"/>
      <c r="AM2044" s="158"/>
      <c r="AN2044" s="158"/>
      <c r="AO2044" s="158"/>
      <c r="AP2044" s="158" t="s">
        <v>9998</v>
      </c>
      <c r="AQ2044" s="158"/>
      <c r="AR2044" s="507"/>
      <c r="AS2044" s="475"/>
      <c r="AT2044" s="160"/>
    </row>
    <row r="2045" spans="1:46" ht="15" hidden="1" customHeight="1">
      <c r="A2045" s="331">
        <v>2044</v>
      </c>
      <c r="B2045" s="159" t="s">
        <v>169</v>
      </c>
      <c r="C2045" s="159" t="s">
        <v>9999</v>
      </c>
      <c r="D2045" s="436" t="s">
        <v>862</v>
      </c>
      <c r="E2045" s="361" t="str">
        <f t="shared" ca="1" si="121"/>
        <v>LOSS</v>
      </c>
      <c r="F2045" s="160"/>
      <c r="G2045" s="159"/>
      <c r="H2045" s="160" t="s">
        <v>2748</v>
      </c>
      <c r="I2045" s="160" t="s">
        <v>242</v>
      </c>
      <c r="J2045" s="159" t="s">
        <v>188</v>
      </c>
      <c r="K2045" s="160"/>
      <c r="L2045" s="158"/>
      <c r="M2045" s="158" t="s">
        <v>365</v>
      </c>
      <c r="N2045" s="158" t="s">
        <v>6735</v>
      </c>
      <c r="O2045" s="162"/>
      <c r="P2045" s="161">
        <f>110000000*12</f>
        <v>1320000000</v>
      </c>
      <c r="Q2045" s="161"/>
      <c r="R2045" s="162"/>
      <c r="S2045" s="163">
        <v>18000000</v>
      </c>
      <c r="T2045" s="164"/>
      <c r="U2045" s="340">
        <v>45506</v>
      </c>
      <c r="V2045" s="340">
        <v>45870</v>
      </c>
      <c r="W2045" s="158" t="s">
        <v>17</v>
      </c>
      <c r="X2045" s="158"/>
      <c r="Y2045" s="34">
        <f t="shared" ca="1" si="122"/>
        <v>46290</v>
      </c>
      <c r="Z2045" s="35">
        <f t="shared" ca="1" si="125"/>
        <v>-420</v>
      </c>
      <c r="AA2045" s="158">
        <f t="shared" si="126"/>
        <v>8</v>
      </c>
      <c r="AB2045" s="158">
        <f t="shared" si="127"/>
        <v>2025</v>
      </c>
      <c r="AC2045" s="159">
        <v>4500021193</v>
      </c>
      <c r="AD2045" s="194" t="s">
        <v>9462</v>
      </c>
      <c r="AE2045" s="286" t="s">
        <v>9463</v>
      </c>
      <c r="AF2045" s="201" t="s">
        <v>339</v>
      </c>
      <c r="AG2045" s="160"/>
      <c r="AH2045" s="160"/>
      <c r="AI2045" s="158"/>
      <c r="AJ2045" s="158"/>
      <c r="AK2045" s="158"/>
      <c r="AL2045" s="158"/>
      <c r="AM2045" s="158"/>
      <c r="AN2045" s="158"/>
      <c r="AO2045" s="158"/>
      <c r="AP2045" s="158" t="s">
        <v>9464</v>
      </c>
      <c r="AQ2045" s="158"/>
      <c r="AR2045" s="507"/>
      <c r="AS2045" s="475"/>
      <c r="AT2045" s="160"/>
    </row>
    <row r="2046" spans="1:46" ht="15" hidden="1" customHeight="1">
      <c r="A2046" s="331">
        <v>2045</v>
      </c>
      <c r="B2046" s="159" t="s">
        <v>10000</v>
      </c>
      <c r="C2046" s="159" t="s">
        <v>5052</v>
      </c>
      <c r="D2046" s="438" t="s">
        <v>2447</v>
      </c>
      <c r="E2046" s="361" t="str">
        <f t="shared" ca="1" si="121"/>
        <v>LOSS</v>
      </c>
      <c r="F2046" s="160"/>
      <c r="G2046" s="159" t="s">
        <v>10001</v>
      </c>
      <c r="H2046" s="160" t="s">
        <v>2748</v>
      </c>
      <c r="I2046" s="160" t="s">
        <v>346</v>
      </c>
      <c r="J2046" s="219"/>
      <c r="K2046" s="219">
        <v>110120214842</v>
      </c>
      <c r="L2046" s="158"/>
      <c r="M2046" s="158" t="s">
        <v>9506</v>
      </c>
      <c r="N2046" s="158" t="s">
        <v>362</v>
      </c>
      <c r="O2046" s="162"/>
      <c r="P2046" s="161">
        <f>3562500*12</f>
        <v>42750000</v>
      </c>
      <c r="Q2046" s="161"/>
      <c r="R2046" s="162"/>
      <c r="S2046" s="163">
        <v>23962320</v>
      </c>
      <c r="T2046" s="164"/>
      <c r="U2046" s="340">
        <v>45561</v>
      </c>
      <c r="V2046" s="340">
        <v>45925</v>
      </c>
      <c r="W2046" s="158" t="s">
        <v>250</v>
      </c>
      <c r="X2046" s="158"/>
      <c r="Y2046" s="34">
        <f t="shared" ca="1" si="122"/>
        <v>46290</v>
      </c>
      <c r="Z2046" s="35">
        <f t="shared" ca="1" si="125"/>
        <v>-365</v>
      </c>
      <c r="AA2046" s="158">
        <f t="shared" si="126"/>
        <v>9</v>
      </c>
      <c r="AB2046" s="158">
        <f t="shared" si="127"/>
        <v>2025</v>
      </c>
      <c r="AC2046" s="159">
        <v>4500022324</v>
      </c>
      <c r="AD2046" s="159" t="s">
        <v>10002</v>
      </c>
      <c r="AE2046" s="184" t="s">
        <v>10003</v>
      </c>
      <c r="AF2046" s="201" t="s">
        <v>339</v>
      </c>
      <c r="AG2046" s="160"/>
      <c r="AH2046" s="160"/>
      <c r="AI2046" s="158"/>
      <c r="AJ2046" s="158"/>
      <c r="AK2046" s="158"/>
      <c r="AL2046" s="158"/>
      <c r="AM2046" s="158"/>
      <c r="AN2046" s="158"/>
      <c r="AO2046" s="158"/>
      <c r="AP2046" s="158" t="s">
        <v>10004</v>
      </c>
      <c r="AQ2046" s="158"/>
      <c r="AR2046" s="507"/>
      <c r="AS2046" s="475"/>
      <c r="AT2046" s="160"/>
    </row>
    <row r="2047" spans="1:46" ht="15" hidden="1" customHeight="1">
      <c r="A2047" s="331">
        <v>2046</v>
      </c>
      <c r="B2047" s="159" t="s">
        <v>169</v>
      </c>
      <c r="C2047" s="159" t="s">
        <v>1192</v>
      </c>
      <c r="D2047" s="437" t="s">
        <v>862</v>
      </c>
      <c r="E2047" s="361" t="str">
        <f t="shared" ca="1" si="121"/>
        <v>LOSS</v>
      </c>
      <c r="F2047" s="160" t="s">
        <v>10005</v>
      </c>
      <c r="G2047" s="159"/>
      <c r="H2047" s="160" t="s">
        <v>2748</v>
      </c>
      <c r="I2047" s="160" t="s">
        <v>242</v>
      </c>
      <c r="J2047" s="216" t="s">
        <v>10006</v>
      </c>
      <c r="K2047" s="160"/>
      <c r="L2047" s="158"/>
      <c r="M2047" s="158" t="s">
        <v>365</v>
      </c>
      <c r="N2047" s="158"/>
      <c r="O2047" s="162"/>
      <c r="P2047" s="161">
        <v>551000000</v>
      </c>
      <c r="Q2047" s="161"/>
      <c r="R2047" s="162"/>
      <c r="S2047" s="163">
        <v>18000000</v>
      </c>
      <c r="T2047" s="164"/>
      <c r="U2047" s="340">
        <v>45358</v>
      </c>
      <c r="V2047" s="340">
        <v>45695</v>
      </c>
      <c r="W2047" s="158" t="s">
        <v>17</v>
      </c>
      <c r="X2047" s="158"/>
      <c r="Y2047" s="34">
        <f t="shared" ca="1" si="122"/>
        <v>46290</v>
      </c>
      <c r="Z2047" s="35">
        <f t="shared" ca="1" si="125"/>
        <v>-595</v>
      </c>
      <c r="AA2047" s="158">
        <f t="shared" si="126"/>
        <v>2</v>
      </c>
      <c r="AB2047" s="158">
        <f t="shared" si="127"/>
        <v>2025</v>
      </c>
      <c r="AC2047" s="159">
        <v>4500021078</v>
      </c>
      <c r="AD2047" s="159" t="s">
        <v>9456</v>
      </c>
      <c r="AE2047" s="286" t="s">
        <v>9457</v>
      </c>
      <c r="AF2047" s="201" t="s">
        <v>339</v>
      </c>
      <c r="AG2047" s="160"/>
      <c r="AH2047" s="160"/>
      <c r="AI2047" s="158"/>
      <c r="AJ2047" s="158"/>
      <c r="AK2047" s="158"/>
      <c r="AL2047" s="158"/>
      <c r="AM2047" s="158"/>
      <c r="AN2047" s="158"/>
      <c r="AO2047" s="158"/>
      <c r="AP2047" s="158" t="s">
        <v>9458</v>
      </c>
      <c r="AQ2047" s="158"/>
      <c r="AR2047" s="507"/>
      <c r="AS2047" s="475"/>
      <c r="AT2047" s="160"/>
    </row>
    <row r="2048" spans="1:46" ht="15" hidden="1" customHeight="1">
      <c r="A2048" s="331">
        <v>2047</v>
      </c>
      <c r="B2048" s="159" t="s">
        <v>2593</v>
      </c>
      <c r="C2048" s="159" t="s">
        <v>10007</v>
      </c>
      <c r="D2048" s="438" t="s">
        <v>5505</v>
      </c>
      <c r="E2048" s="361" t="str">
        <f t="shared" ca="1" si="121"/>
        <v>LOSS</v>
      </c>
      <c r="F2048" s="160"/>
      <c r="G2048" s="159" t="s">
        <v>10008</v>
      </c>
      <c r="H2048" s="160" t="s">
        <v>2748</v>
      </c>
      <c r="I2048" s="160" t="s">
        <v>346</v>
      </c>
      <c r="J2048" s="159" t="s">
        <v>10009</v>
      </c>
      <c r="K2048" s="160"/>
      <c r="L2048" s="158"/>
      <c r="M2048" s="158" t="s">
        <v>353</v>
      </c>
      <c r="N2048" s="158" t="s">
        <v>389</v>
      </c>
      <c r="O2048" s="162"/>
      <c r="P2048" s="161">
        <f>13750000*6</f>
        <v>82500000</v>
      </c>
      <c r="Q2048" s="161"/>
      <c r="R2048" s="162"/>
      <c r="S2048" s="163">
        <v>21705474</v>
      </c>
      <c r="T2048" s="164"/>
      <c r="U2048" s="340">
        <v>45509</v>
      </c>
      <c r="V2048" s="340">
        <v>45692</v>
      </c>
      <c r="W2048" s="158" t="s">
        <v>250</v>
      </c>
      <c r="X2048" s="158"/>
      <c r="Y2048" s="34">
        <f t="shared" ca="1" si="122"/>
        <v>46290</v>
      </c>
      <c r="Z2048" s="35">
        <f t="shared" ca="1" si="125"/>
        <v>-598</v>
      </c>
      <c r="AA2048" s="158">
        <f t="shared" si="126"/>
        <v>2</v>
      </c>
      <c r="AB2048" s="158">
        <f t="shared" si="127"/>
        <v>2025</v>
      </c>
      <c r="AC2048" s="159">
        <v>4500021425</v>
      </c>
      <c r="AD2048" s="159" t="s">
        <v>10010</v>
      </c>
      <c r="AE2048" s="184" t="s">
        <v>10011</v>
      </c>
      <c r="AF2048" s="201" t="s">
        <v>339</v>
      </c>
      <c r="AG2048" s="160"/>
      <c r="AH2048" s="160"/>
      <c r="AI2048" s="158"/>
      <c r="AJ2048" s="158"/>
      <c r="AK2048" s="158"/>
      <c r="AL2048" s="158"/>
      <c r="AM2048" s="158"/>
      <c r="AN2048" s="158"/>
      <c r="AO2048" s="158"/>
      <c r="AP2048" s="158" t="s">
        <v>10012</v>
      </c>
      <c r="AQ2048" s="158"/>
      <c r="AR2048" s="507"/>
      <c r="AS2048" s="475"/>
      <c r="AT2048" s="160"/>
    </row>
    <row r="2049" spans="1:46" ht="15" hidden="1" customHeight="1">
      <c r="A2049" s="331">
        <v>2048</v>
      </c>
      <c r="B2049" s="159" t="s">
        <v>2593</v>
      </c>
      <c r="C2049" s="159" t="s">
        <v>10007</v>
      </c>
      <c r="D2049" s="437" t="s">
        <v>5505</v>
      </c>
      <c r="E2049" s="361" t="str">
        <f t="shared" ca="1" si="121"/>
        <v>LOSS</v>
      </c>
      <c r="F2049" s="160"/>
      <c r="G2049" s="159" t="s">
        <v>10013</v>
      </c>
      <c r="H2049" s="160" t="s">
        <v>2748</v>
      </c>
      <c r="I2049" s="160" t="s">
        <v>346</v>
      </c>
      <c r="J2049" s="159">
        <v>1000295933</v>
      </c>
      <c r="K2049" s="160"/>
      <c r="L2049" s="158"/>
      <c r="M2049" s="158" t="s">
        <v>365</v>
      </c>
      <c r="N2049" s="158" t="s">
        <v>389</v>
      </c>
      <c r="O2049" s="162"/>
      <c r="P2049" s="161">
        <f>13750000*6</f>
        <v>82500000</v>
      </c>
      <c r="Q2049" s="161"/>
      <c r="R2049" s="162"/>
      <c r="S2049" s="163">
        <v>21705474</v>
      </c>
      <c r="T2049" s="164"/>
      <c r="U2049" s="340">
        <v>45502</v>
      </c>
      <c r="V2049" s="340">
        <v>45685</v>
      </c>
      <c r="W2049" s="158" t="s">
        <v>250</v>
      </c>
      <c r="X2049" s="158"/>
      <c r="Y2049" s="34">
        <f t="shared" ca="1" si="122"/>
        <v>46290</v>
      </c>
      <c r="Z2049" s="35">
        <f t="shared" ca="1" si="125"/>
        <v>-605</v>
      </c>
      <c r="AA2049" s="158">
        <f t="shared" si="126"/>
        <v>1</v>
      </c>
      <c r="AB2049" s="158">
        <f t="shared" si="127"/>
        <v>2025</v>
      </c>
      <c r="AC2049" s="159">
        <v>4500022208</v>
      </c>
      <c r="AD2049" s="159" t="s">
        <v>10014</v>
      </c>
      <c r="AE2049" s="184" t="s">
        <v>10015</v>
      </c>
      <c r="AF2049" s="201" t="s">
        <v>339</v>
      </c>
      <c r="AG2049" s="160"/>
      <c r="AH2049" s="160"/>
      <c r="AI2049" s="158"/>
      <c r="AJ2049" s="158"/>
      <c r="AK2049" s="158"/>
      <c r="AL2049" s="158"/>
      <c r="AM2049" s="158"/>
      <c r="AN2049" s="158"/>
      <c r="AO2049" s="158"/>
      <c r="AP2049" s="158" t="s">
        <v>10016</v>
      </c>
      <c r="AQ2049" s="158"/>
      <c r="AR2049" s="507"/>
      <c r="AS2049" s="475"/>
      <c r="AT2049" s="160"/>
    </row>
    <row r="2050" spans="1:46" ht="15" hidden="1" customHeight="1">
      <c r="A2050" s="331">
        <v>2049</v>
      </c>
      <c r="B2050" s="159" t="s">
        <v>628</v>
      </c>
      <c r="C2050" s="159" t="s">
        <v>1354</v>
      </c>
      <c r="D2050" s="438" t="s">
        <v>7640</v>
      </c>
      <c r="E2050" s="361" t="str">
        <f t="shared" ref="E2050:E2113" ca="1" si="128">IF(Z2050&lt;=0, "LOSS",IF(Z2050&lt;=15, "CRITICAL",IF(Z2050&lt;=30, "WARNING",IF(Z2050&lt;60, "ATTENTION", "ON TRACK"))))</f>
        <v>LOSS</v>
      </c>
      <c r="F2050" s="160"/>
      <c r="G2050" s="159" t="s">
        <v>10017</v>
      </c>
      <c r="H2050" s="160" t="s">
        <v>2748</v>
      </c>
      <c r="I2050" s="160" t="s">
        <v>346</v>
      </c>
      <c r="J2050" s="219">
        <v>110160103543</v>
      </c>
      <c r="K2050" s="181" t="s">
        <v>10018</v>
      </c>
      <c r="L2050" s="158"/>
      <c r="M2050" s="158" t="s">
        <v>353</v>
      </c>
      <c r="N2050" s="158" t="s">
        <v>417</v>
      </c>
      <c r="O2050" s="162"/>
      <c r="P2050" s="161">
        <f>4400000*12</f>
        <v>52800000</v>
      </c>
      <c r="Q2050" s="161"/>
      <c r="R2050" s="162"/>
      <c r="S2050" s="163">
        <v>120000000</v>
      </c>
      <c r="T2050" s="164"/>
      <c r="U2050" s="340">
        <v>45474</v>
      </c>
      <c r="V2050" s="340">
        <v>45838</v>
      </c>
      <c r="W2050" s="158" t="s">
        <v>17</v>
      </c>
      <c r="X2050" s="158"/>
      <c r="Y2050" s="34">
        <f t="shared" ca="1" si="122"/>
        <v>46290</v>
      </c>
      <c r="Z2050" s="35">
        <f t="shared" ca="1" si="125"/>
        <v>-452</v>
      </c>
      <c r="AA2050" s="158">
        <f t="shared" si="126"/>
        <v>6</v>
      </c>
      <c r="AB2050" s="158">
        <f t="shared" si="127"/>
        <v>2025</v>
      </c>
      <c r="AC2050" s="159">
        <v>4500021833</v>
      </c>
      <c r="AD2050" s="159" t="s">
        <v>10019</v>
      </c>
      <c r="AE2050" s="184" t="s">
        <v>10020</v>
      </c>
      <c r="AF2050" s="201" t="s">
        <v>339</v>
      </c>
      <c r="AG2050" s="160"/>
      <c r="AH2050" s="174" t="s">
        <v>634</v>
      </c>
      <c r="AI2050" s="158"/>
      <c r="AJ2050" s="158"/>
      <c r="AK2050" s="158"/>
      <c r="AL2050" s="158"/>
      <c r="AM2050" s="158"/>
      <c r="AN2050" s="158"/>
      <c r="AO2050" s="158"/>
      <c r="AP2050" s="158">
        <v>519</v>
      </c>
      <c r="AQ2050" s="158"/>
      <c r="AR2050" s="507"/>
      <c r="AS2050" s="475"/>
      <c r="AT2050" s="160"/>
    </row>
    <row r="2051" spans="1:46" ht="15" hidden="1" customHeight="1">
      <c r="A2051" s="331">
        <v>2050</v>
      </c>
      <c r="B2051" s="159" t="s">
        <v>966</v>
      </c>
      <c r="C2051" s="159" t="s">
        <v>10021</v>
      </c>
      <c r="D2051" s="437" t="s">
        <v>4282</v>
      </c>
      <c r="E2051" s="361" t="str">
        <f t="shared" ca="1" si="128"/>
        <v>LOSS</v>
      </c>
      <c r="F2051" s="160"/>
      <c r="G2051" s="159" t="s">
        <v>10022</v>
      </c>
      <c r="H2051" s="160" t="s">
        <v>2748</v>
      </c>
      <c r="I2051" s="160" t="s">
        <v>346</v>
      </c>
      <c r="J2051" s="219">
        <v>110130306740</v>
      </c>
      <c r="K2051" s="181" t="s">
        <v>10023</v>
      </c>
      <c r="L2051" s="158"/>
      <c r="M2051" s="158" t="s">
        <v>353</v>
      </c>
      <c r="N2051" s="158" t="s">
        <v>6735</v>
      </c>
      <c r="O2051" s="162"/>
      <c r="P2051" s="161">
        <f>4000000*12</f>
        <v>48000000</v>
      </c>
      <c r="Q2051" s="161"/>
      <c r="R2051" s="162"/>
      <c r="S2051" s="163">
        <v>15000000</v>
      </c>
      <c r="T2051" s="164"/>
      <c r="U2051" s="340">
        <v>45598</v>
      </c>
      <c r="V2051" s="340">
        <v>45962</v>
      </c>
      <c r="W2051" s="158" t="s">
        <v>250</v>
      </c>
      <c r="X2051" s="158"/>
      <c r="Y2051" s="34">
        <f t="shared" ca="1" si="122"/>
        <v>46290</v>
      </c>
      <c r="Z2051" s="35">
        <f t="shared" ca="1" si="125"/>
        <v>-328</v>
      </c>
      <c r="AA2051" s="158">
        <f t="shared" si="126"/>
        <v>11</v>
      </c>
      <c r="AB2051" s="158">
        <f t="shared" si="127"/>
        <v>2025</v>
      </c>
      <c r="AC2051" s="159">
        <v>4500022100</v>
      </c>
      <c r="AD2051" s="159" t="s">
        <v>10024</v>
      </c>
      <c r="AE2051" s="184" t="s">
        <v>10025</v>
      </c>
      <c r="AF2051" s="201" t="s">
        <v>339</v>
      </c>
      <c r="AG2051" s="160"/>
      <c r="AH2051" s="160"/>
      <c r="AI2051" s="158"/>
      <c r="AJ2051" s="158"/>
      <c r="AK2051" s="158"/>
      <c r="AL2051" s="158"/>
      <c r="AM2051" s="158"/>
      <c r="AN2051" s="158"/>
      <c r="AO2051" s="158"/>
      <c r="AP2051" s="158" t="s">
        <v>10026</v>
      </c>
      <c r="AQ2051" s="158"/>
      <c r="AR2051" s="507"/>
      <c r="AS2051" s="475"/>
      <c r="AT2051" s="160"/>
    </row>
    <row r="2052" spans="1:46" ht="15" hidden="1" customHeight="1">
      <c r="A2052" s="331">
        <v>2051</v>
      </c>
      <c r="B2052" s="28" t="s">
        <v>669</v>
      </c>
      <c r="C2052" s="159" t="s">
        <v>670</v>
      </c>
      <c r="D2052" s="438" t="s">
        <v>6357</v>
      </c>
      <c r="E2052" s="361" t="str">
        <f t="shared" ca="1" si="128"/>
        <v>LOSS</v>
      </c>
      <c r="F2052" s="160"/>
      <c r="G2052" s="159"/>
      <c r="H2052" s="160" t="s">
        <v>2748</v>
      </c>
      <c r="I2052" s="160" t="s">
        <v>346</v>
      </c>
      <c r="J2052" s="219">
        <v>110120209023</v>
      </c>
      <c r="K2052" s="181" t="s">
        <v>10027</v>
      </c>
      <c r="L2052" s="158"/>
      <c r="M2052" s="158"/>
      <c r="N2052" s="158"/>
      <c r="O2052" s="162"/>
      <c r="P2052" s="161">
        <f>17995000*12</f>
        <v>215940000</v>
      </c>
      <c r="Q2052" s="161"/>
      <c r="R2052" s="162"/>
      <c r="S2052" s="163">
        <v>120858186</v>
      </c>
      <c r="T2052" s="164"/>
      <c r="U2052" s="340">
        <v>45536</v>
      </c>
      <c r="V2052" s="340">
        <v>45900</v>
      </c>
      <c r="W2052" s="158" t="s">
        <v>17</v>
      </c>
      <c r="X2052" s="158"/>
      <c r="Y2052" s="34">
        <f t="shared" ca="1" si="122"/>
        <v>46290</v>
      </c>
      <c r="Z2052" s="35">
        <f t="shared" ca="1" si="125"/>
        <v>-390</v>
      </c>
      <c r="AA2052" s="158">
        <f t="shared" si="126"/>
        <v>8</v>
      </c>
      <c r="AB2052" s="158">
        <f t="shared" si="127"/>
        <v>2025</v>
      </c>
      <c r="AC2052" s="159">
        <v>4500019109</v>
      </c>
      <c r="AD2052" s="159" t="s">
        <v>10028</v>
      </c>
      <c r="AE2052" s="184" t="s">
        <v>10029</v>
      </c>
      <c r="AF2052" s="201" t="s">
        <v>339</v>
      </c>
      <c r="AG2052" s="160"/>
      <c r="AH2052" s="160"/>
      <c r="AI2052" s="158"/>
      <c r="AJ2052" s="158"/>
      <c r="AK2052" s="158"/>
      <c r="AL2052" s="158"/>
      <c r="AM2052" s="158"/>
      <c r="AN2052" s="158"/>
      <c r="AO2052" s="158"/>
      <c r="AP2052" s="158" t="s">
        <v>10030</v>
      </c>
      <c r="AQ2052" s="158"/>
      <c r="AR2052" s="507"/>
      <c r="AS2052" s="475"/>
      <c r="AT2052" s="160"/>
    </row>
    <row r="2053" spans="1:46" ht="15" hidden="1" customHeight="1">
      <c r="A2053" s="331">
        <v>2052</v>
      </c>
      <c r="B2053" s="159" t="s">
        <v>962</v>
      </c>
      <c r="C2053" s="159" t="s">
        <v>10031</v>
      </c>
      <c r="D2053" s="437" t="s">
        <v>7175</v>
      </c>
      <c r="E2053" s="361" t="str">
        <f t="shared" ca="1" si="128"/>
        <v>LOSS</v>
      </c>
      <c r="F2053" s="160" t="s">
        <v>10032</v>
      </c>
      <c r="G2053" s="159" t="s">
        <v>9429</v>
      </c>
      <c r="H2053" s="160" t="s">
        <v>2748</v>
      </c>
      <c r="I2053" s="160" t="s">
        <v>346</v>
      </c>
      <c r="J2053" s="219">
        <v>110120519250</v>
      </c>
      <c r="K2053" s="181" t="s">
        <v>10033</v>
      </c>
      <c r="L2053" s="158"/>
      <c r="M2053" s="158" t="s">
        <v>329</v>
      </c>
      <c r="N2053" s="158" t="s">
        <v>7193</v>
      </c>
      <c r="O2053" s="162"/>
      <c r="P2053" s="161">
        <f>8000000*12</f>
        <v>96000000</v>
      </c>
      <c r="Q2053" s="161"/>
      <c r="R2053" s="162"/>
      <c r="S2053" s="163">
        <v>9000000</v>
      </c>
      <c r="T2053" s="164"/>
      <c r="U2053" s="340">
        <v>45400</v>
      </c>
      <c r="V2053" s="340">
        <v>45764</v>
      </c>
      <c r="W2053" s="158" t="s">
        <v>17</v>
      </c>
      <c r="X2053" s="158"/>
      <c r="Y2053" s="34">
        <f t="shared" ca="1" si="122"/>
        <v>46290</v>
      </c>
      <c r="Z2053" s="35">
        <f t="shared" ca="1" si="125"/>
        <v>-526</v>
      </c>
      <c r="AA2053" s="158">
        <f t="shared" si="126"/>
        <v>4</v>
      </c>
      <c r="AB2053" s="158">
        <f t="shared" si="127"/>
        <v>2025</v>
      </c>
      <c r="AC2053" s="159">
        <v>4500022061</v>
      </c>
      <c r="AD2053" s="159" t="s">
        <v>10034</v>
      </c>
      <c r="AE2053" s="184" t="s">
        <v>10035</v>
      </c>
      <c r="AF2053" s="201" t="s">
        <v>339</v>
      </c>
      <c r="AG2053" s="160"/>
      <c r="AH2053" s="160"/>
      <c r="AI2053" s="158"/>
      <c r="AJ2053" s="158"/>
      <c r="AK2053" s="158"/>
      <c r="AL2053" s="158"/>
      <c r="AM2053" s="158"/>
      <c r="AN2053" s="158"/>
      <c r="AO2053" s="158"/>
      <c r="AP2053" s="158" t="s">
        <v>10036</v>
      </c>
      <c r="AQ2053" s="158"/>
      <c r="AR2053" s="507"/>
      <c r="AS2053" s="475"/>
      <c r="AT2053" s="160"/>
    </row>
    <row r="2054" spans="1:46" ht="15" hidden="1" customHeight="1">
      <c r="A2054" s="331">
        <v>2053</v>
      </c>
      <c r="B2054" s="28" t="s">
        <v>114</v>
      </c>
      <c r="C2054" s="159" t="s">
        <v>344</v>
      </c>
      <c r="D2054" s="438" t="s">
        <v>764</v>
      </c>
      <c r="E2054" s="361" t="str">
        <f t="shared" ca="1" si="128"/>
        <v>LOSS</v>
      </c>
      <c r="F2054" s="160"/>
      <c r="G2054" s="159" t="s">
        <v>345</v>
      </c>
      <c r="H2054" s="160" t="s">
        <v>2748</v>
      </c>
      <c r="I2054" s="160" t="s">
        <v>242</v>
      </c>
      <c r="J2054" s="182" t="s">
        <v>10037</v>
      </c>
      <c r="K2054" s="160"/>
      <c r="L2054" s="158"/>
      <c r="M2054" s="158" t="s">
        <v>365</v>
      </c>
      <c r="N2054" s="158"/>
      <c r="O2054" s="162"/>
      <c r="P2054" s="31">
        <v>347745000</v>
      </c>
      <c r="Q2054" s="161"/>
      <c r="R2054" s="162"/>
      <c r="S2054" s="163">
        <v>456000000</v>
      </c>
      <c r="T2054" s="164"/>
      <c r="U2054" s="340">
        <v>45383</v>
      </c>
      <c r="V2054" s="340">
        <v>45747</v>
      </c>
      <c r="W2054" s="158" t="s">
        <v>250</v>
      </c>
      <c r="X2054" s="158"/>
      <c r="Y2054" s="34">
        <f t="shared" ca="1" si="122"/>
        <v>46290</v>
      </c>
      <c r="Z2054" s="35">
        <f t="shared" ca="1" si="125"/>
        <v>-543</v>
      </c>
      <c r="AA2054" s="158">
        <f t="shared" si="126"/>
        <v>3</v>
      </c>
      <c r="AB2054" s="158">
        <f t="shared" si="127"/>
        <v>2025</v>
      </c>
      <c r="AC2054" s="159">
        <v>4500021016</v>
      </c>
      <c r="AD2054" s="159" t="s">
        <v>9420</v>
      </c>
      <c r="AE2054" s="184" t="s">
        <v>10038</v>
      </c>
      <c r="AF2054" s="201" t="s">
        <v>339</v>
      </c>
      <c r="AG2054" s="160"/>
      <c r="AH2054" s="160"/>
      <c r="AI2054" s="158"/>
      <c r="AJ2054" s="158"/>
      <c r="AK2054" s="158"/>
      <c r="AL2054" s="158"/>
      <c r="AM2054" s="158"/>
      <c r="AN2054" s="158"/>
      <c r="AO2054" s="158"/>
      <c r="AP2054" s="158" t="s">
        <v>10039</v>
      </c>
      <c r="AQ2054" s="158"/>
      <c r="AR2054" s="507"/>
      <c r="AS2054" s="475"/>
      <c r="AT2054" s="160"/>
    </row>
    <row r="2055" spans="1:46" ht="15" hidden="1" customHeight="1">
      <c r="A2055" s="331">
        <v>2054</v>
      </c>
      <c r="B2055" s="159" t="s">
        <v>526</v>
      </c>
      <c r="C2055" s="159" t="s">
        <v>10040</v>
      </c>
      <c r="D2055" s="437" t="s">
        <v>4122</v>
      </c>
      <c r="E2055" s="361" t="str">
        <f t="shared" ca="1" si="128"/>
        <v>LOSS</v>
      </c>
      <c r="F2055" s="160"/>
      <c r="G2055" s="159" t="s">
        <v>10041</v>
      </c>
      <c r="H2055" s="160" t="s">
        <v>2748</v>
      </c>
      <c r="I2055" s="160" t="s">
        <v>346</v>
      </c>
      <c r="J2055" s="219">
        <v>111303011341</v>
      </c>
      <c r="K2055" s="160"/>
      <c r="L2055" s="158"/>
      <c r="M2055" s="158" t="s">
        <v>7091</v>
      </c>
      <c r="N2055" s="158" t="s">
        <v>9851</v>
      </c>
      <c r="O2055" s="162"/>
      <c r="P2055" s="161">
        <f>3150000*12</f>
        <v>37800000</v>
      </c>
      <c r="Q2055" s="161"/>
      <c r="R2055" s="162"/>
      <c r="S2055" s="163">
        <v>25200000</v>
      </c>
      <c r="T2055" s="164"/>
      <c r="U2055" s="340">
        <v>45627</v>
      </c>
      <c r="V2055" s="340">
        <v>45991</v>
      </c>
      <c r="W2055" s="158" t="s">
        <v>245</v>
      </c>
      <c r="X2055" s="158"/>
      <c r="Y2055" s="34">
        <f t="shared" ca="1" si="122"/>
        <v>46290</v>
      </c>
      <c r="Z2055" s="35">
        <f t="shared" ca="1" si="125"/>
        <v>-299</v>
      </c>
      <c r="AA2055" s="158">
        <f t="shared" si="126"/>
        <v>11</v>
      </c>
      <c r="AB2055" s="158">
        <f t="shared" si="127"/>
        <v>2025</v>
      </c>
      <c r="AC2055" s="159">
        <v>4500021829</v>
      </c>
      <c r="AD2055" s="159" t="s">
        <v>10042</v>
      </c>
      <c r="AE2055" s="184" t="s">
        <v>10043</v>
      </c>
      <c r="AF2055" s="201" t="s">
        <v>333</v>
      </c>
      <c r="AG2055" s="160"/>
      <c r="AH2055" s="160"/>
      <c r="AI2055" s="158"/>
      <c r="AJ2055" s="158"/>
      <c r="AK2055" s="158"/>
      <c r="AL2055" s="158"/>
      <c r="AM2055" s="158"/>
      <c r="AN2055" s="158"/>
      <c r="AO2055" s="158"/>
      <c r="AP2055" s="158">
        <v>338</v>
      </c>
      <c r="AQ2055" s="158"/>
      <c r="AR2055" s="507"/>
      <c r="AS2055" s="475"/>
      <c r="AT2055" s="160"/>
    </row>
    <row r="2056" spans="1:46" ht="15" hidden="1" customHeight="1">
      <c r="A2056" s="331">
        <v>2055</v>
      </c>
      <c r="B2056" s="159" t="s">
        <v>526</v>
      </c>
      <c r="C2056" s="159" t="s">
        <v>10040</v>
      </c>
      <c r="D2056" s="438" t="s">
        <v>4122</v>
      </c>
      <c r="E2056" s="361" t="str">
        <f t="shared" ca="1" si="128"/>
        <v>LOSS</v>
      </c>
      <c r="F2056" s="160"/>
      <c r="G2056" s="159" t="s">
        <v>10044</v>
      </c>
      <c r="H2056" s="160" t="s">
        <v>2748</v>
      </c>
      <c r="I2056" s="160" t="s">
        <v>346</v>
      </c>
      <c r="J2056" s="219">
        <v>111303011342</v>
      </c>
      <c r="K2056" s="160"/>
      <c r="L2056" s="158"/>
      <c r="M2056" s="158" t="s">
        <v>7091</v>
      </c>
      <c r="N2056" s="158" t="s">
        <v>6802</v>
      </c>
      <c r="O2056" s="162"/>
      <c r="P2056" s="161">
        <f>2750000*12</f>
        <v>33000000</v>
      </c>
      <c r="Q2056" s="161"/>
      <c r="R2056" s="162"/>
      <c r="S2056" s="163">
        <v>38700000</v>
      </c>
      <c r="T2056" s="164"/>
      <c r="U2056" s="340">
        <v>45627</v>
      </c>
      <c r="V2056" s="340">
        <v>45991</v>
      </c>
      <c r="W2056" s="158" t="s">
        <v>250</v>
      </c>
      <c r="X2056" s="158"/>
      <c r="Y2056" s="34">
        <f t="shared" ca="1" si="122"/>
        <v>46290</v>
      </c>
      <c r="Z2056" s="35">
        <f t="shared" ca="1" si="125"/>
        <v>-299</v>
      </c>
      <c r="AA2056" s="158">
        <f t="shared" si="126"/>
        <v>11</v>
      </c>
      <c r="AB2056" s="158">
        <f t="shared" si="127"/>
        <v>2025</v>
      </c>
      <c r="AC2056" s="159">
        <v>4500021830</v>
      </c>
      <c r="AD2056" s="159" t="s">
        <v>10045</v>
      </c>
      <c r="AE2056" s="184" t="s">
        <v>10046</v>
      </c>
      <c r="AF2056" s="201" t="s">
        <v>333</v>
      </c>
      <c r="AG2056" s="160"/>
      <c r="AH2056" s="160"/>
      <c r="AI2056" s="158"/>
      <c r="AJ2056" s="158"/>
      <c r="AK2056" s="158"/>
      <c r="AL2056" s="158"/>
      <c r="AM2056" s="158"/>
      <c r="AN2056" s="158"/>
      <c r="AO2056" s="158"/>
      <c r="AP2056" s="158">
        <v>409</v>
      </c>
      <c r="AQ2056" s="158"/>
      <c r="AR2056" s="507"/>
      <c r="AS2056" s="475"/>
      <c r="AT2056" s="160"/>
    </row>
    <row r="2057" spans="1:46" ht="15" hidden="1" customHeight="1">
      <c r="A2057" s="331">
        <v>2056</v>
      </c>
      <c r="B2057" s="159" t="s">
        <v>221</v>
      </c>
      <c r="C2057" s="159" t="s">
        <v>1134</v>
      </c>
      <c r="D2057" s="437" t="s">
        <v>369</v>
      </c>
      <c r="E2057" s="361" t="str">
        <f t="shared" ca="1" si="128"/>
        <v>LOSS</v>
      </c>
      <c r="F2057" s="203" t="s">
        <v>7346</v>
      </c>
      <c r="G2057" s="182" t="s">
        <v>10047</v>
      </c>
      <c r="H2057" s="160" t="s">
        <v>2748</v>
      </c>
      <c r="I2057" s="160" t="s">
        <v>242</v>
      </c>
      <c r="J2057" s="182" t="s">
        <v>10048</v>
      </c>
      <c r="K2057" s="160"/>
      <c r="L2057" s="158"/>
      <c r="M2057" s="158" t="s">
        <v>365</v>
      </c>
      <c r="N2057" s="158"/>
      <c r="O2057" s="162"/>
      <c r="P2057" s="161">
        <f>71500000*12</f>
        <v>858000000</v>
      </c>
      <c r="Q2057" s="161"/>
      <c r="R2057" s="162"/>
      <c r="S2057" s="163">
        <v>6000000</v>
      </c>
      <c r="T2057" s="164"/>
      <c r="U2057" s="340">
        <v>45544</v>
      </c>
      <c r="V2057" s="340">
        <v>45908</v>
      </c>
      <c r="W2057" s="158" t="s">
        <v>250</v>
      </c>
      <c r="X2057" s="158"/>
      <c r="Y2057" s="34">
        <f t="shared" ca="1" si="122"/>
        <v>46290</v>
      </c>
      <c r="Z2057" s="35">
        <f t="shared" ca="1" si="125"/>
        <v>-382</v>
      </c>
      <c r="AA2057" s="158">
        <f>MONTH(Table1[[#This Row],[End]])</f>
        <v>9</v>
      </c>
      <c r="AB2057" s="158">
        <f>YEAR(Table1[[#This Row],[End]])</f>
        <v>2025</v>
      </c>
      <c r="AC2057" s="159" t="s">
        <v>10049</v>
      </c>
      <c r="AD2057" s="159" t="s">
        <v>10050</v>
      </c>
      <c r="AE2057" s="184" t="s">
        <v>10051</v>
      </c>
      <c r="AF2057" s="201" t="s">
        <v>333</v>
      </c>
      <c r="AG2057" s="160"/>
      <c r="AH2057" s="160"/>
      <c r="AI2057" s="158"/>
      <c r="AJ2057" s="158"/>
      <c r="AK2057" s="158"/>
      <c r="AL2057" s="158"/>
      <c r="AM2057" s="158"/>
      <c r="AN2057" s="158"/>
      <c r="AO2057" s="158">
        <v>404</v>
      </c>
      <c r="AP2057" s="158"/>
      <c r="AQ2057" s="158"/>
      <c r="AR2057" s="507"/>
      <c r="AS2057" s="475"/>
      <c r="AT2057" s="160"/>
    </row>
    <row r="2058" spans="1:46" ht="15" hidden="1" customHeight="1">
      <c r="A2058" s="331">
        <v>2057</v>
      </c>
      <c r="B2058" s="159" t="s">
        <v>221</v>
      </c>
      <c r="C2058" s="159" t="s">
        <v>1134</v>
      </c>
      <c r="D2058" s="438" t="s">
        <v>369</v>
      </c>
      <c r="E2058" s="361" t="str">
        <f t="shared" ca="1" si="128"/>
        <v>LOSS</v>
      </c>
      <c r="F2058" s="203" t="s">
        <v>7346</v>
      </c>
      <c r="G2058" s="182" t="s">
        <v>10047</v>
      </c>
      <c r="H2058" s="160" t="s">
        <v>2748</v>
      </c>
      <c r="I2058" s="160" t="s">
        <v>242</v>
      </c>
      <c r="J2058" s="182" t="s">
        <v>10048</v>
      </c>
      <c r="K2058" s="160"/>
      <c r="L2058" s="158"/>
      <c r="M2058" s="158" t="s">
        <v>365</v>
      </c>
      <c r="N2058" s="158"/>
      <c r="O2058" s="162"/>
      <c r="P2058" s="161"/>
      <c r="Q2058" s="161"/>
      <c r="R2058" s="162"/>
      <c r="S2058" s="163">
        <v>18000000</v>
      </c>
      <c r="T2058" s="164"/>
      <c r="U2058" s="340">
        <v>45544</v>
      </c>
      <c r="V2058" s="340">
        <v>45908</v>
      </c>
      <c r="W2058" s="158" t="s">
        <v>250</v>
      </c>
      <c r="X2058" s="158"/>
      <c r="Y2058" s="34">
        <f t="shared" ca="1" si="122"/>
        <v>46290</v>
      </c>
      <c r="Z2058" s="35">
        <f t="shared" ca="1" si="125"/>
        <v>-382</v>
      </c>
      <c r="AA2058" s="158">
        <f>MONTH(Table1[[#This Row],[End]])</f>
        <v>9</v>
      </c>
      <c r="AB2058" s="158">
        <f>YEAR(Table1[[#This Row],[End]])</f>
        <v>2025</v>
      </c>
      <c r="AC2058" s="159" t="s">
        <v>10052</v>
      </c>
      <c r="AD2058" s="194" t="s">
        <v>10053</v>
      </c>
      <c r="AE2058" s="184" t="s">
        <v>10054</v>
      </c>
      <c r="AF2058" s="201" t="s">
        <v>333</v>
      </c>
      <c r="AG2058" s="160"/>
      <c r="AH2058" s="160"/>
      <c r="AI2058" s="158"/>
      <c r="AJ2058" s="158"/>
      <c r="AK2058" s="158"/>
      <c r="AL2058" s="158"/>
      <c r="AM2058" s="158"/>
      <c r="AN2058" s="158"/>
      <c r="AO2058" s="158">
        <v>407</v>
      </c>
      <c r="AP2058" s="158"/>
      <c r="AQ2058" s="158"/>
      <c r="AR2058" s="507"/>
      <c r="AS2058" s="475"/>
      <c r="AT2058" s="160"/>
    </row>
    <row r="2059" spans="1:46" ht="15" hidden="1" customHeight="1">
      <c r="A2059" s="331">
        <v>2058</v>
      </c>
      <c r="B2059" s="159" t="s">
        <v>221</v>
      </c>
      <c r="C2059" s="159" t="s">
        <v>1134</v>
      </c>
      <c r="D2059" s="437" t="s">
        <v>369</v>
      </c>
      <c r="E2059" s="361" t="str">
        <f t="shared" ca="1" si="128"/>
        <v>LOSS</v>
      </c>
      <c r="F2059" s="203" t="s">
        <v>7346</v>
      </c>
      <c r="G2059" s="182" t="s">
        <v>10047</v>
      </c>
      <c r="H2059" s="160" t="s">
        <v>2748</v>
      </c>
      <c r="I2059" s="160" t="s">
        <v>346</v>
      </c>
      <c r="J2059" s="182" t="s">
        <v>10048</v>
      </c>
      <c r="K2059" s="160"/>
      <c r="L2059" s="158"/>
      <c r="M2059" s="158" t="s">
        <v>365</v>
      </c>
      <c r="N2059" s="158"/>
      <c r="O2059" s="162"/>
      <c r="P2059" s="161"/>
      <c r="Q2059" s="161"/>
      <c r="R2059" s="162"/>
      <c r="S2059" s="163">
        <v>276000000</v>
      </c>
      <c r="T2059" s="164"/>
      <c r="U2059" s="340">
        <v>45541</v>
      </c>
      <c r="V2059" s="340">
        <v>45905</v>
      </c>
      <c r="W2059" s="158" t="s">
        <v>250</v>
      </c>
      <c r="X2059" s="158"/>
      <c r="Y2059" s="34">
        <f t="shared" ref="Y2059:Y2122" ca="1" si="129">TODAY()</f>
        <v>46290</v>
      </c>
      <c r="Z2059" s="35">
        <f t="shared" ca="1" si="125"/>
        <v>-385</v>
      </c>
      <c r="AA2059" s="158">
        <f>MONTH(Table1[[#This Row],[End]])</f>
        <v>9</v>
      </c>
      <c r="AB2059" s="158">
        <f>YEAR(Table1[[#This Row],[End]])</f>
        <v>2025</v>
      </c>
      <c r="AC2059" s="159" t="s">
        <v>10055</v>
      </c>
      <c r="AD2059" s="194" t="s">
        <v>10056</v>
      </c>
      <c r="AE2059" s="184" t="s">
        <v>10057</v>
      </c>
      <c r="AF2059" s="201" t="s">
        <v>333</v>
      </c>
      <c r="AG2059" s="160"/>
      <c r="AH2059" s="160"/>
      <c r="AI2059" s="158"/>
      <c r="AJ2059" s="158"/>
      <c r="AK2059" s="158"/>
      <c r="AL2059" s="158"/>
      <c r="AM2059" s="158"/>
      <c r="AN2059" s="158"/>
      <c r="AO2059" s="158">
        <v>406</v>
      </c>
      <c r="AP2059" s="158"/>
      <c r="AQ2059" s="158"/>
      <c r="AR2059" s="507"/>
      <c r="AS2059" s="475"/>
      <c r="AT2059" s="160"/>
    </row>
    <row r="2060" spans="1:46" ht="15" hidden="1" customHeight="1">
      <c r="A2060" s="331">
        <v>2059</v>
      </c>
      <c r="B2060" s="159" t="s">
        <v>221</v>
      </c>
      <c r="C2060" s="182" t="s">
        <v>10058</v>
      </c>
      <c r="D2060" s="438" t="s">
        <v>369</v>
      </c>
      <c r="E2060" s="361" t="str">
        <f t="shared" ca="1" si="128"/>
        <v>LOSS</v>
      </c>
      <c r="F2060" s="203" t="s">
        <v>10059</v>
      </c>
      <c r="G2060" s="182" t="s">
        <v>10060</v>
      </c>
      <c r="H2060" s="160" t="s">
        <v>2748</v>
      </c>
      <c r="I2060" s="29" t="s">
        <v>346</v>
      </c>
      <c r="J2060" s="182" t="s">
        <v>10061</v>
      </c>
      <c r="K2060" s="160"/>
      <c r="L2060" s="158"/>
      <c r="M2060" s="190" t="s">
        <v>10062</v>
      </c>
      <c r="N2060" s="190" t="s">
        <v>10063</v>
      </c>
      <c r="O2060" s="162"/>
      <c r="P2060" s="161">
        <v>2046000000</v>
      </c>
      <c r="Q2060" s="161"/>
      <c r="R2060" s="162"/>
      <c r="S2060" s="163">
        <v>333600000</v>
      </c>
      <c r="T2060" s="164"/>
      <c r="U2060" s="340">
        <v>45094</v>
      </c>
      <c r="V2060" s="340">
        <v>45824</v>
      </c>
      <c r="W2060" s="158" t="s">
        <v>250</v>
      </c>
      <c r="X2060" s="158"/>
      <c r="Y2060" s="34">
        <f t="shared" ca="1" si="129"/>
        <v>46290</v>
      </c>
      <c r="Z2060" s="35">
        <f t="shared" ca="1" si="125"/>
        <v>-466</v>
      </c>
      <c r="AA2060" s="158">
        <f>MONTH(Table1[[#This Row],[End]])</f>
        <v>6</v>
      </c>
      <c r="AB2060" s="158">
        <f>YEAR(Table1[[#This Row],[End]])</f>
        <v>2025</v>
      </c>
      <c r="AC2060" s="159">
        <v>4500018188</v>
      </c>
      <c r="AD2060" s="159" t="s">
        <v>10064</v>
      </c>
      <c r="AE2060" s="184" t="s">
        <v>10065</v>
      </c>
      <c r="AF2060" s="201" t="s">
        <v>333</v>
      </c>
      <c r="AG2060" s="160"/>
      <c r="AH2060" s="160"/>
      <c r="AI2060" s="158"/>
      <c r="AJ2060" s="158"/>
      <c r="AK2060" s="158"/>
      <c r="AL2060" s="158"/>
      <c r="AM2060" s="158"/>
      <c r="AN2060" s="158"/>
      <c r="AO2060" s="158"/>
      <c r="AP2060" s="158" t="s">
        <v>10066</v>
      </c>
      <c r="AQ2060" s="158"/>
      <c r="AR2060" s="507"/>
      <c r="AS2060" s="475"/>
      <c r="AT2060" s="160"/>
    </row>
    <row r="2061" spans="1:46" ht="15" hidden="1" customHeight="1">
      <c r="A2061" s="331">
        <v>2060</v>
      </c>
      <c r="B2061" s="159" t="s">
        <v>2593</v>
      </c>
      <c r="C2061" s="182" t="s">
        <v>10067</v>
      </c>
      <c r="D2061" s="437" t="s">
        <v>5505</v>
      </c>
      <c r="E2061" s="361" t="str">
        <f t="shared" ca="1" si="128"/>
        <v>LOSS</v>
      </c>
      <c r="F2061" s="160"/>
      <c r="G2061" s="182" t="s">
        <v>10068</v>
      </c>
      <c r="H2061" s="160" t="s">
        <v>2748</v>
      </c>
      <c r="I2061" s="29" t="s">
        <v>346</v>
      </c>
      <c r="J2061" s="182" t="s">
        <v>10069</v>
      </c>
      <c r="K2061" s="160"/>
      <c r="L2061" s="158"/>
      <c r="M2061" s="158" t="s">
        <v>353</v>
      </c>
      <c r="N2061" s="158" t="s">
        <v>494</v>
      </c>
      <c r="O2061" s="162"/>
      <c r="P2061" s="161">
        <v>118975800</v>
      </c>
      <c r="Q2061" s="161"/>
      <c r="R2061" s="162"/>
      <c r="S2061" s="163">
        <v>20671878</v>
      </c>
      <c r="T2061" s="164"/>
      <c r="U2061" s="340">
        <v>45495</v>
      </c>
      <c r="V2061" s="340">
        <v>45678</v>
      </c>
      <c r="W2061" s="158" t="s">
        <v>250</v>
      </c>
      <c r="X2061" s="158"/>
      <c r="Y2061" s="34">
        <f t="shared" ca="1" si="129"/>
        <v>46290</v>
      </c>
      <c r="Z2061" s="35">
        <f t="shared" ca="1" si="125"/>
        <v>-612</v>
      </c>
      <c r="AA2061" s="158">
        <f t="shared" ref="AA2061:AA2080" si="130">MONTH(V2061)</f>
        <v>1</v>
      </c>
      <c r="AB2061" s="158">
        <f t="shared" ref="AB2061:AB2092" si="131">YEAR(V2061)</f>
        <v>2025</v>
      </c>
      <c r="AC2061" s="159">
        <v>4500022106</v>
      </c>
      <c r="AD2061" s="159" t="s">
        <v>10070</v>
      </c>
      <c r="AE2061" s="184" t="s">
        <v>10071</v>
      </c>
      <c r="AF2061" s="201" t="s">
        <v>333</v>
      </c>
      <c r="AG2061" s="160"/>
      <c r="AH2061" s="160"/>
      <c r="AI2061" s="158"/>
      <c r="AJ2061" s="158"/>
      <c r="AK2061" s="158"/>
      <c r="AL2061" s="158"/>
      <c r="AM2061" s="158"/>
      <c r="AN2061" s="158"/>
      <c r="AO2061" s="158"/>
      <c r="AP2061" s="158" t="s">
        <v>10072</v>
      </c>
      <c r="AQ2061" s="158"/>
      <c r="AR2061" s="507"/>
      <c r="AS2061" s="475"/>
      <c r="AT2061" s="160"/>
    </row>
    <row r="2062" spans="1:46" ht="15" hidden="1" customHeight="1">
      <c r="A2062" s="331">
        <v>2061</v>
      </c>
      <c r="B2062" s="159" t="s">
        <v>1663</v>
      </c>
      <c r="C2062" s="159" t="s">
        <v>1467</v>
      </c>
      <c r="D2062" s="438" t="s">
        <v>10073</v>
      </c>
      <c r="E2062" s="361" t="str">
        <f t="shared" ca="1" si="128"/>
        <v>LOSS</v>
      </c>
      <c r="F2062" s="160"/>
      <c r="G2062" s="159" t="s">
        <v>10074</v>
      </c>
      <c r="H2062" s="160" t="s">
        <v>2748</v>
      </c>
      <c r="I2062" s="160" t="s">
        <v>346</v>
      </c>
      <c r="J2062" s="182" t="s">
        <v>10075</v>
      </c>
      <c r="K2062" s="160"/>
      <c r="L2062" s="158"/>
      <c r="M2062" s="190" t="s">
        <v>10076</v>
      </c>
      <c r="N2062" s="158"/>
      <c r="O2062" s="162"/>
      <c r="P2062" s="161">
        <v>30822000</v>
      </c>
      <c r="Q2062" s="161"/>
      <c r="R2062" s="162"/>
      <c r="S2062" s="163">
        <v>10000000</v>
      </c>
      <c r="T2062" s="164"/>
      <c r="U2062" s="340">
        <v>45611</v>
      </c>
      <c r="V2062" s="340">
        <v>45975</v>
      </c>
      <c r="W2062" s="158" t="s">
        <v>17</v>
      </c>
      <c r="X2062" s="158"/>
      <c r="Y2062" s="34">
        <f t="shared" ca="1" si="129"/>
        <v>46290</v>
      </c>
      <c r="Z2062" s="35">
        <f t="shared" ca="1" si="125"/>
        <v>-315</v>
      </c>
      <c r="AA2062" s="158">
        <f t="shared" si="130"/>
        <v>11</v>
      </c>
      <c r="AB2062" s="158">
        <f t="shared" si="131"/>
        <v>2025</v>
      </c>
      <c r="AC2062" s="159">
        <v>4500021820</v>
      </c>
      <c r="AD2062" s="159"/>
      <c r="AE2062" s="184" t="s">
        <v>10077</v>
      </c>
      <c r="AF2062" s="201" t="s">
        <v>333</v>
      </c>
      <c r="AG2062" s="160"/>
      <c r="AH2062" s="160"/>
      <c r="AI2062" s="158"/>
      <c r="AJ2062" s="158"/>
      <c r="AK2062" s="158"/>
      <c r="AL2062" s="158"/>
      <c r="AM2062" s="158"/>
      <c r="AN2062" s="158"/>
      <c r="AO2062" s="158"/>
      <c r="AP2062" s="158">
        <v>461</v>
      </c>
      <c r="AQ2062" s="158"/>
      <c r="AR2062" s="507"/>
      <c r="AS2062" s="475"/>
      <c r="AT2062" s="160"/>
    </row>
    <row r="2063" spans="1:46" ht="15" hidden="1" customHeight="1">
      <c r="A2063" s="331">
        <v>2062</v>
      </c>
      <c r="B2063" s="159" t="s">
        <v>348</v>
      </c>
      <c r="C2063" s="159" t="s">
        <v>10078</v>
      </c>
      <c r="D2063" s="437" t="s">
        <v>10079</v>
      </c>
      <c r="E2063" s="361" t="str">
        <f t="shared" ca="1" si="128"/>
        <v>LOSS</v>
      </c>
      <c r="F2063" s="160"/>
      <c r="G2063" s="159" t="s">
        <v>10080</v>
      </c>
      <c r="H2063" s="160" t="s">
        <v>2748</v>
      </c>
      <c r="I2063" s="160" t="s">
        <v>242</v>
      </c>
      <c r="J2063" s="159"/>
      <c r="K2063" s="160"/>
      <c r="L2063" s="158"/>
      <c r="M2063" s="158"/>
      <c r="N2063" s="158"/>
      <c r="O2063" s="162"/>
      <c r="P2063" s="161">
        <v>1265934903</v>
      </c>
      <c r="Q2063" s="161"/>
      <c r="R2063" s="162"/>
      <c r="S2063" s="163">
        <v>326345490</v>
      </c>
      <c r="T2063" s="164"/>
      <c r="U2063" s="340">
        <v>45200</v>
      </c>
      <c r="V2063" s="340">
        <v>45291</v>
      </c>
      <c r="W2063" s="158" t="s">
        <v>250</v>
      </c>
      <c r="X2063" s="158"/>
      <c r="Y2063" s="34">
        <f t="shared" ca="1" si="129"/>
        <v>46290</v>
      </c>
      <c r="Z2063" s="35">
        <f t="shared" ca="1" si="125"/>
        <v>-999</v>
      </c>
      <c r="AA2063" s="158">
        <f t="shared" si="130"/>
        <v>12</v>
      </c>
      <c r="AB2063" s="158">
        <f t="shared" si="131"/>
        <v>2023</v>
      </c>
      <c r="AC2063" s="159">
        <v>4500019523</v>
      </c>
      <c r="AD2063" s="159" t="s">
        <v>10081</v>
      </c>
      <c r="AE2063" s="184" t="s">
        <v>10082</v>
      </c>
      <c r="AF2063" s="201" t="s">
        <v>333</v>
      </c>
      <c r="AG2063" s="160"/>
      <c r="AH2063" s="160"/>
      <c r="AI2063" s="158"/>
      <c r="AJ2063" s="158"/>
      <c r="AK2063" s="158"/>
      <c r="AL2063" s="158"/>
      <c r="AM2063" s="158"/>
      <c r="AN2063" s="158"/>
      <c r="AO2063" s="158" t="s">
        <v>10083</v>
      </c>
      <c r="AP2063" s="158"/>
      <c r="AQ2063" s="158"/>
      <c r="AR2063" s="507"/>
      <c r="AS2063" s="475"/>
      <c r="AT2063" s="160"/>
    </row>
    <row r="2064" spans="1:46" ht="15" hidden="1" customHeight="1">
      <c r="A2064" s="331">
        <v>2063</v>
      </c>
      <c r="B2064" s="159" t="s">
        <v>125</v>
      </c>
      <c r="C2064" s="28" t="s">
        <v>4417</v>
      </c>
      <c r="D2064" s="438" t="s">
        <v>4418</v>
      </c>
      <c r="E2064" s="361" t="str">
        <f t="shared" ca="1" si="128"/>
        <v>LOSS</v>
      </c>
      <c r="F2064" s="160"/>
      <c r="G2064" s="159" t="s">
        <v>10084</v>
      </c>
      <c r="H2064" s="160" t="s">
        <v>261</v>
      </c>
      <c r="I2064" s="160" t="s">
        <v>243</v>
      </c>
      <c r="J2064" s="159" t="s">
        <v>126</v>
      </c>
      <c r="K2064" s="181" t="s">
        <v>10085</v>
      </c>
      <c r="L2064" s="158" t="s">
        <v>10086</v>
      </c>
      <c r="M2064" s="158" t="s">
        <v>353</v>
      </c>
      <c r="N2064" s="158" t="s">
        <v>7088</v>
      </c>
      <c r="O2064" s="162"/>
      <c r="P2064" s="161">
        <f>118000000*12</f>
        <v>1416000000</v>
      </c>
      <c r="Q2064" s="161"/>
      <c r="R2064" s="162">
        <v>5000000</v>
      </c>
      <c r="S2064" s="163">
        <f>75000000*12</f>
        <v>900000000</v>
      </c>
      <c r="T2064" s="164"/>
      <c r="U2064" s="340">
        <v>45484</v>
      </c>
      <c r="V2064" s="340">
        <v>46213</v>
      </c>
      <c r="W2064" s="158" t="s">
        <v>250</v>
      </c>
      <c r="X2064" s="158"/>
      <c r="Y2064" s="34">
        <f t="shared" ca="1" si="129"/>
        <v>46290</v>
      </c>
      <c r="Z2064" s="35">
        <f t="shared" ca="1" si="125"/>
        <v>-77</v>
      </c>
      <c r="AA2064" s="27">
        <f t="shared" si="130"/>
        <v>7</v>
      </c>
      <c r="AB2064" s="27">
        <f t="shared" si="131"/>
        <v>2026</v>
      </c>
      <c r="AC2064" s="159" t="s">
        <v>3371</v>
      </c>
      <c r="AD2064" s="159" t="s">
        <v>10087</v>
      </c>
      <c r="AE2064" s="184" t="s">
        <v>10088</v>
      </c>
      <c r="AF2064" s="201" t="s">
        <v>471</v>
      </c>
      <c r="AG2064" s="160"/>
      <c r="AH2064" s="29" t="s">
        <v>4421</v>
      </c>
      <c r="AI2064" s="158"/>
      <c r="AJ2064" s="158"/>
      <c r="AK2064" s="158"/>
      <c r="AL2064" s="158"/>
      <c r="AM2064" s="158"/>
      <c r="AN2064" s="158"/>
      <c r="AO2064" s="158"/>
      <c r="AP2064" s="158" t="s">
        <v>10089</v>
      </c>
      <c r="AQ2064" s="158"/>
      <c r="AR2064" s="507"/>
      <c r="AS2064" s="475"/>
      <c r="AT2064" s="160"/>
    </row>
    <row r="2065" spans="1:46" ht="15" hidden="1" customHeight="1">
      <c r="A2065" s="331">
        <v>2064</v>
      </c>
      <c r="B2065" s="361" t="s">
        <v>1659</v>
      </c>
      <c r="C2065" s="159" t="s">
        <v>10090</v>
      </c>
      <c r="D2065" s="444" t="s">
        <v>9298</v>
      </c>
      <c r="E2065" s="361" t="str">
        <f t="shared" ca="1" si="128"/>
        <v>LOSS</v>
      </c>
      <c r="F2065" s="160"/>
      <c r="G2065" s="159" t="s">
        <v>10091</v>
      </c>
      <c r="H2065" s="160" t="s">
        <v>261</v>
      </c>
      <c r="I2065" s="160" t="s">
        <v>243</v>
      </c>
      <c r="J2065" s="159" t="s">
        <v>10092</v>
      </c>
      <c r="K2065" s="181" t="s">
        <v>10093</v>
      </c>
      <c r="L2065" s="280">
        <v>0.995</v>
      </c>
      <c r="M2065" s="158" t="s">
        <v>8900</v>
      </c>
      <c r="N2065" s="158" t="s">
        <v>6727</v>
      </c>
      <c r="O2065" s="162">
        <v>5500000</v>
      </c>
      <c r="P2065" s="161">
        <f>21200000*12</f>
        <v>254400000</v>
      </c>
      <c r="Q2065" s="161"/>
      <c r="R2065" s="162">
        <v>5000000</v>
      </c>
      <c r="S2065" s="163">
        <f>18500000*12</f>
        <v>222000000</v>
      </c>
      <c r="T2065" s="164"/>
      <c r="U2065" s="340">
        <v>45513</v>
      </c>
      <c r="V2065" s="340">
        <v>46242</v>
      </c>
      <c r="W2065" s="158" t="s">
        <v>17</v>
      </c>
      <c r="X2065" s="158"/>
      <c r="Y2065" s="34">
        <f t="shared" ca="1" si="129"/>
        <v>46290</v>
      </c>
      <c r="Z2065" s="35">
        <f t="shared" ca="1" si="125"/>
        <v>-48</v>
      </c>
      <c r="AA2065" s="27">
        <f t="shared" si="130"/>
        <v>8</v>
      </c>
      <c r="AB2065" s="27">
        <f t="shared" si="131"/>
        <v>2026</v>
      </c>
      <c r="AC2065" s="159" t="s">
        <v>3371</v>
      </c>
      <c r="AD2065" s="159" t="s">
        <v>10094</v>
      </c>
      <c r="AE2065" s="184" t="s">
        <v>10095</v>
      </c>
      <c r="AF2065" s="52" t="s">
        <v>471</v>
      </c>
      <c r="AG2065" s="160"/>
      <c r="AH2065" s="160"/>
      <c r="AI2065" s="158"/>
      <c r="AJ2065" s="158"/>
      <c r="AK2065" s="158"/>
      <c r="AL2065" s="158"/>
      <c r="AM2065" s="158"/>
      <c r="AN2065" s="158"/>
      <c r="AO2065" s="158"/>
      <c r="AP2065" s="158">
        <v>401</v>
      </c>
      <c r="AQ2065" s="158"/>
      <c r="AR2065" s="507"/>
      <c r="AS2065" s="475"/>
      <c r="AT2065" s="160"/>
    </row>
    <row r="2066" spans="1:46" ht="15" hidden="1" customHeight="1">
      <c r="A2066" s="331">
        <v>2065</v>
      </c>
      <c r="B2066" s="159" t="s">
        <v>450</v>
      </c>
      <c r="C2066" s="159" t="s">
        <v>6989</v>
      </c>
      <c r="D2066" s="438" t="s">
        <v>452</v>
      </c>
      <c r="E2066" s="361" t="str">
        <f t="shared" ca="1" si="128"/>
        <v>LOSS</v>
      </c>
      <c r="F2066" s="431" t="s">
        <v>6990</v>
      </c>
      <c r="G2066" s="432" t="s">
        <v>6991</v>
      </c>
      <c r="H2066" s="160" t="s">
        <v>261</v>
      </c>
      <c r="I2066" s="160" t="s">
        <v>243</v>
      </c>
      <c r="J2066" s="159" t="s">
        <v>1654</v>
      </c>
      <c r="K2066" s="181" t="s">
        <v>6992</v>
      </c>
      <c r="L2066" s="280">
        <v>0.995</v>
      </c>
      <c r="M2066" s="158" t="s">
        <v>365</v>
      </c>
      <c r="N2066" s="158" t="s">
        <v>406</v>
      </c>
      <c r="O2066" s="162"/>
      <c r="P2066" s="161">
        <f>12*10000000</f>
        <v>120000000</v>
      </c>
      <c r="Q2066" s="161"/>
      <c r="R2066" s="162"/>
      <c r="S2066" s="163">
        <f>12*12000000</f>
        <v>144000000</v>
      </c>
      <c r="T2066" s="164"/>
      <c r="U2066" s="340">
        <v>45632</v>
      </c>
      <c r="V2066" s="340">
        <v>45996</v>
      </c>
      <c r="W2066" s="158" t="s">
        <v>250</v>
      </c>
      <c r="X2066" s="158"/>
      <c r="Y2066" s="34">
        <f t="shared" ca="1" si="129"/>
        <v>46290</v>
      </c>
      <c r="Z2066" s="35">
        <f t="shared" ca="1" si="125"/>
        <v>-294</v>
      </c>
      <c r="AA2066" s="27">
        <f t="shared" si="130"/>
        <v>12</v>
      </c>
      <c r="AB2066" s="27">
        <f t="shared" si="131"/>
        <v>2025</v>
      </c>
      <c r="AC2066" s="28" t="s">
        <v>6993</v>
      </c>
      <c r="AD2066" s="159" t="s">
        <v>10096</v>
      </c>
      <c r="AE2066" s="184" t="s">
        <v>10097</v>
      </c>
      <c r="AF2066" s="201" t="s">
        <v>8995</v>
      </c>
      <c r="AG2066" s="160"/>
      <c r="AH2066" s="160" t="s">
        <v>6995</v>
      </c>
      <c r="AI2066" s="158"/>
      <c r="AJ2066" s="158"/>
      <c r="AK2066" s="158"/>
      <c r="AL2066" s="158"/>
      <c r="AM2066" s="158"/>
      <c r="AN2066" s="158"/>
      <c r="AO2066" s="158"/>
      <c r="AP2066" s="158">
        <v>328</v>
      </c>
      <c r="AQ2066" s="158"/>
      <c r="AR2066" s="507"/>
      <c r="AS2066" s="475"/>
      <c r="AT2066" s="160"/>
    </row>
    <row r="2067" spans="1:46" ht="15" hidden="1" customHeight="1">
      <c r="A2067" s="331">
        <v>2066</v>
      </c>
      <c r="B2067" s="159" t="s">
        <v>10098</v>
      </c>
      <c r="C2067" s="159" t="s">
        <v>2702</v>
      </c>
      <c r="D2067" s="437" t="s">
        <v>6923</v>
      </c>
      <c r="E2067" s="361" t="str">
        <f t="shared" ca="1" si="128"/>
        <v>LOSS</v>
      </c>
      <c r="F2067" s="160" t="s">
        <v>10099</v>
      </c>
      <c r="G2067" s="159" t="s">
        <v>10100</v>
      </c>
      <c r="H2067" s="160" t="s">
        <v>261</v>
      </c>
      <c r="I2067" s="160" t="s">
        <v>243</v>
      </c>
      <c r="J2067" s="159" t="s">
        <v>10101</v>
      </c>
      <c r="K2067" s="160" t="s">
        <v>10102</v>
      </c>
      <c r="L2067" s="287" t="s">
        <v>8488</v>
      </c>
      <c r="M2067" s="158" t="s">
        <v>365</v>
      </c>
      <c r="N2067" s="158" t="s">
        <v>354</v>
      </c>
      <c r="O2067" s="162"/>
      <c r="P2067" s="161">
        <f>12*4500000</f>
        <v>54000000</v>
      </c>
      <c r="Q2067" s="161"/>
      <c r="R2067" s="162"/>
      <c r="S2067" s="163">
        <f>12*2000000</f>
        <v>24000000</v>
      </c>
      <c r="T2067" s="164"/>
      <c r="U2067" s="340">
        <v>45646</v>
      </c>
      <c r="V2067" s="340">
        <v>46010</v>
      </c>
      <c r="W2067" s="158" t="s">
        <v>250</v>
      </c>
      <c r="X2067" s="158"/>
      <c r="Y2067" s="34">
        <f t="shared" ca="1" si="129"/>
        <v>46290</v>
      </c>
      <c r="Z2067" s="35">
        <f t="shared" ca="1" si="125"/>
        <v>-280</v>
      </c>
      <c r="AA2067" s="27">
        <f t="shared" si="130"/>
        <v>12</v>
      </c>
      <c r="AB2067" s="27">
        <f t="shared" si="131"/>
        <v>2025</v>
      </c>
      <c r="AC2067" s="159">
        <v>4500022119</v>
      </c>
      <c r="AD2067" s="159" t="s">
        <v>10103</v>
      </c>
      <c r="AE2067" s="184" t="s">
        <v>10104</v>
      </c>
      <c r="AF2067" s="201" t="s">
        <v>8995</v>
      </c>
      <c r="AG2067" s="160"/>
      <c r="AH2067" s="29" t="s">
        <v>6929</v>
      </c>
      <c r="AI2067" s="158"/>
      <c r="AJ2067" s="158"/>
      <c r="AK2067" s="158"/>
      <c r="AL2067" s="158"/>
      <c r="AM2067" s="158"/>
      <c r="AN2067" s="158"/>
      <c r="AO2067" s="158"/>
      <c r="AP2067" s="158">
        <v>396</v>
      </c>
      <c r="AQ2067" s="158"/>
      <c r="AR2067" s="507"/>
      <c r="AS2067" s="475"/>
      <c r="AT2067" s="160"/>
    </row>
    <row r="2068" spans="1:46" ht="15" hidden="1" customHeight="1">
      <c r="A2068" s="331">
        <v>2067</v>
      </c>
      <c r="B2068" s="159" t="s">
        <v>37</v>
      </c>
      <c r="C2068" s="159" t="s">
        <v>10105</v>
      </c>
      <c r="D2068" s="438" t="s">
        <v>6644</v>
      </c>
      <c r="E2068" s="361" t="str">
        <f t="shared" ca="1" si="128"/>
        <v>LOSS</v>
      </c>
      <c r="F2068" s="160"/>
      <c r="G2068" s="159" t="s">
        <v>10106</v>
      </c>
      <c r="H2068" s="160" t="s">
        <v>261</v>
      </c>
      <c r="I2068" s="160" t="s">
        <v>243</v>
      </c>
      <c r="J2068" s="159" t="s">
        <v>10107</v>
      </c>
      <c r="K2068" s="160" t="s">
        <v>10108</v>
      </c>
      <c r="L2068" s="287">
        <v>0.995</v>
      </c>
      <c r="M2068" s="158" t="s">
        <v>353</v>
      </c>
      <c r="N2068" s="158" t="s">
        <v>468</v>
      </c>
      <c r="O2068" s="162"/>
      <c r="P2068" s="161">
        <f>12*4250000</f>
        <v>51000000</v>
      </c>
      <c r="Q2068" s="161"/>
      <c r="R2068" s="162"/>
      <c r="S2068" s="163">
        <f>12*3500000</f>
        <v>42000000</v>
      </c>
      <c r="T2068" s="164"/>
      <c r="U2068" s="340">
        <v>45575</v>
      </c>
      <c r="V2068" s="340">
        <v>45939</v>
      </c>
      <c r="W2068" s="158" t="s">
        <v>250</v>
      </c>
      <c r="X2068" s="158"/>
      <c r="Y2068" s="34">
        <f t="shared" ca="1" si="129"/>
        <v>46290</v>
      </c>
      <c r="Z2068" s="35">
        <f t="shared" ca="1" si="125"/>
        <v>-351</v>
      </c>
      <c r="AA2068" s="27">
        <f t="shared" si="130"/>
        <v>10</v>
      </c>
      <c r="AB2068" s="27">
        <f t="shared" si="131"/>
        <v>2025</v>
      </c>
      <c r="AC2068" s="159">
        <v>4500022416</v>
      </c>
      <c r="AD2068" s="159" t="s">
        <v>10109</v>
      </c>
      <c r="AE2068" s="184" t="s">
        <v>10110</v>
      </c>
      <c r="AF2068" s="201" t="s">
        <v>8995</v>
      </c>
      <c r="AG2068" s="160"/>
      <c r="AH2068" s="160"/>
      <c r="AI2068" s="158"/>
      <c r="AJ2068" s="158"/>
      <c r="AK2068" s="158"/>
      <c r="AL2068" s="158"/>
      <c r="AM2068" s="158"/>
      <c r="AN2068" s="158"/>
      <c r="AO2068" s="158"/>
      <c r="AP2068" s="158">
        <v>327</v>
      </c>
      <c r="AQ2068" s="158"/>
      <c r="AR2068" s="507"/>
      <c r="AS2068" s="475"/>
      <c r="AT2068" s="160"/>
    </row>
    <row r="2069" spans="1:46" ht="15" hidden="1" customHeight="1">
      <c r="A2069" s="331">
        <v>2068</v>
      </c>
      <c r="B2069" s="159" t="s">
        <v>1043</v>
      </c>
      <c r="C2069" s="159" t="s">
        <v>8838</v>
      </c>
      <c r="D2069" s="437" t="s">
        <v>6810</v>
      </c>
      <c r="E2069" s="361" t="str">
        <f t="shared" ca="1" si="128"/>
        <v>LOSS</v>
      </c>
      <c r="F2069" s="160"/>
      <c r="G2069" s="159" t="s">
        <v>10111</v>
      </c>
      <c r="H2069" s="160" t="s">
        <v>261</v>
      </c>
      <c r="I2069" s="160" t="s">
        <v>243</v>
      </c>
      <c r="J2069" s="159" t="s">
        <v>10112</v>
      </c>
      <c r="K2069" s="181" t="s">
        <v>10113</v>
      </c>
      <c r="L2069" s="158" t="s">
        <v>4749</v>
      </c>
      <c r="M2069" s="158" t="s">
        <v>353</v>
      </c>
      <c r="N2069" s="158" t="s">
        <v>417</v>
      </c>
      <c r="O2069" s="162"/>
      <c r="P2069" s="161">
        <f>1900000*12</f>
        <v>22800000</v>
      </c>
      <c r="Q2069" s="161"/>
      <c r="R2069" s="162">
        <v>2000000</v>
      </c>
      <c r="S2069" s="163">
        <f>1500000*12</f>
        <v>18000000</v>
      </c>
      <c r="T2069" s="164"/>
      <c r="U2069" s="340">
        <v>45603</v>
      </c>
      <c r="V2069" s="340">
        <v>45967</v>
      </c>
      <c r="W2069" s="158" t="s">
        <v>250</v>
      </c>
      <c r="X2069" s="158"/>
      <c r="Y2069" s="34">
        <f t="shared" ca="1" si="129"/>
        <v>46290</v>
      </c>
      <c r="Z2069" s="35">
        <f t="shared" ca="1" si="125"/>
        <v>-323</v>
      </c>
      <c r="AA2069" s="158">
        <f t="shared" si="130"/>
        <v>11</v>
      </c>
      <c r="AB2069" s="158">
        <f t="shared" si="131"/>
        <v>2025</v>
      </c>
      <c r="AC2069" s="159" t="s">
        <v>479</v>
      </c>
      <c r="AD2069" s="159" t="s">
        <v>10114</v>
      </c>
      <c r="AE2069" s="184" t="s">
        <v>10115</v>
      </c>
      <c r="AF2069" s="201" t="s">
        <v>471</v>
      </c>
      <c r="AG2069" s="160"/>
      <c r="AH2069" s="160" t="s">
        <v>8922</v>
      </c>
      <c r="AI2069" s="158"/>
      <c r="AJ2069" s="158"/>
      <c r="AK2069" s="158"/>
      <c r="AL2069" s="158"/>
      <c r="AM2069" s="158"/>
      <c r="AN2069" s="158"/>
      <c r="AO2069" s="158"/>
      <c r="AP2069" s="158">
        <v>403</v>
      </c>
      <c r="AQ2069" s="158"/>
      <c r="AR2069" s="507"/>
      <c r="AS2069" s="475"/>
      <c r="AT2069" s="160"/>
    </row>
    <row r="2070" spans="1:46" ht="15" hidden="1" customHeight="1">
      <c r="A2070" s="331">
        <v>2069</v>
      </c>
      <c r="B2070" s="159" t="s">
        <v>165</v>
      </c>
      <c r="C2070" s="159" t="s">
        <v>1764</v>
      </c>
      <c r="D2070" s="438" t="s">
        <v>7149</v>
      </c>
      <c r="E2070" s="361" t="str">
        <f t="shared" ca="1" si="128"/>
        <v>LOSS</v>
      </c>
      <c r="F2070" s="28" t="s">
        <v>7117</v>
      </c>
      <c r="G2070" s="28" t="s">
        <v>7118</v>
      </c>
      <c r="H2070" s="160" t="s">
        <v>261</v>
      </c>
      <c r="I2070" s="160" t="s">
        <v>243</v>
      </c>
      <c r="J2070" s="159" t="s">
        <v>2262</v>
      </c>
      <c r="K2070" s="38" t="s">
        <v>7119</v>
      </c>
      <c r="L2070" s="51">
        <v>0.995</v>
      </c>
      <c r="M2070" s="27" t="s">
        <v>329</v>
      </c>
      <c r="N2070" s="27" t="s">
        <v>354</v>
      </c>
      <c r="O2070" s="162"/>
      <c r="P2070" s="161">
        <f>17000000*12</f>
        <v>204000000</v>
      </c>
      <c r="Q2070" s="161"/>
      <c r="R2070" s="162"/>
      <c r="S2070" s="163">
        <f>6000000*12</f>
        <v>72000000</v>
      </c>
      <c r="T2070" s="164"/>
      <c r="U2070" s="340">
        <v>45663</v>
      </c>
      <c r="V2070" s="340">
        <v>46027</v>
      </c>
      <c r="W2070" s="158" t="s">
        <v>250</v>
      </c>
      <c r="X2070" s="158"/>
      <c r="Y2070" s="34">
        <f t="shared" ca="1" si="129"/>
        <v>46290</v>
      </c>
      <c r="Z2070" s="35">
        <f t="shared" ca="1" si="125"/>
        <v>-263</v>
      </c>
      <c r="AA2070" s="27">
        <f t="shared" si="130"/>
        <v>1</v>
      </c>
      <c r="AB2070" s="27">
        <f t="shared" si="131"/>
        <v>2026</v>
      </c>
      <c r="AC2070" s="159" t="s">
        <v>10116</v>
      </c>
      <c r="AD2070" s="159" t="s">
        <v>10117</v>
      </c>
      <c r="AE2070" s="184" t="s">
        <v>10118</v>
      </c>
      <c r="AF2070" s="27" t="s">
        <v>471</v>
      </c>
      <c r="AG2070" s="29" t="s">
        <v>9100</v>
      </c>
      <c r="AH2070" s="160" t="s">
        <v>7099</v>
      </c>
      <c r="AI2070" s="158"/>
      <c r="AJ2070" s="158"/>
      <c r="AK2070" s="158"/>
      <c r="AL2070" s="158"/>
      <c r="AM2070" s="158"/>
      <c r="AN2070" s="158"/>
      <c r="AO2070" s="158"/>
      <c r="AP2070" s="158"/>
      <c r="AQ2070" s="158">
        <v>40</v>
      </c>
      <c r="AR2070" s="507"/>
      <c r="AS2070" s="475"/>
      <c r="AT2070" s="160"/>
    </row>
    <row r="2071" spans="1:46" ht="15" hidden="1" customHeight="1">
      <c r="A2071" s="331">
        <v>2070</v>
      </c>
      <c r="B2071" s="159" t="s">
        <v>37</v>
      </c>
      <c r="C2071" s="159" t="s">
        <v>10119</v>
      </c>
      <c r="D2071" s="437" t="s">
        <v>6644</v>
      </c>
      <c r="E2071" s="361" t="str">
        <f t="shared" ca="1" si="128"/>
        <v>LOSS</v>
      </c>
      <c r="F2071" s="160" t="s">
        <v>10120</v>
      </c>
      <c r="G2071" s="159" t="s">
        <v>10121</v>
      </c>
      <c r="H2071" s="160" t="s">
        <v>261</v>
      </c>
      <c r="I2071" s="160" t="s">
        <v>243</v>
      </c>
      <c r="J2071" s="159" t="s">
        <v>10122</v>
      </c>
      <c r="K2071" s="159">
        <v>1000169892</v>
      </c>
      <c r="L2071" s="287">
        <v>0.995</v>
      </c>
      <c r="M2071" s="158" t="s">
        <v>6919</v>
      </c>
      <c r="N2071" s="158" t="s">
        <v>389</v>
      </c>
      <c r="O2071" s="162"/>
      <c r="P2071" s="161">
        <f>12*32000000</f>
        <v>384000000</v>
      </c>
      <c r="Q2071" s="161"/>
      <c r="R2071" s="162"/>
      <c r="S2071" s="163">
        <f>(12*7000000)+(12*2000000)</f>
        <v>108000000</v>
      </c>
      <c r="T2071" s="164"/>
      <c r="U2071" s="340">
        <v>45639</v>
      </c>
      <c r="V2071" s="340">
        <v>46003</v>
      </c>
      <c r="W2071" s="158" t="s">
        <v>17</v>
      </c>
      <c r="X2071" s="158" t="s">
        <v>10123</v>
      </c>
      <c r="Y2071" s="34">
        <f t="shared" ca="1" si="129"/>
        <v>46290</v>
      </c>
      <c r="Z2071" s="35">
        <f t="shared" ca="1" si="125"/>
        <v>-287</v>
      </c>
      <c r="AA2071" s="27">
        <f t="shared" si="130"/>
        <v>12</v>
      </c>
      <c r="AB2071" s="27">
        <f t="shared" si="131"/>
        <v>2025</v>
      </c>
      <c r="AC2071" s="159" t="s">
        <v>10124</v>
      </c>
      <c r="AD2071" s="159" t="s">
        <v>10125</v>
      </c>
      <c r="AE2071" s="184" t="s">
        <v>10126</v>
      </c>
      <c r="AF2071" s="201" t="s">
        <v>8995</v>
      </c>
      <c r="AG2071" s="160"/>
      <c r="AH2071" s="160"/>
      <c r="AI2071" s="158"/>
      <c r="AJ2071" s="158"/>
      <c r="AK2071" s="158"/>
      <c r="AL2071" s="158"/>
      <c r="AM2071" s="158"/>
      <c r="AN2071" s="158"/>
      <c r="AO2071" s="158"/>
      <c r="AP2071" s="158">
        <v>279</v>
      </c>
      <c r="AQ2071" s="158"/>
      <c r="AR2071" s="507"/>
      <c r="AS2071" s="475"/>
      <c r="AT2071" s="160"/>
    </row>
    <row r="2072" spans="1:46" ht="15" hidden="1" customHeight="1">
      <c r="A2072" s="331">
        <v>2071</v>
      </c>
      <c r="B2072" s="159" t="s">
        <v>37</v>
      </c>
      <c r="C2072" s="159" t="s">
        <v>10119</v>
      </c>
      <c r="D2072" s="438" t="s">
        <v>6644</v>
      </c>
      <c r="E2072" s="361" t="str">
        <f t="shared" ca="1" si="128"/>
        <v>LOSS</v>
      </c>
      <c r="F2072" s="160" t="s">
        <v>10127</v>
      </c>
      <c r="G2072" s="159" t="s">
        <v>6661</v>
      </c>
      <c r="H2072" s="160" t="s">
        <v>261</v>
      </c>
      <c r="I2072" s="160" t="s">
        <v>243</v>
      </c>
      <c r="J2072" s="159" t="s">
        <v>10122</v>
      </c>
      <c r="K2072" s="160" t="s">
        <v>10128</v>
      </c>
      <c r="L2072" s="287">
        <v>0.995</v>
      </c>
      <c r="M2072" s="158" t="s">
        <v>6919</v>
      </c>
      <c r="N2072" s="158" t="s">
        <v>389</v>
      </c>
      <c r="O2072" s="162"/>
      <c r="P2072" s="161">
        <f>7162162*12</f>
        <v>85945944</v>
      </c>
      <c r="Q2072" s="161"/>
      <c r="R2072" s="162"/>
      <c r="S2072" s="163">
        <v>30596780</v>
      </c>
      <c r="T2072" s="164"/>
      <c r="U2072" s="340">
        <v>45372</v>
      </c>
      <c r="V2072" s="340">
        <v>45638</v>
      </c>
      <c r="W2072" s="158" t="s">
        <v>250</v>
      </c>
      <c r="X2072" s="158"/>
      <c r="Y2072" s="34">
        <f t="shared" ca="1" si="129"/>
        <v>46290</v>
      </c>
      <c r="Z2072" s="35">
        <f t="shared" ref="Z2072:Z2135" ca="1" si="132">V2072-Y2072</f>
        <v>-652</v>
      </c>
      <c r="AA2072" s="27">
        <f t="shared" si="130"/>
        <v>12</v>
      </c>
      <c r="AB2072" s="27">
        <f t="shared" si="131"/>
        <v>2024</v>
      </c>
      <c r="AC2072" s="159">
        <v>4500022570</v>
      </c>
      <c r="AD2072" s="159" t="s">
        <v>10129</v>
      </c>
      <c r="AE2072" s="184" t="s">
        <v>10130</v>
      </c>
      <c r="AF2072" s="201" t="s">
        <v>471</v>
      </c>
      <c r="AG2072" s="160"/>
      <c r="AH2072" s="160"/>
      <c r="AI2072" s="158"/>
      <c r="AJ2072" s="158"/>
      <c r="AK2072" s="158"/>
      <c r="AL2072" s="158"/>
      <c r="AM2072" s="158"/>
      <c r="AN2072" s="158"/>
      <c r="AO2072" s="158"/>
      <c r="AP2072" s="158">
        <v>381</v>
      </c>
      <c r="AQ2072" s="158"/>
      <c r="AR2072" s="507"/>
      <c r="AS2072" s="475" t="s">
        <v>7691</v>
      </c>
      <c r="AT2072" s="160"/>
    </row>
    <row r="2073" spans="1:46" ht="15" hidden="1" customHeight="1">
      <c r="A2073" s="331">
        <v>2072</v>
      </c>
      <c r="B2073" s="159" t="s">
        <v>450</v>
      </c>
      <c r="C2073" s="159" t="s">
        <v>2296</v>
      </c>
      <c r="D2073" s="437" t="s">
        <v>452</v>
      </c>
      <c r="E2073" s="361" t="str">
        <f t="shared" ca="1" si="128"/>
        <v>LOSS</v>
      </c>
      <c r="F2073" s="160"/>
      <c r="G2073" s="159" t="s">
        <v>10131</v>
      </c>
      <c r="H2073" s="160" t="s">
        <v>261</v>
      </c>
      <c r="I2073" s="160" t="s">
        <v>243</v>
      </c>
      <c r="J2073" s="194" t="s">
        <v>1656</v>
      </c>
      <c r="K2073" s="160" t="s">
        <v>10132</v>
      </c>
      <c r="L2073" s="287">
        <v>0.995</v>
      </c>
      <c r="M2073" s="158" t="s">
        <v>329</v>
      </c>
      <c r="N2073" s="158" t="s">
        <v>354</v>
      </c>
      <c r="O2073" s="162"/>
      <c r="P2073" s="161">
        <f>12*13500000</f>
        <v>162000000</v>
      </c>
      <c r="Q2073" s="161"/>
      <c r="R2073" s="162"/>
      <c r="S2073" s="163">
        <f>12*8500000</f>
        <v>102000000</v>
      </c>
      <c r="T2073" s="164"/>
      <c r="U2073" s="340">
        <v>45581</v>
      </c>
      <c r="V2073" s="340">
        <v>45945</v>
      </c>
      <c r="W2073" s="158" t="s">
        <v>245</v>
      </c>
      <c r="X2073" s="158"/>
      <c r="Y2073" s="34">
        <f t="shared" ca="1" si="129"/>
        <v>46290</v>
      </c>
      <c r="Z2073" s="35">
        <f t="shared" ca="1" si="132"/>
        <v>-345</v>
      </c>
      <c r="AA2073" s="27">
        <f t="shared" si="130"/>
        <v>10</v>
      </c>
      <c r="AB2073" s="27">
        <f t="shared" si="131"/>
        <v>2025</v>
      </c>
      <c r="AC2073" s="159">
        <v>4500021534</v>
      </c>
      <c r="AD2073" s="159" t="s">
        <v>10133</v>
      </c>
      <c r="AE2073" s="184" t="s">
        <v>10134</v>
      </c>
      <c r="AF2073" s="201" t="s">
        <v>8995</v>
      </c>
      <c r="AG2073" s="160"/>
      <c r="AH2073" s="160"/>
      <c r="AI2073" s="158"/>
      <c r="AJ2073" s="158"/>
      <c r="AK2073" s="158"/>
      <c r="AL2073" s="160"/>
      <c r="AM2073" s="158"/>
      <c r="AN2073" s="158"/>
      <c r="AO2073" s="158"/>
      <c r="AP2073" s="158">
        <v>502</v>
      </c>
      <c r="AQ2073" s="158"/>
      <c r="AR2073" s="507"/>
      <c r="AS2073" s="475"/>
      <c r="AT2073" s="160"/>
    </row>
    <row r="2074" spans="1:46" ht="15" hidden="1" customHeight="1">
      <c r="A2074" s="331">
        <v>2073</v>
      </c>
      <c r="B2074" s="159" t="s">
        <v>2200</v>
      </c>
      <c r="C2074" s="159" t="s">
        <v>6867</v>
      </c>
      <c r="D2074" s="438" t="s">
        <v>6868</v>
      </c>
      <c r="E2074" s="361" t="str">
        <f t="shared" ca="1" si="128"/>
        <v>LOSS</v>
      </c>
      <c r="F2074" s="160"/>
      <c r="G2074" s="159" t="s">
        <v>10135</v>
      </c>
      <c r="H2074" s="160" t="s">
        <v>261</v>
      </c>
      <c r="I2074" s="160" t="s">
        <v>243</v>
      </c>
      <c r="J2074" s="159" t="s">
        <v>10136</v>
      </c>
      <c r="K2074" s="159">
        <v>4000049510</v>
      </c>
      <c r="L2074" s="287">
        <v>0.995</v>
      </c>
      <c r="M2074" s="158" t="s">
        <v>353</v>
      </c>
      <c r="N2074" s="158" t="s">
        <v>4750</v>
      </c>
      <c r="O2074" s="162"/>
      <c r="P2074" s="161">
        <f>12*4500000</f>
        <v>54000000</v>
      </c>
      <c r="Q2074" s="161"/>
      <c r="R2074" s="162"/>
      <c r="S2074" s="163">
        <f>12*3400000</f>
        <v>40800000</v>
      </c>
      <c r="T2074" s="164"/>
      <c r="U2074" s="340">
        <v>45658</v>
      </c>
      <c r="V2074" s="340">
        <v>46022</v>
      </c>
      <c r="W2074" s="158" t="s">
        <v>250</v>
      </c>
      <c r="X2074" s="158"/>
      <c r="Y2074" s="34">
        <f t="shared" ca="1" si="129"/>
        <v>46290</v>
      </c>
      <c r="Z2074" s="35">
        <f t="shared" ca="1" si="132"/>
        <v>-268</v>
      </c>
      <c r="AA2074" s="27">
        <f t="shared" si="130"/>
        <v>12</v>
      </c>
      <c r="AB2074" s="27">
        <f t="shared" si="131"/>
        <v>2025</v>
      </c>
      <c r="AC2074" s="159">
        <v>4500022180</v>
      </c>
      <c r="AD2074" s="159" t="s">
        <v>10137</v>
      </c>
      <c r="AE2074" s="184" t="s">
        <v>10138</v>
      </c>
      <c r="AF2074" s="201" t="s">
        <v>8995</v>
      </c>
      <c r="AG2074" s="160"/>
      <c r="AH2074" s="160"/>
      <c r="AI2074" s="158"/>
      <c r="AJ2074" s="158"/>
      <c r="AK2074" s="158"/>
      <c r="AL2074" s="158"/>
      <c r="AM2074" s="158"/>
      <c r="AN2074" s="158"/>
      <c r="AO2074" s="158"/>
      <c r="AP2074" s="158">
        <v>456</v>
      </c>
      <c r="AQ2074" s="158"/>
      <c r="AR2074" s="507"/>
      <c r="AS2074" s="475"/>
      <c r="AT2074" s="160"/>
    </row>
    <row r="2075" spans="1:46" ht="15" hidden="1" customHeight="1">
      <c r="A2075" s="331">
        <v>2074</v>
      </c>
      <c r="B2075" s="159" t="s">
        <v>165</v>
      </c>
      <c r="C2075" s="159" t="s">
        <v>7108</v>
      </c>
      <c r="D2075" s="437" t="s">
        <v>7149</v>
      </c>
      <c r="E2075" s="361" t="str">
        <f t="shared" ca="1" si="128"/>
        <v>LOSS</v>
      </c>
      <c r="F2075" s="160" t="s">
        <v>10139</v>
      </c>
      <c r="G2075" s="159" t="s">
        <v>10140</v>
      </c>
      <c r="H2075" s="160" t="s">
        <v>261</v>
      </c>
      <c r="I2075" s="160" t="s">
        <v>243</v>
      </c>
      <c r="J2075" s="159" t="s">
        <v>8916</v>
      </c>
      <c r="K2075" s="181" t="s">
        <v>8917</v>
      </c>
      <c r="L2075" s="287">
        <v>0.995</v>
      </c>
      <c r="M2075" s="158" t="s">
        <v>365</v>
      </c>
      <c r="N2075" s="158" t="s">
        <v>6727</v>
      </c>
      <c r="O2075" s="162"/>
      <c r="P2075" s="161">
        <f>85400000*1</f>
        <v>85400000</v>
      </c>
      <c r="Q2075" s="161"/>
      <c r="R2075" s="162"/>
      <c r="S2075" s="163">
        <f>78000000*1</f>
        <v>78000000</v>
      </c>
      <c r="T2075" s="164"/>
      <c r="U2075" s="340">
        <v>45627</v>
      </c>
      <c r="V2075" s="340">
        <v>45657</v>
      </c>
      <c r="W2075" s="158" t="s">
        <v>250</v>
      </c>
      <c r="X2075" s="158"/>
      <c r="Y2075" s="34">
        <f t="shared" ca="1" si="129"/>
        <v>46290</v>
      </c>
      <c r="Z2075" s="35">
        <f t="shared" ca="1" si="132"/>
        <v>-633</v>
      </c>
      <c r="AA2075" s="27">
        <f t="shared" si="130"/>
        <v>12</v>
      </c>
      <c r="AB2075" s="27">
        <f t="shared" si="131"/>
        <v>2024</v>
      </c>
      <c r="AC2075" s="159" t="s">
        <v>10141</v>
      </c>
      <c r="AD2075" s="159" t="s">
        <v>10142</v>
      </c>
      <c r="AE2075" s="184" t="s">
        <v>10143</v>
      </c>
      <c r="AF2075" s="27" t="s">
        <v>471</v>
      </c>
      <c r="AG2075" s="29" t="s">
        <v>9100</v>
      </c>
      <c r="AH2075" s="160" t="s">
        <v>7099</v>
      </c>
      <c r="AI2075" s="158"/>
      <c r="AJ2075" s="158"/>
      <c r="AK2075" s="158"/>
      <c r="AL2075" s="158"/>
      <c r="AM2075" s="158"/>
      <c r="AN2075" s="158"/>
      <c r="AO2075" s="158"/>
      <c r="AP2075" s="158">
        <v>415</v>
      </c>
      <c r="AQ2075" s="158"/>
      <c r="AR2075" s="507"/>
      <c r="AS2075" s="475"/>
      <c r="AT2075" s="160"/>
    </row>
    <row r="2076" spans="1:46" ht="15" hidden="1" customHeight="1">
      <c r="A2076" s="331">
        <v>2075</v>
      </c>
      <c r="B2076" s="159" t="s">
        <v>9349</v>
      </c>
      <c r="C2076" s="159" t="s">
        <v>8460</v>
      </c>
      <c r="D2076" s="438" t="s">
        <v>1620</v>
      </c>
      <c r="E2076" s="361" t="str">
        <f t="shared" ca="1" si="128"/>
        <v>LOSS</v>
      </c>
      <c r="F2076" s="203" t="s">
        <v>10144</v>
      </c>
      <c r="G2076" s="159" t="s">
        <v>10145</v>
      </c>
      <c r="H2076" s="160" t="s">
        <v>261</v>
      </c>
      <c r="I2076" s="160" t="s">
        <v>243</v>
      </c>
      <c r="J2076" s="159" t="s">
        <v>10146</v>
      </c>
      <c r="K2076" s="181" t="s">
        <v>10147</v>
      </c>
      <c r="L2076" s="27" t="s">
        <v>4749</v>
      </c>
      <c r="M2076" s="158" t="s">
        <v>365</v>
      </c>
      <c r="N2076" s="158" t="s">
        <v>6802</v>
      </c>
      <c r="O2076" s="162"/>
      <c r="P2076" s="161">
        <f>5200000*12</f>
        <v>62400000</v>
      </c>
      <c r="Q2076" s="161"/>
      <c r="R2076" s="162"/>
      <c r="S2076" s="163">
        <f>2300000*12</f>
        <v>27600000</v>
      </c>
      <c r="T2076" s="164"/>
      <c r="U2076" s="340">
        <v>45658</v>
      </c>
      <c r="V2076" s="340">
        <v>46022</v>
      </c>
      <c r="W2076" s="158" t="s">
        <v>250</v>
      </c>
      <c r="X2076" s="158"/>
      <c r="Y2076" s="34">
        <f t="shared" ca="1" si="129"/>
        <v>46290</v>
      </c>
      <c r="Z2076" s="35">
        <f t="shared" ca="1" si="132"/>
        <v>-268</v>
      </c>
      <c r="AA2076" s="27">
        <f t="shared" si="130"/>
        <v>12</v>
      </c>
      <c r="AB2076" s="27">
        <f t="shared" si="131"/>
        <v>2025</v>
      </c>
      <c r="AC2076" s="159" t="s">
        <v>10148</v>
      </c>
      <c r="AD2076" s="159" t="s">
        <v>10149</v>
      </c>
      <c r="AE2076" s="184" t="s">
        <v>10150</v>
      </c>
      <c r="AF2076" s="27" t="s">
        <v>471</v>
      </c>
      <c r="AG2076" s="160"/>
      <c r="AH2076" s="160"/>
      <c r="AI2076" s="158"/>
      <c r="AJ2076" s="158"/>
      <c r="AK2076" s="158"/>
      <c r="AL2076" s="158"/>
      <c r="AM2076" s="158"/>
      <c r="AN2076" s="158"/>
      <c r="AO2076" s="158"/>
      <c r="AP2076" s="158"/>
      <c r="AQ2076" s="158">
        <v>16</v>
      </c>
      <c r="AR2076" s="507"/>
      <c r="AS2076" s="475"/>
      <c r="AT2076" s="160"/>
    </row>
    <row r="2077" spans="1:46" ht="15" hidden="1" customHeight="1">
      <c r="A2077" s="331">
        <v>2076</v>
      </c>
      <c r="B2077" s="159" t="s">
        <v>1744</v>
      </c>
      <c r="C2077" s="159" t="s">
        <v>7060</v>
      </c>
      <c r="D2077" s="437" t="s">
        <v>7061</v>
      </c>
      <c r="E2077" s="361" t="str">
        <f t="shared" ca="1" si="128"/>
        <v>LOSS</v>
      </c>
      <c r="F2077" s="160"/>
      <c r="G2077" s="159" t="s">
        <v>10151</v>
      </c>
      <c r="H2077" s="160" t="s">
        <v>261</v>
      </c>
      <c r="I2077" s="160" t="s">
        <v>243</v>
      </c>
      <c r="J2077" s="159" t="s">
        <v>7063</v>
      </c>
      <c r="K2077" s="205" t="s">
        <v>10152</v>
      </c>
      <c r="L2077" s="287">
        <v>0.995</v>
      </c>
      <c r="M2077" s="158" t="s">
        <v>10153</v>
      </c>
      <c r="N2077" s="158" t="s">
        <v>6856</v>
      </c>
      <c r="O2077" s="162"/>
      <c r="P2077" s="161">
        <f>12*7000000</f>
        <v>84000000</v>
      </c>
      <c r="Q2077" s="161"/>
      <c r="R2077" s="162"/>
      <c r="S2077" s="163">
        <f>12*4500000</f>
        <v>54000000</v>
      </c>
      <c r="T2077" s="164"/>
      <c r="U2077" s="340">
        <v>45641</v>
      </c>
      <c r="V2077" s="340">
        <v>46005</v>
      </c>
      <c r="W2077" s="158" t="s">
        <v>245</v>
      </c>
      <c r="X2077" s="158"/>
      <c r="Y2077" s="34">
        <f t="shared" ca="1" si="129"/>
        <v>46290</v>
      </c>
      <c r="Z2077" s="35">
        <f t="shared" ca="1" si="132"/>
        <v>-285</v>
      </c>
      <c r="AA2077" s="27">
        <f t="shared" si="130"/>
        <v>12</v>
      </c>
      <c r="AB2077" s="27">
        <f t="shared" si="131"/>
        <v>2025</v>
      </c>
      <c r="AC2077" s="159" t="s">
        <v>10154</v>
      </c>
      <c r="AD2077" s="159" t="s">
        <v>10155</v>
      </c>
      <c r="AE2077" s="184" t="s">
        <v>10156</v>
      </c>
      <c r="AF2077" s="201" t="s">
        <v>8995</v>
      </c>
      <c r="AG2077" s="160"/>
      <c r="AH2077" s="160"/>
      <c r="AI2077" s="158"/>
      <c r="AJ2077" s="158"/>
      <c r="AK2077" s="158"/>
      <c r="AL2077" s="158"/>
      <c r="AM2077" s="158"/>
      <c r="AN2077" s="158"/>
      <c r="AO2077" s="158"/>
      <c r="AP2077" s="158">
        <v>457</v>
      </c>
      <c r="AQ2077" s="158"/>
      <c r="AR2077" s="507"/>
      <c r="AS2077" s="475" t="s">
        <v>10157</v>
      </c>
      <c r="AT2077" s="160"/>
    </row>
    <row r="2078" spans="1:46" ht="15" hidden="1" customHeight="1">
      <c r="A2078" s="331">
        <v>2077</v>
      </c>
      <c r="B2078" s="159" t="s">
        <v>6688</v>
      </c>
      <c r="C2078" s="159" t="s">
        <v>461</v>
      </c>
      <c r="D2078" s="443" t="s">
        <v>9342</v>
      </c>
      <c r="E2078" s="361" t="str">
        <f t="shared" ca="1" si="128"/>
        <v>LOSS</v>
      </c>
      <c r="F2078" s="160"/>
      <c r="G2078" s="159" t="s">
        <v>10158</v>
      </c>
      <c r="H2078" s="160" t="s">
        <v>261</v>
      </c>
      <c r="I2078" s="160" t="s">
        <v>243</v>
      </c>
      <c r="J2078" s="194" t="s">
        <v>6691</v>
      </c>
      <c r="K2078" s="288" t="s">
        <v>6692</v>
      </c>
      <c r="L2078" s="287">
        <v>0.995</v>
      </c>
      <c r="M2078" s="158" t="s">
        <v>467</v>
      </c>
      <c r="N2078" s="158" t="s">
        <v>362</v>
      </c>
      <c r="O2078" s="162"/>
      <c r="P2078" s="161">
        <f>12*1444119</f>
        <v>17329428</v>
      </c>
      <c r="Q2078" s="161"/>
      <c r="R2078" s="162"/>
      <c r="S2078" s="163">
        <f>12*1000000</f>
        <v>12000000</v>
      </c>
      <c r="T2078" s="164"/>
      <c r="U2078" s="340">
        <v>45597</v>
      </c>
      <c r="V2078" s="340">
        <v>45961</v>
      </c>
      <c r="W2078" s="158" t="s">
        <v>250</v>
      </c>
      <c r="X2078" s="158"/>
      <c r="Y2078" s="34">
        <f t="shared" ca="1" si="129"/>
        <v>46290</v>
      </c>
      <c r="Z2078" s="35">
        <f t="shared" ca="1" si="132"/>
        <v>-329</v>
      </c>
      <c r="AA2078" s="27">
        <f t="shared" si="130"/>
        <v>10</v>
      </c>
      <c r="AB2078" s="27">
        <f t="shared" si="131"/>
        <v>2025</v>
      </c>
      <c r="AC2078" s="28">
        <v>4500021440</v>
      </c>
      <c r="AD2078" s="159" t="s">
        <v>10159</v>
      </c>
      <c r="AE2078" s="184" t="s">
        <v>10160</v>
      </c>
      <c r="AF2078" s="201" t="s">
        <v>8995</v>
      </c>
      <c r="AG2078" s="160"/>
      <c r="AH2078" s="160" t="s">
        <v>9348</v>
      </c>
      <c r="AI2078" s="158"/>
      <c r="AJ2078" s="158"/>
      <c r="AK2078" s="158"/>
      <c r="AL2078" s="158"/>
      <c r="AM2078" s="158"/>
      <c r="AN2078" s="158"/>
      <c r="AO2078" s="158"/>
      <c r="AP2078" s="158">
        <v>329</v>
      </c>
      <c r="AQ2078" s="158"/>
      <c r="AR2078" s="507"/>
      <c r="AS2078" s="475"/>
      <c r="AT2078" s="160"/>
    </row>
    <row r="2079" spans="1:46" ht="15" hidden="1" customHeight="1">
      <c r="A2079" s="331">
        <v>2078</v>
      </c>
      <c r="B2079" s="159" t="s">
        <v>450</v>
      </c>
      <c r="C2079" s="159" t="s">
        <v>7028</v>
      </c>
      <c r="D2079" s="437" t="s">
        <v>452</v>
      </c>
      <c r="E2079" s="361" t="str">
        <f t="shared" ca="1" si="128"/>
        <v>LOSS</v>
      </c>
      <c r="F2079" s="160" t="s">
        <v>10161</v>
      </c>
      <c r="G2079" s="159" t="s">
        <v>10162</v>
      </c>
      <c r="H2079" s="160" t="s">
        <v>261</v>
      </c>
      <c r="I2079" s="160" t="s">
        <v>243</v>
      </c>
      <c r="J2079" s="159" t="s">
        <v>766</v>
      </c>
      <c r="K2079" s="181" t="s">
        <v>7031</v>
      </c>
      <c r="L2079" s="287">
        <v>0.995</v>
      </c>
      <c r="M2079" s="158" t="s">
        <v>365</v>
      </c>
      <c r="N2079" s="158" t="s">
        <v>389</v>
      </c>
      <c r="O2079" s="162"/>
      <c r="P2079" s="161">
        <f>12*29500000</f>
        <v>354000000</v>
      </c>
      <c r="Q2079" s="161"/>
      <c r="R2079" s="162"/>
      <c r="S2079" s="163">
        <f>12*15000000</f>
        <v>180000000</v>
      </c>
      <c r="T2079" s="164"/>
      <c r="U2079" s="340">
        <v>45636</v>
      </c>
      <c r="V2079" s="340">
        <v>46000</v>
      </c>
      <c r="W2079" s="158" t="s">
        <v>245</v>
      </c>
      <c r="X2079" s="158"/>
      <c r="Y2079" s="34">
        <f t="shared" ca="1" si="129"/>
        <v>46290</v>
      </c>
      <c r="Z2079" s="35">
        <f t="shared" ca="1" si="132"/>
        <v>-290</v>
      </c>
      <c r="AA2079" s="27">
        <f t="shared" si="130"/>
        <v>12</v>
      </c>
      <c r="AB2079" s="27">
        <f t="shared" si="131"/>
        <v>2025</v>
      </c>
      <c r="AC2079" s="159">
        <v>4500021798</v>
      </c>
      <c r="AD2079" s="194" t="s">
        <v>10163</v>
      </c>
      <c r="AE2079" s="289">
        <v>4500024475</v>
      </c>
      <c r="AF2079" s="201" t="s">
        <v>8995</v>
      </c>
      <c r="AG2079" s="160"/>
      <c r="AH2079" s="160"/>
      <c r="AI2079" s="158"/>
      <c r="AJ2079" s="158"/>
      <c r="AK2079" s="158"/>
      <c r="AL2079" s="158"/>
      <c r="AM2079" s="158"/>
      <c r="AN2079" s="158"/>
      <c r="AO2079" s="158"/>
      <c r="AP2079" s="158">
        <v>408</v>
      </c>
      <c r="AQ2079" s="158"/>
      <c r="AR2079" s="507"/>
      <c r="AS2079" s="475"/>
      <c r="AT2079" s="160"/>
    </row>
    <row r="2080" spans="1:46" ht="15" hidden="1" customHeight="1">
      <c r="A2080" s="331">
        <v>2079</v>
      </c>
      <c r="B2080" s="159" t="s">
        <v>2439</v>
      </c>
      <c r="C2080" s="159" t="s">
        <v>8384</v>
      </c>
      <c r="D2080" s="438" t="s">
        <v>7284</v>
      </c>
      <c r="E2080" s="361" t="str">
        <f t="shared" ca="1" si="128"/>
        <v>LOSS</v>
      </c>
      <c r="F2080" s="160"/>
      <c r="G2080" s="159" t="s">
        <v>10164</v>
      </c>
      <c r="H2080" s="160" t="s">
        <v>261</v>
      </c>
      <c r="I2080" s="160" t="s">
        <v>243</v>
      </c>
      <c r="J2080" s="205" t="s">
        <v>10165</v>
      </c>
      <c r="K2080" s="181" t="s">
        <v>8387</v>
      </c>
      <c r="L2080" s="287">
        <v>0.998</v>
      </c>
      <c r="M2080" s="158" t="s">
        <v>329</v>
      </c>
      <c r="N2080" s="158" t="s">
        <v>406</v>
      </c>
      <c r="O2080" s="162"/>
      <c r="P2080" s="161">
        <f>12*16000000</f>
        <v>192000000</v>
      </c>
      <c r="Q2080" s="161"/>
      <c r="R2080" s="162"/>
      <c r="S2080" s="163">
        <f>12*10000000</f>
        <v>120000000</v>
      </c>
      <c r="T2080" s="164"/>
      <c r="U2080" s="340">
        <v>45620</v>
      </c>
      <c r="V2080" s="340">
        <v>45984</v>
      </c>
      <c r="W2080" s="158" t="s">
        <v>245</v>
      </c>
      <c r="X2080" s="158"/>
      <c r="Y2080" s="34">
        <f t="shared" ca="1" si="129"/>
        <v>46290</v>
      </c>
      <c r="Z2080" s="35">
        <f t="shared" ca="1" si="132"/>
        <v>-306</v>
      </c>
      <c r="AA2080" s="27">
        <f t="shared" si="130"/>
        <v>11</v>
      </c>
      <c r="AB2080" s="27">
        <f t="shared" si="131"/>
        <v>2025</v>
      </c>
      <c r="AC2080" s="159" t="s">
        <v>10166</v>
      </c>
      <c r="AD2080" s="194" t="s">
        <v>10167</v>
      </c>
      <c r="AE2080" s="184" t="s">
        <v>10168</v>
      </c>
      <c r="AF2080" s="201" t="s">
        <v>8995</v>
      </c>
      <c r="AG2080" s="160"/>
      <c r="AH2080" s="160"/>
      <c r="AI2080" s="158"/>
      <c r="AJ2080" s="158"/>
      <c r="AK2080" s="158"/>
      <c r="AL2080" s="158"/>
      <c r="AM2080" s="158"/>
      <c r="AN2080" s="158"/>
      <c r="AO2080" s="158"/>
      <c r="AP2080" s="158">
        <v>238</v>
      </c>
      <c r="AQ2080" s="158"/>
      <c r="AR2080" s="507"/>
      <c r="AS2080" s="475" t="s">
        <v>10169</v>
      </c>
      <c r="AT2080" s="160"/>
    </row>
    <row r="2081" spans="1:46" ht="15" hidden="1" customHeight="1">
      <c r="A2081" s="331">
        <v>2080</v>
      </c>
      <c r="B2081" s="159" t="s">
        <v>71</v>
      </c>
      <c r="C2081" s="159" t="s">
        <v>948</v>
      </c>
      <c r="D2081" s="437" t="s">
        <v>490</v>
      </c>
      <c r="E2081" s="361" t="str">
        <f t="shared" ca="1" si="128"/>
        <v>LOSS</v>
      </c>
      <c r="F2081" s="160" t="s">
        <v>10170</v>
      </c>
      <c r="G2081" s="182" t="s">
        <v>10171</v>
      </c>
      <c r="H2081" s="160" t="s">
        <v>2748</v>
      </c>
      <c r="I2081" s="160" t="s">
        <v>242</v>
      </c>
      <c r="J2081" s="159" t="s">
        <v>10172</v>
      </c>
      <c r="K2081" s="160"/>
      <c r="L2081" s="158"/>
      <c r="M2081" s="158" t="s">
        <v>329</v>
      </c>
      <c r="N2081" s="158"/>
      <c r="O2081" s="162"/>
      <c r="P2081" s="161">
        <f>17000000*12</f>
        <v>204000000</v>
      </c>
      <c r="Q2081" s="161"/>
      <c r="R2081" s="162"/>
      <c r="S2081" s="163">
        <v>54000000</v>
      </c>
      <c r="T2081" s="164"/>
      <c r="U2081" s="340">
        <v>45509</v>
      </c>
      <c r="V2081" s="340">
        <v>45873</v>
      </c>
      <c r="W2081" s="158" t="s">
        <v>250</v>
      </c>
      <c r="X2081" s="158"/>
      <c r="Y2081" s="34">
        <f t="shared" ca="1" si="129"/>
        <v>46290</v>
      </c>
      <c r="Z2081" s="35">
        <f t="shared" ca="1" si="132"/>
        <v>-417</v>
      </c>
      <c r="AA2081" s="158">
        <v>8</v>
      </c>
      <c r="AB2081" s="27">
        <f t="shared" si="131"/>
        <v>2025</v>
      </c>
      <c r="AC2081" s="159">
        <v>4500021185</v>
      </c>
      <c r="AD2081" s="159" t="s">
        <v>10173</v>
      </c>
      <c r="AE2081" s="184" t="s">
        <v>10174</v>
      </c>
      <c r="AF2081" s="201" t="s">
        <v>10175</v>
      </c>
      <c r="AG2081" s="160"/>
      <c r="AH2081" s="160"/>
      <c r="AI2081" s="158"/>
      <c r="AJ2081" s="158"/>
      <c r="AK2081" s="158"/>
      <c r="AL2081" s="158"/>
      <c r="AM2081" s="158"/>
      <c r="AN2081" s="158"/>
      <c r="AO2081" s="158"/>
      <c r="AP2081" s="158">
        <v>492</v>
      </c>
      <c r="AQ2081" s="158"/>
      <c r="AR2081" s="507"/>
      <c r="AS2081" s="475"/>
      <c r="AT2081" s="160"/>
    </row>
    <row r="2082" spans="1:46" ht="15" hidden="1" customHeight="1">
      <c r="A2082" s="331">
        <v>2081</v>
      </c>
      <c r="B2082" s="159" t="s">
        <v>71</v>
      </c>
      <c r="C2082" s="159" t="s">
        <v>948</v>
      </c>
      <c r="D2082" s="438" t="s">
        <v>490</v>
      </c>
      <c r="E2082" s="361" t="str">
        <f t="shared" ca="1" si="128"/>
        <v>LOSS</v>
      </c>
      <c r="F2082" s="160" t="s">
        <v>10170</v>
      </c>
      <c r="G2082" s="159" t="s">
        <v>10176</v>
      </c>
      <c r="H2082" s="160" t="s">
        <v>2748</v>
      </c>
      <c r="I2082" s="160" t="s">
        <v>242</v>
      </c>
      <c r="J2082" s="159">
        <v>1000194976</v>
      </c>
      <c r="K2082" s="160"/>
      <c r="L2082" s="158"/>
      <c r="M2082" s="158" t="s">
        <v>329</v>
      </c>
      <c r="N2082" s="158"/>
      <c r="O2082" s="162"/>
      <c r="P2082" s="161">
        <f>5000000*12</f>
        <v>60000000</v>
      </c>
      <c r="Q2082" s="161"/>
      <c r="R2082" s="162"/>
      <c r="S2082" s="163">
        <v>18000000</v>
      </c>
      <c r="T2082" s="164"/>
      <c r="U2082" s="340">
        <v>45589</v>
      </c>
      <c r="V2082" s="340">
        <v>45953</v>
      </c>
      <c r="W2082" s="158" t="s">
        <v>250</v>
      </c>
      <c r="X2082" s="158"/>
      <c r="Y2082" s="34">
        <f t="shared" ca="1" si="129"/>
        <v>46290</v>
      </c>
      <c r="Z2082" s="35">
        <f t="shared" ca="1" si="132"/>
        <v>-337</v>
      </c>
      <c r="AA2082" s="158">
        <v>10</v>
      </c>
      <c r="AB2082" s="27">
        <f t="shared" si="131"/>
        <v>2025</v>
      </c>
      <c r="AC2082" s="159" t="s">
        <v>10177</v>
      </c>
      <c r="AD2082" s="159" t="s">
        <v>10178</v>
      </c>
      <c r="AE2082" s="184" t="s">
        <v>10179</v>
      </c>
      <c r="AF2082" s="201" t="s">
        <v>10175</v>
      </c>
      <c r="AG2082" s="160"/>
      <c r="AH2082" s="160"/>
      <c r="AI2082" s="158"/>
      <c r="AJ2082" s="158"/>
      <c r="AK2082" s="158"/>
      <c r="AL2082" s="158"/>
      <c r="AM2082" s="158"/>
      <c r="AN2082" s="158"/>
      <c r="AO2082" s="158"/>
      <c r="AP2082" s="158">
        <v>405</v>
      </c>
      <c r="AQ2082" s="158"/>
      <c r="AR2082" s="507"/>
      <c r="AS2082" s="475"/>
      <c r="AT2082" s="160"/>
    </row>
    <row r="2083" spans="1:46" ht="15" hidden="1" customHeight="1">
      <c r="A2083" s="331">
        <v>2082</v>
      </c>
      <c r="B2083" s="159" t="s">
        <v>37</v>
      </c>
      <c r="C2083" s="159" t="s">
        <v>8838</v>
      </c>
      <c r="D2083" s="437" t="s">
        <v>6644</v>
      </c>
      <c r="E2083" s="361" t="str">
        <f t="shared" ca="1" si="128"/>
        <v>LOSS</v>
      </c>
      <c r="F2083" s="160"/>
      <c r="G2083" s="159" t="s">
        <v>10180</v>
      </c>
      <c r="H2083" s="160" t="s">
        <v>261</v>
      </c>
      <c r="I2083" s="160" t="s">
        <v>243</v>
      </c>
      <c r="J2083" s="159" t="s">
        <v>10181</v>
      </c>
      <c r="K2083" s="160" t="s">
        <v>10182</v>
      </c>
      <c r="L2083" s="287">
        <v>0.995</v>
      </c>
      <c r="M2083" s="158" t="s">
        <v>7128</v>
      </c>
      <c r="N2083" s="158" t="s">
        <v>10183</v>
      </c>
      <c r="O2083" s="197">
        <f>5000000</f>
        <v>5000000</v>
      </c>
      <c r="P2083" s="161">
        <v>17900000</v>
      </c>
      <c r="Q2083" s="161"/>
      <c r="R2083" s="162">
        <v>5000000</v>
      </c>
      <c r="S2083" s="163">
        <f>6500000*12</f>
        <v>78000000</v>
      </c>
      <c r="T2083" s="164"/>
      <c r="U2083" s="340">
        <v>45624</v>
      </c>
      <c r="V2083" s="340">
        <v>45988</v>
      </c>
      <c r="W2083" s="158" t="s">
        <v>245</v>
      </c>
      <c r="X2083" s="158"/>
      <c r="Y2083" s="34">
        <f t="shared" ca="1" si="129"/>
        <v>46290</v>
      </c>
      <c r="Z2083" s="35">
        <f t="shared" ca="1" si="132"/>
        <v>-302</v>
      </c>
      <c r="AA2083" s="27">
        <f>MONTH(V2083)</f>
        <v>11</v>
      </c>
      <c r="AB2083" s="27">
        <f t="shared" si="131"/>
        <v>2025</v>
      </c>
      <c r="AC2083" s="159" t="s">
        <v>3371</v>
      </c>
      <c r="AD2083" s="159" t="s">
        <v>10184</v>
      </c>
      <c r="AE2083" s="184" t="s">
        <v>10185</v>
      </c>
      <c r="AF2083" s="201" t="s">
        <v>471</v>
      </c>
      <c r="AG2083" s="160"/>
      <c r="AH2083" s="160"/>
      <c r="AI2083" s="158"/>
      <c r="AJ2083" s="158"/>
      <c r="AK2083" s="158"/>
      <c r="AL2083" s="158"/>
      <c r="AM2083" s="158"/>
      <c r="AN2083" s="158"/>
      <c r="AO2083" s="158"/>
      <c r="AP2083" s="158">
        <v>399</v>
      </c>
      <c r="AQ2083" s="158"/>
      <c r="AR2083" s="507"/>
      <c r="AS2083" s="475" t="s">
        <v>10186</v>
      </c>
      <c r="AT2083" s="160"/>
    </row>
    <row r="2084" spans="1:46" ht="15" hidden="1" customHeight="1">
      <c r="A2084" s="331">
        <v>2083</v>
      </c>
      <c r="B2084" s="159" t="s">
        <v>71</v>
      </c>
      <c r="C2084" s="159" t="s">
        <v>948</v>
      </c>
      <c r="D2084" s="438" t="s">
        <v>490</v>
      </c>
      <c r="E2084" s="361" t="str">
        <f t="shared" ca="1" si="128"/>
        <v>LOSS</v>
      </c>
      <c r="F2084" s="160" t="s">
        <v>10170</v>
      </c>
      <c r="G2084" s="182" t="s">
        <v>10187</v>
      </c>
      <c r="H2084" s="160" t="s">
        <v>2748</v>
      </c>
      <c r="I2084" s="160" t="s">
        <v>242</v>
      </c>
      <c r="J2084" s="159" t="s">
        <v>2288</v>
      </c>
      <c r="K2084" s="160"/>
      <c r="L2084" s="158"/>
      <c r="M2084" s="158" t="s">
        <v>329</v>
      </c>
      <c r="N2084" s="158"/>
      <c r="O2084" s="162"/>
      <c r="P2084" s="161">
        <f>5000000*12</f>
        <v>60000000</v>
      </c>
      <c r="Q2084" s="161"/>
      <c r="R2084" s="162"/>
      <c r="S2084" s="163">
        <v>18000000</v>
      </c>
      <c r="T2084" s="164"/>
      <c r="U2084" s="340">
        <v>45626</v>
      </c>
      <c r="V2084" s="340">
        <v>45990</v>
      </c>
      <c r="W2084" s="158" t="s">
        <v>250</v>
      </c>
      <c r="X2084" s="158"/>
      <c r="Y2084" s="34">
        <f t="shared" ca="1" si="129"/>
        <v>46290</v>
      </c>
      <c r="Z2084" s="35">
        <f t="shared" ca="1" si="132"/>
        <v>-300</v>
      </c>
      <c r="AA2084" s="158">
        <v>11</v>
      </c>
      <c r="AB2084" s="27">
        <f t="shared" si="131"/>
        <v>2025</v>
      </c>
      <c r="AC2084" s="159" t="s">
        <v>10188</v>
      </c>
      <c r="AD2084" s="159" t="s">
        <v>10189</v>
      </c>
      <c r="AE2084" s="184" t="s">
        <v>10190</v>
      </c>
      <c r="AF2084" s="201" t="s">
        <v>339</v>
      </c>
      <c r="AG2084" s="160"/>
      <c r="AH2084" s="160"/>
      <c r="AI2084" s="158"/>
      <c r="AJ2084" s="158"/>
      <c r="AK2084" s="158"/>
      <c r="AL2084" s="158"/>
      <c r="AM2084" s="158"/>
      <c r="AN2084" s="158"/>
      <c r="AO2084" s="158"/>
      <c r="AP2084" s="158">
        <v>2</v>
      </c>
      <c r="AQ2084" s="158"/>
      <c r="AR2084" s="507"/>
      <c r="AS2084" s="475"/>
      <c r="AT2084" s="160"/>
    </row>
    <row r="2085" spans="1:46" ht="15" hidden="1" customHeight="1">
      <c r="A2085" s="331">
        <v>2084</v>
      </c>
      <c r="B2085" s="159" t="s">
        <v>2615</v>
      </c>
      <c r="C2085" s="159" t="s">
        <v>10191</v>
      </c>
      <c r="D2085" s="437" t="s">
        <v>6750</v>
      </c>
      <c r="E2085" s="361" t="str">
        <f t="shared" ca="1" si="128"/>
        <v>LOSS</v>
      </c>
      <c r="F2085" s="203" t="s">
        <v>10192</v>
      </c>
      <c r="G2085" s="205" t="s">
        <v>10192</v>
      </c>
      <c r="H2085" s="160" t="s">
        <v>261</v>
      </c>
      <c r="I2085" s="160" t="s">
        <v>243</v>
      </c>
      <c r="J2085" s="159" t="s">
        <v>10193</v>
      </c>
      <c r="K2085" s="181" t="s">
        <v>10194</v>
      </c>
      <c r="L2085" s="51">
        <v>0.995</v>
      </c>
      <c r="M2085" s="158" t="s">
        <v>353</v>
      </c>
      <c r="N2085" s="158" t="s">
        <v>389</v>
      </c>
      <c r="O2085" s="162"/>
      <c r="P2085" s="161">
        <f>4250000*12</f>
        <v>51000000</v>
      </c>
      <c r="Q2085" s="161"/>
      <c r="R2085" s="162"/>
      <c r="S2085" s="163">
        <f>3500000*12</f>
        <v>42000000</v>
      </c>
      <c r="T2085" s="164"/>
      <c r="U2085" s="340">
        <v>45566</v>
      </c>
      <c r="V2085" s="340">
        <v>45930</v>
      </c>
      <c r="W2085" s="158" t="s">
        <v>250</v>
      </c>
      <c r="X2085" s="158"/>
      <c r="Y2085" s="34">
        <f t="shared" ca="1" si="129"/>
        <v>46290</v>
      </c>
      <c r="Z2085" s="35">
        <f t="shared" ca="1" si="132"/>
        <v>-360</v>
      </c>
      <c r="AA2085" s="27">
        <f>MONTH(V2085)</f>
        <v>9</v>
      </c>
      <c r="AB2085" s="27">
        <f t="shared" si="131"/>
        <v>2025</v>
      </c>
      <c r="AC2085" s="159" t="s">
        <v>3371</v>
      </c>
      <c r="AD2085" s="159" t="s">
        <v>10195</v>
      </c>
      <c r="AE2085" s="184" t="s">
        <v>10196</v>
      </c>
      <c r="AF2085" s="27" t="s">
        <v>471</v>
      </c>
      <c r="AG2085" s="160"/>
      <c r="AH2085" s="174" t="s">
        <v>6757</v>
      </c>
      <c r="AI2085" s="158"/>
      <c r="AJ2085" s="158"/>
      <c r="AK2085" s="158"/>
      <c r="AL2085" s="158"/>
      <c r="AM2085" s="158"/>
      <c r="AN2085" s="158"/>
      <c r="AO2085" s="158"/>
      <c r="AP2085" s="158">
        <v>503</v>
      </c>
      <c r="AQ2085" s="158"/>
      <c r="AR2085" s="507"/>
      <c r="AS2085" s="475"/>
      <c r="AT2085" s="160"/>
    </row>
    <row r="2086" spans="1:46" ht="15" hidden="1" customHeight="1">
      <c r="A2086" s="331">
        <v>2085</v>
      </c>
      <c r="B2086" s="28" t="s">
        <v>114</v>
      </c>
      <c r="C2086" s="159" t="s">
        <v>344</v>
      </c>
      <c r="D2086" s="438" t="s">
        <v>764</v>
      </c>
      <c r="E2086" s="361" t="str">
        <f t="shared" ca="1" si="128"/>
        <v>LOSS</v>
      </c>
      <c r="F2086" s="160"/>
      <c r="G2086" s="159" t="s">
        <v>10197</v>
      </c>
      <c r="H2086" s="160" t="s">
        <v>2748</v>
      </c>
      <c r="I2086" s="29" t="s">
        <v>346</v>
      </c>
      <c r="J2086" s="159"/>
      <c r="K2086" s="160"/>
      <c r="L2086" s="158"/>
      <c r="M2086" s="158"/>
      <c r="N2086" s="158"/>
      <c r="O2086" s="162"/>
      <c r="P2086" s="31">
        <v>347745000</v>
      </c>
      <c r="Q2086" s="161"/>
      <c r="R2086" s="162"/>
      <c r="S2086" s="100">
        <v>142500000</v>
      </c>
      <c r="T2086" s="164"/>
      <c r="U2086" s="340">
        <v>45585</v>
      </c>
      <c r="V2086" s="340">
        <v>45949</v>
      </c>
      <c r="W2086" s="158" t="s">
        <v>250</v>
      </c>
      <c r="X2086" s="158"/>
      <c r="Y2086" s="34">
        <f t="shared" ca="1" si="129"/>
        <v>46290</v>
      </c>
      <c r="Z2086" s="35">
        <f t="shared" ca="1" si="132"/>
        <v>-341</v>
      </c>
      <c r="AA2086" s="158">
        <v>10</v>
      </c>
      <c r="AB2086" s="27">
        <f t="shared" si="131"/>
        <v>2025</v>
      </c>
      <c r="AC2086" s="159">
        <v>4500021734</v>
      </c>
      <c r="AD2086" s="159" t="s">
        <v>10198</v>
      </c>
      <c r="AE2086" s="184" t="s">
        <v>9421</v>
      </c>
      <c r="AF2086" s="201" t="s">
        <v>339</v>
      </c>
      <c r="AG2086" s="160"/>
      <c r="AH2086" s="160"/>
      <c r="AI2086" s="158"/>
      <c r="AJ2086" s="158"/>
      <c r="AK2086" s="158"/>
      <c r="AL2086" s="158"/>
      <c r="AM2086" s="158"/>
      <c r="AN2086" s="158"/>
      <c r="AO2086" s="158"/>
      <c r="AP2086" s="158"/>
      <c r="AQ2086" s="158"/>
      <c r="AR2086" s="507"/>
      <c r="AS2086" s="475"/>
      <c r="AT2086" s="160"/>
    </row>
    <row r="2087" spans="1:46" ht="15" hidden="1" customHeight="1">
      <c r="A2087" s="331">
        <v>2086</v>
      </c>
      <c r="B2087" s="28" t="s">
        <v>669</v>
      </c>
      <c r="C2087" s="40" t="s">
        <v>10199</v>
      </c>
      <c r="D2087" s="437" t="s">
        <v>6371</v>
      </c>
      <c r="E2087" s="361" t="str">
        <f t="shared" ca="1" si="128"/>
        <v>LOSS</v>
      </c>
      <c r="F2087" s="160"/>
      <c r="G2087" s="28" t="s">
        <v>10200</v>
      </c>
      <c r="H2087" s="160" t="s">
        <v>2748</v>
      </c>
      <c r="I2087" s="160" t="s">
        <v>346</v>
      </c>
      <c r="J2087" s="182" t="s">
        <v>10201</v>
      </c>
      <c r="K2087" s="160"/>
      <c r="L2087" s="158"/>
      <c r="M2087" s="158"/>
      <c r="N2087" s="158"/>
      <c r="O2087" s="162"/>
      <c r="P2087" s="161">
        <f>9500000*12</f>
        <v>114000000</v>
      </c>
      <c r="Q2087" s="161"/>
      <c r="R2087" s="162"/>
      <c r="S2087" s="163">
        <f>55656402</f>
        <v>55656402</v>
      </c>
      <c r="T2087" s="164"/>
      <c r="U2087" s="340">
        <v>45658</v>
      </c>
      <c r="V2087" s="340">
        <v>46022</v>
      </c>
      <c r="W2087" s="158" t="s">
        <v>17</v>
      </c>
      <c r="X2087" s="158"/>
      <c r="Y2087" s="34">
        <f t="shared" ca="1" si="129"/>
        <v>46290</v>
      </c>
      <c r="Z2087" s="35">
        <f t="shared" ca="1" si="132"/>
        <v>-268</v>
      </c>
      <c r="AA2087" s="158">
        <v>12</v>
      </c>
      <c r="AB2087" s="27">
        <f t="shared" si="131"/>
        <v>2025</v>
      </c>
      <c r="AC2087" s="184" t="s">
        <v>10029</v>
      </c>
      <c r="AD2087" s="159" t="s">
        <v>10202</v>
      </c>
      <c r="AE2087" s="184" t="s">
        <v>10203</v>
      </c>
      <c r="AF2087" s="201" t="s">
        <v>339</v>
      </c>
      <c r="AG2087" s="160"/>
      <c r="AH2087" s="160"/>
      <c r="AI2087" s="158"/>
      <c r="AJ2087" s="158"/>
      <c r="AK2087" s="158"/>
      <c r="AL2087" s="158"/>
      <c r="AM2087" s="158"/>
      <c r="AN2087" s="158"/>
      <c r="AO2087" s="158"/>
      <c r="AP2087" s="158"/>
      <c r="AQ2087" s="158">
        <v>206</v>
      </c>
      <c r="AR2087" s="507"/>
      <c r="AS2087" s="475"/>
      <c r="AT2087" s="160"/>
    </row>
    <row r="2088" spans="1:46" ht="15" hidden="1" customHeight="1">
      <c r="A2088" s="331">
        <v>2087</v>
      </c>
      <c r="B2088" s="159" t="s">
        <v>614</v>
      </c>
      <c r="C2088" s="159" t="s">
        <v>6780</v>
      </c>
      <c r="D2088" s="438" t="s">
        <v>6774</v>
      </c>
      <c r="E2088" s="361" t="str">
        <f t="shared" ca="1" si="128"/>
        <v>LOSS</v>
      </c>
      <c r="F2088" s="28" t="s">
        <v>10204</v>
      </c>
      <c r="G2088" s="28" t="s">
        <v>10205</v>
      </c>
      <c r="H2088" s="160" t="s">
        <v>261</v>
      </c>
      <c r="I2088" s="160" t="s">
        <v>243</v>
      </c>
      <c r="J2088" s="28" t="s">
        <v>2016</v>
      </c>
      <c r="K2088" s="160" t="s">
        <v>10206</v>
      </c>
      <c r="L2088" s="213">
        <v>0.99</v>
      </c>
      <c r="M2088" s="158" t="s">
        <v>365</v>
      </c>
      <c r="N2088" s="158" t="s">
        <v>6735</v>
      </c>
      <c r="O2088" s="162"/>
      <c r="P2088" s="161">
        <v>386400000</v>
      </c>
      <c r="Q2088" s="161"/>
      <c r="R2088" s="162"/>
      <c r="S2088" s="163">
        <v>180000000</v>
      </c>
      <c r="T2088" s="164"/>
      <c r="U2088" s="340">
        <v>45658</v>
      </c>
      <c r="V2088" s="340">
        <v>46022</v>
      </c>
      <c r="W2088" s="158" t="s">
        <v>250</v>
      </c>
      <c r="X2088" s="158"/>
      <c r="Y2088" s="34">
        <f t="shared" ca="1" si="129"/>
        <v>46290</v>
      </c>
      <c r="Z2088" s="35">
        <f t="shared" ca="1" si="132"/>
        <v>-268</v>
      </c>
      <c r="AA2088" s="158">
        <f>MONTH(Table1[[#This Row],[End]])</f>
        <v>12</v>
      </c>
      <c r="AB2088" s="27">
        <f t="shared" si="131"/>
        <v>2025</v>
      </c>
      <c r="AC2088" s="159">
        <v>4500022108</v>
      </c>
      <c r="AD2088" s="159" t="s">
        <v>10207</v>
      </c>
      <c r="AE2088" s="184" t="s">
        <v>10208</v>
      </c>
      <c r="AF2088" s="201" t="s">
        <v>8995</v>
      </c>
      <c r="AG2088" s="160"/>
      <c r="AH2088" s="160" t="s">
        <v>6803</v>
      </c>
      <c r="AI2088" s="158"/>
      <c r="AJ2088" s="158"/>
      <c r="AK2088" s="158"/>
      <c r="AL2088" s="158"/>
      <c r="AM2088" s="158"/>
      <c r="AN2088" s="158"/>
      <c r="AO2088" s="158"/>
      <c r="AP2088" s="158"/>
      <c r="AQ2088" s="158">
        <v>41</v>
      </c>
      <c r="AR2088" s="507"/>
      <c r="AS2088" s="475"/>
      <c r="AT2088" s="160"/>
    </row>
    <row r="2089" spans="1:46" ht="15" hidden="1" customHeight="1">
      <c r="A2089" s="331">
        <v>2088</v>
      </c>
      <c r="B2089" s="28" t="s">
        <v>4069</v>
      </c>
      <c r="C2089" s="28" t="s">
        <v>10209</v>
      </c>
      <c r="D2089" s="159" t="s">
        <v>4071</v>
      </c>
      <c r="E2089" s="361" t="str">
        <f t="shared" ca="1" si="128"/>
        <v>LOSS</v>
      </c>
      <c r="F2089" s="29" t="s">
        <v>10210</v>
      </c>
      <c r="G2089" s="29" t="s">
        <v>10211</v>
      </c>
      <c r="H2089" s="29" t="s">
        <v>2748</v>
      </c>
      <c r="I2089" s="29" t="s">
        <v>242</v>
      </c>
      <c r="J2089" s="28" t="s">
        <v>10212</v>
      </c>
      <c r="K2089" s="38" t="s">
        <v>10213</v>
      </c>
      <c r="L2089" s="27"/>
      <c r="M2089" s="27" t="s">
        <v>365</v>
      </c>
      <c r="N2089" s="27" t="s">
        <v>6885</v>
      </c>
      <c r="O2089" s="56">
        <v>8000000</v>
      </c>
      <c r="P2089" s="56">
        <v>48000000</v>
      </c>
      <c r="Q2089" s="161"/>
      <c r="R2089" s="151">
        <v>2000000</v>
      </c>
      <c r="S2089" s="290">
        <v>18000000</v>
      </c>
      <c r="T2089" s="164"/>
      <c r="U2089" s="334">
        <v>45722</v>
      </c>
      <c r="V2089" s="334">
        <v>46086</v>
      </c>
      <c r="W2089" s="27" t="s">
        <v>250</v>
      </c>
      <c r="X2089" s="158"/>
      <c r="Y2089" s="34">
        <f t="shared" ca="1" si="129"/>
        <v>46290</v>
      </c>
      <c r="Z2089" s="35">
        <f t="shared" ca="1" si="132"/>
        <v>-204</v>
      </c>
      <c r="AA2089" s="27">
        <f t="shared" ref="AA2089:AA2120" si="133">MONTH(V2089)</f>
        <v>3</v>
      </c>
      <c r="AB2089" s="27">
        <f t="shared" si="131"/>
        <v>2026</v>
      </c>
      <c r="AC2089" s="28"/>
      <c r="AD2089" s="28" t="s">
        <v>10214</v>
      </c>
      <c r="AE2089" s="47" t="s">
        <v>10215</v>
      </c>
      <c r="AF2089" s="52" t="s">
        <v>356</v>
      </c>
      <c r="AG2089" s="160"/>
      <c r="AH2089" s="160"/>
      <c r="AI2089" s="27"/>
      <c r="AJ2089" s="27"/>
      <c r="AK2089" s="27"/>
      <c r="AL2089" s="27"/>
      <c r="AM2089" s="27"/>
      <c r="AN2089" s="27"/>
      <c r="AO2089" s="27"/>
      <c r="AP2089" s="27">
        <v>436</v>
      </c>
      <c r="AQ2089" s="29"/>
      <c r="AR2089" s="506"/>
      <c r="AS2089" s="332"/>
      <c r="AT2089" s="160"/>
    </row>
    <row r="2090" spans="1:46" ht="14.4" hidden="1">
      <c r="A2090" s="331">
        <v>2089</v>
      </c>
      <c r="B2090" s="28" t="s">
        <v>10216</v>
      </c>
      <c r="C2090" s="28" t="s">
        <v>8833</v>
      </c>
      <c r="D2090" s="435" t="s">
        <v>10217</v>
      </c>
      <c r="E2090" s="361" t="str">
        <f t="shared" ca="1" si="128"/>
        <v>LOSS</v>
      </c>
      <c r="F2090" s="29"/>
      <c r="G2090" s="29" t="s">
        <v>10218</v>
      </c>
      <c r="H2090" s="29" t="s">
        <v>261</v>
      </c>
      <c r="I2090" s="29" t="s">
        <v>243</v>
      </c>
      <c r="J2090" s="28" t="s">
        <v>10219</v>
      </c>
      <c r="K2090" s="38" t="s">
        <v>10220</v>
      </c>
      <c r="L2090" s="27" t="s">
        <v>4749</v>
      </c>
      <c r="M2090" s="27" t="s">
        <v>353</v>
      </c>
      <c r="N2090" s="27" t="s">
        <v>8337</v>
      </c>
      <c r="O2090" s="56">
        <v>7500000</v>
      </c>
      <c r="P2090" s="291">
        <f>12*28350000</f>
        <v>340200000</v>
      </c>
      <c r="Q2090" s="161"/>
      <c r="R2090" s="151">
        <v>5000000</v>
      </c>
      <c r="S2090" s="290">
        <f>12*23750000</f>
        <v>285000000</v>
      </c>
      <c r="T2090" s="164"/>
      <c r="U2090" s="334">
        <v>45440</v>
      </c>
      <c r="V2090" s="334">
        <v>45804</v>
      </c>
      <c r="W2090" s="27" t="s">
        <v>250</v>
      </c>
      <c r="X2090" s="158"/>
      <c r="Y2090" s="34">
        <f t="shared" ca="1" si="129"/>
        <v>46290</v>
      </c>
      <c r="Z2090" s="35">
        <f t="shared" ca="1" si="132"/>
        <v>-486</v>
      </c>
      <c r="AA2090" s="237">
        <f t="shared" si="133"/>
        <v>5</v>
      </c>
      <c r="AB2090" s="27">
        <f t="shared" si="131"/>
        <v>2025</v>
      </c>
      <c r="AC2090" s="28" t="s">
        <v>3371</v>
      </c>
      <c r="AD2090" s="28" t="s">
        <v>10221</v>
      </c>
      <c r="AE2090" s="47" t="s">
        <v>10222</v>
      </c>
      <c r="AF2090" s="52" t="s">
        <v>8995</v>
      </c>
      <c r="AG2090" s="160"/>
      <c r="AH2090" s="160"/>
      <c r="AI2090" s="27"/>
      <c r="AJ2090" s="27"/>
      <c r="AK2090" s="27"/>
      <c r="AL2090" s="27"/>
      <c r="AM2090" s="27"/>
      <c r="AN2090" s="27"/>
      <c r="AO2090" s="27"/>
      <c r="AP2090" s="27">
        <v>391</v>
      </c>
      <c r="AQ2090" s="29"/>
      <c r="AR2090" s="506"/>
      <c r="AS2090" s="332"/>
      <c r="AT2090" s="160"/>
    </row>
    <row r="2091" spans="1:46" ht="14.4" hidden="1">
      <c r="A2091" s="331">
        <v>2090</v>
      </c>
      <c r="B2091" s="159" t="s">
        <v>348</v>
      </c>
      <c r="C2091" s="159" t="s">
        <v>483</v>
      </c>
      <c r="D2091" s="451" t="s">
        <v>474</v>
      </c>
      <c r="E2091" s="361" t="str">
        <f t="shared" ca="1" si="128"/>
        <v>LOSS</v>
      </c>
      <c r="F2091" s="160"/>
      <c r="G2091" s="194" t="s">
        <v>484</v>
      </c>
      <c r="H2091" s="160" t="s">
        <v>2748</v>
      </c>
      <c r="I2091" s="160" t="s">
        <v>242</v>
      </c>
      <c r="J2091" s="194" t="s">
        <v>485</v>
      </c>
      <c r="K2091" s="292" t="s">
        <v>486</v>
      </c>
      <c r="L2091" s="158"/>
      <c r="M2091" s="158" t="s">
        <v>365</v>
      </c>
      <c r="N2091" s="158" t="s">
        <v>406</v>
      </c>
      <c r="O2091" s="162">
        <v>3500000</v>
      </c>
      <c r="P2091" s="161">
        <v>54000000</v>
      </c>
      <c r="Q2091" s="161"/>
      <c r="R2091" s="162"/>
      <c r="S2091" s="163">
        <v>17479944</v>
      </c>
      <c r="T2091" s="164"/>
      <c r="U2091" s="340">
        <v>45679</v>
      </c>
      <c r="V2091" s="340">
        <v>46043</v>
      </c>
      <c r="W2091" s="158" t="s">
        <v>17</v>
      </c>
      <c r="X2091" s="158"/>
      <c r="Y2091" s="34">
        <f t="shared" ca="1" si="129"/>
        <v>46290</v>
      </c>
      <c r="Z2091" s="35">
        <f t="shared" ca="1" si="132"/>
        <v>-247</v>
      </c>
      <c r="AA2091" s="158">
        <f t="shared" si="133"/>
        <v>1</v>
      </c>
      <c r="AB2091" s="27">
        <f t="shared" si="131"/>
        <v>2026</v>
      </c>
      <c r="AC2091" s="159" t="s">
        <v>479</v>
      </c>
      <c r="AD2091" s="159" t="s">
        <v>487</v>
      </c>
      <c r="AE2091" s="184" t="s">
        <v>488</v>
      </c>
      <c r="AF2091" s="201" t="s">
        <v>356</v>
      </c>
      <c r="AG2091" s="160"/>
      <c r="AH2091" s="160"/>
      <c r="AI2091" s="158"/>
      <c r="AJ2091" s="158"/>
      <c r="AK2091" s="158"/>
      <c r="AL2091" s="158"/>
      <c r="AM2091" s="158"/>
      <c r="AN2091" s="158"/>
      <c r="AO2091" s="158"/>
      <c r="AP2091" s="158"/>
      <c r="AQ2091" s="158"/>
      <c r="AR2091" s="507"/>
      <c r="AS2091" s="475"/>
      <c r="AT2091" s="160"/>
    </row>
    <row r="2092" spans="1:46" ht="15" hidden="1" customHeight="1">
      <c r="A2092" s="331">
        <v>2091</v>
      </c>
      <c r="B2092" s="159" t="s">
        <v>1160</v>
      </c>
      <c r="C2092" s="159" t="s">
        <v>2714</v>
      </c>
      <c r="D2092" s="438" t="s">
        <v>4715</v>
      </c>
      <c r="E2092" s="361" t="str">
        <f t="shared" ca="1" si="128"/>
        <v>LOSS</v>
      </c>
      <c r="F2092" s="160"/>
      <c r="G2092" s="159" t="s">
        <v>10223</v>
      </c>
      <c r="H2092" s="160" t="s">
        <v>2748</v>
      </c>
      <c r="I2092" s="160" t="s">
        <v>242</v>
      </c>
      <c r="J2092" s="159" t="s">
        <v>10224</v>
      </c>
      <c r="K2092" s="160"/>
      <c r="L2092" s="158"/>
      <c r="M2092" s="158" t="s">
        <v>353</v>
      </c>
      <c r="N2092" s="158" t="s">
        <v>354</v>
      </c>
      <c r="O2092" s="162"/>
      <c r="P2092" s="161">
        <f>4500000*12</f>
        <v>54000000</v>
      </c>
      <c r="Q2092" s="161"/>
      <c r="R2092" s="162"/>
      <c r="S2092" s="163">
        <v>18150000</v>
      </c>
      <c r="T2092" s="164"/>
      <c r="U2092" s="334">
        <v>45593</v>
      </c>
      <c r="V2092" s="334">
        <v>45957</v>
      </c>
      <c r="W2092" s="27" t="s">
        <v>250</v>
      </c>
      <c r="X2092" s="158"/>
      <c r="Y2092" s="34">
        <f t="shared" ca="1" si="129"/>
        <v>46290</v>
      </c>
      <c r="Z2092" s="35">
        <f t="shared" ca="1" si="132"/>
        <v>-333</v>
      </c>
      <c r="AA2092" s="237">
        <f t="shared" si="133"/>
        <v>10</v>
      </c>
      <c r="AB2092" s="27">
        <f t="shared" si="131"/>
        <v>2025</v>
      </c>
      <c r="AC2092" s="159">
        <v>4500022066</v>
      </c>
      <c r="AD2092" s="159" t="s">
        <v>10225</v>
      </c>
      <c r="AE2092" s="184" t="s">
        <v>10226</v>
      </c>
      <c r="AF2092" s="201" t="s">
        <v>333</v>
      </c>
      <c r="AG2092" s="160"/>
      <c r="AH2092" s="160"/>
      <c r="AI2092" s="158"/>
      <c r="AJ2092" s="158"/>
      <c r="AK2092" s="158"/>
      <c r="AL2092" s="158"/>
      <c r="AM2092" s="158"/>
      <c r="AN2092" s="158"/>
      <c r="AO2092" s="158"/>
      <c r="AP2092" s="158">
        <v>54</v>
      </c>
      <c r="AQ2092" s="158"/>
      <c r="AR2092" s="507"/>
      <c r="AS2092" s="475"/>
      <c r="AT2092" s="160"/>
    </row>
    <row r="2093" spans="1:46" ht="15" hidden="1" customHeight="1">
      <c r="A2093" s="331">
        <v>2092</v>
      </c>
      <c r="B2093" s="159" t="s">
        <v>1160</v>
      </c>
      <c r="C2093" s="159" t="s">
        <v>10227</v>
      </c>
      <c r="D2093" s="437" t="s">
        <v>4715</v>
      </c>
      <c r="E2093" s="361" t="str">
        <f t="shared" ca="1" si="128"/>
        <v>LOSS</v>
      </c>
      <c r="F2093" s="160"/>
      <c r="G2093" s="159" t="s">
        <v>10228</v>
      </c>
      <c r="H2093" s="160" t="s">
        <v>2748</v>
      </c>
      <c r="I2093" s="160" t="s">
        <v>242</v>
      </c>
      <c r="J2093" s="159" t="s">
        <v>2718</v>
      </c>
      <c r="K2093" s="160"/>
      <c r="L2093" s="158"/>
      <c r="M2093" s="158" t="s">
        <v>353</v>
      </c>
      <c r="N2093" s="158" t="s">
        <v>417</v>
      </c>
      <c r="O2093" s="162"/>
      <c r="P2093" s="161">
        <f>3000000*12</f>
        <v>36000000</v>
      </c>
      <c r="Q2093" s="161"/>
      <c r="R2093" s="162"/>
      <c r="S2093" s="163">
        <v>7260000</v>
      </c>
      <c r="T2093" s="164"/>
      <c r="U2093" s="334">
        <v>45588</v>
      </c>
      <c r="V2093" s="334">
        <v>45952</v>
      </c>
      <c r="W2093" s="27" t="s">
        <v>245</v>
      </c>
      <c r="X2093" s="158"/>
      <c r="Y2093" s="34">
        <f t="shared" ca="1" si="129"/>
        <v>46290</v>
      </c>
      <c r="Z2093" s="35">
        <f t="shared" ca="1" si="132"/>
        <v>-338</v>
      </c>
      <c r="AA2093" s="237">
        <f t="shared" si="133"/>
        <v>10</v>
      </c>
      <c r="AB2093" s="27">
        <f t="shared" ref="AB2093:AB2124" si="134">YEAR(V2093)</f>
        <v>2025</v>
      </c>
      <c r="AC2093" s="159">
        <v>4500021648</v>
      </c>
      <c r="AD2093" s="159" t="s">
        <v>10229</v>
      </c>
      <c r="AE2093" s="184" t="s">
        <v>10230</v>
      </c>
      <c r="AF2093" s="201" t="s">
        <v>333</v>
      </c>
      <c r="AG2093" s="160"/>
      <c r="AH2093" s="160"/>
      <c r="AI2093" s="158"/>
      <c r="AJ2093" s="158"/>
      <c r="AK2093" s="158"/>
      <c r="AL2093" s="158"/>
      <c r="AM2093" s="158"/>
      <c r="AN2093" s="158"/>
      <c r="AO2093" s="158"/>
      <c r="AP2093" s="158">
        <v>60</v>
      </c>
      <c r="AQ2093" s="158"/>
      <c r="AR2093" s="507"/>
      <c r="AS2093" s="475"/>
      <c r="AT2093" s="160"/>
    </row>
    <row r="2094" spans="1:46" ht="15" hidden="1" customHeight="1">
      <c r="A2094" s="331">
        <v>2093</v>
      </c>
      <c r="B2094" s="159" t="s">
        <v>71</v>
      </c>
      <c r="C2094" s="159" t="s">
        <v>3497</v>
      </c>
      <c r="D2094" s="435" t="s">
        <v>490</v>
      </c>
      <c r="E2094" s="361" t="str">
        <f t="shared" ca="1" si="128"/>
        <v>LOSS</v>
      </c>
      <c r="F2094" s="160" t="s">
        <v>10231</v>
      </c>
      <c r="G2094" s="159" t="s">
        <v>10232</v>
      </c>
      <c r="H2094" s="160" t="s">
        <v>2748</v>
      </c>
      <c r="I2094" s="160" t="s">
        <v>242</v>
      </c>
      <c r="J2094" s="159" t="s">
        <v>10233</v>
      </c>
      <c r="K2094" s="160"/>
      <c r="L2094" s="158"/>
      <c r="M2094" s="158" t="s">
        <v>353</v>
      </c>
      <c r="N2094" s="158" t="s">
        <v>417</v>
      </c>
      <c r="O2094" s="162"/>
      <c r="P2094" s="161"/>
      <c r="Q2094" s="161"/>
      <c r="R2094" s="162"/>
      <c r="S2094" s="163">
        <v>36000000</v>
      </c>
      <c r="T2094" s="164"/>
      <c r="U2094" s="334">
        <v>45640</v>
      </c>
      <c r="V2094" s="334">
        <v>46004</v>
      </c>
      <c r="W2094" s="27" t="s">
        <v>250</v>
      </c>
      <c r="X2094" s="158"/>
      <c r="Y2094" s="34">
        <f t="shared" ca="1" si="129"/>
        <v>46290</v>
      </c>
      <c r="Z2094" s="35">
        <f t="shared" ca="1" si="132"/>
        <v>-286</v>
      </c>
      <c r="AA2094" s="237">
        <f t="shared" si="133"/>
        <v>12</v>
      </c>
      <c r="AB2094" s="27">
        <f t="shared" si="134"/>
        <v>2025</v>
      </c>
      <c r="AC2094" s="159">
        <v>4500022049</v>
      </c>
      <c r="AD2094" s="159" t="s">
        <v>10234</v>
      </c>
      <c r="AE2094" s="184" t="s">
        <v>10235</v>
      </c>
      <c r="AF2094" s="158" t="s">
        <v>333</v>
      </c>
      <c r="AG2094" s="160"/>
      <c r="AH2094" s="160"/>
      <c r="AI2094" s="158"/>
      <c r="AJ2094" s="158"/>
      <c r="AK2094" s="158"/>
      <c r="AL2094" s="158"/>
      <c r="AM2094" s="158"/>
      <c r="AN2094" s="158"/>
      <c r="AO2094" s="158"/>
      <c r="AP2094" s="158">
        <v>178</v>
      </c>
      <c r="AQ2094" s="158"/>
      <c r="AR2094" s="507"/>
      <c r="AS2094" s="475"/>
      <c r="AT2094" s="160"/>
    </row>
    <row r="2095" spans="1:46" ht="15" hidden="1" customHeight="1">
      <c r="A2095" s="331">
        <v>2094</v>
      </c>
      <c r="B2095" s="159" t="s">
        <v>4069</v>
      </c>
      <c r="C2095" s="159" t="s">
        <v>2610</v>
      </c>
      <c r="D2095" s="159" t="s">
        <v>4071</v>
      </c>
      <c r="E2095" s="361" t="str">
        <f t="shared" ca="1" si="128"/>
        <v>LOSS</v>
      </c>
      <c r="F2095" s="160"/>
      <c r="G2095" s="159" t="s">
        <v>10236</v>
      </c>
      <c r="H2095" s="160" t="s">
        <v>2748</v>
      </c>
      <c r="I2095" s="160" t="s">
        <v>242</v>
      </c>
      <c r="J2095" s="159" t="s">
        <v>10237</v>
      </c>
      <c r="K2095" s="160"/>
      <c r="L2095" s="158"/>
      <c r="M2095" s="190" t="s">
        <v>329</v>
      </c>
      <c r="N2095" s="158" t="s">
        <v>417</v>
      </c>
      <c r="O2095" s="162"/>
      <c r="P2095" s="161">
        <f>12*2545455</f>
        <v>30545460</v>
      </c>
      <c r="Q2095" s="161"/>
      <c r="R2095" s="162"/>
      <c r="S2095" s="163">
        <v>5040000</v>
      </c>
      <c r="T2095" s="164"/>
      <c r="U2095" s="334">
        <v>45596</v>
      </c>
      <c r="V2095" s="334">
        <v>45960</v>
      </c>
      <c r="W2095" s="27" t="s">
        <v>250</v>
      </c>
      <c r="X2095" s="158"/>
      <c r="Y2095" s="34">
        <f t="shared" ca="1" si="129"/>
        <v>46290</v>
      </c>
      <c r="Z2095" s="35">
        <f t="shared" ca="1" si="132"/>
        <v>-330</v>
      </c>
      <c r="AA2095" s="237">
        <f t="shared" si="133"/>
        <v>10</v>
      </c>
      <c r="AB2095" s="27">
        <f t="shared" si="134"/>
        <v>2025</v>
      </c>
      <c r="AC2095" s="159">
        <v>4500022148</v>
      </c>
      <c r="AD2095" s="182" t="s">
        <v>10238</v>
      </c>
      <c r="AE2095" s="184" t="s">
        <v>10239</v>
      </c>
      <c r="AF2095" s="201" t="s">
        <v>333</v>
      </c>
      <c r="AG2095" s="160"/>
      <c r="AH2095" s="160"/>
      <c r="AI2095" s="158"/>
      <c r="AJ2095" s="158"/>
      <c r="AK2095" s="158"/>
      <c r="AL2095" s="158"/>
      <c r="AM2095" s="158"/>
      <c r="AN2095" s="158"/>
      <c r="AO2095" s="158"/>
      <c r="AP2095" s="158">
        <v>278</v>
      </c>
      <c r="AQ2095" s="158"/>
      <c r="AR2095" s="507"/>
      <c r="AS2095" s="475"/>
      <c r="AT2095" s="160"/>
    </row>
    <row r="2096" spans="1:46" ht="15" hidden="1" customHeight="1">
      <c r="A2096" s="331">
        <v>2095</v>
      </c>
      <c r="B2096" s="159" t="s">
        <v>4202</v>
      </c>
      <c r="C2096" s="182" t="s">
        <v>10240</v>
      </c>
      <c r="D2096" s="435" t="s">
        <v>9212</v>
      </c>
      <c r="E2096" s="361" t="str">
        <f t="shared" ca="1" si="128"/>
        <v>LOSS</v>
      </c>
      <c r="F2096" s="160"/>
      <c r="G2096" s="159" t="s">
        <v>9839</v>
      </c>
      <c r="H2096" s="160" t="s">
        <v>2748</v>
      </c>
      <c r="I2096" s="160" t="s">
        <v>346</v>
      </c>
      <c r="J2096" s="182" t="s">
        <v>10241</v>
      </c>
      <c r="K2096" s="160"/>
      <c r="L2096" s="158"/>
      <c r="M2096" s="190" t="s">
        <v>329</v>
      </c>
      <c r="N2096" s="158" t="s">
        <v>10242</v>
      </c>
      <c r="O2096" s="162"/>
      <c r="P2096" s="161">
        <f>(5545455+4500000)*12</f>
        <v>120545460</v>
      </c>
      <c r="Q2096" s="161"/>
      <c r="R2096" s="162"/>
      <c r="S2096" s="163">
        <v>60000000</v>
      </c>
      <c r="T2096" s="164"/>
      <c r="U2096" s="334">
        <v>45642</v>
      </c>
      <c r="V2096" s="334">
        <v>46006</v>
      </c>
      <c r="W2096" s="27" t="s">
        <v>250</v>
      </c>
      <c r="X2096" s="158"/>
      <c r="Y2096" s="34">
        <f t="shared" ca="1" si="129"/>
        <v>46290</v>
      </c>
      <c r="Z2096" s="35">
        <f t="shared" ca="1" si="132"/>
        <v>-284</v>
      </c>
      <c r="AA2096" s="237">
        <f t="shared" si="133"/>
        <v>12</v>
      </c>
      <c r="AB2096" s="27">
        <f t="shared" si="134"/>
        <v>2025</v>
      </c>
      <c r="AC2096" s="159">
        <v>4500021749</v>
      </c>
      <c r="AD2096" s="182" t="s">
        <v>10243</v>
      </c>
      <c r="AE2096" s="184" t="s">
        <v>10244</v>
      </c>
      <c r="AF2096" s="201" t="s">
        <v>333</v>
      </c>
      <c r="AG2096" s="160"/>
      <c r="AH2096" s="160"/>
      <c r="AI2096" s="158"/>
      <c r="AJ2096" s="158"/>
      <c r="AK2096" s="158"/>
      <c r="AL2096" s="158"/>
      <c r="AM2096" s="158"/>
      <c r="AN2096" s="158"/>
      <c r="AO2096" s="158"/>
      <c r="AP2096" s="158">
        <v>419</v>
      </c>
      <c r="AQ2096" s="158"/>
      <c r="AR2096" s="507"/>
      <c r="AS2096" s="475"/>
      <c r="AT2096" s="160"/>
    </row>
    <row r="2097" spans="1:46" ht="15" hidden="1" customHeight="1">
      <c r="A2097" s="331">
        <v>2096</v>
      </c>
      <c r="B2097" s="159" t="s">
        <v>348</v>
      </c>
      <c r="C2097" s="182" t="s">
        <v>473</v>
      </c>
      <c r="D2097" s="449" t="s">
        <v>474</v>
      </c>
      <c r="E2097" s="361" t="str">
        <f t="shared" ca="1" si="128"/>
        <v>LOSS</v>
      </c>
      <c r="F2097" s="160" t="s">
        <v>475</v>
      </c>
      <c r="G2097" s="159" t="s">
        <v>476</v>
      </c>
      <c r="H2097" s="160" t="s">
        <v>2748</v>
      </c>
      <c r="I2097" s="160" t="s">
        <v>242</v>
      </c>
      <c r="J2097" s="159" t="s">
        <v>477</v>
      </c>
      <c r="K2097" s="284" t="s">
        <v>478</v>
      </c>
      <c r="L2097" s="158"/>
      <c r="M2097" s="158" t="s">
        <v>365</v>
      </c>
      <c r="N2097" s="158" t="s">
        <v>362</v>
      </c>
      <c r="O2097" s="162">
        <v>5000000</v>
      </c>
      <c r="P2097" s="161">
        <v>60000000</v>
      </c>
      <c r="Q2097" s="161"/>
      <c r="R2097" s="162"/>
      <c r="S2097" s="163">
        <v>30536280</v>
      </c>
      <c r="T2097" s="164"/>
      <c r="U2097" s="340">
        <v>45673</v>
      </c>
      <c r="V2097" s="340">
        <v>46037</v>
      </c>
      <c r="W2097" s="158" t="s">
        <v>17</v>
      </c>
      <c r="X2097" s="158"/>
      <c r="Y2097" s="34">
        <f t="shared" ca="1" si="129"/>
        <v>46290</v>
      </c>
      <c r="Z2097" s="35">
        <f t="shared" ca="1" si="132"/>
        <v>-253</v>
      </c>
      <c r="AA2097" s="158">
        <f t="shared" si="133"/>
        <v>1</v>
      </c>
      <c r="AB2097" s="27">
        <f t="shared" si="134"/>
        <v>2026</v>
      </c>
      <c r="AC2097" s="159" t="s">
        <v>479</v>
      </c>
      <c r="AD2097" s="159" t="s">
        <v>480</v>
      </c>
      <c r="AE2097" s="184" t="s">
        <v>481</v>
      </c>
      <c r="AF2097" s="201" t="s">
        <v>356</v>
      </c>
      <c r="AG2097" s="160"/>
      <c r="AH2097" s="160"/>
      <c r="AI2097" s="158"/>
      <c r="AJ2097" s="158"/>
      <c r="AK2097" s="158"/>
      <c r="AL2097" s="158"/>
      <c r="AM2097" s="158"/>
      <c r="AN2097" s="158"/>
      <c r="AO2097" s="158"/>
      <c r="AP2097" s="158"/>
      <c r="AQ2097" s="158"/>
      <c r="AR2097" s="507"/>
      <c r="AS2097" s="475"/>
      <c r="AT2097" s="160"/>
    </row>
    <row r="2098" spans="1:46" ht="15" hidden="1" customHeight="1">
      <c r="A2098" s="331">
        <v>2097</v>
      </c>
      <c r="B2098" s="159" t="s">
        <v>348</v>
      </c>
      <c r="C2098" s="159" t="s">
        <v>10245</v>
      </c>
      <c r="D2098" s="448" t="s">
        <v>474</v>
      </c>
      <c r="E2098" s="361" t="str">
        <f t="shared" ca="1" si="128"/>
        <v>LOSS</v>
      </c>
      <c r="F2098" s="160"/>
      <c r="G2098" s="159" t="s">
        <v>10246</v>
      </c>
      <c r="H2098" s="160" t="s">
        <v>2748</v>
      </c>
      <c r="I2098" s="160" t="s">
        <v>242</v>
      </c>
      <c r="J2098" s="159" t="s">
        <v>10247</v>
      </c>
      <c r="K2098" s="181" t="s">
        <v>10248</v>
      </c>
      <c r="L2098" s="158"/>
      <c r="M2098" s="158" t="s">
        <v>365</v>
      </c>
      <c r="N2098" s="158" t="s">
        <v>7193</v>
      </c>
      <c r="O2098" s="162"/>
      <c r="P2098" s="161">
        <v>96000000</v>
      </c>
      <c r="Q2098" s="161"/>
      <c r="R2098" s="162"/>
      <c r="S2098" s="163">
        <v>27134172</v>
      </c>
      <c r="T2098" s="164"/>
      <c r="U2098" s="340">
        <v>45637</v>
      </c>
      <c r="V2098" s="340">
        <v>46001</v>
      </c>
      <c r="W2098" s="158" t="s">
        <v>17</v>
      </c>
      <c r="X2098" s="158"/>
      <c r="Y2098" s="34">
        <f t="shared" ca="1" si="129"/>
        <v>46290</v>
      </c>
      <c r="Z2098" s="35">
        <f t="shared" ca="1" si="132"/>
        <v>-289</v>
      </c>
      <c r="AA2098" s="158">
        <f t="shared" si="133"/>
        <v>12</v>
      </c>
      <c r="AB2098" s="27">
        <f t="shared" si="134"/>
        <v>2025</v>
      </c>
      <c r="AC2098" s="159" t="s">
        <v>479</v>
      </c>
      <c r="AD2098" s="159" t="s">
        <v>10249</v>
      </c>
      <c r="AE2098" s="184" t="s">
        <v>10250</v>
      </c>
      <c r="AF2098" s="201" t="s">
        <v>356</v>
      </c>
      <c r="AG2098" s="160"/>
      <c r="AH2098" s="160"/>
      <c r="AI2098" s="158"/>
      <c r="AJ2098" s="158"/>
      <c r="AK2098" s="158"/>
      <c r="AL2098" s="158"/>
      <c r="AM2098" s="158"/>
      <c r="AN2098" s="158"/>
      <c r="AO2098" s="158"/>
      <c r="AP2098" s="158"/>
      <c r="AQ2098" s="158"/>
      <c r="AR2098" s="507"/>
      <c r="AS2098" s="475"/>
      <c r="AT2098" s="160"/>
    </row>
    <row r="2099" spans="1:46" ht="15" hidden="1" customHeight="1">
      <c r="A2099" s="331">
        <v>2098</v>
      </c>
      <c r="B2099" s="159" t="s">
        <v>348</v>
      </c>
      <c r="C2099" s="159" t="s">
        <v>4765</v>
      </c>
      <c r="D2099" s="437" t="s">
        <v>4753</v>
      </c>
      <c r="E2099" s="361" t="str">
        <f t="shared" ca="1" si="128"/>
        <v>LOSS</v>
      </c>
      <c r="F2099" s="160"/>
      <c r="G2099" s="159" t="s">
        <v>10251</v>
      </c>
      <c r="H2099" s="160" t="s">
        <v>2748</v>
      </c>
      <c r="I2099" s="160" t="s">
        <v>242</v>
      </c>
      <c r="J2099" s="159" t="s">
        <v>10252</v>
      </c>
      <c r="K2099" s="181" t="s">
        <v>10253</v>
      </c>
      <c r="L2099" s="158"/>
      <c r="M2099" s="158" t="s">
        <v>365</v>
      </c>
      <c r="N2099" s="158" t="s">
        <v>6762</v>
      </c>
      <c r="O2099" s="162"/>
      <c r="P2099" s="161">
        <v>834580645</v>
      </c>
      <c r="Q2099" s="161"/>
      <c r="R2099" s="162"/>
      <c r="S2099" s="163">
        <v>221290323</v>
      </c>
      <c r="T2099" s="164"/>
      <c r="U2099" s="340">
        <v>45638</v>
      </c>
      <c r="V2099" s="340">
        <v>46022</v>
      </c>
      <c r="W2099" s="158" t="s">
        <v>17</v>
      </c>
      <c r="X2099" s="158"/>
      <c r="Y2099" s="34">
        <f t="shared" ca="1" si="129"/>
        <v>46290</v>
      </c>
      <c r="Z2099" s="35">
        <f t="shared" ca="1" si="132"/>
        <v>-268</v>
      </c>
      <c r="AA2099" s="158">
        <f t="shared" si="133"/>
        <v>12</v>
      </c>
      <c r="AB2099" s="27">
        <f t="shared" si="134"/>
        <v>2025</v>
      </c>
      <c r="AC2099" s="159" t="s">
        <v>479</v>
      </c>
      <c r="AD2099" s="194" t="s">
        <v>10254</v>
      </c>
      <c r="AE2099" s="184" t="s">
        <v>10255</v>
      </c>
      <c r="AF2099" s="201" t="s">
        <v>356</v>
      </c>
      <c r="AG2099" s="160"/>
      <c r="AH2099" s="160"/>
      <c r="AI2099" s="284"/>
      <c r="AJ2099" s="158"/>
      <c r="AK2099" s="158"/>
      <c r="AL2099" s="158"/>
      <c r="AM2099" s="158"/>
      <c r="AN2099" s="158"/>
      <c r="AO2099" s="158"/>
      <c r="AP2099" s="158"/>
      <c r="AQ2099" s="158"/>
      <c r="AR2099" s="507"/>
      <c r="AS2099" s="475"/>
      <c r="AT2099" s="160"/>
    </row>
    <row r="2100" spans="1:46" ht="15" hidden="1" customHeight="1">
      <c r="A2100" s="331">
        <v>2099</v>
      </c>
      <c r="B2100" s="159" t="s">
        <v>956</v>
      </c>
      <c r="C2100" s="182" t="s">
        <v>10256</v>
      </c>
      <c r="D2100" s="438" t="s">
        <v>9737</v>
      </c>
      <c r="E2100" s="361" t="str">
        <f t="shared" ca="1" si="128"/>
        <v>LOSS</v>
      </c>
      <c r="F2100" s="160" t="s">
        <v>10257</v>
      </c>
      <c r="G2100" s="159" t="s">
        <v>10258</v>
      </c>
      <c r="H2100" s="160" t="s">
        <v>261</v>
      </c>
      <c r="I2100" s="160" t="s">
        <v>243</v>
      </c>
      <c r="J2100" s="159" t="s">
        <v>10259</v>
      </c>
      <c r="K2100" s="160" t="s">
        <v>10260</v>
      </c>
      <c r="L2100" s="158" t="s">
        <v>10261</v>
      </c>
      <c r="M2100" s="158" t="s">
        <v>6987</v>
      </c>
      <c r="N2100" s="158" t="s">
        <v>10262</v>
      </c>
      <c r="O2100" s="162"/>
      <c r="P2100" s="161">
        <f>(5150000*2)*12</f>
        <v>123600000</v>
      </c>
      <c r="Q2100" s="161"/>
      <c r="R2100" s="162">
        <f>2500000*2</f>
        <v>5000000</v>
      </c>
      <c r="S2100" s="161">
        <f>(3880000*2)*12</f>
        <v>93120000</v>
      </c>
      <c r="T2100" s="164"/>
      <c r="U2100" s="340">
        <v>45630</v>
      </c>
      <c r="V2100" s="340">
        <v>45994</v>
      </c>
      <c r="W2100" s="158" t="s">
        <v>250</v>
      </c>
      <c r="X2100" s="158"/>
      <c r="Y2100" s="34">
        <f t="shared" ca="1" si="129"/>
        <v>46290</v>
      </c>
      <c r="Z2100" s="35">
        <f t="shared" ca="1" si="132"/>
        <v>-296</v>
      </c>
      <c r="AA2100" s="158">
        <f t="shared" si="133"/>
        <v>12</v>
      </c>
      <c r="AB2100" s="27">
        <f t="shared" si="134"/>
        <v>2025</v>
      </c>
      <c r="AC2100" s="159" t="s">
        <v>3371</v>
      </c>
      <c r="AD2100" s="194" t="s">
        <v>10263</v>
      </c>
      <c r="AE2100" s="184" t="s">
        <v>10264</v>
      </c>
      <c r="AF2100" s="201" t="s">
        <v>471</v>
      </c>
      <c r="AG2100" s="160"/>
      <c r="AH2100" s="160"/>
      <c r="AI2100" s="158"/>
      <c r="AJ2100" s="158"/>
      <c r="AK2100" s="158"/>
      <c r="AL2100" s="158"/>
      <c r="AM2100" s="158"/>
      <c r="AN2100" s="158"/>
      <c r="AO2100" s="158"/>
      <c r="AP2100" s="158">
        <v>504</v>
      </c>
      <c r="AQ2100" s="158"/>
      <c r="AR2100" s="507"/>
      <c r="AS2100" s="475"/>
      <c r="AT2100" s="160"/>
    </row>
    <row r="2101" spans="1:46" ht="15" hidden="1" customHeight="1">
      <c r="A2101" s="331">
        <v>2100</v>
      </c>
      <c r="B2101" s="159" t="s">
        <v>2439</v>
      </c>
      <c r="C2101" s="28" t="s">
        <v>7290</v>
      </c>
      <c r="D2101" s="437" t="s">
        <v>7284</v>
      </c>
      <c r="E2101" s="361" t="str">
        <f t="shared" ca="1" si="128"/>
        <v>LOSS</v>
      </c>
      <c r="F2101" s="41" t="s">
        <v>10265</v>
      </c>
      <c r="G2101" s="28" t="s">
        <v>7292</v>
      </c>
      <c r="H2101" s="28" t="s">
        <v>261</v>
      </c>
      <c r="I2101" s="361" t="s">
        <v>243</v>
      </c>
      <c r="J2101" s="28" t="s">
        <v>7293</v>
      </c>
      <c r="K2101" s="38" t="s">
        <v>10266</v>
      </c>
      <c r="L2101" s="27" t="s">
        <v>4749</v>
      </c>
      <c r="M2101" s="27" t="s">
        <v>365</v>
      </c>
      <c r="N2101" s="27" t="s">
        <v>468</v>
      </c>
      <c r="O2101" s="162"/>
      <c r="P2101" s="161">
        <f>6400000*12</f>
        <v>76800000</v>
      </c>
      <c r="Q2101" s="161"/>
      <c r="R2101" s="162"/>
      <c r="S2101" s="293">
        <f>9450000*12</f>
        <v>113400000</v>
      </c>
      <c r="T2101" s="164"/>
      <c r="U2101" s="340">
        <v>45453</v>
      </c>
      <c r="V2101" s="340">
        <v>45817</v>
      </c>
      <c r="W2101" s="158" t="s">
        <v>250</v>
      </c>
      <c r="X2101" s="158"/>
      <c r="Y2101" s="34">
        <f t="shared" ca="1" si="129"/>
        <v>46290</v>
      </c>
      <c r="Z2101" s="35">
        <f t="shared" ca="1" si="132"/>
        <v>-473</v>
      </c>
      <c r="AA2101" s="158">
        <f t="shared" si="133"/>
        <v>6</v>
      </c>
      <c r="AB2101" s="27">
        <f t="shared" si="134"/>
        <v>2025</v>
      </c>
      <c r="AC2101" s="159" t="s">
        <v>10267</v>
      </c>
      <c r="AD2101" s="159" t="s">
        <v>10268</v>
      </c>
      <c r="AE2101" s="184" t="s">
        <v>10269</v>
      </c>
      <c r="AF2101" s="201" t="s">
        <v>471</v>
      </c>
      <c r="AG2101" s="160"/>
      <c r="AH2101" s="160"/>
      <c r="AI2101" s="158"/>
      <c r="AJ2101" s="158"/>
      <c r="AK2101" s="158"/>
      <c r="AL2101" s="158"/>
      <c r="AM2101" s="158"/>
      <c r="AN2101" s="158"/>
      <c r="AO2101" s="158"/>
      <c r="AP2101" s="158">
        <v>288</v>
      </c>
      <c r="AQ2101" s="158"/>
      <c r="AR2101" s="507"/>
      <c r="AS2101" s="475"/>
      <c r="AT2101" s="160"/>
    </row>
    <row r="2102" spans="1:46" ht="15" hidden="1" customHeight="1">
      <c r="A2102" s="331">
        <v>2101</v>
      </c>
      <c r="B2102" s="159" t="s">
        <v>628</v>
      </c>
      <c r="C2102" s="159" t="s">
        <v>10270</v>
      </c>
      <c r="D2102" s="438" t="s">
        <v>7640</v>
      </c>
      <c r="E2102" s="361" t="str">
        <f t="shared" ca="1" si="128"/>
        <v>LOSS</v>
      </c>
      <c r="F2102" s="160"/>
      <c r="G2102" s="159" t="s">
        <v>7657</v>
      </c>
      <c r="H2102" s="160" t="s">
        <v>261</v>
      </c>
      <c r="I2102" s="160" t="s">
        <v>243</v>
      </c>
      <c r="J2102" s="159" t="s">
        <v>10271</v>
      </c>
      <c r="K2102" s="203" t="s">
        <v>10272</v>
      </c>
      <c r="L2102" s="158" t="s">
        <v>4749</v>
      </c>
      <c r="M2102" s="158" t="s">
        <v>353</v>
      </c>
      <c r="N2102" s="158" t="s">
        <v>6897</v>
      </c>
      <c r="O2102" s="162"/>
      <c r="P2102" s="161">
        <f>9000000*12</f>
        <v>108000000</v>
      </c>
      <c r="Q2102" s="161"/>
      <c r="R2102" s="162"/>
      <c r="S2102" s="163">
        <f>4780000*12</f>
        <v>57360000</v>
      </c>
      <c r="T2102" s="164"/>
      <c r="U2102" s="340">
        <v>45653</v>
      </c>
      <c r="V2102" s="340">
        <v>45838</v>
      </c>
      <c r="W2102" s="158" t="s">
        <v>250</v>
      </c>
      <c r="X2102" s="158"/>
      <c r="Y2102" s="34">
        <f t="shared" ca="1" si="129"/>
        <v>46290</v>
      </c>
      <c r="Z2102" s="35">
        <f t="shared" ca="1" si="132"/>
        <v>-452</v>
      </c>
      <c r="AA2102" s="158">
        <f t="shared" si="133"/>
        <v>6</v>
      </c>
      <c r="AB2102" s="158">
        <f t="shared" si="134"/>
        <v>2025</v>
      </c>
      <c r="AC2102" s="159" t="s">
        <v>3371</v>
      </c>
      <c r="AD2102" s="159" t="s">
        <v>10273</v>
      </c>
      <c r="AE2102" s="184" t="s">
        <v>10274</v>
      </c>
      <c r="AF2102" s="201" t="s">
        <v>471</v>
      </c>
      <c r="AG2102" s="160"/>
      <c r="AH2102" s="174" t="s">
        <v>634</v>
      </c>
      <c r="AI2102" s="158"/>
      <c r="AJ2102" s="158"/>
      <c r="AK2102" s="158"/>
      <c r="AL2102" s="158"/>
      <c r="AM2102" s="158"/>
      <c r="AN2102" s="158"/>
      <c r="AO2102" s="158"/>
      <c r="AP2102" s="158">
        <v>410</v>
      </c>
      <c r="AQ2102" s="158"/>
      <c r="AR2102" s="507"/>
      <c r="AS2102" s="475"/>
      <c r="AT2102" s="160"/>
    </row>
    <row r="2103" spans="1:46" ht="15" hidden="1" customHeight="1">
      <c r="A2103" s="331">
        <v>2102</v>
      </c>
      <c r="B2103" s="28" t="s">
        <v>460</v>
      </c>
      <c r="C2103" s="28" t="s">
        <v>2665</v>
      </c>
      <c r="D2103" s="437" t="s">
        <v>462</v>
      </c>
      <c r="E2103" s="361" t="str">
        <f t="shared" ca="1" si="128"/>
        <v>LOSS</v>
      </c>
      <c r="F2103" s="28" t="s">
        <v>10275</v>
      </c>
      <c r="G2103" s="28" t="s">
        <v>10276</v>
      </c>
      <c r="H2103" s="28" t="s">
        <v>261</v>
      </c>
      <c r="I2103" s="361" t="s">
        <v>243</v>
      </c>
      <c r="J2103" s="28" t="s">
        <v>7328</v>
      </c>
      <c r="K2103" s="38" t="s">
        <v>10277</v>
      </c>
      <c r="L2103" s="60">
        <v>0.995</v>
      </c>
      <c r="M2103" s="27" t="s">
        <v>365</v>
      </c>
      <c r="N2103" s="27" t="s">
        <v>6802</v>
      </c>
      <c r="O2103" s="56"/>
      <c r="P2103" s="52">
        <f>3950000*12</f>
        <v>47400000</v>
      </c>
      <c r="Q2103" s="52"/>
      <c r="R2103" s="56"/>
      <c r="S2103" s="32">
        <f>2800000*12</f>
        <v>33600000</v>
      </c>
      <c r="T2103" s="33"/>
      <c r="U2103" s="334">
        <v>45717</v>
      </c>
      <c r="V2103" s="334">
        <v>46081</v>
      </c>
      <c r="W2103" s="27" t="s">
        <v>250</v>
      </c>
      <c r="X2103" s="158"/>
      <c r="Y2103" s="34">
        <f t="shared" ca="1" si="129"/>
        <v>46290</v>
      </c>
      <c r="Z2103" s="35">
        <f t="shared" ca="1" si="132"/>
        <v>-209</v>
      </c>
      <c r="AA2103" s="27">
        <f t="shared" si="133"/>
        <v>2</v>
      </c>
      <c r="AB2103" s="27">
        <f t="shared" si="134"/>
        <v>2026</v>
      </c>
      <c r="AC2103" s="28" t="s">
        <v>10278</v>
      </c>
      <c r="AD2103" s="28" t="s">
        <v>10279</v>
      </c>
      <c r="AE2103" s="27">
        <v>4500024349</v>
      </c>
      <c r="AF2103" s="27" t="s">
        <v>471</v>
      </c>
      <c r="AG2103" s="160"/>
      <c r="AH2103" s="29" t="s">
        <v>7331</v>
      </c>
      <c r="AI2103" s="158"/>
      <c r="AJ2103" s="158"/>
      <c r="AK2103" s="158"/>
      <c r="AL2103" s="158"/>
      <c r="AM2103" s="158"/>
      <c r="AN2103" s="158"/>
      <c r="AO2103" s="158"/>
      <c r="AP2103" s="158"/>
      <c r="AQ2103" s="158">
        <v>17</v>
      </c>
      <c r="AR2103" s="507"/>
      <c r="AS2103" s="475"/>
      <c r="AT2103" s="160"/>
    </row>
    <row r="2104" spans="1:46" ht="15" hidden="1" customHeight="1">
      <c r="A2104" s="331">
        <v>2103</v>
      </c>
      <c r="B2104" s="28" t="s">
        <v>460</v>
      </c>
      <c r="C2104" s="28" t="s">
        <v>461</v>
      </c>
      <c r="D2104" s="438" t="s">
        <v>462</v>
      </c>
      <c r="E2104" s="361" t="str">
        <f t="shared" ca="1" si="128"/>
        <v>LOSS</v>
      </c>
      <c r="F2104" s="29"/>
      <c r="G2104" s="28" t="s">
        <v>463</v>
      </c>
      <c r="H2104" s="28" t="s">
        <v>261</v>
      </c>
      <c r="I2104" s="264" t="s">
        <v>243</v>
      </c>
      <c r="J2104" s="28" t="s">
        <v>465</v>
      </c>
      <c r="K2104" s="38" t="s">
        <v>466</v>
      </c>
      <c r="L2104" s="150">
        <v>0.995</v>
      </c>
      <c r="M2104" s="27" t="s">
        <v>467</v>
      </c>
      <c r="N2104" s="27" t="s">
        <v>468</v>
      </c>
      <c r="O2104" s="56"/>
      <c r="P2104" s="31">
        <f>1444119*12</f>
        <v>17329428</v>
      </c>
      <c r="Q2104" s="31"/>
      <c r="R2104" s="56"/>
      <c r="S2104" s="32">
        <f>247748*12</f>
        <v>2972976</v>
      </c>
      <c r="T2104" s="33"/>
      <c r="U2104" s="334">
        <v>45669</v>
      </c>
      <c r="V2104" s="334">
        <v>46033</v>
      </c>
      <c r="W2104" s="27" t="s">
        <v>250</v>
      </c>
      <c r="X2104" s="158"/>
      <c r="Y2104" s="34">
        <f t="shared" ca="1" si="129"/>
        <v>46290</v>
      </c>
      <c r="Z2104" s="35">
        <f t="shared" ca="1" si="132"/>
        <v>-257</v>
      </c>
      <c r="AA2104" s="27">
        <f t="shared" si="133"/>
        <v>1</v>
      </c>
      <c r="AB2104" s="27">
        <f t="shared" si="134"/>
        <v>2026</v>
      </c>
      <c r="AC2104" s="28" t="s">
        <v>469</v>
      </c>
      <c r="AD2104" s="28" t="s">
        <v>470</v>
      </c>
      <c r="AE2104" s="27">
        <v>4500024348</v>
      </c>
      <c r="AF2104" s="27" t="s">
        <v>471</v>
      </c>
      <c r="AG2104" s="160"/>
      <c r="AH2104" s="29" t="s">
        <v>7331</v>
      </c>
      <c r="AI2104" s="158"/>
      <c r="AJ2104" s="158"/>
      <c r="AK2104" s="158"/>
      <c r="AL2104" s="158"/>
      <c r="AM2104" s="158"/>
      <c r="AN2104" s="158"/>
      <c r="AO2104" s="158"/>
      <c r="AP2104" s="158"/>
      <c r="AQ2104" s="158">
        <v>19</v>
      </c>
      <c r="AR2104" s="507"/>
      <c r="AS2104" s="475"/>
      <c r="AT2104" s="160"/>
    </row>
    <row r="2105" spans="1:46" ht="15" hidden="1" customHeight="1">
      <c r="A2105" s="331">
        <v>2104</v>
      </c>
      <c r="B2105" s="159" t="s">
        <v>165</v>
      </c>
      <c r="C2105" s="159" t="s">
        <v>7108</v>
      </c>
      <c r="D2105" s="437" t="s">
        <v>7149</v>
      </c>
      <c r="E2105" s="361" t="str">
        <f t="shared" ca="1" si="128"/>
        <v>LOSS</v>
      </c>
      <c r="F2105" s="160" t="s">
        <v>10280</v>
      </c>
      <c r="G2105" s="159" t="s">
        <v>10281</v>
      </c>
      <c r="H2105" s="160" t="s">
        <v>261</v>
      </c>
      <c r="I2105" s="160" t="s">
        <v>243</v>
      </c>
      <c r="J2105" s="159" t="s">
        <v>8916</v>
      </c>
      <c r="K2105" s="181" t="s">
        <v>8917</v>
      </c>
      <c r="L2105" s="287">
        <v>0.995</v>
      </c>
      <c r="M2105" s="158" t="s">
        <v>365</v>
      </c>
      <c r="N2105" s="158" t="s">
        <v>6727</v>
      </c>
      <c r="O2105" s="162"/>
      <c r="P2105" s="161">
        <f>85400000*6</f>
        <v>512400000</v>
      </c>
      <c r="Q2105" s="161"/>
      <c r="R2105" s="162"/>
      <c r="S2105" s="293">
        <f>78000000*6</f>
        <v>468000000</v>
      </c>
      <c r="T2105" s="164"/>
      <c r="U2105" s="340">
        <v>45658</v>
      </c>
      <c r="V2105" s="340">
        <v>45838</v>
      </c>
      <c r="W2105" s="158" t="s">
        <v>250</v>
      </c>
      <c r="X2105" s="158"/>
      <c r="Y2105" s="34">
        <f t="shared" ca="1" si="129"/>
        <v>46290</v>
      </c>
      <c r="Z2105" s="35">
        <f t="shared" ca="1" si="132"/>
        <v>-452</v>
      </c>
      <c r="AA2105" s="27">
        <f t="shared" si="133"/>
        <v>6</v>
      </c>
      <c r="AB2105" s="27">
        <f t="shared" si="134"/>
        <v>2025</v>
      </c>
      <c r="AC2105" s="159" t="s">
        <v>10282</v>
      </c>
      <c r="AD2105" s="159" t="s">
        <v>10283</v>
      </c>
      <c r="AE2105" s="184" t="s">
        <v>10284</v>
      </c>
      <c r="AF2105" s="27" t="s">
        <v>471</v>
      </c>
      <c r="AG2105" s="29" t="s">
        <v>9100</v>
      </c>
      <c r="AH2105" s="160" t="s">
        <v>7099</v>
      </c>
      <c r="AI2105" s="158"/>
      <c r="AJ2105" s="158"/>
      <c r="AK2105" s="158"/>
      <c r="AL2105" s="158"/>
      <c r="AM2105" s="158"/>
      <c r="AN2105" s="158"/>
      <c r="AO2105" s="158"/>
      <c r="AP2105" s="158"/>
      <c r="AQ2105" s="158">
        <v>20</v>
      </c>
      <c r="AR2105" s="507"/>
      <c r="AS2105" s="475"/>
      <c r="AT2105" s="160"/>
    </row>
    <row r="2106" spans="1:46" ht="15" hidden="1" customHeight="1">
      <c r="A2106" s="331">
        <v>2105</v>
      </c>
      <c r="B2106" s="159" t="s">
        <v>10285</v>
      </c>
      <c r="C2106" s="28" t="s">
        <v>8483</v>
      </c>
      <c r="D2106" s="438" t="s">
        <v>8484</v>
      </c>
      <c r="E2106" s="361" t="str">
        <f t="shared" ca="1" si="128"/>
        <v>LOSS</v>
      </c>
      <c r="F2106" s="29" t="s">
        <v>10286</v>
      </c>
      <c r="G2106" s="28" t="s">
        <v>8485</v>
      </c>
      <c r="H2106" s="28" t="s">
        <v>261</v>
      </c>
      <c r="I2106" s="264" t="s">
        <v>243</v>
      </c>
      <c r="J2106" s="28" t="s">
        <v>8486</v>
      </c>
      <c r="K2106" s="38" t="s">
        <v>8487</v>
      </c>
      <c r="L2106" s="27" t="s">
        <v>8488</v>
      </c>
      <c r="M2106" s="27" t="s">
        <v>8489</v>
      </c>
      <c r="N2106" s="27" t="s">
        <v>362</v>
      </c>
      <c r="O2106" s="56"/>
      <c r="P2106" s="31">
        <f>4000000*12</f>
        <v>48000000</v>
      </c>
      <c r="Q2106" s="31"/>
      <c r="R2106" s="56"/>
      <c r="S2106" s="32">
        <f>3250000*12</f>
        <v>39000000</v>
      </c>
      <c r="T2106" s="33"/>
      <c r="U2106" s="334">
        <v>45705</v>
      </c>
      <c r="V2106" s="334">
        <v>46053</v>
      </c>
      <c r="W2106" s="27" t="s">
        <v>17</v>
      </c>
      <c r="X2106" s="27"/>
      <c r="Y2106" s="34">
        <f t="shared" ca="1" si="129"/>
        <v>46290</v>
      </c>
      <c r="Z2106" s="35">
        <f t="shared" ca="1" si="132"/>
        <v>-237</v>
      </c>
      <c r="AA2106" s="27">
        <f t="shared" si="133"/>
        <v>1</v>
      </c>
      <c r="AB2106" s="27">
        <f t="shared" si="134"/>
        <v>2026</v>
      </c>
      <c r="AC2106" s="28" t="s">
        <v>10287</v>
      </c>
      <c r="AD2106" s="28" t="s">
        <v>10288</v>
      </c>
      <c r="AE2106" s="27">
        <v>4500024361</v>
      </c>
      <c r="AF2106" s="27" t="s">
        <v>471</v>
      </c>
      <c r="AG2106" s="160"/>
      <c r="AH2106" s="160"/>
      <c r="AI2106" s="158"/>
      <c r="AJ2106" s="158"/>
      <c r="AK2106" s="158"/>
      <c r="AL2106" s="158"/>
      <c r="AM2106" s="158"/>
      <c r="AN2106" s="158"/>
      <c r="AO2106" s="158"/>
      <c r="AP2106" s="158"/>
      <c r="AQ2106" s="158">
        <v>22</v>
      </c>
      <c r="AR2106" s="507"/>
      <c r="AS2106" s="475"/>
      <c r="AT2106" s="160"/>
    </row>
    <row r="2107" spans="1:46" ht="15" hidden="1" customHeight="1">
      <c r="A2107" s="331">
        <v>2106</v>
      </c>
      <c r="B2107" s="159" t="s">
        <v>450</v>
      </c>
      <c r="C2107" s="28" t="s">
        <v>7032</v>
      </c>
      <c r="D2107" s="437" t="s">
        <v>452</v>
      </c>
      <c r="E2107" s="361" t="str">
        <f t="shared" ca="1" si="128"/>
        <v>LOSS</v>
      </c>
      <c r="F2107" s="28" t="s">
        <v>10289</v>
      </c>
      <c r="G2107" s="28" t="s">
        <v>7034</v>
      </c>
      <c r="H2107" s="28" t="s">
        <v>261</v>
      </c>
      <c r="I2107" s="264" t="s">
        <v>243</v>
      </c>
      <c r="J2107" s="28" t="s">
        <v>1536</v>
      </c>
      <c r="K2107" s="38" t="s">
        <v>7035</v>
      </c>
      <c r="L2107" s="51">
        <v>0.995</v>
      </c>
      <c r="M2107" s="27" t="s">
        <v>365</v>
      </c>
      <c r="N2107" s="27" t="s">
        <v>362</v>
      </c>
      <c r="O2107" s="56"/>
      <c r="P2107" s="61">
        <f>31500000*1</f>
        <v>31500000</v>
      </c>
      <c r="Q2107" s="61"/>
      <c r="R2107" s="27"/>
      <c r="S2107" s="33">
        <f>10000000*1</f>
        <v>10000000</v>
      </c>
      <c r="T2107" s="33"/>
      <c r="U2107" s="334">
        <v>45658</v>
      </c>
      <c r="V2107" s="334">
        <v>45688</v>
      </c>
      <c r="W2107" s="27" t="s">
        <v>245</v>
      </c>
      <c r="X2107" s="27"/>
      <c r="Y2107" s="34">
        <f t="shared" ca="1" si="129"/>
        <v>46290</v>
      </c>
      <c r="Z2107" s="35">
        <f t="shared" ca="1" si="132"/>
        <v>-602</v>
      </c>
      <c r="AA2107" s="27">
        <f t="shared" si="133"/>
        <v>1</v>
      </c>
      <c r="AB2107" s="27">
        <f t="shared" si="134"/>
        <v>2025</v>
      </c>
      <c r="AC2107" s="28" t="s">
        <v>10290</v>
      </c>
      <c r="AD2107" s="28" t="s">
        <v>10291</v>
      </c>
      <c r="AE2107" s="27">
        <v>4500024538</v>
      </c>
      <c r="AF2107" s="27" t="s">
        <v>471</v>
      </c>
      <c r="AG2107" s="160"/>
      <c r="AH2107" s="160"/>
      <c r="AI2107" s="158"/>
      <c r="AJ2107" s="158"/>
      <c r="AK2107" s="158"/>
      <c r="AL2107" s="158"/>
      <c r="AM2107" s="158"/>
      <c r="AN2107" s="158"/>
      <c r="AO2107" s="158"/>
      <c r="AP2107" s="158"/>
      <c r="AQ2107" s="158">
        <v>23</v>
      </c>
      <c r="AR2107" s="507"/>
      <c r="AS2107" s="475"/>
      <c r="AT2107" s="160"/>
    </row>
    <row r="2108" spans="1:46" ht="15" hidden="1" customHeight="1">
      <c r="A2108" s="331">
        <v>2107</v>
      </c>
      <c r="B2108" s="159" t="s">
        <v>1043</v>
      </c>
      <c r="C2108" s="28" t="s">
        <v>1497</v>
      </c>
      <c r="D2108" s="438" t="s">
        <v>6810</v>
      </c>
      <c r="E2108" s="361" t="str">
        <f t="shared" ca="1" si="128"/>
        <v>LOSS</v>
      </c>
      <c r="F2108" s="29"/>
      <c r="G2108" s="28" t="s">
        <v>10292</v>
      </c>
      <c r="H2108" s="29" t="s">
        <v>261</v>
      </c>
      <c r="I2108" s="264" t="s">
        <v>243</v>
      </c>
      <c r="J2108" s="28" t="s">
        <v>8919</v>
      </c>
      <c r="K2108" s="36" t="s">
        <v>8920</v>
      </c>
      <c r="L2108" s="51">
        <v>0.995</v>
      </c>
      <c r="M2108" s="158" t="s">
        <v>353</v>
      </c>
      <c r="N2108" s="27" t="s">
        <v>494</v>
      </c>
      <c r="O2108" s="56"/>
      <c r="P2108" s="31">
        <f>2300000*6</f>
        <v>13800000</v>
      </c>
      <c r="Q2108" s="31"/>
      <c r="R2108" s="31"/>
      <c r="S2108" s="56">
        <f>2300000*6</f>
        <v>13800000</v>
      </c>
      <c r="T2108" s="34"/>
      <c r="U2108" s="334">
        <v>45748</v>
      </c>
      <c r="V2108" s="334">
        <v>45930</v>
      </c>
      <c r="W2108" s="27" t="s">
        <v>250</v>
      </c>
      <c r="X2108" s="27"/>
      <c r="Y2108" s="34">
        <f t="shared" ca="1" si="129"/>
        <v>46290</v>
      </c>
      <c r="Z2108" s="35">
        <f t="shared" ca="1" si="132"/>
        <v>-360</v>
      </c>
      <c r="AA2108" s="27">
        <f t="shared" si="133"/>
        <v>9</v>
      </c>
      <c r="AB2108" s="27">
        <f t="shared" si="134"/>
        <v>2025</v>
      </c>
      <c r="AC2108" s="28" t="s">
        <v>10293</v>
      </c>
      <c r="AD2108" s="28" t="s">
        <v>10294</v>
      </c>
      <c r="AE2108" s="47" t="s">
        <v>10295</v>
      </c>
      <c r="AF2108" s="27" t="s">
        <v>471</v>
      </c>
      <c r="AG2108" s="160"/>
      <c r="AH2108" s="160" t="s">
        <v>8922</v>
      </c>
      <c r="AI2108" s="158"/>
      <c r="AJ2108" s="158"/>
      <c r="AK2108" s="158"/>
      <c r="AL2108" s="158"/>
      <c r="AM2108" s="158"/>
      <c r="AN2108" s="158"/>
      <c r="AO2108" s="158"/>
      <c r="AP2108" s="158"/>
      <c r="AQ2108" s="158">
        <v>24</v>
      </c>
      <c r="AR2108" s="507"/>
      <c r="AS2108" s="475"/>
      <c r="AT2108" s="160"/>
    </row>
    <row r="2109" spans="1:46" ht="15" hidden="1" customHeight="1">
      <c r="A2109" s="331">
        <v>2108</v>
      </c>
      <c r="B2109" s="159" t="s">
        <v>628</v>
      </c>
      <c r="C2109" s="28" t="s">
        <v>7639</v>
      </c>
      <c r="D2109" s="437" t="s">
        <v>7640</v>
      </c>
      <c r="E2109" s="361" t="str">
        <f t="shared" ca="1" si="128"/>
        <v>LOSS</v>
      </c>
      <c r="F2109" s="28" t="s">
        <v>7641</v>
      </c>
      <c r="G2109" s="28" t="s">
        <v>7642</v>
      </c>
      <c r="H2109" s="28" t="s">
        <v>261</v>
      </c>
      <c r="I2109" s="264" t="s">
        <v>243</v>
      </c>
      <c r="J2109" s="28" t="s">
        <v>7643</v>
      </c>
      <c r="K2109" s="38" t="s">
        <v>7644</v>
      </c>
      <c r="L2109" s="150">
        <v>0.995</v>
      </c>
      <c r="M2109" s="27" t="s">
        <v>329</v>
      </c>
      <c r="N2109" s="27" t="s">
        <v>4750</v>
      </c>
      <c r="O2109" s="56"/>
      <c r="P2109" s="52">
        <f>6336900*12</f>
        <v>76042800</v>
      </c>
      <c r="Q2109" s="52"/>
      <c r="R2109" s="56"/>
      <c r="S2109" s="32">
        <f>2786400*12</f>
        <v>33436800</v>
      </c>
      <c r="T2109" s="33"/>
      <c r="U2109" s="334">
        <v>45684</v>
      </c>
      <c r="V2109" s="334">
        <v>46048</v>
      </c>
      <c r="W2109" s="27" t="s">
        <v>250</v>
      </c>
      <c r="X2109" s="158"/>
      <c r="Y2109" s="34">
        <f t="shared" ca="1" si="129"/>
        <v>46290</v>
      </c>
      <c r="Z2109" s="35">
        <f t="shared" ca="1" si="132"/>
        <v>-242</v>
      </c>
      <c r="AA2109" s="27">
        <f t="shared" si="133"/>
        <v>1</v>
      </c>
      <c r="AB2109" s="27">
        <f t="shared" si="134"/>
        <v>2026</v>
      </c>
      <c r="AC2109" s="28" t="s">
        <v>10296</v>
      </c>
      <c r="AD2109" s="28" t="s">
        <v>10297</v>
      </c>
      <c r="AE2109" s="27">
        <v>4500024326</v>
      </c>
      <c r="AF2109" s="27" t="s">
        <v>471</v>
      </c>
      <c r="AG2109" s="160"/>
      <c r="AH2109" s="174" t="s">
        <v>634</v>
      </c>
      <c r="AI2109" s="158"/>
      <c r="AJ2109" s="158"/>
      <c r="AK2109" s="158"/>
      <c r="AL2109" s="158"/>
      <c r="AM2109" s="158"/>
      <c r="AN2109" s="158"/>
      <c r="AO2109" s="158"/>
      <c r="AP2109" s="158"/>
      <c r="AQ2109" s="158">
        <v>18</v>
      </c>
      <c r="AR2109" s="507"/>
      <c r="AS2109" s="475"/>
      <c r="AT2109" s="160"/>
    </row>
    <row r="2110" spans="1:46" ht="15" hidden="1" customHeight="1">
      <c r="A2110" s="331">
        <v>2109</v>
      </c>
      <c r="B2110" s="159" t="s">
        <v>628</v>
      </c>
      <c r="C2110" s="159" t="s">
        <v>10298</v>
      </c>
      <c r="D2110" s="438" t="s">
        <v>7640</v>
      </c>
      <c r="E2110" s="361" t="str">
        <f t="shared" ca="1" si="128"/>
        <v>LOSS</v>
      </c>
      <c r="F2110" s="160"/>
      <c r="G2110" s="159" t="s">
        <v>10299</v>
      </c>
      <c r="H2110" s="160" t="s">
        <v>261</v>
      </c>
      <c r="I2110" s="160" t="s">
        <v>243</v>
      </c>
      <c r="J2110" s="159" t="s">
        <v>10300</v>
      </c>
      <c r="K2110" s="181" t="s">
        <v>10301</v>
      </c>
      <c r="L2110" s="158" t="s">
        <v>4749</v>
      </c>
      <c r="M2110" s="158" t="s">
        <v>353</v>
      </c>
      <c r="N2110" s="158" t="s">
        <v>389</v>
      </c>
      <c r="O2110" s="162">
        <v>3000000</v>
      </c>
      <c r="P2110" s="161">
        <f>16500000*12</f>
        <v>198000000</v>
      </c>
      <c r="Q2110" s="161"/>
      <c r="R2110" s="162">
        <v>3000000</v>
      </c>
      <c r="S2110" s="163">
        <f>16900000*12</f>
        <v>202800000</v>
      </c>
      <c r="T2110" s="164"/>
      <c r="U2110" s="340">
        <v>45664</v>
      </c>
      <c r="V2110" s="340">
        <v>46028</v>
      </c>
      <c r="W2110" s="158" t="s">
        <v>250</v>
      </c>
      <c r="X2110" s="158"/>
      <c r="Y2110" s="34">
        <f t="shared" ca="1" si="129"/>
        <v>46290</v>
      </c>
      <c r="Z2110" s="35">
        <f t="shared" ca="1" si="132"/>
        <v>-262</v>
      </c>
      <c r="AA2110" s="27">
        <f t="shared" si="133"/>
        <v>1</v>
      </c>
      <c r="AB2110" s="27">
        <f t="shared" si="134"/>
        <v>2026</v>
      </c>
      <c r="AC2110" s="159" t="s">
        <v>3371</v>
      </c>
      <c r="AD2110" s="159" t="s">
        <v>10302</v>
      </c>
      <c r="AE2110" s="184" t="s">
        <v>10303</v>
      </c>
      <c r="AF2110" s="201" t="s">
        <v>471</v>
      </c>
      <c r="AG2110" s="160"/>
      <c r="AH2110" s="174" t="s">
        <v>634</v>
      </c>
      <c r="AI2110" s="158"/>
      <c r="AJ2110" s="158"/>
      <c r="AK2110" s="158"/>
      <c r="AL2110" s="158"/>
      <c r="AM2110" s="158"/>
      <c r="AN2110" s="158"/>
      <c r="AO2110" s="158"/>
      <c r="AP2110" s="158"/>
      <c r="AQ2110" s="158">
        <v>30</v>
      </c>
      <c r="AR2110" s="507"/>
      <c r="AS2110" s="475"/>
      <c r="AT2110" s="160"/>
    </row>
    <row r="2111" spans="1:46" ht="15" hidden="1" customHeight="1">
      <c r="A2111" s="331">
        <v>2110</v>
      </c>
      <c r="B2111" s="159" t="s">
        <v>37</v>
      </c>
      <c r="C2111" s="159" t="s">
        <v>8923</v>
      </c>
      <c r="D2111" s="437" t="s">
        <v>6644</v>
      </c>
      <c r="E2111" s="361" t="str">
        <f t="shared" ca="1" si="128"/>
        <v>LOSS</v>
      </c>
      <c r="F2111" s="160" t="s">
        <v>10304</v>
      </c>
      <c r="G2111" s="159" t="s">
        <v>10305</v>
      </c>
      <c r="H2111" s="160" t="s">
        <v>261</v>
      </c>
      <c r="I2111" s="160" t="s">
        <v>243</v>
      </c>
      <c r="J2111" s="159" t="s">
        <v>8926</v>
      </c>
      <c r="K2111" s="181" t="s">
        <v>8927</v>
      </c>
      <c r="L2111" s="213">
        <v>0.99</v>
      </c>
      <c r="M2111" s="158" t="s">
        <v>365</v>
      </c>
      <c r="N2111" s="158" t="s">
        <v>362</v>
      </c>
      <c r="O2111" s="162"/>
      <c r="P2111" s="161">
        <f>12*31000000</f>
        <v>372000000</v>
      </c>
      <c r="Q2111" s="161"/>
      <c r="R2111" s="162"/>
      <c r="S2111" s="163">
        <f>12*16380000</f>
        <v>196560000</v>
      </c>
      <c r="T2111" s="164"/>
      <c r="U2111" s="340">
        <v>45663</v>
      </c>
      <c r="V2111" s="340">
        <v>46027</v>
      </c>
      <c r="W2111" s="158" t="s">
        <v>250</v>
      </c>
      <c r="X2111" s="158"/>
      <c r="Y2111" s="164">
        <f t="shared" ca="1" si="129"/>
        <v>46290</v>
      </c>
      <c r="Z2111" s="207">
        <f t="shared" ca="1" si="132"/>
        <v>-263</v>
      </c>
      <c r="AA2111" s="27">
        <f t="shared" si="133"/>
        <v>1</v>
      </c>
      <c r="AB2111" s="158">
        <f t="shared" si="134"/>
        <v>2026</v>
      </c>
      <c r="AC2111" s="159" t="s">
        <v>8928</v>
      </c>
      <c r="AD2111" s="159" t="s">
        <v>10306</v>
      </c>
      <c r="AE2111" s="184" t="s">
        <v>10307</v>
      </c>
      <c r="AF2111" s="201" t="s">
        <v>8995</v>
      </c>
      <c r="AG2111" s="160"/>
      <c r="AH2111" s="160" t="s">
        <v>10308</v>
      </c>
      <c r="AI2111" s="158"/>
      <c r="AJ2111" s="158"/>
      <c r="AK2111" s="158"/>
      <c r="AL2111" s="158"/>
      <c r="AM2111" s="158"/>
      <c r="AN2111" s="158"/>
      <c r="AO2111" s="158"/>
      <c r="AP2111" s="158"/>
      <c r="AQ2111" s="158">
        <v>458</v>
      </c>
      <c r="AR2111" s="507"/>
      <c r="AS2111" s="475"/>
      <c r="AT2111" s="160"/>
    </row>
    <row r="2112" spans="1:46" ht="15" hidden="1" customHeight="1">
      <c r="A2112" s="331">
        <v>2111</v>
      </c>
      <c r="B2112" s="159" t="s">
        <v>10216</v>
      </c>
      <c r="C2112" s="159" t="s">
        <v>10309</v>
      </c>
      <c r="D2112" s="460" t="s">
        <v>10310</v>
      </c>
      <c r="E2112" s="361" t="str">
        <f t="shared" ca="1" si="128"/>
        <v>LOSS</v>
      </c>
      <c r="F2112" s="160"/>
      <c r="G2112" s="159" t="s">
        <v>10311</v>
      </c>
      <c r="H2112" s="160" t="s">
        <v>261</v>
      </c>
      <c r="I2112" s="160" t="s">
        <v>243</v>
      </c>
      <c r="J2112" s="159" t="s">
        <v>10312</v>
      </c>
      <c r="K2112" s="181"/>
      <c r="L2112" s="158" t="s">
        <v>8488</v>
      </c>
      <c r="M2112" s="158" t="s">
        <v>353</v>
      </c>
      <c r="N2112" s="158" t="s">
        <v>396</v>
      </c>
      <c r="O2112" s="162">
        <f>10000000</f>
        <v>10000000</v>
      </c>
      <c r="P2112" s="161">
        <f>21500000*12</f>
        <v>258000000</v>
      </c>
      <c r="Q2112" s="161"/>
      <c r="R2112" s="162">
        <f>7500000</f>
        <v>7500000</v>
      </c>
      <c r="S2112" s="163">
        <f>12*19500000</f>
        <v>234000000</v>
      </c>
      <c r="T2112" s="164"/>
      <c r="U2112" s="340">
        <v>45588</v>
      </c>
      <c r="V2112" s="340">
        <v>45952</v>
      </c>
      <c r="W2112" s="158" t="s">
        <v>250</v>
      </c>
      <c r="X2112" s="158" t="s">
        <v>10123</v>
      </c>
      <c r="Y2112" s="164">
        <f t="shared" ca="1" si="129"/>
        <v>46290</v>
      </c>
      <c r="Z2112" s="207">
        <f t="shared" ca="1" si="132"/>
        <v>-338</v>
      </c>
      <c r="AA2112" s="158">
        <f t="shared" si="133"/>
        <v>10</v>
      </c>
      <c r="AB2112" s="158">
        <f t="shared" si="134"/>
        <v>2025</v>
      </c>
      <c r="AC2112" s="159" t="s">
        <v>3371</v>
      </c>
      <c r="AD2112" s="159" t="s">
        <v>10313</v>
      </c>
      <c r="AE2112" s="184" t="s">
        <v>10314</v>
      </c>
      <c r="AF2112" s="201" t="s">
        <v>8995</v>
      </c>
      <c r="AG2112" s="160"/>
      <c r="AH2112" s="160" t="s">
        <v>10315</v>
      </c>
      <c r="AI2112" s="158"/>
      <c r="AJ2112" s="158"/>
      <c r="AK2112" s="158"/>
      <c r="AL2112" s="158"/>
      <c r="AM2112" s="158"/>
      <c r="AN2112" s="158"/>
      <c r="AO2112" s="158"/>
      <c r="AP2112" s="158">
        <v>398</v>
      </c>
      <c r="AQ2112" s="158"/>
      <c r="AR2112" s="507"/>
      <c r="AS2112" s="475"/>
      <c r="AT2112" s="160"/>
    </row>
    <row r="2113" spans="1:46" ht="15" hidden="1" customHeight="1">
      <c r="A2113" s="331">
        <v>2112</v>
      </c>
      <c r="B2113" s="182" t="s">
        <v>628</v>
      </c>
      <c r="C2113" s="159" t="s">
        <v>10316</v>
      </c>
      <c r="D2113" s="437" t="s">
        <v>7640</v>
      </c>
      <c r="E2113" s="361" t="str">
        <f t="shared" ca="1" si="128"/>
        <v>LOSS</v>
      </c>
      <c r="F2113" s="160"/>
      <c r="G2113" s="159" t="s">
        <v>10317</v>
      </c>
      <c r="H2113" s="160" t="s">
        <v>261</v>
      </c>
      <c r="I2113" s="160" t="s">
        <v>243</v>
      </c>
      <c r="J2113" s="159" t="s">
        <v>10318</v>
      </c>
      <c r="K2113" s="181" t="s">
        <v>10319</v>
      </c>
      <c r="L2113" s="158" t="s">
        <v>4749</v>
      </c>
      <c r="M2113" s="158" t="s">
        <v>353</v>
      </c>
      <c r="N2113" s="158" t="s">
        <v>362</v>
      </c>
      <c r="O2113" s="162">
        <f>10000000</f>
        <v>10000000</v>
      </c>
      <c r="P2113" s="161">
        <f>23500000*12</f>
        <v>282000000</v>
      </c>
      <c r="Q2113" s="161"/>
      <c r="R2113" s="162">
        <f>3000000</f>
        <v>3000000</v>
      </c>
      <c r="S2113" s="163">
        <f>10500000*12</f>
        <v>126000000</v>
      </c>
      <c r="T2113" s="164"/>
      <c r="U2113" s="340">
        <v>45656</v>
      </c>
      <c r="V2113" s="340">
        <v>46020</v>
      </c>
      <c r="W2113" s="158" t="s">
        <v>250</v>
      </c>
      <c r="X2113" s="158"/>
      <c r="Y2113" s="164">
        <f t="shared" ca="1" si="129"/>
        <v>46290</v>
      </c>
      <c r="Z2113" s="207">
        <f t="shared" ca="1" si="132"/>
        <v>-270</v>
      </c>
      <c r="AA2113" s="158">
        <f t="shared" si="133"/>
        <v>12</v>
      </c>
      <c r="AB2113" s="158">
        <f t="shared" si="134"/>
        <v>2025</v>
      </c>
      <c r="AC2113" s="159" t="s">
        <v>3371</v>
      </c>
      <c r="AD2113" s="159" t="s">
        <v>10320</v>
      </c>
      <c r="AE2113" s="184" t="s">
        <v>10321</v>
      </c>
      <c r="AF2113" s="201" t="s">
        <v>8995</v>
      </c>
      <c r="AG2113" s="160"/>
      <c r="AH2113" s="174" t="s">
        <v>634</v>
      </c>
      <c r="AI2113" s="158"/>
      <c r="AJ2113" s="158"/>
      <c r="AK2113" s="158"/>
      <c r="AL2113" s="158"/>
      <c r="AM2113" s="158"/>
      <c r="AN2113" s="158"/>
      <c r="AO2113" s="158"/>
      <c r="AP2113" s="158">
        <v>280</v>
      </c>
      <c r="AQ2113" s="158"/>
      <c r="AR2113" s="507"/>
      <c r="AS2113" s="475"/>
      <c r="AT2113" s="160"/>
    </row>
    <row r="2114" spans="1:46" ht="15" hidden="1" customHeight="1">
      <c r="A2114" s="331">
        <v>2113</v>
      </c>
      <c r="B2114" s="159" t="s">
        <v>9045</v>
      </c>
      <c r="C2114" s="159" t="s">
        <v>10322</v>
      </c>
      <c r="D2114" s="438" t="s">
        <v>6723</v>
      </c>
      <c r="E2114" s="361" t="str">
        <f t="shared" ref="E2114:E2177" ca="1" si="135">IF(Z2114&lt;=0, "LOSS",IF(Z2114&lt;=15, "CRITICAL",IF(Z2114&lt;=30, "WARNING",IF(Z2114&lt;60, "ATTENTION", "ON TRACK"))))</f>
        <v>LOSS</v>
      </c>
      <c r="F2114" s="160" t="s">
        <v>10323</v>
      </c>
      <c r="G2114" s="159" t="s">
        <v>10324</v>
      </c>
      <c r="H2114" s="160" t="s">
        <v>261</v>
      </c>
      <c r="I2114" s="160" t="s">
        <v>243</v>
      </c>
      <c r="J2114" s="159" t="s">
        <v>6720</v>
      </c>
      <c r="K2114" s="159">
        <v>1000191518</v>
      </c>
      <c r="L2114" s="158" t="s">
        <v>4749</v>
      </c>
      <c r="M2114" s="158" t="s">
        <v>365</v>
      </c>
      <c r="N2114" s="158" t="s">
        <v>354</v>
      </c>
      <c r="O2114" s="162"/>
      <c r="P2114" s="161">
        <f>5125000*12</f>
        <v>61500000</v>
      </c>
      <c r="Q2114" s="161"/>
      <c r="R2114" s="162"/>
      <c r="S2114" s="163">
        <f>12*1575000</f>
        <v>18900000</v>
      </c>
      <c r="T2114" s="164"/>
      <c r="U2114" s="340">
        <v>45724</v>
      </c>
      <c r="V2114" s="340">
        <v>46088</v>
      </c>
      <c r="W2114" s="158" t="s">
        <v>250</v>
      </c>
      <c r="X2114" s="158"/>
      <c r="Y2114" s="164">
        <f t="shared" ca="1" si="129"/>
        <v>46290</v>
      </c>
      <c r="Z2114" s="207">
        <f t="shared" ca="1" si="132"/>
        <v>-202</v>
      </c>
      <c r="AA2114" s="158">
        <f t="shared" si="133"/>
        <v>3</v>
      </c>
      <c r="AB2114" s="158">
        <f t="shared" si="134"/>
        <v>2026</v>
      </c>
      <c r="AC2114" s="159">
        <v>4500022731</v>
      </c>
      <c r="AD2114" s="159" t="s">
        <v>10325</v>
      </c>
      <c r="AE2114" s="158" t="s">
        <v>10326</v>
      </c>
      <c r="AF2114" s="201" t="s">
        <v>8995</v>
      </c>
      <c r="AG2114" s="160"/>
      <c r="AH2114" s="160"/>
      <c r="AI2114" s="158"/>
      <c r="AJ2114" s="158"/>
      <c r="AK2114" s="158"/>
      <c r="AL2114" s="158"/>
      <c r="AM2114" s="158"/>
      <c r="AN2114" s="158"/>
      <c r="AO2114" s="158"/>
      <c r="AP2114" s="158"/>
      <c r="AQ2114" s="158">
        <v>34</v>
      </c>
      <c r="AR2114" s="507"/>
      <c r="AS2114" s="475"/>
      <c r="AT2114" s="160"/>
    </row>
    <row r="2115" spans="1:46" ht="15" hidden="1" customHeight="1">
      <c r="A2115" s="331">
        <v>2114</v>
      </c>
      <c r="B2115" s="159" t="s">
        <v>9045</v>
      </c>
      <c r="C2115" s="159" t="s">
        <v>10327</v>
      </c>
      <c r="D2115" s="437" t="s">
        <v>6723</v>
      </c>
      <c r="E2115" s="361" t="str">
        <f t="shared" ca="1" si="135"/>
        <v>LOSS</v>
      </c>
      <c r="F2115" s="160" t="s">
        <v>10323</v>
      </c>
      <c r="G2115" s="159" t="s">
        <v>10324</v>
      </c>
      <c r="H2115" s="160" t="s">
        <v>261</v>
      </c>
      <c r="I2115" s="160" t="s">
        <v>243</v>
      </c>
      <c r="J2115" s="159" t="s">
        <v>6720</v>
      </c>
      <c r="K2115" s="159">
        <v>1000191518</v>
      </c>
      <c r="L2115" s="158" t="s">
        <v>4749</v>
      </c>
      <c r="M2115" s="158" t="s">
        <v>365</v>
      </c>
      <c r="N2115" s="158" t="s">
        <v>354</v>
      </c>
      <c r="O2115" s="162"/>
      <c r="P2115" s="161">
        <f>12*5125000</f>
        <v>61500000</v>
      </c>
      <c r="Q2115" s="161"/>
      <c r="R2115" s="162"/>
      <c r="S2115" s="163">
        <f>12*2400000</f>
        <v>28800000</v>
      </c>
      <c r="T2115" s="164"/>
      <c r="U2115" s="340">
        <v>45724</v>
      </c>
      <c r="V2115" s="340">
        <v>46088</v>
      </c>
      <c r="W2115" s="158" t="s">
        <v>250</v>
      </c>
      <c r="X2115" s="158"/>
      <c r="Y2115" s="164">
        <f t="shared" ca="1" si="129"/>
        <v>46290</v>
      </c>
      <c r="Z2115" s="207">
        <f t="shared" ca="1" si="132"/>
        <v>-202</v>
      </c>
      <c r="AA2115" s="158">
        <f t="shared" si="133"/>
        <v>3</v>
      </c>
      <c r="AB2115" s="158">
        <f t="shared" si="134"/>
        <v>2026</v>
      </c>
      <c r="AC2115" s="159">
        <v>4500022731</v>
      </c>
      <c r="AD2115" s="159" t="s">
        <v>10325</v>
      </c>
      <c r="AE2115" s="158" t="s">
        <v>10326</v>
      </c>
      <c r="AF2115" s="201" t="s">
        <v>8995</v>
      </c>
      <c r="AG2115" s="160"/>
      <c r="AH2115" s="160"/>
      <c r="AI2115" s="158"/>
      <c r="AJ2115" s="158"/>
      <c r="AK2115" s="158"/>
      <c r="AL2115" s="158"/>
      <c r="AM2115" s="158"/>
      <c r="AN2115" s="158"/>
      <c r="AO2115" s="158"/>
      <c r="AP2115" s="158"/>
      <c r="AQ2115" s="158">
        <v>34</v>
      </c>
      <c r="AR2115" s="507"/>
      <c r="AS2115" s="475"/>
      <c r="AT2115" s="160"/>
    </row>
    <row r="2116" spans="1:46" ht="15" hidden="1" customHeight="1">
      <c r="A2116" s="331">
        <v>2115</v>
      </c>
      <c r="B2116" s="159" t="s">
        <v>3272</v>
      </c>
      <c r="C2116" s="159" t="s">
        <v>2868</v>
      </c>
      <c r="D2116" s="438" t="s">
        <v>6723</v>
      </c>
      <c r="E2116" s="361" t="str">
        <f t="shared" ca="1" si="135"/>
        <v>LOSS</v>
      </c>
      <c r="F2116" s="160"/>
      <c r="G2116" s="159" t="s">
        <v>10328</v>
      </c>
      <c r="H2116" s="160" t="s">
        <v>261</v>
      </c>
      <c r="I2116" s="160" t="s">
        <v>243</v>
      </c>
      <c r="J2116" s="159" t="s">
        <v>7163</v>
      </c>
      <c r="K2116" s="181" t="s">
        <v>7164</v>
      </c>
      <c r="L2116" s="158" t="s">
        <v>4749</v>
      </c>
      <c r="M2116" s="158" t="s">
        <v>353</v>
      </c>
      <c r="N2116" s="158" t="s">
        <v>354</v>
      </c>
      <c r="O2116" s="162"/>
      <c r="P2116" s="161">
        <v>0</v>
      </c>
      <c r="Q2116" s="161"/>
      <c r="R2116" s="162"/>
      <c r="S2116" s="163">
        <f>12*2000000</f>
        <v>24000000</v>
      </c>
      <c r="T2116" s="164"/>
      <c r="U2116" s="340">
        <v>45748</v>
      </c>
      <c r="V2116" s="340">
        <v>46112</v>
      </c>
      <c r="W2116" s="158" t="s">
        <v>17</v>
      </c>
      <c r="X2116" s="158"/>
      <c r="Y2116" s="34">
        <f t="shared" ca="1" si="129"/>
        <v>46290</v>
      </c>
      <c r="Z2116" s="35">
        <f t="shared" ca="1" si="132"/>
        <v>-178</v>
      </c>
      <c r="AA2116" s="27">
        <f t="shared" si="133"/>
        <v>3</v>
      </c>
      <c r="AB2116" s="27">
        <f t="shared" si="134"/>
        <v>2026</v>
      </c>
      <c r="AC2116" s="159">
        <v>4500022406</v>
      </c>
      <c r="AD2116" s="159" t="s">
        <v>10329</v>
      </c>
      <c r="AE2116" s="184" t="s">
        <v>10330</v>
      </c>
      <c r="AF2116" s="201" t="s">
        <v>8995</v>
      </c>
      <c r="AG2116" s="160"/>
      <c r="AH2116" s="160"/>
      <c r="AI2116" s="158"/>
      <c r="AJ2116" s="158"/>
      <c r="AK2116" s="158"/>
      <c r="AL2116" s="158"/>
      <c r="AM2116" s="158"/>
      <c r="AN2116" s="158"/>
      <c r="AO2116" s="158"/>
      <c r="AP2116" s="158"/>
      <c r="AQ2116" s="158">
        <v>35</v>
      </c>
      <c r="AR2116" s="507"/>
      <c r="AS2116" s="475"/>
      <c r="AT2116" s="160"/>
    </row>
    <row r="2117" spans="1:46" ht="15" hidden="1" customHeight="1">
      <c r="A2117" s="331">
        <v>2116</v>
      </c>
      <c r="B2117" s="159" t="s">
        <v>614</v>
      </c>
      <c r="C2117" s="159" t="s">
        <v>10331</v>
      </c>
      <c r="D2117" s="443" t="s">
        <v>9294</v>
      </c>
      <c r="E2117" s="361" t="str">
        <f t="shared" ca="1" si="135"/>
        <v>ON TRACK</v>
      </c>
      <c r="F2117" s="160"/>
      <c r="G2117" s="159" t="s">
        <v>10332</v>
      </c>
      <c r="H2117" s="160" t="s">
        <v>261</v>
      </c>
      <c r="I2117" s="160" t="s">
        <v>243</v>
      </c>
      <c r="J2117" s="159" t="s">
        <v>10333</v>
      </c>
      <c r="K2117" s="181" t="s">
        <v>10334</v>
      </c>
      <c r="L2117" s="213">
        <v>0.99</v>
      </c>
      <c r="M2117" s="158" t="s">
        <v>6776</v>
      </c>
      <c r="N2117" s="158" t="s">
        <v>494</v>
      </c>
      <c r="O2117" s="162">
        <f>3500000</f>
        <v>3500000</v>
      </c>
      <c r="P2117" s="161">
        <f>12*3500000</f>
        <v>42000000</v>
      </c>
      <c r="Q2117" s="161"/>
      <c r="R2117" s="162">
        <f>2500000</f>
        <v>2500000</v>
      </c>
      <c r="S2117" s="163">
        <f>12*2200000</f>
        <v>26400000</v>
      </c>
      <c r="T2117" s="164"/>
      <c r="U2117" s="340">
        <v>45678</v>
      </c>
      <c r="V2117" s="340">
        <v>46772</v>
      </c>
      <c r="W2117" s="158" t="s">
        <v>17</v>
      </c>
      <c r="X2117" s="158"/>
      <c r="Y2117" s="164">
        <f t="shared" ca="1" si="129"/>
        <v>46290</v>
      </c>
      <c r="Z2117" s="207">
        <f t="shared" ca="1" si="132"/>
        <v>482</v>
      </c>
      <c r="AA2117" s="158">
        <f t="shared" si="133"/>
        <v>1</v>
      </c>
      <c r="AB2117" s="158">
        <f t="shared" si="134"/>
        <v>2028</v>
      </c>
      <c r="AC2117" s="159" t="s">
        <v>3371</v>
      </c>
      <c r="AD2117" s="159" t="s">
        <v>10335</v>
      </c>
      <c r="AE2117" s="184" t="s">
        <v>10336</v>
      </c>
      <c r="AF2117" s="201" t="s">
        <v>8995</v>
      </c>
      <c r="AG2117" s="160"/>
      <c r="AH2117" s="160" t="s">
        <v>6803</v>
      </c>
      <c r="AI2117" s="158"/>
      <c r="AJ2117" s="158"/>
      <c r="AK2117" s="158"/>
      <c r="AL2117" s="158"/>
      <c r="AM2117" s="158"/>
      <c r="AN2117" s="158"/>
      <c r="AO2117" s="158"/>
      <c r="AP2117" s="158"/>
      <c r="AQ2117" s="158">
        <v>12</v>
      </c>
      <c r="AR2117" s="507"/>
      <c r="AS2117" s="475"/>
      <c r="AT2117" s="160"/>
    </row>
    <row r="2118" spans="1:46" ht="15" hidden="1" customHeight="1">
      <c r="A2118" s="331">
        <v>2117</v>
      </c>
      <c r="B2118" s="159" t="s">
        <v>614</v>
      </c>
      <c r="C2118" s="159" t="s">
        <v>684</v>
      </c>
      <c r="D2118" s="443" t="s">
        <v>9294</v>
      </c>
      <c r="E2118" s="361" t="str">
        <f t="shared" ca="1" si="135"/>
        <v>LOSS</v>
      </c>
      <c r="F2118" s="160" t="s">
        <v>10337</v>
      </c>
      <c r="G2118" s="159" t="s">
        <v>6785</v>
      </c>
      <c r="H2118" s="160" t="s">
        <v>261</v>
      </c>
      <c r="I2118" s="160" t="s">
        <v>243</v>
      </c>
      <c r="J2118" s="194" t="s">
        <v>2449</v>
      </c>
      <c r="K2118" s="288" t="s">
        <v>6786</v>
      </c>
      <c r="L2118" s="213">
        <v>0.98</v>
      </c>
      <c r="M2118" s="158" t="s">
        <v>329</v>
      </c>
      <c r="N2118" s="158" t="s">
        <v>6649</v>
      </c>
      <c r="O2118" s="162"/>
      <c r="P2118" s="161">
        <f>12*2100000</f>
        <v>25200000</v>
      </c>
      <c r="Q2118" s="161"/>
      <c r="R2118" s="162"/>
      <c r="S2118" s="163">
        <f>12*4000000</f>
        <v>48000000</v>
      </c>
      <c r="T2118" s="164"/>
      <c r="U2118" s="340">
        <v>45768</v>
      </c>
      <c r="V2118" s="340">
        <v>46132</v>
      </c>
      <c r="W2118" s="158" t="s">
        <v>17</v>
      </c>
      <c r="X2118" s="158"/>
      <c r="Y2118" s="164">
        <f t="shared" ca="1" si="129"/>
        <v>46290</v>
      </c>
      <c r="Z2118" s="207">
        <f t="shared" ca="1" si="132"/>
        <v>-158</v>
      </c>
      <c r="AA2118" s="158">
        <f t="shared" si="133"/>
        <v>4</v>
      </c>
      <c r="AB2118" s="158">
        <f t="shared" si="134"/>
        <v>2026</v>
      </c>
      <c r="AC2118" s="159">
        <v>4500022571</v>
      </c>
      <c r="AD2118" s="159" t="s">
        <v>10338</v>
      </c>
      <c r="AE2118" s="184" t="s">
        <v>10339</v>
      </c>
      <c r="AF2118" s="201" t="s">
        <v>8995</v>
      </c>
      <c r="AG2118" s="160"/>
      <c r="AH2118" s="160" t="s">
        <v>6803</v>
      </c>
      <c r="AI2118" s="158"/>
      <c r="AJ2118" s="158"/>
      <c r="AK2118" s="158"/>
      <c r="AL2118" s="158"/>
      <c r="AM2118" s="158"/>
      <c r="AN2118" s="158"/>
      <c r="AO2118" s="158"/>
      <c r="AP2118" s="158"/>
      <c r="AQ2118" s="158">
        <v>36</v>
      </c>
      <c r="AR2118" s="507"/>
      <c r="AS2118" s="475"/>
      <c r="AT2118" s="160"/>
    </row>
    <row r="2119" spans="1:46" ht="15" hidden="1" customHeight="1">
      <c r="A2119" s="331">
        <v>2118</v>
      </c>
      <c r="B2119" s="159" t="s">
        <v>2615</v>
      </c>
      <c r="C2119" s="28" t="s">
        <v>8833</v>
      </c>
      <c r="D2119" s="438" t="s">
        <v>6750</v>
      </c>
      <c r="E2119" s="361" t="str">
        <f t="shared" ca="1" si="135"/>
        <v>LOSS</v>
      </c>
      <c r="F2119" s="29" t="s">
        <v>8910</v>
      </c>
      <c r="G2119" s="28" t="s">
        <v>8911</v>
      </c>
      <c r="H2119" s="29" t="s">
        <v>261</v>
      </c>
      <c r="I2119" s="264" t="s">
        <v>243</v>
      </c>
      <c r="J2119" s="28" t="s">
        <v>58</v>
      </c>
      <c r="K2119" s="36" t="s">
        <v>8912</v>
      </c>
      <c r="L2119" s="51">
        <v>0.995</v>
      </c>
      <c r="M2119" s="27" t="s">
        <v>8835</v>
      </c>
      <c r="N2119" s="27" t="s">
        <v>373</v>
      </c>
      <c r="O2119" s="56"/>
      <c r="P2119" s="31">
        <f>53928000*12</f>
        <v>647136000</v>
      </c>
      <c r="Q2119" s="31"/>
      <c r="R2119" s="56"/>
      <c r="S2119" s="32">
        <f>29900000*12</f>
        <v>358800000</v>
      </c>
      <c r="T2119" s="202"/>
      <c r="U2119" s="334">
        <v>45750</v>
      </c>
      <c r="V2119" s="334">
        <v>46114</v>
      </c>
      <c r="W2119" s="27" t="s">
        <v>250</v>
      </c>
      <c r="X2119" s="27"/>
      <c r="Y2119" s="34">
        <f t="shared" ca="1" si="129"/>
        <v>46290</v>
      </c>
      <c r="Z2119" s="35">
        <f t="shared" ca="1" si="132"/>
        <v>-176</v>
      </c>
      <c r="AA2119" s="27">
        <f t="shared" si="133"/>
        <v>4</v>
      </c>
      <c r="AB2119" s="27">
        <f t="shared" si="134"/>
        <v>2026</v>
      </c>
      <c r="AC2119" s="28" t="s">
        <v>10340</v>
      </c>
      <c r="AD2119" s="28" t="s">
        <v>10341</v>
      </c>
      <c r="AE2119" s="27">
        <v>4500024746</v>
      </c>
      <c r="AF2119" s="201" t="s">
        <v>8995</v>
      </c>
      <c r="AG2119" s="160"/>
      <c r="AH2119" s="174" t="s">
        <v>6757</v>
      </c>
      <c r="AI2119" s="158"/>
      <c r="AJ2119" s="158"/>
      <c r="AK2119" s="158"/>
      <c r="AL2119" s="158"/>
      <c r="AM2119" s="158"/>
      <c r="AN2119" s="158"/>
      <c r="AO2119" s="158"/>
      <c r="AP2119" s="158"/>
      <c r="AQ2119" s="158">
        <v>32</v>
      </c>
      <c r="AR2119" s="507"/>
      <c r="AS2119" s="475"/>
      <c r="AT2119" s="160"/>
    </row>
    <row r="2120" spans="1:46" ht="15" hidden="1" customHeight="1">
      <c r="A2120" s="331">
        <v>2119</v>
      </c>
      <c r="B2120" s="159" t="s">
        <v>2615</v>
      </c>
      <c r="C2120" s="28" t="s">
        <v>9032</v>
      </c>
      <c r="D2120" s="438" t="s">
        <v>6750</v>
      </c>
      <c r="E2120" s="361" t="str">
        <f t="shared" ca="1" si="135"/>
        <v>ON TRACK</v>
      </c>
      <c r="F2120" s="28" t="s">
        <v>9033</v>
      </c>
      <c r="G2120" s="28" t="s">
        <v>9033</v>
      </c>
      <c r="H2120" s="29" t="s">
        <v>261</v>
      </c>
      <c r="I2120" s="264" t="s">
        <v>243</v>
      </c>
      <c r="J2120" s="28" t="s">
        <v>8335</v>
      </c>
      <c r="K2120" s="36" t="s">
        <v>8336</v>
      </c>
      <c r="L2120" s="51">
        <v>0.995</v>
      </c>
      <c r="M2120" s="27" t="s">
        <v>353</v>
      </c>
      <c r="N2120" s="27" t="s">
        <v>9035</v>
      </c>
      <c r="O2120" s="56"/>
      <c r="P2120" s="31">
        <f>28473300*36</f>
        <v>1025038800</v>
      </c>
      <c r="Q2120" s="31"/>
      <c r="R2120" s="56"/>
      <c r="S2120" s="103">
        <f>9750000*36</f>
        <v>351000000</v>
      </c>
      <c r="T2120" s="34"/>
      <c r="U2120" s="334">
        <v>45809</v>
      </c>
      <c r="V2120" s="334">
        <v>46904</v>
      </c>
      <c r="W2120" s="27" t="s">
        <v>17</v>
      </c>
      <c r="X2120" s="27"/>
      <c r="Y2120" s="34">
        <f t="shared" ca="1" si="129"/>
        <v>46290</v>
      </c>
      <c r="Z2120" s="35">
        <f t="shared" ca="1" si="132"/>
        <v>614</v>
      </c>
      <c r="AA2120" s="27">
        <f t="shared" si="133"/>
        <v>5</v>
      </c>
      <c r="AB2120" s="27">
        <f t="shared" si="134"/>
        <v>2028</v>
      </c>
      <c r="AC2120" s="28" t="s">
        <v>10342</v>
      </c>
      <c r="AD2120" s="28" t="s">
        <v>10343</v>
      </c>
      <c r="AE2120" s="27">
        <v>4500024725</v>
      </c>
      <c r="AF2120" s="52" t="s">
        <v>471</v>
      </c>
      <c r="AG2120" s="160"/>
      <c r="AH2120" s="174" t="s">
        <v>6757</v>
      </c>
      <c r="AI2120" s="158"/>
      <c r="AJ2120" s="158"/>
      <c r="AK2120" s="158"/>
      <c r="AL2120" s="158"/>
      <c r="AM2120" s="158"/>
      <c r="AN2120" s="158"/>
      <c r="AO2120" s="158"/>
      <c r="AP2120" s="158"/>
      <c r="AQ2120" s="158">
        <v>29</v>
      </c>
      <c r="AR2120" s="507"/>
      <c r="AS2120" s="475"/>
      <c r="AT2120" s="160"/>
    </row>
    <row r="2121" spans="1:46" ht="15" hidden="1" customHeight="1">
      <c r="A2121" s="331">
        <v>2120</v>
      </c>
      <c r="B2121" s="159" t="s">
        <v>2615</v>
      </c>
      <c r="C2121" s="159" t="s">
        <v>1000</v>
      </c>
      <c r="D2121" s="438" t="s">
        <v>6750</v>
      </c>
      <c r="E2121" s="361" t="str">
        <f t="shared" ca="1" si="135"/>
        <v>ON TRACK</v>
      </c>
      <c r="F2121" s="160"/>
      <c r="G2121" s="159" t="s">
        <v>10344</v>
      </c>
      <c r="H2121" s="160" t="s">
        <v>261</v>
      </c>
      <c r="I2121" s="160" t="s">
        <v>243</v>
      </c>
      <c r="J2121" s="159" t="s">
        <v>10345</v>
      </c>
      <c r="K2121" s="203" t="s">
        <v>10346</v>
      </c>
      <c r="L2121" s="51">
        <v>0.995</v>
      </c>
      <c r="M2121" s="158" t="s">
        <v>329</v>
      </c>
      <c r="N2121" s="158" t="s">
        <v>7238</v>
      </c>
      <c r="O2121" s="162"/>
      <c r="P2121" s="161">
        <f>1727273*24</f>
        <v>41454552</v>
      </c>
      <c r="Q2121" s="161"/>
      <c r="R2121" s="162">
        <v>4000000</v>
      </c>
      <c r="S2121" s="163">
        <f>1000000*24</f>
        <v>24000000</v>
      </c>
      <c r="T2121" s="164"/>
      <c r="U2121" s="340">
        <v>45692</v>
      </c>
      <c r="V2121" s="340">
        <v>46421</v>
      </c>
      <c r="W2121" s="158" t="s">
        <v>17</v>
      </c>
      <c r="X2121" s="158"/>
      <c r="Y2121" s="34">
        <f t="shared" ca="1" si="129"/>
        <v>46290</v>
      </c>
      <c r="Z2121" s="35">
        <f t="shared" ca="1" si="132"/>
        <v>131</v>
      </c>
      <c r="AA2121" s="27">
        <f t="shared" ref="AA2121:AA2156" si="136">MONTH(V2121)</f>
        <v>2</v>
      </c>
      <c r="AB2121" s="27">
        <f t="shared" si="134"/>
        <v>2027</v>
      </c>
      <c r="AC2121" s="159" t="s">
        <v>479</v>
      </c>
      <c r="AD2121" s="159" t="s">
        <v>10347</v>
      </c>
      <c r="AE2121" s="184" t="s">
        <v>10348</v>
      </c>
      <c r="AF2121" s="201" t="s">
        <v>471</v>
      </c>
      <c r="AG2121" s="160"/>
      <c r="AH2121" s="174" t="s">
        <v>6757</v>
      </c>
      <c r="AI2121" s="158"/>
      <c r="AJ2121" s="158"/>
      <c r="AK2121" s="158"/>
      <c r="AL2121" s="158"/>
      <c r="AM2121" s="158"/>
      <c r="AN2121" s="158"/>
      <c r="AO2121" s="158"/>
      <c r="AP2121" s="158"/>
      <c r="AQ2121" s="158">
        <v>31</v>
      </c>
      <c r="AR2121" s="507"/>
      <c r="AS2121" s="475"/>
      <c r="AT2121" s="160"/>
    </row>
    <row r="2122" spans="1:46" ht="15" hidden="1" customHeight="1">
      <c r="A2122" s="331">
        <v>2121</v>
      </c>
      <c r="B2122" s="159" t="s">
        <v>169</v>
      </c>
      <c r="C2122" s="159" t="s">
        <v>344</v>
      </c>
      <c r="D2122" s="437" t="s">
        <v>862</v>
      </c>
      <c r="E2122" s="361" t="str">
        <f t="shared" ca="1" si="135"/>
        <v>LOSS</v>
      </c>
      <c r="F2122" s="160"/>
      <c r="G2122" s="159" t="s">
        <v>10349</v>
      </c>
      <c r="H2122" s="160" t="s">
        <v>2748</v>
      </c>
      <c r="I2122" s="160" t="s">
        <v>242</v>
      </c>
      <c r="J2122" s="182" t="s">
        <v>10350</v>
      </c>
      <c r="K2122" s="182" t="s">
        <v>10350</v>
      </c>
      <c r="L2122" s="158"/>
      <c r="M2122" s="158" t="s">
        <v>365</v>
      </c>
      <c r="N2122" s="158" t="s">
        <v>9374</v>
      </c>
      <c r="O2122" s="162"/>
      <c r="P2122" s="161" t="s">
        <v>115</v>
      </c>
      <c r="Q2122" s="161"/>
      <c r="R2122" s="162"/>
      <c r="S2122" s="163">
        <v>18000000</v>
      </c>
      <c r="T2122" s="164"/>
      <c r="U2122" s="340">
        <v>45607</v>
      </c>
      <c r="V2122" s="340">
        <v>45971</v>
      </c>
      <c r="W2122" s="158" t="s">
        <v>17</v>
      </c>
      <c r="X2122" s="158"/>
      <c r="Y2122" s="34">
        <f t="shared" ca="1" si="129"/>
        <v>46290</v>
      </c>
      <c r="Z2122" s="35">
        <f t="shared" ca="1" si="132"/>
        <v>-319</v>
      </c>
      <c r="AA2122" s="27">
        <f t="shared" si="136"/>
        <v>11</v>
      </c>
      <c r="AB2122" s="27">
        <f t="shared" si="134"/>
        <v>2025</v>
      </c>
      <c r="AC2122" s="159">
        <v>4500022097</v>
      </c>
      <c r="AD2122" s="159" t="s">
        <v>10351</v>
      </c>
      <c r="AE2122" s="184" t="s">
        <v>10352</v>
      </c>
      <c r="AF2122" s="201" t="s">
        <v>333</v>
      </c>
      <c r="AG2122" s="160"/>
      <c r="AH2122" s="160"/>
      <c r="AI2122" s="158"/>
      <c r="AJ2122" s="158"/>
      <c r="AK2122" s="158"/>
      <c r="AL2122" s="158"/>
      <c r="AM2122" s="158"/>
      <c r="AN2122" s="158"/>
      <c r="AO2122" s="158"/>
      <c r="AP2122" s="158">
        <v>501</v>
      </c>
      <c r="AQ2122" s="158"/>
      <c r="AR2122" s="507"/>
      <c r="AS2122" s="475"/>
      <c r="AT2122" s="160"/>
    </row>
    <row r="2123" spans="1:46" ht="15" hidden="1" customHeight="1">
      <c r="A2123" s="331">
        <v>2122</v>
      </c>
      <c r="B2123" s="159" t="s">
        <v>169</v>
      </c>
      <c r="C2123" s="159" t="s">
        <v>344</v>
      </c>
      <c r="D2123" s="437" t="s">
        <v>862</v>
      </c>
      <c r="E2123" s="361" t="str">
        <f t="shared" ca="1" si="135"/>
        <v>LOSS</v>
      </c>
      <c r="F2123" s="160"/>
      <c r="G2123" s="159" t="s">
        <v>10349</v>
      </c>
      <c r="H2123" s="160" t="s">
        <v>2748</v>
      </c>
      <c r="I2123" s="160" t="s">
        <v>242</v>
      </c>
      <c r="J2123" s="182" t="s">
        <v>10353</v>
      </c>
      <c r="K2123" s="160"/>
      <c r="L2123" s="158"/>
      <c r="M2123" s="158" t="s">
        <v>365</v>
      </c>
      <c r="N2123" s="158"/>
      <c r="O2123" s="162"/>
      <c r="P2123" s="161" t="s">
        <v>115</v>
      </c>
      <c r="Q2123" s="161"/>
      <c r="R2123" s="162"/>
      <c r="S2123" s="163">
        <v>36000000</v>
      </c>
      <c r="T2123" s="164"/>
      <c r="U2123" s="340">
        <v>45571</v>
      </c>
      <c r="V2123" s="340">
        <v>45935</v>
      </c>
      <c r="W2123" s="158" t="s">
        <v>250</v>
      </c>
      <c r="X2123" s="158"/>
      <c r="Y2123" s="34">
        <f t="shared" ref="Y2123:Y2186" ca="1" si="137">TODAY()</f>
        <v>46290</v>
      </c>
      <c r="Z2123" s="35">
        <f t="shared" ca="1" si="132"/>
        <v>-355</v>
      </c>
      <c r="AA2123" s="27">
        <f t="shared" si="136"/>
        <v>10</v>
      </c>
      <c r="AB2123" s="27">
        <f t="shared" si="134"/>
        <v>2025</v>
      </c>
      <c r="AC2123" s="159">
        <v>4500021816</v>
      </c>
      <c r="AD2123" s="159" t="s">
        <v>10354</v>
      </c>
      <c r="AE2123" s="184" t="s">
        <v>10355</v>
      </c>
      <c r="AF2123" s="201" t="s">
        <v>333</v>
      </c>
      <c r="AG2123" s="160"/>
      <c r="AH2123" s="160"/>
      <c r="AI2123" s="158"/>
      <c r="AJ2123" s="158"/>
      <c r="AK2123" s="158"/>
      <c r="AL2123" s="158"/>
      <c r="AM2123" s="158"/>
      <c r="AN2123" s="158"/>
      <c r="AO2123" s="158"/>
      <c r="AP2123" s="158">
        <v>85</v>
      </c>
      <c r="AQ2123" s="158"/>
      <c r="AR2123" s="507"/>
      <c r="AS2123" s="475"/>
      <c r="AT2123" s="160"/>
    </row>
    <row r="2124" spans="1:46" ht="15" hidden="1" customHeight="1">
      <c r="A2124" s="331">
        <v>2123</v>
      </c>
      <c r="B2124" s="159" t="s">
        <v>10356</v>
      </c>
      <c r="C2124" s="28" t="s">
        <v>2216</v>
      </c>
      <c r="D2124" s="438" t="s">
        <v>862</v>
      </c>
      <c r="E2124" s="361" t="str">
        <f t="shared" ca="1" si="135"/>
        <v>LOSS</v>
      </c>
      <c r="F2124" s="29"/>
      <c r="G2124" s="28" t="s">
        <v>10357</v>
      </c>
      <c r="H2124" s="28" t="s">
        <v>261</v>
      </c>
      <c r="I2124" s="361" t="s">
        <v>243</v>
      </c>
      <c r="J2124" s="28" t="s">
        <v>10358</v>
      </c>
      <c r="K2124" s="38" t="s">
        <v>7211</v>
      </c>
      <c r="L2124" s="27" t="s">
        <v>4749</v>
      </c>
      <c r="M2124" s="27" t="s">
        <v>365</v>
      </c>
      <c r="N2124" s="27" t="s">
        <v>6727</v>
      </c>
      <c r="O2124" s="56"/>
      <c r="P2124" s="31">
        <f>2500000*12</f>
        <v>30000000</v>
      </c>
      <c r="Q2124" s="31"/>
      <c r="R2124" s="56"/>
      <c r="S2124" s="32">
        <f>16850000*12</f>
        <v>202200000</v>
      </c>
      <c r="T2124" s="72"/>
      <c r="U2124" s="334">
        <v>45731</v>
      </c>
      <c r="V2124" s="334">
        <v>46142</v>
      </c>
      <c r="W2124" s="27" t="s">
        <v>250</v>
      </c>
      <c r="X2124" s="27"/>
      <c r="Y2124" s="34">
        <f t="shared" ca="1" si="137"/>
        <v>46290</v>
      </c>
      <c r="Z2124" s="35">
        <f t="shared" ca="1" si="132"/>
        <v>-148</v>
      </c>
      <c r="AA2124" s="27">
        <f t="shared" si="136"/>
        <v>4</v>
      </c>
      <c r="AB2124" s="27">
        <f t="shared" si="134"/>
        <v>2026</v>
      </c>
      <c r="AC2124" s="28" t="s">
        <v>10359</v>
      </c>
      <c r="AD2124" s="28" t="s">
        <v>10360</v>
      </c>
      <c r="AE2124" s="27">
        <v>4500024787</v>
      </c>
      <c r="AF2124" s="27" t="s">
        <v>471</v>
      </c>
      <c r="AG2124" s="160"/>
      <c r="AH2124" s="160"/>
      <c r="AI2124" s="158"/>
      <c r="AJ2124" s="158"/>
      <c r="AK2124" s="158"/>
      <c r="AL2124" s="158"/>
      <c r="AM2124" s="158"/>
      <c r="AN2124" s="158"/>
      <c r="AO2124" s="158"/>
      <c r="AP2124" s="158"/>
      <c r="AQ2124" s="158">
        <v>27</v>
      </c>
      <c r="AR2124" s="507"/>
      <c r="AS2124" s="475" t="s">
        <v>10361</v>
      </c>
      <c r="AT2124" s="160"/>
    </row>
    <row r="2125" spans="1:46" ht="15" hidden="1" customHeight="1">
      <c r="A2125" s="331">
        <v>2124</v>
      </c>
      <c r="B2125" s="159" t="s">
        <v>535</v>
      </c>
      <c r="C2125" s="159" t="s">
        <v>536</v>
      </c>
      <c r="D2125" s="437" t="s">
        <v>10362</v>
      </c>
      <c r="E2125" s="361" t="str">
        <f t="shared" ca="1" si="135"/>
        <v>LOSS</v>
      </c>
      <c r="F2125" s="160" t="s">
        <v>10363</v>
      </c>
      <c r="G2125" s="159" t="s">
        <v>10364</v>
      </c>
      <c r="H2125" s="160" t="s">
        <v>2748</v>
      </c>
      <c r="I2125" s="160" t="s">
        <v>346</v>
      </c>
      <c r="J2125" s="159" t="s">
        <v>1827</v>
      </c>
      <c r="K2125" s="203" t="s">
        <v>10365</v>
      </c>
      <c r="L2125" s="158"/>
      <c r="M2125" s="158" t="s">
        <v>365</v>
      </c>
      <c r="N2125" s="158" t="s">
        <v>354</v>
      </c>
      <c r="O2125" s="162"/>
      <c r="P2125" s="161">
        <f>7000000*12</f>
        <v>84000000</v>
      </c>
      <c r="Q2125" s="161"/>
      <c r="R2125" s="162"/>
      <c r="S2125" s="163">
        <v>52000000</v>
      </c>
      <c r="T2125" s="164"/>
      <c r="U2125" s="334">
        <v>45659</v>
      </c>
      <c r="V2125" s="334">
        <v>46023</v>
      </c>
      <c r="W2125" s="27" t="s">
        <v>245</v>
      </c>
      <c r="X2125" s="158"/>
      <c r="Y2125" s="34">
        <f t="shared" ca="1" si="137"/>
        <v>46290</v>
      </c>
      <c r="Z2125" s="35">
        <f t="shared" ca="1" si="132"/>
        <v>-267</v>
      </c>
      <c r="AA2125" s="27">
        <f t="shared" si="136"/>
        <v>1</v>
      </c>
      <c r="AB2125" s="27">
        <f t="shared" ref="AB2125:AB2156" si="138">YEAR(V2125)</f>
        <v>2026</v>
      </c>
      <c r="AC2125" s="159" t="s">
        <v>10366</v>
      </c>
      <c r="AD2125" s="159"/>
      <c r="AE2125" s="184" t="s">
        <v>10367</v>
      </c>
      <c r="AF2125" s="201" t="s">
        <v>333</v>
      </c>
      <c r="AG2125" s="160"/>
      <c r="AH2125" s="160"/>
      <c r="AI2125" s="158"/>
      <c r="AJ2125" s="158"/>
      <c r="AK2125" s="158"/>
      <c r="AL2125" s="158"/>
      <c r="AM2125" s="158"/>
      <c r="AN2125" s="158"/>
      <c r="AO2125" s="158"/>
      <c r="AP2125" s="158"/>
      <c r="AQ2125" s="158">
        <v>44</v>
      </c>
      <c r="AR2125" s="507"/>
      <c r="AS2125" s="475"/>
      <c r="AT2125" s="160"/>
    </row>
    <row r="2126" spans="1:46" ht="15" hidden="1" customHeight="1">
      <c r="A2126" s="331">
        <v>2125</v>
      </c>
      <c r="B2126" s="159" t="s">
        <v>71</v>
      </c>
      <c r="C2126" s="159" t="s">
        <v>10368</v>
      </c>
      <c r="D2126" s="437" t="s">
        <v>490</v>
      </c>
      <c r="E2126" s="361" t="str">
        <f t="shared" ca="1" si="135"/>
        <v>LOSS</v>
      </c>
      <c r="F2126" s="160" t="s">
        <v>10369</v>
      </c>
      <c r="G2126" s="159" t="s">
        <v>10370</v>
      </c>
      <c r="H2126" s="160" t="s">
        <v>2748</v>
      </c>
      <c r="I2126" s="160" t="s">
        <v>242</v>
      </c>
      <c r="J2126" s="159" t="s">
        <v>10371</v>
      </c>
      <c r="K2126" s="160"/>
      <c r="L2126" s="158"/>
      <c r="M2126" s="158" t="s">
        <v>329</v>
      </c>
      <c r="N2126" s="158" t="s">
        <v>417</v>
      </c>
      <c r="O2126" s="162"/>
      <c r="P2126" s="161">
        <f>4500000*12</f>
        <v>54000000</v>
      </c>
      <c r="Q2126" s="161"/>
      <c r="R2126" s="162"/>
      <c r="S2126" s="163">
        <v>18000000</v>
      </c>
      <c r="T2126" s="164"/>
      <c r="U2126" s="334">
        <v>45683</v>
      </c>
      <c r="V2126" s="334">
        <v>46047</v>
      </c>
      <c r="W2126" s="27" t="s">
        <v>250</v>
      </c>
      <c r="X2126" s="158"/>
      <c r="Y2126" s="34">
        <f t="shared" ca="1" si="137"/>
        <v>46290</v>
      </c>
      <c r="Z2126" s="35">
        <f t="shared" ca="1" si="132"/>
        <v>-243</v>
      </c>
      <c r="AA2126" s="27">
        <f t="shared" si="136"/>
        <v>1</v>
      </c>
      <c r="AB2126" s="27">
        <f t="shared" si="138"/>
        <v>2026</v>
      </c>
      <c r="AC2126" s="159" t="s">
        <v>10372</v>
      </c>
      <c r="AD2126" s="159" t="s">
        <v>10373</v>
      </c>
      <c r="AE2126" s="184" t="s">
        <v>10374</v>
      </c>
      <c r="AF2126" s="201" t="s">
        <v>333</v>
      </c>
      <c r="AG2126" s="160"/>
      <c r="AH2126" s="160"/>
      <c r="AI2126" s="158"/>
      <c r="AJ2126" s="158"/>
      <c r="AK2126" s="158"/>
      <c r="AL2126" s="158"/>
      <c r="AM2126" s="158"/>
      <c r="AN2126" s="158"/>
      <c r="AO2126" s="158"/>
      <c r="AP2126" s="158"/>
      <c r="AQ2126" s="158">
        <v>49</v>
      </c>
      <c r="AR2126" s="507"/>
      <c r="AS2126" s="475"/>
      <c r="AT2126" s="160"/>
    </row>
    <row r="2127" spans="1:46" ht="15" hidden="1" customHeight="1">
      <c r="A2127" s="331">
        <v>2126</v>
      </c>
      <c r="B2127" s="159" t="s">
        <v>71</v>
      </c>
      <c r="C2127" s="159" t="s">
        <v>684</v>
      </c>
      <c r="D2127" s="437" t="s">
        <v>490</v>
      </c>
      <c r="E2127" s="361" t="str">
        <f t="shared" ca="1" si="135"/>
        <v>LOSS</v>
      </c>
      <c r="F2127" s="160" t="s">
        <v>115</v>
      </c>
      <c r="G2127" s="159" t="s">
        <v>10375</v>
      </c>
      <c r="H2127" s="160" t="s">
        <v>2748</v>
      </c>
      <c r="I2127" s="160" t="s">
        <v>242</v>
      </c>
      <c r="J2127" s="159" t="s">
        <v>10376</v>
      </c>
      <c r="K2127" s="160"/>
      <c r="L2127" s="158"/>
      <c r="M2127" s="158" t="s">
        <v>329</v>
      </c>
      <c r="N2127" s="158" t="s">
        <v>9791</v>
      </c>
      <c r="O2127" s="162"/>
      <c r="P2127" s="161" t="s">
        <v>115</v>
      </c>
      <c r="Q2127" s="161"/>
      <c r="R2127" s="162">
        <v>1500000</v>
      </c>
      <c r="S2127" s="163">
        <v>18000000</v>
      </c>
      <c r="T2127" s="164"/>
      <c r="U2127" s="334">
        <v>45688</v>
      </c>
      <c r="V2127" s="334">
        <v>46052</v>
      </c>
      <c r="W2127" s="27" t="s">
        <v>250</v>
      </c>
      <c r="X2127" s="158"/>
      <c r="Y2127" s="34">
        <f t="shared" ca="1" si="137"/>
        <v>46290</v>
      </c>
      <c r="Z2127" s="35">
        <f t="shared" ca="1" si="132"/>
        <v>-238</v>
      </c>
      <c r="AA2127" s="27">
        <f t="shared" si="136"/>
        <v>1</v>
      </c>
      <c r="AB2127" s="27">
        <f t="shared" si="138"/>
        <v>2026</v>
      </c>
      <c r="AC2127" s="159" t="s">
        <v>479</v>
      </c>
      <c r="AD2127" s="182" t="s">
        <v>10377</v>
      </c>
      <c r="AE2127" s="184" t="s">
        <v>10378</v>
      </c>
      <c r="AF2127" s="201" t="s">
        <v>333</v>
      </c>
      <c r="AG2127" s="160"/>
      <c r="AH2127" s="160"/>
      <c r="AI2127" s="158"/>
      <c r="AJ2127" s="158"/>
      <c r="AK2127" s="158"/>
      <c r="AL2127" s="158"/>
      <c r="AM2127" s="158"/>
      <c r="AN2127" s="158"/>
      <c r="AO2127" s="158"/>
      <c r="AP2127" s="158"/>
      <c r="AQ2127" s="158">
        <v>55</v>
      </c>
      <c r="AR2127" s="507"/>
      <c r="AS2127" s="475"/>
      <c r="AT2127" s="160"/>
    </row>
    <row r="2128" spans="1:46" ht="15" hidden="1" customHeight="1">
      <c r="A2128" s="331">
        <v>2127</v>
      </c>
      <c r="B2128" s="159" t="s">
        <v>71</v>
      </c>
      <c r="C2128" s="159" t="s">
        <v>571</v>
      </c>
      <c r="D2128" s="438" t="s">
        <v>490</v>
      </c>
      <c r="E2128" s="361" t="str">
        <f t="shared" ca="1" si="135"/>
        <v>LOSS</v>
      </c>
      <c r="F2128" s="203" t="s">
        <v>3725</v>
      </c>
      <c r="G2128" s="159" t="s">
        <v>10379</v>
      </c>
      <c r="H2128" s="160" t="s">
        <v>2748</v>
      </c>
      <c r="I2128" s="160" t="s">
        <v>242</v>
      </c>
      <c r="J2128" s="182" t="s">
        <v>10380</v>
      </c>
      <c r="K2128" s="160"/>
      <c r="L2128" s="158"/>
      <c r="M2128" s="158" t="s">
        <v>329</v>
      </c>
      <c r="N2128" s="158" t="s">
        <v>417</v>
      </c>
      <c r="O2128" s="162"/>
      <c r="P2128" s="161">
        <f>7000000*12</f>
        <v>84000000</v>
      </c>
      <c r="Q2128" s="161"/>
      <c r="R2128" s="162"/>
      <c r="S2128" s="163">
        <v>36000000</v>
      </c>
      <c r="T2128" s="164"/>
      <c r="U2128" s="334">
        <v>45684</v>
      </c>
      <c r="V2128" s="334">
        <v>46048</v>
      </c>
      <c r="W2128" s="27" t="s">
        <v>250</v>
      </c>
      <c r="X2128" s="158"/>
      <c r="Y2128" s="34">
        <f t="shared" ca="1" si="137"/>
        <v>46290</v>
      </c>
      <c r="Z2128" s="35">
        <f t="shared" ca="1" si="132"/>
        <v>-242</v>
      </c>
      <c r="AA2128" s="27">
        <f t="shared" si="136"/>
        <v>1</v>
      </c>
      <c r="AB2128" s="27">
        <f t="shared" si="138"/>
        <v>2026</v>
      </c>
      <c r="AC2128" s="159">
        <v>4500022244</v>
      </c>
      <c r="AD2128" s="159" t="s">
        <v>10381</v>
      </c>
      <c r="AE2128" s="184" t="s">
        <v>10382</v>
      </c>
      <c r="AF2128" s="201" t="s">
        <v>333</v>
      </c>
      <c r="AG2128" s="160"/>
      <c r="AH2128" s="160"/>
      <c r="AI2128" s="158"/>
      <c r="AJ2128" s="158"/>
      <c r="AK2128" s="158"/>
      <c r="AL2128" s="158"/>
      <c r="AM2128" s="158"/>
      <c r="AN2128" s="158"/>
      <c r="AO2128" s="158"/>
      <c r="AP2128" s="158"/>
      <c r="AQ2128" s="158">
        <v>56</v>
      </c>
      <c r="AR2128" s="507"/>
      <c r="AS2128" s="475"/>
      <c r="AT2128" s="160"/>
    </row>
    <row r="2129" spans="1:46" ht="15" hidden="1" customHeight="1">
      <c r="A2129" s="331">
        <v>2128</v>
      </c>
      <c r="B2129" s="159" t="s">
        <v>71</v>
      </c>
      <c r="C2129" s="159" t="s">
        <v>2451</v>
      </c>
      <c r="D2129" s="437" t="s">
        <v>490</v>
      </c>
      <c r="E2129" s="361" t="str">
        <f t="shared" ca="1" si="135"/>
        <v>LOSS</v>
      </c>
      <c r="F2129" s="203" t="s">
        <v>9807</v>
      </c>
      <c r="G2129" s="159" t="s">
        <v>9806</v>
      </c>
      <c r="H2129" s="160" t="s">
        <v>2748</v>
      </c>
      <c r="I2129" s="160" t="s">
        <v>242</v>
      </c>
      <c r="J2129" s="159" t="s">
        <v>115</v>
      </c>
      <c r="K2129" s="218" t="s">
        <v>10383</v>
      </c>
      <c r="L2129" s="158"/>
      <c r="M2129" s="158" t="s">
        <v>365</v>
      </c>
      <c r="N2129" s="158" t="s">
        <v>354</v>
      </c>
      <c r="O2129" s="162"/>
      <c r="P2129" s="161">
        <f>10000000*12</f>
        <v>120000000</v>
      </c>
      <c r="Q2129" s="161"/>
      <c r="R2129" s="162"/>
      <c r="S2129" s="163">
        <v>18000000</v>
      </c>
      <c r="T2129" s="164"/>
      <c r="U2129" s="334">
        <v>45696</v>
      </c>
      <c r="V2129" s="334">
        <v>46060</v>
      </c>
      <c r="W2129" s="27" t="s">
        <v>250</v>
      </c>
      <c r="X2129" s="158"/>
      <c r="Y2129" s="34">
        <f t="shared" ca="1" si="137"/>
        <v>46290</v>
      </c>
      <c r="Z2129" s="35">
        <f t="shared" ca="1" si="132"/>
        <v>-230</v>
      </c>
      <c r="AA2129" s="27">
        <f t="shared" si="136"/>
        <v>2</v>
      </c>
      <c r="AB2129" s="27">
        <f t="shared" si="138"/>
        <v>2026</v>
      </c>
      <c r="AC2129" s="159" t="s">
        <v>10384</v>
      </c>
      <c r="AD2129" s="159" t="s">
        <v>10385</v>
      </c>
      <c r="AE2129" s="184" t="s">
        <v>10386</v>
      </c>
      <c r="AF2129" s="201" t="s">
        <v>333</v>
      </c>
      <c r="AG2129" s="160"/>
      <c r="AH2129" s="160"/>
      <c r="AI2129" s="158"/>
      <c r="AJ2129" s="158"/>
      <c r="AK2129" s="158"/>
      <c r="AL2129" s="158"/>
      <c r="AM2129" s="158"/>
      <c r="AN2129" s="158"/>
      <c r="AO2129" s="158"/>
      <c r="AP2129" s="158"/>
      <c r="AQ2129" s="158">
        <v>60</v>
      </c>
      <c r="AR2129" s="507"/>
      <c r="AS2129" s="475"/>
      <c r="AT2129" s="160"/>
    </row>
    <row r="2130" spans="1:46" ht="15" hidden="1" customHeight="1">
      <c r="A2130" s="331">
        <v>2129</v>
      </c>
      <c r="B2130" s="159" t="s">
        <v>71</v>
      </c>
      <c r="C2130" s="159" t="s">
        <v>3921</v>
      </c>
      <c r="D2130" s="438" t="s">
        <v>490</v>
      </c>
      <c r="E2130" s="361" t="str">
        <f t="shared" ca="1" si="135"/>
        <v>LOSS</v>
      </c>
      <c r="F2130" s="203" t="s">
        <v>10387</v>
      </c>
      <c r="G2130" s="159" t="s">
        <v>10388</v>
      </c>
      <c r="H2130" s="160" t="s">
        <v>2748</v>
      </c>
      <c r="I2130" s="160" t="s">
        <v>242</v>
      </c>
      <c r="J2130" s="159" t="s">
        <v>89</v>
      </c>
      <c r="K2130" s="181" t="s">
        <v>10389</v>
      </c>
      <c r="L2130" s="158"/>
      <c r="M2130" s="158" t="s">
        <v>9506</v>
      </c>
      <c r="N2130" s="158" t="s">
        <v>494</v>
      </c>
      <c r="O2130" s="162"/>
      <c r="P2130" s="161">
        <f>3000000*12</f>
        <v>36000000</v>
      </c>
      <c r="Q2130" s="161"/>
      <c r="R2130" s="162"/>
      <c r="S2130" s="163">
        <v>24000000</v>
      </c>
      <c r="T2130" s="164"/>
      <c r="U2130" s="334">
        <v>45698</v>
      </c>
      <c r="V2130" s="334">
        <v>46062</v>
      </c>
      <c r="W2130" s="27" t="s">
        <v>250</v>
      </c>
      <c r="X2130" s="158"/>
      <c r="Y2130" s="34">
        <f t="shared" ca="1" si="137"/>
        <v>46290</v>
      </c>
      <c r="Z2130" s="35">
        <f t="shared" ca="1" si="132"/>
        <v>-228</v>
      </c>
      <c r="AA2130" s="27">
        <f t="shared" si="136"/>
        <v>2</v>
      </c>
      <c r="AB2130" s="27">
        <f t="shared" si="138"/>
        <v>2026</v>
      </c>
      <c r="AC2130" s="159" t="s">
        <v>10390</v>
      </c>
      <c r="AD2130" s="159" t="s">
        <v>10391</v>
      </c>
      <c r="AE2130" s="184" t="s">
        <v>10392</v>
      </c>
      <c r="AF2130" s="201" t="s">
        <v>333</v>
      </c>
      <c r="AG2130" s="160"/>
      <c r="AH2130" s="160"/>
      <c r="AI2130" s="158"/>
      <c r="AJ2130" s="158"/>
      <c r="AK2130" s="158"/>
      <c r="AL2130" s="158"/>
      <c r="AM2130" s="158"/>
      <c r="AN2130" s="158"/>
      <c r="AO2130" s="158"/>
      <c r="AP2130" s="158"/>
      <c r="AQ2130" s="158">
        <v>61</v>
      </c>
      <c r="AR2130" s="507"/>
      <c r="AS2130" s="475"/>
      <c r="AT2130" s="160"/>
    </row>
    <row r="2131" spans="1:46" ht="15" hidden="1" customHeight="1">
      <c r="A2131" s="331">
        <v>2130</v>
      </c>
      <c r="B2131" s="159" t="s">
        <v>71</v>
      </c>
      <c r="C2131" s="159" t="s">
        <v>10393</v>
      </c>
      <c r="D2131" s="437" t="s">
        <v>490</v>
      </c>
      <c r="E2131" s="361" t="str">
        <f t="shared" ca="1" si="135"/>
        <v>LOSS</v>
      </c>
      <c r="F2131" s="160" t="s">
        <v>10394</v>
      </c>
      <c r="G2131" s="159" t="s">
        <v>10395</v>
      </c>
      <c r="H2131" s="160" t="s">
        <v>2748</v>
      </c>
      <c r="I2131" s="160" t="s">
        <v>242</v>
      </c>
      <c r="J2131" s="159" t="s">
        <v>10396</v>
      </c>
      <c r="K2131" s="219">
        <v>110120202305</v>
      </c>
      <c r="L2131" s="158"/>
      <c r="M2131" s="158" t="s">
        <v>365</v>
      </c>
      <c r="N2131" s="158" t="s">
        <v>6885</v>
      </c>
      <c r="O2131" s="162"/>
      <c r="P2131" s="161">
        <f>3250000*12</f>
        <v>39000000</v>
      </c>
      <c r="Q2131" s="161"/>
      <c r="R2131" s="162"/>
      <c r="S2131" s="163">
        <v>18000000</v>
      </c>
      <c r="T2131" s="164"/>
      <c r="U2131" s="334">
        <v>45735</v>
      </c>
      <c r="V2131" s="334">
        <v>46099</v>
      </c>
      <c r="W2131" s="27" t="s">
        <v>250</v>
      </c>
      <c r="X2131" s="158"/>
      <c r="Y2131" s="34">
        <f t="shared" ca="1" si="137"/>
        <v>46290</v>
      </c>
      <c r="Z2131" s="35">
        <f t="shared" ca="1" si="132"/>
        <v>-191</v>
      </c>
      <c r="AA2131" s="27">
        <f t="shared" si="136"/>
        <v>3</v>
      </c>
      <c r="AB2131" s="27">
        <f t="shared" si="138"/>
        <v>2026</v>
      </c>
      <c r="AC2131" s="159" t="s">
        <v>10397</v>
      </c>
      <c r="AD2131" s="159" t="s">
        <v>10398</v>
      </c>
      <c r="AE2131" s="184" t="s">
        <v>10399</v>
      </c>
      <c r="AF2131" s="201" t="s">
        <v>333</v>
      </c>
      <c r="AG2131" s="160"/>
      <c r="AH2131" s="160"/>
      <c r="AI2131" s="158"/>
      <c r="AJ2131" s="158"/>
      <c r="AK2131" s="158"/>
      <c r="AL2131" s="158"/>
      <c r="AM2131" s="158"/>
      <c r="AN2131" s="158"/>
      <c r="AO2131" s="158"/>
      <c r="AP2131" s="158"/>
      <c r="AQ2131" s="158">
        <v>69</v>
      </c>
      <c r="AR2131" s="507"/>
      <c r="AS2131" s="475"/>
      <c r="AT2131" s="160"/>
    </row>
    <row r="2132" spans="1:46" ht="15" hidden="1" customHeight="1">
      <c r="A2132" s="331">
        <v>2131</v>
      </c>
      <c r="B2132" s="159" t="s">
        <v>182</v>
      </c>
      <c r="C2132" s="28" t="s">
        <v>6048</v>
      </c>
      <c r="D2132" s="438" t="s">
        <v>490</v>
      </c>
      <c r="E2132" s="361" t="str">
        <f t="shared" ca="1" si="135"/>
        <v>LOSS</v>
      </c>
      <c r="F2132" s="160" t="s">
        <v>10400</v>
      </c>
      <c r="G2132" s="159" t="s">
        <v>10401</v>
      </c>
      <c r="H2132" s="160" t="s">
        <v>2748</v>
      </c>
      <c r="I2132" s="160" t="s">
        <v>346</v>
      </c>
      <c r="J2132" s="205" t="s">
        <v>10402</v>
      </c>
      <c r="K2132" s="181" t="s">
        <v>10403</v>
      </c>
      <c r="L2132" s="158"/>
      <c r="M2132" s="190" t="s">
        <v>10404</v>
      </c>
      <c r="N2132" s="158" t="s">
        <v>8337</v>
      </c>
      <c r="O2132" s="162"/>
      <c r="P2132" s="161">
        <v>15855856</v>
      </c>
      <c r="Q2132" s="161"/>
      <c r="R2132" s="162"/>
      <c r="S2132" s="163">
        <v>21000000</v>
      </c>
      <c r="T2132" s="164"/>
      <c r="U2132" s="334">
        <v>45658</v>
      </c>
      <c r="V2132" s="334">
        <v>46022</v>
      </c>
      <c r="W2132" s="27" t="s">
        <v>250</v>
      </c>
      <c r="X2132" s="158"/>
      <c r="Y2132" s="34">
        <f t="shared" ca="1" si="137"/>
        <v>46290</v>
      </c>
      <c r="Z2132" s="35">
        <f t="shared" ca="1" si="132"/>
        <v>-268</v>
      </c>
      <c r="AA2132" s="27">
        <f t="shared" si="136"/>
        <v>12</v>
      </c>
      <c r="AB2132" s="27">
        <f t="shared" si="138"/>
        <v>2025</v>
      </c>
      <c r="AC2132" s="159">
        <v>4500022118</v>
      </c>
      <c r="AD2132" s="159" t="s">
        <v>10405</v>
      </c>
      <c r="AE2132" s="184" t="s">
        <v>10406</v>
      </c>
      <c r="AF2132" s="201" t="s">
        <v>333</v>
      </c>
      <c r="AG2132" s="160"/>
      <c r="AH2132" s="160"/>
      <c r="AI2132" s="158"/>
      <c r="AJ2132" s="158"/>
      <c r="AK2132" s="158"/>
      <c r="AL2132" s="158"/>
      <c r="AM2132" s="158"/>
      <c r="AN2132" s="158"/>
      <c r="AO2132" s="158"/>
      <c r="AP2132" s="158"/>
      <c r="AQ2132" s="158">
        <v>53</v>
      </c>
      <c r="AR2132" s="507"/>
      <c r="AS2132" s="475"/>
      <c r="AT2132" s="160"/>
    </row>
    <row r="2133" spans="1:46" ht="15" hidden="1" customHeight="1">
      <c r="A2133" s="331">
        <v>2132</v>
      </c>
      <c r="B2133" s="159" t="s">
        <v>182</v>
      </c>
      <c r="C2133" s="159" t="s">
        <v>6038</v>
      </c>
      <c r="D2133" s="437" t="s">
        <v>6032</v>
      </c>
      <c r="E2133" s="361" t="str">
        <f t="shared" ca="1" si="135"/>
        <v>LOSS</v>
      </c>
      <c r="F2133" s="160"/>
      <c r="G2133" s="159" t="s">
        <v>10407</v>
      </c>
      <c r="H2133" s="160" t="s">
        <v>2748</v>
      </c>
      <c r="I2133" s="160" t="s">
        <v>346</v>
      </c>
      <c r="J2133" s="159" t="s">
        <v>115</v>
      </c>
      <c r="K2133" s="218" t="s">
        <v>10408</v>
      </c>
      <c r="L2133" s="158"/>
      <c r="M2133" s="158" t="s">
        <v>353</v>
      </c>
      <c r="N2133" s="158" t="s">
        <v>468</v>
      </c>
      <c r="O2133" s="162"/>
      <c r="P2133" s="161">
        <f>3500000*12</f>
        <v>42000000</v>
      </c>
      <c r="Q2133" s="161"/>
      <c r="R2133" s="162"/>
      <c r="S2133" s="163">
        <v>10500000</v>
      </c>
      <c r="T2133" s="164"/>
      <c r="U2133" s="334">
        <v>45758</v>
      </c>
      <c r="V2133" s="334">
        <v>46122</v>
      </c>
      <c r="W2133" s="27" t="s">
        <v>250</v>
      </c>
      <c r="X2133" s="158"/>
      <c r="Y2133" s="34">
        <f t="shared" ca="1" si="137"/>
        <v>46290</v>
      </c>
      <c r="Z2133" s="35">
        <f t="shared" ca="1" si="132"/>
        <v>-168</v>
      </c>
      <c r="AA2133" s="27">
        <f t="shared" si="136"/>
        <v>4</v>
      </c>
      <c r="AB2133" s="27">
        <f t="shared" si="138"/>
        <v>2026</v>
      </c>
      <c r="AC2133" s="159">
        <v>4500022612</v>
      </c>
      <c r="AD2133" s="159" t="s">
        <v>10409</v>
      </c>
      <c r="AE2133" s="184" t="s">
        <v>10410</v>
      </c>
      <c r="AF2133" s="201" t="s">
        <v>333</v>
      </c>
      <c r="AG2133" s="160"/>
      <c r="AH2133" s="160"/>
      <c r="AI2133" s="158"/>
      <c r="AJ2133" s="158"/>
      <c r="AK2133" s="158"/>
      <c r="AL2133" s="158"/>
      <c r="AM2133" s="158"/>
      <c r="AN2133" s="158"/>
      <c r="AO2133" s="158"/>
      <c r="AP2133" s="158"/>
      <c r="AQ2133" s="158">
        <v>71</v>
      </c>
      <c r="AR2133" s="507"/>
      <c r="AS2133" s="475"/>
      <c r="AT2133" s="160"/>
    </row>
    <row r="2134" spans="1:46" ht="15" hidden="1" customHeight="1">
      <c r="A2134" s="331">
        <v>2133</v>
      </c>
      <c r="B2134" s="159" t="s">
        <v>450</v>
      </c>
      <c r="C2134" s="159" t="s">
        <v>451</v>
      </c>
      <c r="D2134" s="437" t="s">
        <v>452</v>
      </c>
      <c r="E2134" s="361" t="str">
        <f t="shared" ca="1" si="135"/>
        <v>LOSS</v>
      </c>
      <c r="F2134" s="160" t="s">
        <v>453</v>
      </c>
      <c r="G2134" s="159" t="s">
        <v>454</v>
      </c>
      <c r="H2134" s="160" t="s">
        <v>2748</v>
      </c>
      <c r="I2134" s="29" t="s">
        <v>346</v>
      </c>
      <c r="J2134" s="205" t="s">
        <v>455</v>
      </c>
      <c r="K2134" s="160"/>
      <c r="L2134" s="158"/>
      <c r="M2134" s="158" t="s">
        <v>329</v>
      </c>
      <c r="N2134" s="158" t="s">
        <v>417</v>
      </c>
      <c r="O2134" s="162"/>
      <c r="P2134" s="161">
        <f>3000000*12</f>
        <v>36000000</v>
      </c>
      <c r="Q2134" s="161"/>
      <c r="R2134" s="162"/>
      <c r="S2134" s="32">
        <v>2500000</v>
      </c>
      <c r="T2134" s="164"/>
      <c r="U2134" s="334">
        <v>45675</v>
      </c>
      <c r="V2134" s="334">
        <v>46039</v>
      </c>
      <c r="W2134" s="27" t="s">
        <v>250</v>
      </c>
      <c r="X2134" s="158"/>
      <c r="Y2134" s="34">
        <f t="shared" ca="1" si="137"/>
        <v>46290</v>
      </c>
      <c r="Z2134" s="35">
        <f t="shared" ca="1" si="132"/>
        <v>-251</v>
      </c>
      <c r="AA2134" s="27">
        <f t="shared" si="136"/>
        <v>1</v>
      </c>
      <c r="AB2134" s="27">
        <f t="shared" si="138"/>
        <v>2026</v>
      </c>
      <c r="AC2134" s="159" t="s">
        <v>456</v>
      </c>
      <c r="AD2134" s="159" t="s">
        <v>457</v>
      </c>
      <c r="AE2134" s="184" t="s">
        <v>458</v>
      </c>
      <c r="AF2134" s="201" t="s">
        <v>333</v>
      </c>
      <c r="AG2134" s="160"/>
      <c r="AH2134" s="160"/>
      <c r="AI2134" s="158"/>
      <c r="AJ2134" s="158"/>
      <c r="AK2134" s="158"/>
      <c r="AL2134" s="158"/>
      <c r="AM2134" s="158"/>
      <c r="AN2134" s="158"/>
      <c r="AO2134" s="158"/>
      <c r="AP2134" s="158"/>
      <c r="AQ2134" s="158">
        <v>46</v>
      </c>
      <c r="AR2134" s="507"/>
      <c r="AS2134" s="475"/>
      <c r="AT2134" s="160"/>
    </row>
    <row r="2135" spans="1:46" ht="15" hidden="1" customHeight="1">
      <c r="A2135" s="331">
        <v>2134</v>
      </c>
      <c r="B2135" s="159" t="s">
        <v>450</v>
      </c>
      <c r="C2135" s="159" t="s">
        <v>889</v>
      </c>
      <c r="D2135" s="437" t="s">
        <v>452</v>
      </c>
      <c r="E2135" s="361" t="str">
        <f t="shared" ca="1" si="135"/>
        <v>LOSS</v>
      </c>
      <c r="F2135" s="203" t="s">
        <v>10411</v>
      </c>
      <c r="G2135" s="159" t="s">
        <v>10412</v>
      </c>
      <c r="H2135" s="160" t="s">
        <v>2748</v>
      </c>
      <c r="I2135" s="160" t="s">
        <v>242</v>
      </c>
      <c r="J2135" s="205" t="s">
        <v>890</v>
      </c>
      <c r="K2135" s="160"/>
      <c r="L2135" s="158"/>
      <c r="M2135" s="158" t="s">
        <v>365</v>
      </c>
      <c r="N2135" s="158" t="s">
        <v>6885</v>
      </c>
      <c r="O2135" s="162"/>
      <c r="P2135" s="161">
        <f>3600000*12</f>
        <v>43200000</v>
      </c>
      <c r="Q2135" s="161"/>
      <c r="R2135" s="162"/>
      <c r="S2135" s="163">
        <v>12000000</v>
      </c>
      <c r="T2135" s="164"/>
      <c r="U2135" s="334">
        <v>45698</v>
      </c>
      <c r="V2135" s="334">
        <v>46062</v>
      </c>
      <c r="W2135" s="27" t="s">
        <v>250</v>
      </c>
      <c r="X2135" s="158"/>
      <c r="Y2135" s="34">
        <f t="shared" ca="1" si="137"/>
        <v>46290</v>
      </c>
      <c r="Z2135" s="35">
        <f t="shared" ca="1" si="132"/>
        <v>-228</v>
      </c>
      <c r="AA2135" s="27">
        <f t="shared" si="136"/>
        <v>2</v>
      </c>
      <c r="AB2135" s="27">
        <f t="shared" si="138"/>
        <v>2026</v>
      </c>
      <c r="AC2135" s="159">
        <v>4500022246</v>
      </c>
      <c r="AD2135" s="159" t="s">
        <v>10413</v>
      </c>
      <c r="AE2135" s="184" t="s">
        <v>10414</v>
      </c>
      <c r="AF2135" s="201" t="s">
        <v>333</v>
      </c>
      <c r="AG2135" s="160"/>
      <c r="AH2135" s="160"/>
      <c r="AI2135" s="158"/>
      <c r="AJ2135" s="158"/>
      <c r="AK2135" s="158"/>
      <c r="AL2135" s="158"/>
      <c r="AM2135" s="158"/>
      <c r="AN2135" s="158"/>
      <c r="AO2135" s="158"/>
      <c r="AP2135" s="158"/>
      <c r="AQ2135" s="158">
        <v>65</v>
      </c>
      <c r="AR2135" s="507"/>
      <c r="AS2135" s="475"/>
      <c r="AT2135" s="160"/>
    </row>
    <row r="2136" spans="1:46" ht="15" hidden="1" customHeight="1">
      <c r="A2136" s="331">
        <v>2135</v>
      </c>
      <c r="B2136" s="159" t="s">
        <v>903</v>
      </c>
      <c r="C2136" s="159" t="s">
        <v>8923</v>
      </c>
      <c r="D2136" s="438" t="s">
        <v>452</v>
      </c>
      <c r="E2136" s="361" t="str">
        <f t="shared" ca="1" si="135"/>
        <v>LOSS</v>
      </c>
      <c r="F2136" s="160" t="s">
        <v>10415</v>
      </c>
      <c r="G2136" s="159" t="s">
        <v>10416</v>
      </c>
      <c r="H2136" s="160" t="s">
        <v>2748</v>
      </c>
      <c r="I2136" s="160" t="s">
        <v>242</v>
      </c>
      <c r="J2136" s="205" t="s">
        <v>10417</v>
      </c>
      <c r="K2136" s="160"/>
      <c r="L2136" s="158"/>
      <c r="M2136" s="158" t="s">
        <v>353</v>
      </c>
      <c r="N2136" s="158" t="s">
        <v>6897</v>
      </c>
      <c r="O2136" s="162">
        <v>5000000</v>
      </c>
      <c r="P2136" s="161">
        <f>2422000*12</f>
        <v>29064000</v>
      </c>
      <c r="Q2136" s="161"/>
      <c r="R2136" s="162"/>
      <c r="S2136" s="163">
        <v>18000000</v>
      </c>
      <c r="T2136" s="164"/>
      <c r="U2136" s="334">
        <v>45659</v>
      </c>
      <c r="V2136" s="334">
        <v>46023</v>
      </c>
      <c r="W2136" s="27" t="s">
        <v>250</v>
      </c>
      <c r="X2136" s="158"/>
      <c r="Y2136" s="34">
        <f t="shared" ca="1" si="137"/>
        <v>46290</v>
      </c>
      <c r="Z2136" s="35">
        <f t="shared" ref="Z2136:Z2199" ca="1" si="139">V2136-Y2136</f>
        <v>-267</v>
      </c>
      <c r="AA2136" s="27">
        <f t="shared" si="136"/>
        <v>1</v>
      </c>
      <c r="AB2136" s="27">
        <f t="shared" si="138"/>
        <v>2026</v>
      </c>
      <c r="AC2136" s="159" t="s">
        <v>3371</v>
      </c>
      <c r="AD2136" s="159" t="s">
        <v>10418</v>
      </c>
      <c r="AE2136" s="184" t="s">
        <v>10419</v>
      </c>
      <c r="AF2136" s="201" t="s">
        <v>333</v>
      </c>
      <c r="AG2136" s="160"/>
      <c r="AH2136" s="160"/>
      <c r="AI2136" s="158"/>
      <c r="AJ2136" s="158"/>
      <c r="AK2136" s="158"/>
      <c r="AL2136" s="158"/>
      <c r="AM2136" s="158"/>
      <c r="AN2136" s="158"/>
      <c r="AO2136" s="158"/>
      <c r="AP2136" s="158"/>
      <c r="AQ2136" s="158">
        <v>43</v>
      </c>
      <c r="AR2136" s="507"/>
      <c r="AS2136" s="475"/>
      <c r="AT2136" s="160"/>
    </row>
    <row r="2137" spans="1:46" ht="15" hidden="1" customHeight="1">
      <c r="A2137" s="331">
        <v>2136</v>
      </c>
      <c r="B2137" s="159" t="s">
        <v>903</v>
      </c>
      <c r="C2137" s="159" t="s">
        <v>2451</v>
      </c>
      <c r="D2137" s="437" t="s">
        <v>7496</v>
      </c>
      <c r="E2137" s="361" t="str">
        <f t="shared" ca="1" si="135"/>
        <v>LOSS</v>
      </c>
      <c r="F2137" s="203" t="s">
        <v>10420</v>
      </c>
      <c r="G2137" s="159" t="s">
        <v>9806</v>
      </c>
      <c r="H2137" s="160" t="s">
        <v>2748</v>
      </c>
      <c r="I2137" s="160" t="s">
        <v>242</v>
      </c>
      <c r="J2137" s="205" t="s">
        <v>212</v>
      </c>
      <c r="K2137" s="160"/>
      <c r="L2137" s="158"/>
      <c r="M2137" s="158" t="s">
        <v>365</v>
      </c>
      <c r="N2137" s="158"/>
      <c r="O2137" s="162"/>
      <c r="P2137" s="163">
        <f>3214000*12</f>
        <v>38568000</v>
      </c>
      <c r="Q2137" s="161"/>
      <c r="R2137" s="162"/>
      <c r="S2137" s="163">
        <v>12000000</v>
      </c>
      <c r="T2137" s="164"/>
      <c r="U2137" s="334">
        <v>45689</v>
      </c>
      <c r="V2137" s="334">
        <v>46053</v>
      </c>
      <c r="W2137" s="27" t="s">
        <v>250</v>
      </c>
      <c r="X2137" s="158"/>
      <c r="Y2137" s="34">
        <f t="shared" ca="1" si="137"/>
        <v>46290</v>
      </c>
      <c r="Z2137" s="35">
        <f t="shared" ca="1" si="139"/>
        <v>-237</v>
      </c>
      <c r="AA2137" s="27">
        <f t="shared" si="136"/>
        <v>1</v>
      </c>
      <c r="AB2137" s="27">
        <f t="shared" si="138"/>
        <v>2026</v>
      </c>
      <c r="AC2137" s="159">
        <v>4500022313</v>
      </c>
      <c r="AD2137" s="159" t="s">
        <v>10421</v>
      </c>
      <c r="AE2137" s="184" t="s">
        <v>10422</v>
      </c>
      <c r="AF2137" s="201" t="s">
        <v>333</v>
      </c>
      <c r="AG2137" s="160"/>
      <c r="AH2137" s="160"/>
      <c r="AI2137" s="158"/>
      <c r="AJ2137" s="158"/>
      <c r="AK2137" s="158"/>
      <c r="AL2137" s="158"/>
      <c r="AM2137" s="158"/>
      <c r="AN2137" s="158"/>
      <c r="AO2137" s="158"/>
      <c r="AP2137" s="158"/>
      <c r="AQ2137" s="158">
        <v>73</v>
      </c>
      <c r="AR2137" s="507"/>
      <c r="AS2137" s="475"/>
      <c r="AT2137" s="160"/>
    </row>
    <row r="2138" spans="1:46" ht="15" hidden="1" customHeight="1">
      <c r="A2138" s="331">
        <v>2137</v>
      </c>
      <c r="B2138" s="159" t="s">
        <v>440</v>
      </c>
      <c r="C2138" s="182" t="s">
        <v>10423</v>
      </c>
      <c r="D2138" s="437" t="s">
        <v>442</v>
      </c>
      <c r="E2138" s="361" t="str">
        <f t="shared" ca="1" si="135"/>
        <v>LOSS</v>
      </c>
      <c r="F2138" s="160" t="s">
        <v>10424</v>
      </c>
      <c r="G2138" s="159"/>
      <c r="H2138" s="160" t="s">
        <v>2748</v>
      </c>
      <c r="I2138" s="160" t="s">
        <v>346</v>
      </c>
      <c r="J2138" s="182" t="s">
        <v>10425</v>
      </c>
      <c r="K2138" s="218" t="s">
        <v>10426</v>
      </c>
      <c r="L2138" s="158"/>
      <c r="M2138" s="158" t="s">
        <v>365</v>
      </c>
      <c r="N2138" s="158"/>
      <c r="O2138" s="162"/>
      <c r="P2138" s="161">
        <f>32700000*12</f>
        <v>392400000</v>
      </c>
      <c r="Q2138" s="161"/>
      <c r="R2138" s="162"/>
      <c r="S2138" s="163">
        <v>24000000</v>
      </c>
      <c r="T2138" s="164"/>
      <c r="U2138" s="334">
        <v>45684</v>
      </c>
      <c r="V2138" s="334">
        <v>46048</v>
      </c>
      <c r="W2138" s="27" t="s">
        <v>250</v>
      </c>
      <c r="X2138" s="158"/>
      <c r="Y2138" s="34">
        <f t="shared" ca="1" si="137"/>
        <v>46290</v>
      </c>
      <c r="Z2138" s="35">
        <f t="shared" ca="1" si="139"/>
        <v>-242</v>
      </c>
      <c r="AA2138" s="27">
        <f t="shared" si="136"/>
        <v>1</v>
      </c>
      <c r="AB2138" s="27">
        <f t="shared" si="138"/>
        <v>2026</v>
      </c>
      <c r="AC2138" s="159">
        <v>4500022116</v>
      </c>
      <c r="AD2138" s="182" t="s">
        <v>10427</v>
      </c>
      <c r="AE2138" s="184" t="s">
        <v>10428</v>
      </c>
      <c r="AF2138" s="201" t="s">
        <v>333</v>
      </c>
      <c r="AG2138" s="160"/>
      <c r="AH2138" s="160"/>
      <c r="AI2138" s="158"/>
      <c r="AJ2138" s="158"/>
      <c r="AK2138" s="158"/>
      <c r="AL2138" s="158"/>
      <c r="AM2138" s="158"/>
      <c r="AN2138" s="158"/>
      <c r="AO2138" s="158"/>
      <c r="AP2138" s="158"/>
      <c r="AQ2138" s="158">
        <v>47</v>
      </c>
      <c r="AR2138" s="507"/>
      <c r="AS2138" s="475"/>
      <c r="AT2138" s="160"/>
    </row>
    <row r="2139" spans="1:46" ht="15" hidden="1" customHeight="1">
      <c r="A2139" s="331">
        <v>2138</v>
      </c>
      <c r="B2139" s="159" t="s">
        <v>440</v>
      </c>
      <c r="C2139" s="182" t="s">
        <v>441</v>
      </c>
      <c r="D2139" s="437" t="s">
        <v>442</v>
      </c>
      <c r="E2139" s="361" t="str">
        <f t="shared" ca="1" si="135"/>
        <v>LOSS</v>
      </c>
      <c r="F2139" s="203" t="s">
        <v>443</v>
      </c>
      <c r="G2139" s="159" t="s">
        <v>444</v>
      </c>
      <c r="H2139" s="160" t="s">
        <v>2748</v>
      </c>
      <c r="I2139" s="160" t="s">
        <v>346</v>
      </c>
      <c r="J2139" s="182" t="s">
        <v>445</v>
      </c>
      <c r="K2139" s="160"/>
      <c r="L2139" s="158"/>
      <c r="M2139" s="158" t="s">
        <v>365</v>
      </c>
      <c r="N2139" s="158" t="s">
        <v>354</v>
      </c>
      <c r="O2139" s="162"/>
      <c r="P2139" s="161">
        <f>19250000*12</f>
        <v>231000000</v>
      </c>
      <c r="Q2139" s="161"/>
      <c r="R2139" s="162"/>
      <c r="S2139" s="163">
        <v>12000000</v>
      </c>
      <c r="T2139" s="164"/>
      <c r="U2139" s="334">
        <v>45669</v>
      </c>
      <c r="V2139" s="334">
        <v>46033</v>
      </c>
      <c r="W2139" s="27" t="s">
        <v>250</v>
      </c>
      <c r="X2139" s="158"/>
      <c r="Y2139" s="34">
        <f t="shared" ca="1" si="137"/>
        <v>46290</v>
      </c>
      <c r="Z2139" s="35">
        <f t="shared" ca="1" si="139"/>
        <v>-257</v>
      </c>
      <c r="AA2139" s="27">
        <f t="shared" si="136"/>
        <v>1</v>
      </c>
      <c r="AB2139" s="27">
        <f t="shared" si="138"/>
        <v>2026</v>
      </c>
      <c r="AC2139" s="159" t="s">
        <v>446</v>
      </c>
      <c r="AD2139" s="159" t="s">
        <v>447</v>
      </c>
      <c r="AE2139" s="184" t="s">
        <v>448</v>
      </c>
      <c r="AF2139" s="201" t="s">
        <v>333</v>
      </c>
      <c r="AG2139" s="160"/>
      <c r="AH2139" s="160"/>
      <c r="AI2139" s="158"/>
      <c r="AJ2139" s="158"/>
      <c r="AK2139" s="158"/>
      <c r="AL2139" s="158"/>
      <c r="AM2139" s="158"/>
      <c r="AN2139" s="158"/>
      <c r="AO2139" s="158"/>
      <c r="AP2139" s="158"/>
      <c r="AQ2139" s="158">
        <v>50</v>
      </c>
      <c r="AR2139" s="507"/>
      <c r="AS2139" s="475"/>
      <c r="AT2139" s="160"/>
    </row>
    <row r="2140" spans="1:46" ht="15" hidden="1" customHeight="1">
      <c r="A2140" s="331">
        <v>2139</v>
      </c>
      <c r="B2140" s="159" t="s">
        <v>542</v>
      </c>
      <c r="C2140" s="182" t="s">
        <v>10429</v>
      </c>
      <c r="D2140" s="438" t="s">
        <v>442</v>
      </c>
      <c r="E2140" s="361" t="str">
        <f t="shared" ca="1" si="135"/>
        <v>LOSS</v>
      </c>
      <c r="F2140" s="203" t="s">
        <v>10430</v>
      </c>
      <c r="G2140" s="159" t="s">
        <v>3387</v>
      </c>
      <c r="H2140" s="160" t="s">
        <v>2748</v>
      </c>
      <c r="I2140" s="160" t="s">
        <v>346</v>
      </c>
      <c r="J2140" s="216" t="s">
        <v>10431</v>
      </c>
      <c r="K2140" s="160"/>
      <c r="L2140" s="158"/>
      <c r="M2140" s="158" t="s">
        <v>365</v>
      </c>
      <c r="N2140" s="158"/>
      <c r="O2140" s="162"/>
      <c r="P2140" s="161">
        <f>92000000*12</f>
        <v>1104000000</v>
      </c>
      <c r="Q2140" s="161"/>
      <c r="R2140" s="162"/>
      <c r="S2140" s="163">
        <v>108000000</v>
      </c>
      <c r="T2140" s="164"/>
      <c r="U2140" s="334">
        <v>45658</v>
      </c>
      <c r="V2140" s="334">
        <v>46022</v>
      </c>
      <c r="W2140" s="27" t="s">
        <v>250</v>
      </c>
      <c r="X2140" s="158"/>
      <c r="Y2140" s="34">
        <f t="shared" ca="1" si="137"/>
        <v>46290</v>
      </c>
      <c r="Z2140" s="35">
        <f t="shared" ca="1" si="139"/>
        <v>-268</v>
      </c>
      <c r="AA2140" s="27">
        <f t="shared" si="136"/>
        <v>12</v>
      </c>
      <c r="AB2140" s="27">
        <f t="shared" si="138"/>
        <v>2025</v>
      </c>
      <c r="AC2140" s="159" t="s">
        <v>10432</v>
      </c>
      <c r="AD2140" s="159" t="s">
        <v>10433</v>
      </c>
      <c r="AE2140" s="184" t="s">
        <v>10434</v>
      </c>
      <c r="AF2140" s="201" t="s">
        <v>333</v>
      </c>
      <c r="AG2140" s="160"/>
      <c r="AH2140" s="160"/>
      <c r="AI2140" s="158"/>
      <c r="AJ2140" s="158"/>
      <c r="AK2140" s="158"/>
      <c r="AL2140" s="158"/>
      <c r="AM2140" s="158"/>
      <c r="AN2140" s="158"/>
      <c r="AO2140" s="158"/>
      <c r="AP2140" s="158"/>
      <c r="AQ2140" s="158">
        <v>45</v>
      </c>
      <c r="AR2140" s="507"/>
      <c r="AS2140" s="475"/>
      <c r="AT2140" s="160"/>
    </row>
    <row r="2141" spans="1:46" ht="15" hidden="1" customHeight="1">
      <c r="A2141" s="331">
        <v>2140</v>
      </c>
      <c r="B2141" s="159" t="s">
        <v>645</v>
      </c>
      <c r="C2141" s="159" t="s">
        <v>421</v>
      </c>
      <c r="D2141" s="434" t="s">
        <v>10435</v>
      </c>
      <c r="E2141" s="361" t="str">
        <f t="shared" ca="1" si="135"/>
        <v>LOSS</v>
      </c>
      <c r="F2141" s="160" t="s">
        <v>115</v>
      </c>
      <c r="G2141" s="159" t="s">
        <v>10436</v>
      </c>
      <c r="H2141" s="160" t="s">
        <v>2748</v>
      </c>
      <c r="I2141" s="160" t="s">
        <v>346</v>
      </c>
      <c r="J2141" s="159"/>
      <c r="K2141" s="219">
        <v>110120200882</v>
      </c>
      <c r="L2141" s="158"/>
      <c r="M2141" s="190" t="s">
        <v>10404</v>
      </c>
      <c r="N2141" s="158" t="s">
        <v>6885</v>
      </c>
      <c r="O2141" s="162"/>
      <c r="P2141" s="161">
        <f>2200000*12</f>
        <v>26400000</v>
      </c>
      <c r="Q2141" s="161"/>
      <c r="R2141" s="162"/>
      <c r="S2141" s="163">
        <v>2000000</v>
      </c>
      <c r="T2141" s="164"/>
      <c r="U2141" s="334">
        <v>45665</v>
      </c>
      <c r="V2141" s="334">
        <v>46029</v>
      </c>
      <c r="W2141" s="27" t="s">
        <v>250</v>
      </c>
      <c r="X2141" s="158"/>
      <c r="Y2141" s="34">
        <f t="shared" ca="1" si="137"/>
        <v>46290</v>
      </c>
      <c r="Z2141" s="35">
        <f t="shared" ca="1" si="139"/>
        <v>-261</v>
      </c>
      <c r="AA2141" s="27">
        <f t="shared" si="136"/>
        <v>1</v>
      </c>
      <c r="AB2141" s="27">
        <f t="shared" si="138"/>
        <v>2026</v>
      </c>
      <c r="AC2141" s="159">
        <v>4500022236</v>
      </c>
      <c r="AD2141" s="159" t="s">
        <v>10437</v>
      </c>
      <c r="AE2141" s="184" t="s">
        <v>10438</v>
      </c>
      <c r="AF2141" s="201" t="s">
        <v>333</v>
      </c>
      <c r="AG2141" s="160"/>
      <c r="AH2141" s="160"/>
      <c r="AI2141" s="158"/>
      <c r="AJ2141" s="158"/>
      <c r="AK2141" s="158"/>
      <c r="AL2141" s="158"/>
      <c r="AM2141" s="158"/>
      <c r="AN2141" s="158"/>
      <c r="AO2141" s="158"/>
      <c r="AP2141" s="158"/>
      <c r="AQ2141" s="158">
        <v>52</v>
      </c>
      <c r="AR2141" s="507"/>
      <c r="AS2141" s="475"/>
      <c r="AT2141" s="160"/>
    </row>
    <row r="2142" spans="1:46" ht="15" hidden="1" customHeight="1">
      <c r="A2142" s="331">
        <v>2141</v>
      </c>
      <c r="B2142" s="159" t="s">
        <v>526</v>
      </c>
      <c r="C2142" s="159" t="s">
        <v>421</v>
      </c>
      <c r="D2142" s="437" t="s">
        <v>10439</v>
      </c>
      <c r="E2142" s="361" t="str">
        <f t="shared" ca="1" si="135"/>
        <v>LOSS</v>
      </c>
      <c r="F2142" s="160" t="s">
        <v>10440</v>
      </c>
      <c r="G2142" s="159" t="s">
        <v>10441</v>
      </c>
      <c r="H2142" s="160" t="s">
        <v>2748</v>
      </c>
      <c r="I2142" s="160" t="s">
        <v>346</v>
      </c>
      <c r="J2142" s="205" t="s">
        <v>104</v>
      </c>
      <c r="K2142" s="160"/>
      <c r="L2142" s="158"/>
      <c r="M2142" s="190" t="s">
        <v>365</v>
      </c>
      <c r="N2142" s="158" t="s">
        <v>6885</v>
      </c>
      <c r="O2142" s="162"/>
      <c r="P2142" s="161">
        <f>2200000*12</f>
        <v>26400000</v>
      </c>
      <c r="Q2142" s="161"/>
      <c r="R2142" s="162"/>
      <c r="S2142" s="163">
        <v>11812500</v>
      </c>
      <c r="T2142" s="164"/>
      <c r="U2142" s="334">
        <v>45759</v>
      </c>
      <c r="V2142" s="334">
        <v>46123</v>
      </c>
      <c r="W2142" s="27" t="s">
        <v>250</v>
      </c>
      <c r="X2142" s="158"/>
      <c r="Y2142" s="34">
        <f t="shared" ca="1" si="137"/>
        <v>46290</v>
      </c>
      <c r="Z2142" s="35">
        <f t="shared" ca="1" si="139"/>
        <v>-167</v>
      </c>
      <c r="AA2142" s="27">
        <f t="shared" si="136"/>
        <v>4</v>
      </c>
      <c r="AB2142" s="27">
        <f t="shared" si="138"/>
        <v>2026</v>
      </c>
      <c r="AC2142" s="159">
        <v>4500022562</v>
      </c>
      <c r="AD2142" s="159" t="s">
        <v>10442</v>
      </c>
      <c r="AE2142" s="184" t="s">
        <v>10443</v>
      </c>
      <c r="AF2142" s="201" t="s">
        <v>333</v>
      </c>
      <c r="AG2142" s="160"/>
      <c r="AH2142" s="160"/>
      <c r="AI2142" s="158"/>
      <c r="AJ2142" s="158"/>
      <c r="AK2142" s="158"/>
      <c r="AL2142" s="158"/>
      <c r="AM2142" s="158"/>
      <c r="AN2142" s="158"/>
      <c r="AO2142" s="158"/>
      <c r="AP2142" s="158"/>
      <c r="AQ2142" s="158">
        <v>70</v>
      </c>
      <c r="AR2142" s="507"/>
      <c r="AS2142" s="475"/>
      <c r="AT2142" s="160"/>
    </row>
    <row r="2143" spans="1:46" ht="15" hidden="1" customHeight="1">
      <c r="A2143" s="331">
        <v>2142</v>
      </c>
      <c r="B2143" s="159" t="s">
        <v>1449</v>
      </c>
      <c r="C2143" s="159" t="s">
        <v>1450</v>
      </c>
      <c r="D2143" s="438" t="s">
        <v>1451</v>
      </c>
      <c r="E2143" s="361" t="str">
        <f t="shared" ca="1" si="135"/>
        <v>LOSS</v>
      </c>
      <c r="F2143" s="160" t="s">
        <v>115</v>
      </c>
      <c r="G2143" s="159" t="s">
        <v>10444</v>
      </c>
      <c r="H2143" s="160" t="s">
        <v>2748</v>
      </c>
      <c r="I2143" s="160" t="s">
        <v>346</v>
      </c>
      <c r="J2143" s="159"/>
      <c r="K2143" s="181" t="s">
        <v>10445</v>
      </c>
      <c r="L2143" s="158"/>
      <c r="M2143" s="158" t="s">
        <v>6776</v>
      </c>
      <c r="N2143" s="158" t="s">
        <v>396</v>
      </c>
      <c r="O2143" s="162"/>
      <c r="P2143" s="161">
        <f>15650000*12</f>
        <v>187800000</v>
      </c>
      <c r="Q2143" s="161"/>
      <c r="R2143" s="162"/>
      <c r="S2143" s="163">
        <v>10285000</v>
      </c>
      <c r="T2143" s="164"/>
      <c r="U2143" s="334">
        <v>45689</v>
      </c>
      <c r="V2143" s="334">
        <v>46053</v>
      </c>
      <c r="W2143" s="27" t="s">
        <v>250</v>
      </c>
      <c r="X2143" s="158"/>
      <c r="Y2143" s="34">
        <f t="shared" ca="1" si="137"/>
        <v>46290</v>
      </c>
      <c r="Z2143" s="35">
        <f t="shared" ca="1" si="139"/>
        <v>-237</v>
      </c>
      <c r="AA2143" s="27">
        <f t="shared" si="136"/>
        <v>1</v>
      </c>
      <c r="AB2143" s="27">
        <f t="shared" si="138"/>
        <v>2026</v>
      </c>
      <c r="AC2143" s="159" t="s">
        <v>10446</v>
      </c>
      <c r="AD2143" s="182" t="s">
        <v>10447</v>
      </c>
      <c r="AE2143" s="184" t="s">
        <v>10448</v>
      </c>
      <c r="AF2143" s="201" t="s">
        <v>333</v>
      </c>
      <c r="AG2143" s="160"/>
      <c r="AH2143" s="160"/>
      <c r="AI2143" s="158"/>
      <c r="AJ2143" s="158"/>
      <c r="AK2143" s="158"/>
      <c r="AL2143" s="158"/>
      <c r="AM2143" s="158"/>
      <c r="AN2143" s="158"/>
      <c r="AO2143" s="158"/>
      <c r="AP2143" s="158"/>
      <c r="AQ2143" s="158">
        <v>57</v>
      </c>
      <c r="AR2143" s="507"/>
      <c r="AS2143" s="475"/>
      <c r="AT2143" s="160"/>
    </row>
    <row r="2144" spans="1:46" ht="15" hidden="1" customHeight="1">
      <c r="A2144" s="331">
        <v>2143</v>
      </c>
      <c r="B2144" s="159" t="s">
        <v>588</v>
      </c>
      <c r="C2144" s="159" t="s">
        <v>10449</v>
      </c>
      <c r="D2144" s="438" t="s">
        <v>10450</v>
      </c>
      <c r="E2144" s="361" t="str">
        <f t="shared" ca="1" si="135"/>
        <v>LOSS</v>
      </c>
      <c r="F2144" s="160" t="s">
        <v>10451</v>
      </c>
      <c r="G2144" s="159" t="s">
        <v>10452</v>
      </c>
      <c r="H2144" s="160" t="s">
        <v>2748</v>
      </c>
      <c r="I2144" s="160" t="s">
        <v>346</v>
      </c>
      <c r="J2144" s="159" t="s">
        <v>2246</v>
      </c>
      <c r="K2144" s="160"/>
      <c r="L2144" s="158"/>
      <c r="M2144" s="158" t="s">
        <v>6776</v>
      </c>
      <c r="N2144" s="158" t="s">
        <v>396</v>
      </c>
      <c r="O2144" s="162"/>
      <c r="P2144" s="161">
        <f>5000000*12</f>
        <v>60000000</v>
      </c>
      <c r="Q2144" s="161"/>
      <c r="R2144" s="162"/>
      <c r="S2144" s="163">
        <v>27500000</v>
      </c>
      <c r="T2144" s="164"/>
      <c r="U2144" s="334">
        <v>45717</v>
      </c>
      <c r="V2144" s="334">
        <v>46081</v>
      </c>
      <c r="W2144" s="27" t="s">
        <v>250</v>
      </c>
      <c r="X2144" s="158"/>
      <c r="Y2144" s="34">
        <f t="shared" ca="1" si="137"/>
        <v>46290</v>
      </c>
      <c r="Z2144" s="35">
        <f t="shared" ca="1" si="139"/>
        <v>-209</v>
      </c>
      <c r="AA2144" s="27">
        <f t="shared" si="136"/>
        <v>2</v>
      </c>
      <c r="AB2144" s="27">
        <f t="shared" si="138"/>
        <v>2026</v>
      </c>
      <c r="AC2144" s="159" t="s">
        <v>10453</v>
      </c>
      <c r="AD2144" s="159" t="s">
        <v>10454</v>
      </c>
      <c r="AE2144" s="184" t="s">
        <v>10455</v>
      </c>
      <c r="AF2144" s="201" t="s">
        <v>333</v>
      </c>
      <c r="AG2144" s="160"/>
      <c r="AH2144" s="160"/>
      <c r="AI2144" s="158"/>
      <c r="AJ2144" s="158"/>
      <c r="AK2144" s="158"/>
      <c r="AL2144" s="158"/>
      <c r="AM2144" s="158"/>
      <c r="AN2144" s="158"/>
      <c r="AO2144" s="158"/>
      <c r="AP2144" s="158"/>
      <c r="AQ2144" s="158">
        <v>67</v>
      </c>
      <c r="AR2144" s="507"/>
      <c r="AS2144" s="475"/>
      <c r="AT2144" s="160"/>
    </row>
    <row r="2145" spans="1:46" ht="15" hidden="1" customHeight="1">
      <c r="A2145" s="331">
        <v>2144</v>
      </c>
      <c r="B2145" s="159" t="s">
        <v>10456</v>
      </c>
      <c r="C2145" s="159" t="s">
        <v>5625</v>
      </c>
      <c r="D2145" s="438" t="s">
        <v>5626</v>
      </c>
      <c r="E2145" s="361" t="str">
        <f t="shared" ca="1" si="135"/>
        <v>LOSS</v>
      </c>
      <c r="F2145" s="160" t="s">
        <v>10457</v>
      </c>
      <c r="G2145" s="159" t="s">
        <v>10458</v>
      </c>
      <c r="H2145" s="160" t="s">
        <v>2748</v>
      </c>
      <c r="I2145" s="160" t="s">
        <v>346</v>
      </c>
      <c r="J2145" s="159"/>
      <c r="K2145" s="218" t="s">
        <v>10459</v>
      </c>
      <c r="L2145" s="158"/>
      <c r="M2145" s="158" t="s">
        <v>329</v>
      </c>
      <c r="N2145" s="158" t="s">
        <v>10460</v>
      </c>
      <c r="O2145" s="162"/>
      <c r="P2145" s="161">
        <f>2800000*12</f>
        <v>33600000</v>
      </c>
      <c r="Q2145" s="161"/>
      <c r="R2145" s="162"/>
      <c r="S2145" s="163">
        <v>5000000</v>
      </c>
      <c r="T2145" s="164"/>
      <c r="U2145" s="334">
        <v>45689</v>
      </c>
      <c r="V2145" s="334">
        <v>46053</v>
      </c>
      <c r="W2145" s="27" t="s">
        <v>250</v>
      </c>
      <c r="X2145" s="158"/>
      <c r="Y2145" s="34">
        <f t="shared" ca="1" si="137"/>
        <v>46290</v>
      </c>
      <c r="Z2145" s="35">
        <f t="shared" ca="1" si="139"/>
        <v>-237</v>
      </c>
      <c r="AA2145" s="27">
        <f t="shared" si="136"/>
        <v>1</v>
      </c>
      <c r="AB2145" s="27">
        <f t="shared" si="138"/>
        <v>2026</v>
      </c>
      <c r="AC2145" s="159">
        <v>4500022330</v>
      </c>
      <c r="AD2145" s="159" t="s">
        <v>10461</v>
      </c>
      <c r="AE2145" s="184" t="s">
        <v>10462</v>
      </c>
      <c r="AF2145" s="201" t="s">
        <v>333</v>
      </c>
      <c r="AG2145" s="160"/>
      <c r="AH2145" s="160"/>
      <c r="AI2145" s="158"/>
      <c r="AJ2145" s="158"/>
      <c r="AK2145" s="158"/>
      <c r="AL2145" s="158"/>
      <c r="AM2145" s="158"/>
      <c r="AN2145" s="158"/>
      <c r="AO2145" s="158"/>
      <c r="AP2145" s="158"/>
      <c r="AQ2145" s="158">
        <v>58</v>
      </c>
      <c r="AR2145" s="507"/>
      <c r="AS2145" s="475"/>
      <c r="AT2145" s="160"/>
    </row>
    <row r="2146" spans="1:46" ht="15" hidden="1" customHeight="1">
      <c r="A2146" s="331">
        <v>2145</v>
      </c>
      <c r="B2146" s="159" t="s">
        <v>1103</v>
      </c>
      <c r="C2146" s="159" t="s">
        <v>10463</v>
      </c>
      <c r="D2146" s="437" t="s">
        <v>1105</v>
      </c>
      <c r="E2146" s="361" t="str">
        <f t="shared" ca="1" si="135"/>
        <v>LOSS</v>
      </c>
      <c r="F2146" s="160" t="s">
        <v>115</v>
      </c>
      <c r="G2146" s="159" t="s">
        <v>10464</v>
      </c>
      <c r="H2146" s="160" t="s">
        <v>2748</v>
      </c>
      <c r="I2146" s="160" t="s">
        <v>346</v>
      </c>
      <c r="J2146" s="159" t="s">
        <v>10465</v>
      </c>
      <c r="K2146" s="181" t="s">
        <v>10466</v>
      </c>
      <c r="L2146" s="158"/>
      <c r="M2146" s="158" t="s">
        <v>329</v>
      </c>
      <c r="N2146" s="158" t="s">
        <v>7066</v>
      </c>
      <c r="O2146" s="162"/>
      <c r="P2146" s="161">
        <f>9500000*12</f>
        <v>114000000</v>
      </c>
      <c r="Q2146" s="161"/>
      <c r="R2146" s="162"/>
      <c r="S2146" s="163">
        <v>43890000</v>
      </c>
      <c r="T2146" s="164"/>
      <c r="U2146" s="334">
        <v>45690</v>
      </c>
      <c r="V2146" s="334">
        <v>46054</v>
      </c>
      <c r="W2146" s="27" t="s">
        <v>250</v>
      </c>
      <c r="X2146" s="158"/>
      <c r="Y2146" s="34">
        <f t="shared" ca="1" si="137"/>
        <v>46290</v>
      </c>
      <c r="Z2146" s="35">
        <f t="shared" ca="1" si="139"/>
        <v>-236</v>
      </c>
      <c r="AA2146" s="27">
        <f t="shared" si="136"/>
        <v>2</v>
      </c>
      <c r="AB2146" s="27">
        <f t="shared" si="138"/>
        <v>2026</v>
      </c>
      <c r="AC2146" s="159" t="s">
        <v>10467</v>
      </c>
      <c r="AD2146" s="182" t="s">
        <v>10468</v>
      </c>
      <c r="AE2146" s="184" t="s">
        <v>10469</v>
      </c>
      <c r="AF2146" s="201" t="s">
        <v>333</v>
      </c>
      <c r="AG2146" s="160"/>
      <c r="AH2146" s="160"/>
      <c r="AI2146" s="158"/>
      <c r="AJ2146" s="158"/>
      <c r="AK2146" s="158"/>
      <c r="AL2146" s="158"/>
      <c r="AM2146" s="158"/>
      <c r="AN2146" s="158"/>
      <c r="AO2146" s="158"/>
      <c r="AP2146" s="158"/>
      <c r="AQ2146" s="158">
        <v>59</v>
      </c>
      <c r="AR2146" s="507"/>
      <c r="AS2146" s="475"/>
      <c r="AT2146" s="160"/>
    </row>
    <row r="2147" spans="1:46" ht="15" hidden="1" customHeight="1">
      <c r="A2147" s="331">
        <v>2146</v>
      </c>
      <c r="B2147" s="159" t="s">
        <v>10470</v>
      </c>
      <c r="C2147" s="159" t="s">
        <v>421</v>
      </c>
      <c r="D2147" s="437" t="s">
        <v>1119</v>
      </c>
      <c r="E2147" s="361" t="str">
        <f t="shared" ca="1" si="135"/>
        <v>LOSS</v>
      </c>
      <c r="F2147" s="160" t="s">
        <v>115</v>
      </c>
      <c r="G2147" s="159" t="s">
        <v>10471</v>
      </c>
      <c r="H2147" s="160" t="s">
        <v>2748</v>
      </c>
      <c r="I2147" s="160" t="s">
        <v>346</v>
      </c>
      <c r="J2147" s="159"/>
      <c r="K2147" s="181" t="s">
        <v>10472</v>
      </c>
      <c r="L2147" s="158"/>
      <c r="M2147" s="190" t="s">
        <v>365</v>
      </c>
      <c r="N2147" s="158" t="s">
        <v>6885</v>
      </c>
      <c r="O2147" s="162"/>
      <c r="P2147" s="161">
        <f>2200000*12</f>
        <v>26400000</v>
      </c>
      <c r="Q2147" s="161"/>
      <c r="R2147" s="162"/>
      <c r="S2147" s="163">
        <v>14729000</v>
      </c>
      <c r="T2147" s="164"/>
      <c r="U2147" s="334">
        <v>45689</v>
      </c>
      <c r="V2147" s="334">
        <v>46053</v>
      </c>
      <c r="W2147" s="158" t="s">
        <v>250</v>
      </c>
      <c r="X2147" s="158"/>
      <c r="Y2147" s="34">
        <f t="shared" ca="1" si="137"/>
        <v>46290</v>
      </c>
      <c r="Z2147" s="35">
        <f t="shared" ca="1" si="139"/>
        <v>-237</v>
      </c>
      <c r="AA2147" s="27">
        <f t="shared" si="136"/>
        <v>1</v>
      </c>
      <c r="AB2147" s="27">
        <f t="shared" si="138"/>
        <v>2026</v>
      </c>
      <c r="AC2147" s="159">
        <v>4500022245</v>
      </c>
      <c r="AD2147" s="182" t="s">
        <v>10473</v>
      </c>
      <c r="AE2147" s="184" t="s">
        <v>10474</v>
      </c>
      <c r="AF2147" s="201" t="s">
        <v>333</v>
      </c>
      <c r="AG2147" s="160"/>
      <c r="AH2147" s="160"/>
      <c r="AI2147" s="158"/>
      <c r="AJ2147" s="158"/>
      <c r="AK2147" s="158"/>
      <c r="AL2147" s="158"/>
      <c r="AM2147" s="158"/>
      <c r="AN2147" s="158"/>
      <c r="AO2147" s="158"/>
      <c r="AP2147" s="158"/>
      <c r="AQ2147" s="158">
        <v>72</v>
      </c>
      <c r="AR2147" s="507"/>
      <c r="AS2147" s="475"/>
      <c r="AT2147" s="160"/>
    </row>
    <row r="2148" spans="1:46" ht="15" hidden="1" customHeight="1">
      <c r="A2148" s="331">
        <v>2147</v>
      </c>
      <c r="B2148" s="159" t="s">
        <v>2391</v>
      </c>
      <c r="C2148" s="159" t="s">
        <v>1274</v>
      </c>
      <c r="D2148" s="437" t="s">
        <v>3035</v>
      </c>
      <c r="E2148" s="361" t="str">
        <f t="shared" ca="1" si="135"/>
        <v>LOSS</v>
      </c>
      <c r="F2148" s="160"/>
      <c r="G2148" s="159" t="s">
        <v>9576</v>
      </c>
      <c r="H2148" s="160" t="s">
        <v>2748</v>
      </c>
      <c r="I2148" s="160" t="s">
        <v>346</v>
      </c>
      <c r="J2148" s="159"/>
      <c r="K2148" s="160"/>
      <c r="L2148" s="158"/>
      <c r="M2148" s="158" t="s">
        <v>329</v>
      </c>
      <c r="N2148" s="158"/>
      <c r="O2148" s="162"/>
      <c r="P2148" s="161" t="s">
        <v>115</v>
      </c>
      <c r="Q2148" s="161"/>
      <c r="R2148" s="162"/>
      <c r="S2148" s="163">
        <v>30000000</v>
      </c>
      <c r="T2148" s="164"/>
      <c r="U2148" s="334">
        <v>45659</v>
      </c>
      <c r="V2148" s="334">
        <v>46023</v>
      </c>
      <c r="W2148" s="27" t="s">
        <v>250</v>
      </c>
      <c r="X2148" s="158"/>
      <c r="Y2148" s="34">
        <f t="shared" ca="1" si="137"/>
        <v>46290</v>
      </c>
      <c r="Z2148" s="35">
        <f t="shared" ca="1" si="139"/>
        <v>-267</v>
      </c>
      <c r="AA2148" s="27">
        <f t="shared" si="136"/>
        <v>1</v>
      </c>
      <c r="AB2148" s="27">
        <f t="shared" si="138"/>
        <v>2026</v>
      </c>
      <c r="AC2148" s="159" t="s">
        <v>10475</v>
      </c>
      <c r="AD2148" s="159" t="s">
        <v>10476</v>
      </c>
      <c r="AE2148" s="184" t="s">
        <v>10477</v>
      </c>
      <c r="AF2148" s="201" t="s">
        <v>333</v>
      </c>
      <c r="AG2148" s="160"/>
      <c r="AH2148" s="160"/>
      <c r="AI2148" s="158"/>
      <c r="AJ2148" s="158"/>
      <c r="AK2148" s="158"/>
      <c r="AL2148" s="158"/>
      <c r="AM2148" s="158"/>
      <c r="AN2148" s="158"/>
      <c r="AO2148" s="158"/>
      <c r="AP2148" s="158"/>
      <c r="AQ2148" s="158">
        <v>42</v>
      </c>
      <c r="AR2148" s="507"/>
      <c r="AS2148" s="475"/>
      <c r="AT2148" s="160"/>
    </row>
    <row r="2149" spans="1:46" ht="15" hidden="1" customHeight="1">
      <c r="A2149" s="331">
        <v>2148</v>
      </c>
      <c r="B2149" s="159" t="s">
        <v>2391</v>
      </c>
      <c r="C2149" s="159" t="s">
        <v>1274</v>
      </c>
      <c r="D2149" s="437" t="s">
        <v>3035</v>
      </c>
      <c r="E2149" s="361" t="str">
        <f t="shared" ca="1" si="135"/>
        <v>LOSS</v>
      </c>
      <c r="F2149" s="160"/>
      <c r="G2149" s="159" t="s">
        <v>9576</v>
      </c>
      <c r="H2149" s="160" t="s">
        <v>2748</v>
      </c>
      <c r="I2149" s="160" t="s">
        <v>346</v>
      </c>
      <c r="J2149" s="159"/>
      <c r="K2149" s="160"/>
      <c r="L2149" s="158"/>
      <c r="M2149" s="158" t="s">
        <v>329</v>
      </c>
      <c r="N2149" s="158"/>
      <c r="O2149" s="162"/>
      <c r="P2149" s="161" t="s">
        <v>115</v>
      </c>
      <c r="Q2149" s="161"/>
      <c r="R2149" s="162"/>
      <c r="S2149" s="163">
        <v>5000000</v>
      </c>
      <c r="T2149" s="164"/>
      <c r="U2149" s="334">
        <v>45713</v>
      </c>
      <c r="V2149" s="334">
        <v>46077</v>
      </c>
      <c r="W2149" s="27" t="s">
        <v>250</v>
      </c>
      <c r="X2149" s="158"/>
      <c r="Y2149" s="34">
        <f t="shared" ca="1" si="137"/>
        <v>46290</v>
      </c>
      <c r="Z2149" s="35">
        <f t="shared" ca="1" si="139"/>
        <v>-213</v>
      </c>
      <c r="AA2149" s="27">
        <f t="shared" si="136"/>
        <v>2</v>
      </c>
      <c r="AB2149" s="27">
        <f t="shared" si="138"/>
        <v>2026</v>
      </c>
      <c r="AC2149" s="159">
        <v>4500022368</v>
      </c>
      <c r="AD2149" s="159" t="s">
        <v>10478</v>
      </c>
      <c r="AE2149" s="184" t="s">
        <v>10479</v>
      </c>
      <c r="AF2149" s="201" t="s">
        <v>333</v>
      </c>
      <c r="AG2149" s="160"/>
      <c r="AH2149" s="160"/>
      <c r="AI2149" s="158"/>
      <c r="AJ2149" s="158"/>
      <c r="AK2149" s="158"/>
      <c r="AL2149" s="158"/>
      <c r="AM2149" s="158"/>
      <c r="AN2149" s="158"/>
      <c r="AO2149" s="158"/>
      <c r="AP2149" s="158"/>
      <c r="AQ2149" s="158">
        <v>66</v>
      </c>
      <c r="AR2149" s="507"/>
      <c r="AS2149" s="475"/>
      <c r="AT2149" s="160"/>
    </row>
    <row r="2150" spans="1:46" ht="15" hidden="1" customHeight="1">
      <c r="A2150" s="331">
        <v>2149</v>
      </c>
      <c r="B2150" s="159" t="s">
        <v>2724</v>
      </c>
      <c r="C2150" s="159" t="s">
        <v>2725</v>
      </c>
      <c r="D2150" s="438" t="s">
        <v>5130</v>
      </c>
      <c r="E2150" s="361" t="str">
        <f t="shared" ca="1" si="135"/>
        <v>LOSS</v>
      </c>
      <c r="F2150" s="160"/>
      <c r="G2150" s="159" t="s">
        <v>10480</v>
      </c>
      <c r="H2150" s="160" t="s">
        <v>2748</v>
      </c>
      <c r="I2150" s="160" t="s">
        <v>346</v>
      </c>
      <c r="J2150" s="159" t="s">
        <v>2726</v>
      </c>
      <c r="K2150" s="160"/>
      <c r="L2150" s="158"/>
      <c r="M2150" s="158" t="s">
        <v>353</v>
      </c>
      <c r="N2150" s="158" t="s">
        <v>396</v>
      </c>
      <c r="O2150" s="162"/>
      <c r="P2150" s="161">
        <f>20000000*12</f>
        <v>240000000</v>
      </c>
      <c r="Q2150" s="161"/>
      <c r="R2150" s="162"/>
      <c r="S2150" s="163">
        <v>35000000</v>
      </c>
      <c r="T2150" s="164"/>
      <c r="U2150" s="334">
        <v>45658</v>
      </c>
      <c r="V2150" s="334">
        <v>46022</v>
      </c>
      <c r="W2150" s="27" t="s">
        <v>250</v>
      </c>
      <c r="X2150" s="158"/>
      <c r="Y2150" s="34">
        <f t="shared" ca="1" si="137"/>
        <v>46290</v>
      </c>
      <c r="Z2150" s="35">
        <f t="shared" ca="1" si="139"/>
        <v>-268</v>
      </c>
      <c r="AA2150" s="27">
        <f t="shared" si="136"/>
        <v>12</v>
      </c>
      <c r="AB2150" s="27">
        <f t="shared" si="138"/>
        <v>2025</v>
      </c>
      <c r="AC2150" s="159">
        <v>4500021810</v>
      </c>
      <c r="AD2150" s="159" t="s">
        <v>10481</v>
      </c>
      <c r="AE2150" s="184" t="s">
        <v>10482</v>
      </c>
      <c r="AF2150" s="201" t="s">
        <v>333</v>
      </c>
      <c r="AG2150" s="160"/>
      <c r="AH2150" s="160"/>
      <c r="AI2150" s="158"/>
      <c r="AJ2150" s="158"/>
      <c r="AK2150" s="158"/>
      <c r="AL2150" s="158"/>
      <c r="AM2150" s="158"/>
      <c r="AN2150" s="158"/>
      <c r="AO2150" s="158"/>
      <c r="AP2150" s="158"/>
      <c r="AQ2150" s="158">
        <v>51</v>
      </c>
      <c r="AR2150" s="507"/>
      <c r="AS2150" s="475"/>
      <c r="AT2150" s="160"/>
    </row>
    <row r="2151" spans="1:46" ht="15" hidden="1" customHeight="1">
      <c r="A2151" s="331">
        <v>2150</v>
      </c>
      <c r="B2151" s="159" t="s">
        <v>10483</v>
      </c>
      <c r="C2151" s="159" t="s">
        <v>3973</v>
      </c>
      <c r="D2151" s="438" t="s">
        <v>6447</v>
      </c>
      <c r="E2151" s="361" t="str">
        <f t="shared" ca="1" si="135"/>
        <v>LOSS</v>
      </c>
      <c r="F2151" s="160"/>
      <c r="G2151" s="159" t="s">
        <v>10484</v>
      </c>
      <c r="H2151" s="160" t="s">
        <v>2748</v>
      </c>
      <c r="I2151" s="160" t="s">
        <v>346</v>
      </c>
      <c r="J2151" s="205" t="s">
        <v>10485</v>
      </c>
      <c r="K2151" s="160"/>
      <c r="L2151" s="158"/>
      <c r="M2151" s="158" t="s">
        <v>7091</v>
      </c>
      <c r="N2151" s="158"/>
      <c r="O2151" s="162"/>
      <c r="P2151" s="163">
        <f>1021067*12</f>
        <v>12252804</v>
      </c>
      <c r="Q2151" s="161"/>
      <c r="R2151" s="162"/>
      <c r="S2151" s="163">
        <v>34800000</v>
      </c>
      <c r="T2151" s="164"/>
      <c r="U2151" s="334">
        <v>45701</v>
      </c>
      <c r="V2151" s="334">
        <v>46065</v>
      </c>
      <c r="W2151" s="27" t="s">
        <v>250</v>
      </c>
      <c r="X2151" s="158"/>
      <c r="Y2151" s="34">
        <f t="shared" ca="1" si="137"/>
        <v>46290</v>
      </c>
      <c r="Z2151" s="35">
        <f t="shared" ca="1" si="139"/>
        <v>-225</v>
      </c>
      <c r="AA2151" s="27">
        <f t="shared" si="136"/>
        <v>2</v>
      </c>
      <c r="AB2151" s="27">
        <f t="shared" si="138"/>
        <v>2026</v>
      </c>
      <c r="AC2151" s="159">
        <v>4500022206</v>
      </c>
      <c r="AD2151" s="159" t="s">
        <v>10486</v>
      </c>
      <c r="AE2151" s="184" t="s">
        <v>10487</v>
      </c>
      <c r="AF2151" s="201" t="s">
        <v>333</v>
      </c>
      <c r="AG2151" s="160"/>
      <c r="AH2151" s="160"/>
      <c r="AI2151" s="158"/>
      <c r="AJ2151" s="158"/>
      <c r="AK2151" s="158"/>
      <c r="AL2151" s="158"/>
      <c r="AM2151" s="158"/>
      <c r="AN2151" s="158"/>
      <c r="AO2151" s="158"/>
      <c r="AP2151" s="158"/>
      <c r="AQ2151" s="158">
        <v>62</v>
      </c>
      <c r="AR2151" s="507"/>
      <c r="AS2151" s="475"/>
      <c r="AT2151" s="160"/>
    </row>
    <row r="2152" spans="1:46" ht="15" hidden="1" customHeight="1">
      <c r="A2152" s="331">
        <v>2151</v>
      </c>
      <c r="B2152" s="159" t="s">
        <v>169</v>
      </c>
      <c r="C2152" s="182" t="s">
        <v>435</v>
      </c>
      <c r="D2152" s="438" t="s">
        <v>377</v>
      </c>
      <c r="E2152" s="361" t="str">
        <f t="shared" ca="1" si="135"/>
        <v>LOSS</v>
      </c>
      <c r="F2152" s="160"/>
      <c r="G2152" s="159" t="s">
        <v>436</v>
      </c>
      <c r="H2152" s="160" t="s">
        <v>2748</v>
      </c>
      <c r="I2152" s="160" t="s">
        <v>242</v>
      </c>
      <c r="J2152" s="182" t="s">
        <v>437</v>
      </c>
      <c r="K2152" s="160"/>
      <c r="L2152" s="158"/>
      <c r="M2152" s="190" t="s">
        <v>365</v>
      </c>
      <c r="N2152" s="158"/>
      <c r="O2152" s="162"/>
      <c r="P2152" s="161" t="s">
        <v>115</v>
      </c>
      <c r="Q2152" s="161"/>
      <c r="R2152" s="162"/>
      <c r="S2152" s="163">
        <v>18000000</v>
      </c>
      <c r="T2152" s="164"/>
      <c r="U2152" s="334">
        <v>45668</v>
      </c>
      <c r="V2152" s="334">
        <v>46032</v>
      </c>
      <c r="W2152" s="27" t="s">
        <v>17</v>
      </c>
      <c r="X2152" s="158"/>
      <c r="Y2152" s="34">
        <f t="shared" ca="1" si="137"/>
        <v>46290</v>
      </c>
      <c r="Z2152" s="35">
        <f t="shared" ca="1" si="139"/>
        <v>-258</v>
      </c>
      <c r="AA2152" s="27">
        <f t="shared" si="136"/>
        <v>1</v>
      </c>
      <c r="AB2152" s="27">
        <f t="shared" si="138"/>
        <v>2026</v>
      </c>
      <c r="AC2152" s="159">
        <v>4500022597</v>
      </c>
      <c r="AD2152" s="182" t="s">
        <v>438</v>
      </c>
      <c r="AE2152" s="184" t="s">
        <v>439</v>
      </c>
      <c r="AF2152" s="201" t="s">
        <v>333</v>
      </c>
      <c r="AG2152" s="160"/>
      <c r="AH2152" s="160"/>
      <c r="AI2152" s="158"/>
      <c r="AJ2152" s="158"/>
      <c r="AK2152" s="158"/>
      <c r="AL2152" s="158"/>
      <c r="AM2152" s="158"/>
      <c r="AN2152" s="158"/>
      <c r="AO2152" s="158"/>
      <c r="AP2152" s="158"/>
      <c r="AQ2152" s="158">
        <v>54</v>
      </c>
      <c r="AR2152" s="507"/>
      <c r="AS2152" s="475"/>
      <c r="AT2152" s="160"/>
    </row>
    <row r="2153" spans="1:46" ht="15" hidden="1" customHeight="1">
      <c r="A2153" s="331">
        <v>2152</v>
      </c>
      <c r="B2153" s="159" t="s">
        <v>1537</v>
      </c>
      <c r="C2153" s="182" t="s">
        <v>10488</v>
      </c>
      <c r="D2153" s="437" t="s">
        <v>10489</v>
      </c>
      <c r="E2153" s="361" t="str">
        <f t="shared" ca="1" si="135"/>
        <v>LOSS</v>
      </c>
      <c r="F2153" s="160"/>
      <c r="G2153" s="159" t="s">
        <v>10490</v>
      </c>
      <c r="H2153" s="160" t="s">
        <v>2748</v>
      </c>
      <c r="I2153" s="160" t="s">
        <v>346</v>
      </c>
      <c r="J2153" s="216" t="s">
        <v>10491</v>
      </c>
      <c r="K2153" s="160"/>
      <c r="L2153" s="158"/>
      <c r="M2153" s="190" t="s">
        <v>365</v>
      </c>
      <c r="N2153" s="158"/>
      <c r="O2153" s="162"/>
      <c r="P2153" s="161">
        <f>23640400*12</f>
        <v>283684800</v>
      </c>
      <c r="Q2153" s="161"/>
      <c r="R2153" s="162"/>
      <c r="S2153" s="163">
        <v>125000000</v>
      </c>
      <c r="T2153" s="164"/>
      <c r="U2153" s="334">
        <v>45746</v>
      </c>
      <c r="V2153" s="334">
        <v>46110</v>
      </c>
      <c r="W2153" s="27" t="s">
        <v>250</v>
      </c>
      <c r="X2153" s="158"/>
      <c r="Y2153" s="34">
        <f t="shared" ca="1" si="137"/>
        <v>46290</v>
      </c>
      <c r="Z2153" s="35">
        <f t="shared" ca="1" si="139"/>
        <v>-180</v>
      </c>
      <c r="AA2153" s="27">
        <f t="shared" si="136"/>
        <v>3</v>
      </c>
      <c r="AB2153" s="27">
        <f t="shared" si="138"/>
        <v>2026</v>
      </c>
      <c r="AC2153" s="159" t="s">
        <v>10492</v>
      </c>
      <c r="AD2153" s="159" t="s">
        <v>10493</v>
      </c>
      <c r="AE2153" s="184" t="s">
        <v>10494</v>
      </c>
      <c r="AF2153" s="201" t="s">
        <v>333</v>
      </c>
      <c r="AG2153" s="160"/>
      <c r="AH2153" s="160"/>
      <c r="AI2153" s="158"/>
      <c r="AJ2153" s="158"/>
      <c r="AK2153" s="158"/>
      <c r="AL2153" s="158"/>
      <c r="AM2153" s="158"/>
      <c r="AN2153" s="158"/>
      <c r="AO2153" s="158"/>
      <c r="AP2153" s="158"/>
      <c r="AQ2153" s="158">
        <v>68</v>
      </c>
      <c r="AR2153" s="507"/>
      <c r="AS2153" s="475"/>
      <c r="AT2153" s="160"/>
    </row>
    <row r="2154" spans="1:46" ht="15" hidden="1" customHeight="1">
      <c r="A2154" s="331">
        <v>2153</v>
      </c>
      <c r="B2154" s="159" t="s">
        <v>1009</v>
      </c>
      <c r="C2154" s="159" t="s">
        <v>3973</v>
      </c>
      <c r="D2154" s="434" t="s">
        <v>1010</v>
      </c>
      <c r="E2154" s="361" t="str">
        <f t="shared" ca="1" si="135"/>
        <v>LOSS</v>
      </c>
      <c r="F2154" s="160" t="s">
        <v>10495</v>
      </c>
      <c r="G2154" s="159" t="s">
        <v>10495</v>
      </c>
      <c r="H2154" s="160" t="s">
        <v>2748</v>
      </c>
      <c r="I2154" s="160" t="s">
        <v>346</v>
      </c>
      <c r="J2154" s="205"/>
      <c r="K2154" s="205" t="s">
        <v>10496</v>
      </c>
      <c r="L2154" s="158"/>
      <c r="M2154" s="158" t="s">
        <v>6776</v>
      </c>
      <c r="N2154" s="158" t="s">
        <v>9791</v>
      </c>
      <c r="O2154" s="162"/>
      <c r="P2154" s="161">
        <f>20811894*12</f>
        <v>249742728</v>
      </c>
      <c r="Q2154" s="161"/>
      <c r="R2154" s="162"/>
      <c r="S2154" s="163">
        <v>48000000</v>
      </c>
      <c r="T2154" s="164"/>
      <c r="U2154" s="334">
        <v>45658</v>
      </c>
      <c r="V2154" s="334">
        <v>46022</v>
      </c>
      <c r="W2154" s="27" t="s">
        <v>250</v>
      </c>
      <c r="X2154" s="158"/>
      <c r="Y2154" s="34">
        <f t="shared" ca="1" si="137"/>
        <v>46290</v>
      </c>
      <c r="Z2154" s="35">
        <f t="shared" ca="1" si="139"/>
        <v>-268</v>
      </c>
      <c r="AA2154" s="27">
        <f t="shared" si="136"/>
        <v>12</v>
      </c>
      <c r="AB2154" s="27">
        <f t="shared" si="138"/>
        <v>2025</v>
      </c>
      <c r="AC2154" s="159" t="s">
        <v>10497</v>
      </c>
      <c r="AD2154" s="159" t="s">
        <v>10498</v>
      </c>
      <c r="AE2154" s="184" t="s">
        <v>10499</v>
      </c>
      <c r="AF2154" s="201" t="s">
        <v>333</v>
      </c>
      <c r="AG2154" s="160"/>
      <c r="AH2154" s="160"/>
      <c r="AI2154" s="158"/>
      <c r="AJ2154" s="158"/>
      <c r="AK2154" s="158"/>
      <c r="AL2154" s="158"/>
      <c r="AM2154" s="158"/>
      <c r="AN2154" s="158"/>
      <c r="AO2154" s="158"/>
      <c r="AP2154" s="158"/>
      <c r="AQ2154" s="158">
        <v>63</v>
      </c>
      <c r="AR2154" s="507"/>
      <c r="AS2154" s="475"/>
      <c r="AT2154" s="160"/>
    </row>
    <row r="2155" spans="1:46" ht="15" hidden="1" customHeight="1">
      <c r="A2155" s="331">
        <v>2154</v>
      </c>
      <c r="B2155" s="159" t="s">
        <v>2593</v>
      </c>
      <c r="C2155" s="159" t="s">
        <v>8333</v>
      </c>
      <c r="D2155" s="437" t="s">
        <v>5505</v>
      </c>
      <c r="E2155" s="361" t="str">
        <f t="shared" ca="1" si="135"/>
        <v>LOSS</v>
      </c>
      <c r="F2155" s="160"/>
      <c r="G2155" s="159" t="s">
        <v>10500</v>
      </c>
      <c r="H2155" s="160" t="s">
        <v>2748</v>
      </c>
      <c r="I2155" s="160" t="s">
        <v>346</v>
      </c>
      <c r="J2155" s="159" t="s">
        <v>8416</v>
      </c>
      <c r="K2155" s="160"/>
      <c r="L2155" s="158"/>
      <c r="M2155" s="158" t="s">
        <v>6776</v>
      </c>
      <c r="N2155" s="158" t="s">
        <v>494</v>
      </c>
      <c r="O2155" s="162"/>
      <c r="P2155" s="161">
        <f>4829300*12</f>
        <v>57951600</v>
      </c>
      <c r="Q2155" s="161"/>
      <c r="R2155" s="162"/>
      <c r="S2155" s="163">
        <v>20671878</v>
      </c>
      <c r="T2155" s="164"/>
      <c r="U2155" s="334">
        <v>45679</v>
      </c>
      <c r="V2155" s="334">
        <v>45859</v>
      </c>
      <c r="W2155" s="27" t="s">
        <v>250</v>
      </c>
      <c r="X2155" s="158"/>
      <c r="Y2155" s="34">
        <f t="shared" ca="1" si="137"/>
        <v>46290</v>
      </c>
      <c r="Z2155" s="35">
        <f t="shared" ca="1" si="139"/>
        <v>-431</v>
      </c>
      <c r="AA2155" s="27">
        <f t="shared" si="136"/>
        <v>7</v>
      </c>
      <c r="AB2155" s="27">
        <f t="shared" si="138"/>
        <v>2025</v>
      </c>
      <c r="AC2155" s="159" t="s">
        <v>10501</v>
      </c>
      <c r="AD2155" s="159" t="s">
        <v>10502</v>
      </c>
      <c r="AE2155" s="184" t="s">
        <v>10503</v>
      </c>
      <c r="AF2155" s="201" t="s">
        <v>333</v>
      </c>
      <c r="AG2155" s="160"/>
      <c r="AH2155" s="160"/>
      <c r="AI2155" s="158"/>
      <c r="AJ2155" s="158"/>
      <c r="AK2155" s="158"/>
      <c r="AL2155" s="158"/>
      <c r="AM2155" s="158"/>
      <c r="AN2155" s="158"/>
      <c r="AO2155" s="158"/>
      <c r="AP2155" s="158"/>
      <c r="AQ2155" s="158">
        <v>64</v>
      </c>
      <c r="AR2155" s="507"/>
      <c r="AS2155" s="475"/>
      <c r="AT2155" s="160"/>
    </row>
    <row r="2156" spans="1:46" ht="15" hidden="1" customHeight="1">
      <c r="A2156" s="331">
        <v>2155</v>
      </c>
      <c r="B2156" s="28" t="s">
        <v>191</v>
      </c>
      <c r="C2156" s="159" t="s">
        <v>428</v>
      </c>
      <c r="D2156" s="438" t="s">
        <v>429</v>
      </c>
      <c r="E2156" s="361" t="str">
        <f t="shared" ca="1" si="135"/>
        <v>LOSS</v>
      </c>
      <c r="F2156" s="160" t="s">
        <v>430</v>
      </c>
      <c r="G2156" s="159" t="s">
        <v>430</v>
      </c>
      <c r="H2156" s="160" t="s">
        <v>2748</v>
      </c>
      <c r="I2156" s="160" t="s">
        <v>346</v>
      </c>
      <c r="J2156" s="216" t="s">
        <v>431</v>
      </c>
      <c r="K2156" s="160"/>
      <c r="L2156" s="158"/>
      <c r="M2156" s="158" t="s">
        <v>329</v>
      </c>
      <c r="N2156" s="158" t="s">
        <v>389</v>
      </c>
      <c r="O2156" s="162"/>
      <c r="P2156" s="161">
        <f>8750000*12</f>
        <v>105000000</v>
      </c>
      <c r="Q2156" s="161"/>
      <c r="R2156" s="162"/>
      <c r="S2156" s="163">
        <v>21600000</v>
      </c>
      <c r="T2156" s="164"/>
      <c r="U2156" s="334">
        <v>45679</v>
      </c>
      <c r="V2156" s="334">
        <v>46043</v>
      </c>
      <c r="W2156" s="27" t="s">
        <v>250</v>
      </c>
      <c r="X2156" s="158"/>
      <c r="Y2156" s="34">
        <f t="shared" ca="1" si="137"/>
        <v>46290</v>
      </c>
      <c r="Z2156" s="35">
        <f t="shared" ca="1" si="139"/>
        <v>-247</v>
      </c>
      <c r="AA2156" s="27">
        <f t="shared" si="136"/>
        <v>1</v>
      </c>
      <c r="AB2156" s="27">
        <f t="shared" si="138"/>
        <v>2026</v>
      </c>
      <c r="AC2156" s="159">
        <v>4500022249</v>
      </c>
      <c r="AD2156" s="159" t="s">
        <v>432</v>
      </c>
      <c r="AE2156" s="184" t="s">
        <v>433</v>
      </c>
      <c r="AF2156" s="201" t="s">
        <v>333</v>
      </c>
      <c r="AG2156" s="160"/>
      <c r="AH2156" s="160"/>
      <c r="AI2156" s="158"/>
      <c r="AJ2156" s="158"/>
      <c r="AK2156" s="158"/>
      <c r="AL2156" s="158"/>
      <c r="AM2156" s="158"/>
      <c r="AN2156" s="158"/>
      <c r="AO2156" s="158"/>
      <c r="AP2156" s="158"/>
      <c r="AQ2156" s="158">
        <v>48</v>
      </c>
      <c r="AR2156" s="507"/>
      <c r="AS2156" s="475"/>
      <c r="AT2156" s="160"/>
    </row>
    <row r="2157" spans="1:46" ht="15" hidden="1" customHeight="1">
      <c r="A2157" s="331">
        <v>2156</v>
      </c>
      <c r="B2157" s="28" t="s">
        <v>114</v>
      </c>
      <c r="C2157" s="159" t="s">
        <v>10504</v>
      </c>
      <c r="D2157" s="444" t="s">
        <v>335</v>
      </c>
      <c r="E2157" s="361" t="str">
        <f t="shared" ca="1" si="135"/>
        <v>LOSS</v>
      </c>
      <c r="F2157" s="160"/>
      <c r="G2157" s="159"/>
      <c r="H2157" s="160" t="s">
        <v>2748</v>
      </c>
      <c r="I2157" s="160" t="s">
        <v>242</v>
      </c>
      <c r="J2157" s="159"/>
      <c r="K2157" s="160"/>
      <c r="L2157" s="158"/>
      <c r="M2157" s="158" t="s">
        <v>10505</v>
      </c>
      <c r="N2157" s="158"/>
      <c r="O2157" s="162"/>
      <c r="P2157" s="161">
        <f>344750000*4</f>
        <v>1379000000</v>
      </c>
      <c r="Q2157" s="161"/>
      <c r="R2157" s="162"/>
      <c r="S2157" s="163">
        <v>20800000</v>
      </c>
      <c r="T2157" s="164"/>
      <c r="U2157" s="340">
        <v>45536</v>
      </c>
      <c r="V2157" s="340">
        <v>45657</v>
      </c>
      <c r="W2157" s="27" t="s">
        <v>250</v>
      </c>
      <c r="X2157" s="158"/>
      <c r="Y2157" s="34">
        <f t="shared" ca="1" si="137"/>
        <v>46290</v>
      </c>
      <c r="Z2157" s="35">
        <f t="shared" ca="1" si="139"/>
        <v>-633</v>
      </c>
      <c r="AA2157" s="27">
        <f>MONTH(Table1[[#This Row],[End]])</f>
        <v>12</v>
      </c>
      <c r="AB2157" s="27">
        <f t="shared" ref="AB2157:AB2188" si="140">YEAR(V2157)</f>
        <v>2024</v>
      </c>
      <c r="AC2157" s="159"/>
      <c r="AD2157" s="159" t="s">
        <v>10506</v>
      </c>
      <c r="AE2157" s="184" t="s">
        <v>10507</v>
      </c>
      <c r="AF2157" s="201" t="s">
        <v>9641</v>
      </c>
      <c r="AG2157" s="160"/>
      <c r="AH2157" s="160"/>
      <c r="AI2157" s="158"/>
      <c r="AJ2157" s="158"/>
      <c r="AK2157" s="158"/>
      <c r="AL2157" s="158"/>
      <c r="AM2157" s="158"/>
      <c r="AN2157" s="158"/>
      <c r="AO2157" s="158"/>
      <c r="AP2157" s="158"/>
      <c r="AQ2157" s="158"/>
      <c r="AR2157" s="507"/>
      <c r="AS2157" s="475"/>
      <c r="AT2157" s="160"/>
    </row>
    <row r="2158" spans="1:46" ht="15" hidden="1" customHeight="1">
      <c r="A2158" s="331">
        <v>2157</v>
      </c>
      <c r="B2158" s="159" t="s">
        <v>542</v>
      </c>
      <c r="C2158" s="159" t="s">
        <v>10508</v>
      </c>
      <c r="D2158" s="437" t="s">
        <v>413</v>
      </c>
      <c r="E2158" s="361" t="str">
        <f t="shared" ca="1" si="135"/>
        <v>LOSS</v>
      </c>
      <c r="F2158" s="255" t="s">
        <v>10430</v>
      </c>
      <c r="G2158" s="159" t="s">
        <v>3387</v>
      </c>
      <c r="H2158" s="160" t="s">
        <v>2748</v>
      </c>
      <c r="I2158" s="160" t="s">
        <v>242</v>
      </c>
      <c r="J2158" s="159" t="s">
        <v>2737</v>
      </c>
      <c r="K2158" s="160"/>
      <c r="L2158" s="158"/>
      <c r="M2158" s="158" t="s">
        <v>365</v>
      </c>
      <c r="N2158" s="158" t="s">
        <v>7088</v>
      </c>
      <c r="O2158" s="162"/>
      <c r="P2158" s="161">
        <f>17500000*12</f>
        <v>210000000</v>
      </c>
      <c r="Q2158" s="161"/>
      <c r="R2158" s="162"/>
      <c r="S2158" s="163">
        <v>8000000</v>
      </c>
      <c r="T2158" s="164"/>
      <c r="U2158" s="340">
        <v>45633</v>
      </c>
      <c r="V2158" s="340">
        <v>45997</v>
      </c>
      <c r="W2158" s="27" t="s">
        <v>250</v>
      </c>
      <c r="X2158" s="158"/>
      <c r="Y2158" s="34">
        <f t="shared" ca="1" si="137"/>
        <v>46290</v>
      </c>
      <c r="Z2158" s="35">
        <f t="shared" ca="1" si="139"/>
        <v>-293</v>
      </c>
      <c r="AA2158" s="27">
        <f>MONTH(Table1[[#This Row],[End]])</f>
        <v>12</v>
      </c>
      <c r="AB2158" s="27">
        <f t="shared" si="140"/>
        <v>2025</v>
      </c>
      <c r="AC2158" s="159" t="s">
        <v>10509</v>
      </c>
      <c r="AD2158" s="159" t="s">
        <v>10510</v>
      </c>
      <c r="AE2158" s="184" t="s">
        <v>10511</v>
      </c>
      <c r="AF2158" s="201" t="s">
        <v>333</v>
      </c>
      <c r="AG2158" s="160"/>
      <c r="AH2158" s="160"/>
      <c r="AI2158" s="158"/>
      <c r="AJ2158" s="158"/>
      <c r="AK2158" s="158"/>
      <c r="AL2158" s="158"/>
      <c r="AM2158" s="158"/>
      <c r="AN2158" s="158"/>
      <c r="AO2158" s="158"/>
      <c r="AP2158" s="158"/>
      <c r="AQ2158" s="158">
        <v>323</v>
      </c>
      <c r="AR2158" s="507"/>
      <c r="AS2158" s="475"/>
      <c r="AT2158" s="160"/>
    </row>
    <row r="2159" spans="1:46" ht="15" hidden="1" customHeight="1">
      <c r="A2159" s="331">
        <v>2158</v>
      </c>
      <c r="B2159" s="159" t="s">
        <v>97</v>
      </c>
      <c r="C2159" s="159" t="s">
        <v>1000</v>
      </c>
      <c r="D2159" s="447" t="s">
        <v>2363</v>
      </c>
      <c r="E2159" s="361" t="str">
        <f t="shared" ca="1" si="135"/>
        <v>LOSS</v>
      </c>
      <c r="F2159" s="255" t="s">
        <v>10512</v>
      </c>
      <c r="G2159" s="159" t="s">
        <v>10513</v>
      </c>
      <c r="H2159" s="160" t="s">
        <v>2748</v>
      </c>
      <c r="I2159" s="160" t="s">
        <v>242</v>
      </c>
      <c r="J2159" s="159" t="s">
        <v>8498</v>
      </c>
      <c r="K2159" s="160"/>
      <c r="L2159" s="158"/>
      <c r="M2159" s="158" t="s">
        <v>329</v>
      </c>
      <c r="N2159" s="158" t="s">
        <v>6885</v>
      </c>
      <c r="O2159" s="162"/>
      <c r="P2159" s="161">
        <f>4504505*12</f>
        <v>54054060</v>
      </c>
      <c r="Q2159" s="161"/>
      <c r="R2159" s="162"/>
      <c r="S2159" s="163">
        <v>24000000</v>
      </c>
      <c r="T2159" s="164"/>
      <c r="U2159" s="340">
        <v>45627</v>
      </c>
      <c r="V2159" s="340">
        <v>45991</v>
      </c>
      <c r="W2159" s="27" t="s">
        <v>17</v>
      </c>
      <c r="X2159" s="158"/>
      <c r="Y2159" s="34">
        <f t="shared" ca="1" si="137"/>
        <v>46290</v>
      </c>
      <c r="Z2159" s="35">
        <f t="shared" ca="1" si="139"/>
        <v>-299</v>
      </c>
      <c r="AA2159" s="27">
        <f>MONTH(Table1[[#This Row],[End]])</f>
        <v>11</v>
      </c>
      <c r="AB2159" s="27">
        <f t="shared" si="140"/>
        <v>2025</v>
      </c>
      <c r="AC2159" s="159">
        <v>4500021977</v>
      </c>
      <c r="AD2159" s="159" t="s">
        <v>10514</v>
      </c>
      <c r="AE2159" s="184" t="s">
        <v>10515</v>
      </c>
      <c r="AF2159" s="201" t="s">
        <v>333</v>
      </c>
      <c r="AG2159" s="160"/>
      <c r="AH2159" s="160"/>
      <c r="AI2159" s="158"/>
      <c r="AJ2159" s="158"/>
      <c r="AK2159" s="158"/>
      <c r="AL2159" s="158"/>
      <c r="AM2159" s="158"/>
      <c r="AN2159" s="158"/>
      <c r="AO2159" s="158"/>
      <c r="AP2159" s="158"/>
      <c r="AQ2159" s="158">
        <v>436</v>
      </c>
      <c r="AR2159" s="507"/>
      <c r="AS2159" s="475"/>
      <c r="AT2159" s="160"/>
    </row>
    <row r="2160" spans="1:46" ht="15" hidden="1" customHeight="1">
      <c r="A2160" s="331">
        <v>2159</v>
      </c>
      <c r="B2160" s="159" t="s">
        <v>400</v>
      </c>
      <c r="C2160" s="159" t="s">
        <v>344</v>
      </c>
      <c r="D2160" s="438" t="s">
        <v>6810</v>
      </c>
      <c r="E2160" s="361" t="str">
        <f t="shared" ca="1" si="135"/>
        <v>LOSS</v>
      </c>
      <c r="F2160" s="160" t="s">
        <v>2936</v>
      </c>
      <c r="G2160" s="159" t="s">
        <v>10516</v>
      </c>
      <c r="H2160" s="160" t="s">
        <v>2748</v>
      </c>
      <c r="I2160" s="160" t="s">
        <v>346</v>
      </c>
      <c r="J2160" s="159"/>
      <c r="K2160" s="218" t="s">
        <v>10517</v>
      </c>
      <c r="L2160" s="158"/>
      <c r="M2160" s="190" t="s">
        <v>365</v>
      </c>
      <c r="N2160" s="158"/>
      <c r="O2160" s="162"/>
      <c r="P2160" s="161">
        <f>12700000*12</f>
        <v>152400000</v>
      </c>
      <c r="Q2160" s="161"/>
      <c r="R2160" s="162"/>
      <c r="S2160" s="163">
        <v>57000000</v>
      </c>
      <c r="T2160" s="164"/>
      <c r="U2160" s="340">
        <v>45541</v>
      </c>
      <c r="V2160" s="340">
        <v>45905</v>
      </c>
      <c r="W2160" s="27" t="s">
        <v>17</v>
      </c>
      <c r="X2160" s="158"/>
      <c r="Y2160" s="34">
        <f t="shared" ca="1" si="137"/>
        <v>46290</v>
      </c>
      <c r="Z2160" s="35">
        <f t="shared" ca="1" si="139"/>
        <v>-385</v>
      </c>
      <c r="AA2160" s="27">
        <f>MONTH(Table1[[#This Row],[End]])</f>
        <v>9</v>
      </c>
      <c r="AB2160" s="27">
        <f t="shared" si="140"/>
        <v>2025</v>
      </c>
      <c r="AC2160" s="159" t="s">
        <v>10518</v>
      </c>
      <c r="AD2160" s="182" t="s">
        <v>10519</v>
      </c>
      <c r="AE2160" s="184" t="s">
        <v>10520</v>
      </c>
      <c r="AF2160" s="201" t="s">
        <v>333</v>
      </c>
      <c r="AG2160" s="160"/>
      <c r="AH2160" s="160"/>
      <c r="AI2160" s="158"/>
      <c r="AJ2160" s="158"/>
      <c r="AK2160" s="158"/>
      <c r="AL2160" s="158"/>
      <c r="AM2160" s="158"/>
      <c r="AN2160" s="158"/>
      <c r="AO2160" s="158"/>
      <c r="AP2160" s="158">
        <v>321</v>
      </c>
      <c r="AQ2160" s="158"/>
      <c r="AR2160" s="507"/>
      <c r="AS2160" s="475"/>
      <c r="AT2160" s="160"/>
    </row>
    <row r="2161" spans="1:46" ht="15" hidden="1" customHeight="1">
      <c r="A2161" s="331">
        <v>2160</v>
      </c>
      <c r="B2161" s="159" t="s">
        <v>9872</v>
      </c>
      <c r="C2161" s="159" t="s">
        <v>7757</v>
      </c>
      <c r="D2161" s="437" t="s">
        <v>402</v>
      </c>
      <c r="E2161" s="361" t="str">
        <f t="shared" ca="1" si="135"/>
        <v>LOSS</v>
      </c>
      <c r="F2161" s="160" t="s">
        <v>9874</v>
      </c>
      <c r="G2161" s="159" t="s">
        <v>9875</v>
      </c>
      <c r="H2161" s="160" t="s">
        <v>2748</v>
      </c>
      <c r="I2161" s="160" t="s">
        <v>242</v>
      </c>
      <c r="J2161" s="159" t="s">
        <v>7758</v>
      </c>
      <c r="K2161" s="219">
        <v>1123103000035</v>
      </c>
      <c r="L2161" s="158"/>
      <c r="M2161" s="190" t="s">
        <v>365</v>
      </c>
      <c r="N2161" s="158" t="s">
        <v>389</v>
      </c>
      <c r="O2161" s="162"/>
      <c r="P2161" s="161">
        <f>2500000*12</f>
        <v>30000000</v>
      </c>
      <c r="Q2161" s="161"/>
      <c r="R2161" s="162"/>
      <c r="S2161" s="163">
        <v>1500000</v>
      </c>
      <c r="T2161" s="164"/>
      <c r="U2161" s="340">
        <v>45631</v>
      </c>
      <c r="V2161" s="340">
        <v>45995</v>
      </c>
      <c r="W2161" s="27" t="s">
        <v>17</v>
      </c>
      <c r="X2161" s="158"/>
      <c r="Y2161" s="34">
        <f t="shared" ca="1" si="137"/>
        <v>46290</v>
      </c>
      <c r="Z2161" s="35">
        <f t="shared" ca="1" si="139"/>
        <v>-295</v>
      </c>
      <c r="AA2161" s="27">
        <f>MONTH(Table1[[#This Row],[End]])</f>
        <v>12</v>
      </c>
      <c r="AB2161" s="27">
        <f t="shared" si="140"/>
        <v>2025</v>
      </c>
      <c r="AC2161" s="159" t="s">
        <v>10521</v>
      </c>
      <c r="AD2161" s="159" t="s">
        <v>9877</v>
      </c>
      <c r="AE2161" s="184" t="s">
        <v>9878</v>
      </c>
      <c r="AF2161" s="201" t="s">
        <v>333</v>
      </c>
      <c r="AG2161" s="160"/>
      <c r="AH2161" s="160"/>
      <c r="AI2161" s="158"/>
      <c r="AJ2161" s="158"/>
      <c r="AK2161" s="158"/>
      <c r="AL2161" s="158"/>
      <c r="AM2161" s="158"/>
      <c r="AN2161" s="158"/>
      <c r="AO2161" s="158"/>
      <c r="AP2161" s="158"/>
      <c r="AQ2161" s="158">
        <v>487</v>
      </c>
      <c r="AR2161" s="507"/>
      <c r="AS2161" s="475"/>
      <c r="AT2161" s="160"/>
    </row>
    <row r="2162" spans="1:46" ht="15" hidden="1" customHeight="1">
      <c r="A2162" s="331">
        <v>2161</v>
      </c>
      <c r="B2162" s="159" t="s">
        <v>10522</v>
      </c>
      <c r="C2162" s="159" t="s">
        <v>5989</v>
      </c>
      <c r="D2162" s="434" t="s">
        <v>10523</v>
      </c>
      <c r="E2162" s="361" t="str">
        <f t="shared" ca="1" si="135"/>
        <v>LOSS</v>
      </c>
      <c r="F2162" s="160"/>
      <c r="G2162" s="159" t="s">
        <v>10524</v>
      </c>
      <c r="H2162" s="160" t="s">
        <v>2748</v>
      </c>
      <c r="I2162" s="160" t="s">
        <v>346</v>
      </c>
      <c r="J2162" s="159" t="s">
        <v>10525</v>
      </c>
      <c r="K2162" s="181" t="s">
        <v>8311</v>
      </c>
      <c r="L2162" s="158"/>
      <c r="M2162" s="158" t="s">
        <v>365</v>
      </c>
      <c r="N2162" s="158"/>
      <c r="O2162" s="162"/>
      <c r="P2162" s="161">
        <v>906000000</v>
      </c>
      <c r="Q2162" s="161"/>
      <c r="R2162" s="162"/>
      <c r="S2162" s="163">
        <v>72000000</v>
      </c>
      <c r="T2162" s="164"/>
      <c r="U2162" s="340">
        <v>45733</v>
      </c>
      <c r="V2162" s="340">
        <v>46097</v>
      </c>
      <c r="W2162" s="158" t="s">
        <v>250</v>
      </c>
      <c r="X2162" s="158"/>
      <c r="Y2162" s="34">
        <f t="shared" ca="1" si="137"/>
        <v>46290</v>
      </c>
      <c r="Z2162" s="35">
        <f t="shared" ca="1" si="139"/>
        <v>-193</v>
      </c>
      <c r="AA2162" s="27">
        <f>MONTH(Table1[[#This Row],[End]])</f>
        <v>3</v>
      </c>
      <c r="AB2162" s="27">
        <f t="shared" si="140"/>
        <v>2026</v>
      </c>
      <c r="AC2162" s="159" t="s">
        <v>3371</v>
      </c>
      <c r="AD2162" s="194" t="s">
        <v>10526</v>
      </c>
      <c r="AE2162" s="184" t="s">
        <v>10527</v>
      </c>
      <c r="AF2162" s="201" t="s">
        <v>10528</v>
      </c>
      <c r="AG2162" s="160"/>
      <c r="AH2162" s="160"/>
      <c r="AI2162" s="158"/>
      <c r="AJ2162" s="158"/>
      <c r="AK2162" s="158"/>
      <c r="AL2162" s="158"/>
      <c r="AM2162" s="158"/>
      <c r="AN2162" s="158"/>
      <c r="AO2162" s="158"/>
      <c r="AP2162" s="158"/>
      <c r="AQ2162" s="158">
        <v>28</v>
      </c>
      <c r="AR2162" s="507"/>
      <c r="AS2162" s="475"/>
      <c r="AT2162" s="160"/>
    </row>
    <row r="2163" spans="1:46" ht="15" hidden="1" customHeight="1">
      <c r="A2163" s="331">
        <v>2162</v>
      </c>
      <c r="B2163" s="159" t="s">
        <v>71</v>
      </c>
      <c r="C2163" s="159" t="s">
        <v>684</v>
      </c>
      <c r="D2163" s="437" t="s">
        <v>490</v>
      </c>
      <c r="E2163" s="361" t="str">
        <f t="shared" ca="1" si="135"/>
        <v>LOSS</v>
      </c>
      <c r="F2163" s="160" t="s">
        <v>10529</v>
      </c>
      <c r="G2163" s="159" t="s">
        <v>10529</v>
      </c>
      <c r="H2163" s="160" t="s">
        <v>2748</v>
      </c>
      <c r="I2163" s="160" t="s">
        <v>242</v>
      </c>
      <c r="J2163" s="159" t="s">
        <v>10530</v>
      </c>
      <c r="K2163" s="160"/>
      <c r="L2163" s="158"/>
      <c r="M2163" s="158" t="s">
        <v>329</v>
      </c>
      <c r="N2163" s="158" t="s">
        <v>7088</v>
      </c>
      <c r="O2163" s="162"/>
      <c r="P2163" s="161">
        <f>9000000*12</f>
        <v>108000000</v>
      </c>
      <c r="Q2163" s="161"/>
      <c r="R2163" s="162"/>
      <c r="S2163" s="163">
        <v>18000000</v>
      </c>
      <c r="T2163" s="164"/>
      <c r="U2163" s="340">
        <v>45725</v>
      </c>
      <c r="V2163" s="340">
        <v>46089</v>
      </c>
      <c r="W2163" s="158" t="s">
        <v>250</v>
      </c>
      <c r="X2163" s="158"/>
      <c r="Y2163" s="34">
        <f t="shared" ca="1" si="137"/>
        <v>46290</v>
      </c>
      <c r="Z2163" s="35">
        <f t="shared" ca="1" si="139"/>
        <v>-201</v>
      </c>
      <c r="AA2163" s="27">
        <f>MONTH(Table1[[#This Row],[End]])</f>
        <v>3</v>
      </c>
      <c r="AB2163" s="27">
        <f t="shared" si="140"/>
        <v>2026</v>
      </c>
      <c r="AC2163" s="159">
        <v>4500020054</v>
      </c>
      <c r="AD2163" s="221" t="s">
        <v>10531</v>
      </c>
      <c r="AE2163" s="184" t="s">
        <v>10532</v>
      </c>
      <c r="AF2163" s="201" t="s">
        <v>333</v>
      </c>
      <c r="AG2163" s="160"/>
      <c r="AH2163" s="160"/>
      <c r="AI2163" s="158"/>
      <c r="AJ2163" s="158"/>
      <c r="AK2163" s="158"/>
      <c r="AL2163" s="158"/>
      <c r="AM2163" s="158"/>
      <c r="AN2163" s="158"/>
      <c r="AO2163" s="158"/>
      <c r="AP2163" s="158"/>
      <c r="AQ2163" s="158">
        <v>77</v>
      </c>
      <c r="AR2163" s="507"/>
      <c r="AS2163" s="475"/>
      <c r="AT2163" s="160"/>
    </row>
    <row r="2164" spans="1:46" ht="15" hidden="1" customHeight="1">
      <c r="A2164" s="331">
        <v>2163</v>
      </c>
      <c r="B2164" s="159" t="s">
        <v>71</v>
      </c>
      <c r="C2164" s="159" t="s">
        <v>3789</v>
      </c>
      <c r="D2164" s="438" t="s">
        <v>490</v>
      </c>
      <c r="E2164" s="361" t="str">
        <f t="shared" ca="1" si="135"/>
        <v>LOSS</v>
      </c>
      <c r="F2164" s="255" t="s">
        <v>10533</v>
      </c>
      <c r="G2164" s="159" t="s">
        <v>10534</v>
      </c>
      <c r="H2164" s="160" t="s">
        <v>2748</v>
      </c>
      <c r="I2164" s="160" t="s">
        <v>242</v>
      </c>
      <c r="J2164" s="205" t="s">
        <v>10535</v>
      </c>
      <c r="K2164" s="160"/>
      <c r="L2164" s="158"/>
      <c r="M2164" s="190" t="s">
        <v>365</v>
      </c>
      <c r="N2164" s="158" t="s">
        <v>417</v>
      </c>
      <c r="O2164" s="162"/>
      <c r="P2164" s="161">
        <f>2847500*12</f>
        <v>34170000</v>
      </c>
      <c r="Q2164" s="161"/>
      <c r="R2164" s="162"/>
      <c r="S2164" s="163">
        <v>18000000</v>
      </c>
      <c r="T2164" s="164"/>
      <c r="U2164" s="340">
        <v>45731</v>
      </c>
      <c r="V2164" s="340">
        <v>46095</v>
      </c>
      <c r="W2164" s="158" t="s">
        <v>250</v>
      </c>
      <c r="X2164" s="158"/>
      <c r="Y2164" s="34">
        <f t="shared" ca="1" si="137"/>
        <v>46290</v>
      </c>
      <c r="Z2164" s="35">
        <f t="shared" ca="1" si="139"/>
        <v>-195</v>
      </c>
      <c r="AA2164" s="27">
        <f>MONTH(Table1[[#This Row],[End]])</f>
        <v>3</v>
      </c>
      <c r="AB2164" s="27">
        <f t="shared" si="140"/>
        <v>2026</v>
      </c>
      <c r="AC2164" s="159">
        <v>4500022626</v>
      </c>
      <c r="AD2164" s="159" t="s">
        <v>10536</v>
      </c>
      <c r="AE2164" s="184" t="s">
        <v>10537</v>
      </c>
      <c r="AF2164" s="201" t="s">
        <v>333</v>
      </c>
      <c r="AG2164" s="160"/>
      <c r="AH2164" s="160"/>
      <c r="AI2164" s="158"/>
      <c r="AJ2164" s="158"/>
      <c r="AK2164" s="158"/>
      <c r="AL2164" s="158"/>
      <c r="AM2164" s="158"/>
      <c r="AN2164" s="158"/>
      <c r="AO2164" s="158"/>
      <c r="AP2164" s="158"/>
      <c r="AQ2164" s="158">
        <v>76</v>
      </c>
      <c r="AR2164" s="507"/>
      <c r="AS2164" s="475"/>
      <c r="AT2164" s="160"/>
    </row>
    <row r="2165" spans="1:46" ht="15" hidden="1" customHeight="1">
      <c r="A2165" s="331">
        <v>2164</v>
      </c>
      <c r="B2165" s="159" t="s">
        <v>71</v>
      </c>
      <c r="C2165" s="159" t="s">
        <v>596</v>
      </c>
      <c r="D2165" s="437" t="s">
        <v>490</v>
      </c>
      <c r="E2165" s="361" t="str">
        <f t="shared" ca="1" si="135"/>
        <v>LOSS</v>
      </c>
      <c r="F2165" s="160" t="s">
        <v>10538</v>
      </c>
      <c r="G2165" s="159" t="s">
        <v>10539</v>
      </c>
      <c r="H2165" s="160" t="s">
        <v>2748</v>
      </c>
      <c r="I2165" s="160" t="s">
        <v>242</v>
      </c>
      <c r="J2165" s="205" t="s">
        <v>84</v>
      </c>
      <c r="K2165" s="160"/>
      <c r="L2165" s="158"/>
      <c r="M2165" s="158" t="s">
        <v>365</v>
      </c>
      <c r="N2165" s="158" t="s">
        <v>354</v>
      </c>
      <c r="O2165" s="162"/>
      <c r="P2165" s="161">
        <f>5900000*12</f>
        <v>70800000</v>
      </c>
      <c r="Q2165" s="161"/>
      <c r="R2165" s="162"/>
      <c r="S2165" s="163">
        <v>18000000</v>
      </c>
      <c r="T2165" s="164"/>
      <c r="U2165" s="340">
        <v>45739</v>
      </c>
      <c r="V2165" s="340">
        <v>46103</v>
      </c>
      <c r="W2165" s="158" t="s">
        <v>250</v>
      </c>
      <c r="X2165" s="158"/>
      <c r="Y2165" s="34">
        <f t="shared" ca="1" si="137"/>
        <v>46290</v>
      </c>
      <c r="Z2165" s="35">
        <f t="shared" ca="1" si="139"/>
        <v>-187</v>
      </c>
      <c r="AA2165" s="27">
        <f>MONTH(Table1[[#This Row],[End]])</f>
        <v>3</v>
      </c>
      <c r="AB2165" s="27">
        <f t="shared" si="140"/>
        <v>2026</v>
      </c>
      <c r="AC2165" s="159">
        <v>4500022624</v>
      </c>
      <c r="AD2165" s="159" t="s">
        <v>10540</v>
      </c>
      <c r="AE2165" s="184" t="s">
        <v>10541</v>
      </c>
      <c r="AF2165" s="201" t="s">
        <v>333</v>
      </c>
      <c r="AG2165" s="160"/>
      <c r="AH2165" s="160"/>
      <c r="AI2165" s="158"/>
      <c r="AJ2165" s="158"/>
      <c r="AK2165" s="158"/>
      <c r="AL2165" s="158"/>
      <c r="AM2165" s="158"/>
      <c r="AN2165" s="158"/>
      <c r="AO2165" s="158"/>
      <c r="AP2165" s="158"/>
      <c r="AQ2165" s="158">
        <v>75</v>
      </c>
      <c r="AR2165" s="507"/>
      <c r="AS2165" s="475"/>
      <c r="AT2165" s="160"/>
    </row>
    <row r="2166" spans="1:46" ht="15" hidden="1" customHeight="1">
      <c r="A2166" s="331">
        <v>2165</v>
      </c>
      <c r="B2166" s="159" t="s">
        <v>71</v>
      </c>
      <c r="C2166" s="159" t="s">
        <v>6643</v>
      </c>
      <c r="D2166" s="438" t="s">
        <v>490</v>
      </c>
      <c r="E2166" s="361" t="str">
        <f t="shared" ca="1" si="135"/>
        <v>LOSS</v>
      </c>
      <c r="F2166" s="160"/>
      <c r="G2166" s="159" t="s">
        <v>10542</v>
      </c>
      <c r="H2166" s="160" t="s">
        <v>2748</v>
      </c>
      <c r="I2166" s="160" t="s">
        <v>242</v>
      </c>
      <c r="J2166" s="205" t="s">
        <v>9904</v>
      </c>
      <c r="K2166" s="160"/>
      <c r="L2166" s="158"/>
      <c r="M2166" s="158" t="s">
        <v>365</v>
      </c>
      <c r="N2166" s="158" t="s">
        <v>389</v>
      </c>
      <c r="O2166" s="162">
        <v>7000000</v>
      </c>
      <c r="P2166" s="161">
        <f>16000000*12</f>
        <v>192000000</v>
      </c>
      <c r="Q2166" s="161"/>
      <c r="R2166" s="162">
        <v>4000000</v>
      </c>
      <c r="S2166" s="163">
        <f>2000000*12</f>
        <v>24000000</v>
      </c>
      <c r="T2166" s="164"/>
      <c r="U2166" s="340">
        <v>45595</v>
      </c>
      <c r="V2166" s="340">
        <v>45960</v>
      </c>
      <c r="W2166" s="158" t="s">
        <v>250</v>
      </c>
      <c r="X2166" s="158"/>
      <c r="Y2166" s="34">
        <f t="shared" ca="1" si="137"/>
        <v>46290</v>
      </c>
      <c r="Z2166" s="35">
        <f t="shared" ca="1" si="139"/>
        <v>-330</v>
      </c>
      <c r="AA2166" s="27">
        <f>MONTH(Table1[[#This Row],[End]])</f>
        <v>10</v>
      </c>
      <c r="AB2166" s="27">
        <f t="shared" si="140"/>
        <v>2025</v>
      </c>
      <c r="AC2166" s="159" t="s">
        <v>3371</v>
      </c>
      <c r="AD2166" s="159" t="s">
        <v>10543</v>
      </c>
      <c r="AE2166" s="184" t="s">
        <v>10544</v>
      </c>
      <c r="AF2166" s="201" t="s">
        <v>333</v>
      </c>
      <c r="AG2166" s="160"/>
      <c r="AH2166" s="160"/>
      <c r="AI2166" s="158"/>
      <c r="AJ2166" s="158"/>
      <c r="AK2166" s="158"/>
      <c r="AL2166" s="158"/>
      <c r="AM2166" s="158"/>
      <c r="AN2166" s="158"/>
      <c r="AO2166" s="158"/>
      <c r="AP2166" s="158"/>
      <c r="AQ2166" s="158">
        <v>86</v>
      </c>
      <c r="AR2166" s="507"/>
      <c r="AS2166" s="475"/>
      <c r="AT2166" s="160"/>
    </row>
    <row r="2167" spans="1:46" ht="15" hidden="1" customHeight="1">
      <c r="A2167" s="331">
        <v>2166</v>
      </c>
      <c r="B2167" s="28" t="s">
        <v>129</v>
      </c>
      <c r="C2167" s="159" t="s">
        <v>10545</v>
      </c>
      <c r="D2167" s="438" t="s">
        <v>2447</v>
      </c>
      <c r="E2167" s="361" t="str">
        <f t="shared" ca="1" si="135"/>
        <v>LOSS</v>
      </c>
      <c r="F2167" s="160"/>
      <c r="G2167" s="159" t="s">
        <v>10546</v>
      </c>
      <c r="H2167" s="160" t="s">
        <v>2748</v>
      </c>
      <c r="I2167" s="160" t="s">
        <v>346</v>
      </c>
      <c r="J2167" s="159"/>
      <c r="K2167" s="181" t="s">
        <v>10547</v>
      </c>
      <c r="L2167" s="158"/>
      <c r="M2167" s="158" t="s">
        <v>6776</v>
      </c>
      <c r="N2167" s="158" t="s">
        <v>362</v>
      </c>
      <c r="O2167" s="162"/>
      <c r="P2167" s="161">
        <f>5500000*12</f>
        <v>66000000</v>
      </c>
      <c r="Q2167" s="161"/>
      <c r="R2167" s="162"/>
      <c r="S2167" s="163">
        <v>630000</v>
      </c>
      <c r="T2167" s="164"/>
      <c r="U2167" s="340">
        <v>45707</v>
      </c>
      <c r="V2167" s="340">
        <v>46071</v>
      </c>
      <c r="W2167" s="158" t="s">
        <v>250</v>
      </c>
      <c r="X2167" s="158"/>
      <c r="Y2167" s="34">
        <f t="shared" ca="1" si="137"/>
        <v>46290</v>
      </c>
      <c r="Z2167" s="35">
        <f t="shared" ca="1" si="139"/>
        <v>-219</v>
      </c>
      <c r="AA2167" s="27">
        <f>MONTH(Table1[[#This Row],[End]])</f>
        <v>2</v>
      </c>
      <c r="AB2167" s="27">
        <f t="shared" si="140"/>
        <v>2026</v>
      </c>
      <c r="AC2167" s="159" t="s">
        <v>10548</v>
      </c>
      <c r="AD2167" s="159" t="s">
        <v>10549</v>
      </c>
      <c r="AE2167" s="184" t="s">
        <v>10550</v>
      </c>
      <c r="AF2167" s="201" t="s">
        <v>399</v>
      </c>
      <c r="AG2167" s="160"/>
      <c r="AH2167" s="160"/>
      <c r="AI2167" s="158"/>
      <c r="AJ2167" s="158"/>
      <c r="AK2167" s="158"/>
      <c r="AL2167" s="158"/>
      <c r="AM2167" s="158"/>
      <c r="AN2167" s="158"/>
      <c r="AO2167" s="158"/>
      <c r="AP2167" s="158"/>
      <c r="AQ2167" s="158">
        <v>80</v>
      </c>
      <c r="AR2167" s="507"/>
      <c r="AS2167" s="475"/>
      <c r="AT2167" s="160"/>
    </row>
    <row r="2168" spans="1:46" ht="15" hidden="1" customHeight="1">
      <c r="A2168" s="331">
        <v>2167</v>
      </c>
      <c r="B2168" s="28" t="s">
        <v>129</v>
      </c>
      <c r="C2168" s="159" t="s">
        <v>2506</v>
      </c>
      <c r="D2168" s="438" t="s">
        <v>2447</v>
      </c>
      <c r="E2168" s="361" t="str">
        <f t="shared" ca="1" si="135"/>
        <v>LOSS</v>
      </c>
      <c r="F2168" s="160"/>
      <c r="G2168" s="221" t="s">
        <v>10551</v>
      </c>
      <c r="H2168" s="160" t="s">
        <v>2748</v>
      </c>
      <c r="I2168" s="160" t="s">
        <v>346</v>
      </c>
      <c r="J2168" s="181" t="s">
        <v>132</v>
      </c>
      <c r="K2168" s="181"/>
      <c r="L2168" s="158"/>
      <c r="M2168" s="158" t="s">
        <v>353</v>
      </c>
      <c r="N2168" s="158" t="s">
        <v>389</v>
      </c>
      <c r="O2168" s="162"/>
      <c r="P2168" s="161">
        <f>12000000*12</f>
        <v>144000000</v>
      </c>
      <c r="Q2168" s="161"/>
      <c r="R2168" s="162"/>
      <c r="S2168" s="163">
        <v>15750000</v>
      </c>
      <c r="T2168" s="164"/>
      <c r="U2168" s="340">
        <v>45711</v>
      </c>
      <c r="V2168" s="340">
        <v>46075</v>
      </c>
      <c r="W2168" s="158" t="s">
        <v>250</v>
      </c>
      <c r="X2168" s="158"/>
      <c r="Y2168" s="34">
        <f t="shared" ca="1" si="137"/>
        <v>46290</v>
      </c>
      <c r="Z2168" s="35">
        <f t="shared" ca="1" si="139"/>
        <v>-215</v>
      </c>
      <c r="AA2168" s="27">
        <f>MONTH(Table1[[#This Row],[End]])</f>
        <v>2</v>
      </c>
      <c r="AB2168" s="27">
        <f t="shared" si="140"/>
        <v>2026</v>
      </c>
      <c r="AC2168" s="159" t="s">
        <v>10552</v>
      </c>
      <c r="AD2168" s="159" t="s">
        <v>10553</v>
      </c>
      <c r="AE2168" s="184" t="s">
        <v>10554</v>
      </c>
      <c r="AF2168" s="201" t="s">
        <v>399</v>
      </c>
      <c r="AG2168" s="160"/>
      <c r="AH2168" s="160"/>
      <c r="AI2168" s="158"/>
      <c r="AJ2168" s="158"/>
      <c r="AK2168" s="158"/>
      <c r="AL2168" s="158"/>
      <c r="AM2168" s="158"/>
      <c r="AN2168" s="158"/>
      <c r="AO2168" s="158"/>
      <c r="AP2168" s="158"/>
      <c r="AQ2168" s="158">
        <v>79</v>
      </c>
      <c r="AR2168" s="507"/>
      <c r="AS2168" s="475"/>
      <c r="AT2168" s="160"/>
    </row>
    <row r="2169" spans="1:46" ht="15" hidden="1" customHeight="1">
      <c r="A2169" s="331">
        <v>2168</v>
      </c>
      <c r="B2169" s="28" t="s">
        <v>129</v>
      </c>
      <c r="C2169" s="159" t="s">
        <v>8892</v>
      </c>
      <c r="D2169" s="437" t="s">
        <v>2447</v>
      </c>
      <c r="E2169" s="361" t="str">
        <f t="shared" ca="1" si="135"/>
        <v>LOSS</v>
      </c>
      <c r="F2169" s="160"/>
      <c r="G2169" s="159" t="s">
        <v>10555</v>
      </c>
      <c r="H2169" s="160" t="s">
        <v>2748</v>
      </c>
      <c r="I2169" s="160" t="s">
        <v>346</v>
      </c>
      <c r="J2169" s="205" t="s">
        <v>10556</v>
      </c>
      <c r="K2169" s="160"/>
      <c r="L2169" s="158"/>
      <c r="M2169" s="158" t="s">
        <v>6776</v>
      </c>
      <c r="N2169" s="158" t="s">
        <v>362</v>
      </c>
      <c r="O2169" s="162"/>
      <c r="P2169" s="161">
        <f>5000000*12</f>
        <v>60000000</v>
      </c>
      <c r="Q2169" s="161"/>
      <c r="R2169" s="162"/>
      <c r="S2169" s="163">
        <v>23625000</v>
      </c>
      <c r="T2169" s="164"/>
      <c r="U2169" s="340">
        <v>45722</v>
      </c>
      <c r="V2169" s="340">
        <v>46086</v>
      </c>
      <c r="W2169" s="158" t="s">
        <v>250</v>
      </c>
      <c r="X2169" s="158"/>
      <c r="Y2169" s="34">
        <f t="shared" ca="1" si="137"/>
        <v>46290</v>
      </c>
      <c r="Z2169" s="35">
        <f t="shared" ca="1" si="139"/>
        <v>-204</v>
      </c>
      <c r="AA2169" s="27">
        <f>MONTH(Table1[[#This Row],[End]])</f>
        <v>3</v>
      </c>
      <c r="AB2169" s="27">
        <f t="shared" si="140"/>
        <v>2026</v>
      </c>
      <c r="AC2169" s="159" t="s">
        <v>10557</v>
      </c>
      <c r="AD2169" s="159" t="s">
        <v>10558</v>
      </c>
      <c r="AE2169" s="184" t="s">
        <v>10559</v>
      </c>
      <c r="AF2169" s="201" t="s">
        <v>399</v>
      </c>
      <c r="AG2169" s="160"/>
      <c r="AH2169" s="160"/>
      <c r="AI2169" s="158"/>
      <c r="AJ2169" s="158"/>
      <c r="AK2169" s="158"/>
      <c r="AL2169" s="158"/>
      <c r="AM2169" s="158"/>
      <c r="AN2169" s="158"/>
      <c r="AO2169" s="158"/>
      <c r="AP2169" s="158"/>
      <c r="AQ2169" s="158">
        <v>78</v>
      </c>
      <c r="AR2169" s="507"/>
      <c r="AS2169" s="475"/>
      <c r="AT2169" s="160"/>
    </row>
    <row r="2170" spans="1:46" ht="15" hidden="1" customHeight="1">
      <c r="A2170" s="331">
        <v>2169</v>
      </c>
      <c r="B2170" s="28" t="s">
        <v>129</v>
      </c>
      <c r="C2170" s="159" t="s">
        <v>2610</v>
      </c>
      <c r="D2170" s="438" t="s">
        <v>2447</v>
      </c>
      <c r="E2170" s="361" t="str">
        <f t="shared" ca="1" si="135"/>
        <v>LOSS</v>
      </c>
      <c r="F2170" s="206" t="s">
        <v>10560</v>
      </c>
      <c r="G2170" s="159" t="s">
        <v>10561</v>
      </c>
      <c r="H2170" s="160" t="s">
        <v>2748</v>
      </c>
      <c r="I2170" s="160" t="s">
        <v>346</v>
      </c>
      <c r="J2170" s="205"/>
      <c r="K2170" s="219">
        <v>110120501409</v>
      </c>
      <c r="L2170" s="158"/>
      <c r="M2170" s="158" t="s">
        <v>329</v>
      </c>
      <c r="N2170" s="158" t="s">
        <v>417</v>
      </c>
      <c r="O2170" s="162"/>
      <c r="P2170" s="161">
        <f>2545455*12</f>
        <v>30545460</v>
      </c>
      <c r="Q2170" s="161"/>
      <c r="R2170" s="162"/>
      <c r="S2170" s="163">
        <v>42525000</v>
      </c>
      <c r="T2170" s="164"/>
      <c r="U2170" s="340">
        <v>45729</v>
      </c>
      <c r="V2170" s="340">
        <v>46093</v>
      </c>
      <c r="W2170" s="158" t="s">
        <v>250</v>
      </c>
      <c r="X2170" s="158"/>
      <c r="Y2170" s="34">
        <f t="shared" ca="1" si="137"/>
        <v>46290</v>
      </c>
      <c r="Z2170" s="35">
        <f t="shared" ca="1" si="139"/>
        <v>-197</v>
      </c>
      <c r="AA2170" s="27">
        <f>MONTH(Table1[[#This Row],[End]])</f>
        <v>3</v>
      </c>
      <c r="AB2170" s="27">
        <f t="shared" si="140"/>
        <v>2026</v>
      </c>
      <c r="AC2170" s="159">
        <v>4500022161</v>
      </c>
      <c r="AD2170" s="159" t="s">
        <v>10562</v>
      </c>
      <c r="AE2170" s="184" t="s">
        <v>10563</v>
      </c>
      <c r="AF2170" s="201" t="s">
        <v>399</v>
      </c>
      <c r="AG2170" s="160"/>
      <c r="AH2170" s="160"/>
      <c r="AI2170" s="158"/>
      <c r="AJ2170" s="158"/>
      <c r="AK2170" s="158"/>
      <c r="AL2170" s="158"/>
      <c r="AM2170" s="158"/>
      <c r="AN2170" s="158"/>
      <c r="AO2170" s="158"/>
      <c r="AP2170" s="158"/>
      <c r="AQ2170" s="158">
        <v>85</v>
      </c>
      <c r="AR2170" s="507"/>
      <c r="AS2170" s="475"/>
      <c r="AT2170" s="160"/>
    </row>
    <row r="2171" spans="1:46" ht="15" hidden="1" customHeight="1">
      <c r="A2171" s="331">
        <v>2170</v>
      </c>
      <c r="B2171" s="159" t="s">
        <v>450</v>
      </c>
      <c r="C2171" s="159" t="s">
        <v>1000</v>
      </c>
      <c r="D2171" s="437" t="s">
        <v>452</v>
      </c>
      <c r="E2171" s="361" t="str">
        <f t="shared" ca="1" si="135"/>
        <v>LOSS</v>
      </c>
      <c r="F2171" s="160"/>
      <c r="G2171" s="159" t="s">
        <v>10564</v>
      </c>
      <c r="H2171" s="160" t="s">
        <v>2748</v>
      </c>
      <c r="I2171" s="160" t="s">
        <v>242</v>
      </c>
      <c r="J2171" s="159"/>
      <c r="K2171" s="181" t="s">
        <v>10565</v>
      </c>
      <c r="L2171" s="158"/>
      <c r="M2171" s="158" t="s">
        <v>329</v>
      </c>
      <c r="N2171" s="158" t="s">
        <v>9995</v>
      </c>
      <c r="O2171" s="162"/>
      <c r="P2171" s="161">
        <f>2272727*12</f>
        <v>27272724</v>
      </c>
      <c r="Q2171" s="161"/>
      <c r="R2171" s="162"/>
      <c r="S2171" s="163">
        <v>12000000</v>
      </c>
      <c r="T2171" s="164"/>
      <c r="U2171" s="340">
        <v>45739</v>
      </c>
      <c r="V2171" s="340">
        <v>46103</v>
      </c>
      <c r="W2171" s="158" t="s">
        <v>250</v>
      </c>
      <c r="X2171" s="158"/>
      <c r="Y2171" s="34">
        <f t="shared" ca="1" si="137"/>
        <v>46290</v>
      </c>
      <c r="Z2171" s="35">
        <f t="shared" ca="1" si="139"/>
        <v>-187</v>
      </c>
      <c r="AA2171" s="27">
        <f>MONTH(Table1[[#This Row],[End]])</f>
        <v>3</v>
      </c>
      <c r="AB2171" s="27">
        <f t="shared" si="140"/>
        <v>2026</v>
      </c>
      <c r="AC2171" s="159" t="s">
        <v>10566</v>
      </c>
      <c r="AD2171" s="159" t="s">
        <v>10567</v>
      </c>
      <c r="AE2171" s="184" t="s">
        <v>10568</v>
      </c>
      <c r="AF2171" s="201" t="s">
        <v>399</v>
      </c>
      <c r="AG2171" s="160"/>
      <c r="AH2171" s="160"/>
      <c r="AI2171" s="158"/>
      <c r="AJ2171" s="158"/>
      <c r="AK2171" s="158"/>
      <c r="AL2171" s="158"/>
      <c r="AM2171" s="158"/>
      <c r="AN2171" s="158"/>
      <c r="AO2171" s="158"/>
      <c r="AP2171" s="158"/>
      <c r="AQ2171" s="158">
        <v>90</v>
      </c>
      <c r="AR2171" s="507"/>
      <c r="AS2171" s="475"/>
      <c r="AT2171" s="160"/>
    </row>
    <row r="2172" spans="1:46" ht="15" hidden="1" customHeight="1">
      <c r="A2172" s="331">
        <v>2171</v>
      </c>
      <c r="B2172" s="159" t="s">
        <v>450</v>
      </c>
      <c r="C2172" s="159" t="s">
        <v>10569</v>
      </c>
      <c r="D2172" s="438" t="s">
        <v>452</v>
      </c>
      <c r="E2172" s="361" t="str">
        <f t="shared" ca="1" si="135"/>
        <v>LOSS</v>
      </c>
      <c r="F2172" s="160"/>
      <c r="G2172" s="159" t="s">
        <v>4573</v>
      </c>
      <c r="H2172" s="160" t="s">
        <v>2748</v>
      </c>
      <c r="I2172" s="160" t="s">
        <v>242</v>
      </c>
      <c r="J2172" s="205" t="s">
        <v>10570</v>
      </c>
      <c r="K2172" s="160"/>
      <c r="L2172" s="158"/>
      <c r="M2172" s="158" t="s">
        <v>365</v>
      </c>
      <c r="N2172" s="158" t="s">
        <v>417</v>
      </c>
      <c r="O2172" s="162"/>
      <c r="P2172" s="161">
        <f>4100000*12</f>
        <v>49200000</v>
      </c>
      <c r="Q2172" s="161"/>
      <c r="R2172" s="162"/>
      <c r="S2172" s="163">
        <v>12000000</v>
      </c>
      <c r="T2172" s="164"/>
      <c r="U2172" s="340">
        <v>45739</v>
      </c>
      <c r="V2172" s="340">
        <v>46103</v>
      </c>
      <c r="W2172" s="158" t="s">
        <v>250</v>
      </c>
      <c r="X2172" s="158"/>
      <c r="Y2172" s="34">
        <f t="shared" ca="1" si="137"/>
        <v>46290</v>
      </c>
      <c r="Z2172" s="35">
        <f t="shared" ca="1" si="139"/>
        <v>-187</v>
      </c>
      <c r="AA2172" s="27">
        <f>MONTH(Table1[[#This Row],[End]])</f>
        <v>3</v>
      </c>
      <c r="AB2172" s="27">
        <f t="shared" si="140"/>
        <v>2026</v>
      </c>
      <c r="AC2172" s="159" t="s">
        <v>10571</v>
      </c>
      <c r="AD2172" s="294" t="s">
        <v>10572</v>
      </c>
      <c r="AE2172" s="184" t="s">
        <v>10573</v>
      </c>
      <c r="AF2172" s="201" t="s">
        <v>399</v>
      </c>
      <c r="AG2172" s="160"/>
      <c r="AH2172" s="160"/>
      <c r="AI2172" s="158"/>
      <c r="AJ2172" s="158"/>
      <c r="AK2172" s="158"/>
      <c r="AL2172" s="158"/>
      <c r="AM2172" s="158"/>
      <c r="AN2172" s="158"/>
      <c r="AO2172" s="158"/>
      <c r="AP2172" s="158"/>
      <c r="AQ2172" s="158">
        <v>91</v>
      </c>
      <c r="AR2172" s="507"/>
      <c r="AS2172" s="475"/>
      <c r="AT2172" s="160"/>
    </row>
    <row r="2173" spans="1:46" ht="15" hidden="1" customHeight="1">
      <c r="A2173" s="331">
        <v>2172</v>
      </c>
      <c r="B2173" s="159" t="s">
        <v>526</v>
      </c>
      <c r="C2173" s="159" t="s">
        <v>3973</v>
      </c>
      <c r="D2173" s="437" t="s">
        <v>4122</v>
      </c>
      <c r="E2173" s="361" t="str">
        <f t="shared" ca="1" si="135"/>
        <v>LOSS</v>
      </c>
      <c r="F2173" s="160" t="s">
        <v>10574</v>
      </c>
      <c r="G2173" s="159" t="s">
        <v>10575</v>
      </c>
      <c r="H2173" s="160" t="s">
        <v>2748</v>
      </c>
      <c r="I2173" s="160" t="s">
        <v>346</v>
      </c>
      <c r="J2173" s="159"/>
      <c r="K2173" s="295">
        <v>110120511064</v>
      </c>
      <c r="L2173" s="158"/>
      <c r="M2173" s="158" t="s">
        <v>329</v>
      </c>
      <c r="N2173" s="158" t="s">
        <v>6885</v>
      </c>
      <c r="O2173" s="162"/>
      <c r="P2173" s="161">
        <f>2086300*12</f>
        <v>25035600</v>
      </c>
      <c r="Q2173" s="161"/>
      <c r="R2173" s="162"/>
      <c r="S2173" s="163">
        <v>15480000</v>
      </c>
      <c r="T2173" s="164"/>
      <c r="U2173" s="340">
        <v>45684</v>
      </c>
      <c r="V2173" s="340">
        <v>46048</v>
      </c>
      <c r="W2173" s="158" t="s">
        <v>250</v>
      </c>
      <c r="X2173" s="158"/>
      <c r="Y2173" s="34">
        <f t="shared" ca="1" si="137"/>
        <v>46290</v>
      </c>
      <c r="Z2173" s="35">
        <f t="shared" ca="1" si="139"/>
        <v>-242</v>
      </c>
      <c r="AA2173" s="27">
        <f>MONTH(Table1[[#This Row],[End]])</f>
        <v>1</v>
      </c>
      <c r="AB2173" s="27">
        <f t="shared" si="140"/>
        <v>2026</v>
      </c>
      <c r="AC2173" s="159">
        <v>4500022247</v>
      </c>
      <c r="AD2173" s="159" t="s">
        <v>10576</v>
      </c>
      <c r="AE2173" s="184" t="s">
        <v>10577</v>
      </c>
      <c r="AF2173" s="201" t="s">
        <v>399</v>
      </c>
      <c r="AG2173" s="160"/>
      <c r="AH2173" s="160"/>
      <c r="AI2173" s="158"/>
      <c r="AJ2173" s="158"/>
      <c r="AK2173" s="158"/>
      <c r="AL2173" s="158"/>
      <c r="AM2173" s="158"/>
      <c r="AN2173" s="158"/>
      <c r="AO2173" s="158"/>
      <c r="AP2173" s="158"/>
      <c r="AQ2173" s="158">
        <v>81</v>
      </c>
      <c r="AR2173" s="507"/>
      <c r="AS2173" s="475"/>
      <c r="AT2173" s="160"/>
    </row>
    <row r="2174" spans="1:46" ht="15" hidden="1" customHeight="1">
      <c r="A2174" s="331">
        <v>2173</v>
      </c>
      <c r="B2174" s="159" t="s">
        <v>10578</v>
      </c>
      <c r="C2174" s="159" t="s">
        <v>428</v>
      </c>
      <c r="D2174" s="438" t="s">
        <v>429</v>
      </c>
      <c r="E2174" s="361" t="str">
        <f t="shared" ca="1" si="135"/>
        <v>LOSS</v>
      </c>
      <c r="F2174" s="160" t="s">
        <v>430</v>
      </c>
      <c r="G2174" s="159" t="s">
        <v>430</v>
      </c>
      <c r="H2174" s="160" t="s">
        <v>2748</v>
      </c>
      <c r="I2174" s="160" t="s">
        <v>242</v>
      </c>
      <c r="J2174" s="181" t="s">
        <v>431</v>
      </c>
      <c r="K2174" s="218"/>
      <c r="L2174" s="158"/>
      <c r="M2174" s="158" t="s">
        <v>329</v>
      </c>
      <c r="N2174" s="158" t="s">
        <v>389</v>
      </c>
      <c r="O2174" s="162"/>
      <c r="P2174" s="161">
        <f>8750000*12</f>
        <v>105000000</v>
      </c>
      <c r="Q2174" s="161"/>
      <c r="R2174" s="162"/>
      <c r="S2174" s="163">
        <v>12000000</v>
      </c>
      <c r="T2174" s="164"/>
      <c r="U2174" s="340">
        <v>45754</v>
      </c>
      <c r="V2174" s="340">
        <v>46118</v>
      </c>
      <c r="W2174" s="158" t="s">
        <v>250</v>
      </c>
      <c r="X2174" s="158"/>
      <c r="Y2174" s="34">
        <f t="shared" ca="1" si="137"/>
        <v>46290</v>
      </c>
      <c r="Z2174" s="35">
        <f t="shared" ca="1" si="139"/>
        <v>-172</v>
      </c>
      <c r="AA2174" s="27">
        <f>MONTH(Table1[[#This Row],[End]])</f>
        <v>4</v>
      </c>
      <c r="AB2174" s="27">
        <f t="shared" si="140"/>
        <v>2026</v>
      </c>
      <c r="AC2174" s="159" t="s">
        <v>10579</v>
      </c>
      <c r="AD2174" s="159" t="s">
        <v>10580</v>
      </c>
      <c r="AE2174" s="184" t="s">
        <v>10581</v>
      </c>
      <c r="AF2174" s="201" t="s">
        <v>399</v>
      </c>
      <c r="AG2174" s="160"/>
      <c r="AH2174" s="160"/>
      <c r="AI2174" s="158"/>
      <c r="AJ2174" s="158"/>
      <c r="AK2174" s="158"/>
      <c r="AL2174" s="158"/>
      <c r="AM2174" s="158"/>
      <c r="AN2174" s="158"/>
      <c r="AO2174" s="158"/>
      <c r="AP2174" s="158"/>
      <c r="AQ2174" s="158">
        <v>74</v>
      </c>
      <c r="AR2174" s="507"/>
      <c r="AS2174" s="475"/>
      <c r="AT2174" s="160"/>
    </row>
    <row r="2175" spans="1:46" ht="15" hidden="1" customHeight="1">
      <c r="A2175" s="331">
        <v>2174</v>
      </c>
      <c r="B2175" s="159" t="s">
        <v>221</v>
      </c>
      <c r="C2175" s="159" t="s">
        <v>421</v>
      </c>
      <c r="D2175" s="438" t="s">
        <v>369</v>
      </c>
      <c r="E2175" s="361" t="str">
        <f t="shared" ca="1" si="135"/>
        <v>LOSS</v>
      </c>
      <c r="F2175" s="160"/>
      <c r="G2175" s="159" t="s">
        <v>422</v>
      </c>
      <c r="H2175" s="160" t="s">
        <v>2748</v>
      </c>
      <c r="I2175" s="160" t="s">
        <v>242</v>
      </c>
      <c r="J2175" s="205" t="s">
        <v>423</v>
      </c>
      <c r="K2175" s="160"/>
      <c r="L2175" s="158"/>
      <c r="M2175" s="158" t="s">
        <v>329</v>
      </c>
      <c r="N2175" s="158" t="s">
        <v>424</v>
      </c>
      <c r="O2175" s="162"/>
      <c r="P2175" s="161">
        <f>1100000*12</f>
        <v>13200000</v>
      </c>
      <c r="Q2175" s="161"/>
      <c r="R2175" s="162"/>
      <c r="S2175" s="163">
        <v>6000000</v>
      </c>
      <c r="T2175" s="164"/>
      <c r="U2175" s="340">
        <v>45680</v>
      </c>
      <c r="V2175" s="340">
        <v>46044</v>
      </c>
      <c r="W2175" s="158" t="s">
        <v>250</v>
      </c>
      <c r="X2175" s="158"/>
      <c r="Y2175" s="34">
        <f t="shared" ca="1" si="137"/>
        <v>46290</v>
      </c>
      <c r="Z2175" s="35">
        <f t="shared" ca="1" si="139"/>
        <v>-246</v>
      </c>
      <c r="AA2175" s="27">
        <f>MONTH(Table1[[#This Row],[End]])</f>
        <v>1</v>
      </c>
      <c r="AB2175" s="27">
        <f t="shared" si="140"/>
        <v>2026</v>
      </c>
      <c r="AC2175" s="159" t="s">
        <v>425</v>
      </c>
      <c r="AD2175" s="182" t="s">
        <v>426</v>
      </c>
      <c r="AE2175" s="184" t="s">
        <v>427</v>
      </c>
      <c r="AF2175" s="201" t="s">
        <v>399</v>
      </c>
      <c r="AG2175" s="160"/>
      <c r="AH2175" s="160"/>
      <c r="AI2175" s="158"/>
      <c r="AJ2175" s="158"/>
      <c r="AK2175" s="158"/>
      <c r="AL2175" s="158"/>
      <c r="AM2175" s="158"/>
      <c r="AN2175" s="158"/>
      <c r="AO2175" s="158"/>
      <c r="AP2175" s="158"/>
      <c r="AQ2175" s="158">
        <v>89</v>
      </c>
      <c r="AR2175" s="507"/>
      <c r="AS2175" s="475"/>
      <c r="AT2175" s="160"/>
    </row>
    <row r="2176" spans="1:46" ht="15" hidden="1" customHeight="1">
      <c r="A2176" s="331">
        <v>2175</v>
      </c>
      <c r="B2176" s="159" t="s">
        <v>169</v>
      </c>
      <c r="C2176" s="159" t="s">
        <v>344</v>
      </c>
      <c r="D2176" s="438" t="s">
        <v>377</v>
      </c>
      <c r="E2176" s="361" t="str">
        <f t="shared" ca="1" si="135"/>
        <v>LOSS</v>
      </c>
      <c r="F2176" s="160"/>
      <c r="G2176" s="159" t="s">
        <v>8853</v>
      </c>
      <c r="H2176" s="160" t="s">
        <v>2748</v>
      </c>
      <c r="I2176" s="160" t="s">
        <v>242</v>
      </c>
      <c r="J2176" s="216" t="s">
        <v>10582</v>
      </c>
      <c r="K2176" s="218" t="s">
        <v>10583</v>
      </c>
      <c r="L2176" s="158"/>
      <c r="M2176" s="190" t="s">
        <v>365</v>
      </c>
      <c r="N2176" s="158"/>
      <c r="O2176" s="162"/>
      <c r="P2176" s="161"/>
      <c r="Q2176" s="161"/>
      <c r="R2176" s="162">
        <v>1500000</v>
      </c>
      <c r="S2176" s="163">
        <f>1500000*12</f>
        <v>18000000</v>
      </c>
      <c r="T2176" s="164"/>
      <c r="U2176" s="340">
        <v>45730</v>
      </c>
      <c r="V2176" s="340">
        <v>46094</v>
      </c>
      <c r="W2176" s="158" t="s">
        <v>17</v>
      </c>
      <c r="X2176" s="158"/>
      <c r="Y2176" s="34">
        <f t="shared" ca="1" si="137"/>
        <v>46290</v>
      </c>
      <c r="Z2176" s="35">
        <f t="shared" ca="1" si="139"/>
        <v>-196</v>
      </c>
      <c r="AA2176" s="27">
        <f>MONTH(Table1[[#This Row],[End]])</f>
        <v>3</v>
      </c>
      <c r="AB2176" s="27">
        <f t="shared" si="140"/>
        <v>2026</v>
      </c>
      <c r="AC2176" s="159" t="s">
        <v>3371</v>
      </c>
      <c r="AD2176" s="159" t="s">
        <v>10584</v>
      </c>
      <c r="AE2176" s="184" t="s">
        <v>10585</v>
      </c>
      <c r="AF2176" s="201" t="s">
        <v>399</v>
      </c>
      <c r="AG2176" s="160"/>
      <c r="AH2176" s="160"/>
      <c r="AI2176" s="158"/>
      <c r="AJ2176" s="158"/>
      <c r="AK2176" s="158"/>
      <c r="AL2176" s="158"/>
      <c r="AM2176" s="158"/>
      <c r="AN2176" s="158"/>
      <c r="AO2176" s="158"/>
      <c r="AP2176" s="158"/>
      <c r="AQ2176" s="158">
        <v>88</v>
      </c>
      <c r="AR2176" s="507"/>
      <c r="AS2176" s="475"/>
      <c r="AT2176" s="160"/>
    </row>
    <row r="2177" spans="1:46" ht="15" hidden="1" customHeight="1">
      <c r="A2177" s="331">
        <v>2176</v>
      </c>
      <c r="B2177" s="159" t="s">
        <v>1280</v>
      </c>
      <c r="C2177" s="159" t="s">
        <v>1281</v>
      </c>
      <c r="D2177" s="434" t="s">
        <v>1282</v>
      </c>
      <c r="E2177" s="361" t="str">
        <f t="shared" ca="1" si="135"/>
        <v>LOSS</v>
      </c>
      <c r="F2177" s="203" t="s">
        <v>10586</v>
      </c>
      <c r="G2177" s="159" t="s">
        <v>10587</v>
      </c>
      <c r="H2177" s="160" t="s">
        <v>2748</v>
      </c>
      <c r="I2177" s="160" t="s">
        <v>346</v>
      </c>
      <c r="J2177" s="205" t="s">
        <v>10588</v>
      </c>
      <c r="K2177" s="160"/>
      <c r="L2177" s="158"/>
      <c r="M2177" s="158" t="s">
        <v>365</v>
      </c>
      <c r="N2177" s="158" t="s">
        <v>494</v>
      </c>
      <c r="O2177" s="162"/>
      <c r="P2177" s="161">
        <f>10000000*12</f>
        <v>120000000</v>
      </c>
      <c r="Q2177" s="161"/>
      <c r="R2177" s="162"/>
      <c r="S2177" s="163">
        <v>78000000</v>
      </c>
      <c r="T2177" s="164"/>
      <c r="U2177" s="340">
        <v>45721</v>
      </c>
      <c r="V2177" s="340">
        <v>46085</v>
      </c>
      <c r="W2177" s="158" t="s">
        <v>245</v>
      </c>
      <c r="X2177" s="158"/>
      <c r="Y2177" s="34">
        <f t="shared" ca="1" si="137"/>
        <v>46290</v>
      </c>
      <c r="Z2177" s="35">
        <f t="shared" ca="1" si="139"/>
        <v>-205</v>
      </c>
      <c r="AA2177" s="27">
        <f>MONTH(Table1[[#This Row],[End]])</f>
        <v>3</v>
      </c>
      <c r="AB2177" s="27">
        <f t="shared" si="140"/>
        <v>2026</v>
      </c>
      <c r="AC2177" s="159" t="s">
        <v>10589</v>
      </c>
      <c r="AD2177" s="159" t="s">
        <v>10590</v>
      </c>
      <c r="AE2177" s="184" t="s">
        <v>10591</v>
      </c>
      <c r="AF2177" s="201" t="s">
        <v>399</v>
      </c>
      <c r="AG2177" s="160"/>
      <c r="AH2177" s="160" t="s">
        <v>10592</v>
      </c>
      <c r="AI2177" s="158"/>
      <c r="AJ2177" s="158"/>
      <c r="AK2177" s="158"/>
      <c r="AL2177" s="158"/>
      <c r="AM2177" s="158"/>
      <c r="AN2177" s="158"/>
      <c r="AO2177" s="158"/>
      <c r="AP2177" s="158"/>
      <c r="AQ2177" s="158">
        <v>87</v>
      </c>
      <c r="AR2177" s="507"/>
      <c r="AS2177" s="475"/>
      <c r="AT2177" s="160"/>
    </row>
    <row r="2178" spans="1:46" ht="15" hidden="1" customHeight="1">
      <c r="A2178" s="331">
        <v>2177</v>
      </c>
      <c r="B2178" s="159" t="s">
        <v>2615</v>
      </c>
      <c r="C2178" s="159" t="s">
        <v>8833</v>
      </c>
      <c r="D2178" s="438" t="s">
        <v>6750</v>
      </c>
      <c r="E2178" s="361" t="str">
        <f t="shared" ref="E2178:E2241" ca="1" si="141">IF(Z2178&lt;=0, "LOSS",IF(Z2178&lt;=15, "CRITICAL",IF(Z2178&lt;=30, "WARNING",IF(Z2178&lt;60, "ATTENTION", "ON TRACK"))))</f>
        <v>LOSS</v>
      </c>
      <c r="F2178" s="218" t="s">
        <v>10593</v>
      </c>
      <c r="G2178" s="205" t="s">
        <v>10594</v>
      </c>
      <c r="H2178" s="160" t="s">
        <v>2748</v>
      </c>
      <c r="I2178" s="160" t="s">
        <v>346</v>
      </c>
      <c r="J2178" s="205" t="s">
        <v>58</v>
      </c>
      <c r="K2178" s="160"/>
      <c r="L2178" s="158"/>
      <c r="M2178" s="158" t="s">
        <v>10595</v>
      </c>
      <c r="N2178" s="158" t="s">
        <v>373</v>
      </c>
      <c r="O2178" s="162"/>
      <c r="P2178" s="161">
        <f>53928000*12</f>
        <v>647136000</v>
      </c>
      <c r="Q2178" s="161"/>
      <c r="R2178" s="162"/>
      <c r="S2178" s="163">
        <v>24000000</v>
      </c>
      <c r="T2178" s="164"/>
      <c r="U2178" s="340">
        <v>45750</v>
      </c>
      <c r="V2178" s="340">
        <v>46114</v>
      </c>
      <c r="W2178" s="158" t="s">
        <v>250</v>
      </c>
      <c r="X2178" s="158"/>
      <c r="Y2178" s="34">
        <f t="shared" ca="1" si="137"/>
        <v>46290</v>
      </c>
      <c r="Z2178" s="35">
        <f t="shared" ca="1" si="139"/>
        <v>-176</v>
      </c>
      <c r="AA2178" s="27">
        <f>MONTH(Table1[[#This Row],[End]])</f>
        <v>4</v>
      </c>
      <c r="AB2178" s="27">
        <f t="shared" si="140"/>
        <v>2026</v>
      </c>
      <c r="AC2178" s="159" t="s">
        <v>10596</v>
      </c>
      <c r="AD2178" s="182" t="s">
        <v>10597</v>
      </c>
      <c r="AE2178" s="184" t="s">
        <v>10598</v>
      </c>
      <c r="AF2178" s="201" t="s">
        <v>399</v>
      </c>
      <c r="AG2178" s="160"/>
      <c r="AH2178" s="174" t="s">
        <v>6757</v>
      </c>
      <c r="AI2178" s="158"/>
      <c r="AJ2178" s="158"/>
      <c r="AK2178" s="158"/>
      <c r="AL2178" s="158"/>
      <c r="AM2178" s="158"/>
      <c r="AN2178" s="158"/>
      <c r="AO2178" s="158"/>
      <c r="AP2178" s="158"/>
      <c r="AQ2178" s="158">
        <v>84</v>
      </c>
      <c r="AR2178" s="507"/>
      <c r="AS2178" s="475"/>
      <c r="AT2178" s="160"/>
    </row>
    <row r="2179" spans="1:46" ht="15" hidden="1" customHeight="1">
      <c r="A2179" s="331">
        <v>2178</v>
      </c>
      <c r="B2179" s="159" t="s">
        <v>9556</v>
      </c>
      <c r="C2179" s="159" t="s">
        <v>2501</v>
      </c>
      <c r="D2179" s="437" t="s">
        <v>6750</v>
      </c>
      <c r="E2179" s="361" t="str">
        <f t="shared" ca="1" si="141"/>
        <v>LOSS</v>
      </c>
      <c r="F2179" s="160" t="s">
        <v>10599</v>
      </c>
      <c r="G2179" s="159" t="s">
        <v>10599</v>
      </c>
      <c r="H2179" s="160" t="s">
        <v>2748</v>
      </c>
      <c r="I2179" s="160" t="s">
        <v>242</v>
      </c>
      <c r="J2179" s="159"/>
      <c r="K2179" s="181" t="s">
        <v>10600</v>
      </c>
      <c r="L2179" s="158"/>
      <c r="M2179" s="158" t="s">
        <v>329</v>
      </c>
      <c r="N2179" s="158" t="s">
        <v>406</v>
      </c>
      <c r="O2179" s="162"/>
      <c r="P2179" s="161">
        <f>11000000*12</f>
        <v>132000000</v>
      </c>
      <c r="Q2179" s="161"/>
      <c r="R2179" s="162"/>
      <c r="S2179" s="163">
        <v>12000000</v>
      </c>
      <c r="T2179" s="164"/>
      <c r="U2179" s="340">
        <v>45737</v>
      </c>
      <c r="V2179" s="340">
        <v>46101</v>
      </c>
      <c r="W2179" s="158" t="s">
        <v>250</v>
      </c>
      <c r="X2179" s="158"/>
      <c r="Y2179" s="34">
        <f t="shared" ca="1" si="137"/>
        <v>46290</v>
      </c>
      <c r="Z2179" s="35">
        <f t="shared" ca="1" si="139"/>
        <v>-189</v>
      </c>
      <c r="AA2179" s="27">
        <f>MONTH(Table1[[#This Row],[End]])</f>
        <v>3</v>
      </c>
      <c r="AB2179" s="27">
        <f t="shared" si="140"/>
        <v>2026</v>
      </c>
      <c r="AC2179" s="159" t="s">
        <v>10601</v>
      </c>
      <c r="AD2179" s="159" t="s">
        <v>10602</v>
      </c>
      <c r="AE2179" s="184" t="s">
        <v>10603</v>
      </c>
      <c r="AF2179" s="201" t="s">
        <v>399</v>
      </c>
      <c r="AG2179" s="160"/>
      <c r="AH2179" s="160"/>
      <c r="AI2179" s="158"/>
      <c r="AJ2179" s="158"/>
      <c r="AK2179" s="158"/>
      <c r="AL2179" s="158"/>
      <c r="AM2179" s="158"/>
      <c r="AN2179" s="158"/>
      <c r="AO2179" s="158"/>
      <c r="AP2179" s="158"/>
      <c r="AQ2179" s="158">
        <v>83</v>
      </c>
      <c r="AR2179" s="507"/>
      <c r="AS2179" s="475"/>
      <c r="AT2179" s="160"/>
    </row>
    <row r="2180" spans="1:46" ht="15" hidden="1" customHeight="1">
      <c r="A2180" s="331">
        <v>2179</v>
      </c>
      <c r="B2180" s="159" t="s">
        <v>9562</v>
      </c>
      <c r="C2180" s="159" t="s">
        <v>9563</v>
      </c>
      <c r="D2180" s="438" t="s">
        <v>9557</v>
      </c>
      <c r="E2180" s="361" t="str">
        <f t="shared" ca="1" si="141"/>
        <v>LOSS</v>
      </c>
      <c r="F2180" s="160"/>
      <c r="G2180" s="159" t="s">
        <v>10604</v>
      </c>
      <c r="H2180" s="160" t="s">
        <v>2748</v>
      </c>
      <c r="I2180" s="160" t="s">
        <v>346</v>
      </c>
      <c r="J2180" s="205" t="s">
        <v>10605</v>
      </c>
      <c r="K2180" s="218" t="s">
        <v>10606</v>
      </c>
      <c r="L2180" s="158"/>
      <c r="M2180" s="158" t="s">
        <v>6776</v>
      </c>
      <c r="N2180" s="158" t="s">
        <v>406</v>
      </c>
      <c r="O2180" s="162"/>
      <c r="P2180" s="161">
        <f>2500000*12</f>
        <v>30000000</v>
      </c>
      <c r="Q2180" s="161"/>
      <c r="R2180" s="162"/>
      <c r="S2180" s="163">
        <v>25000000</v>
      </c>
      <c r="T2180" s="164"/>
      <c r="U2180" s="340">
        <v>45691</v>
      </c>
      <c r="V2180" s="340">
        <v>46055</v>
      </c>
      <c r="W2180" s="158" t="s">
        <v>245</v>
      </c>
      <c r="X2180" s="158"/>
      <c r="Y2180" s="34">
        <f t="shared" ca="1" si="137"/>
        <v>46290</v>
      </c>
      <c r="Z2180" s="35">
        <f t="shared" ca="1" si="139"/>
        <v>-235</v>
      </c>
      <c r="AA2180" s="27">
        <f>MONTH(Table1[[#This Row],[End]])</f>
        <v>2</v>
      </c>
      <c r="AB2180" s="27">
        <f t="shared" si="140"/>
        <v>2026</v>
      </c>
      <c r="AC2180" s="159" t="s">
        <v>10607</v>
      </c>
      <c r="AD2180" s="182" t="s">
        <v>10608</v>
      </c>
      <c r="AE2180" s="184" t="s">
        <v>10609</v>
      </c>
      <c r="AF2180" s="201" t="s">
        <v>399</v>
      </c>
      <c r="AG2180" s="160"/>
      <c r="AH2180" s="160"/>
      <c r="AI2180" s="158"/>
      <c r="AJ2180" s="158"/>
      <c r="AK2180" s="158"/>
      <c r="AL2180" s="158"/>
      <c r="AM2180" s="158"/>
      <c r="AN2180" s="158"/>
      <c r="AO2180" s="158"/>
      <c r="AP2180" s="158"/>
      <c r="AQ2180" s="158">
        <v>82</v>
      </c>
      <c r="AR2180" s="507"/>
      <c r="AS2180" s="475"/>
      <c r="AT2180" s="160"/>
    </row>
    <row r="2181" spans="1:46" ht="15" hidden="1" customHeight="1">
      <c r="A2181" s="331">
        <v>2180</v>
      </c>
      <c r="B2181" s="159" t="s">
        <v>1663</v>
      </c>
      <c r="C2181" s="159" t="s">
        <v>10610</v>
      </c>
      <c r="D2181" s="438" t="s">
        <v>10073</v>
      </c>
      <c r="E2181" s="361" t="str">
        <f t="shared" ca="1" si="141"/>
        <v>LOSS</v>
      </c>
      <c r="F2181" s="160"/>
      <c r="G2181" s="159" t="s">
        <v>10611</v>
      </c>
      <c r="H2181" s="160" t="s">
        <v>2748</v>
      </c>
      <c r="I2181" s="160" t="s">
        <v>346</v>
      </c>
      <c r="J2181" s="205" t="s">
        <v>10612</v>
      </c>
      <c r="K2181" s="160"/>
      <c r="L2181" s="158"/>
      <c r="M2181" s="158" t="s">
        <v>365</v>
      </c>
      <c r="N2181" s="158"/>
      <c r="O2181" s="162">
        <v>3000000</v>
      </c>
      <c r="P2181" s="161">
        <f>4000000*12</f>
        <v>48000000</v>
      </c>
      <c r="Q2181" s="161"/>
      <c r="R2181" s="162"/>
      <c r="S2181" s="163">
        <v>10000000</v>
      </c>
      <c r="T2181" s="164"/>
      <c r="U2181" s="340">
        <v>45707</v>
      </c>
      <c r="V2181" s="340">
        <v>46071</v>
      </c>
      <c r="W2181" s="158" t="s">
        <v>250</v>
      </c>
      <c r="X2181" s="158"/>
      <c r="Y2181" s="34">
        <f t="shared" ca="1" si="137"/>
        <v>46290</v>
      </c>
      <c r="Z2181" s="35">
        <f t="shared" ca="1" si="139"/>
        <v>-219</v>
      </c>
      <c r="AA2181" s="27">
        <f>MONTH(Table1[[#This Row],[End]])</f>
        <v>2</v>
      </c>
      <c r="AB2181" s="27">
        <f t="shared" si="140"/>
        <v>2026</v>
      </c>
      <c r="AC2181" s="159" t="s">
        <v>3371</v>
      </c>
      <c r="AD2181" s="159" t="s">
        <v>10613</v>
      </c>
      <c r="AE2181" s="184" t="s">
        <v>10614</v>
      </c>
      <c r="AF2181" s="201" t="s">
        <v>399</v>
      </c>
      <c r="AG2181" s="160"/>
      <c r="AH2181" s="160"/>
      <c r="AI2181" s="158"/>
      <c r="AJ2181" s="158"/>
      <c r="AK2181" s="158"/>
      <c r="AL2181" s="158"/>
      <c r="AM2181" s="158"/>
      <c r="AN2181" s="158"/>
      <c r="AO2181" s="158"/>
      <c r="AP2181" s="158"/>
      <c r="AQ2181" s="158">
        <v>92</v>
      </c>
      <c r="AR2181" s="507"/>
      <c r="AS2181" s="475"/>
      <c r="AT2181" s="160"/>
    </row>
    <row r="2182" spans="1:46" ht="15" hidden="1" customHeight="1">
      <c r="A2182" s="331">
        <v>2181</v>
      </c>
      <c r="B2182" s="159" t="s">
        <v>10615</v>
      </c>
      <c r="C2182" s="182" t="s">
        <v>10616</v>
      </c>
      <c r="D2182" s="438" t="s">
        <v>10073</v>
      </c>
      <c r="E2182" s="361" t="str">
        <f t="shared" ca="1" si="141"/>
        <v>LOSS</v>
      </c>
      <c r="F2182" s="160"/>
      <c r="G2182" s="182" t="s">
        <v>10617</v>
      </c>
      <c r="H2182" s="160" t="s">
        <v>2748</v>
      </c>
      <c r="I2182" s="160" t="s">
        <v>346</v>
      </c>
      <c r="J2182" s="159" t="s">
        <v>10618</v>
      </c>
      <c r="K2182" s="203" t="s">
        <v>10619</v>
      </c>
      <c r="L2182" s="158"/>
      <c r="M2182" s="158" t="s">
        <v>329</v>
      </c>
      <c r="N2182" s="158" t="s">
        <v>9995</v>
      </c>
      <c r="O2182" s="162"/>
      <c r="P2182" s="161">
        <f>9500000*12</f>
        <v>114000000</v>
      </c>
      <c r="Q2182" s="161"/>
      <c r="R2182" s="162"/>
      <c r="S2182" s="163">
        <v>55656402</v>
      </c>
      <c r="T2182" s="164"/>
      <c r="U2182" s="340">
        <v>45658</v>
      </c>
      <c r="V2182" s="340">
        <v>46022</v>
      </c>
      <c r="W2182" s="158" t="s">
        <v>17</v>
      </c>
      <c r="X2182" s="158"/>
      <c r="Y2182" s="34">
        <f t="shared" ca="1" si="137"/>
        <v>46290</v>
      </c>
      <c r="Z2182" s="35">
        <f t="shared" ca="1" si="139"/>
        <v>-268</v>
      </c>
      <c r="AA2182" s="27">
        <f>MONTH(Table1[[#This Row],[End]])</f>
        <v>12</v>
      </c>
      <c r="AB2182" s="27">
        <f t="shared" si="140"/>
        <v>2025</v>
      </c>
      <c r="AC2182" s="159">
        <v>4500022713</v>
      </c>
      <c r="AD2182" s="159" t="s">
        <v>10202</v>
      </c>
      <c r="AE2182" s="184" t="s">
        <v>10203</v>
      </c>
      <c r="AF2182" s="201" t="s">
        <v>339</v>
      </c>
      <c r="AG2182" s="160"/>
      <c r="AH2182" s="160"/>
      <c r="AI2182" s="158"/>
      <c r="AJ2182" s="158"/>
      <c r="AK2182" s="158"/>
      <c r="AL2182" s="158"/>
      <c r="AM2182" s="158"/>
      <c r="AN2182" s="158"/>
      <c r="AO2182" s="158"/>
      <c r="AP2182" s="158"/>
      <c r="AQ2182" s="158">
        <v>206</v>
      </c>
      <c r="AR2182" s="507"/>
      <c r="AS2182" s="475"/>
      <c r="AT2182" s="160"/>
    </row>
    <row r="2183" spans="1:46" ht="15" hidden="1" customHeight="1">
      <c r="A2183" s="331">
        <v>2182</v>
      </c>
      <c r="B2183" s="159" t="s">
        <v>962</v>
      </c>
      <c r="C2183" s="159" t="s">
        <v>10031</v>
      </c>
      <c r="D2183" s="446"/>
      <c r="E2183" s="361" t="str">
        <f t="shared" ca="1" si="141"/>
        <v>LOSS</v>
      </c>
      <c r="F2183" s="203" t="s">
        <v>10620</v>
      </c>
      <c r="G2183" s="159"/>
      <c r="H2183" s="160" t="s">
        <v>2748</v>
      </c>
      <c r="I2183" s="160" t="s">
        <v>346</v>
      </c>
      <c r="J2183" s="159"/>
      <c r="K2183" s="160" t="s">
        <v>10621</v>
      </c>
      <c r="L2183" s="158"/>
      <c r="M2183" s="158" t="s">
        <v>329</v>
      </c>
      <c r="N2183" s="158" t="s">
        <v>7193</v>
      </c>
      <c r="O2183" s="162"/>
      <c r="P2183" s="161">
        <f>8000000*12</f>
        <v>96000000</v>
      </c>
      <c r="Q2183" s="161"/>
      <c r="R2183" s="162"/>
      <c r="S2183" s="163">
        <v>36000000</v>
      </c>
      <c r="T2183" s="164"/>
      <c r="U2183" s="340">
        <v>45566</v>
      </c>
      <c r="V2183" s="340">
        <v>45930</v>
      </c>
      <c r="W2183" s="158" t="s">
        <v>245</v>
      </c>
      <c r="X2183" s="158"/>
      <c r="Y2183" s="34">
        <f t="shared" ca="1" si="137"/>
        <v>46290</v>
      </c>
      <c r="Z2183" s="35">
        <f t="shared" ca="1" si="139"/>
        <v>-360</v>
      </c>
      <c r="AA2183" s="27">
        <f>MONTH(Table1[[#This Row],[End]])</f>
        <v>9</v>
      </c>
      <c r="AB2183" s="27">
        <f t="shared" si="140"/>
        <v>2025</v>
      </c>
      <c r="AC2183" s="159">
        <v>4500021955</v>
      </c>
      <c r="AD2183" s="159" t="s">
        <v>10622</v>
      </c>
      <c r="AE2183" s="184" t="s">
        <v>10623</v>
      </c>
      <c r="AF2183" s="201" t="s">
        <v>339</v>
      </c>
      <c r="AG2183" s="160"/>
      <c r="AH2183" s="160"/>
      <c r="AI2183" s="158"/>
      <c r="AJ2183" s="158"/>
      <c r="AK2183" s="158"/>
      <c r="AL2183" s="158"/>
      <c r="AM2183" s="158"/>
      <c r="AN2183" s="158"/>
      <c r="AO2183" s="158"/>
      <c r="AP2183" s="158">
        <v>290</v>
      </c>
      <c r="AQ2183" s="158"/>
      <c r="AR2183" s="507"/>
      <c r="AS2183" s="475"/>
      <c r="AT2183" s="160"/>
    </row>
    <row r="2184" spans="1:46" ht="15" hidden="1" customHeight="1">
      <c r="A2184" s="331">
        <v>2183</v>
      </c>
      <c r="B2184" s="159" t="s">
        <v>542</v>
      </c>
      <c r="C2184" s="159" t="s">
        <v>2632</v>
      </c>
      <c r="D2184" s="437" t="s">
        <v>413</v>
      </c>
      <c r="E2184" s="361" t="str">
        <f t="shared" ca="1" si="141"/>
        <v>LOSS</v>
      </c>
      <c r="F2184" s="160"/>
      <c r="G2184" s="159" t="s">
        <v>10624</v>
      </c>
      <c r="H2184" s="160" t="s">
        <v>2748</v>
      </c>
      <c r="I2184" s="160" t="s">
        <v>242</v>
      </c>
      <c r="J2184" s="159"/>
      <c r="K2184" s="160" t="s">
        <v>10625</v>
      </c>
      <c r="L2184" s="158"/>
      <c r="M2184" s="158" t="s">
        <v>365</v>
      </c>
      <c r="N2184" s="158"/>
      <c r="O2184" s="162"/>
      <c r="P2184" s="161">
        <f>12600000*12</f>
        <v>151200000</v>
      </c>
      <c r="Q2184" s="161"/>
      <c r="R2184" s="162"/>
      <c r="S2184" s="163">
        <v>8000000</v>
      </c>
      <c r="T2184" s="164"/>
      <c r="U2184" s="340">
        <v>45488</v>
      </c>
      <c r="V2184" s="340">
        <v>45852</v>
      </c>
      <c r="W2184" s="158" t="s">
        <v>250</v>
      </c>
      <c r="X2184" s="158"/>
      <c r="Y2184" s="34">
        <f t="shared" ca="1" si="137"/>
        <v>46290</v>
      </c>
      <c r="Z2184" s="35">
        <f t="shared" ca="1" si="139"/>
        <v>-438</v>
      </c>
      <c r="AA2184" s="27">
        <f>MONTH(Table1[[#This Row],[End]])</f>
        <v>7</v>
      </c>
      <c r="AB2184" s="27">
        <f t="shared" si="140"/>
        <v>2025</v>
      </c>
      <c r="AC2184" s="159">
        <v>4500023075</v>
      </c>
      <c r="AD2184" s="159" t="s">
        <v>10626</v>
      </c>
      <c r="AE2184" s="184" t="s">
        <v>10627</v>
      </c>
      <c r="AF2184" s="201" t="s">
        <v>339</v>
      </c>
      <c r="AG2184" s="160"/>
      <c r="AH2184" s="160"/>
      <c r="AI2184" s="158"/>
      <c r="AJ2184" s="158"/>
      <c r="AK2184" s="158"/>
      <c r="AL2184" s="158"/>
      <c r="AM2184" s="158"/>
      <c r="AN2184" s="158"/>
      <c r="AO2184" s="158"/>
      <c r="AP2184" s="158">
        <v>291</v>
      </c>
      <c r="AQ2184" s="158"/>
      <c r="AR2184" s="507"/>
      <c r="AS2184" s="475"/>
      <c r="AT2184" s="160"/>
    </row>
    <row r="2185" spans="1:46" ht="15" hidden="1" customHeight="1">
      <c r="A2185" s="331">
        <v>2184</v>
      </c>
      <c r="B2185" s="159" t="s">
        <v>542</v>
      </c>
      <c r="C2185" s="159" t="s">
        <v>10628</v>
      </c>
      <c r="D2185" s="437" t="s">
        <v>413</v>
      </c>
      <c r="E2185" s="361" t="str">
        <f t="shared" ca="1" si="141"/>
        <v>LOSS</v>
      </c>
      <c r="F2185" s="160"/>
      <c r="G2185" s="159" t="s">
        <v>10629</v>
      </c>
      <c r="H2185" s="160" t="s">
        <v>2748</v>
      </c>
      <c r="I2185" s="160" t="s">
        <v>242</v>
      </c>
      <c r="J2185" s="159"/>
      <c r="K2185" s="295">
        <v>110130307765</v>
      </c>
      <c r="L2185" s="158"/>
      <c r="M2185" s="158" t="s">
        <v>365</v>
      </c>
      <c r="N2185" s="158" t="s">
        <v>6856</v>
      </c>
      <c r="O2185" s="162"/>
      <c r="P2185" s="161">
        <f>8000000*12</f>
        <v>96000000</v>
      </c>
      <c r="Q2185" s="161"/>
      <c r="R2185" s="162"/>
      <c r="S2185" s="163">
        <v>8000000</v>
      </c>
      <c r="T2185" s="164"/>
      <c r="U2185" s="340">
        <v>45633</v>
      </c>
      <c r="V2185" s="340">
        <v>45997</v>
      </c>
      <c r="W2185" s="158" t="s">
        <v>250</v>
      </c>
      <c r="X2185" s="158"/>
      <c r="Y2185" s="34">
        <f t="shared" ca="1" si="137"/>
        <v>46290</v>
      </c>
      <c r="Z2185" s="35">
        <f t="shared" ca="1" si="139"/>
        <v>-293</v>
      </c>
      <c r="AA2185" s="27">
        <f>MONTH(Table1[[#This Row],[End]])</f>
        <v>12</v>
      </c>
      <c r="AB2185" s="27">
        <f t="shared" si="140"/>
        <v>2025</v>
      </c>
      <c r="AC2185" s="159">
        <v>4500021978</v>
      </c>
      <c r="AD2185" s="159" t="s">
        <v>10630</v>
      </c>
      <c r="AE2185" s="184" t="s">
        <v>10631</v>
      </c>
      <c r="AF2185" s="201" t="s">
        <v>339</v>
      </c>
      <c r="AG2185" s="160"/>
      <c r="AH2185" s="160"/>
      <c r="AI2185" s="158"/>
      <c r="AJ2185" s="158"/>
      <c r="AK2185" s="158"/>
      <c r="AL2185" s="158"/>
      <c r="AM2185" s="158"/>
      <c r="AN2185" s="158"/>
      <c r="AO2185" s="158"/>
      <c r="AP2185" s="158">
        <v>292</v>
      </c>
      <c r="AQ2185" s="158"/>
      <c r="AR2185" s="507"/>
      <c r="AS2185" s="475"/>
      <c r="AT2185" s="160"/>
    </row>
    <row r="2186" spans="1:46" ht="15" hidden="1" customHeight="1">
      <c r="A2186" s="331">
        <v>2185</v>
      </c>
      <c r="B2186" s="159" t="s">
        <v>4069</v>
      </c>
      <c r="C2186" s="182" t="s">
        <v>10632</v>
      </c>
      <c r="D2186" s="159" t="s">
        <v>4071</v>
      </c>
      <c r="E2186" s="361" t="str">
        <f t="shared" ca="1" si="141"/>
        <v>LOSS</v>
      </c>
      <c r="F2186" s="160" t="s">
        <v>10633</v>
      </c>
      <c r="G2186" s="159" t="s">
        <v>10634</v>
      </c>
      <c r="H2186" s="160" t="s">
        <v>2748</v>
      </c>
      <c r="I2186" s="160" t="s">
        <v>346</v>
      </c>
      <c r="J2186" s="159" t="s">
        <v>10635</v>
      </c>
      <c r="K2186" s="160" t="s">
        <v>10636</v>
      </c>
      <c r="L2186" s="158"/>
      <c r="M2186" s="158" t="s">
        <v>365</v>
      </c>
      <c r="N2186" s="158" t="s">
        <v>6885</v>
      </c>
      <c r="O2186" s="162"/>
      <c r="P2186" s="161">
        <f>6700000*12</f>
        <v>80400000</v>
      </c>
      <c r="Q2186" s="161"/>
      <c r="R2186" s="162"/>
      <c r="S2186" s="163">
        <v>8000000</v>
      </c>
      <c r="T2186" s="164"/>
      <c r="U2186" s="340">
        <v>45597</v>
      </c>
      <c r="V2186" s="340">
        <v>45961</v>
      </c>
      <c r="W2186" s="158" t="s">
        <v>250</v>
      </c>
      <c r="X2186" s="158"/>
      <c r="Y2186" s="34">
        <f t="shared" ca="1" si="137"/>
        <v>46290</v>
      </c>
      <c r="Z2186" s="35">
        <f t="shared" ca="1" si="139"/>
        <v>-329</v>
      </c>
      <c r="AA2186" s="27">
        <f>MONTH(Table1[[#This Row],[End]])</f>
        <v>10</v>
      </c>
      <c r="AB2186" s="27">
        <f t="shared" si="140"/>
        <v>2025</v>
      </c>
      <c r="AC2186" s="159">
        <v>4500022146</v>
      </c>
      <c r="AD2186" s="159" t="s">
        <v>10637</v>
      </c>
      <c r="AE2186" s="184" t="s">
        <v>10638</v>
      </c>
      <c r="AF2186" s="201" t="s">
        <v>339</v>
      </c>
      <c r="AG2186" s="160"/>
      <c r="AH2186" s="160"/>
      <c r="AI2186" s="158"/>
      <c r="AJ2186" s="158"/>
      <c r="AK2186" s="158"/>
      <c r="AL2186" s="158"/>
      <c r="AM2186" s="158"/>
      <c r="AN2186" s="158"/>
      <c r="AO2186" s="158"/>
      <c r="AP2186" s="158">
        <v>293</v>
      </c>
      <c r="AQ2186" s="158"/>
      <c r="AR2186" s="507"/>
      <c r="AS2186" s="475"/>
      <c r="AT2186" s="160"/>
    </row>
    <row r="2187" spans="1:46" ht="15" hidden="1" customHeight="1">
      <c r="A2187" s="331">
        <v>2186</v>
      </c>
      <c r="B2187" s="159" t="s">
        <v>628</v>
      </c>
      <c r="C2187" s="159" t="s">
        <v>10639</v>
      </c>
      <c r="D2187" s="437" t="s">
        <v>7640</v>
      </c>
      <c r="E2187" s="361" t="str">
        <f t="shared" ca="1" si="141"/>
        <v>LOSS</v>
      </c>
      <c r="F2187" s="160"/>
      <c r="G2187" s="159" t="s">
        <v>10640</v>
      </c>
      <c r="H2187" s="160" t="s">
        <v>2748</v>
      </c>
      <c r="I2187" s="160" t="s">
        <v>346</v>
      </c>
      <c r="J2187" s="159" t="s">
        <v>10318</v>
      </c>
      <c r="K2187" s="160"/>
      <c r="L2187" s="158"/>
      <c r="M2187" s="158" t="s">
        <v>353</v>
      </c>
      <c r="N2187" s="158" t="s">
        <v>362</v>
      </c>
      <c r="O2187" s="162">
        <v>10000000</v>
      </c>
      <c r="P2187" s="161">
        <f>23500000*12</f>
        <v>282000000</v>
      </c>
      <c r="Q2187" s="161"/>
      <c r="R2187" s="162">
        <v>5000000</v>
      </c>
      <c r="S2187" s="163">
        <f>48000000+24000000</f>
        <v>72000000</v>
      </c>
      <c r="T2187" s="164"/>
      <c r="U2187" s="340">
        <v>45656</v>
      </c>
      <c r="V2187" s="340">
        <v>46020</v>
      </c>
      <c r="W2187" s="158" t="s">
        <v>17</v>
      </c>
      <c r="X2187" s="158"/>
      <c r="Y2187" s="34">
        <f t="shared" ref="Y2187:Y2250" ca="1" si="142">TODAY()</f>
        <v>46290</v>
      </c>
      <c r="Z2187" s="35">
        <f t="shared" ca="1" si="139"/>
        <v>-270</v>
      </c>
      <c r="AA2187" s="27">
        <f>MONTH(Table1[[#This Row],[End]])</f>
        <v>12</v>
      </c>
      <c r="AB2187" s="27">
        <f t="shared" si="140"/>
        <v>2025</v>
      </c>
      <c r="AC2187" s="159" t="s">
        <v>3371</v>
      </c>
      <c r="AD2187" s="159" t="s">
        <v>10641</v>
      </c>
      <c r="AE2187" s="184" t="s">
        <v>10642</v>
      </c>
      <c r="AF2187" s="201" t="s">
        <v>339</v>
      </c>
      <c r="AG2187" s="160"/>
      <c r="AH2187" s="174" t="s">
        <v>634</v>
      </c>
      <c r="AI2187" s="158"/>
      <c r="AJ2187" s="158"/>
      <c r="AK2187" s="158"/>
      <c r="AL2187" s="158"/>
      <c r="AM2187" s="158"/>
      <c r="AN2187" s="158"/>
      <c r="AO2187" s="158"/>
      <c r="AP2187" s="158">
        <v>294</v>
      </c>
      <c r="AQ2187" s="158"/>
      <c r="AR2187" s="507"/>
      <c r="AS2187" s="475"/>
      <c r="AT2187" s="160"/>
    </row>
    <row r="2188" spans="1:46" ht="15" hidden="1" customHeight="1">
      <c r="A2188" s="331">
        <v>2187</v>
      </c>
      <c r="B2188" s="159" t="s">
        <v>3272</v>
      </c>
      <c r="C2188" s="159" t="s">
        <v>10643</v>
      </c>
      <c r="D2188" s="445"/>
      <c r="E2188" s="361" t="str">
        <f t="shared" ca="1" si="141"/>
        <v>LOSS</v>
      </c>
      <c r="F2188" s="160"/>
      <c r="G2188" s="159" t="s">
        <v>10644</v>
      </c>
      <c r="H2188" s="160" t="s">
        <v>2748</v>
      </c>
      <c r="I2188" s="160" t="s">
        <v>346</v>
      </c>
      <c r="J2188" s="159" t="s">
        <v>1837</v>
      </c>
      <c r="K2188" s="160"/>
      <c r="L2188" s="158"/>
      <c r="M2188" s="158" t="s">
        <v>329</v>
      </c>
      <c r="N2188" s="158" t="s">
        <v>389</v>
      </c>
      <c r="O2188" s="162"/>
      <c r="P2188" s="161">
        <f>41000000*12</f>
        <v>492000000</v>
      </c>
      <c r="Q2188" s="161"/>
      <c r="R2188" s="162"/>
      <c r="S2188" s="163">
        <v>36000000</v>
      </c>
      <c r="T2188" s="164"/>
      <c r="U2188" s="340">
        <v>45656</v>
      </c>
      <c r="V2188" s="340">
        <v>46020</v>
      </c>
      <c r="W2188" s="158" t="s">
        <v>17</v>
      </c>
      <c r="X2188" s="158"/>
      <c r="Y2188" s="34">
        <f t="shared" ca="1" si="142"/>
        <v>46290</v>
      </c>
      <c r="Z2188" s="35">
        <f t="shared" ca="1" si="139"/>
        <v>-270</v>
      </c>
      <c r="AA2188" s="27">
        <f>MONTH(Table1[[#This Row],[End]])</f>
        <v>12</v>
      </c>
      <c r="AB2188" s="27">
        <f t="shared" si="140"/>
        <v>2025</v>
      </c>
      <c r="AC2188" s="159">
        <v>4500023109</v>
      </c>
      <c r="AD2188" s="159" t="s">
        <v>10645</v>
      </c>
      <c r="AE2188" s="184" t="s">
        <v>10646</v>
      </c>
      <c r="AF2188" s="201" t="s">
        <v>339</v>
      </c>
      <c r="AG2188" s="160"/>
      <c r="AH2188" s="160"/>
      <c r="AI2188" s="158"/>
      <c r="AJ2188" s="158"/>
      <c r="AK2188" s="158"/>
      <c r="AL2188" s="158"/>
      <c r="AM2188" s="158"/>
      <c r="AN2188" s="158"/>
      <c r="AO2188" s="158"/>
      <c r="AP2188" s="158">
        <v>295</v>
      </c>
      <c r="AQ2188" s="158"/>
      <c r="AR2188" s="507"/>
      <c r="AS2188" s="475"/>
      <c r="AT2188" s="160"/>
    </row>
    <row r="2189" spans="1:46" ht="15" hidden="1" customHeight="1">
      <c r="A2189" s="331">
        <v>2188</v>
      </c>
      <c r="B2189" s="159" t="s">
        <v>10647</v>
      </c>
      <c r="C2189" s="159" t="s">
        <v>344</v>
      </c>
      <c r="D2189" s="446"/>
      <c r="E2189" s="361" t="str">
        <f t="shared" ca="1" si="141"/>
        <v>LOSS</v>
      </c>
      <c r="F2189" s="160"/>
      <c r="G2189" s="159" t="s">
        <v>10648</v>
      </c>
      <c r="H2189" s="160" t="s">
        <v>2748</v>
      </c>
      <c r="I2189" s="160" t="s">
        <v>346</v>
      </c>
      <c r="J2189" s="182" t="s">
        <v>10649</v>
      </c>
      <c r="K2189" s="160"/>
      <c r="L2189" s="158"/>
      <c r="M2189" s="158" t="s">
        <v>6776</v>
      </c>
      <c r="N2189" s="158"/>
      <c r="O2189" s="162">
        <v>43500000</v>
      </c>
      <c r="P2189" s="161">
        <v>958192742</v>
      </c>
      <c r="Q2189" s="161"/>
      <c r="R2189" s="162"/>
      <c r="S2189" s="163">
        <v>411369540</v>
      </c>
      <c r="T2189" s="164"/>
      <c r="U2189" s="340">
        <v>45597</v>
      </c>
      <c r="V2189" s="340">
        <v>45794</v>
      </c>
      <c r="W2189" s="158" t="s">
        <v>17</v>
      </c>
      <c r="X2189" s="158"/>
      <c r="Y2189" s="34">
        <f t="shared" ca="1" si="142"/>
        <v>46290</v>
      </c>
      <c r="Z2189" s="35">
        <f t="shared" ca="1" si="139"/>
        <v>-496</v>
      </c>
      <c r="AA2189" s="27">
        <f>MONTH(Table1[[#This Row],[End]])</f>
        <v>5</v>
      </c>
      <c r="AB2189" s="27">
        <f t="shared" ref="AB2189:AB2220" si="143">YEAR(V2189)</f>
        <v>2025</v>
      </c>
      <c r="AC2189" s="159" t="s">
        <v>3371</v>
      </c>
      <c r="AD2189" s="159" t="s">
        <v>10650</v>
      </c>
      <c r="AE2189" s="184" t="s">
        <v>10651</v>
      </c>
      <c r="AF2189" s="201" t="s">
        <v>339</v>
      </c>
      <c r="AG2189" s="160"/>
      <c r="AH2189" s="160"/>
      <c r="AI2189" s="158"/>
      <c r="AJ2189" s="158"/>
      <c r="AK2189" s="158"/>
      <c r="AL2189" s="158"/>
      <c r="AM2189" s="158"/>
      <c r="AN2189" s="158"/>
      <c r="AO2189" s="158"/>
      <c r="AP2189" s="158">
        <v>296</v>
      </c>
      <c r="AQ2189" s="158"/>
      <c r="AR2189" s="507"/>
      <c r="AS2189" s="475"/>
      <c r="AT2189" s="160"/>
    </row>
    <row r="2190" spans="1:46" ht="15" hidden="1" customHeight="1">
      <c r="A2190" s="331">
        <v>2189</v>
      </c>
      <c r="B2190" s="159" t="s">
        <v>71</v>
      </c>
      <c r="C2190" s="159" t="s">
        <v>10652</v>
      </c>
      <c r="D2190" s="437" t="s">
        <v>490</v>
      </c>
      <c r="E2190" s="361" t="str">
        <f t="shared" ca="1" si="141"/>
        <v>LOSS</v>
      </c>
      <c r="F2190" s="160"/>
      <c r="G2190" s="182" t="s">
        <v>10653</v>
      </c>
      <c r="H2190" s="160" t="s">
        <v>2748</v>
      </c>
      <c r="I2190" s="160" t="s">
        <v>242</v>
      </c>
      <c r="J2190" s="159" t="s">
        <v>2249</v>
      </c>
      <c r="K2190" s="160"/>
      <c r="L2190" s="158"/>
      <c r="M2190" s="190" t="s">
        <v>10654</v>
      </c>
      <c r="N2190" s="158" t="s">
        <v>6885</v>
      </c>
      <c r="O2190" s="162"/>
      <c r="P2190" s="161">
        <f>4500000*12</f>
        <v>54000000</v>
      </c>
      <c r="Q2190" s="161"/>
      <c r="R2190" s="162"/>
      <c r="S2190" s="163">
        <v>18000000</v>
      </c>
      <c r="T2190" s="164"/>
      <c r="U2190" s="340">
        <v>45597</v>
      </c>
      <c r="V2190" s="340">
        <v>45961</v>
      </c>
      <c r="W2190" s="158" t="s">
        <v>250</v>
      </c>
      <c r="X2190" s="158"/>
      <c r="Y2190" s="34">
        <f t="shared" ca="1" si="142"/>
        <v>46290</v>
      </c>
      <c r="Z2190" s="35">
        <f t="shared" ca="1" si="139"/>
        <v>-329</v>
      </c>
      <c r="AA2190" s="27">
        <f>MONTH(Table1[[#This Row],[End]])</f>
        <v>10</v>
      </c>
      <c r="AB2190" s="27">
        <f t="shared" si="143"/>
        <v>2025</v>
      </c>
      <c r="AC2190" s="159">
        <v>4500021367</v>
      </c>
      <c r="AD2190" s="159" t="s">
        <v>10655</v>
      </c>
      <c r="AE2190" s="184" t="s">
        <v>10355</v>
      </c>
      <c r="AF2190" s="201" t="s">
        <v>339</v>
      </c>
      <c r="AG2190" s="160"/>
      <c r="AH2190" s="160"/>
      <c r="AI2190" s="158"/>
      <c r="AJ2190" s="158"/>
      <c r="AK2190" s="158"/>
      <c r="AL2190" s="158"/>
      <c r="AM2190" s="158"/>
      <c r="AN2190" s="158"/>
      <c r="AO2190" s="158"/>
      <c r="AP2190" s="158">
        <v>297</v>
      </c>
      <c r="AQ2190" s="158"/>
      <c r="AR2190" s="507"/>
      <c r="AS2190" s="475"/>
      <c r="AT2190" s="160"/>
    </row>
    <row r="2191" spans="1:46" ht="15" hidden="1" customHeight="1">
      <c r="A2191" s="331">
        <v>2190</v>
      </c>
      <c r="B2191" s="159" t="s">
        <v>4069</v>
      </c>
      <c r="C2191" s="159" t="s">
        <v>5491</v>
      </c>
      <c r="D2191" s="159" t="s">
        <v>4071</v>
      </c>
      <c r="E2191" s="361" t="str">
        <f t="shared" ca="1" si="141"/>
        <v>LOSS</v>
      </c>
      <c r="F2191" s="160" t="s">
        <v>10656</v>
      </c>
      <c r="G2191" s="159" t="s">
        <v>10657</v>
      </c>
      <c r="H2191" s="160" t="s">
        <v>2748</v>
      </c>
      <c r="I2191" s="160" t="s">
        <v>242</v>
      </c>
      <c r="J2191" s="159" t="s">
        <v>10658</v>
      </c>
      <c r="K2191" s="160"/>
      <c r="L2191" s="158"/>
      <c r="M2191" s="158" t="s">
        <v>7267</v>
      </c>
      <c r="N2191" s="158" t="s">
        <v>10659</v>
      </c>
      <c r="O2191" s="162">
        <v>8000000</v>
      </c>
      <c r="P2191" s="161">
        <v>72000000</v>
      </c>
      <c r="Q2191" s="161"/>
      <c r="R2191" s="162">
        <v>1000000</v>
      </c>
      <c r="S2191" s="163">
        <v>12000000</v>
      </c>
      <c r="T2191" s="164"/>
      <c r="U2191" s="340">
        <v>45730</v>
      </c>
      <c r="V2191" s="340">
        <v>46094</v>
      </c>
      <c r="W2191" s="158" t="s">
        <v>250</v>
      </c>
      <c r="X2191" s="158"/>
      <c r="Y2191" s="34">
        <f t="shared" ca="1" si="142"/>
        <v>46290</v>
      </c>
      <c r="Z2191" s="35">
        <f t="shared" ca="1" si="139"/>
        <v>-196</v>
      </c>
      <c r="AA2191" s="27">
        <f>MONTH(Table1[[#This Row],[End]])</f>
        <v>3</v>
      </c>
      <c r="AB2191" s="27">
        <f t="shared" si="143"/>
        <v>2026</v>
      </c>
      <c r="AC2191" s="159" t="s">
        <v>479</v>
      </c>
      <c r="AD2191" s="159" t="s">
        <v>10660</v>
      </c>
      <c r="AE2191" s="184" t="s">
        <v>10661</v>
      </c>
      <c r="AF2191" s="201" t="s">
        <v>356</v>
      </c>
      <c r="AG2191" s="160"/>
      <c r="AH2191" s="160"/>
      <c r="AI2191" s="158"/>
      <c r="AJ2191" s="158"/>
      <c r="AK2191" s="158"/>
      <c r="AL2191" s="158"/>
      <c r="AM2191" s="158"/>
      <c r="AN2191" s="158"/>
      <c r="AO2191" s="158"/>
      <c r="AP2191" s="158"/>
      <c r="AQ2191" s="158"/>
      <c r="AR2191" s="507"/>
      <c r="AS2191" s="475"/>
      <c r="AT2191" s="160"/>
    </row>
    <row r="2192" spans="1:46" ht="15" hidden="1" customHeight="1">
      <c r="A2192" s="331">
        <v>2191</v>
      </c>
      <c r="B2192" s="159" t="s">
        <v>154</v>
      </c>
      <c r="C2192" s="159" t="s">
        <v>1299</v>
      </c>
      <c r="D2192" s="438" t="s">
        <v>9227</v>
      </c>
      <c r="E2192" s="361" t="str">
        <f t="shared" ca="1" si="141"/>
        <v>LOSS</v>
      </c>
      <c r="F2192" s="160" t="s">
        <v>10662</v>
      </c>
      <c r="G2192" s="159" t="s">
        <v>10663</v>
      </c>
      <c r="H2192" s="160" t="s">
        <v>2748</v>
      </c>
      <c r="I2192" s="160" t="s">
        <v>346</v>
      </c>
      <c r="J2192" s="159" t="s">
        <v>10664</v>
      </c>
      <c r="K2192" s="181" t="s">
        <v>10665</v>
      </c>
      <c r="L2192" s="158"/>
      <c r="M2192" s="158" t="s">
        <v>329</v>
      </c>
      <c r="N2192" s="158" t="s">
        <v>389</v>
      </c>
      <c r="O2192" s="162"/>
      <c r="P2192" s="161">
        <v>498000000</v>
      </c>
      <c r="Q2192" s="161"/>
      <c r="R2192" s="162">
        <v>5000000</v>
      </c>
      <c r="S2192" s="163">
        <v>132000000</v>
      </c>
      <c r="T2192" s="164"/>
      <c r="U2192" s="340">
        <v>45768</v>
      </c>
      <c r="V2192" s="340">
        <v>46132</v>
      </c>
      <c r="W2192" s="158" t="s">
        <v>250</v>
      </c>
      <c r="X2192" s="158"/>
      <c r="Y2192" s="34">
        <f t="shared" ca="1" si="142"/>
        <v>46290</v>
      </c>
      <c r="Z2192" s="35">
        <f t="shared" ca="1" si="139"/>
        <v>-158</v>
      </c>
      <c r="AA2192" s="27">
        <f>MONTH(Table1[[#This Row],[End]])</f>
        <v>4</v>
      </c>
      <c r="AB2192" s="27">
        <f t="shared" si="143"/>
        <v>2026</v>
      </c>
      <c r="AC2192" s="159" t="s">
        <v>10666</v>
      </c>
      <c r="AD2192" s="159" t="s">
        <v>10667</v>
      </c>
      <c r="AE2192" s="184" t="s">
        <v>10668</v>
      </c>
      <c r="AF2192" s="201" t="s">
        <v>356</v>
      </c>
      <c r="AG2192" s="160"/>
      <c r="AH2192" s="160"/>
      <c r="AI2192" s="158"/>
      <c r="AJ2192" s="158"/>
      <c r="AK2192" s="158"/>
      <c r="AL2192" s="158"/>
      <c r="AM2192" s="158"/>
      <c r="AN2192" s="158"/>
      <c r="AO2192" s="158"/>
      <c r="AP2192" s="158"/>
      <c r="AQ2192" s="158"/>
      <c r="AR2192" s="507"/>
      <c r="AS2192" s="475"/>
      <c r="AT2192" s="160"/>
    </row>
    <row r="2193" spans="1:46" ht="15" hidden="1" customHeight="1">
      <c r="A2193" s="331">
        <v>2192</v>
      </c>
      <c r="B2193" s="159" t="s">
        <v>348</v>
      </c>
      <c r="C2193" s="159" t="s">
        <v>10669</v>
      </c>
      <c r="D2193" s="437" t="s">
        <v>9227</v>
      </c>
      <c r="E2193" s="361" t="str">
        <f t="shared" ca="1" si="141"/>
        <v>LOSS</v>
      </c>
      <c r="F2193" s="160"/>
      <c r="G2193" s="159" t="s">
        <v>10670</v>
      </c>
      <c r="H2193" s="160" t="s">
        <v>2748</v>
      </c>
      <c r="I2193" s="160" t="s">
        <v>242</v>
      </c>
      <c r="J2193" s="159" t="s">
        <v>10671</v>
      </c>
      <c r="K2193" s="181" t="s">
        <v>10672</v>
      </c>
      <c r="L2193" s="158"/>
      <c r="M2193" s="158" t="s">
        <v>353</v>
      </c>
      <c r="N2193" s="158" t="s">
        <v>468</v>
      </c>
      <c r="O2193" s="162">
        <v>500000</v>
      </c>
      <c r="P2193" s="161">
        <v>54500000</v>
      </c>
      <c r="Q2193" s="161"/>
      <c r="R2193" s="162"/>
      <c r="S2193" s="163">
        <v>15953872</v>
      </c>
      <c r="T2193" s="164"/>
      <c r="U2193" s="340">
        <v>45776</v>
      </c>
      <c r="V2193" s="340">
        <v>46022</v>
      </c>
      <c r="W2193" s="158" t="s">
        <v>17</v>
      </c>
      <c r="X2193" s="158"/>
      <c r="Y2193" s="34">
        <f t="shared" ca="1" si="142"/>
        <v>46290</v>
      </c>
      <c r="Z2193" s="35">
        <f t="shared" ca="1" si="139"/>
        <v>-268</v>
      </c>
      <c r="AA2193" s="158">
        <f>MONTH(V2193)</f>
        <v>12</v>
      </c>
      <c r="AB2193" s="27">
        <f t="shared" si="143"/>
        <v>2025</v>
      </c>
      <c r="AC2193" s="159" t="s">
        <v>3371</v>
      </c>
      <c r="AD2193" s="159" t="s">
        <v>10673</v>
      </c>
      <c r="AE2193" s="184" t="s">
        <v>10674</v>
      </c>
      <c r="AF2193" s="201" t="s">
        <v>356</v>
      </c>
      <c r="AG2193" s="160"/>
      <c r="AH2193" s="160"/>
      <c r="AI2193" s="158"/>
      <c r="AJ2193" s="158"/>
      <c r="AK2193" s="158"/>
      <c r="AL2193" s="158"/>
      <c r="AM2193" s="158"/>
      <c r="AN2193" s="158"/>
      <c r="AO2193" s="158"/>
      <c r="AP2193" s="158" t="s">
        <v>5471</v>
      </c>
      <c r="AQ2193" s="158"/>
      <c r="AR2193" s="507"/>
      <c r="AS2193" s="475"/>
      <c r="AT2193" s="160"/>
    </row>
    <row r="2194" spans="1:46" ht="15" hidden="1" customHeight="1">
      <c r="A2194" s="331">
        <v>2193</v>
      </c>
      <c r="B2194" s="28" t="s">
        <v>114</v>
      </c>
      <c r="C2194" s="159" t="s">
        <v>344</v>
      </c>
      <c r="D2194" s="444" t="s">
        <v>335</v>
      </c>
      <c r="E2194" s="361" t="str">
        <f t="shared" ca="1" si="141"/>
        <v>LOSS</v>
      </c>
      <c r="F2194" s="160" t="s">
        <v>336</v>
      </c>
      <c r="G2194" s="159" t="s">
        <v>336</v>
      </c>
      <c r="H2194" s="160" t="s">
        <v>2748</v>
      </c>
      <c r="I2194" s="160" t="s">
        <v>346</v>
      </c>
      <c r="J2194" s="159"/>
      <c r="K2194" s="160"/>
      <c r="L2194" s="158"/>
      <c r="M2194" s="158" t="s">
        <v>337</v>
      </c>
      <c r="N2194" s="158"/>
      <c r="O2194" s="162"/>
      <c r="P2194" s="161">
        <v>648000000</v>
      </c>
      <c r="Q2194" s="161"/>
      <c r="R2194" s="162"/>
      <c r="S2194" s="163">
        <v>91200000</v>
      </c>
      <c r="T2194" s="164"/>
      <c r="U2194" s="340">
        <v>45783</v>
      </c>
      <c r="V2194" s="340">
        <v>46147</v>
      </c>
      <c r="W2194" s="158" t="s">
        <v>17</v>
      </c>
      <c r="X2194" s="158"/>
      <c r="Y2194" s="34">
        <f t="shared" ca="1" si="142"/>
        <v>46290</v>
      </c>
      <c r="Z2194" s="35">
        <f t="shared" ca="1" si="139"/>
        <v>-143</v>
      </c>
      <c r="AA2194" s="27">
        <f>MONTH(Table1[[#This Row],[End]])</f>
        <v>5</v>
      </c>
      <c r="AB2194" s="27">
        <f t="shared" si="143"/>
        <v>2026</v>
      </c>
      <c r="AC2194" s="159" t="s">
        <v>3371</v>
      </c>
      <c r="AD2194" s="159" t="s">
        <v>10675</v>
      </c>
      <c r="AE2194" s="184" t="s">
        <v>10676</v>
      </c>
      <c r="AF2194" s="201" t="s">
        <v>356</v>
      </c>
      <c r="AG2194" s="160"/>
      <c r="AH2194" s="160" t="s">
        <v>10677</v>
      </c>
      <c r="AI2194" s="158"/>
      <c r="AJ2194" s="158"/>
      <c r="AK2194" s="158"/>
      <c r="AL2194" s="158"/>
      <c r="AM2194" s="158"/>
      <c r="AN2194" s="158"/>
      <c r="AO2194" s="158"/>
      <c r="AP2194" s="158"/>
      <c r="AQ2194" s="158">
        <v>101</v>
      </c>
      <c r="AR2194" s="507"/>
      <c r="AS2194" s="475"/>
      <c r="AT2194" s="160"/>
    </row>
    <row r="2195" spans="1:46" ht="15" hidden="1" customHeight="1">
      <c r="A2195" s="331">
        <v>2194</v>
      </c>
      <c r="B2195" s="159" t="s">
        <v>37</v>
      </c>
      <c r="C2195" s="159" t="s">
        <v>9082</v>
      </c>
      <c r="D2195" s="437" t="s">
        <v>6644</v>
      </c>
      <c r="E2195" s="361" t="str">
        <f t="shared" ca="1" si="141"/>
        <v>LOSS</v>
      </c>
      <c r="F2195" s="160" t="s">
        <v>10678</v>
      </c>
      <c r="G2195" s="159" t="s">
        <v>10679</v>
      </c>
      <c r="H2195" s="160" t="s">
        <v>2748</v>
      </c>
      <c r="I2195" s="160" t="s">
        <v>242</v>
      </c>
      <c r="J2195" s="159" t="s">
        <v>10680</v>
      </c>
      <c r="K2195" s="160"/>
      <c r="L2195" s="158"/>
      <c r="M2195" s="158" t="s">
        <v>329</v>
      </c>
      <c r="N2195" s="158" t="s">
        <v>7238</v>
      </c>
      <c r="O2195" s="162">
        <v>5000000</v>
      </c>
      <c r="P2195" s="161">
        <v>48000000</v>
      </c>
      <c r="Q2195" s="161"/>
      <c r="R2195" s="162">
        <v>2500000</v>
      </c>
      <c r="S2195" s="163">
        <v>18000000</v>
      </c>
      <c r="T2195" s="164"/>
      <c r="U2195" s="340">
        <v>45701</v>
      </c>
      <c r="V2195" s="340">
        <v>46065</v>
      </c>
      <c r="W2195" s="158" t="s">
        <v>250</v>
      </c>
      <c r="X2195" s="158"/>
      <c r="Y2195" s="34">
        <f t="shared" ca="1" si="142"/>
        <v>46290</v>
      </c>
      <c r="Z2195" s="35">
        <f t="shared" ca="1" si="139"/>
        <v>-225</v>
      </c>
      <c r="AA2195" s="27">
        <f>MONTH(Table1[[#This Row],[End]])</f>
        <v>2</v>
      </c>
      <c r="AB2195" s="27">
        <f t="shared" si="143"/>
        <v>2026</v>
      </c>
      <c r="AC2195" s="159" t="s">
        <v>3371</v>
      </c>
      <c r="AD2195" s="159" t="s">
        <v>10681</v>
      </c>
      <c r="AE2195" s="184" t="s">
        <v>10682</v>
      </c>
      <c r="AF2195" s="201" t="s">
        <v>356</v>
      </c>
      <c r="AG2195" s="160"/>
      <c r="AH2195" s="160"/>
      <c r="AI2195" s="158"/>
      <c r="AJ2195" s="158"/>
      <c r="AK2195" s="158"/>
      <c r="AL2195" s="158"/>
      <c r="AM2195" s="158"/>
      <c r="AN2195" s="158"/>
      <c r="AO2195" s="158"/>
      <c r="AP2195" s="158"/>
      <c r="AQ2195" s="158"/>
      <c r="AR2195" s="507"/>
      <c r="AS2195" s="475"/>
      <c r="AT2195" s="160"/>
    </row>
    <row r="2196" spans="1:46" ht="15" hidden="1" customHeight="1">
      <c r="A2196" s="331">
        <v>2195</v>
      </c>
      <c r="B2196" s="159" t="s">
        <v>5958</v>
      </c>
      <c r="C2196" s="75" t="s">
        <v>8584</v>
      </c>
      <c r="D2196" s="438" t="s">
        <v>10683</v>
      </c>
      <c r="E2196" s="361" t="str">
        <f t="shared" ca="1" si="141"/>
        <v>LOSS</v>
      </c>
      <c r="F2196" s="76" t="s">
        <v>8586</v>
      </c>
      <c r="G2196" s="75" t="s">
        <v>8587</v>
      </c>
      <c r="H2196" s="29" t="s">
        <v>8588</v>
      </c>
      <c r="I2196" s="29" t="s">
        <v>511</v>
      </c>
      <c r="J2196" s="28" t="s">
        <v>8589</v>
      </c>
      <c r="K2196" s="160"/>
      <c r="L2196" s="158"/>
      <c r="M2196" s="76" t="s">
        <v>365</v>
      </c>
      <c r="N2196" s="158"/>
      <c r="O2196" s="162"/>
      <c r="P2196" s="31">
        <v>48000000</v>
      </c>
      <c r="Q2196" s="161"/>
      <c r="R2196" s="162"/>
      <c r="S2196" s="163"/>
      <c r="T2196" s="77">
        <v>0.25</v>
      </c>
      <c r="U2196" s="340">
        <v>45696</v>
      </c>
      <c r="V2196" s="340">
        <v>46060</v>
      </c>
      <c r="W2196" s="158" t="s">
        <v>17</v>
      </c>
      <c r="X2196" s="158"/>
      <c r="Y2196" s="34">
        <f t="shared" ca="1" si="142"/>
        <v>46290</v>
      </c>
      <c r="Z2196" s="35">
        <f t="shared" ca="1" si="139"/>
        <v>-230</v>
      </c>
      <c r="AA2196" s="27">
        <f>MONTH(V2196)</f>
        <v>2</v>
      </c>
      <c r="AB2196" s="27">
        <f t="shared" si="143"/>
        <v>2026</v>
      </c>
      <c r="AC2196" s="159"/>
      <c r="AD2196" s="159"/>
      <c r="AE2196" s="184"/>
      <c r="AF2196" s="27" t="s">
        <v>356</v>
      </c>
      <c r="AG2196" s="160"/>
      <c r="AH2196" s="160"/>
      <c r="AI2196" s="158"/>
      <c r="AJ2196" s="158"/>
      <c r="AK2196" s="158"/>
      <c r="AL2196" s="158"/>
      <c r="AM2196" s="158"/>
      <c r="AN2196" s="158"/>
      <c r="AO2196" s="158"/>
      <c r="AP2196" s="158"/>
      <c r="AQ2196" s="158"/>
      <c r="AR2196" s="507"/>
      <c r="AS2196" s="475"/>
      <c r="AT2196" s="160"/>
    </row>
    <row r="2197" spans="1:46" ht="15" hidden="1" customHeight="1">
      <c r="A2197" s="331">
        <v>2196</v>
      </c>
      <c r="B2197" s="159" t="s">
        <v>10684</v>
      </c>
      <c r="C2197" s="159" t="s">
        <v>596</v>
      </c>
      <c r="D2197" s="447" t="s">
        <v>8585</v>
      </c>
      <c r="E2197" s="361" t="str">
        <f t="shared" ca="1" si="141"/>
        <v>ON TRACK</v>
      </c>
      <c r="F2197" s="160" t="s">
        <v>10685</v>
      </c>
      <c r="G2197" s="159"/>
      <c r="H2197" s="160" t="s">
        <v>8588</v>
      </c>
      <c r="I2197" s="160" t="s">
        <v>511</v>
      </c>
      <c r="J2197" s="159"/>
      <c r="K2197" s="160"/>
      <c r="L2197" s="158"/>
      <c r="M2197" s="158" t="s">
        <v>365</v>
      </c>
      <c r="N2197" s="158" t="s">
        <v>354</v>
      </c>
      <c r="O2197" s="162"/>
      <c r="P2197" s="161">
        <f>5400000*12</f>
        <v>64800000</v>
      </c>
      <c r="Q2197" s="161"/>
      <c r="R2197" s="162"/>
      <c r="S2197" s="163"/>
      <c r="T2197" s="213">
        <v>0.15</v>
      </c>
      <c r="U2197" s="340">
        <v>45658</v>
      </c>
      <c r="V2197" s="340">
        <v>46387</v>
      </c>
      <c r="W2197" s="158" t="s">
        <v>17</v>
      </c>
      <c r="X2197" s="158"/>
      <c r="Y2197" s="34">
        <f t="shared" ca="1" si="142"/>
        <v>46290</v>
      </c>
      <c r="Z2197" s="35">
        <f t="shared" ca="1" si="139"/>
        <v>97</v>
      </c>
      <c r="AA2197" s="27">
        <f>MONTH(Table1[[#This Row],[End]])</f>
        <v>12</v>
      </c>
      <c r="AB2197" s="27">
        <f t="shared" si="143"/>
        <v>2026</v>
      </c>
      <c r="AC2197" s="159"/>
      <c r="AD2197" s="159"/>
      <c r="AE2197" s="184"/>
      <c r="AF2197" s="201" t="s">
        <v>10686</v>
      </c>
      <c r="AG2197" s="160"/>
      <c r="AH2197" s="160"/>
      <c r="AI2197" s="158"/>
      <c r="AJ2197" s="158"/>
      <c r="AK2197" s="158"/>
      <c r="AL2197" s="158"/>
      <c r="AM2197" s="158"/>
      <c r="AN2197" s="158"/>
      <c r="AO2197" s="158"/>
      <c r="AP2197" s="158"/>
      <c r="AQ2197" s="158"/>
      <c r="AR2197" s="507"/>
      <c r="AS2197" s="475"/>
      <c r="AT2197" s="160"/>
    </row>
    <row r="2198" spans="1:46" ht="15" hidden="1" customHeight="1">
      <c r="A2198" s="331">
        <v>2197</v>
      </c>
      <c r="B2198" s="159" t="s">
        <v>10684</v>
      </c>
      <c r="C2198" s="159" t="s">
        <v>596</v>
      </c>
      <c r="D2198" s="438" t="s">
        <v>10687</v>
      </c>
      <c r="E2198" s="361" t="str">
        <f t="shared" ca="1" si="141"/>
        <v>ON TRACK</v>
      </c>
      <c r="F2198" s="160" t="s">
        <v>10685</v>
      </c>
      <c r="G2198" s="159"/>
      <c r="H2198" s="160" t="s">
        <v>8588</v>
      </c>
      <c r="I2198" s="160" t="s">
        <v>511</v>
      </c>
      <c r="J2198" s="159"/>
      <c r="K2198" s="160"/>
      <c r="L2198" s="158"/>
      <c r="M2198" s="158" t="s">
        <v>365</v>
      </c>
      <c r="N2198" s="158" t="s">
        <v>354</v>
      </c>
      <c r="O2198" s="162"/>
      <c r="P2198" s="161">
        <f>5900000*12</f>
        <v>70800000</v>
      </c>
      <c r="Q2198" s="161"/>
      <c r="R2198" s="162"/>
      <c r="S2198" s="163"/>
      <c r="T2198" s="213">
        <v>0.15</v>
      </c>
      <c r="U2198" s="340">
        <v>45658</v>
      </c>
      <c r="V2198" s="340">
        <v>46387</v>
      </c>
      <c r="W2198" s="158" t="s">
        <v>17</v>
      </c>
      <c r="X2198" s="158"/>
      <c r="Y2198" s="34">
        <f t="shared" ca="1" si="142"/>
        <v>46290</v>
      </c>
      <c r="Z2198" s="35">
        <f t="shared" ca="1" si="139"/>
        <v>97</v>
      </c>
      <c r="AA2198" s="27">
        <f>MONTH(Table1[[#This Row],[End]])</f>
        <v>12</v>
      </c>
      <c r="AB2198" s="27">
        <f t="shared" si="143"/>
        <v>2026</v>
      </c>
      <c r="AC2198" s="159"/>
      <c r="AD2198" s="159"/>
      <c r="AE2198" s="184"/>
      <c r="AF2198" s="201" t="s">
        <v>10686</v>
      </c>
      <c r="AG2198" s="160"/>
      <c r="AH2198" s="160"/>
      <c r="AI2198" s="158"/>
      <c r="AJ2198" s="158"/>
      <c r="AK2198" s="158"/>
      <c r="AL2198" s="158"/>
      <c r="AM2198" s="158"/>
      <c r="AN2198" s="158"/>
      <c r="AO2198" s="158"/>
      <c r="AP2198" s="158"/>
      <c r="AQ2198" s="158"/>
      <c r="AR2198" s="507"/>
      <c r="AS2198" s="475"/>
      <c r="AT2198" s="160"/>
    </row>
    <row r="2199" spans="1:46" ht="15" hidden="1" customHeight="1">
      <c r="A2199" s="331">
        <v>2198</v>
      </c>
      <c r="B2199" s="159" t="s">
        <v>10684</v>
      </c>
      <c r="C2199" s="159" t="s">
        <v>596</v>
      </c>
      <c r="D2199" s="437" t="s">
        <v>10687</v>
      </c>
      <c r="E2199" s="361" t="str">
        <f t="shared" ca="1" si="141"/>
        <v>ON TRACK</v>
      </c>
      <c r="F2199" s="160" t="s">
        <v>10685</v>
      </c>
      <c r="G2199" s="159"/>
      <c r="H2199" s="160" t="s">
        <v>8588</v>
      </c>
      <c r="I2199" s="160" t="s">
        <v>511</v>
      </c>
      <c r="J2199" s="159"/>
      <c r="K2199" s="160"/>
      <c r="L2199" s="158"/>
      <c r="M2199" s="158" t="s">
        <v>365</v>
      </c>
      <c r="N2199" s="158" t="s">
        <v>406</v>
      </c>
      <c r="O2199" s="162"/>
      <c r="P2199" s="161">
        <f>6110000*12</f>
        <v>73320000</v>
      </c>
      <c r="Q2199" s="161"/>
      <c r="R2199" s="162"/>
      <c r="S2199" s="163"/>
      <c r="T2199" s="213">
        <v>0.15</v>
      </c>
      <c r="U2199" s="340">
        <v>45658</v>
      </c>
      <c r="V2199" s="340">
        <v>46387</v>
      </c>
      <c r="W2199" s="158" t="s">
        <v>17</v>
      </c>
      <c r="X2199" s="158"/>
      <c r="Y2199" s="34">
        <f t="shared" ca="1" si="142"/>
        <v>46290</v>
      </c>
      <c r="Z2199" s="35">
        <f t="shared" ca="1" si="139"/>
        <v>97</v>
      </c>
      <c r="AA2199" s="27">
        <f>MONTH(Table1[[#This Row],[End]])</f>
        <v>12</v>
      </c>
      <c r="AB2199" s="27">
        <f t="shared" si="143"/>
        <v>2026</v>
      </c>
      <c r="AC2199" s="159"/>
      <c r="AD2199" s="159"/>
      <c r="AE2199" s="184"/>
      <c r="AF2199" s="201" t="s">
        <v>10686</v>
      </c>
      <c r="AG2199" s="160"/>
      <c r="AH2199" s="160"/>
      <c r="AI2199" s="158"/>
      <c r="AJ2199" s="158"/>
      <c r="AK2199" s="158"/>
      <c r="AL2199" s="158"/>
      <c r="AM2199" s="158"/>
      <c r="AN2199" s="158"/>
      <c r="AO2199" s="158"/>
      <c r="AP2199" s="158"/>
      <c r="AQ2199" s="158"/>
      <c r="AR2199" s="507"/>
      <c r="AS2199" s="475"/>
      <c r="AT2199" s="160"/>
    </row>
    <row r="2200" spans="1:46" ht="15" hidden="1" customHeight="1">
      <c r="A2200" s="331">
        <v>2199</v>
      </c>
      <c r="B2200" s="159" t="s">
        <v>10684</v>
      </c>
      <c r="C2200" s="159" t="s">
        <v>596</v>
      </c>
      <c r="D2200" s="438" t="s">
        <v>10687</v>
      </c>
      <c r="E2200" s="361" t="str">
        <f t="shared" ca="1" si="141"/>
        <v>ON TRACK</v>
      </c>
      <c r="F2200" s="160" t="s">
        <v>10685</v>
      </c>
      <c r="G2200" s="159"/>
      <c r="H2200" s="160" t="s">
        <v>8588</v>
      </c>
      <c r="I2200" s="160" t="s">
        <v>511</v>
      </c>
      <c r="J2200" s="159"/>
      <c r="K2200" s="160"/>
      <c r="L2200" s="158"/>
      <c r="M2200" s="158" t="s">
        <v>365</v>
      </c>
      <c r="N2200" s="158" t="s">
        <v>6824</v>
      </c>
      <c r="O2200" s="162"/>
      <c r="P2200" s="161">
        <f>26000000*12</f>
        <v>312000000</v>
      </c>
      <c r="Q2200" s="161"/>
      <c r="R2200" s="162"/>
      <c r="S2200" s="163"/>
      <c r="T2200" s="213">
        <v>0.15</v>
      </c>
      <c r="U2200" s="340">
        <v>45658</v>
      </c>
      <c r="V2200" s="340">
        <v>46387</v>
      </c>
      <c r="W2200" s="158" t="s">
        <v>17</v>
      </c>
      <c r="X2200" s="158"/>
      <c r="Y2200" s="34">
        <f t="shared" ca="1" si="142"/>
        <v>46290</v>
      </c>
      <c r="Z2200" s="35">
        <f t="shared" ref="Z2200:Z2246" ca="1" si="144">V2200-Y2200</f>
        <v>97</v>
      </c>
      <c r="AA2200" s="27">
        <f>MONTH(Table1[[#This Row],[End]])</f>
        <v>12</v>
      </c>
      <c r="AB2200" s="27">
        <f t="shared" si="143"/>
        <v>2026</v>
      </c>
      <c r="AC2200" s="159"/>
      <c r="AD2200" s="159"/>
      <c r="AE2200" s="184"/>
      <c r="AF2200" s="201" t="s">
        <v>10686</v>
      </c>
      <c r="AG2200" s="160"/>
      <c r="AH2200" s="160"/>
      <c r="AI2200" s="158"/>
      <c r="AJ2200" s="158"/>
      <c r="AK2200" s="158"/>
      <c r="AL2200" s="158"/>
      <c r="AM2200" s="158"/>
      <c r="AN2200" s="158"/>
      <c r="AO2200" s="158"/>
      <c r="AP2200" s="158"/>
      <c r="AQ2200" s="158"/>
      <c r="AR2200" s="507"/>
      <c r="AS2200" s="475"/>
      <c r="AT2200" s="160"/>
    </row>
    <row r="2201" spans="1:46" ht="15" hidden="1" customHeight="1">
      <c r="A2201" s="331">
        <v>2200</v>
      </c>
      <c r="B2201" s="159" t="s">
        <v>10684</v>
      </c>
      <c r="C2201" s="159" t="s">
        <v>596</v>
      </c>
      <c r="D2201" s="437" t="s">
        <v>10687</v>
      </c>
      <c r="E2201" s="361" t="str">
        <f t="shared" ca="1" si="141"/>
        <v>ON TRACK</v>
      </c>
      <c r="F2201" s="160" t="s">
        <v>10685</v>
      </c>
      <c r="G2201" s="159"/>
      <c r="H2201" s="160" t="s">
        <v>8588</v>
      </c>
      <c r="I2201" s="160" t="s">
        <v>511</v>
      </c>
      <c r="J2201" s="159"/>
      <c r="K2201" s="160"/>
      <c r="L2201" s="158"/>
      <c r="M2201" s="158" t="s">
        <v>365</v>
      </c>
      <c r="N2201" s="158" t="s">
        <v>362</v>
      </c>
      <c r="O2201" s="162"/>
      <c r="P2201" s="161">
        <f>7150000*12</f>
        <v>85800000</v>
      </c>
      <c r="Q2201" s="161"/>
      <c r="R2201" s="162"/>
      <c r="S2201" s="163"/>
      <c r="T2201" s="213">
        <v>0.15</v>
      </c>
      <c r="U2201" s="340">
        <v>45658</v>
      </c>
      <c r="V2201" s="340">
        <v>46387</v>
      </c>
      <c r="W2201" s="158" t="s">
        <v>17</v>
      </c>
      <c r="X2201" s="158"/>
      <c r="Y2201" s="34">
        <f t="shared" ca="1" si="142"/>
        <v>46290</v>
      </c>
      <c r="Z2201" s="35">
        <f t="shared" ca="1" si="144"/>
        <v>97</v>
      </c>
      <c r="AA2201" s="27">
        <f>MONTH(Table1[[#This Row],[End]])</f>
        <v>12</v>
      </c>
      <c r="AB2201" s="27">
        <f t="shared" si="143"/>
        <v>2026</v>
      </c>
      <c r="AC2201" s="159"/>
      <c r="AD2201" s="159"/>
      <c r="AE2201" s="184"/>
      <c r="AF2201" s="201" t="s">
        <v>10686</v>
      </c>
      <c r="AG2201" s="160"/>
      <c r="AH2201" s="160"/>
      <c r="AI2201" s="158"/>
      <c r="AJ2201" s="158"/>
      <c r="AK2201" s="158"/>
      <c r="AL2201" s="158"/>
      <c r="AM2201" s="158"/>
      <c r="AN2201" s="158"/>
      <c r="AO2201" s="158"/>
      <c r="AP2201" s="158"/>
      <c r="AQ2201" s="158"/>
      <c r="AR2201" s="507"/>
      <c r="AS2201" s="475"/>
      <c r="AT2201" s="160"/>
    </row>
    <row r="2202" spans="1:46" ht="15" hidden="1" customHeight="1">
      <c r="A2202" s="331">
        <v>2201</v>
      </c>
      <c r="B2202" s="159" t="s">
        <v>10684</v>
      </c>
      <c r="C2202" s="159" t="s">
        <v>596</v>
      </c>
      <c r="D2202" s="438" t="s">
        <v>10687</v>
      </c>
      <c r="E2202" s="361" t="str">
        <f t="shared" ca="1" si="141"/>
        <v>ON TRACK</v>
      </c>
      <c r="F2202" s="160" t="s">
        <v>10685</v>
      </c>
      <c r="G2202" s="159"/>
      <c r="H2202" s="160" t="s">
        <v>8588</v>
      </c>
      <c r="I2202" s="160" t="s">
        <v>511</v>
      </c>
      <c r="J2202" s="159"/>
      <c r="K2202" s="160"/>
      <c r="L2202" s="158"/>
      <c r="M2202" s="158" t="s">
        <v>365</v>
      </c>
      <c r="N2202" s="158" t="s">
        <v>406</v>
      </c>
      <c r="O2202" s="162"/>
      <c r="P2202" s="161">
        <f>6110000*12</f>
        <v>73320000</v>
      </c>
      <c r="Q2202" s="161"/>
      <c r="R2202" s="162"/>
      <c r="S2202" s="163"/>
      <c r="T2202" s="213">
        <v>0.15</v>
      </c>
      <c r="U2202" s="340">
        <v>45658</v>
      </c>
      <c r="V2202" s="340">
        <v>46387</v>
      </c>
      <c r="W2202" s="158" t="s">
        <v>17</v>
      </c>
      <c r="X2202" s="158"/>
      <c r="Y2202" s="34">
        <f t="shared" ca="1" si="142"/>
        <v>46290</v>
      </c>
      <c r="Z2202" s="35">
        <f t="shared" ca="1" si="144"/>
        <v>97</v>
      </c>
      <c r="AA2202" s="27">
        <f>MONTH(Table1[[#This Row],[End]])</f>
        <v>12</v>
      </c>
      <c r="AB2202" s="27">
        <f t="shared" si="143"/>
        <v>2026</v>
      </c>
      <c r="AC2202" s="159"/>
      <c r="AD2202" s="159"/>
      <c r="AE2202" s="184"/>
      <c r="AF2202" s="201" t="s">
        <v>10686</v>
      </c>
      <c r="AG2202" s="160"/>
      <c r="AH2202" s="160"/>
      <c r="AI2202" s="158"/>
      <c r="AJ2202" s="158"/>
      <c r="AK2202" s="158"/>
      <c r="AL2202" s="158"/>
      <c r="AM2202" s="158"/>
      <c r="AN2202" s="158"/>
      <c r="AO2202" s="158"/>
      <c r="AP2202" s="158"/>
      <c r="AQ2202" s="158"/>
      <c r="AR2202" s="507"/>
      <c r="AS2202" s="475"/>
      <c r="AT2202" s="160"/>
    </row>
    <row r="2203" spans="1:46" ht="15" hidden="1" customHeight="1">
      <c r="A2203" s="331">
        <v>2202</v>
      </c>
      <c r="B2203" s="159" t="s">
        <v>10684</v>
      </c>
      <c r="C2203" s="159" t="s">
        <v>596</v>
      </c>
      <c r="D2203" s="437" t="s">
        <v>10687</v>
      </c>
      <c r="E2203" s="361" t="str">
        <f t="shared" ca="1" si="141"/>
        <v>ON TRACK</v>
      </c>
      <c r="F2203" s="160" t="s">
        <v>10685</v>
      </c>
      <c r="G2203" s="159"/>
      <c r="H2203" s="160" t="s">
        <v>8588</v>
      </c>
      <c r="I2203" s="160" t="s">
        <v>511</v>
      </c>
      <c r="J2203" s="159"/>
      <c r="K2203" s="160"/>
      <c r="L2203" s="158"/>
      <c r="M2203" s="158" t="s">
        <v>365</v>
      </c>
      <c r="N2203" s="158" t="s">
        <v>406</v>
      </c>
      <c r="O2203" s="162"/>
      <c r="P2203" s="161">
        <f>9500000*12</f>
        <v>114000000</v>
      </c>
      <c r="Q2203" s="161"/>
      <c r="R2203" s="162"/>
      <c r="S2203" s="163"/>
      <c r="T2203" s="213">
        <v>0.15</v>
      </c>
      <c r="U2203" s="340">
        <v>45658</v>
      </c>
      <c r="V2203" s="340">
        <v>46387</v>
      </c>
      <c r="W2203" s="158" t="s">
        <v>17</v>
      </c>
      <c r="X2203" s="158"/>
      <c r="Y2203" s="34">
        <f t="shared" ca="1" si="142"/>
        <v>46290</v>
      </c>
      <c r="Z2203" s="35">
        <f t="shared" ca="1" si="144"/>
        <v>97</v>
      </c>
      <c r="AA2203" s="27">
        <f>MONTH(Table1[[#This Row],[End]])</f>
        <v>12</v>
      </c>
      <c r="AB2203" s="27">
        <f t="shared" si="143"/>
        <v>2026</v>
      </c>
      <c r="AC2203" s="159"/>
      <c r="AD2203" s="159"/>
      <c r="AE2203" s="184"/>
      <c r="AF2203" s="201" t="s">
        <v>10686</v>
      </c>
      <c r="AG2203" s="160"/>
      <c r="AH2203" s="160"/>
      <c r="AI2203" s="158"/>
      <c r="AJ2203" s="158"/>
      <c r="AK2203" s="158"/>
      <c r="AL2203" s="158"/>
      <c r="AM2203" s="158"/>
      <c r="AN2203" s="158"/>
      <c r="AO2203" s="158"/>
      <c r="AP2203" s="158"/>
      <c r="AQ2203" s="158"/>
      <c r="AR2203" s="507"/>
      <c r="AS2203" s="475"/>
      <c r="AT2203" s="160"/>
    </row>
    <row r="2204" spans="1:46" ht="15" hidden="1" customHeight="1">
      <c r="A2204" s="331">
        <v>2203</v>
      </c>
      <c r="B2204" s="159" t="s">
        <v>10684</v>
      </c>
      <c r="C2204" s="159" t="s">
        <v>596</v>
      </c>
      <c r="D2204" s="438" t="s">
        <v>10687</v>
      </c>
      <c r="E2204" s="361" t="str">
        <f t="shared" ca="1" si="141"/>
        <v>ON TRACK</v>
      </c>
      <c r="F2204" s="160" t="s">
        <v>10685</v>
      </c>
      <c r="G2204" s="159"/>
      <c r="H2204" s="160" t="s">
        <v>8588</v>
      </c>
      <c r="I2204" s="160" t="s">
        <v>511</v>
      </c>
      <c r="J2204" s="159"/>
      <c r="K2204" s="160"/>
      <c r="L2204" s="158"/>
      <c r="M2204" s="158" t="s">
        <v>365</v>
      </c>
      <c r="N2204" s="158" t="s">
        <v>6739</v>
      </c>
      <c r="O2204" s="162"/>
      <c r="P2204" s="161">
        <f>7150000*12</f>
        <v>85800000</v>
      </c>
      <c r="Q2204" s="161"/>
      <c r="R2204" s="162"/>
      <c r="S2204" s="163"/>
      <c r="T2204" s="213">
        <v>0.15</v>
      </c>
      <c r="U2204" s="340">
        <v>45658</v>
      </c>
      <c r="V2204" s="340">
        <v>46387</v>
      </c>
      <c r="W2204" s="158" t="s">
        <v>17</v>
      </c>
      <c r="X2204" s="158"/>
      <c r="Y2204" s="34">
        <f t="shared" ca="1" si="142"/>
        <v>46290</v>
      </c>
      <c r="Z2204" s="35">
        <f t="shared" ca="1" si="144"/>
        <v>97</v>
      </c>
      <c r="AA2204" s="27">
        <f>MONTH(Table1[[#This Row],[End]])</f>
        <v>12</v>
      </c>
      <c r="AB2204" s="27">
        <f t="shared" si="143"/>
        <v>2026</v>
      </c>
      <c r="AC2204" s="159"/>
      <c r="AD2204" s="159"/>
      <c r="AE2204" s="184"/>
      <c r="AF2204" s="201" t="s">
        <v>10686</v>
      </c>
      <c r="AG2204" s="160"/>
      <c r="AH2204" s="160"/>
      <c r="AI2204" s="158"/>
      <c r="AJ2204" s="158"/>
      <c r="AK2204" s="158"/>
      <c r="AL2204" s="158"/>
      <c r="AM2204" s="158"/>
      <c r="AN2204" s="158"/>
      <c r="AO2204" s="158"/>
      <c r="AP2204" s="158"/>
      <c r="AQ2204" s="158"/>
      <c r="AR2204" s="507"/>
      <c r="AS2204" s="475"/>
      <c r="AT2204" s="160"/>
    </row>
    <row r="2205" spans="1:46" ht="15" hidden="1" customHeight="1">
      <c r="A2205" s="331">
        <v>2204</v>
      </c>
      <c r="B2205" s="159" t="s">
        <v>10684</v>
      </c>
      <c r="C2205" s="159" t="s">
        <v>596</v>
      </c>
      <c r="D2205" s="437" t="s">
        <v>10687</v>
      </c>
      <c r="E2205" s="361" t="str">
        <f t="shared" ca="1" si="141"/>
        <v>ON TRACK</v>
      </c>
      <c r="F2205" s="160" t="s">
        <v>10685</v>
      </c>
      <c r="G2205" s="159"/>
      <c r="H2205" s="160" t="s">
        <v>8588</v>
      </c>
      <c r="I2205" s="160" t="s">
        <v>511</v>
      </c>
      <c r="J2205" s="159"/>
      <c r="K2205" s="160"/>
      <c r="L2205" s="158"/>
      <c r="M2205" s="158" t="s">
        <v>365</v>
      </c>
      <c r="N2205" s="158" t="s">
        <v>494</v>
      </c>
      <c r="O2205" s="162"/>
      <c r="P2205" s="161">
        <f>6110000*12</f>
        <v>73320000</v>
      </c>
      <c r="Q2205" s="161"/>
      <c r="R2205" s="162"/>
      <c r="S2205" s="163"/>
      <c r="T2205" s="213">
        <v>0.15</v>
      </c>
      <c r="U2205" s="340">
        <v>45658</v>
      </c>
      <c r="V2205" s="340">
        <v>46387</v>
      </c>
      <c r="W2205" s="158" t="s">
        <v>17</v>
      </c>
      <c r="X2205" s="158"/>
      <c r="Y2205" s="34">
        <f t="shared" ca="1" si="142"/>
        <v>46290</v>
      </c>
      <c r="Z2205" s="35">
        <f t="shared" ca="1" si="144"/>
        <v>97</v>
      </c>
      <c r="AA2205" s="27">
        <f>MONTH(Table1[[#This Row],[End]])</f>
        <v>12</v>
      </c>
      <c r="AB2205" s="27">
        <f t="shared" si="143"/>
        <v>2026</v>
      </c>
      <c r="AC2205" s="159"/>
      <c r="AD2205" s="159"/>
      <c r="AE2205" s="184"/>
      <c r="AF2205" s="201" t="s">
        <v>10686</v>
      </c>
      <c r="AG2205" s="160"/>
      <c r="AH2205" s="160"/>
      <c r="AI2205" s="158"/>
      <c r="AJ2205" s="158"/>
      <c r="AK2205" s="158"/>
      <c r="AL2205" s="158"/>
      <c r="AM2205" s="158"/>
      <c r="AN2205" s="158"/>
      <c r="AO2205" s="158"/>
      <c r="AP2205" s="158"/>
      <c r="AQ2205" s="158"/>
      <c r="AR2205" s="507"/>
      <c r="AS2205" s="475"/>
      <c r="AT2205" s="160"/>
    </row>
    <row r="2206" spans="1:46" ht="15" hidden="1" customHeight="1">
      <c r="A2206" s="331">
        <v>2205</v>
      </c>
      <c r="B2206" s="159" t="s">
        <v>37</v>
      </c>
      <c r="C2206" s="159" t="s">
        <v>10688</v>
      </c>
      <c r="D2206" s="437" t="s">
        <v>6644</v>
      </c>
      <c r="E2206" s="361" t="str">
        <f t="shared" ca="1" si="141"/>
        <v>LOSS</v>
      </c>
      <c r="F2206" s="160" t="s">
        <v>10689</v>
      </c>
      <c r="G2206" s="159" t="s">
        <v>10690</v>
      </c>
      <c r="H2206" s="160" t="s">
        <v>2748</v>
      </c>
      <c r="I2206" s="160" t="s">
        <v>242</v>
      </c>
      <c r="J2206" s="159" t="s">
        <v>10691</v>
      </c>
      <c r="K2206" s="160"/>
      <c r="L2206" s="158"/>
      <c r="M2206" s="158" t="s">
        <v>10692</v>
      </c>
      <c r="N2206" s="296" t="s">
        <v>354</v>
      </c>
      <c r="O2206" s="162">
        <v>5000000</v>
      </c>
      <c r="P2206" s="161">
        <v>77000000</v>
      </c>
      <c r="Q2206" s="161"/>
      <c r="R2206" s="162">
        <v>2500000</v>
      </c>
      <c r="S2206" s="163">
        <v>18000000</v>
      </c>
      <c r="T2206" s="213"/>
      <c r="U2206" s="340">
        <v>45804</v>
      </c>
      <c r="V2206" s="340">
        <v>46168</v>
      </c>
      <c r="W2206" s="158" t="s">
        <v>245</v>
      </c>
      <c r="X2206" s="158"/>
      <c r="Y2206" s="34">
        <f t="shared" ca="1" si="142"/>
        <v>46290</v>
      </c>
      <c r="Z2206" s="35">
        <f t="shared" ca="1" si="144"/>
        <v>-122</v>
      </c>
      <c r="AA2206" s="27">
        <f>MONTH(Table1[[#This Row],[End]])</f>
        <v>5</v>
      </c>
      <c r="AB2206" s="27">
        <f t="shared" si="143"/>
        <v>2026</v>
      </c>
      <c r="AC2206" s="159" t="s">
        <v>479</v>
      </c>
      <c r="AD2206" s="159" t="s">
        <v>10693</v>
      </c>
      <c r="AE2206" s="184" t="s">
        <v>10694</v>
      </c>
      <c r="AF2206" s="201" t="s">
        <v>356</v>
      </c>
      <c r="AG2206" s="160"/>
      <c r="AH2206" s="160"/>
      <c r="AI2206" s="158"/>
      <c r="AJ2206" s="158"/>
      <c r="AK2206" s="158"/>
      <c r="AL2206" s="158"/>
      <c r="AM2206" s="158"/>
      <c r="AN2206" s="158"/>
      <c r="AO2206" s="158"/>
      <c r="AP2206" s="158"/>
      <c r="AQ2206" s="158">
        <v>107</v>
      </c>
      <c r="AR2206" s="507"/>
      <c r="AS2206" s="475"/>
      <c r="AT2206" s="160"/>
    </row>
    <row r="2207" spans="1:46" ht="15" hidden="1" customHeight="1">
      <c r="A2207" s="331">
        <v>2206</v>
      </c>
      <c r="B2207" s="159" t="s">
        <v>154</v>
      </c>
      <c r="C2207" s="159" t="s">
        <v>10695</v>
      </c>
      <c r="D2207" s="438" t="s">
        <v>9227</v>
      </c>
      <c r="E2207" s="361" t="str">
        <f t="shared" ca="1" si="141"/>
        <v>LOSS</v>
      </c>
      <c r="F2207" s="160"/>
      <c r="G2207" s="205" t="s">
        <v>10696</v>
      </c>
      <c r="H2207" s="160" t="s">
        <v>2748</v>
      </c>
      <c r="I2207" s="160" t="s">
        <v>346</v>
      </c>
      <c r="J2207" s="159" t="s">
        <v>10697</v>
      </c>
      <c r="K2207" s="160"/>
      <c r="L2207" s="158"/>
      <c r="M2207" s="158" t="s">
        <v>10698</v>
      </c>
      <c r="N2207" s="158" t="s">
        <v>468</v>
      </c>
      <c r="O2207" s="162">
        <v>5000000</v>
      </c>
      <c r="P2207" s="161">
        <v>395000000</v>
      </c>
      <c r="Q2207" s="161"/>
      <c r="R2207" s="162">
        <v>5000000</v>
      </c>
      <c r="S2207" s="163">
        <v>48000000</v>
      </c>
      <c r="T2207" s="164"/>
      <c r="U2207" s="340">
        <v>45695</v>
      </c>
      <c r="V2207" s="340">
        <v>46059</v>
      </c>
      <c r="W2207" s="158" t="s">
        <v>250</v>
      </c>
      <c r="X2207" s="158"/>
      <c r="Y2207" s="34">
        <f t="shared" ca="1" si="142"/>
        <v>46290</v>
      </c>
      <c r="Z2207" s="35">
        <f t="shared" ca="1" si="144"/>
        <v>-231</v>
      </c>
      <c r="AA2207" s="27">
        <f>MONTH(Table1[[#This Row],[End]])</f>
        <v>2</v>
      </c>
      <c r="AB2207" s="27">
        <f t="shared" si="143"/>
        <v>2026</v>
      </c>
      <c r="AC2207" s="159" t="s">
        <v>479</v>
      </c>
      <c r="AD2207" s="159" t="s">
        <v>10699</v>
      </c>
      <c r="AE2207" s="184" t="s">
        <v>10700</v>
      </c>
      <c r="AF2207" s="201" t="s">
        <v>356</v>
      </c>
      <c r="AG2207" s="160"/>
      <c r="AH2207" s="160"/>
      <c r="AI2207" s="158"/>
      <c r="AJ2207" s="158"/>
      <c r="AK2207" s="158"/>
      <c r="AL2207" s="158"/>
      <c r="AM2207" s="158"/>
      <c r="AN2207" s="158"/>
      <c r="AO2207" s="158"/>
      <c r="AP2207" s="158"/>
      <c r="AQ2207" s="158"/>
      <c r="AR2207" s="507"/>
      <c r="AS2207" s="475"/>
      <c r="AT2207" s="160"/>
    </row>
    <row r="2208" spans="1:46" ht="15" hidden="1" customHeight="1">
      <c r="A2208" s="331">
        <v>2207</v>
      </c>
      <c r="B2208" s="159" t="s">
        <v>450</v>
      </c>
      <c r="C2208" s="159" t="s">
        <v>596</v>
      </c>
      <c r="D2208" s="437" t="s">
        <v>452</v>
      </c>
      <c r="E2208" s="361" t="str">
        <f t="shared" ca="1" si="141"/>
        <v>LOSS</v>
      </c>
      <c r="F2208" s="160" t="s">
        <v>10701</v>
      </c>
      <c r="G2208" s="159" t="s">
        <v>10702</v>
      </c>
      <c r="H2208" s="160" t="s">
        <v>2748</v>
      </c>
      <c r="I2208" s="160" t="s">
        <v>242</v>
      </c>
      <c r="J2208" s="205" t="s">
        <v>122</v>
      </c>
      <c r="K2208" s="160"/>
      <c r="L2208" s="158"/>
      <c r="M2208" s="158" t="s">
        <v>365</v>
      </c>
      <c r="N2208" s="158" t="s">
        <v>354</v>
      </c>
      <c r="O2208" s="162"/>
      <c r="P2208" s="161">
        <f>5400000*12</f>
        <v>64800000</v>
      </c>
      <c r="Q2208" s="161"/>
      <c r="R2208" s="162"/>
      <c r="S2208" s="163">
        <v>12000000</v>
      </c>
      <c r="T2208" s="164"/>
      <c r="U2208" s="340">
        <v>45785</v>
      </c>
      <c r="V2208" s="340">
        <v>46149</v>
      </c>
      <c r="W2208" s="158" t="s">
        <v>250</v>
      </c>
      <c r="X2208" s="158"/>
      <c r="Y2208" s="34">
        <f t="shared" ca="1" si="142"/>
        <v>46290</v>
      </c>
      <c r="Z2208" s="35">
        <f t="shared" ca="1" si="144"/>
        <v>-141</v>
      </c>
      <c r="AA2208" s="27">
        <f>MONTH(Table1[[#This Row],[End]])</f>
        <v>5</v>
      </c>
      <c r="AB2208" s="27">
        <f t="shared" si="143"/>
        <v>2026</v>
      </c>
      <c r="AC2208" s="159">
        <v>4500022664</v>
      </c>
      <c r="AD2208" s="159" t="s">
        <v>10703</v>
      </c>
      <c r="AE2208" s="184" t="s">
        <v>10704</v>
      </c>
      <c r="AF2208" s="201" t="s">
        <v>399</v>
      </c>
      <c r="AG2208" s="160"/>
      <c r="AH2208" s="160"/>
      <c r="AI2208" s="158"/>
      <c r="AJ2208" s="158"/>
      <c r="AK2208" s="158"/>
      <c r="AL2208" s="158"/>
      <c r="AM2208" s="158"/>
      <c r="AN2208" s="158"/>
      <c r="AO2208" s="158"/>
      <c r="AP2208" s="158"/>
      <c r="AQ2208" s="158">
        <v>111</v>
      </c>
      <c r="AR2208" s="507"/>
      <c r="AS2208" s="475"/>
      <c r="AT2208" s="160"/>
    </row>
    <row r="2209" spans="1:46" ht="15" hidden="1" customHeight="1">
      <c r="A2209" s="331">
        <v>2208</v>
      </c>
      <c r="B2209" s="159" t="s">
        <v>450</v>
      </c>
      <c r="C2209" s="159" t="s">
        <v>684</v>
      </c>
      <c r="D2209" s="437" t="s">
        <v>452</v>
      </c>
      <c r="E2209" s="361" t="str">
        <f t="shared" ca="1" si="141"/>
        <v>LOSS</v>
      </c>
      <c r="F2209" s="160" t="s">
        <v>10705</v>
      </c>
      <c r="G2209" s="159" t="s">
        <v>10706</v>
      </c>
      <c r="H2209" s="160" t="s">
        <v>2748</v>
      </c>
      <c r="I2209" s="160" t="s">
        <v>242</v>
      </c>
      <c r="J2209" s="205" t="s">
        <v>118</v>
      </c>
      <c r="K2209" s="160"/>
      <c r="L2209" s="158"/>
      <c r="M2209" s="190" t="s">
        <v>329</v>
      </c>
      <c r="N2209" s="158" t="s">
        <v>362</v>
      </c>
      <c r="O2209" s="162"/>
      <c r="P2209" s="161">
        <f>6000000*12</f>
        <v>72000000</v>
      </c>
      <c r="Q2209" s="161"/>
      <c r="R2209" s="162"/>
      <c r="S2209" s="163">
        <v>2500000</v>
      </c>
      <c r="T2209" s="164"/>
      <c r="U2209" s="340">
        <v>45761</v>
      </c>
      <c r="V2209" s="340">
        <v>46125</v>
      </c>
      <c r="W2209" s="158" t="s">
        <v>250</v>
      </c>
      <c r="X2209" s="158"/>
      <c r="Y2209" s="34">
        <f t="shared" ca="1" si="142"/>
        <v>46290</v>
      </c>
      <c r="Z2209" s="35">
        <f t="shared" ca="1" si="144"/>
        <v>-165</v>
      </c>
      <c r="AA2209" s="27">
        <f>MONTH(Table1[[#This Row],[End]])</f>
        <v>4</v>
      </c>
      <c r="AB2209" s="27">
        <f t="shared" si="143"/>
        <v>2026</v>
      </c>
      <c r="AC2209" s="159" t="s">
        <v>10707</v>
      </c>
      <c r="AD2209" s="159" t="s">
        <v>10708</v>
      </c>
      <c r="AE2209" s="184" t="s">
        <v>10709</v>
      </c>
      <c r="AF2209" s="201" t="s">
        <v>399</v>
      </c>
      <c r="AG2209" s="160"/>
      <c r="AH2209" s="160"/>
      <c r="AI2209" s="158"/>
      <c r="AJ2209" s="158"/>
      <c r="AK2209" s="158"/>
      <c r="AL2209" s="158"/>
      <c r="AM2209" s="158"/>
      <c r="AN2209" s="158"/>
      <c r="AO2209" s="158"/>
      <c r="AP2209" s="158"/>
      <c r="AQ2209" s="158">
        <v>112</v>
      </c>
      <c r="AR2209" s="507"/>
      <c r="AS2209" s="475"/>
      <c r="AT2209" s="160"/>
    </row>
    <row r="2210" spans="1:46" ht="15" hidden="1" customHeight="1">
      <c r="A2210" s="331">
        <v>2209</v>
      </c>
      <c r="B2210" s="159" t="s">
        <v>71</v>
      </c>
      <c r="C2210" s="159" t="s">
        <v>10710</v>
      </c>
      <c r="D2210" s="437" t="s">
        <v>490</v>
      </c>
      <c r="E2210" s="361" t="str">
        <f t="shared" ca="1" si="141"/>
        <v>LOSS</v>
      </c>
      <c r="F2210" s="160" t="s">
        <v>10711</v>
      </c>
      <c r="G2210" s="159" t="s">
        <v>10712</v>
      </c>
      <c r="H2210" s="160" t="s">
        <v>2748</v>
      </c>
      <c r="I2210" s="160" t="s">
        <v>242</v>
      </c>
      <c r="J2210" s="159"/>
      <c r="K2210" s="295">
        <v>111202020928</v>
      </c>
      <c r="L2210" s="158"/>
      <c r="M2210" s="158" t="s">
        <v>365</v>
      </c>
      <c r="N2210" s="158"/>
      <c r="O2210" s="162"/>
      <c r="P2210" s="161">
        <f>7000000*12</f>
        <v>84000000</v>
      </c>
      <c r="Q2210" s="161"/>
      <c r="R2210" s="162"/>
      <c r="S2210" s="163">
        <v>18000000</v>
      </c>
      <c r="T2210" s="164"/>
      <c r="U2210" s="340">
        <v>45797</v>
      </c>
      <c r="V2210" s="340">
        <v>46161</v>
      </c>
      <c r="W2210" s="158" t="s">
        <v>250</v>
      </c>
      <c r="X2210" s="158"/>
      <c r="Y2210" s="34">
        <f t="shared" ca="1" si="142"/>
        <v>46290</v>
      </c>
      <c r="Z2210" s="35">
        <f t="shared" ca="1" si="144"/>
        <v>-129</v>
      </c>
      <c r="AA2210" s="27">
        <f>MONTH(Table1[[#This Row],[End]])</f>
        <v>5</v>
      </c>
      <c r="AB2210" s="27">
        <f t="shared" si="143"/>
        <v>2026</v>
      </c>
      <c r="AC2210" s="159">
        <v>4500022926</v>
      </c>
      <c r="AD2210" s="159" t="s">
        <v>10713</v>
      </c>
      <c r="AE2210" s="184" t="s">
        <v>10714</v>
      </c>
      <c r="AF2210" s="201" t="s">
        <v>399</v>
      </c>
      <c r="AG2210" s="160"/>
      <c r="AH2210" s="160"/>
      <c r="AI2210" s="158"/>
      <c r="AJ2210" s="158"/>
      <c r="AK2210" s="158"/>
      <c r="AL2210" s="158"/>
      <c r="AM2210" s="158"/>
      <c r="AN2210" s="158"/>
      <c r="AO2210" s="158"/>
      <c r="AP2210" s="158"/>
      <c r="AQ2210" s="158">
        <v>113</v>
      </c>
      <c r="AR2210" s="507"/>
      <c r="AS2210" s="475"/>
      <c r="AT2210" s="160"/>
    </row>
    <row r="2211" spans="1:46" ht="15" hidden="1" customHeight="1">
      <c r="A2211" s="331">
        <v>2210</v>
      </c>
      <c r="B2211" s="159" t="s">
        <v>71</v>
      </c>
      <c r="C2211" s="159" t="s">
        <v>2319</v>
      </c>
      <c r="D2211" s="437" t="s">
        <v>490</v>
      </c>
      <c r="E2211" s="361" t="str">
        <f t="shared" ca="1" si="141"/>
        <v>LOSS</v>
      </c>
      <c r="F2211" s="160" t="s">
        <v>115</v>
      </c>
      <c r="G2211" s="159" t="s">
        <v>10715</v>
      </c>
      <c r="H2211" s="160" t="s">
        <v>2748</v>
      </c>
      <c r="I2211" s="160" t="s">
        <v>242</v>
      </c>
      <c r="J2211" s="205" t="s">
        <v>86</v>
      </c>
      <c r="K2211" s="160"/>
      <c r="L2211" s="158"/>
      <c r="M2211" s="158" t="s">
        <v>329</v>
      </c>
      <c r="N2211" s="158" t="s">
        <v>6835</v>
      </c>
      <c r="O2211" s="162"/>
      <c r="P2211" s="161">
        <f>3500000*12</f>
        <v>42000000</v>
      </c>
      <c r="Q2211" s="161"/>
      <c r="R2211" s="162"/>
      <c r="S2211" s="163">
        <v>18000000</v>
      </c>
      <c r="T2211" s="164"/>
      <c r="U2211" s="340">
        <v>45812</v>
      </c>
      <c r="V2211" s="340">
        <v>46176</v>
      </c>
      <c r="W2211" s="158" t="s">
        <v>250</v>
      </c>
      <c r="X2211" s="158"/>
      <c r="Y2211" s="34">
        <f t="shared" ca="1" si="142"/>
        <v>46290</v>
      </c>
      <c r="Z2211" s="35">
        <f t="shared" ca="1" si="144"/>
        <v>-114</v>
      </c>
      <c r="AA2211" s="27">
        <f>MONTH(Table1[[#This Row],[End]])</f>
        <v>6</v>
      </c>
      <c r="AB2211" s="27">
        <f t="shared" si="143"/>
        <v>2026</v>
      </c>
      <c r="AC2211" s="159" t="s">
        <v>10716</v>
      </c>
      <c r="AD2211" s="159" t="s">
        <v>10717</v>
      </c>
      <c r="AE2211" s="184" t="s">
        <v>10718</v>
      </c>
      <c r="AF2211" s="201" t="s">
        <v>399</v>
      </c>
      <c r="AG2211" s="160"/>
      <c r="AH2211" s="160"/>
      <c r="AI2211" s="158"/>
      <c r="AJ2211" s="158"/>
      <c r="AK2211" s="158"/>
      <c r="AL2211" s="158"/>
      <c r="AM2211" s="158"/>
      <c r="AN2211" s="158"/>
      <c r="AO2211" s="158"/>
      <c r="AP2211" s="158"/>
      <c r="AQ2211" s="158">
        <v>114</v>
      </c>
      <c r="AR2211" s="507"/>
      <c r="AS2211" s="475"/>
      <c r="AT2211" s="160"/>
    </row>
    <row r="2212" spans="1:46" ht="15" hidden="1" customHeight="1">
      <c r="A2212" s="331">
        <v>2211</v>
      </c>
      <c r="B2212" s="159" t="s">
        <v>71</v>
      </c>
      <c r="C2212" s="159" t="s">
        <v>889</v>
      </c>
      <c r="D2212" s="438" t="s">
        <v>490</v>
      </c>
      <c r="E2212" s="361" t="str">
        <f t="shared" ca="1" si="141"/>
        <v>LOSS</v>
      </c>
      <c r="F2212" s="160"/>
      <c r="G2212" s="159" t="s">
        <v>10719</v>
      </c>
      <c r="H2212" s="160" t="s">
        <v>2748</v>
      </c>
      <c r="I2212" s="160" t="s">
        <v>242</v>
      </c>
      <c r="J2212" s="216" t="s">
        <v>10720</v>
      </c>
      <c r="K2212" s="160"/>
      <c r="L2212" s="158"/>
      <c r="M2212" s="190" t="s">
        <v>10721</v>
      </c>
      <c r="N2212" s="190" t="s">
        <v>10722</v>
      </c>
      <c r="O2212" s="162">
        <v>10000000</v>
      </c>
      <c r="P2212" s="161">
        <f>57000000*12</f>
        <v>684000000</v>
      </c>
      <c r="Q2212" s="161"/>
      <c r="R2212" s="162">
        <v>4000000</v>
      </c>
      <c r="S2212" s="163">
        <v>36000000</v>
      </c>
      <c r="T2212" s="164"/>
      <c r="U2212" s="340">
        <v>45722</v>
      </c>
      <c r="V2212" s="340">
        <v>46086</v>
      </c>
      <c r="W2212" s="158" t="s">
        <v>250</v>
      </c>
      <c r="X2212" s="158"/>
      <c r="Y2212" s="34">
        <f t="shared" ca="1" si="142"/>
        <v>46290</v>
      </c>
      <c r="Z2212" s="35">
        <f t="shared" ca="1" si="144"/>
        <v>-204</v>
      </c>
      <c r="AA2212" s="27">
        <f>MONTH(Table1[[#This Row],[End]])</f>
        <v>3</v>
      </c>
      <c r="AB2212" s="27">
        <f t="shared" si="143"/>
        <v>2026</v>
      </c>
      <c r="AC2212" s="159" t="s">
        <v>479</v>
      </c>
      <c r="AD2212" s="159" t="s">
        <v>10723</v>
      </c>
      <c r="AE2212" s="184" t="s">
        <v>10544</v>
      </c>
      <c r="AF2212" s="201" t="s">
        <v>399</v>
      </c>
      <c r="AG2212" s="160"/>
      <c r="AH2212" s="160"/>
      <c r="AI2212" s="158"/>
      <c r="AJ2212" s="158"/>
      <c r="AK2212" s="158"/>
      <c r="AL2212" s="158"/>
      <c r="AM2212" s="158"/>
      <c r="AN2212" s="158"/>
      <c r="AO2212" s="158"/>
      <c r="AP2212" s="158"/>
      <c r="AQ2212" s="158">
        <v>4</v>
      </c>
      <c r="AR2212" s="507"/>
      <c r="AS2212" s="475"/>
      <c r="AT2212" s="160"/>
    </row>
    <row r="2213" spans="1:46" ht="15" hidden="1" customHeight="1">
      <c r="A2213" s="331">
        <v>2212</v>
      </c>
      <c r="B2213" s="159" t="s">
        <v>71</v>
      </c>
      <c r="C2213" s="159" t="s">
        <v>10724</v>
      </c>
      <c r="D2213" s="437" t="s">
        <v>490</v>
      </c>
      <c r="E2213" s="361" t="str">
        <f t="shared" ca="1" si="141"/>
        <v>LOSS</v>
      </c>
      <c r="F2213" s="160" t="s">
        <v>10725</v>
      </c>
      <c r="G2213" s="159" t="s">
        <v>10726</v>
      </c>
      <c r="H2213" s="160" t="s">
        <v>2748</v>
      </c>
      <c r="I2213" s="160" t="s">
        <v>242</v>
      </c>
      <c r="J2213" s="216" t="s">
        <v>10727</v>
      </c>
      <c r="K2213" s="160"/>
      <c r="L2213" s="158"/>
      <c r="M2213" s="158" t="s">
        <v>329</v>
      </c>
      <c r="N2213" s="158" t="s">
        <v>494</v>
      </c>
      <c r="O2213" s="162"/>
      <c r="P2213" s="161">
        <f>8339500*12</f>
        <v>100074000</v>
      </c>
      <c r="Q2213" s="161"/>
      <c r="R2213" s="162"/>
      <c r="S2213" s="163">
        <v>18000000</v>
      </c>
      <c r="T2213" s="164"/>
      <c r="U2213" s="340">
        <v>45805</v>
      </c>
      <c r="V2213" s="340">
        <v>46169</v>
      </c>
      <c r="W2213" s="158" t="s">
        <v>250</v>
      </c>
      <c r="X2213" s="158"/>
      <c r="Y2213" s="34">
        <f t="shared" ca="1" si="142"/>
        <v>46290</v>
      </c>
      <c r="Z2213" s="35">
        <f t="shared" ca="1" si="144"/>
        <v>-121</v>
      </c>
      <c r="AA2213" s="27">
        <f>MONTH(Table1[[#This Row],[End]])</f>
        <v>5</v>
      </c>
      <c r="AB2213" s="27">
        <f t="shared" si="143"/>
        <v>2026</v>
      </c>
      <c r="AC2213" s="159" t="s">
        <v>10728</v>
      </c>
      <c r="AD2213" s="159" t="s">
        <v>10729</v>
      </c>
      <c r="AE2213" s="184" t="s">
        <v>10730</v>
      </c>
      <c r="AF2213" s="201" t="s">
        <v>399</v>
      </c>
      <c r="AG2213" s="160"/>
      <c r="AH2213" s="160"/>
      <c r="AI2213" s="158"/>
      <c r="AJ2213" s="158"/>
      <c r="AK2213" s="158"/>
      <c r="AL2213" s="158"/>
      <c r="AM2213" s="158"/>
      <c r="AN2213" s="158"/>
      <c r="AO2213" s="158"/>
      <c r="AP2213" s="158"/>
      <c r="AQ2213" s="158">
        <v>95</v>
      </c>
      <c r="AR2213" s="507"/>
      <c r="AS2213" s="475"/>
      <c r="AT2213" s="160"/>
    </row>
    <row r="2214" spans="1:46" ht="15" hidden="1" customHeight="1">
      <c r="A2214" s="331">
        <v>2213</v>
      </c>
      <c r="B2214" s="159" t="s">
        <v>37</v>
      </c>
      <c r="C2214" s="159" t="s">
        <v>10731</v>
      </c>
      <c r="D2214" s="437" t="s">
        <v>6644</v>
      </c>
      <c r="E2214" s="361" t="str">
        <f t="shared" ca="1" si="141"/>
        <v>LOSS</v>
      </c>
      <c r="F2214" s="160" t="s">
        <v>8853</v>
      </c>
      <c r="G2214" s="159" t="s">
        <v>10732</v>
      </c>
      <c r="H2214" s="160" t="s">
        <v>2748</v>
      </c>
      <c r="I2214" s="160" t="s">
        <v>242</v>
      </c>
      <c r="J2214" s="205" t="s">
        <v>10733</v>
      </c>
      <c r="K2214" s="181" t="s">
        <v>10734</v>
      </c>
      <c r="L2214" s="158"/>
      <c r="M2214" s="158" t="s">
        <v>6776</v>
      </c>
      <c r="N2214" s="158" t="s">
        <v>6762</v>
      </c>
      <c r="O2214" s="162">
        <v>5000000</v>
      </c>
      <c r="P2214" s="161">
        <f>30000000*12</f>
        <v>360000000</v>
      </c>
      <c r="Q2214" s="161"/>
      <c r="R2214" s="162">
        <v>2060000</v>
      </c>
      <c r="S2214" s="163">
        <f>1030000*12</f>
        <v>12360000</v>
      </c>
      <c r="T2214" s="164"/>
      <c r="U2214" s="340">
        <v>45792</v>
      </c>
      <c r="V2214" s="340">
        <v>46156</v>
      </c>
      <c r="W2214" s="158" t="s">
        <v>250</v>
      </c>
      <c r="X2214" s="158"/>
      <c r="Y2214" s="34">
        <f t="shared" ca="1" si="142"/>
        <v>46290</v>
      </c>
      <c r="Z2214" s="35">
        <f t="shared" ca="1" si="144"/>
        <v>-134</v>
      </c>
      <c r="AA2214" s="27">
        <f>MONTH(Table1[[#This Row],[End]])</f>
        <v>5</v>
      </c>
      <c r="AB2214" s="27">
        <f t="shared" si="143"/>
        <v>2026</v>
      </c>
      <c r="AC2214" s="159" t="s">
        <v>3371</v>
      </c>
      <c r="AD2214" s="159" t="s">
        <v>10735</v>
      </c>
      <c r="AE2214" s="184" t="s">
        <v>10736</v>
      </c>
      <c r="AF2214" s="201" t="s">
        <v>399</v>
      </c>
      <c r="AG2214" s="160"/>
      <c r="AH2214" s="160"/>
      <c r="AI2214" s="158"/>
      <c r="AJ2214" s="158"/>
      <c r="AK2214" s="158"/>
      <c r="AL2214" s="158"/>
      <c r="AM2214" s="158"/>
      <c r="AN2214" s="158"/>
      <c r="AO2214" s="158"/>
      <c r="AP2214" s="158"/>
      <c r="AQ2214" s="158">
        <v>115</v>
      </c>
      <c r="AR2214" s="507"/>
      <c r="AS2214" s="475"/>
      <c r="AT2214" s="160"/>
    </row>
    <row r="2215" spans="1:46" ht="15" hidden="1" customHeight="1">
      <c r="A2215" s="331">
        <v>2214</v>
      </c>
      <c r="B2215" s="159" t="s">
        <v>37</v>
      </c>
      <c r="C2215" s="159" t="s">
        <v>10737</v>
      </c>
      <c r="D2215" s="437" t="s">
        <v>6644</v>
      </c>
      <c r="E2215" s="361" t="str">
        <f t="shared" ca="1" si="141"/>
        <v>LOSS</v>
      </c>
      <c r="F2215" s="29" t="s">
        <v>6670</v>
      </c>
      <c r="G2215" s="38" t="s">
        <v>6671</v>
      </c>
      <c r="H2215" s="28" t="s">
        <v>261</v>
      </c>
      <c r="I2215" s="361" t="s">
        <v>243</v>
      </c>
      <c r="J2215" s="28" t="s">
        <v>6672</v>
      </c>
      <c r="K2215" s="38" t="s">
        <v>10738</v>
      </c>
      <c r="L2215" s="27" t="s">
        <v>4749</v>
      </c>
      <c r="M2215" s="27" t="s">
        <v>365</v>
      </c>
      <c r="N2215" s="27" t="s">
        <v>494</v>
      </c>
      <c r="O2215" s="56"/>
      <c r="P2215" s="61">
        <f>13500000*12</f>
        <v>162000000</v>
      </c>
      <c r="Q2215" s="61"/>
      <c r="R2215" s="56"/>
      <c r="S2215" s="33">
        <f>5000000*12</f>
        <v>60000000</v>
      </c>
      <c r="T2215" s="33"/>
      <c r="U2215" s="334">
        <v>45839</v>
      </c>
      <c r="V2215" s="334">
        <v>46203</v>
      </c>
      <c r="W2215" s="27" t="s">
        <v>250</v>
      </c>
      <c r="X2215" s="27"/>
      <c r="Y2215" s="34">
        <f t="shared" ca="1" si="142"/>
        <v>46290</v>
      </c>
      <c r="Z2215" s="35">
        <f t="shared" ca="1" si="144"/>
        <v>-87</v>
      </c>
      <c r="AA2215" s="27">
        <f>MONTH(V2215)</f>
        <v>6</v>
      </c>
      <c r="AB2215" s="27">
        <f t="shared" si="143"/>
        <v>2026</v>
      </c>
      <c r="AC2215" s="28" t="s">
        <v>10739</v>
      </c>
      <c r="AD2215" s="28" t="s">
        <v>10740</v>
      </c>
      <c r="AE2215" s="27">
        <v>4500025157</v>
      </c>
      <c r="AF2215" s="27" t="s">
        <v>471</v>
      </c>
      <c r="AG2215" s="160"/>
      <c r="AH2215" s="160"/>
      <c r="AI2215" s="158"/>
      <c r="AJ2215" s="158"/>
      <c r="AK2215" s="158"/>
      <c r="AL2215" s="158"/>
      <c r="AM2215" s="158"/>
      <c r="AN2215" s="158"/>
      <c r="AO2215" s="158"/>
      <c r="AP2215" s="158"/>
      <c r="AQ2215" s="158">
        <v>166</v>
      </c>
      <c r="AR2215" s="507"/>
      <c r="AS2215" s="475"/>
      <c r="AT2215" s="160"/>
    </row>
    <row r="2216" spans="1:46" ht="15" hidden="1" customHeight="1">
      <c r="A2216" s="331">
        <v>2215</v>
      </c>
      <c r="B2216" s="159" t="s">
        <v>542</v>
      </c>
      <c r="C2216" s="159" t="s">
        <v>8875</v>
      </c>
      <c r="D2216" s="437" t="s">
        <v>413</v>
      </c>
      <c r="E2216" s="361" t="str">
        <f t="shared" ca="1" si="141"/>
        <v>LOSS</v>
      </c>
      <c r="F2216" s="160" t="s">
        <v>10741</v>
      </c>
      <c r="G2216" s="159" t="s">
        <v>10742</v>
      </c>
      <c r="H2216" s="160" t="s">
        <v>2748</v>
      </c>
      <c r="I2216" s="160" t="s">
        <v>242</v>
      </c>
      <c r="J2216" s="159"/>
      <c r="K2216" s="181" t="s">
        <v>10743</v>
      </c>
      <c r="L2216" s="158"/>
      <c r="M2216" s="158" t="s">
        <v>365</v>
      </c>
      <c r="N2216" s="158" t="s">
        <v>354</v>
      </c>
      <c r="O2216" s="162"/>
      <c r="P2216" s="161">
        <f>5000000*12</f>
        <v>60000000</v>
      </c>
      <c r="Q2216" s="161"/>
      <c r="R2216" s="162"/>
      <c r="S2216" s="163">
        <v>8000000</v>
      </c>
      <c r="T2216" s="164"/>
      <c r="U2216" s="340">
        <v>45701</v>
      </c>
      <c r="V2216" s="340">
        <v>46065</v>
      </c>
      <c r="W2216" s="158" t="s">
        <v>250</v>
      </c>
      <c r="X2216" s="158"/>
      <c r="Y2216" s="34">
        <f t="shared" ca="1" si="142"/>
        <v>46290</v>
      </c>
      <c r="Z2216" s="35">
        <f t="shared" ca="1" si="144"/>
        <v>-225</v>
      </c>
      <c r="AA2216" s="27">
        <f>MONTH(Table1[[#This Row],[End]])</f>
        <v>2</v>
      </c>
      <c r="AB2216" s="27">
        <f t="shared" si="143"/>
        <v>2026</v>
      </c>
      <c r="AC2216" s="159">
        <v>4500022082</v>
      </c>
      <c r="AD2216" s="159" t="s">
        <v>10744</v>
      </c>
      <c r="AE2216" s="184" t="s">
        <v>10745</v>
      </c>
      <c r="AF2216" s="201" t="s">
        <v>399</v>
      </c>
      <c r="AG2216" s="160"/>
      <c r="AH2216" s="160"/>
      <c r="AI2216" s="158"/>
      <c r="AJ2216" s="158"/>
      <c r="AK2216" s="158"/>
      <c r="AL2216" s="158"/>
      <c r="AM2216" s="158"/>
      <c r="AN2216" s="158"/>
      <c r="AO2216" s="158"/>
      <c r="AP2216" s="158"/>
      <c r="AQ2216" s="158">
        <v>117</v>
      </c>
      <c r="AR2216" s="507"/>
      <c r="AS2216" s="475"/>
      <c r="AT2216" s="160"/>
    </row>
    <row r="2217" spans="1:46" ht="15" hidden="1" customHeight="1">
      <c r="A2217" s="331">
        <v>2216</v>
      </c>
      <c r="B2217" s="159" t="s">
        <v>542</v>
      </c>
      <c r="C2217" s="159" t="s">
        <v>2319</v>
      </c>
      <c r="D2217" s="437" t="s">
        <v>413</v>
      </c>
      <c r="E2217" s="361" t="str">
        <f t="shared" ca="1" si="141"/>
        <v>LOSS</v>
      </c>
      <c r="F2217" s="160"/>
      <c r="G2217" s="159" t="s">
        <v>10746</v>
      </c>
      <c r="H2217" s="160" t="s">
        <v>2748</v>
      </c>
      <c r="I2217" s="160" t="s">
        <v>242</v>
      </c>
      <c r="J2217" s="205" t="s">
        <v>1651</v>
      </c>
      <c r="K2217" s="160"/>
      <c r="L2217" s="158"/>
      <c r="M2217" s="158" t="s">
        <v>329</v>
      </c>
      <c r="N2217" s="158" t="s">
        <v>6835</v>
      </c>
      <c r="O2217" s="162"/>
      <c r="P2217" s="161">
        <f>3500000*12</f>
        <v>42000000</v>
      </c>
      <c r="Q2217" s="161"/>
      <c r="R2217" s="162"/>
      <c r="S2217" s="163">
        <v>2000000</v>
      </c>
      <c r="T2217" s="164"/>
      <c r="U2217" s="340">
        <v>45775</v>
      </c>
      <c r="V2217" s="340">
        <v>46139</v>
      </c>
      <c r="W2217" s="158" t="s">
        <v>250</v>
      </c>
      <c r="X2217" s="158"/>
      <c r="Y2217" s="34">
        <f t="shared" ca="1" si="142"/>
        <v>46290</v>
      </c>
      <c r="Z2217" s="35">
        <f t="shared" ca="1" si="144"/>
        <v>-151</v>
      </c>
      <c r="AA2217" s="27">
        <f>MONTH(Table1[[#This Row],[End]])</f>
        <v>4</v>
      </c>
      <c r="AB2217" s="27">
        <f t="shared" si="143"/>
        <v>2026</v>
      </c>
      <c r="AC2217" s="159" t="s">
        <v>10747</v>
      </c>
      <c r="AD2217" s="159" t="s">
        <v>10748</v>
      </c>
      <c r="AE2217" s="184" t="s">
        <v>10749</v>
      </c>
      <c r="AF2217" s="201" t="s">
        <v>399</v>
      </c>
      <c r="AG2217" s="160"/>
      <c r="AH2217" s="160"/>
      <c r="AI2217" s="158"/>
      <c r="AJ2217" s="158"/>
      <c r="AK2217" s="158"/>
      <c r="AL2217" s="158"/>
      <c r="AM2217" s="158"/>
      <c r="AN2217" s="158"/>
      <c r="AO2217" s="158"/>
      <c r="AP2217" s="158"/>
      <c r="AQ2217" s="158">
        <v>118</v>
      </c>
      <c r="AR2217" s="507"/>
      <c r="AS2217" s="475"/>
      <c r="AT2217" s="160"/>
    </row>
    <row r="2218" spans="1:46" ht="15" hidden="1" customHeight="1">
      <c r="A2218" s="331">
        <v>2217</v>
      </c>
      <c r="B2218" s="159" t="s">
        <v>542</v>
      </c>
      <c r="C2218" s="159" t="s">
        <v>2319</v>
      </c>
      <c r="D2218" s="438" t="s">
        <v>413</v>
      </c>
      <c r="E2218" s="361" t="str">
        <f t="shared" ca="1" si="141"/>
        <v>LOSS</v>
      </c>
      <c r="F2218" s="160" t="s">
        <v>10750</v>
      </c>
      <c r="G2218" s="159"/>
      <c r="H2218" s="160" t="s">
        <v>2748</v>
      </c>
      <c r="I2218" s="160" t="s">
        <v>242</v>
      </c>
      <c r="J2218" s="205" t="s">
        <v>8536</v>
      </c>
      <c r="K2218" s="160"/>
      <c r="L2218" s="158"/>
      <c r="M2218" s="158" t="s">
        <v>329</v>
      </c>
      <c r="N2218" s="158" t="s">
        <v>6835</v>
      </c>
      <c r="O2218" s="162"/>
      <c r="P2218" s="161">
        <f>3500000*12</f>
        <v>42000000</v>
      </c>
      <c r="Q2218" s="161"/>
      <c r="R2218" s="162"/>
      <c r="S2218" s="163">
        <v>6000000</v>
      </c>
      <c r="T2218" s="164"/>
      <c r="U2218" s="340">
        <v>45717</v>
      </c>
      <c r="V2218" s="340">
        <v>46081</v>
      </c>
      <c r="W2218" s="158" t="s">
        <v>250</v>
      </c>
      <c r="X2218" s="158"/>
      <c r="Y2218" s="34">
        <f t="shared" ca="1" si="142"/>
        <v>46290</v>
      </c>
      <c r="Z2218" s="35">
        <f t="shared" ca="1" si="144"/>
        <v>-209</v>
      </c>
      <c r="AA2218" s="27">
        <f>MONTH(Table1[[#This Row],[End]])</f>
        <v>2</v>
      </c>
      <c r="AB2218" s="27">
        <f t="shared" si="143"/>
        <v>2026</v>
      </c>
      <c r="AC2218" s="159" t="s">
        <v>10751</v>
      </c>
      <c r="AD2218" s="159" t="s">
        <v>10752</v>
      </c>
      <c r="AE2218" s="184" t="s">
        <v>10753</v>
      </c>
      <c r="AF2218" s="201" t="s">
        <v>399</v>
      </c>
      <c r="AG2218" s="160"/>
      <c r="AH2218" s="160"/>
      <c r="AI2218" s="158"/>
      <c r="AJ2218" s="158"/>
      <c r="AK2218" s="158"/>
      <c r="AL2218" s="158"/>
      <c r="AM2218" s="158"/>
      <c r="AN2218" s="158"/>
      <c r="AO2218" s="158"/>
      <c r="AP2218" s="158"/>
      <c r="AQ2218" s="158">
        <v>119</v>
      </c>
      <c r="AR2218" s="507"/>
      <c r="AS2218" s="475"/>
      <c r="AT2218" s="160"/>
    </row>
    <row r="2219" spans="1:46" ht="15" hidden="1" customHeight="1">
      <c r="A2219" s="331">
        <v>2218</v>
      </c>
      <c r="B2219" s="159" t="s">
        <v>411</v>
      </c>
      <c r="C2219" s="159" t="s">
        <v>412</v>
      </c>
      <c r="D2219" s="437" t="s">
        <v>413</v>
      </c>
      <c r="E2219" s="361" t="str">
        <f t="shared" ca="1" si="141"/>
        <v>LOSS</v>
      </c>
      <c r="F2219" s="160" t="s">
        <v>414</v>
      </c>
      <c r="G2219" s="159" t="s">
        <v>415</v>
      </c>
      <c r="H2219" s="160" t="s">
        <v>2748</v>
      </c>
      <c r="I2219" s="160" t="s">
        <v>346</v>
      </c>
      <c r="J2219" s="205" t="s">
        <v>416</v>
      </c>
      <c r="K2219" s="160"/>
      <c r="L2219" s="158"/>
      <c r="M2219" s="158" t="s">
        <v>365</v>
      </c>
      <c r="N2219" s="158" t="s">
        <v>417</v>
      </c>
      <c r="O2219" s="162"/>
      <c r="P2219" s="161">
        <f>2000000*12</f>
        <v>24000000</v>
      </c>
      <c r="Q2219" s="161"/>
      <c r="R2219" s="162"/>
      <c r="S2219" s="163">
        <v>81000000</v>
      </c>
      <c r="T2219" s="164"/>
      <c r="U2219" s="340">
        <v>45675</v>
      </c>
      <c r="V2219" s="340">
        <v>46039</v>
      </c>
      <c r="W2219" s="158" t="s">
        <v>17</v>
      </c>
      <c r="X2219" s="158"/>
      <c r="Y2219" s="34">
        <f t="shared" ca="1" si="142"/>
        <v>46290</v>
      </c>
      <c r="Z2219" s="35">
        <f t="shared" ca="1" si="144"/>
        <v>-251</v>
      </c>
      <c r="AA2219" s="27">
        <f>MONTH(Table1[[#This Row],[End]])</f>
        <v>1</v>
      </c>
      <c r="AB2219" s="27">
        <f t="shared" si="143"/>
        <v>2026</v>
      </c>
      <c r="AC2219" s="159">
        <v>4500017589</v>
      </c>
      <c r="AD2219" s="159" t="s">
        <v>418</v>
      </c>
      <c r="AE2219" s="184" t="s">
        <v>419</v>
      </c>
      <c r="AF2219" s="201" t="s">
        <v>399</v>
      </c>
      <c r="AG2219" s="160"/>
      <c r="AH2219" s="160"/>
      <c r="AI2219" s="158"/>
      <c r="AJ2219" s="158"/>
      <c r="AK2219" s="158"/>
      <c r="AL2219" s="158"/>
      <c r="AM2219" s="158"/>
      <c r="AN2219" s="158"/>
      <c r="AO2219" s="158"/>
      <c r="AP2219" s="158"/>
      <c r="AQ2219" s="158">
        <v>120</v>
      </c>
      <c r="AR2219" s="507"/>
      <c r="AS2219" s="475"/>
      <c r="AT2219" s="160"/>
    </row>
    <row r="2220" spans="1:46" ht="15" hidden="1" customHeight="1">
      <c r="A2220" s="331">
        <v>2219</v>
      </c>
      <c r="B2220" s="159" t="s">
        <v>382</v>
      </c>
      <c r="C2220" s="159" t="s">
        <v>10754</v>
      </c>
      <c r="D2220" s="437" t="s">
        <v>384</v>
      </c>
      <c r="E2220" s="361" t="str">
        <f t="shared" ca="1" si="141"/>
        <v>LOSS</v>
      </c>
      <c r="F2220" s="160" t="s">
        <v>10755</v>
      </c>
      <c r="G2220" s="159" t="s">
        <v>10756</v>
      </c>
      <c r="H2220" s="160" t="s">
        <v>2748</v>
      </c>
      <c r="I2220" s="160" t="s">
        <v>242</v>
      </c>
      <c r="J2220" s="205" t="s">
        <v>10757</v>
      </c>
      <c r="K2220" s="160"/>
      <c r="L2220" s="158"/>
      <c r="M2220" s="158" t="s">
        <v>10654</v>
      </c>
      <c r="N2220" s="158" t="s">
        <v>6885</v>
      </c>
      <c r="O2220" s="162"/>
      <c r="P2220" s="161">
        <f>3500000*12</f>
        <v>42000000</v>
      </c>
      <c r="Q2220" s="161"/>
      <c r="R2220" s="162"/>
      <c r="S2220" s="163">
        <v>12000000</v>
      </c>
      <c r="T2220" s="164"/>
      <c r="U2220" s="340">
        <v>45192</v>
      </c>
      <c r="V2220" s="340">
        <v>45922</v>
      </c>
      <c r="W2220" s="158" t="s">
        <v>250</v>
      </c>
      <c r="X2220" s="158"/>
      <c r="Y2220" s="34">
        <f t="shared" ca="1" si="142"/>
        <v>46290</v>
      </c>
      <c r="Z2220" s="35">
        <f t="shared" ca="1" si="144"/>
        <v>-368</v>
      </c>
      <c r="AA2220" s="27">
        <f>MONTH(Table1[[#This Row],[End]])</f>
        <v>9</v>
      </c>
      <c r="AB2220" s="27">
        <f t="shared" si="143"/>
        <v>2025</v>
      </c>
      <c r="AC2220" s="159" t="s">
        <v>10758</v>
      </c>
      <c r="AD2220" s="159" t="s">
        <v>10759</v>
      </c>
      <c r="AE2220" s="184" t="s">
        <v>10760</v>
      </c>
      <c r="AF2220" s="201" t="s">
        <v>399</v>
      </c>
      <c r="AG2220" s="160"/>
      <c r="AH2220" s="160"/>
      <c r="AI2220" s="158"/>
      <c r="AJ2220" s="158"/>
      <c r="AK2220" s="158"/>
      <c r="AL2220" s="158"/>
      <c r="AM2220" s="158"/>
      <c r="AN2220" s="158"/>
      <c r="AO2220" s="158"/>
      <c r="AP2220" s="158"/>
      <c r="AQ2220" s="158">
        <v>121</v>
      </c>
      <c r="AR2220" s="507"/>
      <c r="AS2220" s="475"/>
      <c r="AT2220" s="160"/>
    </row>
    <row r="2221" spans="1:46" ht="15" hidden="1" customHeight="1">
      <c r="A2221" s="331">
        <v>2220</v>
      </c>
      <c r="B2221" s="159" t="s">
        <v>382</v>
      </c>
      <c r="C2221" s="159" t="s">
        <v>9777</v>
      </c>
      <c r="D2221" s="437" t="s">
        <v>384</v>
      </c>
      <c r="E2221" s="361" t="str">
        <f t="shared" ca="1" si="141"/>
        <v>LOSS</v>
      </c>
      <c r="F2221" s="160" t="s">
        <v>9778</v>
      </c>
      <c r="G2221" s="159" t="s">
        <v>10761</v>
      </c>
      <c r="H2221" s="160" t="s">
        <v>2748</v>
      </c>
      <c r="I2221" s="160" t="s">
        <v>242</v>
      </c>
      <c r="J2221" s="205" t="s">
        <v>2237</v>
      </c>
      <c r="K2221" s="160"/>
      <c r="L2221" s="158"/>
      <c r="M2221" s="158" t="s">
        <v>9780</v>
      </c>
      <c r="N2221" s="158" t="s">
        <v>6755</v>
      </c>
      <c r="O2221" s="162"/>
      <c r="P2221" s="161">
        <f>24500000*12</f>
        <v>294000000</v>
      </c>
      <c r="Q2221" s="161"/>
      <c r="R2221" s="162"/>
      <c r="S2221" s="163">
        <v>120000000</v>
      </c>
      <c r="T2221" s="164"/>
      <c r="U2221" s="340">
        <v>45265</v>
      </c>
      <c r="V2221" s="340">
        <v>45995</v>
      </c>
      <c r="W2221" s="158" t="s">
        <v>250</v>
      </c>
      <c r="X2221" s="158"/>
      <c r="Y2221" s="34">
        <f t="shared" ca="1" si="142"/>
        <v>46290</v>
      </c>
      <c r="Z2221" s="35">
        <f t="shared" ca="1" si="144"/>
        <v>-295</v>
      </c>
      <c r="AA2221" s="27">
        <f>MONTH(Table1[[#This Row],[End]])</f>
        <v>12</v>
      </c>
      <c r="AB2221" s="27">
        <f t="shared" ref="AB2221:AB2246" si="145">YEAR(V2221)</f>
        <v>2025</v>
      </c>
      <c r="AC2221" s="159" t="s">
        <v>10762</v>
      </c>
      <c r="AD2221" s="159" t="s">
        <v>10763</v>
      </c>
      <c r="AE2221" s="184" t="s">
        <v>10764</v>
      </c>
      <c r="AF2221" s="201" t="s">
        <v>399</v>
      </c>
      <c r="AG2221" s="160"/>
      <c r="AH2221" s="160"/>
      <c r="AI2221" s="158"/>
      <c r="AJ2221" s="158"/>
      <c r="AK2221" s="158"/>
      <c r="AL2221" s="158"/>
      <c r="AM2221" s="158"/>
      <c r="AN2221" s="158"/>
      <c r="AO2221" s="158"/>
      <c r="AP2221" s="158"/>
      <c r="AQ2221" s="158">
        <v>122</v>
      </c>
      <c r="AR2221" s="507"/>
      <c r="AS2221" s="475"/>
      <c r="AT2221" s="160"/>
    </row>
    <row r="2222" spans="1:46" ht="15" hidden="1" customHeight="1">
      <c r="A2222" s="331">
        <v>2221</v>
      </c>
      <c r="B2222" s="159" t="s">
        <v>10470</v>
      </c>
      <c r="C2222" s="159" t="s">
        <v>7188</v>
      </c>
      <c r="D2222" s="437" t="s">
        <v>1119</v>
      </c>
      <c r="E2222" s="361" t="str">
        <f t="shared" ca="1" si="141"/>
        <v>LOSS</v>
      </c>
      <c r="F2222" s="160"/>
      <c r="G2222" s="159" t="s">
        <v>10765</v>
      </c>
      <c r="H2222" s="160" t="s">
        <v>2748</v>
      </c>
      <c r="I2222" s="160" t="s">
        <v>346</v>
      </c>
      <c r="J2222" s="205" t="s">
        <v>10766</v>
      </c>
      <c r="K2222" s="219">
        <v>111303010521</v>
      </c>
      <c r="L2222" s="158"/>
      <c r="M2222" s="158" t="s">
        <v>6776</v>
      </c>
      <c r="N2222" s="158" t="s">
        <v>389</v>
      </c>
      <c r="O2222" s="162"/>
      <c r="P2222" s="161">
        <f>13500000*4</f>
        <v>54000000</v>
      </c>
      <c r="Q2222" s="161"/>
      <c r="R2222" s="162"/>
      <c r="S2222" s="163">
        <v>5512667</v>
      </c>
      <c r="T2222" s="164"/>
      <c r="U2222" s="340">
        <v>45723</v>
      </c>
      <c r="V2222" s="340">
        <v>45838</v>
      </c>
      <c r="W2222" s="158" t="s">
        <v>250</v>
      </c>
      <c r="X2222" s="158"/>
      <c r="Y2222" s="34">
        <f t="shared" ca="1" si="142"/>
        <v>46290</v>
      </c>
      <c r="Z2222" s="35">
        <f t="shared" ca="1" si="144"/>
        <v>-452</v>
      </c>
      <c r="AA2222" s="27">
        <f>MONTH(Table1[[#This Row],[End]])</f>
        <v>6</v>
      </c>
      <c r="AB2222" s="27">
        <f t="shared" si="145"/>
        <v>2025</v>
      </c>
      <c r="AC2222" s="159" t="s">
        <v>479</v>
      </c>
      <c r="AD2222" s="182" t="s">
        <v>10767</v>
      </c>
      <c r="AE2222" s="184" t="s">
        <v>10768</v>
      </c>
      <c r="AF2222" s="201" t="s">
        <v>399</v>
      </c>
      <c r="AG2222" s="160"/>
      <c r="AH2222" s="160"/>
      <c r="AI2222" s="158"/>
      <c r="AJ2222" s="158"/>
      <c r="AK2222" s="158"/>
      <c r="AL2222" s="158"/>
      <c r="AM2222" s="158"/>
      <c r="AN2222" s="158"/>
      <c r="AO2222" s="158"/>
      <c r="AP2222" s="158"/>
      <c r="AQ2222" s="158">
        <v>126</v>
      </c>
      <c r="AR2222" s="507"/>
      <c r="AS2222" s="475"/>
      <c r="AT2222" s="160"/>
    </row>
    <row r="2223" spans="1:46" ht="15" hidden="1" customHeight="1">
      <c r="A2223" s="331">
        <v>2222</v>
      </c>
      <c r="B2223" s="159" t="s">
        <v>154</v>
      </c>
      <c r="C2223" s="159" t="s">
        <v>10769</v>
      </c>
      <c r="D2223" s="438" t="s">
        <v>9227</v>
      </c>
      <c r="E2223" s="361" t="str">
        <f t="shared" ca="1" si="141"/>
        <v>LOSS</v>
      </c>
      <c r="F2223" s="160" t="s">
        <v>10770</v>
      </c>
      <c r="G2223" s="159" t="s">
        <v>10770</v>
      </c>
      <c r="H2223" s="160" t="s">
        <v>2748</v>
      </c>
      <c r="I2223" s="160" t="s">
        <v>346</v>
      </c>
      <c r="J2223" s="205" t="s">
        <v>163</v>
      </c>
      <c r="K2223" s="160"/>
      <c r="L2223" s="158"/>
      <c r="M2223" s="158" t="s">
        <v>365</v>
      </c>
      <c r="N2223" s="158" t="s">
        <v>6897</v>
      </c>
      <c r="O2223" s="162"/>
      <c r="P2223" s="161">
        <f>8500000*12</f>
        <v>102000000</v>
      </c>
      <c r="Q2223" s="161"/>
      <c r="R2223" s="162"/>
      <c r="S2223" s="163">
        <v>24000000</v>
      </c>
      <c r="T2223" s="164"/>
      <c r="U2223" s="340">
        <v>45731</v>
      </c>
      <c r="V2223" s="340">
        <v>46095</v>
      </c>
      <c r="W2223" s="158" t="s">
        <v>250</v>
      </c>
      <c r="X2223" s="158"/>
      <c r="Y2223" s="34">
        <f t="shared" ca="1" si="142"/>
        <v>46290</v>
      </c>
      <c r="Z2223" s="35">
        <f t="shared" ca="1" si="144"/>
        <v>-195</v>
      </c>
      <c r="AA2223" s="27">
        <f>MONTH(Table1[[#This Row],[End]])</f>
        <v>3</v>
      </c>
      <c r="AB2223" s="27">
        <f t="shared" si="145"/>
        <v>2026</v>
      </c>
      <c r="AC2223" s="159">
        <v>4500022060</v>
      </c>
      <c r="AD2223" s="159" t="s">
        <v>10771</v>
      </c>
      <c r="AE2223" s="184" t="s">
        <v>10772</v>
      </c>
      <c r="AF2223" s="201" t="s">
        <v>399</v>
      </c>
      <c r="AG2223" s="160"/>
      <c r="AH2223" s="160"/>
      <c r="AI2223" s="158"/>
      <c r="AJ2223" s="158"/>
      <c r="AK2223" s="158"/>
      <c r="AL2223" s="158"/>
      <c r="AM2223" s="158"/>
      <c r="AN2223" s="158"/>
      <c r="AO2223" s="158"/>
      <c r="AP2223" s="158"/>
      <c r="AQ2223" s="158">
        <v>127</v>
      </c>
      <c r="AR2223" s="507"/>
      <c r="AS2223" s="475"/>
      <c r="AT2223" s="160"/>
    </row>
    <row r="2224" spans="1:46" ht="15" hidden="1" customHeight="1">
      <c r="A2224" s="331">
        <v>2223</v>
      </c>
      <c r="B2224" s="159" t="s">
        <v>400</v>
      </c>
      <c r="C2224" s="159" t="s">
        <v>5967</v>
      </c>
      <c r="D2224" s="438" t="s">
        <v>6810</v>
      </c>
      <c r="E2224" s="361" t="str">
        <f t="shared" ca="1" si="141"/>
        <v>LOSS</v>
      </c>
      <c r="F2224" s="160" t="s">
        <v>5316</v>
      </c>
      <c r="G2224" s="159" t="s">
        <v>10773</v>
      </c>
      <c r="H2224" s="160" t="s">
        <v>2748</v>
      </c>
      <c r="I2224" s="160" t="s">
        <v>346</v>
      </c>
      <c r="J2224" s="205" t="s">
        <v>10774</v>
      </c>
      <c r="K2224" s="160"/>
      <c r="L2224" s="158"/>
      <c r="M2224" s="158" t="s">
        <v>365</v>
      </c>
      <c r="N2224" s="158" t="s">
        <v>354</v>
      </c>
      <c r="O2224" s="162"/>
      <c r="P2224" s="161">
        <f>7500000*12</f>
        <v>90000000</v>
      </c>
      <c r="Q2224" s="161"/>
      <c r="R2224" s="162"/>
      <c r="S2224" s="163">
        <v>7500000</v>
      </c>
      <c r="T2224" s="164"/>
      <c r="U2224" s="340">
        <v>45655</v>
      </c>
      <c r="V2224" s="340">
        <v>46019</v>
      </c>
      <c r="W2224" s="158" t="s">
        <v>17</v>
      </c>
      <c r="X2224" s="158"/>
      <c r="Y2224" s="34">
        <f t="shared" ca="1" si="142"/>
        <v>46290</v>
      </c>
      <c r="Z2224" s="35">
        <f t="shared" ca="1" si="144"/>
        <v>-271</v>
      </c>
      <c r="AA2224" s="27">
        <f>MONTH(Table1[[#This Row],[End]])</f>
        <v>12</v>
      </c>
      <c r="AB2224" s="27">
        <f t="shared" si="145"/>
        <v>2025</v>
      </c>
      <c r="AC2224" s="159" t="s">
        <v>10775</v>
      </c>
      <c r="AD2224" s="182" t="s">
        <v>10776</v>
      </c>
      <c r="AE2224" s="184" t="s">
        <v>10777</v>
      </c>
      <c r="AF2224" s="201" t="s">
        <v>399</v>
      </c>
      <c r="AG2224" s="160"/>
      <c r="AH2224" s="160"/>
      <c r="AI2224" s="158"/>
      <c r="AJ2224" s="158"/>
      <c r="AK2224" s="158"/>
      <c r="AL2224" s="158"/>
      <c r="AM2224" s="158"/>
      <c r="AN2224" s="158"/>
      <c r="AO2224" s="158"/>
      <c r="AP2224" s="158"/>
      <c r="AQ2224" s="158">
        <v>123</v>
      </c>
      <c r="AR2224" s="507"/>
      <c r="AS2224" s="475"/>
      <c r="AT2224" s="160"/>
    </row>
    <row r="2225" spans="1:46" ht="15" hidden="1" customHeight="1">
      <c r="A2225" s="331">
        <v>2224</v>
      </c>
      <c r="B2225" s="159" t="s">
        <v>400</v>
      </c>
      <c r="C2225" s="159" t="s">
        <v>401</v>
      </c>
      <c r="D2225" s="437" t="s">
        <v>402</v>
      </c>
      <c r="E2225" s="361" t="str">
        <f t="shared" ca="1" si="141"/>
        <v>LOSS</v>
      </c>
      <c r="F2225" s="160" t="s">
        <v>10778</v>
      </c>
      <c r="G2225" s="159" t="s">
        <v>10779</v>
      </c>
      <c r="H2225" s="160" t="s">
        <v>2748</v>
      </c>
      <c r="I2225" s="160" t="s">
        <v>346</v>
      </c>
      <c r="J2225" s="159"/>
      <c r="K2225" s="181" t="s">
        <v>10780</v>
      </c>
      <c r="L2225" s="158"/>
      <c r="M2225" s="158" t="s">
        <v>365</v>
      </c>
      <c r="N2225" s="158" t="s">
        <v>494</v>
      </c>
      <c r="O2225" s="162"/>
      <c r="P2225" s="161">
        <f>4400000*12</f>
        <v>52800000</v>
      </c>
      <c r="Q2225" s="161"/>
      <c r="R2225" s="162"/>
      <c r="S2225" s="163">
        <v>7500000</v>
      </c>
      <c r="T2225" s="164"/>
      <c r="U2225" s="340">
        <v>45686</v>
      </c>
      <c r="V2225" s="340">
        <v>45686</v>
      </c>
      <c r="W2225" s="158" t="s">
        <v>17</v>
      </c>
      <c r="X2225" s="158"/>
      <c r="Y2225" s="34">
        <f t="shared" ca="1" si="142"/>
        <v>46290</v>
      </c>
      <c r="Z2225" s="35">
        <f t="shared" ca="1" si="144"/>
        <v>-604</v>
      </c>
      <c r="AA2225" s="27">
        <f>MONTH(Table1[[#This Row],[End]])</f>
        <v>1</v>
      </c>
      <c r="AB2225" s="27">
        <f t="shared" si="145"/>
        <v>2025</v>
      </c>
      <c r="AC2225" s="159" t="s">
        <v>10781</v>
      </c>
      <c r="AD2225" s="159" t="s">
        <v>10782</v>
      </c>
      <c r="AE2225" s="184" t="s">
        <v>10783</v>
      </c>
      <c r="AF2225" s="201" t="s">
        <v>399</v>
      </c>
      <c r="AG2225" s="160"/>
      <c r="AH2225" s="160"/>
      <c r="AI2225" s="158"/>
      <c r="AJ2225" s="158"/>
      <c r="AK2225" s="158"/>
      <c r="AL2225" s="158"/>
      <c r="AM2225" s="158"/>
      <c r="AN2225" s="158"/>
      <c r="AO2225" s="158"/>
      <c r="AP2225" s="158"/>
      <c r="AQ2225" s="158">
        <v>124</v>
      </c>
      <c r="AR2225" s="507"/>
      <c r="AS2225" s="475"/>
      <c r="AT2225" s="160"/>
    </row>
    <row r="2226" spans="1:46" ht="15" hidden="1" customHeight="1">
      <c r="A2226" s="331">
        <v>2225</v>
      </c>
      <c r="B2226" s="159" t="s">
        <v>400</v>
      </c>
      <c r="C2226" s="159" t="s">
        <v>401</v>
      </c>
      <c r="D2226" s="438" t="s">
        <v>402</v>
      </c>
      <c r="E2226" s="361" t="str">
        <f t="shared" ca="1" si="141"/>
        <v>LOSS</v>
      </c>
      <c r="F2226" s="160" t="s">
        <v>403</v>
      </c>
      <c r="G2226" s="159" t="s">
        <v>404</v>
      </c>
      <c r="H2226" s="160" t="s">
        <v>2748</v>
      </c>
      <c r="I2226" s="160" t="s">
        <v>346</v>
      </c>
      <c r="J2226" s="159"/>
      <c r="K2226" s="181" t="s">
        <v>405</v>
      </c>
      <c r="L2226" s="158"/>
      <c r="M2226" s="158" t="s">
        <v>365</v>
      </c>
      <c r="N2226" s="158" t="s">
        <v>406</v>
      </c>
      <c r="O2226" s="162"/>
      <c r="P2226" s="161">
        <f>7000000*12</f>
        <v>84000000</v>
      </c>
      <c r="Q2226" s="161"/>
      <c r="R2226" s="162"/>
      <c r="S2226" s="163">
        <v>7500000</v>
      </c>
      <c r="T2226" s="164"/>
      <c r="U2226" s="340">
        <v>45678</v>
      </c>
      <c r="V2226" s="340">
        <v>46042</v>
      </c>
      <c r="W2226" s="158" t="s">
        <v>17</v>
      </c>
      <c r="X2226" s="158"/>
      <c r="Y2226" s="34">
        <f t="shared" ca="1" si="142"/>
        <v>46290</v>
      </c>
      <c r="Z2226" s="35">
        <f t="shared" ca="1" si="144"/>
        <v>-248</v>
      </c>
      <c r="AA2226" s="27">
        <f>MONTH(Table1[[#This Row],[End]])</f>
        <v>1</v>
      </c>
      <c r="AB2226" s="27">
        <f t="shared" si="145"/>
        <v>2026</v>
      </c>
      <c r="AC2226" s="159" t="s">
        <v>407</v>
      </c>
      <c r="AD2226" s="159" t="s">
        <v>408</v>
      </c>
      <c r="AE2226" s="184" t="s">
        <v>409</v>
      </c>
      <c r="AF2226" s="201" t="s">
        <v>399</v>
      </c>
      <c r="AG2226" s="160"/>
      <c r="AH2226" s="160"/>
      <c r="AI2226" s="158"/>
      <c r="AJ2226" s="158"/>
      <c r="AK2226" s="158"/>
      <c r="AL2226" s="158"/>
      <c r="AM2226" s="158"/>
      <c r="AN2226" s="158"/>
      <c r="AO2226" s="158"/>
      <c r="AP2226" s="158"/>
      <c r="AQ2226" s="158">
        <v>125</v>
      </c>
      <c r="AR2226" s="507"/>
      <c r="AS2226" s="475"/>
      <c r="AT2226" s="160"/>
    </row>
    <row r="2227" spans="1:46" ht="15" hidden="1" customHeight="1">
      <c r="A2227" s="331">
        <v>2226</v>
      </c>
      <c r="B2227" s="159" t="s">
        <v>400</v>
      </c>
      <c r="C2227" s="159" t="s">
        <v>10784</v>
      </c>
      <c r="D2227" s="437" t="s">
        <v>402</v>
      </c>
      <c r="E2227" s="361" t="str">
        <f t="shared" ca="1" si="141"/>
        <v>LOSS</v>
      </c>
      <c r="F2227" s="160" t="s">
        <v>10785</v>
      </c>
      <c r="G2227" s="159" t="s">
        <v>10786</v>
      </c>
      <c r="H2227" s="160" t="s">
        <v>2748</v>
      </c>
      <c r="I2227" s="160" t="s">
        <v>346</v>
      </c>
      <c r="J2227" s="159" t="s">
        <v>10787</v>
      </c>
      <c r="K2227" s="160" t="s">
        <v>10788</v>
      </c>
      <c r="L2227" s="158"/>
      <c r="M2227" s="158" t="s">
        <v>365</v>
      </c>
      <c r="N2227" s="158" t="s">
        <v>362</v>
      </c>
      <c r="O2227" s="162"/>
      <c r="P2227" s="161">
        <f>24200000*12</f>
        <v>290400000</v>
      </c>
      <c r="Q2227" s="161"/>
      <c r="R2227" s="162"/>
      <c r="S2227" s="163">
        <v>40000000</v>
      </c>
      <c r="T2227" s="164"/>
      <c r="U2227" s="340">
        <v>45678</v>
      </c>
      <c r="V2227" s="340">
        <v>46019</v>
      </c>
      <c r="W2227" s="158" t="s">
        <v>17</v>
      </c>
      <c r="X2227" s="158"/>
      <c r="Y2227" s="34">
        <f t="shared" ca="1" si="142"/>
        <v>46290</v>
      </c>
      <c r="Z2227" s="35">
        <f t="shared" ca="1" si="144"/>
        <v>-271</v>
      </c>
      <c r="AA2227" s="27">
        <f>MONTH(Table1[[#This Row],[End]])</f>
        <v>12</v>
      </c>
      <c r="AB2227" s="27">
        <f t="shared" si="145"/>
        <v>2025</v>
      </c>
      <c r="AC2227" s="159" t="s">
        <v>10789</v>
      </c>
      <c r="AD2227" s="159" t="s">
        <v>10790</v>
      </c>
      <c r="AE2227" s="184" t="s">
        <v>10791</v>
      </c>
      <c r="AF2227" s="201" t="s">
        <v>399</v>
      </c>
      <c r="AG2227" s="160"/>
      <c r="AH2227" s="160"/>
      <c r="AI2227" s="158"/>
      <c r="AJ2227" s="158"/>
      <c r="AK2227" s="158"/>
      <c r="AL2227" s="158"/>
      <c r="AM2227" s="158"/>
      <c r="AN2227" s="158"/>
      <c r="AO2227" s="158"/>
      <c r="AP2227" s="158"/>
      <c r="AQ2227" s="158">
        <v>126</v>
      </c>
      <c r="AR2227" s="507"/>
      <c r="AS2227" s="475"/>
      <c r="AT2227" s="160"/>
    </row>
    <row r="2228" spans="1:46" ht="15" hidden="1" customHeight="1">
      <c r="A2228" s="331">
        <v>2227</v>
      </c>
      <c r="B2228" s="159" t="s">
        <v>221</v>
      </c>
      <c r="C2228" s="159" t="s">
        <v>8875</v>
      </c>
      <c r="D2228" s="438" t="s">
        <v>369</v>
      </c>
      <c r="E2228" s="361" t="str">
        <f t="shared" ca="1" si="141"/>
        <v>LOSS</v>
      </c>
      <c r="F2228" s="160"/>
      <c r="G2228" s="159" t="s">
        <v>10792</v>
      </c>
      <c r="H2228" s="160" t="s">
        <v>2748</v>
      </c>
      <c r="I2228" s="160" t="s">
        <v>242</v>
      </c>
      <c r="J2228" s="205" t="s">
        <v>223</v>
      </c>
      <c r="K2228" s="160"/>
      <c r="L2228" s="158"/>
      <c r="M2228" s="158" t="s">
        <v>365</v>
      </c>
      <c r="N2228" s="158" t="s">
        <v>354</v>
      </c>
      <c r="O2228" s="162"/>
      <c r="P2228" s="161">
        <f>5000000*12</f>
        <v>60000000</v>
      </c>
      <c r="Q2228" s="161"/>
      <c r="R2228" s="162"/>
      <c r="S2228" s="163">
        <v>6000000</v>
      </c>
      <c r="T2228" s="164"/>
      <c r="U2228" s="340">
        <v>45751</v>
      </c>
      <c r="V2228" s="340">
        <v>46115</v>
      </c>
      <c r="W2228" s="158" t="s">
        <v>250</v>
      </c>
      <c r="X2228" s="158"/>
      <c r="Y2228" s="34">
        <f t="shared" ca="1" si="142"/>
        <v>46290</v>
      </c>
      <c r="Z2228" s="35">
        <f t="shared" ca="1" si="144"/>
        <v>-175</v>
      </c>
      <c r="AA2228" s="27">
        <f>MONTH(Table1[[#This Row],[End]])</f>
        <v>4</v>
      </c>
      <c r="AB2228" s="27">
        <f t="shared" si="145"/>
        <v>2026</v>
      </c>
      <c r="AC2228" s="159">
        <v>4500022735</v>
      </c>
      <c r="AD2228" s="159" t="s">
        <v>10793</v>
      </c>
      <c r="AE2228" s="184" t="s">
        <v>10794</v>
      </c>
      <c r="AF2228" s="201" t="s">
        <v>399</v>
      </c>
      <c r="AG2228" s="160"/>
      <c r="AH2228" s="160"/>
      <c r="AI2228" s="158"/>
      <c r="AJ2228" s="158"/>
      <c r="AK2228" s="158"/>
      <c r="AL2228" s="158"/>
      <c r="AM2228" s="158"/>
      <c r="AN2228" s="158"/>
      <c r="AO2228" s="158"/>
      <c r="AP2228" s="158"/>
      <c r="AQ2228" s="158">
        <v>131</v>
      </c>
      <c r="AR2228" s="507"/>
      <c r="AS2228" s="475"/>
      <c r="AT2228" s="160"/>
    </row>
    <row r="2229" spans="1:46" ht="15" hidden="1" customHeight="1">
      <c r="A2229" s="331">
        <v>2228</v>
      </c>
      <c r="B2229" s="159" t="s">
        <v>221</v>
      </c>
      <c r="C2229" s="159" t="s">
        <v>941</v>
      </c>
      <c r="D2229" s="437" t="s">
        <v>369</v>
      </c>
      <c r="E2229" s="361" t="str">
        <f t="shared" ca="1" si="141"/>
        <v>LOSS</v>
      </c>
      <c r="F2229" s="160" t="s">
        <v>10795</v>
      </c>
      <c r="G2229" s="159" t="s">
        <v>10796</v>
      </c>
      <c r="H2229" s="160" t="s">
        <v>2748</v>
      </c>
      <c r="I2229" s="160" t="s">
        <v>242</v>
      </c>
      <c r="J2229" s="159" t="s">
        <v>10797</v>
      </c>
      <c r="K2229" s="160"/>
      <c r="L2229" s="158"/>
      <c r="M2229" s="158" t="s">
        <v>365</v>
      </c>
      <c r="N2229" s="158" t="s">
        <v>6885</v>
      </c>
      <c r="O2229" s="162"/>
      <c r="P2229" s="161">
        <f>4800000*12</f>
        <v>57600000</v>
      </c>
      <c r="Q2229" s="161"/>
      <c r="R2229" s="162"/>
      <c r="S2229" s="163">
        <v>6000000</v>
      </c>
      <c r="T2229" s="164"/>
      <c r="U2229" s="340">
        <v>45720</v>
      </c>
      <c r="V2229" s="340">
        <v>46084</v>
      </c>
      <c r="W2229" s="158" t="s">
        <v>250</v>
      </c>
      <c r="X2229" s="158"/>
      <c r="Y2229" s="34">
        <f t="shared" ca="1" si="142"/>
        <v>46290</v>
      </c>
      <c r="Z2229" s="35">
        <f t="shared" ca="1" si="144"/>
        <v>-206</v>
      </c>
      <c r="AA2229" s="27">
        <f>MONTH(Table1[[#This Row],[End]])</f>
        <v>3</v>
      </c>
      <c r="AB2229" s="27">
        <f t="shared" si="145"/>
        <v>2026</v>
      </c>
      <c r="AC2229" s="159" t="s">
        <v>10798</v>
      </c>
      <c r="AD2229" s="159" t="s">
        <v>10799</v>
      </c>
      <c r="AE2229" s="184" t="s">
        <v>10800</v>
      </c>
      <c r="AF2229" s="201" t="s">
        <v>399</v>
      </c>
      <c r="AG2229" s="160"/>
      <c r="AH2229" s="160"/>
      <c r="AI2229" s="158"/>
      <c r="AJ2229" s="158"/>
      <c r="AK2229" s="158"/>
      <c r="AL2229" s="158"/>
      <c r="AM2229" s="158"/>
      <c r="AN2229" s="158"/>
      <c r="AO2229" s="158"/>
      <c r="AP2229" s="158"/>
      <c r="AQ2229" s="158">
        <v>132</v>
      </c>
      <c r="AR2229" s="507"/>
      <c r="AS2229" s="475"/>
      <c r="AT2229" s="160"/>
    </row>
    <row r="2230" spans="1:46" ht="15" hidden="1" customHeight="1">
      <c r="A2230" s="331">
        <v>2229</v>
      </c>
      <c r="B2230" s="159" t="s">
        <v>221</v>
      </c>
      <c r="C2230" s="159" t="s">
        <v>1000</v>
      </c>
      <c r="D2230" s="438" t="s">
        <v>369</v>
      </c>
      <c r="E2230" s="361" t="str">
        <f t="shared" ca="1" si="141"/>
        <v>LOSS</v>
      </c>
      <c r="F2230" s="160"/>
      <c r="G2230" s="159" t="s">
        <v>10801</v>
      </c>
      <c r="H2230" s="160" t="s">
        <v>2748</v>
      </c>
      <c r="I2230" s="160" t="s">
        <v>242</v>
      </c>
      <c r="J2230" s="205" t="s">
        <v>8063</v>
      </c>
      <c r="K2230" s="160"/>
      <c r="L2230" s="158"/>
      <c r="M2230" s="158" t="s">
        <v>329</v>
      </c>
      <c r="N2230" s="158" t="s">
        <v>9995</v>
      </c>
      <c r="O2230" s="162"/>
      <c r="P2230" s="161">
        <f>2272727*12</f>
        <v>27272724</v>
      </c>
      <c r="Q2230" s="161"/>
      <c r="R2230" s="162"/>
      <c r="S2230" s="163">
        <v>6000000</v>
      </c>
      <c r="T2230" s="164"/>
      <c r="U2230" s="340">
        <v>45732</v>
      </c>
      <c r="V2230" s="340">
        <v>46096</v>
      </c>
      <c r="W2230" s="158" t="s">
        <v>17</v>
      </c>
      <c r="X2230" s="158"/>
      <c r="Y2230" s="34">
        <f t="shared" ca="1" si="142"/>
        <v>46290</v>
      </c>
      <c r="Z2230" s="35">
        <f t="shared" ca="1" si="144"/>
        <v>-194</v>
      </c>
      <c r="AA2230" s="27">
        <f>MONTH(Table1[[#This Row],[End]])</f>
        <v>3</v>
      </c>
      <c r="AB2230" s="27">
        <f t="shared" si="145"/>
        <v>2026</v>
      </c>
      <c r="AC2230" s="159" t="s">
        <v>10802</v>
      </c>
      <c r="AD2230" s="159" t="s">
        <v>10803</v>
      </c>
      <c r="AE2230" s="184" t="s">
        <v>10804</v>
      </c>
      <c r="AF2230" s="201" t="s">
        <v>399</v>
      </c>
      <c r="AG2230" s="160"/>
      <c r="AH2230" s="160"/>
      <c r="AI2230" s="158"/>
      <c r="AJ2230" s="158"/>
      <c r="AK2230" s="158"/>
      <c r="AL2230" s="158"/>
      <c r="AM2230" s="158"/>
      <c r="AN2230" s="158"/>
      <c r="AO2230" s="158"/>
      <c r="AP2230" s="158"/>
      <c r="AQ2230" s="158">
        <v>133</v>
      </c>
      <c r="AR2230" s="507"/>
      <c r="AS2230" s="475"/>
      <c r="AT2230" s="160"/>
    </row>
    <row r="2231" spans="1:46" ht="15" hidden="1" customHeight="1">
      <c r="A2231" s="331">
        <v>2230</v>
      </c>
      <c r="B2231" s="159" t="s">
        <v>221</v>
      </c>
      <c r="C2231" s="159" t="s">
        <v>10805</v>
      </c>
      <c r="D2231" s="437" t="s">
        <v>369</v>
      </c>
      <c r="E2231" s="361" t="str">
        <f t="shared" ca="1" si="141"/>
        <v>LOSS</v>
      </c>
      <c r="F2231" s="160"/>
      <c r="G2231" s="159" t="s">
        <v>10806</v>
      </c>
      <c r="H2231" s="160" t="s">
        <v>2748</v>
      </c>
      <c r="I2231" s="160" t="s">
        <v>242</v>
      </c>
      <c r="J2231" s="205" t="s">
        <v>10807</v>
      </c>
      <c r="K2231" s="160"/>
      <c r="L2231" s="158"/>
      <c r="M2231" s="158" t="s">
        <v>10808</v>
      </c>
      <c r="N2231" s="158"/>
      <c r="O2231" s="162">
        <v>6900000</v>
      </c>
      <c r="P2231" s="161">
        <f>5000000*12</f>
        <v>60000000</v>
      </c>
      <c r="Q2231" s="161"/>
      <c r="R2231" s="162">
        <v>3000000</v>
      </c>
      <c r="S2231" s="163">
        <v>6000000</v>
      </c>
      <c r="T2231" s="164"/>
      <c r="U2231" s="340">
        <v>45692</v>
      </c>
      <c r="V2231" s="340">
        <v>46056</v>
      </c>
      <c r="W2231" s="158" t="s">
        <v>250</v>
      </c>
      <c r="X2231" s="158"/>
      <c r="Y2231" s="34">
        <f t="shared" ca="1" si="142"/>
        <v>46290</v>
      </c>
      <c r="Z2231" s="35">
        <f t="shared" ca="1" si="144"/>
        <v>-234</v>
      </c>
      <c r="AA2231" s="27">
        <f>MONTH(Table1[[#This Row],[End]])</f>
        <v>2</v>
      </c>
      <c r="AB2231" s="27">
        <f t="shared" si="145"/>
        <v>2026</v>
      </c>
      <c r="AC2231" s="159" t="s">
        <v>479</v>
      </c>
      <c r="AD2231" s="182" t="s">
        <v>10809</v>
      </c>
      <c r="AE2231" s="184" t="s">
        <v>10810</v>
      </c>
      <c r="AF2231" s="201" t="s">
        <v>399</v>
      </c>
      <c r="AG2231" s="160"/>
      <c r="AH2231" s="160"/>
      <c r="AI2231" s="158"/>
      <c r="AJ2231" s="158"/>
      <c r="AK2231" s="158"/>
      <c r="AL2231" s="158"/>
      <c r="AM2231" s="158"/>
      <c r="AN2231" s="158"/>
      <c r="AO2231" s="158"/>
      <c r="AP2231" s="158"/>
      <c r="AQ2231" s="158">
        <v>134</v>
      </c>
      <c r="AR2231" s="507"/>
      <c r="AS2231" s="475"/>
      <c r="AT2231" s="160"/>
    </row>
    <row r="2232" spans="1:46" ht="15" hidden="1" customHeight="1">
      <c r="A2232" s="331">
        <v>2231</v>
      </c>
      <c r="B2232" s="159" t="s">
        <v>221</v>
      </c>
      <c r="C2232" s="159" t="s">
        <v>393</v>
      </c>
      <c r="D2232" s="438" t="s">
        <v>369</v>
      </c>
      <c r="E2232" s="361" t="str">
        <f t="shared" ca="1" si="141"/>
        <v>LOSS</v>
      </c>
      <c r="F2232" s="160"/>
      <c r="G2232" s="159" t="s">
        <v>394</v>
      </c>
      <c r="H2232" s="160" t="s">
        <v>2748</v>
      </c>
      <c r="I2232" s="160" t="s">
        <v>242</v>
      </c>
      <c r="J2232" s="205" t="s">
        <v>395</v>
      </c>
      <c r="K2232" s="160"/>
      <c r="L2232" s="158"/>
      <c r="M2232" s="158" t="s">
        <v>365</v>
      </c>
      <c r="N2232" s="158" t="s">
        <v>396</v>
      </c>
      <c r="O2232" s="162"/>
      <c r="P2232" s="161">
        <f>15000000*12</f>
        <v>180000000</v>
      </c>
      <c r="Q2232" s="161"/>
      <c r="R2232" s="162"/>
      <c r="S2232" s="163">
        <v>7200000</v>
      </c>
      <c r="T2232" s="164"/>
      <c r="U2232" s="340">
        <v>45674</v>
      </c>
      <c r="V2232" s="340">
        <v>46038</v>
      </c>
      <c r="W2232" s="158" t="s">
        <v>250</v>
      </c>
      <c r="X2232" s="158"/>
      <c r="Y2232" s="34">
        <f t="shared" ca="1" si="142"/>
        <v>46290</v>
      </c>
      <c r="Z2232" s="35">
        <f t="shared" ca="1" si="144"/>
        <v>-252</v>
      </c>
      <c r="AA2232" s="27">
        <f>MONTH(Table1[[#This Row],[End]])</f>
        <v>1</v>
      </c>
      <c r="AB2232" s="27">
        <f t="shared" si="145"/>
        <v>2026</v>
      </c>
      <c r="AC2232" s="159">
        <v>4500019908</v>
      </c>
      <c r="AD2232" s="159" t="s">
        <v>397</v>
      </c>
      <c r="AE2232" s="184" t="s">
        <v>398</v>
      </c>
      <c r="AF2232" s="201" t="s">
        <v>399</v>
      </c>
      <c r="AG2232" s="160"/>
      <c r="AH2232" s="160"/>
      <c r="AI2232" s="158"/>
      <c r="AJ2232" s="158"/>
      <c r="AK2232" s="158"/>
      <c r="AL2232" s="158"/>
      <c r="AM2232" s="158"/>
      <c r="AN2232" s="158"/>
      <c r="AO2232" s="158"/>
      <c r="AP2232" s="158"/>
      <c r="AQ2232" s="158">
        <v>135</v>
      </c>
      <c r="AR2232" s="507"/>
      <c r="AS2232" s="475"/>
      <c r="AT2232" s="160"/>
    </row>
    <row r="2233" spans="1:46" ht="15" hidden="1" customHeight="1">
      <c r="A2233" s="331">
        <v>2232</v>
      </c>
      <c r="B2233" s="159" t="s">
        <v>221</v>
      </c>
      <c r="C2233" s="159" t="s">
        <v>2529</v>
      </c>
      <c r="D2233" s="437" t="s">
        <v>369</v>
      </c>
      <c r="E2233" s="361" t="str">
        <f t="shared" ca="1" si="141"/>
        <v>LOSS</v>
      </c>
      <c r="F2233" s="160"/>
      <c r="G2233" s="159" t="s">
        <v>8136</v>
      </c>
      <c r="H2233" s="160" t="s">
        <v>2748</v>
      </c>
      <c r="I2233" s="160" t="s">
        <v>242</v>
      </c>
      <c r="J2233" s="205" t="s">
        <v>10811</v>
      </c>
      <c r="K2233" s="160"/>
      <c r="L2233" s="158"/>
      <c r="M2233" s="158" t="s">
        <v>6776</v>
      </c>
      <c r="N2233" s="158" t="s">
        <v>6735</v>
      </c>
      <c r="O2233" s="162"/>
      <c r="P2233" s="161">
        <f>3000000*12</f>
        <v>36000000</v>
      </c>
      <c r="Q2233" s="161"/>
      <c r="R2233" s="162"/>
      <c r="S2233" s="163">
        <v>6000000</v>
      </c>
      <c r="T2233" s="164"/>
      <c r="U2233" s="340">
        <v>45702</v>
      </c>
      <c r="V2233" s="340">
        <v>46066</v>
      </c>
      <c r="W2233" s="158" t="s">
        <v>250</v>
      </c>
      <c r="X2233" s="158"/>
      <c r="Y2233" s="34">
        <f t="shared" ca="1" si="142"/>
        <v>46290</v>
      </c>
      <c r="Z2233" s="35">
        <f t="shared" ca="1" si="144"/>
        <v>-224</v>
      </c>
      <c r="AA2233" s="27">
        <f>MONTH(Table1[[#This Row],[End]])</f>
        <v>2</v>
      </c>
      <c r="AB2233" s="27">
        <f t="shared" si="145"/>
        <v>2026</v>
      </c>
      <c r="AC2233" s="159" t="s">
        <v>10812</v>
      </c>
      <c r="AD2233" s="159" t="s">
        <v>10813</v>
      </c>
      <c r="AE2233" s="184" t="s">
        <v>10814</v>
      </c>
      <c r="AF2233" s="201" t="s">
        <v>399</v>
      </c>
      <c r="AG2233" s="160"/>
      <c r="AH2233" s="160"/>
      <c r="AI2233" s="158"/>
      <c r="AJ2233" s="158"/>
      <c r="AK2233" s="158"/>
      <c r="AL2233" s="158"/>
      <c r="AM2233" s="158"/>
      <c r="AN2233" s="158"/>
      <c r="AO2233" s="158"/>
      <c r="AP2233" s="158"/>
      <c r="AQ2233" s="158">
        <v>136</v>
      </c>
      <c r="AR2233" s="507"/>
      <c r="AS2233" s="475"/>
      <c r="AT2233" s="160"/>
    </row>
    <row r="2234" spans="1:46" ht="15" hidden="1" customHeight="1">
      <c r="A2234" s="331">
        <v>2233</v>
      </c>
      <c r="B2234" s="159" t="s">
        <v>221</v>
      </c>
      <c r="C2234" s="159" t="s">
        <v>938</v>
      </c>
      <c r="D2234" s="438" t="s">
        <v>369</v>
      </c>
      <c r="E2234" s="361" t="str">
        <f t="shared" ca="1" si="141"/>
        <v>LOSS</v>
      </c>
      <c r="F2234" s="160" t="s">
        <v>10815</v>
      </c>
      <c r="G2234" s="159" t="s">
        <v>10816</v>
      </c>
      <c r="H2234" s="160" t="s">
        <v>2748</v>
      </c>
      <c r="I2234" s="160" t="s">
        <v>242</v>
      </c>
      <c r="J2234" s="205" t="s">
        <v>1919</v>
      </c>
      <c r="K2234" s="219">
        <v>110120202242</v>
      </c>
      <c r="L2234" s="158"/>
      <c r="M2234" s="158" t="s">
        <v>365</v>
      </c>
      <c r="N2234" s="158" t="s">
        <v>468</v>
      </c>
      <c r="O2234" s="162"/>
      <c r="P2234" s="161">
        <f>16200000*12</f>
        <v>194400000</v>
      </c>
      <c r="Q2234" s="161"/>
      <c r="R2234" s="162"/>
      <c r="S2234" s="163">
        <v>6000000</v>
      </c>
      <c r="T2234" s="164"/>
      <c r="U2234" s="340">
        <v>45725</v>
      </c>
      <c r="V2234" s="340">
        <v>46089</v>
      </c>
      <c r="W2234" s="158" t="s">
        <v>250</v>
      </c>
      <c r="X2234" s="158"/>
      <c r="Y2234" s="34">
        <f t="shared" ca="1" si="142"/>
        <v>46290</v>
      </c>
      <c r="Z2234" s="35">
        <f t="shared" ca="1" si="144"/>
        <v>-201</v>
      </c>
      <c r="AA2234" s="27">
        <f>MONTH(Table1[[#This Row],[End]])</f>
        <v>3</v>
      </c>
      <c r="AB2234" s="27">
        <f t="shared" si="145"/>
        <v>2026</v>
      </c>
      <c r="AC2234" s="159" t="s">
        <v>10817</v>
      </c>
      <c r="AD2234" s="182" t="s">
        <v>10818</v>
      </c>
      <c r="AE2234" s="184" t="s">
        <v>10819</v>
      </c>
      <c r="AF2234" s="201" t="s">
        <v>399</v>
      </c>
      <c r="AG2234" s="160"/>
      <c r="AH2234" s="160"/>
      <c r="AI2234" s="158"/>
      <c r="AJ2234" s="158"/>
      <c r="AK2234" s="158"/>
      <c r="AL2234" s="158"/>
      <c r="AM2234" s="158"/>
      <c r="AN2234" s="158"/>
      <c r="AO2234" s="158"/>
      <c r="AP2234" s="158"/>
      <c r="AQ2234" s="158">
        <v>137</v>
      </c>
      <c r="AR2234" s="507"/>
      <c r="AS2234" s="475"/>
      <c r="AT2234" s="160"/>
    </row>
    <row r="2235" spans="1:46" ht="15" hidden="1" customHeight="1">
      <c r="A2235" s="331">
        <v>2234</v>
      </c>
      <c r="B2235" s="159" t="s">
        <v>221</v>
      </c>
      <c r="C2235" s="159" t="s">
        <v>8870</v>
      </c>
      <c r="D2235" s="437" t="s">
        <v>369</v>
      </c>
      <c r="E2235" s="361" t="str">
        <f t="shared" ca="1" si="141"/>
        <v>LOSS</v>
      </c>
      <c r="F2235" s="160" t="s">
        <v>10820</v>
      </c>
      <c r="G2235" s="159" t="s">
        <v>10821</v>
      </c>
      <c r="H2235" s="160" t="s">
        <v>2748</v>
      </c>
      <c r="I2235" s="160" t="s">
        <v>242</v>
      </c>
      <c r="J2235" s="205" t="s">
        <v>222</v>
      </c>
      <c r="K2235" s="160"/>
      <c r="L2235" s="158"/>
      <c r="M2235" s="158" t="s">
        <v>365</v>
      </c>
      <c r="N2235" s="158" t="s">
        <v>389</v>
      </c>
      <c r="O2235" s="162"/>
      <c r="P2235" s="161">
        <f>3650000*12</f>
        <v>43800000</v>
      </c>
      <c r="Q2235" s="161"/>
      <c r="R2235" s="162"/>
      <c r="S2235" s="163">
        <v>6000000</v>
      </c>
      <c r="T2235" s="164"/>
      <c r="U2235" s="340">
        <v>45794</v>
      </c>
      <c r="V2235" s="340">
        <v>46158</v>
      </c>
      <c r="W2235" s="158" t="s">
        <v>250</v>
      </c>
      <c r="X2235" s="158"/>
      <c r="Y2235" s="34">
        <f t="shared" ca="1" si="142"/>
        <v>46290</v>
      </c>
      <c r="Z2235" s="35">
        <f t="shared" ca="1" si="144"/>
        <v>-132</v>
      </c>
      <c r="AA2235" s="27">
        <f>MONTH(Table1[[#This Row],[End]])</f>
        <v>5</v>
      </c>
      <c r="AB2235" s="27">
        <f t="shared" si="145"/>
        <v>2026</v>
      </c>
      <c r="AC2235" s="159">
        <v>4500022869</v>
      </c>
      <c r="AD2235" s="159" t="s">
        <v>10822</v>
      </c>
      <c r="AE2235" s="184" t="s">
        <v>10823</v>
      </c>
      <c r="AF2235" s="201" t="s">
        <v>399</v>
      </c>
      <c r="AG2235" s="160"/>
      <c r="AH2235" s="160"/>
      <c r="AI2235" s="158"/>
      <c r="AJ2235" s="158"/>
      <c r="AK2235" s="158"/>
      <c r="AL2235" s="158"/>
      <c r="AM2235" s="158"/>
      <c r="AN2235" s="158"/>
      <c r="AO2235" s="158"/>
      <c r="AP2235" s="158"/>
      <c r="AQ2235" s="158">
        <v>138</v>
      </c>
      <c r="AR2235" s="507"/>
      <c r="AS2235" s="475"/>
      <c r="AT2235" s="160"/>
    </row>
    <row r="2236" spans="1:46" ht="15" hidden="1" customHeight="1">
      <c r="A2236" s="331">
        <v>2235</v>
      </c>
      <c r="B2236" s="159" t="s">
        <v>221</v>
      </c>
      <c r="C2236" s="159" t="s">
        <v>596</v>
      </c>
      <c r="D2236" s="438" t="s">
        <v>369</v>
      </c>
      <c r="E2236" s="361" t="str">
        <f t="shared" ca="1" si="141"/>
        <v>ATTENTION</v>
      </c>
      <c r="F2236" s="160" t="s">
        <v>10824</v>
      </c>
      <c r="G2236" s="159" t="s">
        <v>10825</v>
      </c>
      <c r="H2236" s="160" t="s">
        <v>2748</v>
      </c>
      <c r="I2236" s="160" t="s">
        <v>242</v>
      </c>
      <c r="J2236" s="205" t="s">
        <v>8823</v>
      </c>
      <c r="K2236" s="160"/>
      <c r="L2236" s="158"/>
      <c r="M2236" s="158" t="s">
        <v>365</v>
      </c>
      <c r="N2236" s="158" t="s">
        <v>362</v>
      </c>
      <c r="O2236" s="162"/>
      <c r="P2236" s="161">
        <f>7150000*12</f>
        <v>85800000</v>
      </c>
      <c r="Q2236" s="161"/>
      <c r="R2236" s="162"/>
      <c r="S2236" s="163">
        <v>12000000</v>
      </c>
      <c r="T2236" s="164"/>
      <c r="U2236" s="340">
        <v>45618</v>
      </c>
      <c r="V2236" s="340">
        <v>46347</v>
      </c>
      <c r="W2236" s="158" t="s">
        <v>250</v>
      </c>
      <c r="X2236" s="158"/>
      <c r="Y2236" s="34">
        <f t="shared" ca="1" si="142"/>
        <v>46290</v>
      </c>
      <c r="Z2236" s="35">
        <f t="shared" ca="1" si="144"/>
        <v>57</v>
      </c>
      <c r="AA2236" s="27">
        <f>MONTH(Table1[[#This Row],[End]])</f>
        <v>11</v>
      </c>
      <c r="AB2236" s="27">
        <f t="shared" si="145"/>
        <v>2026</v>
      </c>
      <c r="AC2236" s="159" t="s">
        <v>10826</v>
      </c>
      <c r="AD2236" s="159" t="s">
        <v>10827</v>
      </c>
      <c r="AE2236" s="184" t="s">
        <v>10828</v>
      </c>
      <c r="AF2236" s="201" t="s">
        <v>399</v>
      </c>
      <c r="AG2236" s="160"/>
      <c r="AH2236" s="160"/>
      <c r="AI2236" s="158"/>
      <c r="AJ2236" s="158"/>
      <c r="AK2236" s="158"/>
      <c r="AL2236" s="158"/>
      <c r="AM2236" s="158"/>
      <c r="AN2236" s="158"/>
      <c r="AO2236" s="158"/>
      <c r="AP2236" s="158"/>
      <c r="AQ2236" s="158">
        <v>139</v>
      </c>
      <c r="AR2236" s="507"/>
      <c r="AS2236" s="475"/>
      <c r="AT2236" s="160"/>
    </row>
    <row r="2237" spans="1:46" ht="15" hidden="1" customHeight="1">
      <c r="A2237" s="331">
        <v>2236</v>
      </c>
      <c r="B2237" s="159" t="s">
        <v>221</v>
      </c>
      <c r="C2237" s="159" t="s">
        <v>1142</v>
      </c>
      <c r="D2237" s="437" t="s">
        <v>369</v>
      </c>
      <c r="E2237" s="361" t="str">
        <f t="shared" ca="1" si="141"/>
        <v>LOSS</v>
      </c>
      <c r="F2237" s="160"/>
      <c r="G2237" s="159" t="s">
        <v>8097</v>
      </c>
      <c r="H2237" s="160" t="s">
        <v>2748</v>
      </c>
      <c r="I2237" s="160" t="s">
        <v>242</v>
      </c>
      <c r="J2237" s="159"/>
      <c r="K2237" s="181" t="s">
        <v>10829</v>
      </c>
      <c r="L2237" s="158"/>
      <c r="M2237" s="158" t="s">
        <v>329</v>
      </c>
      <c r="N2237" s="158" t="s">
        <v>7013</v>
      </c>
      <c r="O2237" s="162"/>
      <c r="P2237" s="161">
        <f>4200000*12</f>
        <v>50400000</v>
      </c>
      <c r="Q2237" s="161"/>
      <c r="R2237" s="162"/>
      <c r="S2237" s="163">
        <v>12000000</v>
      </c>
      <c r="T2237" s="164"/>
      <c r="U2237" s="340">
        <v>45691</v>
      </c>
      <c r="V2237" s="340">
        <v>46055</v>
      </c>
      <c r="W2237" s="158" t="s">
        <v>250</v>
      </c>
      <c r="X2237" s="158"/>
      <c r="Y2237" s="34">
        <f t="shared" ca="1" si="142"/>
        <v>46290</v>
      </c>
      <c r="Z2237" s="35">
        <f t="shared" ca="1" si="144"/>
        <v>-235</v>
      </c>
      <c r="AA2237" s="27">
        <f>MONTH(Table1[[#This Row],[End]])</f>
        <v>2</v>
      </c>
      <c r="AB2237" s="27">
        <f t="shared" si="145"/>
        <v>2026</v>
      </c>
      <c r="AC2237" s="159" t="s">
        <v>10830</v>
      </c>
      <c r="AD2237" s="182" t="s">
        <v>10831</v>
      </c>
      <c r="AE2237" s="184" t="s">
        <v>10832</v>
      </c>
      <c r="AF2237" s="201" t="s">
        <v>399</v>
      </c>
      <c r="AG2237" s="160"/>
      <c r="AH2237" s="160"/>
      <c r="AI2237" s="158"/>
      <c r="AJ2237" s="158"/>
      <c r="AK2237" s="158"/>
      <c r="AL2237" s="158"/>
      <c r="AM2237" s="158"/>
      <c r="AN2237" s="158"/>
      <c r="AO2237" s="158"/>
      <c r="AP2237" s="158"/>
      <c r="AQ2237" s="158">
        <v>140</v>
      </c>
      <c r="AR2237" s="507"/>
      <c r="AS2237" s="475"/>
      <c r="AT2237" s="160"/>
    </row>
    <row r="2238" spans="1:46" ht="15" hidden="1" customHeight="1">
      <c r="A2238" s="331">
        <v>2237</v>
      </c>
      <c r="B2238" s="159" t="s">
        <v>221</v>
      </c>
      <c r="C2238" s="159" t="s">
        <v>1000</v>
      </c>
      <c r="D2238" s="438" t="s">
        <v>369</v>
      </c>
      <c r="E2238" s="361" t="str">
        <f t="shared" ca="1" si="141"/>
        <v>LOSS</v>
      </c>
      <c r="F2238" s="160"/>
      <c r="G2238" s="159" t="s">
        <v>10833</v>
      </c>
      <c r="H2238" s="160" t="s">
        <v>2748</v>
      </c>
      <c r="I2238" s="160" t="s">
        <v>242</v>
      </c>
      <c r="J2238" s="205" t="s">
        <v>10834</v>
      </c>
      <c r="K2238" s="160"/>
      <c r="L2238" s="158"/>
      <c r="M2238" s="158" t="s">
        <v>329</v>
      </c>
      <c r="N2238" s="158" t="s">
        <v>396</v>
      </c>
      <c r="O2238" s="162"/>
      <c r="P2238" s="161">
        <f>21171171*12</f>
        <v>254054052</v>
      </c>
      <c r="Q2238" s="161"/>
      <c r="R2238" s="162"/>
      <c r="S2238" s="163">
        <v>24000000</v>
      </c>
      <c r="T2238" s="164"/>
      <c r="U2238" s="340">
        <v>45526</v>
      </c>
      <c r="V2238" s="340">
        <v>46255</v>
      </c>
      <c r="W2238" s="158" t="s">
        <v>17</v>
      </c>
      <c r="X2238" s="158"/>
      <c r="Y2238" s="34">
        <f t="shared" ca="1" si="142"/>
        <v>46290</v>
      </c>
      <c r="Z2238" s="35">
        <f t="shared" ca="1" si="144"/>
        <v>-35</v>
      </c>
      <c r="AA2238" s="27">
        <f>MONTH(Table1[[#This Row],[End]])</f>
        <v>8</v>
      </c>
      <c r="AB2238" s="27">
        <f t="shared" si="145"/>
        <v>2026</v>
      </c>
      <c r="AC2238" s="159">
        <v>4500021196</v>
      </c>
      <c r="AD2238" s="159" t="s">
        <v>10835</v>
      </c>
      <c r="AE2238" s="184" t="s">
        <v>10836</v>
      </c>
      <c r="AF2238" s="201" t="s">
        <v>399</v>
      </c>
      <c r="AG2238" s="160"/>
      <c r="AH2238" s="160"/>
      <c r="AI2238" s="158"/>
      <c r="AJ2238" s="158"/>
      <c r="AK2238" s="158"/>
      <c r="AL2238" s="158"/>
      <c r="AM2238" s="158"/>
      <c r="AN2238" s="158"/>
      <c r="AO2238" s="158"/>
      <c r="AP2238" s="158"/>
      <c r="AQ2238" s="158">
        <v>141</v>
      </c>
      <c r="AR2238" s="507"/>
      <c r="AS2238" s="475"/>
      <c r="AT2238" s="160"/>
    </row>
    <row r="2239" spans="1:46" ht="15" hidden="1" customHeight="1">
      <c r="A2239" s="331">
        <v>2238</v>
      </c>
      <c r="B2239" s="159" t="s">
        <v>348</v>
      </c>
      <c r="C2239" s="159" t="s">
        <v>10837</v>
      </c>
      <c r="D2239" s="437" t="s">
        <v>369</v>
      </c>
      <c r="E2239" s="361" t="str">
        <f t="shared" ca="1" si="141"/>
        <v>LOSS</v>
      </c>
      <c r="F2239" s="160"/>
      <c r="G2239" s="159" t="s">
        <v>10838</v>
      </c>
      <c r="H2239" s="160" t="s">
        <v>2748</v>
      </c>
      <c r="I2239" s="160" t="s">
        <v>242</v>
      </c>
      <c r="J2239" s="159" t="s">
        <v>10839</v>
      </c>
      <c r="K2239" s="181" t="s">
        <v>10840</v>
      </c>
      <c r="L2239" s="158"/>
      <c r="M2239" s="158" t="s">
        <v>365</v>
      </c>
      <c r="N2239" s="158" t="s">
        <v>6949</v>
      </c>
      <c r="O2239" s="162"/>
      <c r="P2239" s="161">
        <v>156000000</v>
      </c>
      <c r="Q2239" s="161"/>
      <c r="R2239" s="162"/>
      <c r="S2239" s="163">
        <v>38450616</v>
      </c>
      <c r="T2239" s="164"/>
      <c r="U2239" s="340">
        <v>45719</v>
      </c>
      <c r="V2239" s="340">
        <v>46022</v>
      </c>
      <c r="W2239" s="158" t="s">
        <v>17</v>
      </c>
      <c r="X2239" s="158"/>
      <c r="Y2239" s="34">
        <f t="shared" ca="1" si="142"/>
        <v>46290</v>
      </c>
      <c r="Z2239" s="35">
        <f t="shared" ca="1" si="144"/>
        <v>-268</v>
      </c>
      <c r="AA2239" s="27">
        <f>MONTH(Table1[[#This Row],[End]])</f>
        <v>12</v>
      </c>
      <c r="AB2239" s="27">
        <f t="shared" si="145"/>
        <v>2025</v>
      </c>
      <c r="AC2239" s="159"/>
      <c r="AD2239" s="159" t="s">
        <v>10841</v>
      </c>
      <c r="AE2239" s="184" t="s">
        <v>10842</v>
      </c>
      <c r="AF2239" s="201" t="s">
        <v>356</v>
      </c>
      <c r="AG2239" s="160"/>
      <c r="AH2239" s="160"/>
      <c r="AI2239" s="158"/>
      <c r="AJ2239" s="158"/>
      <c r="AK2239" s="158"/>
      <c r="AL2239" s="158"/>
      <c r="AM2239" s="158"/>
      <c r="AN2239" s="158"/>
      <c r="AO2239" s="158"/>
      <c r="AP2239" s="158" t="s">
        <v>3639</v>
      </c>
      <c r="AQ2239" s="158"/>
      <c r="AR2239" s="507"/>
      <c r="AS2239" s="475"/>
      <c r="AT2239" s="160"/>
    </row>
    <row r="2240" spans="1:46" ht="15" hidden="1" customHeight="1">
      <c r="A2240" s="331">
        <v>2239</v>
      </c>
      <c r="B2240" s="159" t="s">
        <v>348</v>
      </c>
      <c r="C2240" s="159" t="s">
        <v>483</v>
      </c>
      <c r="D2240" s="438" t="s">
        <v>10843</v>
      </c>
      <c r="E2240" s="361" t="str">
        <f t="shared" ca="1" si="141"/>
        <v>LOSS</v>
      </c>
      <c r="F2240" s="160"/>
      <c r="G2240" s="159" t="s">
        <v>10844</v>
      </c>
      <c r="H2240" s="160" t="s">
        <v>2748</v>
      </c>
      <c r="I2240" s="160" t="s">
        <v>242</v>
      </c>
      <c r="J2240" s="159" t="s">
        <v>10845</v>
      </c>
      <c r="K2240" s="181" t="s">
        <v>10846</v>
      </c>
      <c r="L2240" s="158"/>
      <c r="M2240" s="158" t="s">
        <v>365</v>
      </c>
      <c r="N2240" s="158" t="s">
        <v>362</v>
      </c>
      <c r="O2240" s="162">
        <v>3000000</v>
      </c>
      <c r="P2240" s="161">
        <v>81000000</v>
      </c>
      <c r="Q2240" s="161"/>
      <c r="R2240" s="162"/>
      <c r="S2240" s="163">
        <v>20528014</v>
      </c>
      <c r="T2240" s="164"/>
      <c r="U2240" s="340">
        <v>45776</v>
      </c>
      <c r="V2240" s="340">
        <v>46022</v>
      </c>
      <c r="W2240" s="158" t="s">
        <v>17</v>
      </c>
      <c r="X2240" s="158"/>
      <c r="Y2240" s="34">
        <f t="shared" ca="1" si="142"/>
        <v>46290</v>
      </c>
      <c r="Z2240" s="35">
        <f t="shared" ca="1" si="144"/>
        <v>-268</v>
      </c>
      <c r="AA2240" s="27">
        <f>MONTH(Table1[[#This Row],[End]])</f>
        <v>12</v>
      </c>
      <c r="AB2240" s="27">
        <f t="shared" si="145"/>
        <v>2025</v>
      </c>
      <c r="AC2240" s="159"/>
      <c r="AD2240" s="159" t="s">
        <v>10847</v>
      </c>
      <c r="AE2240" s="184" t="s">
        <v>10848</v>
      </c>
      <c r="AF2240" s="201" t="s">
        <v>356</v>
      </c>
      <c r="AG2240" s="160"/>
      <c r="AH2240" s="160"/>
      <c r="AI2240" s="158"/>
      <c r="AJ2240" s="158"/>
      <c r="AK2240" s="158"/>
      <c r="AL2240" s="158"/>
      <c r="AM2240" s="158"/>
      <c r="AN2240" s="158"/>
      <c r="AO2240" s="158"/>
      <c r="AP2240" s="158" t="s">
        <v>2934</v>
      </c>
      <c r="AQ2240" s="158"/>
      <c r="AR2240" s="507"/>
      <c r="AS2240" s="475"/>
      <c r="AT2240" s="160"/>
    </row>
    <row r="2241" spans="1:46" ht="15" hidden="1" customHeight="1">
      <c r="A2241" s="331">
        <v>2240</v>
      </c>
      <c r="B2241" s="159" t="s">
        <v>348</v>
      </c>
      <c r="C2241" s="159" t="s">
        <v>483</v>
      </c>
      <c r="D2241" s="437" t="s">
        <v>10843</v>
      </c>
      <c r="E2241" s="361" t="str">
        <f t="shared" ca="1" si="141"/>
        <v>LOSS</v>
      </c>
      <c r="F2241" s="160" t="s">
        <v>10849</v>
      </c>
      <c r="G2241" s="159" t="s">
        <v>10844</v>
      </c>
      <c r="H2241" s="160" t="s">
        <v>2748</v>
      </c>
      <c r="I2241" s="160" t="s">
        <v>242</v>
      </c>
      <c r="J2241" s="159" t="s">
        <v>10850</v>
      </c>
      <c r="K2241" s="181" t="s">
        <v>10851</v>
      </c>
      <c r="L2241" s="158"/>
      <c r="M2241" s="158" t="s">
        <v>365</v>
      </c>
      <c r="N2241" s="158" t="s">
        <v>406</v>
      </c>
      <c r="O2241" s="162">
        <v>3000000</v>
      </c>
      <c r="P2241" s="161">
        <v>39000000</v>
      </c>
      <c r="Q2241" s="161"/>
      <c r="R2241" s="162"/>
      <c r="S2241" s="163">
        <v>11750892</v>
      </c>
      <c r="T2241" s="164"/>
      <c r="U2241" s="340">
        <v>45776</v>
      </c>
      <c r="V2241" s="340">
        <v>46022</v>
      </c>
      <c r="W2241" s="158" t="s">
        <v>17</v>
      </c>
      <c r="X2241" s="158"/>
      <c r="Y2241" s="34">
        <f t="shared" ca="1" si="142"/>
        <v>46290</v>
      </c>
      <c r="Z2241" s="35">
        <f t="shared" ca="1" si="144"/>
        <v>-268</v>
      </c>
      <c r="AA2241" s="27">
        <f>MONTH(Table1[[#This Row],[End]])</f>
        <v>12</v>
      </c>
      <c r="AB2241" s="27">
        <f t="shared" si="145"/>
        <v>2025</v>
      </c>
      <c r="AC2241" s="159"/>
      <c r="AD2241" s="159" t="s">
        <v>10852</v>
      </c>
      <c r="AE2241" s="184" t="s">
        <v>10853</v>
      </c>
      <c r="AF2241" s="201" t="s">
        <v>356</v>
      </c>
      <c r="AG2241" s="160"/>
      <c r="AH2241" s="160"/>
      <c r="AI2241" s="158"/>
      <c r="AJ2241" s="158"/>
      <c r="AK2241" s="158"/>
      <c r="AL2241" s="158"/>
      <c r="AM2241" s="158"/>
      <c r="AN2241" s="158"/>
      <c r="AO2241" s="158"/>
      <c r="AP2241" s="158" t="s">
        <v>4971</v>
      </c>
      <c r="AQ2241" s="158"/>
      <c r="AR2241" s="507"/>
      <c r="AS2241" s="475"/>
      <c r="AT2241" s="160"/>
    </row>
    <row r="2242" spans="1:46" ht="15" hidden="1" customHeight="1">
      <c r="A2242" s="331">
        <v>2241</v>
      </c>
      <c r="B2242" s="159" t="s">
        <v>1427</v>
      </c>
      <c r="C2242" s="28" t="s">
        <v>10854</v>
      </c>
      <c r="D2242" s="437" t="s">
        <v>7471</v>
      </c>
      <c r="E2242" s="361" t="str">
        <f t="shared" ref="E2242:E2305" ca="1" si="146">IF(Z2242&lt;=0, "LOSS",IF(Z2242&lt;=15, "CRITICAL",IF(Z2242&lt;=30, "WARNING",IF(Z2242&lt;60, "ATTENTION", "ON TRACK"))))</f>
        <v>LOSS</v>
      </c>
      <c r="F2242" s="160"/>
      <c r="G2242" s="28" t="s">
        <v>7472</v>
      </c>
      <c r="H2242" s="29" t="s">
        <v>2748</v>
      </c>
      <c r="I2242" s="160" t="s">
        <v>346</v>
      </c>
      <c r="J2242" s="28"/>
      <c r="K2242" s="160" t="s">
        <v>10855</v>
      </c>
      <c r="L2242" s="158"/>
      <c r="M2242" s="158" t="s">
        <v>365</v>
      </c>
      <c r="N2242" s="158" t="s">
        <v>389</v>
      </c>
      <c r="O2242" s="162"/>
      <c r="P2242" s="161">
        <f>5000000*12</f>
        <v>60000000</v>
      </c>
      <c r="Q2242" s="161"/>
      <c r="R2242" s="162"/>
      <c r="S2242" s="163">
        <v>57750000</v>
      </c>
      <c r="T2242" s="164"/>
      <c r="U2242" s="334">
        <v>45658</v>
      </c>
      <c r="V2242" s="334">
        <v>46022</v>
      </c>
      <c r="W2242" s="27" t="s">
        <v>250</v>
      </c>
      <c r="X2242" s="158"/>
      <c r="Y2242" s="34">
        <f t="shared" ca="1" si="142"/>
        <v>46290</v>
      </c>
      <c r="Z2242" s="35">
        <f t="shared" ca="1" si="144"/>
        <v>-268</v>
      </c>
      <c r="AA2242" s="27">
        <f>MONTH(V2242)</f>
        <v>12</v>
      </c>
      <c r="AB2242" s="27">
        <f t="shared" si="145"/>
        <v>2025</v>
      </c>
      <c r="AC2242" s="28" t="s">
        <v>10856</v>
      </c>
      <c r="AD2242" s="159" t="s">
        <v>10857</v>
      </c>
      <c r="AE2242" s="184" t="s">
        <v>10858</v>
      </c>
      <c r="AF2242" s="27" t="s">
        <v>339</v>
      </c>
      <c r="AG2242" s="160"/>
      <c r="AH2242" s="160"/>
      <c r="AI2242" s="158"/>
      <c r="AJ2242" s="158"/>
      <c r="AK2242" s="158"/>
      <c r="AL2242" s="158"/>
      <c r="AM2242" s="158"/>
      <c r="AN2242" s="158"/>
      <c r="AO2242" s="158"/>
      <c r="AP2242" s="158"/>
      <c r="AQ2242" s="158">
        <v>129</v>
      </c>
      <c r="AR2242" s="507"/>
      <c r="AS2242" s="475"/>
      <c r="AT2242" s="160"/>
    </row>
    <row r="2243" spans="1:46" ht="15" hidden="1" customHeight="1">
      <c r="A2243" s="331">
        <v>2242</v>
      </c>
      <c r="B2243" s="159" t="s">
        <v>198</v>
      </c>
      <c r="C2243" s="159" t="s">
        <v>10859</v>
      </c>
      <c r="D2243" s="437" t="s">
        <v>7471</v>
      </c>
      <c r="E2243" s="361" t="str">
        <f t="shared" ca="1" si="146"/>
        <v>LOSS</v>
      </c>
      <c r="F2243" s="29" t="s">
        <v>9448</v>
      </c>
      <c r="G2243" s="159" t="s">
        <v>10860</v>
      </c>
      <c r="H2243" s="29" t="s">
        <v>2748</v>
      </c>
      <c r="I2243" s="29" t="s">
        <v>346</v>
      </c>
      <c r="J2243" s="159"/>
      <c r="K2243" s="203" t="s">
        <v>10861</v>
      </c>
      <c r="L2243" s="158"/>
      <c r="M2243" s="158" t="s">
        <v>365</v>
      </c>
      <c r="N2243" s="158" t="s">
        <v>406</v>
      </c>
      <c r="O2243" s="162"/>
      <c r="P2243" s="31">
        <f>12*11968000</f>
        <v>143616000</v>
      </c>
      <c r="Q2243" s="161"/>
      <c r="R2243" s="162"/>
      <c r="S2243" s="100">
        <v>26796000</v>
      </c>
      <c r="T2243" s="164"/>
      <c r="U2243" s="334">
        <v>45752</v>
      </c>
      <c r="V2243" s="334">
        <v>46116</v>
      </c>
      <c r="W2243" s="27" t="s">
        <v>250</v>
      </c>
      <c r="X2243" s="158"/>
      <c r="Y2243" s="34">
        <f t="shared" ca="1" si="142"/>
        <v>46290</v>
      </c>
      <c r="Z2243" s="35">
        <f t="shared" ca="1" si="144"/>
        <v>-174</v>
      </c>
      <c r="AA2243" s="27">
        <f>MONTH(V2243)</f>
        <v>4</v>
      </c>
      <c r="AB2243" s="27">
        <f t="shared" si="145"/>
        <v>2026</v>
      </c>
      <c r="AC2243" s="28" t="s">
        <v>10862</v>
      </c>
      <c r="AD2243" s="159" t="s">
        <v>10863</v>
      </c>
      <c r="AE2243" s="184" t="s">
        <v>10864</v>
      </c>
      <c r="AF2243" s="52" t="s">
        <v>339</v>
      </c>
      <c r="AG2243" s="160"/>
      <c r="AH2243" s="160"/>
      <c r="AI2243" s="158"/>
      <c r="AJ2243" s="158"/>
      <c r="AK2243" s="158"/>
      <c r="AL2243" s="158"/>
      <c r="AM2243" s="158"/>
      <c r="AN2243" s="158"/>
      <c r="AO2243" s="158"/>
      <c r="AP2243" s="158"/>
      <c r="AQ2243" s="158">
        <v>130</v>
      </c>
      <c r="AR2243" s="507"/>
      <c r="AS2243" s="475"/>
      <c r="AT2243" s="160"/>
    </row>
    <row r="2244" spans="1:46" ht="15" hidden="1" customHeight="1">
      <c r="A2244" s="331">
        <v>2243</v>
      </c>
      <c r="B2244" s="159" t="s">
        <v>6396</v>
      </c>
      <c r="C2244" s="159" t="s">
        <v>10865</v>
      </c>
      <c r="D2244" s="438" t="s">
        <v>9447</v>
      </c>
      <c r="E2244" s="361" t="str">
        <f t="shared" ca="1" si="146"/>
        <v>LOSS</v>
      </c>
      <c r="F2244" s="160"/>
      <c r="G2244" s="40" t="s">
        <v>10866</v>
      </c>
      <c r="H2244" s="160" t="s">
        <v>2748</v>
      </c>
      <c r="I2244" s="160" t="s">
        <v>346</v>
      </c>
      <c r="J2244" s="28" t="s">
        <v>9380</v>
      </c>
      <c r="K2244" s="160"/>
      <c r="L2244" s="158"/>
      <c r="M2244" s="158" t="s">
        <v>365</v>
      </c>
      <c r="N2244" s="158" t="s">
        <v>6735</v>
      </c>
      <c r="O2244" s="162"/>
      <c r="P2244" s="161">
        <f>2200000*12</f>
        <v>26400000</v>
      </c>
      <c r="Q2244" s="161"/>
      <c r="R2244" s="162"/>
      <c r="S2244" s="163">
        <v>5500000</v>
      </c>
      <c r="T2244" s="164"/>
      <c r="U2244" s="334">
        <v>45658</v>
      </c>
      <c r="V2244" s="334">
        <v>46022</v>
      </c>
      <c r="W2244" s="27" t="s">
        <v>250</v>
      </c>
      <c r="X2244" s="158"/>
      <c r="Y2244" s="34">
        <f t="shared" ca="1" si="142"/>
        <v>46290</v>
      </c>
      <c r="Z2244" s="35">
        <f t="shared" ca="1" si="144"/>
        <v>-268</v>
      </c>
      <c r="AA2244" s="27">
        <f>MONTH(V2244)</f>
        <v>12</v>
      </c>
      <c r="AB2244" s="27">
        <f t="shared" si="145"/>
        <v>2025</v>
      </c>
      <c r="AC2244" s="28" t="s">
        <v>10867</v>
      </c>
      <c r="AD2244" s="159" t="s">
        <v>10868</v>
      </c>
      <c r="AE2244" s="184" t="s">
        <v>10869</v>
      </c>
      <c r="AF2244" s="27" t="s">
        <v>339</v>
      </c>
      <c r="AG2244" s="160"/>
      <c r="AH2244" s="160"/>
      <c r="AI2244" s="158"/>
      <c r="AJ2244" s="158"/>
      <c r="AK2244" s="158"/>
      <c r="AL2244" s="158"/>
      <c r="AM2244" s="158"/>
      <c r="AN2244" s="158"/>
      <c r="AO2244" s="158"/>
      <c r="AP2244" s="158"/>
      <c r="AQ2244" s="158">
        <v>94</v>
      </c>
      <c r="AR2244" s="507"/>
      <c r="AS2244" s="475"/>
      <c r="AT2244" s="160"/>
    </row>
    <row r="2245" spans="1:46" ht="15" hidden="1" customHeight="1">
      <c r="A2245" s="331">
        <v>2244</v>
      </c>
      <c r="B2245" s="159" t="s">
        <v>440</v>
      </c>
      <c r="C2245" s="182" t="s">
        <v>441</v>
      </c>
      <c r="D2245" s="437" t="s">
        <v>442</v>
      </c>
      <c r="E2245" s="361" t="str">
        <f t="shared" ca="1" si="146"/>
        <v>LOSS</v>
      </c>
      <c r="F2245" s="160"/>
      <c r="G2245" s="159" t="s">
        <v>9514</v>
      </c>
      <c r="H2245" s="160" t="s">
        <v>2748</v>
      </c>
      <c r="I2245" s="160" t="s">
        <v>346</v>
      </c>
      <c r="J2245" s="182" t="s">
        <v>445</v>
      </c>
      <c r="K2245" s="160"/>
      <c r="L2245" s="158"/>
      <c r="M2245" s="158" t="s">
        <v>365</v>
      </c>
      <c r="N2245" s="158"/>
      <c r="O2245" s="162"/>
      <c r="P2245" s="161">
        <f>19250000*12</f>
        <v>231000000</v>
      </c>
      <c r="Q2245" s="161"/>
      <c r="R2245" s="162"/>
      <c r="S2245" s="163">
        <v>12000000</v>
      </c>
      <c r="T2245" s="164"/>
      <c r="U2245" s="334">
        <v>45792</v>
      </c>
      <c r="V2245" s="334">
        <v>46156</v>
      </c>
      <c r="W2245" s="27" t="s">
        <v>250</v>
      </c>
      <c r="X2245" s="158"/>
      <c r="Y2245" s="34">
        <f t="shared" ca="1" si="142"/>
        <v>46290</v>
      </c>
      <c r="Z2245" s="35">
        <f t="shared" ca="1" si="144"/>
        <v>-134</v>
      </c>
      <c r="AA2245" s="27">
        <f>MONTH(V2245)</f>
        <v>5</v>
      </c>
      <c r="AB2245" s="27">
        <f t="shared" si="145"/>
        <v>2026</v>
      </c>
      <c r="AC2245" s="159">
        <v>4500022601</v>
      </c>
      <c r="AD2245" s="159" t="s">
        <v>10870</v>
      </c>
      <c r="AE2245" s="184" t="s">
        <v>10871</v>
      </c>
      <c r="AF2245" s="201" t="s">
        <v>339</v>
      </c>
      <c r="AG2245" s="160"/>
      <c r="AH2245" s="160"/>
      <c r="AI2245" s="158"/>
      <c r="AJ2245" s="158"/>
      <c r="AK2245" s="158"/>
      <c r="AL2245" s="158"/>
      <c r="AM2245" s="158"/>
      <c r="AN2245" s="158"/>
      <c r="AO2245" s="158"/>
      <c r="AP2245" s="158"/>
      <c r="AQ2245" s="158">
        <v>93</v>
      </c>
      <c r="AR2245" s="507"/>
      <c r="AS2245" s="475"/>
      <c r="AT2245" s="160"/>
    </row>
    <row r="2246" spans="1:46" ht="15" hidden="1" customHeight="1">
      <c r="A2246" s="331">
        <v>2245</v>
      </c>
      <c r="B2246" s="159" t="s">
        <v>10872</v>
      </c>
      <c r="C2246" s="159" t="s">
        <v>10873</v>
      </c>
      <c r="D2246" s="438" t="s">
        <v>442</v>
      </c>
      <c r="E2246" s="361" t="str">
        <f t="shared" ca="1" si="146"/>
        <v>LOSS</v>
      </c>
      <c r="F2246" s="160"/>
      <c r="G2246" s="159" t="s">
        <v>10874</v>
      </c>
      <c r="H2246" s="160" t="s">
        <v>2748</v>
      </c>
      <c r="I2246" s="160" t="s">
        <v>346</v>
      </c>
      <c r="J2246" s="159" t="s">
        <v>10875</v>
      </c>
      <c r="K2246" s="160"/>
      <c r="L2246" s="158"/>
      <c r="M2246" s="158" t="s">
        <v>10698</v>
      </c>
      <c r="N2246" s="158" t="s">
        <v>494</v>
      </c>
      <c r="O2246" s="162">
        <v>165000000</v>
      </c>
      <c r="P2246" s="161">
        <v>489000000</v>
      </c>
      <c r="Q2246" s="161"/>
      <c r="R2246" s="162">
        <v>330000</v>
      </c>
      <c r="S2246" s="163">
        <v>24000000</v>
      </c>
      <c r="T2246" s="164"/>
      <c r="U2246" s="340">
        <v>45866</v>
      </c>
      <c r="V2246" s="340">
        <v>46230</v>
      </c>
      <c r="W2246" s="158" t="s">
        <v>17</v>
      </c>
      <c r="X2246" s="158"/>
      <c r="Y2246" s="34">
        <f t="shared" ca="1" si="142"/>
        <v>46290</v>
      </c>
      <c r="Z2246" s="35">
        <f t="shared" ca="1" si="144"/>
        <v>-60</v>
      </c>
      <c r="AA2246" s="27">
        <f>MONTH(V2246)</f>
        <v>7</v>
      </c>
      <c r="AB2246" s="27">
        <f t="shared" si="145"/>
        <v>2026</v>
      </c>
      <c r="AC2246" s="159"/>
      <c r="AD2246" s="159" t="s">
        <v>10876</v>
      </c>
      <c r="AE2246" s="184" t="s">
        <v>10877</v>
      </c>
      <c r="AF2246" s="201" t="s">
        <v>356</v>
      </c>
      <c r="AG2246" s="160"/>
      <c r="AH2246" s="160"/>
      <c r="AI2246" s="158"/>
      <c r="AJ2246" s="158"/>
      <c r="AK2246" s="158"/>
      <c r="AL2246" s="158"/>
      <c r="AM2246" s="158"/>
      <c r="AN2246" s="158"/>
      <c r="AO2246" s="158"/>
      <c r="AP2246" s="158"/>
      <c r="AQ2246" s="158">
        <v>108</v>
      </c>
      <c r="AR2246" s="507"/>
      <c r="AS2246" s="475"/>
      <c r="AT2246" s="160"/>
    </row>
    <row r="2247" spans="1:46" ht="15" hidden="1" customHeight="1">
      <c r="A2247" s="331">
        <v>2246</v>
      </c>
      <c r="B2247" s="159" t="s">
        <v>165</v>
      </c>
      <c r="C2247" s="159" t="s">
        <v>10878</v>
      </c>
      <c r="D2247" s="437" t="s">
        <v>7149</v>
      </c>
      <c r="E2247" s="361" t="str">
        <f t="shared" ca="1" si="146"/>
        <v>LOSS</v>
      </c>
      <c r="F2247" s="160"/>
      <c r="G2247" s="297" t="s">
        <v>7138</v>
      </c>
      <c r="H2247" s="28" t="s">
        <v>261</v>
      </c>
      <c r="I2247" s="160" t="s">
        <v>243</v>
      </c>
      <c r="J2247" s="159" t="s">
        <v>7139</v>
      </c>
      <c r="K2247" s="159">
        <v>10003544685</v>
      </c>
      <c r="L2247" s="158" t="s">
        <v>4749</v>
      </c>
      <c r="M2247" s="158" t="s">
        <v>329</v>
      </c>
      <c r="N2247" s="158" t="s">
        <v>354</v>
      </c>
      <c r="O2247" s="162"/>
      <c r="P2247" s="161">
        <f>12*6000000</f>
        <v>72000000</v>
      </c>
      <c r="Q2247" s="161"/>
      <c r="R2247" s="162"/>
      <c r="S2247" s="163">
        <f>12*4500000</f>
        <v>54000000</v>
      </c>
      <c r="T2247" s="164"/>
      <c r="U2247" s="340">
        <v>45801</v>
      </c>
      <c r="V2247" s="340">
        <v>46165</v>
      </c>
      <c r="W2247" s="158" t="s">
        <v>17</v>
      </c>
      <c r="X2247" s="158"/>
      <c r="Y2247" s="164">
        <f t="shared" ca="1" si="142"/>
        <v>46290</v>
      </c>
      <c r="Z2247" s="207">
        <f ca="1">Table1[[#This Row],[End]]-Table1[[#This Row],[Today]]</f>
        <v>-125</v>
      </c>
      <c r="AA2247" s="158">
        <f>MONTH(Table1[[#This Row],[End]])</f>
        <v>5</v>
      </c>
      <c r="AB2247" s="158">
        <f>YEAR(Table1[[#This Row],[End]])</f>
        <v>2026</v>
      </c>
      <c r="AC2247" s="159" t="s">
        <v>10879</v>
      </c>
      <c r="AD2247" s="159" t="s">
        <v>10880</v>
      </c>
      <c r="AE2247" s="184" t="s">
        <v>10881</v>
      </c>
      <c r="AF2247" s="201" t="s">
        <v>8995</v>
      </c>
      <c r="AG2247" s="29" t="s">
        <v>9100</v>
      </c>
      <c r="AH2247" s="160" t="s">
        <v>7099</v>
      </c>
      <c r="AI2247" s="158"/>
      <c r="AJ2247" s="158"/>
      <c r="AK2247" s="158"/>
      <c r="AL2247" s="158"/>
      <c r="AM2247" s="158"/>
      <c r="AN2247" s="158"/>
      <c r="AO2247" s="158"/>
      <c r="AP2247" s="158"/>
      <c r="AQ2247" s="158">
        <v>37</v>
      </c>
      <c r="AR2247" s="507"/>
      <c r="AS2247" s="475"/>
      <c r="AT2247" s="160"/>
    </row>
    <row r="2248" spans="1:46" ht="15" hidden="1" customHeight="1">
      <c r="A2248" s="331">
        <v>2247</v>
      </c>
      <c r="B2248" s="159" t="s">
        <v>2615</v>
      </c>
      <c r="C2248" s="28" t="s">
        <v>10882</v>
      </c>
      <c r="D2248" s="438" t="s">
        <v>6750</v>
      </c>
      <c r="E2248" s="361" t="str">
        <f t="shared" ca="1" si="146"/>
        <v>LOSS</v>
      </c>
      <c r="F2248" s="28" t="s">
        <v>115</v>
      </c>
      <c r="G2248" s="28" t="s">
        <v>10883</v>
      </c>
      <c r="H2248" s="28" t="s">
        <v>261</v>
      </c>
      <c r="I2248" s="264" t="s">
        <v>243</v>
      </c>
      <c r="J2248" s="28" t="s">
        <v>10884</v>
      </c>
      <c r="K2248" s="38" t="s">
        <v>10885</v>
      </c>
      <c r="L2248" s="51">
        <v>0.995</v>
      </c>
      <c r="M2248" s="27" t="s">
        <v>365</v>
      </c>
      <c r="N2248" s="27" t="s">
        <v>389</v>
      </c>
      <c r="O2248" s="162"/>
      <c r="P2248" s="161">
        <f>45000000*12</f>
        <v>540000000</v>
      </c>
      <c r="Q2248" s="161"/>
      <c r="R2248" s="162"/>
      <c r="S2248" s="163">
        <f>4500000*12</f>
        <v>54000000</v>
      </c>
      <c r="T2248" s="164"/>
      <c r="U2248" s="340">
        <v>45730</v>
      </c>
      <c r="V2248" s="340">
        <v>46094</v>
      </c>
      <c r="W2248" s="158" t="s">
        <v>250</v>
      </c>
      <c r="X2248" s="158"/>
      <c r="Y2248" s="34">
        <f t="shared" ca="1" si="142"/>
        <v>46290</v>
      </c>
      <c r="Z2248" s="35">
        <f ca="1">V2248-Y2248</f>
        <v>-196</v>
      </c>
      <c r="AA2248" s="27">
        <f>MONTH(Table1[[#This Row],[End]])</f>
        <v>3</v>
      </c>
      <c r="AB2248" s="27">
        <f>YEAR(V2248)</f>
        <v>2026</v>
      </c>
      <c r="AC2248" s="159" t="s">
        <v>10886</v>
      </c>
      <c r="AD2248" s="159" t="s">
        <v>10887</v>
      </c>
      <c r="AE2248" s="184" t="s">
        <v>10888</v>
      </c>
      <c r="AF2248" s="201" t="s">
        <v>471</v>
      </c>
      <c r="AG2248" s="160"/>
      <c r="AH2248" s="174" t="s">
        <v>6757</v>
      </c>
      <c r="AI2248" s="158"/>
      <c r="AJ2248" s="158"/>
      <c r="AK2248" s="158"/>
      <c r="AL2248" s="158"/>
      <c r="AM2248" s="158"/>
      <c r="AN2248" s="158"/>
      <c r="AO2248" s="158"/>
      <c r="AP2248" s="158"/>
      <c r="AQ2248" s="158">
        <v>25</v>
      </c>
      <c r="AR2248" s="507"/>
      <c r="AS2248" s="475"/>
      <c r="AT2248" s="160"/>
    </row>
    <row r="2249" spans="1:46" ht="15" hidden="1" customHeight="1">
      <c r="A2249" s="331">
        <v>2248</v>
      </c>
      <c r="B2249" s="159" t="s">
        <v>2615</v>
      </c>
      <c r="C2249" s="159" t="s">
        <v>10889</v>
      </c>
      <c r="D2249" s="438" t="s">
        <v>6750</v>
      </c>
      <c r="E2249" s="361" t="str">
        <f t="shared" si="146"/>
        <v>ON TRACK</v>
      </c>
      <c r="F2249" s="160"/>
      <c r="G2249" s="221" t="s">
        <v>10890</v>
      </c>
      <c r="H2249" s="160" t="s">
        <v>261</v>
      </c>
      <c r="I2249" s="160" t="s">
        <v>10891</v>
      </c>
      <c r="J2249" s="159" t="s">
        <v>8340</v>
      </c>
      <c r="K2249" s="205" t="s">
        <v>8341</v>
      </c>
      <c r="L2249" s="158" t="s">
        <v>4749</v>
      </c>
      <c r="M2249" s="158" t="s">
        <v>6776</v>
      </c>
      <c r="N2249" s="484" t="s">
        <v>389</v>
      </c>
      <c r="O2249" s="162"/>
      <c r="P2249" s="161">
        <f>12*10864800</f>
        <v>130377600</v>
      </c>
      <c r="Q2249" s="161"/>
      <c r="R2249" s="162"/>
      <c r="S2249" s="163">
        <f>12*4500000</f>
        <v>54000000</v>
      </c>
      <c r="T2249" s="164"/>
      <c r="U2249" s="340">
        <v>45827</v>
      </c>
      <c r="V2249" s="340">
        <v>46173</v>
      </c>
      <c r="W2249" s="158" t="s">
        <v>250</v>
      </c>
      <c r="X2249" s="158"/>
      <c r="Y2249" s="164">
        <f t="shared" ca="1" si="142"/>
        <v>46290</v>
      </c>
      <c r="Z2249" s="207">
        <f>Table1[[#This Row],[End]]-Table1[[#This Row],[Start]]</f>
        <v>346</v>
      </c>
      <c r="AA2249" s="158">
        <f>MONTH(Table1[[#This Row],[End]])</f>
        <v>5</v>
      </c>
      <c r="AB2249" s="158">
        <f>YEAR(Table1[[#This Row],[End]])</f>
        <v>2026</v>
      </c>
      <c r="AC2249" s="159">
        <v>4500025159</v>
      </c>
      <c r="AD2249" s="28" t="s">
        <v>10892</v>
      </c>
      <c r="AE2249" s="184" t="s">
        <v>10893</v>
      </c>
      <c r="AF2249" s="201" t="s">
        <v>8995</v>
      </c>
      <c r="AG2249" s="160"/>
      <c r="AH2249" s="174" t="s">
        <v>6757</v>
      </c>
      <c r="AI2249" s="158"/>
      <c r="AJ2249" s="158"/>
      <c r="AK2249" s="158"/>
      <c r="AL2249" s="158"/>
      <c r="AM2249" s="158"/>
      <c r="AN2249" s="158"/>
      <c r="AO2249" s="158"/>
      <c r="AP2249" s="158"/>
      <c r="AQ2249" s="158">
        <v>90</v>
      </c>
      <c r="AR2249" s="507"/>
      <c r="AS2249" s="475"/>
      <c r="AT2249" s="160"/>
    </row>
    <row r="2250" spans="1:46" ht="15" hidden="1" customHeight="1">
      <c r="A2250" s="331">
        <v>2249</v>
      </c>
      <c r="B2250" s="28" t="s">
        <v>1301</v>
      </c>
      <c r="C2250" s="159" t="s">
        <v>684</v>
      </c>
      <c r="D2250" s="438" t="s">
        <v>6750</v>
      </c>
      <c r="E2250" s="361" t="str">
        <f t="shared" ca="1" si="146"/>
        <v>LOSS</v>
      </c>
      <c r="F2250" s="28"/>
      <c r="G2250" s="28" t="s">
        <v>10894</v>
      </c>
      <c r="H2250" s="28" t="s">
        <v>261</v>
      </c>
      <c r="I2250" s="361" t="s">
        <v>243</v>
      </c>
      <c r="J2250" s="28" t="s">
        <v>10895</v>
      </c>
      <c r="K2250" s="38" t="s">
        <v>6953</v>
      </c>
      <c r="L2250" s="60">
        <v>0.995</v>
      </c>
      <c r="M2250" s="27" t="s">
        <v>329</v>
      </c>
      <c r="N2250" s="27" t="s">
        <v>362</v>
      </c>
      <c r="O2250" s="56"/>
      <c r="P2250" s="52">
        <v>0</v>
      </c>
      <c r="Q2250" s="52"/>
      <c r="R2250" s="56"/>
      <c r="S2250" s="32">
        <f>4000000*12</f>
        <v>48000000</v>
      </c>
      <c r="T2250" s="33"/>
      <c r="U2250" s="334">
        <v>45726</v>
      </c>
      <c r="V2250" s="334">
        <v>46090</v>
      </c>
      <c r="W2250" s="27" t="s">
        <v>17</v>
      </c>
      <c r="X2250" s="27"/>
      <c r="Y2250" s="34">
        <f t="shared" ca="1" si="142"/>
        <v>46290</v>
      </c>
      <c r="Z2250" s="35">
        <f ca="1">V2250-Y2250</f>
        <v>-200</v>
      </c>
      <c r="AA2250" s="27">
        <f>MONTH(V2250)</f>
        <v>3</v>
      </c>
      <c r="AB2250" s="27">
        <f>YEAR(V2250)</f>
        <v>2026</v>
      </c>
      <c r="AC2250" s="28" t="s">
        <v>10896</v>
      </c>
      <c r="AD2250" s="28" t="s">
        <v>10897</v>
      </c>
      <c r="AE2250" s="27">
        <v>4500024748</v>
      </c>
      <c r="AF2250" s="27" t="s">
        <v>471</v>
      </c>
      <c r="AG2250" s="160"/>
      <c r="AH2250" s="160"/>
      <c r="AI2250" s="158"/>
      <c r="AJ2250" s="158"/>
      <c r="AK2250" s="158"/>
      <c r="AL2250" s="158"/>
      <c r="AM2250" s="158"/>
      <c r="AN2250" s="158"/>
      <c r="AO2250" s="158"/>
      <c r="AP2250" s="158"/>
      <c r="AQ2250" s="158">
        <v>26</v>
      </c>
      <c r="AR2250" s="507"/>
      <c r="AS2250" s="475"/>
      <c r="AT2250" s="160"/>
    </row>
    <row r="2251" spans="1:46" ht="15" hidden="1" customHeight="1">
      <c r="A2251" s="331">
        <v>2250</v>
      </c>
      <c r="B2251" s="159" t="s">
        <v>10898</v>
      </c>
      <c r="C2251" s="159" t="s">
        <v>10899</v>
      </c>
      <c r="D2251" s="437" t="s">
        <v>6944</v>
      </c>
      <c r="E2251" s="361" t="str">
        <f t="shared" ca="1" si="146"/>
        <v>LOSS</v>
      </c>
      <c r="F2251" s="160" t="s">
        <v>10900</v>
      </c>
      <c r="G2251" s="159" t="s">
        <v>10901</v>
      </c>
      <c r="H2251" s="160" t="s">
        <v>261</v>
      </c>
      <c r="I2251" s="160" t="s">
        <v>243</v>
      </c>
      <c r="J2251" s="159" t="s">
        <v>10902</v>
      </c>
      <c r="K2251" s="181" t="s">
        <v>10903</v>
      </c>
      <c r="L2251" s="158" t="s">
        <v>4749</v>
      </c>
      <c r="M2251" s="158" t="s">
        <v>353</v>
      </c>
      <c r="N2251" s="158" t="s">
        <v>6824</v>
      </c>
      <c r="O2251" s="162">
        <v>10000000</v>
      </c>
      <c r="P2251" s="161">
        <f>91247500*6</f>
        <v>547485000</v>
      </c>
      <c r="Q2251" s="161"/>
      <c r="R2251" s="162">
        <v>10000000</v>
      </c>
      <c r="S2251" s="163">
        <f>79000000*6</f>
        <v>474000000</v>
      </c>
      <c r="T2251" s="164"/>
      <c r="U2251" s="340">
        <v>45748</v>
      </c>
      <c r="V2251" s="340">
        <v>45930</v>
      </c>
      <c r="W2251" s="158" t="s">
        <v>250</v>
      </c>
      <c r="X2251" s="158"/>
      <c r="Y2251" s="34">
        <f t="shared" ref="Y2251:Y2314" ca="1" si="147">TODAY()</f>
        <v>46290</v>
      </c>
      <c r="Z2251" s="35">
        <f ca="1">V2251-Y2251</f>
        <v>-360</v>
      </c>
      <c r="AA2251" s="27">
        <f>MONTH(V2251)</f>
        <v>9</v>
      </c>
      <c r="AB2251" s="27">
        <f>YEAR(V2251)</f>
        <v>2025</v>
      </c>
      <c r="AC2251" s="159" t="s">
        <v>3371</v>
      </c>
      <c r="AD2251" s="159" t="s">
        <v>10904</v>
      </c>
      <c r="AE2251" s="184" t="s">
        <v>10905</v>
      </c>
      <c r="AF2251" s="201" t="s">
        <v>471</v>
      </c>
      <c r="AG2251" s="160"/>
      <c r="AH2251" s="160" t="s">
        <v>10906</v>
      </c>
      <c r="AI2251" s="158"/>
      <c r="AJ2251" s="158"/>
      <c r="AK2251" s="158"/>
      <c r="AL2251" s="158"/>
      <c r="AM2251" s="158"/>
      <c r="AN2251" s="158"/>
      <c r="AO2251" s="158"/>
      <c r="AP2251" s="158">
        <v>33</v>
      </c>
      <c r="AQ2251" s="158"/>
      <c r="AR2251" s="507"/>
      <c r="AS2251" s="475"/>
      <c r="AT2251" s="160"/>
    </row>
    <row r="2252" spans="1:46" ht="15" hidden="1" customHeight="1">
      <c r="A2252" s="331">
        <v>2251</v>
      </c>
      <c r="B2252" s="159" t="s">
        <v>8935</v>
      </c>
      <c r="C2252" s="159" t="s">
        <v>8936</v>
      </c>
      <c r="D2252" s="438" t="s">
        <v>6680</v>
      </c>
      <c r="E2252" s="361" t="str">
        <f t="shared" ca="1" si="146"/>
        <v>LOSS</v>
      </c>
      <c r="F2252" s="29"/>
      <c r="G2252" s="29" t="s">
        <v>10907</v>
      </c>
      <c r="H2252" s="29" t="s">
        <v>261</v>
      </c>
      <c r="I2252" s="361" t="s">
        <v>243</v>
      </c>
      <c r="J2252" s="28" t="s">
        <v>10908</v>
      </c>
      <c r="K2252" s="36" t="s">
        <v>10909</v>
      </c>
      <c r="L2252" s="27" t="s">
        <v>4749</v>
      </c>
      <c r="M2252" s="27" t="s">
        <v>8941</v>
      </c>
      <c r="N2252" s="27" t="s">
        <v>6762</v>
      </c>
      <c r="O2252" s="56"/>
      <c r="P2252" s="102">
        <f>9850000*12</f>
        <v>118200000</v>
      </c>
      <c r="Q2252" s="102"/>
      <c r="R2252" s="56"/>
      <c r="S2252" s="100">
        <f>5000000*12</f>
        <v>60000000</v>
      </c>
      <c r="T2252" s="34"/>
      <c r="U2252" s="334">
        <v>45810</v>
      </c>
      <c r="V2252" s="334">
        <v>46174</v>
      </c>
      <c r="W2252" s="27" t="s">
        <v>17</v>
      </c>
      <c r="X2252" s="27"/>
      <c r="Y2252" s="34">
        <f t="shared" ca="1" si="147"/>
        <v>46290</v>
      </c>
      <c r="Z2252" s="35">
        <f ca="1">V2252-Y2252</f>
        <v>-116</v>
      </c>
      <c r="AA2252" s="27">
        <f>MONTH(V2252)</f>
        <v>6</v>
      </c>
      <c r="AB2252" s="27">
        <f>YEAR(V2252)</f>
        <v>2026</v>
      </c>
      <c r="AC2252" s="159" t="s">
        <v>10910</v>
      </c>
      <c r="AD2252" s="159" t="s">
        <v>10911</v>
      </c>
      <c r="AE2252" s="184" t="s">
        <v>10912</v>
      </c>
      <c r="AF2252" s="201" t="s">
        <v>471</v>
      </c>
      <c r="AG2252" s="160"/>
      <c r="AH2252" s="160"/>
      <c r="AI2252" s="158"/>
      <c r="AJ2252" s="158"/>
      <c r="AK2252" s="158"/>
      <c r="AL2252" s="158"/>
      <c r="AM2252" s="158"/>
      <c r="AN2252" s="158"/>
      <c r="AO2252" s="158"/>
      <c r="AP2252" s="158"/>
      <c r="AQ2252" s="158">
        <v>165</v>
      </c>
      <c r="AR2252" s="507"/>
      <c r="AS2252" s="475"/>
      <c r="AT2252" s="160"/>
    </row>
    <row r="2253" spans="1:46" ht="15" hidden="1" customHeight="1">
      <c r="A2253" s="331">
        <v>2252</v>
      </c>
      <c r="B2253" s="159" t="s">
        <v>69</v>
      </c>
      <c r="C2253" s="159" t="s">
        <v>6765</v>
      </c>
      <c r="D2253" s="437" t="s">
        <v>8937</v>
      </c>
      <c r="E2253" s="361" t="str">
        <f t="shared" ca="1" si="146"/>
        <v>LOSS</v>
      </c>
      <c r="F2253" s="28" t="s">
        <v>6767</v>
      </c>
      <c r="G2253" s="28" t="s">
        <v>6768</v>
      </c>
      <c r="H2253" s="28" t="s">
        <v>261</v>
      </c>
      <c r="I2253" s="361" t="s">
        <v>243</v>
      </c>
      <c r="J2253" s="28" t="s">
        <v>70</v>
      </c>
      <c r="K2253" s="38" t="s">
        <v>6769</v>
      </c>
      <c r="L2253" s="60">
        <v>0.995</v>
      </c>
      <c r="M2253" s="27" t="s">
        <v>365</v>
      </c>
      <c r="N2253" s="27" t="s">
        <v>362</v>
      </c>
      <c r="O2253" s="56"/>
      <c r="P2253" s="52">
        <v>262500000</v>
      </c>
      <c r="Q2253" s="52"/>
      <c r="R2253" s="56"/>
      <c r="S2253" s="32">
        <v>93750000</v>
      </c>
      <c r="T2253" s="33"/>
      <c r="U2253" s="334">
        <v>45824</v>
      </c>
      <c r="V2253" s="334">
        <v>46053</v>
      </c>
      <c r="W2253" s="27" t="s">
        <v>250</v>
      </c>
      <c r="X2253" s="27"/>
      <c r="Y2253" s="34">
        <f t="shared" ca="1" si="147"/>
        <v>46290</v>
      </c>
      <c r="Z2253" s="35">
        <f ca="1">V2253-Y2253</f>
        <v>-237</v>
      </c>
      <c r="AA2253" s="27">
        <f>MONTH(V2253)</f>
        <v>1</v>
      </c>
      <c r="AB2253" s="27">
        <f>YEAR(V2253)</f>
        <v>2026</v>
      </c>
      <c r="AC2253" s="159" t="s">
        <v>10913</v>
      </c>
      <c r="AD2253" s="159" t="s">
        <v>10914</v>
      </c>
      <c r="AE2253" s="184" t="s">
        <v>10915</v>
      </c>
      <c r="AF2253" s="201" t="s">
        <v>471</v>
      </c>
      <c r="AG2253" s="160"/>
      <c r="AH2253" s="160"/>
      <c r="AI2253" s="158"/>
      <c r="AJ2253" s="158"/>
      <c r="AK2253" s="158"/>
      <c r="AL2253" s="158"/>
      <c r="AM2253" s="158"/>
      <c r="AN2253" s="158"/>
      <c r="AO2253" s="158"/>
      <c r="AP2253" s="158"/>
      <c r="AQ2253" s="158">
        <v>164</v>
      </c>
      <c r="AR2253" s="507"/>
      <c r="AS2253" s="475"/>
      <c r="AT2253" s="160"/>
    </row>
    <row r="2254" spans="1:46" ht="15" customHeight="1">
      <c r="A2254" s="331">
        <v>2253</v>
      </c>
      <c r="B2254" s="159" t="s">
        <v>10216</v>
      </c>
      <c r="C2254" s="159" t="s">
        <v>8833</v>
      </c>
      <c r="D2254" s="438" t="s">
        <v>10310</v>
      </c>
      <c r="E2254" s="361" t="str">
        <f t="shared" ca="1" si="146"/>
        <v>LOSS</v>
      </c>
      <c r="F2254" s="160"/>
      <c r="G2254" s="221" t="s">
        <v>10218</v>
      </c>
      <c r="H2254" s="160" t="s">
        <v>261</v>
      </c>
      <c r="I2254" s="160" t="s">
        <v>243</v>
      </c>
      <c r="J2254" s="159" t="s">
        <v>10219</v>
      </c>
      <c r="K2254" s="181" t="s">
        <v>10220</v>
      </c>
      <c r="L2254" s="158" t="s">
        <v>4749</v>
      </c>
      <c r="M2254" s="158" t="s">
        <v>353</v>
      </c>
      <c r="N2254" s="158" t="s">
        <v>8337</v>
      </c>
      <c r="O2254" s="162"/>
      <c r="P2254" s="161">
        <f>12*28350000</f>
        <v>340200000</v>
      </c>
      <c r="Q2254" s="161"/>
      <c r="R2254" s="162"/>
      <c r="S2254" s="163">
        <f>12*23750000</f>
        <v>285000000</v>
      </c>
      <c r="T2254" s="164"/>
      <c r="U2254" s="340">
        <v>45805</v>
      </c>
      <c r="V2254" s="340">
        <v>46169</v>
      </c>
      <c r="W2254" s="158" t="s">
        <v>17</v>
      </c>
      <c r="X2254" s="158"/>
      <c r="Y2254" s="164">
        <f t="shared" ca="1" si="147"/>
        <v>46290</v>
      </c>
      <c r="Z2254" s="207">
        <f ca="1">Table1[[#This Row],[End]]-Table1[[#This Row],[Today]]</f>
        <v>-121</v>
      </c>
      <c r="AA2254" s="158">
        <f>MONTH(Table1[[#This Row],[End]])</f>
        <v>5</v>
      </c>
      <c r="AB2254" s="158">
        <f>YEAR(Table1[[#This Row],[End]])</f>
        <v>2026</v>
      </c>
      <c r="AC2254" s="159" t="s">
        <v>10916</v>
      </c>
      <c r="AD2254" s="159" t="s">
        <v>10917</v>
      </c>
      <c r="AE2254" s="184" t="s">
        <v>10918</v>
      </c>
      <c r="AF2254" s="201" t="s">
        <v>8995</v>
      </c>
      <c r="AG2254" s="160"/>
      <c r="AH2254" s="160" t="s">
        <v>10315</v>
      </c>
      <c r="AI2254" s="158"/>
      <c r="AJ2254" s="158"/>
      <c r="AK2254" s="158"/>
      <c r="AL2254" s="158"/>
      <c r="AM2254" s="158"/>
      <c r="AN2254" s="158"/>
      <c r="AO2254" s="158"/>
      <c r="AP2254" s="158"/>
      <c r="AQ2254" s="158">
        <v>38</v>
      </c>
      <c r="AR2254" s="507"/>
      <c r="AS2254" s="475"/>
      <c r="AT2254" s="160"/>
    </row>
    <row r="2255" spans="1:46" ht="15" hidden="1" customHeight="1">
      <c r="A2255" s="331">
        <v>2254</v>
      </c>
      <c r="B2255" s="173" t="s">
        <v>7295</v>
      </c>
      <c r="C2255" s="28" t="s">
        <v>7316</v>
      </c>
      <c r="D2255" s="437" t="s">
        <v>10217</v>
      </c>
      <c r="E2255" s="361" t="str">
        <f t="shared" ca="1" si="146"/>
        <v>LOSS</v>
      </c>
      <c r="F2255" s="28"/>
      <c r="G2255" s="28" t="s">
        <v>10919</v>
      </c>
      <c r="H2255" s="28" t="s">
        <v>261</v>
      </c>
      <c r="I2255" s="361" t="s">
        <v>243</v>
      </c>
      <c r="J2255" s="28" t="s">
        <v>1952</v>
      </c>
      <c r="K2255" s="38" t="s">
        <v>7319</v>
      </c>
      <c r="L2255" s="72">
        <v>0.98</v>
      </c>
      <c r="M2255" s="27" t="s">
        <v>329</v>
      </c>
      <c r="N2255" s="27" t="s">
        <v>6649</v>
      </c>
      <c r="O2255" s="56"/>
      <c r="P2255" s="52">
        <f>2100000*12</f>
        <v>25200000</v>
      </c>
      <c r="Q2255" s="52"/>
      <c r="R2255" s="56"/>
      <c r="S2255" s="32">
        <v>43920000</v>
      </c>
      <c r="T2255" s="33"/>
      <c r="U2255" s="334">
        <v>45816</v>
      </c>
      <c r="V2255" s="334">
        <v>46180</v>
      </c>
      <c r="W2255" s="27" t="s">
        <v>17</v>
      </c>
      <c r="X2255" s="27"/>
      <c r="Y2255" s="34">
        <f t="shared" ca="1" si="147"/>
        <v>46290</v>
      </c>
      <c r="Z2255" s="35">
        <f t="shared" ref="Z2255:Z2276" ca="1" si="148">V2255-Y2255</f>
        <v>-110</v>
      </c>
      <c r="AA2255" s="27">
        <f t="shared" ref="AA2255:AA2261" si="149">MONTH(V2255)</f>
        <v>6</v>
      </c>
      <c r="AB2255" s="27">
        <f t="shared" ref="AB2255:AB2276" si="150">YEAR(V2255)</f>
        <v>2026</v>
      </c>
      <c r="AC2255" s="28" t="s">
        <v>10920</v>
      </c>
      <c r="AD2255" s="28" t="s">
        <v>10921</v>
      </c>
      <c r="AE2255" s="27">
        <v>4500025200</v>
      </c>
      <c r="AF2255" s="27" t="s">
        <v>471</v>
      </c>
      <c r="AG2255" s="160"/>
      <c r="AH2255" s="160" t="s">
        <v>7310</v>
      </c>
      <c r="AI2255" s="158"/>
      <c r="AJ2255" s="158"/>
      <c r="AK2255" s="158"/>
      <c r="AL2255" s="158"/>
      <c r="AM2255" s="158"/>
      <c r="AN2255" s="158"/>
      <c r="AO2255" s="158"/>
      <c r="AP2255" s="158"/>
      <c r="AQ2255" s="158">
        <v>209</v>
      </c>
      <c r="AR2255" s="507"/>
      <c r="AS2255" s="475"/>
      <c r="AT2255" s="160"/>
    </row>
    <row r="2256" spans="1:46" ht="15" hidden="1" customHeight="1">
      <c r="A2256" s="331">
        <v>2255</v>
      </c>
      <c r="B2256" s="159" t="s">
        <v>1659</v>
      </c>
      <c r="C2256" s="159" t="s">
        <v>6914</v>
      </c>
      <c r="D2256" s="436" t="s">
        <v>10922</v>
      </c>
      <c r="E2256" s="361" t="str">
        <f t="shared" ca="1" si="146"/>
        <v>LOSS</v>
      </c>
      <c r="F2256" s="29" t="s">
        <v>10923</v>
      </c>
      <c r="G2256" s="29" t="s">
        <v>6916</v>
      </c>
      <c r="H2256" s="29" t="s">
        <v>261</v>
      </c>
      <c r="I2256" s="29" t="s">
        <v>243</v>
      </c>
      <c r="J2256" s="28" t="s">
        <v>9279</v>
      </c>
      <c r="K2256" s="28" t="s">
        <v>9280</v>
      </c>
      <c r="L2256" s="258">
        <v>0.995</v>
      </c>
      <c r="M2256" s="27" t="s">
        <v>6919</v>
      </c>
      <c r="N2256" s="27" t="s">
        <v>389</v>
      </c>
      <c r="O2256" s="56"/>
      <c r="P2256" s="56">
        <f>23200000*12</f>
        <v>278400000</v>
      </c>
      <c r="Q2256" s="27"/>
      <c r="R2256" s="56"/>
      <c r="S2256" s="56">
        <f>23000000*12</f>
        <v>276000000</v>
      </c>
      <c r="T2256" s="65"/>
      <c r="U2256" s="334">
        <v>45839</v>
      </c>
      <c r="V2256" s="334">
        <v>46203</v>
      </c>
      <c r="W2256" s="27" t="s">
        <v>17</v>
      </c>
      <c r="X2256" s="27"/>
      <c r="Y2256" s="34">
        <f t="shared" ca="1" si="147"/>
        <v>46290</v>
      </c>
      <c r="Z2256" s="35">
        <f t="shared" ca="1" si="148"/>
        <v>-87</v>
      </c>
      <c r="AA2256" s="27">
        <f t="shared" si="149"/>
        <v>6</v>
      </c>
      <c r="AB2256" s="27">
        <f t="shared" si="150"/>
        <v>2026</v>
      </c>
      <c r="AC2256" s="28" t="s">
        <v>10924</v>
      </c>
      <c r="AD2256" s="29" t="s">
        <v>10925</v>
      </c>
      <c r="AE2256" s="47" t="s">
        <v>10926</v>
      </c>
      <c r="AF2256" s="52" t="s">
        <v>471</v>
      </c>
      <c r="AG2256" s="160"/>
      <c r="AH2256" s="160" t="s">
        <v>10927</v>
      </c>
      <c r="AI2256" s="158"/>
      <c r="AJ2256" s="158"/>
      <c r="AK2256" s="158"/>
      <c r="AL2256" s="158"/>
      <c r="AM2256" s="158"/>
      <c r="AN2256" s="158"/>
      <c r="AO2256" s="158"/>
      <c r="AP2256" s="158"/>
      <c r="AQ2256" s="158">
        <v>208</v>
      </c>
      <c r="AR2256" s="507"/>
      <c r="AS2256" s="475"/>
      <c r="AT2256" s="160"/>
    </row>
    <row r="2257" spans="1:46" ht="15" hidden="1" customHeight="1">
      <c r="A2257" s="331">
        <v>2256</v>
      </c>
      <c r="B2257" s="361" t="s">
        <v>664</v>
      </c>
      <c r="C2257" s="28" t="s">
        <v>9152</v>
      </c>
      <c r="D2257" s="437" t="s">
        <v>10922</v>
      </c>
      <c r="E2257" s="361" t="str">
        <f t="shared" ca="1" si="146"/>
        <v>LOSS</v>
      </c>
      <c r="F2257" s="29"/>
      <c r="G2257" s="28" t="s">
        <v>9153</v>
      </c>
      <c r="H2257" s="29" t="s">
        <v>261</v>
      </c>
      <c r="I2257" s="361" t="s">
        <v>243</v>
      </c>
      <c r="J2257" s="28" t="s">
        <v>9154</v>
      </c>
      <c r="K2257" s="36" t="s">
        <v>9155</v>
      </c>
      <c r="L2257" s="60">
        <v>0.995</v>
      </c>
      <c r="M2257" s="27" t="s">
        <v>329</v>
      </c>
      <c r="N2257" s="27" t="s">
        <v>6885</v>
      </c>
      <c r="O2257" s="56"/>
      <c r="P2257" s="31">
        <f>883894*12</f>
        <v>10606728</v>
      </c>
      <c r="Q2257" s="31"/>
      <c r="R2257" s="56"/>
      <c r="S2257" s="100">
        <f>2000000*12</f>
        <v>24000000</v>
      </c>
      <c r="T2257" s="34"/>
      <c r="U2257" s="334">
        <v>45836</v>
      </c>
      <c r="V2257" s="334">
        <v>46200</v>
      </c>
      <c r="W2257" s="27" t="s">
        <v>17</v>
      </c>
      <c r="X2257" s="27"/>
      <c r="Y2257" s="34">
        <f t="shared" ca="1" si="147"/>
        <v>46290</v>
      </c>
      <c r="Z2257" s="35">
        <f t="shared" ca="1" si="148"/>
        <v>-90</v>
      </c>
      <c r="AA2257" s="27">
        <f t="shared" si="149"/>
        <v>6</v>
      </c>
      <c r="AB2257" s="27">
        <f t="shared" si="150"/>
        <v>2026</v>
      </c>
      <c r="AC2257" s="28" t="s">
        <v>10928</v>
      </c>
      <c r="AD2257" s="28" t="s">
        <v>10929</v>
      </c>
      <c r="AE2257" s="47" t="s">
        <v>10930</v>
      </c>
      <c r="AF2257" s="27" t="s">
        <v>471</v>
      </c>
      <c r="AG2257" s="160"/>
      <c r="AH2257" s="160"/>
      <c r="AI2257" s="158"/>
      <c r="AJ2257" s="158"/>
      <c r="AK2257" s="158"/>
      <c r="AL2257" s="158"/>
      <c r="AM2257" s="158"/>
      <c r="AN2257" s="158"/>
      <c r="AO2257" s="158"/>
      <c r="AP2257" s="158"/>
      <c r="AQ2257" s="158">
        <v>213</v>
      </c>
      <c r="AR2257" s="507"/>
      <c r="AS2257" s="475"/>
      <c r="AT2257" s="160"/>
    </row>
    <row r="2258" spans="1:46" ht="15" hidden="1" customHeight="1">
      <c r="A2258" s="331">
        <v>2257</v>
      </c>
      <c r="B2258" s="361" t="s">
        <v>664</v>
      </c>
      <c r="C2258" s="28" t="s">
        <v>9158</v>
      </c>
      <c r="D2258" s="438" t="s">
        <v>7226</v>
      </c>
      <c r="E2258" s="361" t="str">
        <f t="shared" ca="1" si="146"/>
        <v>LOSS</v>
      </c>
      <c r="F2258" s="29" t="s">
        <v>10931</v>
      </c>
      <c r="G2258" s="28" t="s">
        <v>9159</v>
      </c>
      <c r="H2258" s="29" t="s">
        <v>261</v>
      </c>
      <c r="I2258" s="361" t="s">
        <v>243</v>
      </c>
      <c r="J2258" s="28" t="s">
        <v>9160</v>
      </c>
      <c r="K2258" s="36" t="s">
        <v>9161</v>
      </c>
      <c r="L2258" s="60">
        <v>0.995</v>
      </c>
      <c r="M2258" s="27" t="s">
        <v>329</v>
      </c>
      <c r="N2258" s="27" t="s">
        <v>6885</v>
      </c>
      <c r="O2258" s="56"/>
      <c r="P2258" s="31">
        <f>883894*12</f>
        <v>10606728</v>
      </c>
      <c r="Q2258" s="31"/>
      <c r="R2258" s="56"/>
      <c r="S2258" s="100">
        <f>2000000*12</f>
        <v>24000000</v>
      </c>
      <c r="T2258" s="34"/>
      <c r="U2258" s="334">
        <v>45821</v>
      </c>
      <c r="V2258" s="334">
        <v>46185</v>
      </c>
      <c r="W2258" s="27" t="s">
        <v>17</v>
      </c>
      <c r="X2258" s="27"/>
      <c r="Y2258" s="34">
        <f t="shared" ca="1" si="147"/>
        <v>46290</v>
      </c>
      <c r="Z2258" s="35">
        <f t="shared" ca="1" si="148"/>
        <v>-105</v>
      </c>
      <c r="AA2258" s="27">
        <f t="shared" si="149"/>
        <v>6</v>
      </c>
      <c r="AB2258" s="27">
        <f t="shared" si="150"/>
        <v>2026</v>
      </c>
      <c r="AC2258" s="28" t="s">
        <v>10932</v>
      </c>
      <c r="AD2258" s="28" t="s">
        <v>10933</v>
      </c>
      <c r="AE2258" s="47" t="s">
        <v>10934</v>
      </c>
      <c r="AF2258" s="27" t="s">
        <v>471</v>
      </c>
      <c r="AG2258" s="160"/>
      <c r="AH2258" s="160"/>
      <c r="AI2258" s="158"/>
      <c r="AJ2258" s="158"/>
      <c r="AK2258" s="158"/>
      <c r="AL2258" s="158"/>
      <c r="AM2258" s="158"/>
      <c r="AN2258" s="158"/>
      <c r="AO2258" s="158"/>
      <c r="AP2258" s="158"/>
      <c r="AQ2258" s="158">
        <v>211</v>
      </c>
      <c r="AR2258" s="507"/>
      <c r="AS2258" s="475"/>
      <c r="AT2258" s="160"/>
    </row>
    <row r="2259" spans="1:46" ht="15" hidden="1" customHeight="1">
      <c r="A2259" s="331">
        <v>2258</v>
      </c>
      <c r="B2259" s="361" t="s">
        <v>664</v>
      </c>
      <c r="C2259" s="28" t="s">
        <v>9164</v>
      </c>
      <c r="D2259" s="437" t="s">
        <v>7226</v>
      </c>
      <c r="E2259" s="361" t="str">
        <f t="shared" ca="1" si="146"/>
        <v>LOSS</v>
      </c>
      <c r="F2259" s="29"/>
      <c r="G2259" s="28" t="s">
        <v>9165</v>
      </c>
      <c r="H2259" s="29" t="s">
        <v>261</v>
      </c>
      <c r="I2259" s="361" t="s">
        <v>243</v>
      </c>
      <c r="J2259" s="28" t="s">
        <v>9166</v>
      </c>
      <c r="K2259" s="36" t="s">
        <v>9167</v>
      </c>
      <c r="L2259" s="60">
        <v>0.995</v>
      </c>
      <c r="M2259" s="27" t="s">
        <v>329</v>
      </c>
      <c r="N2259" s="27" t="s">
        <v>6885</v>
      </c>
      <c r="O2259" s="56"/>
      <c r="P2259" s="31">
        <f>883894*12</f>
        <v>10606728</v>
      </c>
      <c r="Q2259" s="31"/>
      <c r="R2259" s="56"/>
      <c r="S2259" s="100">
        <f>2000000*12</f>
        <v>24000000</v>
      </c>
      <c r="T2259" s="34"/>
      <c r="U2259" s="334">
        <v>45834</v>
      </c>
      <c r="V2259" s="334">
        <v>46198</v>
      </c>
      <c r="W2259" s="27" t="s">
        <v>17</v>
      </c>
      <c r="X2259" s="27"/>
      <c r="Y2259" s="34">
        <f t="shared" ca="1" si="147"/>
        <v>46290</v>
      </c>
      <c r="Z2259" s="35">
        <f t="shared" ca="1" si="148"/>
        <v>-92</v>
      </c>
      <c r="AA2259" s="27">
        <f t="shared" si="149"/>
        <v>6</v>
      </c>
      <c r="AB2259" s="27">
        <f t="shared" si="150"/>
        <v>2026</v>
      </c>
      <c r="AC2259" s="28" t="s">
        <v>10935</v>
      </c>
      <c r="AD2259" s="28" t="s">
        <v>10936</v>
      </c>
      <c r="AE2259" s="47" t="s">
        <v>10937</v>
      </c>
      <c r="AF2259" s="27" t="s">
        <v>471</v>
      </c>
      <c r="AG2259" s="160"/>
      <c r="AH2259" s="160"/>
      <c r="AI2259" s="158"/>
      <c r="AJ2259" s="158"/>
      <c r="AK2259" s="158"/>
      <c r="AL2259" s="158"/>
      <c r="AM2259" s="158"/>
      <c r="AN2259" s="158"/>
      <c r="AO2259" s="158"/>
      <c r="AP2259" s="158"/>
      <c r="AQ2259" s="158">
        <v>212</v>
      </c>
      <c r="AR2259" s="507"/>
      <c r="AS2259" s="475"/>
      <c r="AT2259" s="160"/>
    </row>
    <row r="2260" spans="1:46" ht="15" hidden="1" customHeight="1">
      <c r="A2260" s="331">
        <v>2259</v>
      </c>
      <c r="B2260" s="209" t="s">
        <v>8583</v>
      </c>
      <c r="C2260" s="209" t="s">
        <v>8584</v>
      </c>
      <c r="D2260" s="438" t="s">
        <v>7226</v>
      </c>
      <c r="E2260" s="361" t="str">
        <f t="shared" ca="1" si="146"/>
        <v>ON TRACK</v>
      </c>
      <c r="F2260" s="210" t="s">
        <v>8586</v>
      </c>
      <c r="G2260" s="209" t="s">
        <v>8587</v>
      </c>
      <c r="H2260" s="160" t="s">
        <v>8588</v>
      </c>
      <c r="I2260" s="160" t="s">
        <v>511</v>
      </c>
      <c r="J2260" s="159" t="s">
        <v>8589</v>
      </c>
      <c r="K2260" s="160"/>
      <c r="L2260" s="158"/>
      <c r="M2260" s="208" t="s">
        <v>365</v>
      </c>
      <c r="N2260" s="158"/>
      <c r="O2260" s="162"/>
      <c r="P2260" s="161">
        <v>48000000</v>
      </c>
      <c r="Q2260" s="161"/>
      <c r="R2260" s="162"/>
      <c r="S2260" s="211"/>
      <c r="T2260" s="212">
        <v>0.25</v>
      </c>
      <c r="U2260" s="341">
        <v>46061</v>
      </c>
      <c r="V2260" s="340">
        <v>46425</v>
      </c>
      <c r="W2260" s="158" t="s">
        <v>17</v>
      </c>
      <c r="X2260" s="158"/>
      <c r="Y2260" s="164">
        <f t="shared" ca="1" si="147"/>
        <v>46290</v>
      </c>
      <c r="Z2260" s="207">
        <f t="shared" ca="1" si="148"/>
        <v>135</v>
      </c>
      <c r="AA2260" s="27">
        <f t="shared" si="149"/>
        <v>2</v>
      </c>
      <c r="AB2260" s="158">
        <f t="shared" si="150"/>
        <v>2027</v>
      </c>
      <c r="AC2260" s="159"/>
      <c r="AD2260" s="159"/>
      <c r="AE2260" s="158"/>
      <c r="AF2260" s="158" t="s">
        <v>356</v>
      </c>
      <c r="AG2260" s="160"/>
      <c r="AH2260" s="160"/>
      <c r="AI2260" s="158"/>
      <c r="AJ2260" s="158"/>
      <c r="AK2260" s="158"/>
      <c r="AL2260" s="158"/>
      <c r="AM2260" s="158"/>
      <c r="AN2260" s="158"/>
      <c r="AO2260" s="158"/>
      <c r="AP2260" s="158"/>
      <c r="AQ2260" s="158"/>
      <c r="AR2260" s="507"/>
      <c r="AS2260" s="475"/>
      <c r="AT2260" s="160"/>
    </row>
    <row r="2261" spans="1:46" ht="15" hidden="1" customHeight="1">
      <c r="A2261" s="331">
        <v>2260</v>
      </c>
      <c r="B2261" s="159" t="s">
        <v>9556</v>
      </c>
      <c r="C2261" s="209" t="s">
        <v>670</v>
      </c>
      <c r="D2261" s="447" t="s">
        <v>8585</v>
      </c>
      <c r="E2261" s="361" t="str">
        <f t="shared" ca="1" si="146"/>
        <v>LOSS</v>
      </c>
      <c r="F2261" s="210" t="s">
        <v>8592</v>
      </c>
      <c r="G2261" s="159" t="s">
        <v>8593</v>
      </c>
      <c r="H2261" s="160" t="s">
        <v>2748</v>
      </c>
      <c r="I2261" s="160" t="s">
        <v>242</v>
      </c>
      <c r="J2261" s="159" t="s">
        <v>8594</v>
      </c>
      <c r="K2261" s="160"/>
      <c r="L2261" s="158"/>
      <c r="M2261" s="208"/>
      <c r="N2261" s="158"/>
      <c r="O2261" s="162">
        <v>2500000</v>
      </c>
      <c r="P2261" s="161">
        <f>29992000*12</f>
        <v>359904000</v>
      </c>
      <c r="Q2261" s="161"/>
      <c r="R2261" s="162">
        <v>2500000</v>
      </c>
      <c r="S2261" s="211">
        <f>1000000*12</f>
        <v>12000000</v>
      </c>
      <c r="T2261" s="212"/>
      <c r="U2261" s="340">
        <v>45492</v>
      </c>
      <c r="V2261" s="340">
        <v>45856</v>
      </c>
      <c r="W2261" s="158" t="s">
        <v>250</v>
      </c>
      <c r="X2261" s="158"/>
      <c r="Y2261" s="164">
        <f t="shared" ca="1" si="147"/>
        <v>46290</v>
      </c>
      <c r="Z2261" s="207">
        <f t="shared" ca="1" si="148"/>
        <v>-434</v>
      </c>
      <c r="AA2261" s="158">
        <f t="shared" si="149"/>
        <v>7</v>
      </c>
      <c r="AB2261" s="158">
        <f t="shared" si="150"/>
        <v>2025</v>
      </c>
      <c r="AC2261" s="159" t="s">
        <v>479</v>
      </c>
      <c r="AD2261" s="159" t="s">
        <v>8595</v>
      </c>
      <c r="AE2261" s="158">
        <v>4500023380</v>
      </c>
      <c r="AF2261" s="158" t="s">
        <v>333</v>
      </c>
      <c r="AG2261" s="160"/>
      <c r="AH2261" s="160"/>
      <c r="AI2261" s="158"/>
      <c r="AJ2261" s="158"/>
      <c r="AK2261" s="158"/>
      <c r="AL2261" s="158"/>
      <c r="AM2261" s="158"/>
      <c r="AN2261" s="158"/>
      <c r="AO2261" s="158"/>
      <c r="AP2261" s="158"/>
      <c r="AQ2261" s="158"/>
      <c r="AR2261" s="507"/>
      <c r="AS2261" s="475"/>
      <c r="AT2261" s="160"/>
    </row>
    <row r="2262" spans="1:46" ht="15" hidden="1" customHeight="1">
      <c r="A2262" s="331">
        <v>2261</v>
      </c>
      <c r="B2262" s="209" t="s">
        <v>2500</v>
      </c>
      <c r="C2262" s="209" t="s">
        <v>1192</v>
      </c>
      <c r="D2262" s="438" t="s">
        <v>7760</v>
      </c>
      <c r="E2262" s="361" t="str">
        <f t="shared" ca="1" si="146"/>
        <v>LOSS</v>
      </c>
      <c r="F2262" s="214" t="s">
        <v>115</v>
      </c>
      <c r="G2262" s="209" t="s">
        <v>8598</v>
      </c>
      <c r="H2262" s="160" t="s">
        <v>8588</v>
      </c>
      <c r="I2262" s="160" t="s">
        <v>511</v>
      </c>
      <c r="J2262" s="159"/>
      <c r="K2262" s="181" t="s">
        <v>8599</v>
      </c>
      <c r="L2262" s="158"/>
      <c r="M2262" s="208" t="s">
        <v>365</v>
      </c>
      <c r="N2262" s="158"/>
      <c r="O2262" s="162"/>
      <c r="P2262" s="161">
        <v>114000000</v>
      </c>
      <c r="Q2262" s="161"/>
      <c r="R2262" s="162"/>
      <c r="S2262" s="211"/>
      <c r="T2262" s="213">
        <v>0.2</v>
      </c>
      <c r="U2262" s="342">
        <v>45778</v>
      </c>
      <c r="V2262" s="340">
        <v>46142</v>
      </c>
      <c r="W2262" s="158" t="s">
        <v>17</v>
      </c>
      <c r="X2262" s="158"/>
      <c r="Y2262" s="164">
        <f t="shared" ca="1" si="147"/>
        <v>46290</v>
      </c>
      <c r="Z2262" s="207">
        <f t="shared" ca="1" si="148"/>
        <v>-148</v>
      </c>
      <c r="AA2262" s="158">
        <f>MONTH(Table1[[#This Row],[End]])</f>
        <v>4</v>
      </c>
      <c r="AB2262" s="158">
        <f t="shared" si="150"/>
        <v>2026</v>
      </c>
      <c r="AC2262" s="159"/>
      <c r="AD2262" s="159"/>
      <c r="AE2262" s="158"/>
      <c r="AF2262" s="158" t="s">
        <v>356</v>
      </c>
      <c r="AG2262" s="160"/>
      <c r="AH2262" s="160"/>
      <c r="AI2262" s="158"/>
      <c r="AJ2262" s="158"/>
      <c r="AK2262" s="158"/>
      <c r="AL2262" s="158"/>
      <c r="AM2262" s="158"/>
      <c r="AN2262" s="158"/>
      <c r="AO2262" s="158"/>
      <c r="AP2262" s="158"/>
      <c r="AQ2262" s="158"/>
      <c r="AR2262" s="507"/>
      <c r="AS2262" s="475"/>
      <c r="AT2262" s="160"/>
    </row>
    <row r="2263" spans="1:46" ht="15" hidden="1" customHeight="1">
      <c r="A2263" s="331">
        <v>2262</v>
      </c>
      <c r="B2263" s="209" t="s">
        <v>2500</v>
      </c>
      <c r="C2263" s="209" t="s">
        <v>8602</v>
      </c>
      <c r="D2263" s="447" t="s">
        <v>8597</v>
      </c>
      <c r="E2263" s="361" t="str">
        <f t="shared" ca="1" si="146"/>
        <v>LOSS</v>
      </c>
      <c r="F2263" s="214" t="s">
        <v>115</v>
      </c>
      <c r="G2263" s="209" t="s">
        <v>8603</v>
      </c>
      <c r="H2263" s="160" t="s">
        <v>8588</v>
      </c>
      <c r="I2263" s="160" t="s">
        <v>511</v>
      </c>
      <c r="J2263" s="159"/>
      <c r="K2263" s="181" t="s">
        <v>8604</v>
      </c>
      <c r="L2263" s="158"/>
      <c r="M2263" s="208" t="s">
        <v>8605</v>
      </c>
      <c r="N2263" s="158"/>
      <c r="O2263" s="162"/>
      <c r="P2263" s="161">
        <v>60000000</v>
      </c>
      <c r="Q2263" s="161"/>
      <c r="R2263" s="162"/>
      <c r="S2263" s="211"/>
      <c r="T2263" s="213">
        <v>0.2</v>
      </c>
      <c r="U2263" s="342">
        <v>45778</v>
      </c>
      <c r="V2263" s="340">
        <v>46142</v>
      </c>
      <c r="W2263" s="158" t="s">
        <v>17</v>
      </c>
      <c r="X2263" s="158"/>
      <c r="Y2263" s="164">
        <f t="shared" ca="1" si="147"/>
        <v>46290</v>
      </c>
      <c r="Z2263" s="207">
        <f t="shared" ca="1" si="148"/>
        <v>-148</v>
      </c>
      <c r="AA2263" s="158">
        <f t="shared" ref="AA2263:AA2274" si="151">MONTH(V2263)</f>
        <v>4</v>
      </c>
      <c r="AB2263" s="158">
        <f t="shared" si="150"/>
        <v>2026</v>
      </c>
      <c r="AC2263" s="159"/>
      <c r="AD2263" s="159"/>
      <c r="AE2263" s="158"/>
      <c r="AF2263" s="158" t="s">
        <v>356</v>
      </c>
      <c r="AG2263" s="160"/>
      <c r="AH2263" s="160"/>
      <c r="AI2263" s="158"/>
      <c r="AJ2263" s="158"/>
      <c r="AK2263" s="158"/>
      <c r="AL2263" s="158"/>
      <c r="AM2263" s="158"/>
      <c r="AN2263" s="158"/>
      <c r="AO2263" s="158"/>
      <c r="AP2263" s="158"/>
      <c r="AQ2263" s="158"/>
      <c r="AR2263" s="507"/>
      <c r="AS2263" s="475"/>
      <c r="AT2263" s="160"/>
    </row>
    <row r="2264" spans="1:46" ht="15" hidden="1" customHeight="1">
      <c r="A2264" s="331">
        <v>2263</v>
      </c>
      <c r="B2264" s="209" t="s">
        <v>2500</v>
      </c>
      <c r="C2264" s="209" t="s">
        <v>8606</v>
      </c>
      <c r="D2264" s="447" t="s">
        <v>8597</v>
      </c>
      <c r="E2264" s="361" t="str">
        <f t="shared" ca="1" si="146"/>
        <v>LOSS</v>
      </c>
      <c r="F2264" s="210" t="s">
        <v>8607</v>
      </c>
      <c r="G2264" s="209" t="s">
        <v>8608</v>
      </c>
      <c r="H2264" s="160" t="s">
        <v>8588</v>
      </c>
      <c r="I2264" s="160" t="s">
        <v>511</v>
      </c>
      <c r="J2264" s="159"/>
      <c r="K2264" s="181" t="s">
        <v>8609</v>
      </c>
      <c r="L2264" s="158"/>
      <c r="M2264" s="208" t="s">
        <v>365</v>
      </c>
      <c r="N2264" s="158"/>
      <c r="O2264" s="162"/>
      <c r="P2264" s="161">
        <v>90600000</v>
      </c>
      <c r="Q2264" s="161"/>
      <c r="R2264" s="162"/>
      <c r="S2264" s="211"/>
      <c r="T2264" s="213">
        <v>0.2</v>
      </c>
      <c r="U2264" s="342">
        <v>45778</v>
      </c>
      <c r="V2264" s="340">
        <v>46142</v>
      </c>
      <c r="W2264" s="158" t="s">
        <v>17</v>
      </c>
      <c r="X2264" s="158"/>
      <c r="Y2264" s="164">
        <f t="shared" ca="1" si="147"/>
        <v>46290</v>
      </c>
      <c r="Z2264" s="207">
        <f t="shared" ca="1" si="148"/>
        <v>-148</v>
      </c>
      <c r="AA2264" s="158">
        <f t="shared" si="151"/>
        <v>4</v>
      </c>
      <c r="AB2264" s="158">
        <f t="shared" si="150"/>
        <v>2026</v>
      </c>
      <c r="AC2264" s="159"/>
      <c r="AD2264" s="159"/>
      <c r="AE2264" s="158"/>
      <c r="AF2264" s="158" t="s">
        <v>356</v>
      </c>
      <c r="AG2264" s="160"/>
      <c r="AH2264" s="160"/>
      <c r="AI2264" s="158"/>
      <c r="AJ2264" s="158"/>
      <c r="AK2264" s="158"/>
      <c r="AL2264" s="158"/>
      <c r="AM2264" s="158"/>
      <c r="AN2264" s="158"/>
      <c r="AO2264" s="158"/>
      <c r="AP2264" s="158"/>
      <c r="AQ2264" s="158"/>
      <c r="AR2264" s="507"/>
      <c r="AS2264" s="475"/>
      <c r="AT2264" s="160"/>
    </row>
    <row r="2265" spans="1:46" ht="15" hidden="1" customHeight="1">
      <c r="A2265" s="331">
        <v>2264</v>
      </c>
      <c r="B2265" s="209" t="s">
        <v>2500</v>
      </c>
      <c r="C2265" s="209" t="s">
        <v>8610</v>
      </c>
      <c r="D2265" s="447" t="s">
        <v>8597</v>
      </c>
      <c r="E2265" s="361" t="str">
        <f t="shared" ca="1" si="146"/>
        <v>LOSS</v>
      </c>
      <c r="F2265" s="210" t="s">
        <v>8611</v>
      </c>
      <c r="G2265" s="209" t="s">
        <v>8612</v>
      </c>
      <c r="H2265" s="160" t="s">
        <v>8588</v>
      </c>
      <c r="I2265" s="160" t="s">
        <v>511</v>
      </c>
      <c r="J2265" s="159"/>
      <c r="K2265" s="160"/>
      <c r="L2265" s="158"/>
      <c r="M2265" s="208" t="s">
        <v>365</v>
      </c>
      <c r="N2265" s="158"/>
      <c r="O2265" s="162"/>
      <c r="P2265" s="161">
        <v>75900000</v>
      </c>
      <c r="Q2265" s="161"/>
      <c r="R2265" s="162"/>
      <c r="S2265" s="211"/>
      <c r="T2265" s="213">
        <v>0.2</v>
      </c>
      <c r="U2265" s="342">
        <v>45778</v>
      </c>
      <c r="V2265" s="340">
        <v>46142</v>
      </c>
      <c r="W2265" s="158" t="s">
        <v>17</v>
      </c>
      <c r="X2265" s="158"/>
      <c r="Y2265" s="164">
        <f t="shared" ca="1" si="147"/>
        <v>46290</v>
      </c>
      <c r="Z2265" s="207">
        <f t="shared" ca="1" si="148"/>
        <v>-148</v>
      </c>
      <c r="AA2265" s="158">
        <f t="shared" si="151"/>
        <v>4</v>
      </c>
      <c r="AB2265" s="158">
        <f t="shared" si="150"/>
        <v>2026</v>
      </c>
      <c r="AC2265" s="159"/>
      <c r="AD2265" s="159"/>
      <c r="AE2265" s="158"/>
      <c r="AF2265" s="158" t="s">
        <v>356</v>
      </c>
      <c r="AG2265" s="160"/>
      <c r="AH2265" s="160"/>
      <c r="AI2265" s="158"/>
      <c r="AJ2265" s="158"/>
      <c r="AK2265" s="158"/>
      <c r="AL2265" s="158"/>
      <c r="AM2265" s="158"/>
      <c r="AN2265" s="158"/>
      <c r="AO2265" s="158"/>
      <c r="AP2265" s="158"/>
      <c r="AQ2265" s="158"/>
      <c r="AR2265" s="507"/>
      <c r="AS2265" s="475"/>
      <c r="AT2265" s="160"/>
    </row>
    <row r="2266" spans="1:46" ht="15" hidden="1" customHeight="1">
      <c r="A2266" s="331">
        <v>2265</v>
      </c>
      <c r="B2266" s="209" t="s">
        <v>2500</v>
      </c>
      <c r="C2266" s="209" t="s">
        <v>8613</v>
      </c>
      <c r="D2266" s="447" t="s">
        <v>8597</v>
      </c>
      <c r="E2266" s="361" t="str">
        <f t="shared" ca="1" si="146"/>
        <v>LOSS</v>
      </c>
      <c r="F2266" s="210" t="s">
        <v>8614</v>
      </c>
      <c r="G2266" s="209" t="s">
        <v>8615</v>
      </c>
      <c r="H2266" s="160" t="s">
        <v>8588</v>
      </c>
      <c r="I2266" s="160" t="s">
        <v>511</v>
      </c>
      <c r="J2266" s="159"/>
      <c r="K2266" s="181" t="s">
        <v>8616</v>
      </c>
      <c r="L2266" s="158"/>
      <c r="M2266" s="208" t="s">
        <v>8617</v>
      </c>
      <c r="N2266" s="158"/>
      <c r="O2266" s="162"/>
      <c r="P2266" s="161">
        <v>132000000</v>
      </c>
      <c r="Q2266" s="161"/>
      <c r="R2266" s="162"/>
      <c r="S2266" s="211"/>
      <c r="T2266" s="213">
        <v>0.2</v>
      </c>
      <c r="U2266" s="342">
        <v>45778</v>
      </c>
      <c r="V2266" s="340">
        <v>46142</v>
      </c>
      <c r="W2266" s="158" t="s">
        <v>17</v>
      </c>
      <c r="X2266" s="158"/>
      <c r="Y2266" s="164">
        <f t="shared" ca="1" si="147"/>
        <v>46290</v>
      </c>
      <c r="Z2266" s="207">
        <f t="shared" ca="1" si="148"/>
        <v>-148</v>
      </c>
      <c r="AA2266" s="158">
        <f t="shared" si="151"/>
        <v>4</v>
      </c>
      <c r="AB2266" s="158">
        <f t="shared" si="150"/>
        <v>2026</v>
      </c>
      <c r="AC2266" s="159"/>
      <c r="AD2266" s="159"/>
      <c r="AE2266" s="158"/>
      <c r="AF2266" s="158" t="s">
        <v>356</v>
      </c>
      <c r="AG2266" s="160"/>
      <c r="AH2266" s="160"/>
      <c r="AI2266" s="158"/>
      <c r="AJ2266" s="158"/>
      <c r="AK2266" s="158"/>
      <c r="AL2266" s="158"/>
      <c r="AM2266" s="158"/>
      <c r="AN2266" s="158"/>
      <c r="AO2266" s="158"/>
      <c r="AP2266" s="158"/>
      <c r="AQ2266" s="158"/>
      <c r="AR2266" s="507"/>
      <c r="AS2266" s="475"/>
      <c r="AT2266" s="160"/>
    </row>
    <row r="2267" spans="1:46" ht="15" hidden="1" customHeight="1">
      <c r="A2267" s="331">
        <v>2266</v>
      </c>
      <c r="B2267" s="159" t="s">
        <v>2500</v>
      </c>
      <c r="C2267" s="159" t="s">
        <v>9465</v>
      </c>
      <c r="D2267" s="447" t="s">
        <v>8597</v>
      </c>
      <c r="E2267" s="361" t="str">
        <f t="shared" ca="1" si="146"/>
        <v>LOSS</v>
      </c>
      <c r="F2267" s="160"/>
      <c r="G2267" s="159" t="s">
        <v>3868</v>
      </c>
      <c r="H2267" s="160" t="s">
        <v>8588</v>
      </c>
      <c r="I2267" s="160" t="s">
        <v>511</v>
      </c>
      <c r="J2267" s="159"/>
      <c r="K2267" s="181" t="s">
        <v>10938</v>
      </c>
      <c r="L2267" s="158"/>
      <c r="M2267" s="158" t="s">
        <v>10939</v>
      </c>
      <c r="N2267" s="298" t="s">
        <v>389</v>
      </c>
      <c r="O2267" s="162"/>
      <c r="P2267" s="161">
        <f>12400000*12</f>
        <v>148800000</v>
      </c>
      <c r="Q2267" s="161"/>
      <c r="R2267" s="162"/>
      <c r="S2267" s="163"/>
      <c r="T2267" s="213">
        <v>0.2</v>
      </c>
      <c r="U2267" s="342">
        <v>45778</v>
      </c>
      <c r="V2267" s="340">
        <v>46142</v>
      </c>
      <c r="W2267" s="158" t="s">
        <v>17</v>
      </c>
      <c r="X2267" s="158"/>
      <c r="Y2267" s="164">
        <f t="shared" ca="1" si="147"/>
        <v>46290</v>
      </c>
      <c r="Z2267" s="207">
        <f t="shared" ca="1" si="148"/>
        <v>-148</v>
      </c>
      <c r="AA2267" s="158">
        <f t="shared" si="151"/>
        <v>4</v>
      </c>
      <c r="AB2267" s="158">
        <f t="shared" si="150"/>
        <v>2026</v>
      </c>
      <c r="AC2267" s="159"/>
      <c r="AD2267" s="159"/>
      <c r="AE2267" s="184"/>
      <c r="AF2267" s="158" t="s">
        <v>356</v>
      </c>
      <c r="AG2267" s="160"/>
      <c r="AH2267" s="160"/>
      <c r="AI2267" s="158"/>
      <c r="AJ2267" s="158"/>
      <c r="AK2267" s="158"/>
      <c r="AL2267" s="158"/>
      <c r="AM2267" s="158"/>
      <c r="AN2267" s="158"/>
      <c r="AO2267" s="158"/>
      <c r="AP2267" s="158"/>
      <c r="AQ2267" s="158"/>
      <c r="AR2267" s="507"/>
      <c r="AS2267" s="475"/>
      <c r="AT2267" s="160"/>
    </row>
    <row r="2268" spans="1:46" ht="15" hidden="1" customHeight="1">
      <c r="A2268" s="331">
        <v>2267</v>
      </c>
      <c r="B2268" s="159" t="s">
        <v>2500</v>
      </c>
      <c r="C2268" s="159" t="s">
        <v>765</v>
      </c>
      <c r="D2268" s="447" t="s">
        <v>8597</v>
      </c>
      <c r="E2268" s="361" t="str">
        <f t="shared" ca="1" si="146"/>
        <v>LOSS</v>
      </c>
      <c r="F2268" s="160"/>
      <c r="G2268" s="159" t="s">
        <v>10940</v>
      </c>
      <c r="H2268" s="160" t="s">
        <v>8588</v>
      </c>
      <c r="I2268" s="160" t="s">
        <v>511</v>
      </c>
      <c r="J2268" s="159"/>
      <c r="K2268" s="181" t="s">
        <v>10941</v>
      </c>
      <c r="L2268" s="158"/>
      <c r="M2268" s="158" t="s">
        <v>7267</v>
      </c>
      <c r="N2268" s="298" t="s">
        <v>389</v>
      </c>
      <c r="O2268" s="162"/>
      <c r="P2268" s="161">
        <f>29500000*12</f>
        <v>354000000</v>
      </c>
      <c r="Q2268" s="161"/>
      <c r="R2268" s="162"/>
      <c r="S2268" s="163"/>
      <c r="T2268" s="213">
        <v>0.2</v>
      </c>
      <c r="U2268" s="342">
        <v>45778</v>
      </c>
      <c r="V2268" s="340">
        <v>46142</v>
      </c>
      <c r="W2268" s="158" t="s">
        <v>17</v>
      </c>
      <c r="X2268" s="158"/>
      <c r="Y2268" s="164">
        <f t="shared" ca="1" si="147"/>
        <v>46290</v>
      </c>
      <c r="Z2268" s="207">
        <f t="shared" ca="1" si="148"/>
        <v>-148</v>
      </c>
      <c r="AA2268" s="158">
        <f t="shared" si="151"/>
        <v>4</v>
      </c>
      <c r="AB2268" s="158">
        <f t="shared" si="150"/>
        <v>2026</v>
      </c>
      <c r="AC2268" s="159"/>
      <c r="AD2268" s="159"/>
      <c r="AE2268" s="184"/>
      <c r="AF2268" s="158" t="s">
        <v>356</v>
      </c>
      <c r="AG2268" s="160"/>
      <c r="AH2268" s="160"/>
      <c r="AI2268" s="158"/>
      <c r="AJ2268" s="158"/>
      <c r="AK2268" s="158"/>
      <c r="AL2268" s="158"/>
      <c r="AM2268" s="158"/>
      <c r="AN2268" s="158"/>
      <c r="AO2268" s="158"/>
      <c r="AP2268" s="158"/>
      <c r="AQ2268" s="158"/>
      <c r="AR2268" s="507"/>
      <c r="AS2268" s="475"/>
      <c r="AT2268" s="160"/>
    </row>
    <row r="2269" spans="1:46" ht="15" hidden="1" customHeight="1">
      <c r="A2269" s="331">
        <v>2268</v>
      </c>
      <c r="B2269" s="159" t="s">
        <v>2500</v>
      </c>
      <c r="C2269" s="159" t="s">
        <v>8606</v>
      </c>
      <c r="D2269" s="447" t="s">
        <v>8597</v>
      </c>
      <c r="E2269" s="361" t="str">
        <f t="shared" ca="1" si="146"/>
        <v>LOSS</v>
      </c>
      <c r="F2269" s="160"/>
      <c r="G2269" s="159" t="s">
        <v>10942</v>
      </c>
      <c r="H2269" s="160" t="s">
        <v>8588</v>
      </c>
      <c r="I2269" s="160" t="s">
        <v>511</v>
      </c>
      <c r="J2269" s="159"/>
      <c r="K2269" s="181" t="s">
        <v>10943</v>
      </c>
      <c r="L2269" s="158"/>
      <c r="M2269" s="158" t="s">
        <v>7267</v>
      </c>
      <c r="N2269" s="298" t="s">
        <v>494</v>
      </c>
      <c r="O2269" s="162"/>
      <c r="P2269" s="161">
        <f>7550000*12</f>
        <v>90600000</v>
      </c>
      <c r="Q2269" s="161"/>
      <c r="R2269" s="162"/>
      <c r="S2269" s="163"/>
      <c r="T2269" s="213">
        <v>0.2</v>
      </c>
      <c r="U2269" s="342">
        <v>45778</v>
      </c>
      <c r="V2269" s="340">
        <v>46142</v>
      </c>
      <c r="W2269" s="158" t="s">
        <v>17</v>
      </c>
      <c r="X2269" s="158"/>
      <c r="Y2269" s="164">
        <f t="shared" ca="1" si="147"/>
        <v>46290</v>
      </c>
      <c r="Z2269" s="207">
        <f t="shared" ca="1" si="148"/>
        <v>-148</v>
      </c>
      <c r="AA2269" s="158">
        <f t="shared" si="151"/>
        <v>4</v>
      </c>
      <c r="AB2269" s="158">
        <f t="shared" si="150"/>
        <v>2026</v>
      </c>
      <c r="AC2269" s="159"/>
      <c r="AD2269" s="159"/>
      <c r="AE2269" s="184"/>
      <c r="AF2269" s="158" t="s">
        <v>356</v>
      </c>
      <c r="AG2269" s="160"/>
      <c r="AH2269" s="160"/>
      <c r="AI2269" s="158"/>
      <c r="AJ2269" s="158"/>
      <c r="AK2269" s="158"/>
      <c r="AL2269" s="158"/>
      <c r="AM2269" s="158"/>
      <c r="AN2269" s="158"/>
      <c r="AO2269" s="158"/>
      <c r="AP2269" s="158"/>
      <c r="AQ2269" s="158"/>
      <c r="AR2269" s="507"/>
      <c r="AS2269" s="475"/>
      <c r="AT2269" s="160"/>
    </row>
    <row r="2270" spans="1:46" ht="15" hidden="1" customHeight="1">
      <c r="A2270" s="331">
        <v>2269</v>
      </c>
      <c r="B2270" s="159" t="s">
        <v>2500</v>
      </c>
      <c r="C2270" s="159" t="s">
        <v>10944</v>
      </c>
      <c r="D2270" s="447" t="s">
        <v>8597</v>
      </c>
      <c r="E2270" s="361" t="str">
        <f t="shared" ca="1" si="146"/>
        <v>LOSS</v>
      </c>
      <c r="F2270" s="160"/>
      <c r="G2270" s="159" t="s">
        <v>10945</v>
      </c>
      <c r="H2270" s="160" t="s">
        <v>8588</v>
      </c>
      <c r="I2270" s="160" t="s">
        <v>511</v>
      </c>
      <c r="J2270" s="159"/>
      <c r="K2270" s="181" t="s">
        <v>10946</v>
      </c>
      <c r="L2270" s="158"/>
      <c r="M2270" s="158" t="s">
        <v>9506</v>
      </c>
      <c r="N2270" s="296" t="s">
        <v>389</v>
      </c>
      <c r="O2270" s="162"/>
      <c r="P2270" s="161">
        <f>4335000*12</f>
        <v>52020000</v>
      </c>
      <c r="Q2270" s="161"/>
      <c r="R2270" s="162"/>
      <c r="S2270" s="163"/>
      <c r="T2270" s="213">
        <v>0.2</v>
      </c>
      <c r="U2270" s="342">
        <v>45778</v>
      </c>
      <c r="V2270" s="340">
        <v>46142</v>
      </c>
      <c r="W2270" s="158" t="s">
        <v>17</v>
      </c>
      <c r="X2270" s="158"/>
      <c r="Y2270" s="164">
        <f t="shared" ca="1" si="147"/>
        <v>46290</v>
      </c>
      <c r="Z2270" s="207">
        <f t="shared" ca="1" si="148"/>
        <v>-148</v>
      </c>
      <c r="AA2270" s="158">
        <f t="shared" si="151"/>
        <v>4</v>
      </c>
      <c r="AB2270" s="158">
        <f t="shared" si="150"/>
        <v>2026</v>
      </c>
      <c r="AC2270" s="159"/>
      <c r="AD2270" s="159"/>
      <c r="AE2270" s="184"/>
      <c r="AF2270" s="158" t="s">
        <v>356</v>
      </c>
      <c r="AG2270" s="160"/>
      <c r="AH2270" s="160"/>
      <c r="AI2270" s="158"/>
      <c r="AJ2270" s="158"/>
      <c r="AK2270" s="158"/>
      <c r="AL2270" s="158"/>
      <c r="AM2270" s="158"/>
      <c r="AN2270" s="158"/>
      <c r="AO2270" s="158"/>
      <c r="AP2270" s="158"/>
      <c r="AQ2270" s="158"/>
      <c r="AR2270" s="507"/>
      <c r="AS2270" s="475"/>
      <c r="AT2270" s="160"/>
    </row>
    <row r="2271" spans="1:46" ht="15" hidden="1" customHeight="1">
      <c r="A2271" s="331">
        <v>2270</v>
      </c>
      <c r="B2271" s="159" t="s">
        <v>2500</v>
      </c>
      <c r="C2271" s="159" t="s">
        <v>3484</v>
      </c>
      <c r="D2271" s="447" t="s">
        <v>8597</v>
      </c>
      <c r="E2271" s="361" t="str">
        <f t="shared" ca="1" si="146"/>
        <v>LOSS</v>
      </c>
      <c r="F2271" s="160"/>
      <c r="G2271" s="159" t="s">
        <v>10947</v>
      </c>
      <c r="H2271" s="160" t="s">
        <v>8588</v>
      </c>
      <c r="I2271" s="160" t="s">
        <v>511</v>
      </c>
      <c r="J2271" s="159"/>
      <c r="K2271" s="181" t="s">
        <v>10948</v>
      </c>
      <c r="L2271" s="158"/>
      <c r="M2271" s="158" t="s">
        <v>6788</v>
      </c>
      <c r="N2271" s="298" t="s">
        <v>6649</v>
      </c>
      <c r="O2271" s="162"/>
      <c r="P2271" s="161">
        <f>3000000*12</f>
        <v>36000000</v>
      </c>
      <c r="Q2271" s="161"/>
      <c r="R2271" s="162"/>
      <c r="S2271" s="163"/>
      <c r="T2271" s="213">
        <v>0.2</v>
      </c>
      <c r="U2271" s="342">
        <v>45778</v>
      </c>
      <c r="V2271" s="340">
        <v>46142</v>
      </c>
      <c r="W2271" s="158" t="s">
        <v>17</v>
      </c>
      <c r="X2271" s="158"/>
      <c r="Y2271" s="164">
        <f t="shared" ca="1" si="147"/>
        <v>46290</v>
      </c>
      <c r="Z2271" s="207">
        <f t="shared" ca="1" si="148"/>
        <v>-148</v>
      </c>
      <c r="AA2271" s="158">
        <f t="shared" si="151"/>
        <v>4</v>
      </c>
      <c r="AB2271" s="158">
        <f t="shared" si="150"/>
        <v>2026</v>
      </c>
      <c r="AC2271" s="159"/>
      <c r="AD2271" s="159"/>
      <c r="AE2271" s="184"/>
      <c r="AF2271" s="158" t="s">
        <v>356</v>
      </c>
      <c r="AG2271" s="160"/>
      <c r="AH2271" s="160"/>
      <c r="AI2271" s="158"/>
      <c r="AJ2271" s="158"/>
      <c r="AK2271" s="158"/>
      <c r="AL2271" s="158"/>
      <c r="AM2271" s="158"/>
      <c r="AN2271" s="158"/>
      <c r="AO2271" s="158"/>
      <c r="AP2271" s="158"/>
      <c r="AQ2271" s="158"/>
      <c r="AR2271" s="507"/>
      <c r="AS2271" s="475"/>
      <c r="AT2271" s="160"/>
    </row>
    <row r="2272" spans="1:46" ht="15" hidden="1" customHeight="1">
      <c r="A2272" s="331">
        <v>2271</v>
      </c>
      <c r="B2272" s="159" t="s">
        <v>9349</v>
      </c>
      <c r="C2272" s="28" t="s">
        <v>1619</v>
      </c>
      <c r="D2272" s="438" t="s">
        <v>1620</v>
      </c>
      <c r="E2272" s="361" t="str">
        <f t="shared" ca="1" si="146"/>
        <v>LOSS</v>
      </c>
      <c r="F2272" s="29" t="s">
        <v>7070</v>
      </c>
      <c r="G2272" s="28" t="s">
        <v>7071</v>
      </c>
      <c r="H2272" s="28" t="s">
        <v>261</v>
      </c>
      <c r="I2272" s="361" t="s">
        <v>243</v>
      </c>
      <c r="J2272" s="28" t="s">
        <v>7072</v>
      </c>
      <c r="K2272" s="38" t="s">
        <v>10949</v>
      </c>
      <c r="L2272" s="60">
        <v>0.995</v>
      </c>
      <c r="M2272" s="27" t="s">
        <v>365</v>
      </c>
      <c r="N2272" s="27" t="s">
        <v>6649</v>
      </c>
      <c r="O2272" s="56"/>
      <c r="P2272" s="52">
        <f>6000000*12</f>
        <v>72000000</v>
      </c>
      <c r="Q2272" s="52"/>
      <c r="R2272" s="56"/>
      <c r="S2272" s="32">
        <f>3000000*12</f>
        <v>36000000</v>
      </c>
      <c r="T2272" s="33"/>
      <c r="U2272" s="334">
        <v>45797</v>
      </c>
      <c r="V2272" s="334">
        <v>46161</v>
      </c>
      <c r="W2272" s="27" t="s">
        <v>250</v>
      </c>
      <c r="X2272" s="27"/>
      <c r="Y2272" s="34">
        <f t="shared" ca="1" si="147"/>
        <v>46290</v>
      </c>
      <c r="Z2272" s="35">
        <f t="shared" ca="1" si="148"/>
        <v>-129</v>
      </c>
      <c r="AA2272" s="27">
        <f t="shared" si="151"/>
        <v>5</v>
      </c>
      <c r="AB2272" s="27">
        <f t="shared" si="150"/>
        <v>2026</v>
      </c>
      <c r="AC2272" s="28" t="s">
        <v>10950</v>
      </c>
      <c r="AD2272" s="28" t="s">
        <v>10951</v>
      </c>
      <c r="AE2272" s="27">
        <v>4500025082</v>
      </c>
      <c r="AF2272" s="27" t="s">
        <v>471</v>
      </c>
      <c r="AG2272" s="160"/>
      <c r="AH2272" s="160" t="s">
        <v>10952</v>
      </c>
      <c r="AI2272" s="158"/>
      <c r="AJ2272" s="158"/>
      <c r="AK2272" s="158"/>
      <c r="AL2272" s="158"/>
      <c r="AM2272" s="158"/>
      <c r="AN2272" s="158"/>
      <c r="AO2272" s="158"/>
      <c r="AP2272" s="158"/>
      <c r="AQ2272" s="158">
        <v>167</v>
      </c>
      <c r="AR2272" s="507"/>
      <c r="AS2272" s="475"/>
      <c r="AT2272" s="160"/>
    </row>
    <row r="2273" spans="1:46" ht="15" hidden="1" customHeight="1">
      <c r="A2273" s="331">
        <v>2272</v>
      </c>
      <c r="B2273" s="159" t="s">
        <v>1043</v>
      </c>
      <c r="C2273" s="159" t="s">
        <v>10953</v>
      </c>
      <c r="D2273" s="437" t="s">
        <v>6810</v>
      </c>
      <c r="E2273" s="361" t="str">
        <f t="shared" ca="1" si="146"/>
        <v>LOSS</v>
      </c>
      <c r="F2273" s="160"/>
      <c r="G2273" s="159" t="s">
        <v>9744</v>
      </c>
      <c r="H2273" s="160" t="s">
        <v>261</v>
      </c>
      <c r="I2273" s="160" t="s">
        <v>243</v>
      </c>
      <c r="J2273" s="159" t="s">
        <v>10954</v>
      </c>
      <c r="K2273" s="181" t="s">
        <v>10955</v>
      </c>
      <c r="L2273" s="51">
        <v>0.995</v>
      </c>
      <c r="M2273" s="158" t="s">
        <v>10956</v>
      </c>
      <c r="N2273" s="158" t="s">
        <v>468</v>
      </c>
      <c r="O2273" s="162">
        <v>4000000</v>
      </c>
      <c r="P2273" s="161">
        <f>6000000*12</f>
        <v>72000000</v>
      </c>
      <c r="Q2273" s="161"/>
      <c r="R2273" s="162">
        <v>3000000</v>
      </c>
      <c r="S2273" s="163">
        <f>3500000*12</f>
        <v>42000000</v>
      </c>
      <c r="T2273" s="164"/>
      <c r="U2273" s="340">
        <v>45796</v>
      </c>
      <c r="V2273" s="340">
        <v>46160</v>
      </c>
      <c r="W2273" s="158" t="s">
        <v>250</v>
      </c>
      <c r="X2273" s="158"/>
      <c r="Y2273" s="34">
        <f t="shared" ca="1" si="147"/>
        <v>46290</v>
      </c>
      <c r="Z2273" s="35">
        <f t="shared" ca="1" si="148"/>
        <v>-130</v>
      </c>
      <c r="AA2273" s="27">
        <f t="shared" si="151"/>
        <v>5</v>
      </c>
      <c r="AB2273" s="27">
        <f t="shared" si="150"/>
        <v>2026</v>
      </c>
      <c r="AC2273" s="159" t="s">
        <v>479</v>
      </c>
      <c r="AD2273" s="159" t="s">
        <v>10957</v>
      </c>
      <c r="AE2273" s="184" t="s">
        <v>10958</v>
      </c>
      <c r="AF2273" s="27" t="s">
        <v>471</v>
      </c>
      <c r="AG2273" s="160"/>
      <c r="AH2273" s="160" t="s">
        <v>8922</v>
      </c>
      <c r="AI2273" s="158"/>
      <c r="AJ2273" s="158"/>
      <c r="AK2273" s="158"/>
      <c r="AL2273" s="158"/>
      <c r="AM2273" s="158"/>
      <c r="AN2273" s="158"/>
      <c r="AO2273" s="158"/>
      <c r="AP2273" s="158"/>
      <c r="AQ2273" s="158">
        <v>210</v>
      </c>
      <c r="AR2273" s="507"/>
      <c r="AS2273" s="475"/>
      <c r="AT2273" s="160"/>
    </row>
    <row r="2274" spans="1:46" ht="15" hidden="1" customHeight="1">
      <c r="A2274" s="331">
        <v>2273</v>
      </c>
      <c r="B2274" s="159" t="s">
        <v>2500</v>
      </c>
      <c r="C2274" s="159" t="s">
        <v>10959</v>
      </c>
      <c r="D2274" s="438" t="s">
        <v>6810</v>
      </c>
      <c r="E2274" s="361" t="str">
        <f t="shared" ca="1" si="146"/>
        <v>LOSS</v>
      </c>
      <c r="F2274" s="160"/>
      <c r="G2274" s="159" t="s">
        <v>10960</v>
      </c>
      <c r="H2274" s="160" t="s">
        <v>8588</v>
      </c>
      <c r="I2274" s="160" t="s">
        <v>511</v>
      </c>
      <c r="J2274" s="159"/>
      <c r="K2274" s="181" t="s">
        <v>10961</v>
      </c>
      <c r="L2274" s="158"/>
      <c r="M2274" s="158" t="s">
        <v>10692</v>
      </c>
      <c r="N2274" s="298" t="s">
        <v>6762</v>
      </c>
      <c r="O2274" s="162"/>
      <c r="P2274" s="161">
        <f>29992000*12</f>
        <v>359904000</v>
      </c>
      <c r="Q2274" s="161"/>
      <c r="R2274" s="162"/>
      <c r="S2274" s="293"/>
      <c r="T2274" s="213">
        <v>0.2</v>
      </c>
      <c r="U2274" s="342">
        <v>45778</v>
      </c>
      <c r="V2274" s="340">
        <v>46142</v>
      </c>
      <c r="W2274" s="158" t="s">
        <v>17</v>
      </c>
      <c r="X2274" s="158"/>
      <c r="Y2274" s="164">
        <f t="shared" ca="1" si="147"/>
        <v>46290</v>
      </c>
      <c r="Z2274" s="207">
        <f t="shared" ca="1" si="148"/>
        <v>-148</v>
      </c>
      <c r="AA2274" s="158">
        <f t="shared" si="151"/>
        <v>4</v>
      </c>
      <c r="AB2274" s="158">
        <f t="shared" si="150"/>
        <v>2026</v>
      </c>
      <c r="AC2274" s="159"/>
      <c r="AD2274" s="159"/>
      <c r="AE2274" s="184"/>
      <c r="AF2274" s="158" t="s">
        <v>356</v>
      </c>
      <c r="AG2274" s="160"/>
      <c r="AH2274" s="160"/>
      <c r="AI2274" s="158"/>
      <c r="AJ2274" s="158"/>
      <c r="AK2274" s="158"/>
      <c r="AL2274" s="158"/>
      <c r="AM2274" s="158"/>
      <c r="AN2274" s="158"/>
      <c r="AO2274" s="158"/>
      <c r="AP2274" s="158"/>
      <c r="AQ2274" s="158"/>
      <c r="AR2274" s="507"/>
      <c r="AS2274" s="475"/>
      <c r="AT2274" s="160"/>
    </row>
    <row r="2275" spans="1:46" ht="15" hidden="1" customHeight="1">
      <c r="A2275" s="331">
        <v>2274</v>
      </c>
      <c r="B2275" s="159" t="s">
        <v>1280</v>
      </c>
      <c r="C2275" s="159" t="s">
        <v>10962</v>
      </c>
      <c r="D2275" s="434" t="s">
        <v>1282</v>
      </c>
      <c r="E2275" s="361" t="str">
        <f t="shared" ca="1" si="146"/>
        <v>LOSS</v>
      </c>
      <c r="F2275" s="203" t="s">
        <v>10586</v>
      </c>
      <c r="G2275" s="159" t="s">
        <v>10587</v>
      </c>
      <c r="H2275" s="160" t="s">
        <v>261</v>
      </c>
      <c r="I2275" s="160" t="s">
        <v>243</v>
      </c>
      <c r="J2275" s="205" t="s">
        <v>10588</v>
      </c>
      <c r="K2275" s="181" t="s">
        <v>10963</v>
      </c>
      <c r="L2275" s="158" t="s">
        <v>4749</v>
      </c>
      <c r="M2275" s="158" t="s">
        <v>365</v>
      </c>
      <c r="N2275" s="158" t="s">
        <v>494</v>
      </c>
      <c r="O2275" s="162"/>
      <c r="P2275" s="161">
        <f>10000000*12</f>
        <v>120000000</v>
      </c>
      <c r="Q2275" s="161"/>
      <c r="R2275" s="162"/>
      <c r="S2275" s="163">
        <f>2000000*12</f>
        <v>24000000</v>
      </c>
      <c r="T2275" s="164"/>
      <c r="U2275" s="340">
        <v>45721</v>
      </c>
      <c r="V2275" s="340">
        <v>46085</v>
      </c>
      <c r="W2275" s="158" t="s">
        <v>250</v>
      </c>
      <c r="X2275" s="158"/>
      <c r="Y2275" s="34">
        <f t="shared" ca="1" si="147"/>
        <v>46290</v>
      </c>
      <c r="Z2275" s="35">
        <f t="shared" ca="1" si="148"/>
        <v>-205</v>
      </c>
      <c r="AA2275" s="27">
        <f>MONTH(Table1[[#This Row],[End]])</f>
        <v>3</v>
      </c>
      <c r="AB2275" s="27">
        <f t="shared" si="150"/>
        <v>2026</v>
      </c>
      <c r="AC2275" s="159" t="s">
        <v>10589</v>
      </c>
      <c r="AD2275" s="159" t="s">
        <v>10964</v>
      </c>
      <c r="AE2275" s="184" t="s">
        <v>10965</v>
      </c>
      <c r="AF2275" s="201" t="s">
        <v>471</v>
      </c>
      <c r="AG2275" s="160"/>
      <c r="AH2275" s="160" t="s">
        <v>10592</v>
      </c>
      <c r="AI2275" s="158"/>
      <c r="AJ2275" s="158"/>
      <c r="AK2275" s="158"/>
      <c r="AL2275" s="158"/>
      <c r="AM2275" s="158"/>
      <c r="AN2275" s="158"/>
      <c r="AO2275" s="158"/>
      <c r="AP2275" s="158"/>
      <c r="AQ2275" s="158">
        <v>207</v>
      </c>
      <c r="AR2275" s="507"/>
      <c r="AS2275" s="475"/>
      <c r="AT2275" s="160"/>
    </row>
    <row r="2276" spans="1:46" s="26" customFormat="1" ht="15" hidden="1" customHeight="1">
      <c r="A2276" s="331">
        <v>2275</v>
      </c>
      <c r="B2276" s="209" t="s">
        <v>8583</v>
      </c>
      <c r="C2276" s="209" t="s">
        <v>8584</v>
      </c>
      <c r="D2276" s="438" t="s">
        <v>10966</v>
      </c>
      <c r="E2276" s="361" t="str">
        <f t="shared" ca="1" si="146"/>
        <v>ON TRACK</v>
      </c>
      <c r="F2276" s="210" t="s">
        <v>8586</v>
      </c>
      <c r="G2276" s="209" t="s">
        <v>8587</v>
      </c>
      <c r="H2276" s="160" t="s">
        <v>8588</v>
      </c>
      <c r="I2276" s="160" t="s">
        <v>511</v>
      </c>
      <c r="J2276" s="159" t="s">
        <v>8589</v>
      </c>
      <c r="K2276" s="160"/>
      <c r="L2276" s="158"/>
      <c r="M2276" s="208" t="s">
        <v>365</v>
      </c>
      <c r="N2276" s="158"/>
      <c r="O2276" s="162"/>
      <c r="P2276" s="161">
        <v>48000000</v>
      </c>
      <c r="Q2276" s="161"/>
      <c r="R2276" s="162"/>
      <c r="S2276" s="211"/>
      <c r="T2276" s="212">
        <v>0.25</v>
      </c>
      <c r="U2276" s="341">
        <v>46426</v>
      </c>
      <c r="V2276" s="340">
        <v>46790</v>
      </c>
      <c r="W2276" s="158" t="s">
        <v>17</v>
      </c>
      <c r="X2276" s="158"/>
      <c r="Y2276" s="164">
        <f t="shared" ca="1" si="147"/>
        <v>46290</v>
      </c>
      <c r="Z2276" s="207">
        <f t="shared" ca="1" si="148"/>
        <v>500</v>
      </c>
      <c r="AA2276" s="158">
        <f>MONTH(V2276)</f>
        <v>2</v>
      </c>
      <c r="AB2276" s="158">
        <f t="shared" si="150"/>
        <v>2028</v>
      </c>
      <c r="AC2276" s="159"/>
      <c r="AD2276" s="159"/>
      <c r="AE2276" s="158"/>
      <c r="AF2276" s="158" t="s">
        <v>356</v>
      </c>
      <c r="AG2276" s="160"/>
      <c r="AH2276" s="160"/>
      <c r="AI2276" s="158"/>
      <c r="AJ2276" s="158"/>
      <c r="AK2276" s="158"/>
      <c r="AL2276" s="158"/>
      <c r="AM2276" s="158"/>
      <c r="AN2276" s="158"/>
      <c r="AO2276" s="158"/>
      <c r="AP2276" s="158"/>
      <c r="AQ2276" s="158"/>
      <c r="AR2276" s="507"/>
      <c r="AS2276" s="475"/>
      <c r="AT2276" s="160"/>
    </row>
    <row r="2277" spans="1:46" s="29" customFormat="1" ht="15" hidden="1" customHeight="1">
      <c r="A2277" s="331">
        <v>2276</v>
      </c>
      <c r="B2277" s="159" t="s">
        <v>37</v>
      </c>
      <c r="C2277" s="159" t="s">
        <v>10967</v>
      </c>
      <c r="D2277" s="437" t="s">
        <v>6644</v>
      </c>
      <c r="E2277" s="361" t="str">
        <f t="shared" ca="1" si="146"/>
        <v>LOSS</v>
      </c>
      <c r="F2277" s="160"/>
      <c r="G2277" s="221" t="s">
        <v>10732</v>
      </c>
      <c r="H2277" s="160" t="s">
        <v>261</v>
      </c>
      <c r="I2277" s="160" t="s">
        <v>243</v>
      </c>
      <c r="J2277" s="159" t="s">
        <v>10733</v>
      </c>
      <c r="K2277" s="181" t="s">
        <v>10734</v>
      </c>
      <c r="L2277" s="158" t="s">
        <v>4749</v>
      </c>
      <c r="M2277" s="158" t="s">
        <v>353</v>
      </c>
      <c r="N2277" s="158" t="s">
        <v>6762</v>
      </c>
      <c r="O2277" s="162">
        <f>5000000</f>
        <v>5000000</v>
      </c>
      <c r="P2277" s="161">
        <f>12*30000000</f>
        <v>360000000</v>
      </c>
      <c r="Q2277" s="161"/>
      <c r="R2277" s="162">
        <f>5000000</f>
        <v>5000000</v>
      </c>
      <c r="S2277" s="163">
        <f>12*12000000</f>
        <v>144000000</v>
      </c>
      <c r="T2277" s="164"/>
      <c r="U2277" s="340">
        <v>45796</v>
      </c>
      <c r="V2277" s="340">
        <v>46160</v>
      </c>
      <c r="W2277" s="158" t="s">
        <v>17</v>
      </c>
      <c r="X2277" s="158"/>
      <c r="Y2277" s="164">
        <f t="shared" ca="1" si="147"/>
        <v>46290</v>
      </c>
      <c r="Z2277" s="207">
        <f ca="1">Table1[[#This Row],[End]]-Table1[[#This Row],[Today]]</f>
        <v>-130</v>
      </c>
      <c r="AA2277" s="158">
        <f>MONTH(Table1[[#This Row],[End]])</f>
        <v>5</v>
      </c>
      <c r="AB2277" s="158">
        <f>YEAR(Table1[[#This Row],[End]])</f>
        <v>2026</v>
      </c>
      <c r="AC2277" s="159" t="s">
        <v>3371</v>
      </c>
      <c r="AD2277" s="159" t="s">
        <v>10968</v>
      </c>
      <c r="AE2277" s="184" t="s">
        <v>10969</v>
      </c>
      <c r="AF2277" s="201" t="s">
        <v>8995</v>
      </c>
      <c r="AG2277" s="160"/>
      <c r="AH2277" s="160"/>
      <c r="AI2277" s="158"/>
      <c r="AJ2277" s="158"/>
      <c r="AK2277" s="158"/>
      <c r="AL2277" s="158"/>
      <c r="AM2277" s="158"/>
      <c r="AN2277" s="158"/>
      <c r="AO2277" s="158"/>
      <c r="AP2277" s="158"/>
      <c r="AQ2277" s="158">
        <v>215</v>
      </c>
      <c r="AR2277" s="507"/>
      <c r="AS2277" s="475"/>
      <c r="AT2277" s="160"/>
    </row>
    <row r="2278" spans="1:46" s="26" customFormat="1" ht="15" hidden="1" customHeight="1">
      <c r="A2278" s="331">
        <v>2277</v>
      </c>
      <c r="B2278" s="299" t="s">
        <v>10970</v>
      </c>
      <c r="C2278" s="238" t="s">
        <v>8711</v>
      </c>
      <c r="D2278" s="438" t="s">
        <v>10971</v>
      </c>
      <c r="E2278" s="361" t="str">
        <f t="shared" ca="1" si="146"/>
        <v>LOSS</v>
      </c>
      <c r="F2278" s="160"/>
      <c r="G2278" s="234" t="s">
        <v>8713</v>
      </c>
      <c r="H2278" s="160" t="s">
        <v>8588</v>
      </c>
      <c r="I2278" s="160" t="s">
        <v>511</v>
      </c>
      <c r="J2278" s="159"/>
      <c r="K2278" s="181" t="s">
        <v>8714</v>
      </c>
      <c r="L2278" s="158"/>
      <c r="M2278" s="208" t="s">
        <v>329</v>
      </c>
      <c r="N2278" s="158" t="s">
        <v>354</v>
      </c>
      <c r="O2278" s="162"/>
      <c r="P2278" s="161">
        <f>3000000*12</f>
        <v>36000000</v>
      </c>
      <c r="Q2278" s="161"/>
      <c r="R2278" s="162"/>
      <c r="S2278" s="211"/>
      <c r="T2278" s="213">
        <v>0.2</v>
      </c>
      <c r="U2278" s="341">
        <v>45778</v>
      </c>
      <c r="V2278" s="340">
        <v>45777</v>
      </c>
      <c r="W2278" s="158" t="s">
        <v>250</v>
      </c>
      <c r="X2278" s="158"/>
      <c r="Y2278" s="164">
        <f t="shared" ca="1" si="147"/>
        <v>46290</v>
      </c>
      <c r="Z2278" s="207">
        <f t="shared" ref="Z2278:Z2309" ca="1" si="152">V2278-Y2278</f>
        <v>-513</v>
      </c>
      <c r="AA2278" s="158">
        <f>MONTH(V2278)</f>
        <v>4</v>
      </c>
      <c r="AB2278" s="158">
        <f>YEAR(V2278)</f>
        <v>2025</v>
      </c>
      <c r="AC2278" s="159"/>
      <c r="AD2278" s="159"/>
      <c r="AE2278" s="158"/>
      <c r="AF2278" s="158" t="s">
        <v>356</v>
      </c>
      <c r="AG2278" s="160"/>
      <c r="AH2278" s="160"/>
      <c r="AI2278" s="158"/>
      <c r="AJ2278" s="158"/>
      <c r="AK2278" s="158"/>
      <c r="AL2278" s="158"/>
      <c r="AM2278" s="158"/>
      <c r="AN2278" s="158"/>
      <c r="AO2278" s="158"/>
      <c r="AP2278" s="158"/>
      <c r="AQ2278" s="158"/>
      <c r="AR2278" s="507"/>
      <c r="AS2278" s="475"/>
      <c r="AT2278" s="160"/>
    </row>
    <row r="2279" spans="1:46" ht="15" hidden="1" customHeight="1">
      <c r="A2279" s="331">
        <v>2278</v>
      </c>
      <c r="B2279" s="159" t="s">
        <v>37</v>
      </c>
      <c r="C2279" s="159" t="s">
        <v>10737</v>
      </c>
      <c r="D2279" s="437" t="s">
        <v>6644</v>
      </c>
      <c r="E2279" s="361" t="str">
        <f t="shared" ca="1" si="146"/>
        <v>LOSS</v>
      </c>
      <c r="F2279" s="29" t="s">
        <v>6670</v>
      </c>
      <c r="G2279" s="38" t="s">
        <v>6671</v>
      </c>
      <c r="H2279" s="28" t="s">
        <v>261</v>
      </c>
      <c r="I2279" s="361" t="s">
        <v>243</v>
      </c>
      <c r="J2279" s="28" t="s">
        <v>6672</v>
      </c>
      <c r="K2279" s="38" t="s">
        <v>6673</v>
      </c>
      <c r="L2279" s="27" t="s">
        <v>4749</v>
      </c>
      <c r="M2279" s="27" t="s">
        <v>365</v>
      </c>
      <c r="N2279" s="27" t="s">
        <v>494</v>
      </c>
      <c r="O2279" s="56"/>
      <c r="P2279" s="61">
        <f>13500000*12</f>
        <v>162000000</v>
      </c>
      <c r="Q2279" s="61"/>
      <c r="R2279" s="56"/>
      <c r="S2279" s="33">
        <f>5000000*12</f>
        <v>60000000</v>
      </c>
      <c r="T2279" s="33"/>
      <c r="U2279" s="334">
        <v>45474</v>
      </c>
      <c r="V2279" s="334">
        <v>45838</v>
      </c>
      <c r="W2279" s="27" t="s">
        <v>250</v>
      </c>
      <c r="X2279" s="27"/>
      <c r="Y2279" s="34">
        <f t="shared" ca="1" si="147"/>
        <v>46290</v>
      </c>
      <c r="Z2279" s="35">
        <f t="shared" ca="1" si="152"/>
        <v>-452</v>
      </c>
      <c r="AA2279" s="27">
        <f>MONTH(V2279)</f>
        <v>6</v>
      </c>
      <c r="AB2279" s="27">
        <f>YEAR(V2279)</f>
        <v>2025</v>
      </c>
      <c r="AC2279" s="28" t="s">
        <v>6674</v>
      </c>
      <c r="AD2279" s="28" t="s">
        <v>6675</v>
      </c>
      <c r="AE2279" s="27">
        <v>4500022414</v>
      </c>
      <c r="AF2279" s="27" t="s">
        <v>471</v>
      </c>
      <c r="AG2279" s="160"/>
      <c r="AH2279" s="160"/>
      <c r="AI2279" s="158"/>
      <c r="AJ2279" s="158"/>
      <c r="AK2279" s="158"/>
      <c r="AL2279" s="158"/>
      <c r="AM2279" s="158"/>
      <c r="AN2279" s="158"/>
      <c r="AO2279" s="158"/>
      <c r="AP2279" s="158"/>
      <c r="AQ2279" s="158">
        <v>184</v>
      </c>
      <c r="AR2279" s="507"/>
      <c r="AS2279" s="475"/>
      <c r="AT2279" s="160"/>
    </row>
    <row r="2280" spans="1:46" ht="15" hidden="1" customHeight="1">
      <c r="A2280" s="331">
        <v>2279</v>
      </c>
      <c r="B2280" s="159" t="s">
        <v>1170</v>
      </c>
      <c r="C2280" s="159" t="s">
        <v>7344</v>
      </c>
      <c r="D2280" s="438" t="s">
        <v>6644</v>
      </c>
      <c r="E2280" s="361" t="str">
        <f t="shared" ca="1" si="146"/>
        <v>LOSS</v>
      </c>
      <c r="F2280" s="28" t="s">
        <v>7346</v>
      </c>
      <c r="G2280" s="28" t="s">
        <v>7347</v>
      </c>
      <c r="H2280" s="28" t="s">
        <v>261</v>
      </c>
      <c r="I2280" s="361" t="s">
        <v>243</v>
      </c>
      <c r="J2280" s="28" t="s">
        <v>7348</v>
      </c>
      <c r="K2280" s="38" t="s">
        <v>7349</v>
      </c>
      <c r="L2280" s="51" t="s">
        <v>4749</v>
      </c>
      <c r="M2280" s="27" t="s">
        <v>365</v>
      </c>
      <c r="N2280" s="27" t="s">
        <v>354</v>
      </c>
      <c r="O2280" s="56"/>
      <c r="P2280" s="52">
        <f>7027027*12</f>
        <v>84324324</v>
      </c>
      <c r="Q2280" s="52"/>
      <c r="R2280" s="56"/>
      <c r="S2280" s="32">
        <f>4500000*12</f>
        <v>54000000</v>
      </c>
      <c r="T2280" s="33"/>
      <c r="U2280" s="334">
        <v>45685</v>
      </c>
      <c r="V2280" s="334">
        <v>46049</v>
      </c>
      <c r="W2280" s="27" t="s">
        <v>250</v>
      </c>
      <c r="X2280" s="27"/>
      <c r="Y2280" s="34">
        <f t="shared" ca="1" si="147"/>
        <v>46290</v>
      </c>
      <c r="Z2280" s="35">
        <f t="shared" ca="1" si="152"/>
        <v>-241</v>
      </c>
      <c r="AA2280" s="27">
        <f>MONTH(V2280)</f>
        <v>1</v>
      </c>
      <c r="AB2280" s="27">
        <f>YEAR(V2280)</f>
        <v>2026</v>
      </c>
      <c r="AC2280" s="28" t="s">
        <v>10972</v>
      </c>
      <c r="AD2280" s="28" t="s">
        <v>10973</v>
      </c>
      <c r="AE2280" s="27">
        <v>4500024539</v>
      </c>
      <c r="AF2280" s="27" t="s">
        <v>471</v>
      </c>
      <c r="AG2280" s="160"/>
      <c r="AH2280" s="160" t="s">
        <v>10974</v>
      </c>
      <c r="AI2280" s="158"/>
      <c r="AJ2280" s="158"/>
      <c r="AK2280" s="158"/>
      <c r="AL2280" s="158"/>
      <c r="AM2280" s="158"/>
      <c r="AN2280" s="158"/>
      <c r="AO2280" s="158"/>
      <c r="AP2280" s="158"/>
      <c r="AQ2280" s="158">
        <v>21</v>
      </c>
      <c r="AR2280" s="507"/>
      <c r="AS2280" s="475"/>
      <c r="AT2280" s="160"/>
    </row>
    <row r="2281" spans="1:46" ht="15" hidden="1" customHeight="1">
      <c r="A2281" s="331">
        <v>2280</v>
      </c>
      <c r="B2281" s="159" t="s">
        <v>382</v>
      </c>
      <c r="C2281" s="159" t="s">
        <v>7504</v>
      </c>
      <c r="D2281" s="437" t="s">
        <v>384</v>
      </c>
      <c r="E2281" s="361" t="str">
        <f t="shared" ca="1" si="146"/>
        <v>LOSS</v>
      </c>
      <c r="F2281" s="29" t="s">
        <v>8930</v>
      </c>
      <c r="G2281" s="215" t="s">
        <v>8931</v>
      </c>
      <c r="H2281" s="28" t="s">
        <v>261</v>
      </c>
      <c r="I2281" s="160" t="s">
        <v>243</v>
      </c>
      <c r="J2281" s="159" t="s">
        <v>8932</v>
      </c>
      <c r="K2281" s="36"/>
      <c r="L2281" s="158" t="s">
        <v>8488</v>
      </c>
      <c r="M2281" s="27" t="s">
        <v>365</v>
      </c>
      <c r="N2281" s="27" t="s">
        <v>406</v>
      </c>
      <c r="O2281" s="162"/>
      <c r="P2281" s="161">
        <f>12*10509000</f>
        <v>126108000</v>
      </c>
      <c r="Q2281" s="161"/>
      <c r="R2281" s="162"/>
      <c r="S2281" s="163">
        <f>12*4800000</f>
        <v>57600000</v>
      </c>
      <c r="T2281" s="164"/>
      <c r="U2281" s="340">
        <v>45721</v>
      </c>
      <c r="V2281" s="340">
        <v>46085</v>
      </c>
      <c r="W2281" s="158" t="s">
        <v>245</v>
      </c>
      <c r="X2281" s="158"/>
      <c r="Y2281" s="164">
        <f t="shared" ca="1" si="147"/>
        <v>46290</v>
      </c>
      <c r="Z2281" s="35">
        <f t="shared" ca="1" si="152"/>
        <v>-205</v>
      </c>
      <c r="AA2281" s="158">
        <f>MONTH(Table1[[#This Row],[End]])</f>
        <v>3</v>
      </c>
      <c r="AB2281" s="158">
        <f>YEAR(Table1[[#This Row],[End]])</f>
        <v>2026</v>
      </c>
      <c r="AC2281" s="159"/>
      <c r="AD2281" s="159" t="s">
        <v>10975</v>
      </c>
      <c r="AE2281" s="184" t="s">
        <v>10976</v>
      </c>
      <c r="AF2281" s="201" t="s">
        <v>8995</v>
      </c>
      <c r="AG2281" s="160"/>
      <c r="AH2281" s="160" t="s">
        <v>10977</v>
      </c>
      <c r="AI2281" s="158"/>
      <c r="AJ2281" s="158"/>
      <c r="AK2281" s="158"/>
      <c r="AL2281" s="158"/>
      <c r="AM2281" s="158"/>
      <c r="AN2281" s="158"/>
      <c r="AO2281" s="158"/>
      <c r="AP2281" s="158"/>
      <c r="AQ2281" s="158">
        <v>39</v>
      </c>
      <c r="AR2281" s="507"/>
      <c r="AS2281" s="475"/>
      <c r="AT2281" s="160"/>
    </row>
    <row r="2282" spans="1:46" ht="15" hidden="1" customHeight="1">
      <c r="A2282" s="331">
        <v>2281</v>
      </c>
      <c r="B2282" s="159" t="s">
        <v>71</v>
      </c>
      <c r="C2282" s="159" t="s">
        <v>2451</v>
      </c>
      <c r="D2282" s="437" t="s">
        <v>490</v>
      </c>
      <c r="E2282" s="361" t="str">
        <f t="shared" ca="1" si="146"/>
        <v>LOSS</v>
      </c>
      <c r="F2282" s="160" t="s">
        <v>10420</v>
      </c>
      <c r="G2282" s="159" t="s">
        <v>9806</v>
      </c>
      <c r="H2282" s="160" t="s">
        <v>2748</v>
      </c>
      <c r="I2282" s="160" t="s">
        <v>242</v>
      </c>
      <c r="J2282" s="159" t="s">
        <v>212</v>
      </c>
      <c r="K2282" s="160"/>
      <c r="L2282" s="158"/>
      <c r="M2282" s="158" t="s">
        <v>7267</v>
      </c>
      <c r="N2282" s="158"/>
      <c r="O2282" s="162"/>
      <c r="P2282" s="161">
        <f>3214000*12</f>
        <v>38568000</v>
      </c>
      <c r="Q2282" s="161"/>
      <c r="R2282" s="162"/>
      <c r="S2282" s="163">
        <v>18000000</v>
      </c>
      <c r="T2282" s="164"/>
      <c r="U2282" s="340">
        <v>45790</v>
      </c>
      <c r="V2282" s="340">
        <v>46154</v>
      </c>
      <c r="W2282" s="27" t="s">
        <v>250</v>
      </c>
      <c r="X2282" s="158"/>
      <c r="Y2282" s="164">
        <f t="shared" ca="1" si="147"/>
        <v>46290</v>
      </c>
      <c r="Z2282" s="35">
        <f t="shared" ca="1" si="152"/>
        <v>-136</v>
      </c>
      <c r="AA2282" s="158">
        <f>MONTH(Table1[[#This Row],[End]])</f>
        <v>5</v>
      </c>
      <c r="AB2282" s="158">
        <f>YEAR(Table1[[#This Row],[End]])</f>
        <v>2026</v>
      </c>
      <c r="AC2282" s="159">
        <v>4500022942</v>
      </c>
      <c r="AD2282" s="159" t="s">
        <v>10978</v>
      </c>
      <c r="AE2282" s="184" t="s">
        <v>10979</v>
      </c>
      <c r="AF2282" s="158" t="s">
        <v>333</v>
      </c>
      <c r="AG2282" s="160"/>
      <c r="AH2282" s="160"/>
      <c r="AI2282" s="158"/>
      <c r="AJ2282" s="158"/>
      <c r="AK2282" s="158"/>
      <c r="AL2282" s="158"/>
      <c r="AM2282" s="158"/>
      <c r="AN2282" s="158"/>
      <c r="AO2282" s="158"/>
      <c r="AP2282" s="158"/>
      <c r="AQ2282" s="158">
        <v>155</v>
      </c>
      <c r="AR2282" s="507"/>
      <c r="AS2282" s="475"/>
      <c r="AT2282" s="160"/>
    </row>
    <row r="2283" spans="1:46" ht="15" hidden="1" customHeight="1">
      <c r="A2283" s="331">
        <v>2282</v>
      </c>
      <c r="B2283" s="159" t="s">
        <v>71</v>
      </c>
      <c r="C2283" s="159" t="s">
        <v>8828</v>
      </c>
      <c r="D2283" s="437" t="s">
        <v>490</v>
      </c>
      <c r="E2283" s="361" t="str">
        <f t="shared" ca="1" si="146"/>
        <v>LOSS</v>
      </c>
      <c r="F2283" s="160" t="s">
        <v>10980</v>
      </c>
      <c r="G2283" s="159" t="s">
        <v>10980</v>
      </c>
      <c r="H2283" s="160" t="s">
        <v>2748</v>
      </c>
      <c r="I2283" s="160" t="s">
        <v>242</v>
      </c>
      <c r="J2283" s="216" t="s">
        <v>10981</v>
      </c>
      <c r="K2283" s="216" t="s">
        <v>10982</v>
      </c>
      <c r="L2283" s="158"/>
      <c r="M2283" s="158" t="s">
        <v>6776</v>
      </c>
      <c r="N2283" s="190" t="s">
        <v>6762</v>
      </c>
      <c r="O2283" s="162"/>
      <c r="P2283" s="161">
        <f>33602703*12</f>
        <v>403232436</v>
      </c>
      <c r="Q2283" s="161"/>
      <c r="R2283" s="162"/>
      <c r="S2283" s="163">
        <v>144000000</v>
      </c>
      <c r="T2283" s="164"/>
      <c r="U2283" s="340">
        <v>45798</v>
      </c>
      <c r="V2283" s="340">
        <v>46162</v>
      </c>
      <c r="W2283" s="27" t="s">
        <v>250</v>
      </c>
      <c r="X2283" s="158"/>
      <c r="Y2283" s="164">
        <f t="shared" ca="1" si="147"/>
        <v>46290</v>
      </c>
      <c r="Z2283" s="35">
        <f t="shared" ca="1" si="152"/>
        <v>-128</v>
      </c>
      <c r="AA2283" s="158">
        <f>MONTH(Table1[[#This Row],[End]])</f>
        <v>5</v>
      </c>
      <c r="AB2283" s="158">
        <f>YEAR(Table1[[#This Row],[End]])</f>
        <v>2026</v>
      </c>
      <c r="AC2283" s="159" t="s">
        <v>10983</v>
      </c>
      <c r="AD2283" s="159" t="s">
        <v>10984</v>
      </c>
      <c r="AE2283" s="184" t="s">
        <v>10985</v>
      </c>
      <c r="AF2283" s="158" t="s">
        <v>333</v>
      </c>
      <c r="AG2283" s="160"/>
      <c r="AH2283" s="160"/>
      <c r="AI2283" s="158"/>
      <c r="AJ2283" s="158"/>
      <c r="AK2283" s="158"/>
      <c r="AL2283" s="158"/>
      <c r="AM2283" s="158"/>
      <c r="AN2283" s="158"/>
      <c r="AO2283" s="158"/>
      <c r="AP2283" s="158"/>
      <c r="AQ2283" s="158">
        <v>156</v>
      </c>
      <c r="AR2283" s="507"/>
      <c r="AS2283" s="475"/>
      <c r="AT2283" s="160"/>
    </row>
    <row r="2284" spans="1:46" ht="15" hidden="1" customHeight="1">
      <c r="A2284" s="331">
        <v>2283</v>
      </c>
      <c r="B2284" s="159" t="s">
        <v>71</v>
      </c>
      <c r="C2284" s="159" t="s">
        <v>522</v>
      </c>
      <c r="D2284" s="438" t="s">
        <v>10986</v>
      </c>
      <c r="E2284" s="361" t="str">
        <f t="shared" ca="1" si="146"/>
        <v>LOSS</v>
      </c>
      <c r="F2284" s="160"/>
      <c r="G2284" s="159" t="s">
        <v>10987</v>
      </c>
      <c r="H2284" s="160" t="s">
        <v>2748</v>
      </c>
      <c r="I2284" s="160" t="s">
        <v>242</v>
      </c>
      <c r="J2284" s="205" t="s">
        <v>81</v>
      </c>
      <c r="K2284" s="292"/>
      <c r="L2284" s="158"/>
      <c r="M2284" s="158" t="s">
        <v>365</v>
      </c>
      <c r="N2284" s="158"/>
      <c r="O2284" s="162"/>
      <c r="P2284" s="161">
        <f>14000000*12</f>
        <v>168000000</v>
      </c>
      <c r="Q2284" s="161"/>
      <c r="R2284" s="162"/>
      <c r="S2284" s="163">
        <v>18000000</v>
      </c>
      <c r="T2284" s="164"/>
      <c r="U2284" s="340">
        <v>45832</v>
      </c>
      <c r="V2284" s="340">
        <v>46196</v>
      </c>
      <c r="W2284" s="27" t="s">
        <v>250</v>
      </c>
      <c r="X2284" s="158"/>
      <c r="Y2284" s="164">
        <f t="shared" ca="1" si="147"/>
        <v>46290</v>
      </c>
      <c r="Z2284" s="35">
        <f t="shared" ca="1" si="152"/>
        <v>-94</v>
      </c>
      <c r="AA2284" s="158">
        <f>MONTH(Table1[[#This Row],[End]])</f>
        <v>6</v>
      </c>
      <c r="AB2284" s="158">
        <f>YEAR(Table1[[#This Row],[End]])</f>
        <v>2026</v>
      </c>
      <c r="AC2284" s="194" t="s">
        <v>10988</v>
      </c>
      <c r="AD2284" s="182" t="s">
        <v>10989</v>
      </c>
      <c r="AE2284" s="184" t="s">
        <v>10990</v>
      </c>
      <c r="AF2284" s="158" t="s">
        <v>333</v>
      </c>
      <c r="AG2284" s="160"/>
      <c r="AH2284" s="160"/>
      <c r="AI2284" s="158"/>
      <c r="AJ2284" s="158"/>
      <c r="AK2284" s="158"/>
      <c r="AL2284" s="158"/>
      <c r="AM2284" s="158"/>
      <c r="AN2284" s="158"/>
      <c r="AO2284" s="158"/>
      <c r="AP2284" s="158"/>
      <c r="AQ2284" s="158">
        <v>147</v>
      </c>
      <c r="AR2284" s="507"/>
      <c r="AS2284" s="475"/>
      <c r="AT2284" s="160"/>
    </row>
    <row r="2285" spans="1:46" ht="15" hidden="1" customHeight="1">
      <c r="A2285" s="331">
        <v>2284</v>
      </c>
      <c r="B2285" s="159" t="s">
        <v>71</v>
      </c>
      <c r="C2285" s="159" t="s">
        <v>522</v>
      </c>
      <c r="D2285" s="437" t="s">
        <v>10991</v>
      </c>
      <c r="E2285" s="361" t="str">
        <f t="shared" ca="1" si="146"/>
        <v>LOSS</v>
      </c>
      <c r="F2285" s="160"/>
      <c r="G2285" s="159" t="s">
        <v>10987</v>
      </c>
      <c r="H2285" s="160" t="s">
        <v>2748</v>
      </c>
      <c r="I2285" s="160" t="s">
        <v>242</v>
      </c>
      <c r="J2285" s="205" t="s">
        <v>81</v>
      </c>
      <c r="K2285" s="292"/>
      <c r="L2285" s="158"/>
      <c r="M2285" s="158" t="s">
        <v>365</v>
      </c>
      <c r="N2285" s="158"/>
      <c r="O2285" s="162"/>
      <c r="P2285" s="161">
        <f>14000000*12</f>
        <v>168000000</v>
      </c>
      <c r="Q2285" s="161"/>
      <c r="R2285" s="162"/>
      <c r="S2285" s="163">
        <v>18000000</v>
      </c>
      <c r="T2285" s="164"/>
      <c r="U2285" s="340">
        <v>45832</v>
      </c>
      <c r="V2285" s="340">
        <v>46196</v>
      </c>
      <c r="W2285" s="27" t="s">
        <v>250</v>
      </c>
      <c r="X2285" s="158"/>
      <c r="Y2285" s="164">
        <f t="shared" ca="1" si="147"/>
        <v>46290</v>
      </c>
      <c r="Z2285" s="35">
        <f t="shared" ca="1" si="152"/>
        <v>-94</v>
      </c>
      <c r="AA2285" s="158">
        <f>MONTH(Table1[[#This Row],[End]])</f>
        <v>6</v>
      </c>
      <c r="AB2285" s="158">
        <f>YEAR(Table1[[#This Row],[End]])</f>
        <v>2026</v>
      </c>
      <c r="AC2285" s="159" t="s">
        <v>10992</v>
      </c>
      <c r="AD2285" s="159" t="s">
        <v>10993</v>
      </c>
      <c r="AE2285" s="184" t="s">
        <v>10994</v>
      </c>
      <c r="AF2285" s="158" t="s">
        <v>333</v>
      </c>
      <c r="AG2285" s="160"/>
      <c r="AH2285" s="160"/>
      <c r="AI2285" s="158"/>
      <c r="AJ2285" s="158"/>
      <c r="AK2285" s="158"/>
      <c r="AL2285" s="158"/>
      <c r="AM2285" s="158"/>
      <c r="AN2285" s="158"/>
      <c r="AO2285" s="158"/>
      <c r="AP2285" s="158"/>
      <c r="AQ2285" s="158">
        <v>148</v>
      </c>
      <c r="AR2285" s="507"/>
      <c r="AS2285" s="475"/>
      <c r="AT2285" s="160"/>
    </row>
    <row r="2286" spans="1:46" ht="15" hidden="1" customHeight="1">
      <c r="A2286" s="331">
        <v>2285</v>
      </c>
      <c r="B2286" s="159" t="s">
        <v>71</v>
      </c>
      <c r="C2286" s="159" t="s">
        <v>615</v>
      </c>
      <c r="D2286" s="438" t="s">
        <v>10995</v>
      </c>
      <c r="E2286" s="361" t="str">
        <f t="shared" ca="1" si="146"/>
        <v>LOSS</v>
      </c>
      <c r="F2286" s="160" t="s">
        <v>10996</v>
      </c>
      <c r="G2286" s="159" t="s">
        <v>10997</v>
      </c>
      <c r="H2286" s="160" t="s">
        <v>2748</v>
      </c>
      <c r="I2286" s="160" t="s">
        <v>242</v>
      </c>
      <c r="J2286" s="159"/>
      <c r="K2286" s="181" t="s">
        <v>10998</v>
      </c>
      <c r="L2286" s="158"/>
      <c r="M2286" s="158" t="s">
        <v>365</v>
      </c>
      <c r="N2286" s="158" t="s">
        <v>6885</v>
      </c>
      <c r="O2286" s="162"/>
      <c r="P2286" s="161">
        <f>4500000*12</f>
        <v>54000000</v>
      </c>
      <c r="Q2286" s="161"/>
      <c r="R2286" s="162"/>
      <c r="S2286" s="163">
        <v>18000000</v>
      </c>
      <c r="T2286" s="164"/>
      <c r="U2286" s="340">
        <v>45824</v>
      </c>
      <c r="V2286" s="340">
        <v>46188</v>
      </c>
      <c r="W2286" s="27" t="s">
        <v>250</v>
      </c>
      <c r="X2286" s="158"/>
      <c r="Y2286" s="164">
        <f t="shared" ca="1" si="147"/>
        <v>46290</v>
      </c>
      <c r="Z2286" s="35">
        <f t="shared" ca="1" si="152"/>
        <v>-102</v>
      </c>
      <c r="AA2286" s="158">
        <f>MONTH(Table1[[#This Row],[End]])</f>
        <v>6</v>
      </c>
      <c r="AB2286" s="158">
        <f>YEAR(Table1[[#This Row],[End]])</f>
        <v>2026</v>
      </c>
      <c r="AC2286" s="159" t="s">
        <v>10999</v>
      </c>
      <c r="AD2286" s="159" t="s">
        <v>11000</v>
      </c>
      <c r="AE2286" s="184" t="s">
        <v>11001</v>
      </c>
      <c r="AF2286" s="158" t="s">
        <v>333</v>
      </c>
      <c r="AG2286" s="160"/>
      <c r="AH2286" s="160"/>
      <c r="AI2286" s="158"/>
      <c r="AJ2286" s="158"/>
      <c r="AK2286" s="158"/>
      <c r="AL2286" s="158"/>
      <c r="AM2286" s="158"/>
      <c r="AN2286" s="158"/>
      <c r="AO2286" s="158"/>
      <c r="AP2286" s="158"/>
      <c r="AQ2286" s="158">
        <v>184</v>
      </c>
      <c r="AR2286" s="507"/>
      <c r="AS2286" s="475"/>
      <c r="AT2286" s="160"/>
    </row>
    <row r="2287" spans="1:46" ht="15" hidden="1" customHeight="1">
      <c r="A2287" s="331">
        <v>2286</v>
      </c>
      <c r="B2287" s="159" t="s">
        <v>71</v>
      </c>
      <c r="C2287" s="159" t="s">
        <v>1000</v>
      </c>
      <c r="D2287" s="437" t="s">
        <v>11002</v>
      </c>
      <c r="E2287" s="361" t="str">
        <f t="shared" ca="1" si="146"/>
        <v>LOSS</v>
      </c>
      <c r="F2287" s="160"/>
      <c r="G2287" s="159" t="s">
        <v>11003</v>
      </c>
      <c r="H2287" s="160" t="s">
        <v>2748</v>
      </c>
      <c r="I2287" s="160" t="s">
        <v>242</v>
      </c>
      <c r="J2287" s="159" t="s">
        <v>11004</v>
      </c>
      <c r="K2287" s="160"/>
      <c r="L2287" s="158"/>
      <c r="M2287" s="158" t="s">
        <v>329</v>
      </c>
      <c r="N2287" s="158"/>
      <c r="O2287" s="162">
        <f>9009009</f>
        <v>9009009</v>
      </c>
      <c r="P2287" s="161">
        <f>12*7090090</f>
        <v>85081080</v>
      </c>
      <c r="Q2287" s="161"/>
      <c r="R2287" s="162">
        <v>1500000</v>
      </c>
      <c r="S2287" s="163">
        <v>18000000</v>
      </c>
      <c r="T2287" s="164"/>
      <c r="U2287" s="340">
        <v>45796</v>
      </c>
      <c r="V2287" s="340">
        <v>46160</v>
      </c>
      <c r="W2287" s="27" t="s">
        <v>250</v>
      </c>
      <c r="X2287" s="158"/>
      <c r="Y2287" s="164">
        <f t="shared" ca="1" si="147"/>
        <v>46290</v>
      </c>
      <c r="Z2287" s="35">
        <f t="shared" ca="1" si="152"/>
        <v>-130</v>
      </c>
      <c r="AA2287" s="158">
        <f>MONTH(Table1[[#This Row],[End]])</f>
        <v>5</v>
      </c>
      <c r="AB2287" s="158">
        <f>YEAR(Table1[[#This Row],[End]])</f>
        <v>2026</v>
      </c>
      <c r="AC2287" s="159" t="s">
        <v>479</v>
      </c>
      <c r="AD2287" s="159" t="s">
        <v>11005</v>
      </c>
      <c r="AE2287" s="184" t="s">
        <v>11006</v>
      </c>
      <c r="AF2287" s="158" t="s">
        <v>333</v>
      </c>
      <c r="AG2287" s="160"/>
      <c r="AH2287" s="160"/>
      <c r="AI2287" s="158"/>
      <c r="AJ2287" s="158"/>
      <c r="AK2287" s="158"/>
      <c r="AL2287" s="158"/>
      <c r="AM2287" s="158"/>
      <c r="AN2287" s="158"/>
      <c r="AO2287" s="158"/>
      <c r="AP2287" s="158"/>
      <c r="AQ2287" s="158">
        <v>185</v>
      </c>
      <c r="AR2287" s="507"/>
      <c r="AS2287" s="475"/>
      <c r="AT2287" s="160"/>
    </row>
    <row r="2288" spans="1:46" ht="15" hidden="1" customHeight="1">
      <c r="A2288" s="331">
        <v>2287</v>
      </c>
      <c r="B2288" s="159" t="s">
        <v>71</v>
      </c>
      <c r="C2288" s="159" t="s">
        <v>11007</v>
      </c>
      <c r="D2288" s="438" t="s">
        <v>11008</v>
      </c>
      <c r="E2288" s="361" t="str">
        <f t="shared" ca="1" si="146"/>
        <v>LOSS</v>
      </c>
      <c r="F2288" s="160" t="s">
        <v>11009</v>
      </c>
      <c r="G2288" s="159" t="s">
        <v>11010</v>
      </c>
      <c r="H2288" s="160" t="s">
        <v>2748</v>
      </c>
      <c r="I2288" s="160" t="s">
        <v>242</v>
      </c>
      <c r="J2288" s="159" t="s">
        <v>11011</v>
      </c>
      <c r="K2288" s="160"/>
      <c r="L2288" s="158"/>
      <c r="M2288" s="158" t="s">
        <v>329</v>
      </c>
      <c r="N2288" s="158" t="s">
        <v>6885</v>
      </c>
      <c r="O2288" s="162"/>
      <c r="P2288" s="161">
        <f>1850000*12</f>
        <v>22200000</v>
      </c>
      <c r="Q2288" s="161"/>
      <c r="R2288" s="162"/>
      <c r="S2288" s="163">
        <v>36000000</v>
      </c>
      <c r="T2288" s="164"/>
      <c r="U2288" s="340">
        <v>45807</v>
      </c>
      <c r="V2288" s="340">
        <v>46171</v>
      </c>
      <c r="W2288" s="27" t="s">
        <v>250</v>
      </c>
      <c r="X2288" s="158"/>
      <c r="Y2288" s="164">
        <f t="shared" ca="1" si="147"/>
        <v>46290</v>
      </c>
      <c r="Z2288" s="35">
        <f t="shared" ca="1" si="152"/>
        <v>-119</v>
      </c>
      <c r="AA2288" s="158">
        <f>MONTH(Table1[[#This Row],[End]])</f>
        <v>5</v>
      </c>
      <c r="AB2288" s="158">
        <f>YEAR(Table1[[#This Row],[End]])</f>
        <v>2026</v>
      </c>
      <c r="AC2288" s="159" t="s">
        <v>11012</v>
      </c>
      <c r="AD2288" s="182" t="s">
        <v>11013</v>
      </c>
      <c r="AE2288" s="184" t="s">
        <v>11014</v>
      </c>
      <c r="AF2288" s="158" t="s">
        <v>333</v>
      </c>
      <c r="AG2288" s="160"/>
      <c r="AH2288" s="160"/>
      <c r="AI2288" s="158"/>
      <c r="AJ2288" s="158"/>
      <c r="AK2288" s="158"/>
      <c r="AL2288" s="158"/>
      <c r="AM2288" s="158"/>
      <c r="AN2288" s="158"/>
      <c r="AO2288" s="158"/>
      <c r="AP2288" s="158"/>
      <c r="AQ2288" s="158">
        <v>157</v>
      </c>
      <c r="AR2288" s="507"/>
      <c r="AS2288" s="475"/>
      <c r="AT2288" s="160"/>
    </row>
    <row r="2289" spans="1:46" ht="15" hidden="1" customHeight="1">
      <c r="A2289" s="331">
        <v>2288</v>
      </c>
      <c r="B2289" s="159" t="s">
        <v>71</v>
      </c>
      <c r="C2289" s="159" t="s">
        <v>9077</v>
      </c>
      <c r="D2289" s="437" t="s">
        <v>11015</v>
      </c>
      <c r="E2289" s="361" t="str">
        <f t="shared" ca="1" si="146"/>
        <v>LOSS</v>
      </c>
      <c r="F2289" s="160" t="s">
        <v>11016</v>
      </c>
      <c r="G2289" s="159" t="s">
        <v>11017</v>
      </c>
      <c r="H2289" s="160" t="s">
        <v>2748</v>
      </c>
      <c r="I2289" s="160" t="s">
        <v>242</v>
      </c>
      <c r="J2289" s="159" t="s">
        <v>96</v>
      </c>
      <c r="K2289" s="160"/>
      <c r="L2289" s="158"/>
      <c r="M2289" s="158" t="s">
        <v>7267</v>
      </c>
      <c r="N2289" s="158" t="s">
        <v>373</v>
      </c>
      <c r="O2289" s="162"/>
      <c r="P2289" s="161">
        <f>42800000*12</f>
        <v>513600000</v>
      </c>
      <c r="Q2289" s="161"/>
      <c r="R2289" s="162"/>
      <c r="S2289" s="163">
        <v>72000000</v>
      </c>
      <c r="T2289" s="164"/>
      <c r="U2289" s="340">
        <v>45855</v>
      </c>
      <c r="V2289" s="340">
        <v>46219</v>
      </c>
      <c r="W2289" s="27" t="s">
        <v>245</v>
      </c>
      <c r="X2289" s="158"/>
      <c r="Y2289" s="164">
        <f t="shared" ca="1" si="147"/>
        <v>46290</v>
      </c>
      <c r="Z2289" s="35">
        <f t="shared" ca="1" si="152"/>
        <v>-71</v>
      </c>
      <c r="AA2289" s="158">
        <f>MONTH(Table1[[#This Row],[End]])</f>
        <v>7</v>
      </c>
      <c r="AB2289" s="158">
        <f>YEAR(Table1[[#This Row],[End]])</f>
        <v>2026</v>
      </c>
      <c r="AC2289" s="159" t="s">
        <v>11018</v>
      </c>
      <c r="AD2289" s="159" t="s">
        <v>11019</v>
      </c>
      <c r="AE2289" s="184" t="s">
        <v>11020</v>
      </c>
      <c r="AF2289" s="158" t="s">
        <v>333</v>
      </c>
      <c r="AG2289" s="160"/>
      <c r="AH2289" s="160"/>
      <c r="AI2289" s="158"/>
      <c r="AJ2289" s="158"/>
      <c r="AK2289" s="158"/>
      <c r="AL2289" s="158"/>
      <c r="AM2289" s="158"/>
      <c r="AN2289" s="158"/>
      <c r="AO2289" s="158"/>
      <c r="AP2289" s="158"/>
      <c r="AQ2289" s="158">
        <v>202</v>
      </c>
      <c r="AR2289" s="507"/>
      <c r="AS2289" s="475"/>
      <c r="AT2289" s="160"/>
    </row>
    <row r="2290" spans="1:46" ht="15" hidden="1" customHeight="1">
      <c r="A2290" s="331">
        <v>2289</v>
      </c>
      <c r="B2290" s="159" t="s">
        <v>37</v>
      </c>
      <c r="C2290" s="159" t="s">
        <v>8936</v>
      </c>
      <c r="D2290" s="437" t="s">
        <v>6644</v>
      </c>
      <c r="E2290" s="361" t="str">
        <f t="shared" ca="1" si="146"/>
        <v>LOSS</v>
      </c>
      <c r="F2290" s="160"/>
      <c r="G2290" s="182" t="s">
        <v>9025</v>
      </c>
      <c r="H2290" s="160" t="s">
        <v>2748</v>
      </c>
      <c r="I2290" s="160" t="s">
        <v>242</v>
      </c>
      <c r="J2290" s="159" t="s">
        <v>40</v>
      </c>
      <c r="K2290" s="160"/>
      <c r="L2290" s="158"/>
      <c r="M2290" s="158" t="s">
        <v>7091</v>
      </c>
      <c r="N2290" s="158" t="s">
        <v>389</v>
      </c>
      <c r="O2290" s="162"/>
      <c r="P2290" s="161">
        <f>12*12450000</f>
        <v>149400000</v>
      </c>
      <c r="Q2290" s="161"/>
      <c r="R2290" s="162"/>
      <c r="S2290" s="163">
        <v>60000000</v>
      </c>
      <c r="T2290" s="164"/>
      <c r="U2290" s="340">
        <v>45834</v>
      </c>
      <c r="V2290" s="340">
        <v>46198</v>
      </c>
      <c r="W2290" s="27" t="s">
        <v>245</v>
      </c>
      <c r="X2290" s="158"/>
      <c r="Y2290" s="164">
        <f t="shared" ca="1" si="147"/>
        <v>46290</v>
      </c>
      <c r="Z2290" s="35">
        <f t="shared" ca="1" si="152"/>
        <v>-92</v>
      </c>
      <c r="AA2290" s="158">
        <f>MONTH(Table1[[#This Row],[End]])</f>
        <v>6</v>
      </c>
      <c r="AB2290" s="158">
        <f>YEAR(Table1[[#This Row],[End]])</f>
        <v>2026</v>
      </c>
      <c r="AC2290" s="159" t="s">
        <v>11021</v>
      </c>
      <c r="AD2290" s="182" t="s">
        <v>11022</v>
      </c>
      <c r="AE2290" s="184" t="s">
        <v>11023</v>
      </c>
      <c r="AF2290" s="158" t="s">
        <v>333</v>
      </c>
      <c r="AG2290" s="160"/>
      <c r="AH2290" s="160"/>
      <c r="AI2290" s="158"/>
      <c r="AJ2290" s="158"/>
      <c r="AK2290" s="158"/>
      <c r="AL2290" s="158"/>
      <c r="AM2290" s="158"/>
      <c r="AN2290" s="158"/>
      <c r="AO2290" s="158"/>
      <c r="AP2290" s="158"/>
      <c r="AQ2290" s="158">
        <v>158</v>
      </c>
      <c r="AR2290" s="507"/>
      <c r="AS2290" s="475"/>
      <c r="AT2290" s="160"/>
    </row>
    <row r="2291" spans="1:46" ht="15" hidden="1" customHeight="1">
      <c r="A2291" s="331">
        <v>2290</v>
      </c>
      <c r="B2291" s="159" t="s">
        <v>37</v>
      </c>
      <c r="C2291" s="159" t="s">
        <v>972</v>
      </c>
      <c r="D2291" s="437" t="s">
        <v>6644</v>
      </c>
      <c r="E2291" s="361" t="str">
        <f t="shared" ca="1" si="146"/>
        <v>LOSS</v>
      </c>
      <c r="F2291" s="160" t="s">
        <v>11024</v>
      </c>
      <c r="G2291" s="159" t="s">
        <v>9859</v>
      </c>
      <c r="H2291" s="160" t="s">
        <v>2748</v>
      </c>
      <c r="I2291" s="160" t="s">
        <v>242</v>
      </c>
      <c r="J2291" s="205" t="s">
        <v>42</v>
      </c>
      <c r="K2291" s="160"/>
      <c r="L2291" s="158"/>
      <c r="M2291" s="158" t="s">
        <v>329</v>
      </c>
      <c r="N2291" s="158" t="s">
        <v>6835</v>
      </c>
      <c r="O2291" s="162"/>
      <c r="P2291" s="161">
        <f>3000000*12</f>
        <v>36000000</v>
      </c>
      <c r="Q2291" s="161"/>
      <c r="R2291" s="162"/>
      <c r="S2291" s="163">
        <v>15000000</v>
      </c>
      <c r="T2291" s="164"/>
      <c r="U2291" s="340">
        <v>45787</v>
      </c>
      <c r="V2291" s="340">
        <v>46151</v>
      </c>
      <c r="W2291" s="27" t="s">
        <v>250</v>
      </c>
      <c r="X2291" s="158"/>
      <c r="Y2291" s="164">
        <f t="shared" ca="1" si="147"/>
        <v>46290</v>
      </c>
      <c r="Z2291" s="35">
        <f t="shared" ca="1" si="152"/>
        <v>-139</v>
      </c>
      <c r="AA2291" s="158">
        <f>MONTH(Table1[[#This Row],[End]])</f>
        <v>5</v>
      </c>
      <c r="AB2291" s="158">
        <f>YEAR(Table1[[#This Row],[End]])</f>
        <v>2026</v>
      </c>
      <c r="AC2291" s="159" t="s">
        <v>11025</v>
      </c>
      <c r="AD2291" s="159" t="s">
        <v>11026</v>
      </c>
      <c r="AE2291" s="184" t="s">
        <v>11027</v>
      </c>
      <c r="AF2291" s="158" t="s">
        <v>333</v>
      </c>
      <c r="AG2291" s="160"/>
      <c r="AH2291" s="160"/>
      <c r="AI2291" s="158"/>
      <c r="AJ2291" s="158"/>
      <c r="AK2291" s="158"/>
      <c r="AL2291" s="158"/>
      <c r="AM2291" s="158"/>
      <c r="AN2291" s="158"/>
      <c r="AO2291" s="158"/>
      <c r="AP2291" s="158"/>
      <c r="AQ2291" s="158">
        <v>153</v>
      </c>
      <c r="AR2291" s="507"/>
      <c r="AS2291" s="475"/>
      <c r="AT2291" s="160"/>
    </row>
    <row r="2292" spans="1:46" ht="15" hidden="1" customHeight="1">
      <c r="A2292" s="331">
        <v>2291</v>
      </c>
      <c r="B2292" s="159" t="s">
        <v>37</v>
      </c>
      <c r="C2292" s="159" t="s">
        <v>1764</v>
      </c>
      <c r="D2292" s="438" t="s">
        <v>11028</v>
      </c>
      <c r="E2292" s="361" t="str">
        <f t="shared" ca="1" si="146"/>
        <v>LOSS</v>
      </c>
      <c r="F2292" s="160" t="s">
        <v>11029</v>
      </c>
      <c r="G2292" s="159" t="s">
        <v>11030</v>
      </c>
      <c r="H2292" s="160" t="s">
        <v>2748</v>
      </c>
      <c r="I2292" s="160" t="s">
        <v>242</v>
      </c>
      <c r="J2292" s="159" t="s">
        <v>11031</v>
      </c>
      <c r="K2292" s="219">
        <v>221202002571</v>
      </c>
      <c r="L2292" s="158"/>
      <c r="M2292" s="158" t="s">
        <v>7267</v>
      </c>
      <c r="N2292" s="158" t="s">
        <v>406</v>
      </c>
      <c r="O2292" s="162"/>
      <c r="P2292" s="161">
        <f>20000000*12</f>
        <v>240000000</v>
      </c>
      <c r="Q2292" s="161"/>
      <c r="R2292" s="162"/>
      <c r="S2292" s="163">
        <v>21000000</v>
      </c>
      <c r="T2292" s="164"/>
      <c r="U2292" s="340">
        <v>45769</v>
      </c>
      <c r="V2292" s="340">
        <v>46133</v>
      </c>
      <c r="W2292" s="27" t="s">
        <v>250</v>
      </c>
      <c r="X2292" s="158"/>
      <c r="Y2292" s="164">
        <f t="shared" ca="1" si="147"/>
        <v>46290</v>
      </c>
      <c r="Z2292" s="35">
        <f t="shared" ca="1" si="152"/>
        <v>-157</v>
      </c>
      <c r="AA2292" s="158">
        <f>MONTH(Table1[[#This Row],[End]])</f>
        <v>4</v>
      </c>
      <c r="AB2292" s="158">
        <f>YEAR(Table1[[#This Row],[End]])</f>
        <v>2026</v>
      </c>
      <c r="AC2292" s="159" t="s">
        <v>11032</v>
      </c>
      <c r="AD2292" s="159" t="s">
        <v>11033</v>
      </c>
      <c r="AE2292" s="184" t="s">
        <v>11034</v>
      </c>
      <c r="AF2292" s="158" t="s">
        <v>333</v>
      </c>
      <c r="AG2292" s="160"/>
      <c r="AH2292" s="160"/>
      <c r="AI2292" s="158"/>
      <c r="AJ2292" s="158"/>
      <c r="AK2292" s="158"/>
      <c r="AL2292" s="158"/>
      <c r="AM2292" s="158"/>
      <c r="AN2292" s="158"/>
      <c r="AO2292" s="158"/>
      <c r="AP2292" s="158"/>
      <c r="AQ2292" s="158">
        <v>188</v>
      </c>
      <c r="AR2292" s="507"/>
      <c r="AS2292" s="475"/>
      <c r="AT2292" s="160"/>
    </row>
    <row r="2293" spans="1:46" ht="15" hidden="1" customHeight="1">
      <c r="A2293" s="331">
        <v>2292</v>
      </c>
      <c r="B2293" s="159" t="s">
        <v>37</v>
      </c>
      <c r="C2293" s="159" t="s">
        <v>11035</v>
      </c>
      <c r="D2293" s="437" t="s">
        <v>11036</v>
      </c>
      <c r="E2293" s="361" t="str">
        <f t="shared" ca="1" si="146"/>
        <v>LOSS</v>
      </c>
      <c r="F2293" s="160" t="s">
        <v>11037</v>
      </c>
      <c r="G2293" s="159" t="s">
        <v>11038</v>
      </c>
      <c r="H2293" s="160" t="s">
        <v>2748</v>
      </c>
      <c r="I2293" s="160" t="s">
        <v>242</v>
      </c>
      <c r="J2293" s="159"/>
      <c r="K2293" s="160" t="s">
        <v>11039</v>
      </c>
      <c r="L2293" s="158"/>
      <c r="M2293" s="158" t="s">
        <v>11040</v>
      </c>
      <c r="N2293" s="158" t="s">
        <v>8363</v>
      </c>
      <c r="O2293" s="162"/>
      <c r="P2293" s="161">
        <f>18000000*12</f>
        <v>216000000</v>
      </c>
      <c r="Q2293" s="161"/>
      <c r="R2293" s="162"/>
      <c r="S2293" s="163">
        <f>120000000/5</f>
        <v>24000000</v>
      </c>
      <c r="T2293" s="164"/>
      <c r="U2293" s="340">
        <v>44407</v>
      </c>
      <c r="V2293" s="340">
        <v>46232</v>
      </c>
      <c r="W2293" s="27" t="s">
        <v>250</v>
      </c>
      <c r="X2293" s="158"/>
      <c r="Y2293" s="164">
        <f t="shared" ca="1" si="147"/>
        <v>46290</v>
      </c>
      <c r="Z2293" s="35">
        <f t="shared" ca="1" si="152"/>
        <v>-58</v>
      </c>
      <c r="AA2293" s="158">
        <f>MONTH(Table1[[#This Row],[End]])</f>
        <v>7</v>
      </c>
      <c r="AB2293" s="158">
        <f>YEAR(Table1[[#This Row],[End]])</f>
        <v>2026</v>
      </c>
      <c r="AC2293" s="159" t="s">
        <v>11041</v>
      </c>
      <c r="AD2293" s="159" t="s">
        <v>11042</v>
      </c>
      <c r="AE2293" s="184" t="s">
        <v>11043</v>
      </c>
      <c r="AF2293" s="158" t="s">
        <v>333</v>
      </c>
      <c r="AG2293" s="160"/>
      <c r="AH2293" s="160"/>
      <c r="AI2293" s="158"/>
      <c r="AJ2293" s="158"/>
      <c r="AK2293" s="158"/>
      <c r="AL2293" s="158"/>
      <c r="AM2293" s="158"/>
      <c r="AN2293" s="158"/>
      <c r="AO2293" s="158"/>
      <c r="AP2293" s="158"/>
      <c r="AQ2293" s="158">
        <v>103</v>
      </c>
      <c r="AR2293" s="507"/>
      <c r="AS2293" s="475"/>
      <c r="AT2293" s="160"/>
    </row>
    <row r="2294" spans="1:46" ht="15" hidden="1" customHeight="1">
      <c r="A2294" s="331">
        <v>2293</v>
      </c>
      <c r="B2294" s="159" t="s">
        <v>37</v>
      </c>
      <c r="C2294" s="159" t="s">
        <v>11044</v>
      </c>
      <c r="D2294" s="438" t="s">
        <v>11045</v>
      </c>
      <c r="E2294" s="361" t="str">
        <f t="shared" ca="1" si="146"/>
        <v>CRITICAL</v>
      </c>
      <c r="F2294" s="160" t="s">
        <v>11046</v>
      </c>
      <c r="G2294" s="159" t="s">
        <v>11047</v>
      </c>
      <c r="H2294" s="160" t="s">
        <v>2748</v>
      </c>
      <c r="I2294" s="160" t="s">
        <v>242</v>
      </c>
      <c r="J2294" s="159"/>
      <c r="K2294" s="160" t="s">
        <v>11048</v>
      </c>
      <c r="L2294" s="158"/>
      <c r="M2294" s="158" t="s">
        <v>365</v>
      </c>
      <c r="N2294" s="158" t="s">
        <v>6885</v>
      </c>
      <c r="O2294" s="162"/>
      <c r="P2294" s="161">
        <f>2100000*12</f>
        <v>25200000</v>
      </c>
      <c r="Q2294" s="161"/>
      <c r="R2294" s="162"/>
      <c r="S2294" s="163">
        <f>48000000/2</f>
        <v>24000000</v>
      </c>
      <c r="T2294" s="164"/>
      <c r="U2294" s="340">
        <v>45565</v>
      </c>
      <c r="V2294" s="340">
        <v>46294</v>
      </c>
      <c r="W2294" s="27" t="s">
        <v>17</v>
      </c>
      <c r="X2294" s="158"/>
      <c r="Y2294" s="164">
        <f t="shared" ca="1" si="147"/>
        <v>46290</v>
      </c>
      <c r="Z2294" s="35">
        <f t="shared" ca="1" si="152"/>
        <v>4</v>
      </c>
      <c r="AA2294" s="158">
        <f>MONTH(Table1[[#This Row],[End]])</f>
        <v>9</v>
      </c>
      <c r="AB2294" s="158">
        <f>YEAR(Table1[[#This Row],[End]])</f>
        <v>2026</v>
      </c>
      <c r="AC2294" s="159" t="s">
        <v>11049</v>
      </c>
      <c r="AD2294" s="159" t="s">
        <v>11050</v>
      </c>
      <c r="AE2294" s="184" t="s">
        <v>11051</v>
      </c>
      <c r="AF2294" s="158" t="s">
        <v>333</v>
      </c>
      <c r="AG2294" s="160"/>
      <c r="AH2294" s="160"/>
      <c r="AI2294" s="158"/>
      <c r="AJ2294" s="158"/>
      <c r="AK2294" s="158"/>
      <c r="AL2294" s="158"/>
      <c r="AM2294" s="158"/>
      <c r="AN2294" s="158"/>
      <c r="AO2294" s="158"/>
      <c r="AP2294" s="158"/>
      <c r="AQ2294" s="158">
        <v>205</v>
      </c>
      <c r="AR2294" s="507"/>
      <c r="AS2294" s="475"/>
      <c r="AT2294" s="160"/>
    </row>
    <row r="2295" spans="1:46" ht="15" hidden="1" customHeight="1">
      <c r="A2295" s="331">
        <v>2294</v>
      </c>
      <c r="B2295" s="159" t="s">
        <v>169</v>
      </c>
      <c r="C2295" s="159" t="s">
        <v>1192</v>
      </c>
      <c r="D2295" s="438" t="s">
        <v>377</v>
      </c>
      <c r="E2295" s="361" t="str">
        <f t="shared" ca="1" si="146"/>
        <v>LOSS</v>
      </c>
      <c r="F2295" s="160"/>
      <c r="G2295" s="159" t="s">
        <v>11052</v>
      </c>
      <c r="H2295" s="160" t="s">
        <v>2748</v>
      </c>
      <c r="I2295" s="160" t="s">
        <v>242</v>
      </c>
      <c r="J2295" s="159"/>
      <c r="K2295" s="219">
        <v>110120400006</v>
      </c>
      <c r="L2295" s="158"/>
      <c r="M2295" s="158" t="s">
        <v>8854</v>
      </c>
      <c r="N2295" s="158" t="s">
        <v>9374</v>
      </c>
      <c r="O2295" s="162"/>
      <c r="P2295" s="161">
        <f>200000000*12</f>
        <v>2400000000</v>
      </c>
      <c r="Q2295" s="161"/>
      <c r="R2295" s="162"/>
      <c r="S2295" s="163">
        <v>36000000</v>
      </c>
      <c r="T2295" s="164"/>
      <c r="U2295" s="340">
        <v>45732</v>
      </c>
      <c r="V2295" s="340">
        <v>46096</v>
      </c>
      <c r="W2295" s="27" t="s">
        <v>17</v>
      </c>
      <c r="X2295" s="158"/>
      <c r="Y2295" s="164">
        <f t="shared" ca="1" si="147"/>
        <v>46290</v>
      </c>
      <c r="Z2295" s="35">
        <f t="shared" ca="1" si="152"/>
        <v>-194</v>
      </c>
      <c r="AA2295" s="158">
        <f>MONTH(Table1[[#This Row],[End]])</f>
        <v>3</v>
      </c>
      <c r="AB2295" s="158">
        <f>YEAR(Table1[[#This Row],[End]])</f>
        <v>2026</v>
      </c>
      <c r="AC2295" s="159" t="s">
        <v>11053</v>
      </c>
      <c r="AD2295" s="182" t="s">
        <v>11054</v>
      </c>
      <c r="AE2295" s="184" t="s">
        <v>11055</v>
      </c>
      <c r="AF2295" s="158" t="s">
        <v>333</v>
      </c>
      <c r="AG2295" s="160"/>
      <c r="AH2295" s="160"/>
      <c r="AI2295" s="158"/>
      <c r="AJ2295" s="158"/>
      <c r="AK2295" s="158"/>
      <c r="AL2295" s="158"/>
      <c r="AM2295" s="158"/>
      <c r="AN2295" s="158"/>
      <c r="AO2295" s="158"/>
      <c r="AP2295" s="158"/>
      <c r="AQ2295" s="158">
        <v>146</v>
      </c>
      <c r="AR2295" s="507"/>
      <c r="AS2295" s="475"/>
      <c r="AT2295" s="160"/>
    </row>
    <row r="2296" spans="1:46" ht="15" hidden="1" customHeight="1">
      <c r="A2296" s="331">
        <v>2295</v>
      </c>
      <c r="B2296" s="159" t="s">
        <v>169</v>
      </c>
      <c r="C2296" s="159" t="s">
        <v>1274</v>
      </c>
      <c r="D2296" s="438" t="s">
        <v>862</v>
      </c>
      <c r="E2296" s="361" t="str">
        <f t="shared" ca="1" si="146"/>
        <v>LOSS</v>
      </c>
      <c r="F2296" s="160"/>
      <c r="G2296" s="159" t="s">
        <v>9576</v>
      </c>
      <c r="H2296" s="160" t="s">
        <v>2748</v>
      </c>
      <c r="I2296" s="160" t="s">
        <v>242</v>
      </c>
      <c r="J2296" s="159"/>
      <c r="K2296" s="160"/>
      <c r="L2296" s="158"/>
      <c r="M2296" s="158" t="s">
        <v>329</v>
      </c>
      <c r="N2296" s="158"/>
      <c r="O2296" s="162"/>
      <c r="P2296" s="161"/>
      <c r="Q2296" s="161"/>
      <c r="R2296" s="162"/>
      <c r="S2296" s="163">
        <v>18000000</v>
      </c>
      <c r="T2296" s="164"/>
      <c r="U2296" s="340">
        <v>45794</v>
      </c>
      <c r="V2296" s="340">
        <v>46158</v>
      </c>
      <c r="W2296" s="27" t="s">
        <v>17</v>
      </c>
      <c r="X2296" s="158"/>
      <c r="Y2296" s="164">
        <f t="shared" ca="1" si="147"/>
        <v>46290</v>
      </c>
      <c r="Z2296" s="35">
        <f t="shared" ca="1" si="152"/>
        <v>-132</v>
      </c>
      <c r="AA2296" s="158">
        <f>MONTH(Table1[[#This Row],[End]])</f>
        <v>5</v>
      </c>
      <c r="AB2296" s="158">
        <f>YEAR(Table1[[#This Row],[End]])</f>
        <v>2026</v>
      </c>
      <c r="AC2296" s="159" t="s">
        <v>11056</v>
      </c>
      <c r="AD2296" s="159" t="s">
        <v>11057</v>
      </c>
      <c r="AE2296" s="184" t="s">
        <v>11058</v>
      </c>
      <c r="AF2296" s="158" t="s">
        <v>333</v>
      </c>
      <c r="AG2296" s="160"/>
      <c r="AH2296" s="160"/>
      <c r="AI2296" s="158"/>
      <c r="AJ2296" s="158"/>
      <c r="AK2296" s="158"/>
      <c r="AL2296" s="158"/>
      <c r="AM2296" s="158"/>
      <c r="AN2296" s="158"/>
      <c r="AO2296" s="158"/>
      <c r="AP2296" s="158"/>
      <c r="AQ2296" s="158">
        <v>145</v>
      </c>
      <c r="AR2296" s="507"/>
      <c r="AS2296" s="475"/>
      <c r="AT2296" s="160"/>
    </row>
    <row r="2297" spans="1:46" ht="15" hidden="1" customHeight="1">
      <c r="A2297" s="331">
        <v>2296</v>
      </c>
      <c r="B2297" s="159" t="s">
        <v>169</v>
      </c>
      <c r="C2297" s="159" t="s">
        <v>344</v>
      </c>
      <c r="D2297" s="437" t="s">
        <v>11059</v>
      </c>
      <c r="E2297" s="361" t="str">
        <f t="shared" ca="1" si="146"/>
        <v>LOSS</v>
      </c>
      <c r="F2297" s="160"/>
      <c r="G2297" s="159" t="s">
        <v>8853</v>
      </c>
      <c r="H2297" s="160" t="s">
        <v>2748</v>
      </c>
      <c r="I2297" s="160" t="s">
        <v>242</v>
      </c>
      <c r="J2297" s="159"/>
      <c r="K2297" s="160"/>
      <c r="L2297" s="158"/>
      <c r="M2297" s="158" t="s">
        <v>365</v>
      </c>
      <c r="N2297" s="158"/>
      <c r="O2297" s="162"/>
      <c r="P2297" s="161"/>
      <c r="Q2297" s="161"/>
      <c r="R2297" s="162"/>
      <c r="S2297" s="163">
        <v>36000000</v>
      </c>
      <c r="T2297" s="164"/>
      <c r="U2297" s="340">
        <v>45693</v>
      </c>
      <c r="V2297" s="340">
        <v>46057</v>
      </c>
      <c r="W2297" s="27" t="s">
        <v>17</v>
      </c>
      <c r="X2297" s="158"/>
      <c r="Y2297" s="164">
        <f t="shared" ca="1" si="147"/>
        <v>46290</v>
      </c>
      <c r="Z2297" s="35">
        <f t="shared" ca="1" si="152"/>
        <v>-233</v>
      </c>
      <c r="AA2297" s="158">
        <f>MONTH(Table1[[#This Row],[End]])</f>
        <v>2</v>
      </c>
      <c r="AB2297" s="158">
        <f>YEAR(Table1[[#This Row],[End]])</f>
        <v>2026</v>
      </c>
      <c r="AC2297" s="159" t="s">
        <v>11060</v>
      </c>
      <c r="AD2297" s="159" t="s">
        <v>11061</v>
      </c>
      <c r="AE2297" s="184" t="s">
        <v>11062</v>
      </c>
      <c r="AF2297" s="158" t="s">
        <v>339</v>
      </c>
      <c r="AG2297" s="160"/>
      <c r="AH2297" s="160"/>
      <c r="AI2297" s="158"/>
      <c r="AJ2297" s="158"/>
      <c r="AK2297" s="158"/>
      <c r="AL2297" s="158"/>
      <c r="AM2297" s="158"/>
      <c r="AN2297" s="158"/>
      <c r="AO2297" s="158"/>
      <c r="AP2297" s="158"/>
      <c r="AQ2297" s="158">
        <v>170</v>
      </c>
      <c r="AR2297" s="507"/>
      <c r="AS2297" s="475"/>
      <c r="AT2297" s="160"/>
    </row>
    <row r="2298" spans="1:46" ht="15" hidden="1" customHeight="1">
      <c r="A2298" s="331">
        <v>2297</v>
      </c>
      <c r="B2298" s="159" t="s">
        <v>169</v>
      </c>
      <c r="C2298" s="159" t="s">
        <v>344</v>
      </c>
      <c r="D2298" s="438" t="s">
        <v>377</v>
      </c>
      <c r="E2298" s="361" t="str">
        <f t="shared" ca="1" si="146"/>
        <v>LOSS</v>
      </c>
      <c r="F2298" s="160"/>
      <c r="G2298" s="159" t="s">
        <v>8853</v>
      </c>
      <c r="H2298" s="160" t="s">
        <v>2748</v>
      </c>
      <c r="I2298" s="160" t="s">
        <v>346</v>
      </c>
      <c r="J2298" s="159"/>
      <c r="K2298" s="181" t="s">
        <v>11063</v>
      </c>
      <c r="L2298" s="158"/>
      <c r="M2298" s="158" t="s">
        <v>365</v>
      </c>
      <c r="N2298" s="158"/>
      <c r="O2298" s="162"/>
      <c r="P2298" s="161"/>
      <c r="Q2298" s="161"/>
      <c r="R2298" s="162"/>
      <c r="S2298" s="163">
        <v>1391000000</v>
      </c>
      <c r="T2298" s="164"/>
      <c r="U2298" s="340">
        <v>45717</v>
      </c>
      <c r="V2298" s="340">
        <v>46081</v>
      </c>
      <c r="W2298" s="27" t="s">
        <v>17</v>
      </c>
      <c r="X2298" s="158"/>
      <c r="Y2298" s="164">
        <f t="shared" ca="1" si="147"/>
        <v>46290</v>
      </c>
      <c r="Z2298" s="35">
        <f t="shared" ca="1" si="152"/>
        <v>-209</v>
      </c>
      <c r="AA2298" s="158">
        <f>MONTH(Table1[[#This Row],[End]])</f>
        <v>2</v>
      </c>
      <c r="AB2298" s="158">
        <f>YEAR(Table1[[#This Row],[End]])</f>
        <v>2026</v>
      </c>
      <c r="AC2298" s="28" t="s">
        <v>11064</v>
      </c>
      <c r="AD2298" s="28" t="s">
        <v>11065</v>
      </c>
      <c r="AE2298" s="364">
        <v>4500025638</v>
      </c>
      <c r="AF2298" s="158" t="s">
        <v>339</v>
      </c>
      <c r="AG2298" s="160"/>
      <c r="AH2298" s="160"/>
      <c r="AI2298" s="158"/>
      <c r="AJ2298" s="158"/>
      <c r="AK2298" s="158"/>
      <c r="AL2298" s="158"/>
      <c r="AM2298" s="158"/>
      <c r="AN2298" s="158"/>
      <c r="AO2298" s="158"/>
      <c r="AP2298" s="158"/>
      <c r="AQ2298" s="158">
        <v>169</v>
      </c>
      <c r="AR2298" s="507"/>
      <c r="AS2298" s="475"/>
      <c r="AT2298" s="160"/>
    </row>
    <row r="2299" spans="1:46" ht="15" hidden="1" customHeight="1">
      <c r="A2299" s="331">
        <v>2298</v>
      </c>
      <c r="B2299" s="28" t="s">
        <v>129</v>
      </c>
      <c r="C2299" s="159" t="s">
        <v>2446</v>
      </c>
      <c r="D2299" s="438" t="s">
        <v>2447</v>
      </c>
      <c r="E2299" s="361" t="str">
        <f t="shared" ca="1" si="146"/>
        <v>LOSS</v>
      </c>
      <c r="F2299" s="160" t="s">
        <v>11066</v>
      </c>
      <c r="G2299" s="159" t="s">
        <v>11067</v>
      </c>
      <c r="H2299" s="160" t="s">
        <v>2748</v>
      </c>
      <c r="I2299" s="160" t="s">
        <v>346</v>
      </c>
      <c r="J2299" s="205" t="s">
        <v>2699</v>
      </c>
      <c r="K2299" s="160"/>
      <c r="L2299" s="158"/>
      <c r="M2299" s="158" t="s">
        <v>365</v>
      </c>
      <c r="N2299" s="158" t="s">
        <v>6762</v>
      </c>
      <c r="O2299" s="162"/>
      <c r="P2299" s="161">
        <f>47000000*12</f>
        <v>564000000</v>
      </c>
      <c r="Q2299" s="161"/>
      <c r="R2299" s="162"/>
      <c r="S2299" s="163">
        <v>28350000</v>
      </c>
      <c r="T2299" s="164"/>
      <c r="U2299" s="340">
        <v>45800</v>
      </c>
      <c r="V2299" s="340">
        <v>46164</v>
      </c>
      <c r="W2299" s="27" t="s">
        <v>250</v>
      </c>
      <c r="X2299" s="158"/>
      <c r="Y2299" s="164">
        <f t="shared" ca="1" si="147"/>
        <v>46290</v>
      </c>
      <c r="Z2299" s="35">
        <f t="shared" ca="1" si="152"/>
        <v>-126</v>
      </c>
      <c r="AA2299" s="158">
        <f>MONTH(Table1[[#This Row],[End]])</f>
        <v>5</v>
      </c>
      <c r="AB2299" s="158">
        <f>YEAR(Table1[[#This Row],[End]])</f>
        <v>2026</v>
      </c>
      <c r="AC2299" s="159" t="s">
        <v>11068</v>
      </c>
      <c r="AD2299" s="182" t="s">
        <v>11069</v>
      </c>
      <c r="AE2299" s="184" t="s">
        <v>11070</v>
      </c>
      <c r="AF2299" s="158" t="s">
        <v>333</v>
      </c>
      <c r="AG2299" s="160"/>
      <c r="AH2299" s="160"/>
      <c r="AI2299" s="158"/>
      <c r="AJ2299" s="158"/>
      <c r="AK2299" s="158"/>
      <c r="AL2299" s="158"/>
      <c r="AM2299" s="158"/>
      <c r="AN2299" s="158"/>
      <c r="AO2299" s="158"/>
      <c r="AP2299" s="158"/>
      <c r="AQ2299" s="158">
        <v>181</v>
      </c>
      <c r="AR2299" s="507"/>
      <c r="AS2299" s="475"/>
      <c r="AT2299" s="160"/>
    </row>
    <row r="2300" spans="1:46" ht="15" hidden="1" customHeight="1">
      <c r="A2300" s="331">
        <v>2299</v>
      </c>
      <c r="B2300" s="28" t="s">
        <v>129</v>
      </c>
      <c r="C2300" s="159" t="s">
        <v>11071</v>
      </c>
      <c r="D2300" s="438" t="s">
        <v>2447</v>
      </c>
      <c r="E2300" s="361" t="str">
        <f t="shared" ca="1" si="146"/>
        <v>LOSS</v>
      </c>
      <c r="F2300" s="160"/>
      <c r="G2300" s="159" t="s">
        <v>11072</v>
      </c>
      <c r="H2300" s="160" t="s">
        <v>2748</v>
      </c>
      <c r="I2300" s="160" t="s">
        <v>346</v>
      </c>
      <c r="J2300" s="159" t="s">
        <v>11073</v>
      </c>
      <c r="K2300" s="160"/>
      <c r="L2300" s="158"/>
      <c r="M2300" s="158" t="s">
        <v>10153</v>
      </c>
      <c r="N2300" s="158" t="s">
        <v>362</v>
      </c>
      <c r="O2300" s="162"/>
      <c r="P2300" s="161">
        <f>7500000*12</f>
        <v>90000000</v>
      </c>
      <c r="Q2300" s="161"/>
      <c r="R2300" s="162"/>
      <c r="S2300" s="163">
        <v>36120000</v>
      </c>
      <c r="T2300" s="164"/>
      <c r="U2300" s="340">
        <v>45827</v>
      </c>
      <c r="V2300" s="340">
        <v>46191</v>
      </c>
      <c r="W2300" s="27" t="s">
        <v>17</v>
      </c>
      <c r="X2300" s="158"/>
      <c r="Y2300" s="164">
        <f t="shared" ca="1" si="147"/>
        <v>46290</v>
      </c>
      <c r="Z2300" s="35">
        <f t="shared" ca="1" si="152"/>
        <v>-99</v>
      </c>
      <c r="AA2300" s="158">
        <f>MONTH(Table1[[#This Row],[End]])</f>
        <v>6</v>
      </c>
      <c r="AB2300" s="158">
        <f>YEAR(Table1[[#This Row],[End]])</f>
        <v>2026</v>
      </c>
      <c r="AC2300" s="159" t="s">
        <v>11074</v>
      </c>
      <c r="AD2300" s="159" t="s">
        <v>11075</v>
      </c>
      <c r="AE2300" s="184" t="s">
        <v>11076</v>
      </c>
      <c r="AF2300" s="158" t="s">
        <v>333</v>
      </c>
      <c r="AG2300" s="160"/>
      <c r="AH2300" s="160"/>
      <c r="AI2300" s="158"/>
      <c r="AJ2300" s="158"/>
      <c r="AK2300" s="158"/>
      <c r="AL2300" s="158"/>
      <c r="AM2300" s="158"/>
      <c r="AN2300" s="158"/>
      <c r="AO2300" s="158"/>
      <c r="AP2300" s="158"/>
      <c r="AQ2300" s="158">
        <v>182</v>
      </c>
      <c r="AR2300" s="507"/>
      <c r="AS2300" s="475"/>
      <c r="AT2300" s="160"/>
    </row>
    <row r="2301" spans="1:46" ht="15" hidden="1" customHeight="1">
      <c r="A2301" s="331">
        <v>2300</v>
      </c>
      <c r="B2301" s="28" t="s">
        <v>129</v>
      </c>
      <c r="C2301" s="159" t="s">
        <v>2692</v>
      </c>
      <c r="D2301" s="437" t="s">
        <v>2507</v>
      </c>
      <c r="E2301" s="361" t="str">
        <f t="shared" ca="1" si="146"/>
        <v>LOSS</v>
      </c>
      <c r="F2301" s="160" t="s">
        <v>11077</v>
      </c>
      <c r="G2301" s="159" t="s">
        <v>11078</v>
      </c>
      <c r="H2301" s="160" t="s">
        <v>2748</v>
      </c>
      <c r="I2301" s="160" t="s">
        <v>346</v>
      </c>
      <c r="J2301" s="159"/>
      <c r="K2301" s="217" t="s">
        <v>9628</v>
      </c>
      <c r="L2301" s="158"/>
      <c r="M2301" s="158" t="s">
        <v>365</v>
      </c>
      <c r="N2301" s="158" t="s">
        <v>396</v>
      </c>
      <c r="O2301" s="162"/>
      <c r="P2301" s="161">
        <f>9400000*12</f>
        <v>112800000</v>
      </c>
      <c r="Q2301" s="161"/>
      <c r="R2301" s="162"/>
      <c r="S2301" s="163">
        <v>79380000</v>
      </c>
      <c r="T2301" s="164"/>
      <c r="U2301" s="340">
        <v>45760</v>
      </c>
      <c r="V2301" s="340">
        <v>46124</v>
      </c>
      <c r="W2301" s="27" t="s">
        <v>250</v>
      </c>
      <c r="X2301" s="158"/>
      <c r="Y2301" s="164">
        <f t="shared" ca="1" si="147"/>
        <v>46290</v>
      </c>
      <c r="Z2301" s="35">
        <f t="shared" ca="1" si="152"/>
        <v>-166</v>
      </c>
      <c r="AA2301" s="158">
        <f>MONTH(Table1[[#This Row],[End]])</f>
        <v>4</v>
      </c>
      <c r="AB2301" s="158">
        <f>YEAR(Table1[[#This Row],[End]])</f>
        <v>2026</v>
      </c>
      <c r="AC2301" s="159" t="s">
        <v>11079</v>
      </c>
      <c r="AD2301" s="182" t="s">
        <v>11080</v>
      </c>
      <c r="AE2301" s="184" t="s">
        <v>11081</v>
      </c>
      <c r="AF2301" s="158" t="s">
        <v>333</v>
      </c>
      <c r="AG2301" s="160"/>
      <c r="AH2301" s="160"/>
      <c r="AI2301" s="158"/>
      <c r="AJ2301" s="158"/>
      <c r="AK2301" s="158"/>
      <c r="AL2301" s="158"/>
      <c r="AM2301" s="158"/>
      <c r="AN2301" s="158"/>
      <c r="AO2301" s="158"/>
      <c r="AP2301" s="158"/>
      <c r="AQ2301" s="158">
        <v>183</v>
      </c>
      <c r="AR2301" s="507"/>
      <c r="AS2301" s="475"/>
      <c r="AT2301" s="160"/>
    </row>
    <row r="2302" spans="1:46" ht="15" hidden="1" customHeight="1">
      <c r="A2302" s="331">
        <v>2301</v>
      </c>
      <c r="B2302" s="28" t="s">
        <v>129</v>
      </c>
      <c r="C2302" s="159" t="s">
        <v>11082</v>
      </c>
      <c r="D2302" s="438" t="s">
        <v>11083</v>
      </c>
      <c r="E2302" s="361" t="str">
        <f t="shared" ca="1" si="146"/>
        <v>WARNING</v>
      </c>
      <c r="F2302" s="160" t="s">
        <v>11084</v>
      </c>
      <c r="G2302" s="159" t="s">
        <v>11085</v>
      </c>
      <c r="H2302" s="160" t="s">
        <v>2748</v>
      </c>
      <c r="I2302" s="160" t="s">
        <v>346</v>
      </c>
      <c r="J2302" s="159"/>
      <c r="K2302" s="181" t="s">
        <v>11086</v>
      </c>
      <c r="L2302" s="158"/>
      <c r="M2302" s="158" t="s">
        <v>329</v>
      </c>
      <c r="N2302" s="158"/>
      <c r="O2302" s="162"/>
      <c r="P2302" s="161">
        <f>3183000*12</f>
        <v>38196000</v>
      </c>
      <c r="Q2302" s="161"/>
      <c r="R2302" s="162"/>
      <c r="S2302" s="163">
        <v>30975000</v>
      </c>
      <c r="T2302" s="164"/>
      <c r="U2302" s="340">
        <v>45946</v>
      </c>
      <c r="V2302" s="340">
        <v>46310</v>
      </c>
      <c r="W2302" s="27" t="s">
        <v>250</v>
      </c>
      <c r="X2302" s="158"/>
      <c r="Y2302" s="164">
        <f t="shared" ca="1" si="147"/>
        <v>46290</v>
      </c>
      <c r="Z2302" s="35">
        <f t="shared" ca="1" si="152"/>
        <v>20</v>
      </c>
      <c r="AA2302" s="158">
        <f>MONTH(Table1[[#This Row],[End]])</f>
        <v>10</v>
      </c>
      <c r="AB2302" s="158">
        <f>YEAR(Table1[[#This Row],[End]])</f>
        <v>2026</v>
      </c>
      <c r="AC2302" s="159" t="s">
        <v>11087</v>
      </c>
      <c r="AD2302" s="159" t="s">
        <v>11088</v>
      </c>
      <c r="AE2302" s="184" t="s">
        <v>11089</v>
      </c>
      <c r="AF2302" s="158" t="s">
        <v>333</v>
      </c>
      <c r="AG2302" s="160"/>
      <c r="AH2302" s="160"/>
      <c r="AI2302" s="158"/>
      <c r="AJ2302" s="158"/>
      <c r="AK2302" s="158"/>
      <c r="AL2302" s="158"/>
      <c r="AM2302" s="158"/>
      <c r="AN2302" s="158"/>
      <c r="AO2302" s="158"/>
      <c r="AP2302" s="158"/>
      <c r="AQ2302" s="158">
        <v>189</v>
      </c>
      <c r="AR2302" s="507"/>
      <c r="AS2302" s="475"/>
      <c r="AT2302" s="160"/>
    </row>
    <row r="2303" spans="1:46" ht="15" hidden="1" customHeight="1">
      <c r="A2303" s="331">
        <v>2302</v>
      </c>
      <c r="B2303" s="28" t="s">
        <v>129</v>
      </c>
      <c r="C2303" s="159" t="s">
        <v>11082</v>
      </c>
      <c r="D2303" s="437" t="s">
        <v>11090</v>
      </c>
      <c r="E2303" s="361" t="str">
        <f t="shared" ca="1" si="146"/>
        <v>LOSS</v>
      </c>
      <c r="F2303" s="160" t="s">
        <v>11084</v>
      </c>
      <c r="G2303" s="159" t="s">
        <v>11091</v>
      </c>
      <c r="H2303" s="160" t="s">
        <v>2748</v>
      </c>
      <c r="I2303" s="160" t="s">
        <v>346</v>
      </c>
      <c r="J2303" s="205" t="s">
        <v>131</v>
      </c>
      <c r="K2303" s="217">
        <v>111205024440</v>
      </c>
      <c r="L2303" s="158"/>
      <c r="M2303" s="158" t="s">
        <v>329</v>
      </c>
      <c r="N2303" s="158"/>
      <c r="O2303" s="162"/>
      <c r="P2303" s="161">
        <f>2950200*12</f>
        <v>35402400</v>
      </c>
      <c r="Q2303" s="161"/>
      <c r="R2303" s="162"/>
      <c r="S2303" s="163">
        <v>38850000</v>
      </c>
      <c r="T2303" s="164"/>
      <c r="U2303" s="340">
        <v>45722</v>
      </c>
      <c r="V2303" s="340">
        <v>46086</v>
      </c>
      <c r="W2303" s="27" t="s">
        <v>250</v>
      </c>
      <c r="X2303" s="158"/>
      <c r="Y2303" s="164">
        <f t="shared" ca="1" si="147"/>
        <v>46290</v>
      </c>
      <c r="Z2303" s="35">
        <f t="shared" ca="1" si="152"/>
        <v>-204</v>
      </c>
      <c r="AA2303" s="158">
        <f>MONTH(Table1[[#This Row],[End]])</f>
        <v>3</v>
      </c>
      <c r="AB2303" s="158">
        <f>YEAR(Table1[[#This Row],[End]])</f>
        <v>2026</v>
      </c>
      <c r="AC2303" s="159">
        <v>4500022547</v>
      </c>
      <c r="AD2303" s="182" t="s">
        <v>11092</v>
      </c>
      <c r="AE2303" s="184" t="s">
        <v>11093</v>
      </c>
      <c r="AF2303" s="158" t="s">
        <v>333</v>
      </c>
      <c r="AG2303" s="160"/>
      <c r="AH2303" s="160"/>
      <c r="AI2303" s="158"/>
      <c r="AJ2303" s="158"/>
      <c r="AK2303" s="158"/>
      <c r="AL2303" s="158"/>
      <c r="AM2303" s="158"/>
      <c r="AN2303" s="158"/>
      <c r="AO2303" s="158"/>
      <c r="AP2303" s="158"/>
      <c r="AQ2303" s="158">
        <v>190</v>
      </c>
      <c r="AR2303" s="507"/>
      <c r="AS2303" s="475"/>
      <c r="AT2303" s="160"/>
    </row>
    <row r="2304" spans="1:46" ht="15" hidden="1" customHeight="1">
      <c r="A2304" s="331">
        <v>2303</v>
      </c>
      <c r="B2304" s="159" t="s">
        <v>221</v>
      </c>
      <c r="C2304" s="159" t="s">
        <v>997</v>
      </c>
      <c r="D2304" s="438" t="s">
        <v>369</v>
      </c>
      <c r="E2304" s="361" t="str">
        <f t="shared" ca="1" si="146"/>
        <v>LOSS</v>
      </c>
      <c r="F2304" s="160" t="s">
        <v>11094</v>
      </c>
      <c r="G2304" s="159" t="s">
        <v>7986</v>
      </c>
      <c r="H2304" s="160" t="s">
        <v>2748</v>
      </c>
      <c r="I2304" s="160" t="s">
        <v>242</v>
      </c>
      <c r="J2304" s="205" t="s">
        <v>7987</v>
      </c>
      <c r="K2304" s="205" t="s">
        <v>11095</v>
      </c>
      <c r="L2304" s="158"/>
      <c r="M2304" s="158" t="s">
        <v>365</v>
      </c>
      <c r="N2304" s="158" t="s">
        <v>6885</v>
      </c>
      <c r="O2304" s="162"/>
      <c r="P2304" s="161">
        <f>2000000*12</f>
        <v>24000000</v>
      </c>
      <c r="Q2304" s="161"/>
      <c r="R2304" s="162"/>
      <c r="S2304" s="163">
        <v>6000000</v>
      </c>
      <c r="T2304" s="164"/>
      <c r="U2304" s="340">
        <v>45732</v>
      </c>
      <c r="V2304" s="340">
        <v>46096</v>
      </c>
      <c r="W2304" s="27" t="s">
        <v>250</v>
      </c>
      <c r="X2304" s="158"/>
      <c r="Y2304" s="164">
        <f t="shared" ca="1" si="147"/>
        <v>46290</v>
      </c>
      <c r="Z2304" s="35">
        <f t="shared" ca="1" si="152"/>
        <v>-194</v>
      </c>
      <c r="AA2304" s="158">
        <f>MONTH(Table1[[#This Row],[End]])</f>
        <v>3</v>
      </c>
      <c r="AB2304" s="158">
        <f>YEAR(Table1[[#This Row],[End]])</f>
        <v>2026</v>
      </c>
      <c r="AC2304" s="159" t="s">
        <v>11096</v>
      </c>
      <c r="AD2304" s="159" t="s">
        <v>11097</v>
      </c>
      <c r="AE2304" s="184" t="s">
        <v>11098</v>
      </c>
      <c r="AF2304" s="158" t="s">
        <v>333</v>
      </c>
      <c r="AG2304" s="160"/>
      <c r="AH2304" s="160"/>
      <c r="AI2304" s="158"/>
      <c r="AJ2304" s="158"/>
      <c r="AK2304" s="158"/>
      <c r="AL2304" s="158"/>
      <c r="AM2304" s="158"/>
      <c r="AN2304" s="158"/>
      <c r="AO2304" s="158"/>
      <c r="AP2304" s="158"/>
      <c r="AQ2304" s="158">
        <v>151</v>
      </c>
      <c r="AR2304" s="507"/>
      <c r="AS2304" s="475"/>
      <c r="AT2304" s="160"/>
    </row>
    <row r="2305" spans="1:46" ht="15" hidden="1" customHeight="1">
      <c r="A2305" s="331">
        <v>2304</v>
      </c>
      <c r="B2305" s="159" t="s">
        <v>221</v>
      </c>
      <c r="C2305" s="159" t="s">
        <v>2561</v>
      </c>
      <c r="D2305" s="437" t="s">
        <v>369</v>
      </c>
      <c r="E2305" s="361" t="str">
        <f t="shared" ca="1" si="146"/>
        <v>LOSS</v>
      </c>
      <c r="F2305" s="160" t="s">
        <v>11099</v>
      </c>
      <c r="G2305" s="159" t="s">
        <v>11100</v>
      </c>
      <c r="H2305" s="160" t="s">
        <v>2748</v>
      </c>
      <c r="I2305" s="160" t="s">
        <v>242</v>
      </c>
      <c r="J2305" s="159" t="s">
        <v>855</v>
      </c>
      <c r="K2305" s="205" t="s">
        <v>11101</v>
      </c>
      <c r="L2305" s="158"/>
      <c r="M2305" s="158" t="s">
        <v>365</v>
      </c>
      <c r="N2305" s="158" t="s">
        <v>7088</v>
      </c>
      <c r="O2305" s="162"/>
      <c r="P2305" s="161">
        <f>40000000*12</f>
        <v>480000000</v>
      </c>
      <c r="Q2305" s="161"/>
      <c r="R2305" s="162"/>
      <c r="S2305" s="163">
        <v>6000000</v>
      </c>
      <c r="T2305" s="164"/>
      <c r="U2305" s="340">
        <v>45763</v>
      </c>
      <c r="V2305" s="340">
        <v>46127</v>
      </c>
      <c r="W2305" s="27" t="s">
        <v>250</v>
      </c>
      <c r="X2305" s="158"/>
      <c r="Y2305" s="164">
        <f t="shared" ca="1" si="147"/>
        <v>46290</v>
      </c>
      <c r="Z2305" s="35">
        <f t="shared" ca="1" si="152"/>
        <v>-163</v>
      </c>
      <c r="AA2305" s="158">
        <f>MONTH(Table1[[#This Row],[End]])</f>
        <v>4</v>
      </c>
      <c r="AB2305" s="158">
        <f>YEAR(Table1[[#This Row],[End]])</f>
        <v>2026</v>
      </c>
      <c r="AC2305" s="159" t="s">
        <v>11102</v>
      </c>
      <c r="AD2305" s="159" t="s">
        <v>11103</v>
      </c>
      <c r="AE2305" s="184" t="s">
        <v>11104</v>
      </c>
      <c r="AF2305" s="158" t="s">
        <v>333</v>
      </c>
      <c r="AG2305" s="160"/>
      <c r="AH2305" s="160"/>
      <c r="AI2305" s="158"/>
      <c r="AJ2305" s="158"/>
      <c r="AK2305" s="158"/>
      <c r="AL2305" s="158"/>
      <c r="AM2305" s="158"/>
      <c r="AN2305" s="158"/>
      <c r="AO2305" s="158"/>
      <c r="AP2305" s="158"/>
      <c r="AQ2305" s="158">
        <v>149</v>
      </c>
      <c r="AR2305" s="507"/>
      <c r="AS2305" s="475"/>
      <c r="AT2305" s="160"/>
    </row>
    <row r="2306" spans="1:46" ht="15" hidden="1" customHeight="1">
      <c r="A2306" s="331">
        <v>2305</v>
      </c>
      <c r="B2306" s="159" t="s">
        <v>221</v>
      </c>
      <c r="C2306" s="159" t="s">
        <v>5967</v>
      </c>
      <c r="D2306" s="438" t="s">
        <v>369</v>
      </c>
      <c r="E2306" s="361" t="str">
        <f t="shared" ref="E2306:E2369" ca="1" si="153">IF(Z2306&lt;=0, "LOSS",IF(Z2306&lt;=15, "CRITICAL",IF(Z2306&lt;=30, "WARNING",IF(Z2306&lt;60, "ATTENTION", "ON TRACK"))))</f>
        <v>LOSS</v>
      </c>
      <c r="F2306" s="160" t="s">
        <v>8084</v>
      </c>
      <c r="G2306" s="159" t="s">
        <v>11105</v>
      </c>
      <c r="H2306" s="160" t="s">
        <v>2748</v>
      </c>
      <c r="I2306" s="160" t="s">
        <v>242</v>
      </c>
      <c r="J2306" s="205" t="s">
        <v>1877</v>
      </c>
      <c r="K2306" s="160"/>
      <c r="L2306" s="158"/>
      <c r="M2306" s="158" t="s">
        <v>365</v>
      </c>
      <c r="N2306" s="158" t="s">
        <v>6885</v>
      </c>
      <c r="O2306" s="162"/>
      <c r="P2306" s="161">
        <f>4500000*12</f>
        <v>54000000</v>
      </c>
      <c r="Q2306" s="161"/>
      <c r="R2306" s="162"/>
      <c r="S2306" s="163">
        <v>24000000</v>
      </c>
      <c r="T2306" s="164"/>
      <c r="U2306" s="340">
        <v>45834</v>
      </c>
      <c r="V2306" s="340">
        <v>46198</v>
      </c>
      <c r="W2306" s="27" t="s">
        <v>250</v>
      </c>
      <c r="X2306" s="158"/>
      <c r="Y2306" s="164">
        <f t="shared" ca="1" si="147"/>
        <v>46290</v>
      </c>
      <c r="Z2306" s="35">
        <f t="shared" ca="1" si="152"/>
        <v>-92</v>
      </c>
      <c r="AA2306" s="158">
        <f>MONTH(Table1[[#This Row],[End]])</f>
        <v>6</v>
      </c>
      <c r="AB2306" s="158">
        <f>YEAR(Table1[[#This Row],[End]])</f>
        <v>2026</v>
      </c>
      <c r="AC2306" s="159" t="s">
        <v>11106</v>
      </c>
      <c r="AD2306" s="159" t="s">
        <v>11107</v>
      </c>
      <c r="AE2306" s="184" t="s">
        <v>11108</v>
      </c>
      <c r="AF2306" s="158" t="s">
        <v>333</v>
      </c>
      <c r="AG2306" s="160"/>
      <c r="AH2306" s="160"/>
      <c r="AI2306" s="158"/>
      <c r="AJ2306" s="158"/>
      <c r="AK2306" s="158"/>
      <c r="AL2306" s="158"/>
      <c r="AM2306" s="158"/>
      <c r="AN2306" s="158"/>
      <c r="AO2306" s="158"/>
      <c r="AP2306" s="158"/>
      <c r="AQ2306" s="158">
        <v>150</v>
      </c>
      <c r="AR2306" s="507"/>
      <c r="AS2306" s="475"/>
      <c r="AT2306" s="160"/>
    </row>
    <row r="2307" spans="1:46" ht="15" hidden="1" customHeight="1">
      <c r="A2307" s="331">
        <v>2306</v>
      </c>
      <c r="B2307" s="159" t="s">
        <v>221</v>
      </c>
      <c r="C2307" s="159" t="s">
        <v>684</v>
      </c>
      <c r="D2307" s="437" t="s">
        <v>369</v>
      </c>
      <c r="E2307" s="361" t="str">
        <f t="shared" ca="1" si="153"/>
        <v>LOSS</v>
      </c>
      <c r="F2307" s="160"/>
      <c r="G2307" s="159" t="s">
        <v>11109</v>
      </c>
      <c r="H2307" s="160" t="s">
        <v>2748</v>
      </c>
      <c r="I2307" s="160" t="s">
        <v>242</v>
      </c>
      <c r="J2307" s="159" t="s">
        <v>9193</v>
      </c>
      <c r="K2307" s="159" t="s">
        <v>11110</v>
      </c>
      <c r="L2307" s="158"/>
      <c r="M2307" s="158" t="s">
        <v>329</v>
      </c>
      <c r="N2307" s="158" t="s">
        <v>6649</v>
      </c>
      <c r="O2307" s="162"/>
      <c r="P2307" s="161">
        <f>2100000*12</f>
        <v>25200000</v>
      </c>
      <c r="Q2307" s="161"/>
      <c r="R2307" s="162"/>
      <c r="S2307" s="163">
        <v>6000000</v>
      </c>
      <c r="T2307" s="164"/>
      <c r="U2307" s="340">
        <v>45843</v>
      </c>
      <c r="V2307" s="340">
        <v>46207</v>
      </c>
      <c r="W2307" s="27" t="s">
        <v>17</v>
      </c>
      <c r="X2307" s="158"/>
      <c r="Y2307" s="164">
        <f t="shared" ca="1" si="147"/>
        <v>46290</v>
      </c>
      <c r="Z2307" s="35">
        <f t="shared" ca="1" si="152"/>
        <v>-83</v>
      </c>
      <c r="AA2307" s="158">
        <f>MONTH(Table1[[#This Row],[End]])</f>
        <v>7</v>
      </c>
      <c r="AB2307" s="158">
        <f>YEAR(Table1[[#This Row],[End]])</f>
        <v>2026</v>
      </c>
      <c r="AC2307" s="159" t="s">
        <v>11111</v>
      </c>
      <c r="AD2307" s="159" t="s">
        <v>11112</v>
      </c>
      <c r="AE2307" s="184" t="s">
        <v>11113</v>
      </c>
      <c r="AF2307" s="158" t="s">
        <v>333</v>
      </c>
      <c r="AG2307" s="160"/>
      <c r="AH2307" s="160"/>
      <c r="AI2307" s="158"/>
      <c r="AJ2307" s="158"/>
      <c r="AK2307" s="158"/>
      <c r="AL2307" s="158"/>
      <c r="AM2307" s="158"/>
      <c r="AN2307" s="158"/>
      <c r="AO2307" s="158"/>
      <c r="AP2307" s="158"/>
      <c r="AQ2307" s="158">
        <v>201</v>
      </c>
      <c r="AR2307" s="507"/>
      <c r="AS2307" s="475"/>
      <c r="AT2307" s="160"/>
    </row>
    <row r="2308" spans="1:46" ht="15" hidden="1" customHeight="1">
      <c r="A2308" s="331">
        <v>2307</v>
      </c>
      <c r="B2308" s="159" t="s">
        <v>2391</v>
      </c>
      <c r="C2308" s="159" t="s">
        <v>1274</v>
      </c>
      <c r="D2308" s="437" t="s">
        <v>3035</v>
      </c>
      <c r="E2308" s="361" t="str">
        <f t="shared" ca="1" si="153"/>
        <v>LOSS</v>
      </c>
      <c r="F2308" s="160"/>
      <c r="G2308" s="159" t="s">
        <v>9576</v>
      </c>
      <c r="H2308" s="160" t="s">
        <v>2748</v>
      </c>
      <c r="I2308" s="160" t="s">
        <v>346</v>
      </c>
      <c r="J2308" s="159"/>
      <c r="K2308" s="160"/>
      <c r="L2308" s="158"/>
      <c r="M2308" s="158" t="s">
        <v>329</v>
      </c>
      <c r="N2308" s="158"/>
      <c r="O2308" s="162"/>
      <c r="P2308" s="161"/>
      <c r="Q2308" s="161"/>
      <c r="R2308" s="162"/>
      <c r="S2308" s="163">
        <v>10000000</v>
      </c>
      <c r="T2308" s="164"/>
      <c r="U2308" s="340">
        <v>45860</v>
      </c>
      <c r="V2308" s="340">
        <v>46224</v>
      </c>
      <c r="W2308" s="27" t="s">
        <v>17</v>
      </c>
      <c r="X2308" s="158"/>
      <c r="Y2308" s="164">
        <f t="shared" ca="1" si="147"/>
        <v>46290</v>
      </c>
      <c r="Z2308" s="35">
        <f t="shared" ca="1" si="152"/>
        <v>-66</v>
      </c>
      <c r="AA2308" s="158">
        <f>MONTH(Table1[[#This Row],[End]])</f>
        <v>7</v>
      </c>
      <c r="AB2308" s="158">
        <f>YEAR(Table1[[#This Row],[End]])</f>
        <v>2026</v>
      </c>
      <c r="AC2308" s="159" t="s">
        <v>11114</v>
      </c>
      <c r="AD2308" s="159" t="s">
        <v>11115</v>
      </c>
      <c r="AE2308" s="184" t="s">
        <v>11116</v>
      </c>
      <c r="AF2308" s="158" t="s">
        <v>333</v>
      </c>
      <c r="AG2308" s="160"/>
      <c r="AH2308" s="160"/>
      <c r="AI2308" s="158"/>
      <c r="AJ2308" s="158"/>
      <c r="AK2308" s="158"/>
      <c r="AL2308" s="158"/>
      <c r="AM2308" s="158"/>
      <c r="AN2308" s="158"/>
      <c r="AO2308" s="158"/>
      <c r="AP2308" s="158"/>
      <c r="AQ2308" s="158">
        <v>144</v>
      </c>
      <c r="AR2308" s="507"/>
      <c r="AS2308" s="475"/>
      <c r="AT2308" s="160"/>
    </row>
    <row r="2309" spans="1:46" ht="15" hidden="1" customHeight="1">
      <c r="A2309" s="331">
        <v>2308</v>
      </c>
      <c r="B2309" s="159" t="s">
        <v>2391</v>
      </c>
      <c r="C2309" s="159" t="s">
        <v>1274</v>
      </c>
      <c r="D2309" s="437" t="s">
        <v>3035</v>
      </c>
      <c r="E2309" s="361" t="str">
        <f t="shared" ca="1" si="153"/>
        <v>LOSS</v>
      </c>
      <c r="F2309" s="160"/>
      <c r="G2309" s="159" t="s">
        <v>9576</v>
      </c>
      <c r="H2309" s="160" t="s">
        <v>2748</v>
      </c>
      <c r="I2309" s="160" t="s">
        <v>346</v>
      </c>
      <c r="J2309" s="159"/>
      <c r="K2309" s="160"/>
      <c r="L2309" s="158"/>
      <c r="M2309" s="158" t="s">
        <v>329</v>
      </c>
      <c r="N2309" s="158"/>
      <c r="O2309" s="162"/>
      <c r="P2309" s="161"/>
      <c r="Q2309" s="161"/>
      <c r="R2309" s="162"/>
      <c r="S2309" s="163">
        <v>7500000</v>
      </c>
      <c r="T2309" s="164"/>
      <c r="U2309" s="340">
        <v>45854</v>
      </c>
      <c r="V2309" s="340">
        <v>46218</v>
      </c>
      <c r="W2309" s="27" t="s">
        <v>17</v>
      </c>
      <c r="X2309" s="158"/>
      <c r="Y2309" s="164">
        <f t="shared" ca="1" si="147"/>
        <v>46290</v>
      </c>
      <c r="Z2309" s="35">
        <f t="shared" ca="1" si="152"/>
        <v>-72</v>
      </c>
      <c r="AA2309" s="158">
        <f>MONTH(Table1[[#This Row],[End]])</f>
        <v>7</v>
      </c>
      <c r="AB2309" s="158">
        <f>YEAR(Table1[[#This Row],[End]])</f>
        <v>2026</v>
      </c>
      <c r="AC2309" s="159" t="s">
        <v>11117</v>
      </c>
      <c r="AD2309" s="159" t="s">
        <v>11118</v>
      </c>
      <c r="AE2309" s="184" t="s">
        <v>11119</v>
      </c>
      <c r="AF2309" s="158" t="s">
        <v>333</v>
      </c>
      <c r="AG2309" s="160"/>
      <c r="AH2309" s="160"/>
      <c r="AI2309" s="158"/>
      <c r="AJ2309" s="158"/>
      <c r="AK2309" s="158"/>
      <c r="AL2309" s="158"/>
      <c r="AM2309" s="158"/>
      <c r="AN2309" s="158"/>
      <c r="AO2309" s="158"/>
      <c r="AP2309" s="158"/>
      <c r="AQ2309" s="158">
        <v>143</v>
      </c>
      <c r="AR2309" s="507"/>
      <c r="AS2309" s="475"/>
      <c r="AT2309" s="160"/>
    </row>
    <row r="2310" spans="1:46" ht="15" hidden="1" customHeight="1">
      <c r="A2310" s="331">
        <v>2309</v>
      </c>
      <c r="B2310" s="159" t="s">
        <v>97</v>
      </c>
      <c r="C2310" s="159" t="s">
        <v>8828</v>
      </c>
      <c r="D2310" s="437" t="s">
        <v>2363</v>
      </c>
      <c r="E2310" s="361" t="str">
        <f t="shared" ca="1" si="153"/>
        <v>LOSS</v>
      </c>
      <c r="F2310" s="160"/>
      <c r="G2310" s="159" t="s">
        <v>3892</v>
      </c>
      <c r="H2310" s="160" t="s">
        <v>2748</v>
      </c>
      <c r="I2310" s="160" t="s">
        <v>242</v>
      </c>
      <c r="J2310" s="205" t="s">
        <v>101</v>
      </c>
      <c r="K2310" s="160"/>
      <c r="L2310" s="158"/>
      <c r="M2310" s="158" t="s">
        <v>365</v>
      </c>
      <c r="N2310" s="158" t="s">
        <v>6885</v>
      </c>
      <c r="O2310" s="162"/>
      <c r="P2310" s="161">
        <f>2702703*12</f>
        <v>32432436</v>
      </c>
      <c r="Q2310" s="161"/>
      <c r="R2310" s="162"/>
      <c r="S2310" s="163">
        <v>24000000</v>
      </c>
      <c r="T2310" s="164"/>
      <c r="U2310" s="340">
        <v>45744</v>
      </c>
      <c r="V2310" s="340">
        <v>46108</v>
      </c>
      <c r="W2310" s="27" t="s">
        <v>250</v>
      </c>
      <c r="X2310" s="158"/>
      <c r="Y2310" s="164">
        <f t="shared" ca="1" si="147"/>
        <v>46290</v>
      </c>
      <c r="Z2310" s="35">
        <f t="shared" ref="Z2310:Z2341" ca="1" si="154">V2310-Y2310</f>
        <v>-182</v>
      </c>
      <c r="AA2310" s="158">
        <f>MONTH(Table1[[#This Row],[End]])</f>
        <v>3</v>
      </c>
      <c r="AB2310" s="158">
        <f>YEAR(Table1[[#This Row],[End]])</f>
        <v>2026</v>
      </c>
      <c r="AC2310" s="159" t="s">
        <v>3894</v>
      </c>
      <c r="AD2310" s="159" t="s">
        <v>11120</v>
      </c>
      <c r="AE2310" s="184" t="s">
        <v>11121</v>
      </c>
      <c r="AF2310" s="158" t="s">
        <v>333</v>
      </c>
      <c r="AG2310" s="160"/>
      <c r="AH2310" s="160"/>
      <c r="AI2310" s="158"/>
      <c r="AJ2310" s="158"/>
      <c r="AK2310" s="158"/>
      <c r="AL2310" s="158"/>
      <c r="AM2310" s="158"/>
      <c r="AN2310" s="158"/>
      <c r="AO2310" s="158"/>
      <c r="AP2310" s="158"/>
      <c r="AQ2310" s="158">
        <v>160</v>
      </c>
      <c r="AR2310" s="507"/>
      <c r="AS2310" s="475"/>
      <c r="AT2310" s="160"/>
    </row>
    <row r="2311" spans="1:46" ht="15" hidden="1" customHeight="1">
      <c r="A2311" s="331">
        <v>2310</v>
      </c>
      <c r="B2311" s="159" t="s">
        <v>97</v>
      </c>
      <c r="C2311" s="159" t="s">
        <v>11122</v>
      </c>
      <c r="D2311" s="447" t="s">
        <v>2363</v>
      </c>
      <c r="E2311" s="361" t="str">
        <f t="shared" ca="1" si="153"/>
        <v>LOSS</v>
      </c>
      <c r="F2311" s="160" t="s">
        <v>11123</v>
      </c>
      <c r="G2311" s="159" t="s">
        <v>11124</v>
      </c>
      <c r="H2311" s="160" t="s">
        <v>2748</v>
      </c>
      <c r="I2311" s="160" t="s">
        <v>242</v>
      </c>
      <c r="J2311" s="159"/>
      <c r="K2311" s="181" t="s">
        <v>11125</v>
      </c>
      <c r="L2311" s="158"/>
      <c r="M2311" s="158" t="s">
        <v>365</v>
      </c>
      <c r="N2311" s="158" t="s">
        <v>468</v>
      </c>
      <c r="O2311" s="162"/>
      <c r="P2311" s="161">
        <f>9000000*12</f>
        <v>108000000</v>
      </c>
      <c r="Q2311" s="161"/>
      <c r="R2311" s="162"/>
      <c r="S2311" s="163">
        <v>24000000</v>
      </c>
      <c r="T2311" s="164"/>
      <c r="U2311" s="340">
        <v>45684</v>
      </c>
      <c r="V2311" s="340">
        <v>46048</v>
      </c>
      <c r="W2311" s="27" t="s">
        <v>245</v>
      </c>
      <c r="X2311" s="158"/>
      <c r="Y2311" s="164">
        <f t="shared" ca="1" si="147"/>
        <v>46290</v>
      </c>
      <c r="Z2311" s="35">
        <f t="shared" ca="1" si="154"/>
        <v>-242</v>
      </c>
      <c r="AA2311" s="158">
        <f>MONTH(Table1[[#This Row],[End]])</f>
        <v>1</v>
      </c>
      <c r="AB2311" s="158">
        <f>YEAR(Table1[[#This Row],[End]])</f>
        <v>2026</v>
      </c>
      <c r="AC2311" s="159" t="s">
        <v>11126</v>
      </c>
      <c r="AD2311" s="159" t="s">
        <v>11127</v>
      </c>
      <c r="AE2311" s="184" t="s">
        <v>11128</v>
      </c>
      <c r="AF2311" s="158" t="s">
        <v>333</v>
      </c>
      <c r="AG2311" s="160"/>
      <c r="AH2311" s="160"/>
      <c r="AI2311" s="158"/>
      <c r="AJ2311" s="158"/>
      <c r="AK2311" s="158"/>
      <c r="AL2311" s="158"/>
      <c r="AM2311" s="158"/>
      <c r="AN2311" s="158"/>
      <c r="AO2311" s="158"/>
      <c r="AP2311" s="158"/>
      <c r="AQ2311" s="158">
        <v>194</v>
      </c>
      <c r="AR2311" s="507"/>
      <c r="AS2311" s="475"/>
      <c r="AT2311" s="160"/>
    </row>
    <row r="2312" spans="1:46" ht="15" hidden="1" customHeight="1">
      <c r="A2312" s="331">
        <v>2311</v>
      </c>
      <c r="B2312" s="159" t="s">
        <v>97</v>
      </c>
      <c r="C2312" s="159" t="s">
        <v>9568</v>
      </c>
      <c r="D2312" s="447" t="s">
        <v>3946</v>
      </c>
      <c r="E2312" s="361" t="str">
        <f t="shared" ca="1" si="153"/>
        <v>LOSS</v>
      </c>
      <c r="F2312" s="160"/>
      <c r="G2312" s="159" t="s">
        <v>11129</v>
      </c>
      <c r="H2312" s="160" t="s">
        <v>2748</v>
      </c>
      <c r="I2312" s="160" t="s">
        <v>242</v>
      </c>
      <c r="J2312" s="205" t="s">
        <v>11130</v>
      </c>
      <c r="K2312" s="160"/>
      <c r="L2312" s="158"/>
      <c r="M2312" s="158" t="s">
        <v>11131</v>
      </c>
      <c r="N2312" s="158" t="s">
        <v>9572</v>
      </c>
      <c r="O2312" s="162">
        <v>5000000</v>
      </c>
      <c r="P2312" s="161">
        <f>80000000*12</f>
        <v>960000000</v>
      </c>
      <c r="Q2312" s="161"/>
      <c r="R2312" s="162">
        <v>5000000</v>
      </c>
      <c r="S2312" s="163">
        <v>24000000</v>
      </c>
      <c r="T2312" s="164"/>
      <c r="U2312" s="340">
        <v>45854</v>
      </c>
      <c r="V2312" s="340">
        <v>46218</v>
      </c>
      <c r="W2312" s="27" t="s">
        <v>250</v>
      </c>
      <c r="X2312" s="158"/>
      <c r="Y2312" s="164">
        <f t="shared" ca="1" si="147"/>
        <v>46290</v>
      </c>
      <c r="Z2312" s="35">
        <f t="shared" ca="1" si="154"/>
        <v>-72</v>
      </c>
      <c r="AA2312" s="158">
        <f>MONTH(Table1[[#This Row],[End]])</f>
        <v>7</v>
      </c>
      <c r="AB2312" s="158">
        <f>YEAR(Table1[[#This Row],[End]])</f>
        <v>2026</v>
      </c>
      <c r="AC2312" s="159" t="s">
        <v>3371</v>
      </c>
      <c r="AD2312" s="159" t="s">
        <v>11132</v>
      </c>
      <c r="AE2312" s="184" t="s">
        <v>11133</v>
      </c>
      <c r="AF2312" s="158" t="s">
        <v>333</v>
      </c>
      <c r="AG2312" s="160"/>
      <c r="AH2312" s="160"/>
      <c r="AI2312" s="158"/>
      <c r="AJ2312" s="158"/>
      <c r="AK2312" s="158"/>
      <c r="AL2312" s="158"/>
      <c r="AM2312" s="158"/>
      <c r="AN2312" s="158"/>
      <c r="AO2312" s="158"/>
      <c r="AP2312" s="158"/>
      <c r="AQ2312" s="158">
        <v>105</v>
      </c>
      <c r="AR2312" s="507"/>
      <c r="AS2312" s="475"/>
      <c r="AT2312" s="160"/>
    </row>
    <row r="2313" spans="1:46" ht="15" hidden="1" customHeight="1">
      <c r="A2313" s="331">
        <v>2312</v>
      </c>
      <c r="B2313" s="159" t="s">
        <v>11134</v>
      </c>
      <c r="C2313" s="159" t="s">
        <v>349</v>
      </c>
      <c r="D2313" s="447" t="s">
        <v>3899</v>
      </c>
      <c r="E2313" s="361" t="str">
        <f t="shared" ca="1" si="153"/>
        <v>LOSS</v>
      </c>
      <c r="F2313" s="160"/>
      <c r="G2313" s="159" t="s">
        <v>11135</v>
      </c>
      <c r="H2313" s="160" t="s">
        <v>2748</v>
      </c>
      <c r="I2313" s="160" t="s">
        <v>346</v>
      </c>
      <c r="J2313" s="205" t="s">
        <v>11136</v>
      </c>
      <c r="K2313" s="160"/>
      <c r="L2313" s="158"/>
      <c r="M2313" s="158" t="s">
        <v>329</v>
      </c>
      <c r="N2313" s="158" t="s">
        <v>417</v>
      </c>
      <c r="O2313" s="162"/>
      <c r="P2313" s="161">
        <f>2200000*12</f>
        <v>26400000</v>
      </c>
      <c r="Q2313" s="161"/>
      <c r="R2313" s="162"/>
      <c r="S2313" s="163">
        <v>12000000</v>
      </c>
      <c r="T2313" s="164"/>
      <c r="U2313" s="340">
        <v>45826</v>
      </c>
      <c r="V2313" s="340">
        <v>46190</v>
      </c>
      <c r="W2313" s="27" t="s">
        <v>17</v>
      </c>
      <c r="X2313" s="158"/>
      <c r="Y2313" s="164">
        <f t="shared" ca="1" si="147"/>
        <v>46290</v>
      </c>
      <c r="Z2313" s="35">
        <f t="shared" ca="1" si="154"/>
        <v>-100</v>
      </c>
      <c r="AA2313" s="158">
        <f>MONTH(Table1[[#This Row],[End]])</f>
        <v>6</v>
      </c>
      <c r="AB2313" s="158">
        <f>YEAR(Table1[[#This Row],[End]])</f>
        <v>2026</v>
      </c>
      <c r="AC2313" s="159" t="s">
        <v>11137</v>
      </c>
      <c r="AD2313" s="159" t="s">
        <v>11138</v>
      </c>
      <c r="AE2313" s="184" t="s">
        <v>11139</v>
      </c>
      <c r="AF2313" s="158" t="s">
        <v>333</v>
      </c>
      <c r="AG2313" s="160"/>
      <c r="AH2313" s="160"/>
      <c r="AI2313" s="158"/>
      <c r="AJ2313" s="158"/>
      <c r="AK2313" s="158"/>
      <c r="AL2313" s="158"/>
      <c r="AM2313" s="158"/>
      <c r="AN2313" s="158"/>
      <c r="AO2313" s="158"/>
      <c r="AP2313" s="158"/>
      <c r="AQ2313" s="158">
        <v>186</v>
      </c>
      <c r="AR2313" s="507"/>
      <c r="AS2313" s="475"/>
      <c r="AT2313" s="160"/>
    </row>
    <row r="2314" spans="1:46" ht="15" hidden="1" customHeight="1">
      <c r="A2314" s="331">
        <v>2313</v>
      </c>
      <c r="B2314" s="159" t="s">
        <v>526</v>
      </c>
      <c r="C2314" s="159" t="s">
        <v>2610</v>
      </c>
      <c r="D2314" s="437" t="s">
        <v>10439</v>
      </c>
      <c r="E2314" s="361" t="str">
        <f t="shared" ca="1" si="153"/>
        <v>LOSS</v>
      </c>
      <c r="F2314" s="160"/>
      <c r="G2314" s="159" t="s">
        <v>11140</v>
      </c>
      <c r="H2314" s="160" t="s">
        <v>2748</v>
      </c>
      <c r="I2314" s="160" t="s">
        <v>346</v>
      </c>
      <c r="J2314" s="159"/>
      <c r="K2314" s="181" t="s">
        <v>11141</v>
      </c>
      <c r="L2314" s="158"/>
      <c r="M2314" s="158" t="s">
        <v>329</v>
      </c>
      <c r="N2314" s="158" t="s">
        <v>6897</v>
      </c>
      <c r="O2314" s="162"/>
      <c r="P2314" s="161">
        <f>3818182*12</f>
        <v>45818184</v>
      </c>
      <c r="Q2314" s="161"/>
      <c r="R2314" s="162"/>
      <c r="S2314" s="163">
        <v>5355315</v>
      </c>
      <c r="T2314" s="164"/>
      <c r="U2314" s="340">
        <v>45899</v>
      </c>
      <c r="V2314" s="340">
        <v>46263</v>
      </c>
      <c r="W2314" s="27" t="s">
        <v>250</v>
      </c>
      <c r="X2314" s="158"/>
      <c r="Y2314" s="164">
        <f t="shared" ca="1" si="147"/>
        <v>46290</v>
      </c>
      <c r="Z2314" s="35">
        <f t="shared" ca="1" si="154"/>
        <v>-27</v>
      </c>
      <c r="AA2314" s="158">
        <f>MONTH(Table1[[#This Row],[End]])</f>
        <v>8</v>
      </c>
      <c r="AB2314" s="158">
        <f>YEAR(Table1[[#This Row],[End]])</f>
        <v>2026</v>
      </c>
      <c r="AC2314" s="159" t="s">
        <v>11142</v>
      </c>
      <c r="AD2314" s="159" t="s">
        <v>11143</v>
      </c>
      <c r="AE2314" s="184" t="s">
        <v>11144</v>
      </c>
      <c r="AF2314" s="158" t="s">
        <v>333</v>
      </c>
      <c r="AG2314" s="160"/>
      <c r="AH2314" s="160"/>
      <c r="AI2314" s="158"/>
      <c r="AJ2314" s="158"/>
      <c r="AK2314" s="158"/>
      <c r="AL2314" s="158"/>
      <c r="AM2314" s="158"/>
      <c r="AN2314" s="158"/>
      <c r="AO2314" s="158"/>
      <c r="AP2314" s="158"/>
      <c r="AQ2314" s="158">
        <v>187</v>
      </c>
      <c r="AR2314" s="507"/>
      <c r="AS2314" s="475"/>
      <c r="AT2314" s="160"/>
    </row>
    <row r="2315" spans="1:46" ht="15" hidden="1" customHeight="1">
      <c r="A2315" s="331">
        <v>2314</v>
      </c>
      <c r="B2315" s="159" t="s">
        <v>542</v>
      </c>
      <c r="C2315" s="159" t="s">
        <v>1297</v>
      </c>
      <c r="D2315" s="438" t="s">
        <v>413</v>
      </c>
      <c r="E2315" s="361" t="str">
        <f t="shared" ca="1" si="153"/>
        <v>LOSS</v>
      </c>
      <c r="F2315" s="160" t="s">
        <v>11145</v>
      </c>
      <c r="G2315" s="159"/>
      <c r="H2315" s="160" t="s">
        <v>2748</v>
      </c>
      <c r="I2315" s="160" t="s">
        <v>242</v>
      </c>
      <c r="J2315" s="205" t="s">
        <v>11146</v>
      </c>
      <c r="K2315" s="160"/>
      <c r="L2315" s="158"/>
      <c r="M2315" s="158" t="s">
        <v>7091</v>
      </c>
      <c r="N2315" s="158" t="s">
        <v>354</v>
      </c>
      <c r="O2315" s="162"/>
      <c r="P2315" s="161">
        <f>9600000*12</f>
        <v>115200000</v>
      </c>
      <c r="Q2315" s="161"/>
      <c r="R2315" s="162"/>
      <c r="S2315" s="163">
        <v>6000000</v>
      </c>
      <c r="T2315" s="164"/>
      <c r="U2315" s="340">
        <v>45748</v>
      </c>
      <c r="V2315" s="340">
        <v>46112</v>
      </c>
      <c r="W2315" s="27" t="s">
        <v>250</v>
      </c>
      <c r="X2315" s="158"/>
      <c r="Y2315" s="164">
        <f t="shared" ref="Y2315:Y2376" ca="1" si="155">TODAY()</f>
        <v>46290</v>
      </c>
      <c r="Z2315" s="35">
        <f t="shared" ca="1" si="154"/>
        <v>-178</v>
      </c>
      <c r="AA2315" s="158">
        <f>MONTH(Table1[[#This Row],[End]])</f>
        <v>3</v>
      </c>
      <c r="AB2315" s="158">
        <f>YEAR(Table1[[#This Row],[End]])</f>
        <v>2026</v>
      </c>
      <c r="AC2315" s="159" t="s">
        <v>11147</v>
      </c>
      <c r="AD2315" s="159" t="s">
        <v>11148</v>
      </c>
      <c r="AE2315" s="184" t="s">
        <v>11149</v>
      </c>
      <c r="AF2315" s="158" t="s">
        <v>333</v>
      </c>
      <c r="AG2315" s="160"/>
      <c r="AH2315" s="160"/>
      <c r="AI2315" s="158"/>
      <c r="AJ2315" s="158"/>
      <c r="AK2315" s="158"/>
      <c r="AL2315" s="158"/>
      <c r="AM2315" s="158"/>
      <c r="AN2315" s="158"/>
      <c r="AO2315" s="158"/>
      <c r="AP2315" s="158"/>
      <c r="AQ2315" s="158">
        <v>159</v>
      </c>
      <c r="AR2315" s="507"/>
      <c r="AS2315" s="475"/>
      <c r="AT2315" s="160"/>
    </row>
    <row r="2316" spans="1:46" ht="15" hidden="1" customHeight="1">
      <c r="A2316" s="331">
        <v>2315</v>
      </c>
      <c r="B2316" s="159" t="s">
        <v>542</v>
      </c>
      <c r="C2316" s="159" t="s">
        <v>7892</v>
      </c>
      <c r="D2316" s="438" t="s">
        <v>413</v>
      </c>
      <c r="E2316" s="361" t="str">
        <f t="shared" ca="1" si="153"/>
        <v>LOSS</v>
      </c>
      <c r="F2316" s="160" t="s">
        <v>11150</v>
      </c>
      <c r="G2316" s="159" t="s">
        <v>11150</v>
      </c>
      <c r="H2316" s="160" t="s">
        <v>2748</v>
      </c>
      <c r="I2316" s="160" t="s">
        <v>242</v>
      </c>
      <c r="J2316" s="205" t="s">
        <v>11151</v>
      </c>
      <c r="K2316" s="160"/>
      <c r="L2316" s="158"/>
      <c r="M2316" s="158" t="s">
        <v>329</v>
      </c>
      <c r="N2316" s="158" t="s">
        <v>424</v>
      </c>
      <c r="O2316" s="162"/>
      <c r="P2316" s="161">
        <f>1680000*12</f>
        <v>20160000</v>
      </c>
      <c r="Q2316" s="161"/>
      <c r="R2316" s="162"/>
      <c r="S2316" s="163">
        <v>8000000</v>
      </c>
      <c r="T2316" s="164"/>
      <c r="U2316" s="340">
        <v>45776</v>
      </c>
      <c r="V2316" s="340">
        <v>46140</v>
      </c>
      <c r="W2316" s="27" t="s">
        <v>250</v>
      </c>
      <c r="X2316" s="158"/>
      <c r="Y2316" s="164">
        <f t="shared" ca="1" si="155"/>
        <v>46290</v>
      </c>
      <c r="Z2316" s="35">
        <f t="shared" ca="1" si="154"/>
        <v>-150</v>
      </c>
      <c r="AA2316" s="158">
        <f>MONTH(Table1[[#This Row],[End]])</f>
        <v>4</v>
      </c>
      <c r="AB2316" s="158">
        <f>YEAR(Table1[[#This Row],[End]])</f>
        <v>2026</v>
      </c>
      <c r="AC2316" s="159">
        <v>4500022546</v>
      </c>
      <c r="AD2316" s="182" t="s">
        <v>11152</v>
      </c>
      <c r="AE2316" s="184" t="s">
        <v>11153</v>
      </c>
      <c r="AF2316" s="158" t="s">
        <v>333</v>
      </c>
      <c r="AG2316" s="160"/>
      <c r="AH2316" s="160"/>
      <c r="AI2316" s="158"/>
      <c r="AJ2316" s="158"/>
      <c r="AK2316" s="158"/>
      <c r="AL2316" s="158"/>
      <c r="AM2316" s="158"/>
      <c r="AN2316" s="158"/>
      <c r="AO2316" s="158"/>
      <c r="AP2316" s="158"/>
      <c r="AQ2316" s="158">
        <v>152</v>
      </c>
      <c r="AR2316" s="507"/>
      <c r="AS2316" s="475"/>
      <c r="AT2316" s="160"/>
    </row>
    <row r="2317" spans="1:46" ht="15" hidden="1" customHeight="1">
      <c r="A2317" s="331">
        <v>2316</v>
      </c>
      <c r="B2317" s="159" t="s">
        <v>204</v>
      </c>
      <c r="C2317" s="159" t="s">
        <v>3973</v>
      </c>
      <c r="D2317" s="437" t="s">
        <v>413</v>
      </c>
      <c r="E2317" s="361" t="str">
        <f t="shared" ca="1" si="153"/>
        <v>LOSS</v>
      </c>
      <c r="F2317" s="160"/>
      <c r="G2317" s="159" t="s">
        <v>11154</v>
      </c>
      <c r="H2317" s="160" t="s">
        <v>2748</v>
      </c>
      <c r="I2317" s="160" t="s">
        <v>346</v>
      </c>
      <c r="J2317" s="216" t="s">
        <v>11155</v>
      </c>
      <c r="K2317" s="160"/>
      <c r="L2317" s="158"/>
      <c r="M2317" s="158" t="s">
        <v>7091</v>
      </c>
      <c r="N2317" s="158"/>
      <c r="O2317" s="162"/>
      <c r="P2317" s="161">
        <f>12*(1132773+4995876)</f>
        <v>73543788</v>
      </c>
      <c r="Q2317" s="161"/>
      <c r="R2317" s="162"/>
      <c r="S2317" s="163">
        <v>52500000</v>
      </c>
      <c r="T2317" s="164"/>
      <c r="U2317" s="340">
        <v>45839</v>
      </c>
      <c r="V2317" s="340">
        <v>46203</v>
      </c>
      <c r="W2317" s="27" t="s">
        <v>250</v>
      </c>
      <c r="X2317" s="158"/>
      <c r="Y2317" s="164">
        <f t="shared" ca="1" si="155"/>
        <v>46290</v>
      </c>
      <c r="Z2317" s="35">
        <f t="shared" ca="1" si="154"/>
        <v>-87</v>
      </c>
      <c r="AA2317" s="158">
        <f>MONTH(Table1[[#This Row],[End]])</f>
        <v>6</v>
      </c>
      <c r="AB2317" s="158">
        <f>YEAR(Table1[[#This Row],[End]])</f>
        <v>2026</v>
      </c>
      <c r="AC2317" s="159" t="s">
        <v>11156</v>
      </c>
      <c r="AD2317" s="159" t="s">
        <v>11157</v>
      </c>
      <c r="AE2317" s="184" t="s">
        <v>11158</v>
      </c>
      <c r="AF2317" s="158" t="s">
        <v>333</v>
      </c>
      <c r="AG2317" s="160"/>
      <c r="AH2317" s="160"/>
      <c r="AI2317" s="158"/>
      <c r="AJ2317" s="158"/>
      <c r="AK2317" s="158"/>
      <c r="AL2317" s="158"/>
      <c r="AM2317" s="158"/>
      <c r="AN2317" s="158"/>
      <c r="AO2317" s="158"/>
      <c r="AP2317" s="158"/>
      <c r="AQ2317" s="158">
        <v>204</v>
      </c>
      <c r="AR2317" s="507"/>
      <c r="AS2317" s="475"/>
      <c r="AT2317" s="160"/>
    </row>
    <row r="2318" spans="1:46" ht="15" hidden="1" customHeight="1">
      <c r="A2318" s="331">
        <v>2317</v>
      </c>
      <c r="B2318" s="159" t="s">
        <v>450</v>
      </c>
      <c r="C2318" s="159" t="s">
        <v>1308</v>
      </c>
      <c r="D2318" s="437" t="s">
        <v>452</v>
      </c>
      <c r="E2318" s="361" t="str">
        <f t="shared" ca="1" si="153"/>
        <v>LOSS</v>
      </c>
      <c r="F2318" s="160" t="s">
        <v>11159</v>
      </c>
      <c r="G2318" s="159" t="s">
        <v>11160</v>
      </c>
      <c r="H2318" s="160" t="s">
        <v>2748</v>
      </c>
      <c r="I2318" s="160" t="s">
        <v>242</v>
      </c>
      <c r="J2318" s="159"/>
      <c r="K2318" s="181" t="s">
        <v>11161</v>
      </c>
      <c r="L2318" s="158"/>
      <c r="M2318" s="158" t="s">
        <v>9506</v>
      </c>
      <c r="N2318" s="158" t="s">
        <v>354</v>
      </c>
      <c r="O2318" s="162"/>
      <c r="P2318" s="161">
        <f>4250000*12</f>
        <v>51000000</v>
      </c>
      <c r="Q2318" s="161"/>
      <c r="R2318" s="162"/>
      <c r="S2318" s="163">
        <v>12000000</v>
      </c>
      <c r="T2318" s="164"/>
      <c r="U2318" s="340">
        <v>45878</v>
      </c>
      <c r="V2318" s="340">
        <v>46242</v>
      </c>
      <c r="W2318" s="27" t="s">
        <v>17</v>
      </c>
      <c r="X2318" s="158"/>
      <c r="Y2318" s="164">
        <f t="shared" ca="1" si="155"/>
        <v>46290</v>
      </c>
      <c r="Z2318" s="35">
        <f t="shared" ca="1" si="154"/>
        <v>-48</v>
      </c>
      <c r="AA2318" s="158">
        <f>MONTH(Table1[[#This Row],[End]])</f>
        <v>8</v>
      </c>
      <c r="AB2318" s="158">
        <f>YEAR(Table1[[#This Row],[End]])</f>
        <v>2026</v>
      </c>
      <c r="AC2318" s="159" t="s">
        <v>11162</v>
      </c>
      <c r="AD2318" s="159" t="s">
        <v>11163</v>
      </c>
      <c r="AE2318" s="184" t="s">
        <v>11164</v>
      </c>
      <c r="AF2318" s="158" t="s">
        <v>333</v>
      </c>
      <c r="AG2318" s="160"/>
      <c r="AH2318" s="160"/>
      <c r="AI2318" s="158"/>
      <c r="AJ2318" s="158"/>
      <c r="AK2318" s="158"/>
      <c r="AL2318" s="158"/>
      <c r="AM2318" s="158"/>
      <c r="AN2318" s="158"/>
      <c r="AO2318" s="158"/>
      <c r="AP2318" s="158"/>
      <c r="AQ2318" s="158">
        <v>191</v>
      </c>
      <c r="AR2318" s="507"/>
      <c r="AS2318" s="475"/>
      <c r="AT2318" s="160"/>
    </row>
    <row r="2319" spans="1:46" ht="15" hidden="1" customHeight="1">
      <c r="A2319" s="331">
        <v>2318</v>
      </c>
      <c r="B2319" s="159" t="s">
        <v>154</v>
      </c>
      <c r="C2319" s="159" t="s">
        <v>11165</v>
      </c>
      <c r="D2319" s="438" t="s">
        <v>9227</v>
      </c>
      <c r="E2319" s="361" t="str">
        <f t="shared" ca="1" si="153"/>
        <v>LOSS</v>
      </c>
      <c r="F2319" s="160" t="s">
        <v>10770</v>
      </c>
      <c r="G2319" s="159" t="s">
        <v>8480</v>
      </c>
      <c r="H2319" s="160" t="s">
        <v>2748</v>
      </c>
      <c r="I2319" s="160" t="s">
        <v>346</v>
      </c>
      <c r="J2319" s="205" t="s">
        <v>155</v>
      </c>
      <c r="K2319" s="160"/>
      <c r="L2319" s="158"/>
      <c r="M2319" s="158" t="s">
        <v>365</v>
      </c>
      <c r="N2319" s="158" t="s">
        <v>362</v>
      </c>
      <c r="O2319" s="162"/>
      <c r="P2319" s="161">
        <f>9300000*12</f>
        <v>111600000</v>
      </c>
      <c r="Q2319" s="161"/>
      <c r="R2319" s="162"/>
      <c r="S2319" s="163">
        <v>78000000</v>
      </c>
      <c r="T2319" s="164"/>
      <c r="U2319" s="340">
        <v>45731</v>
      </c>
      <c r="V2319" s="340">
        <v>46095</v>
      </c>
      <c r="W2319" s="27" t="s">
        <v>250</v>
      </c>
      <c r="X2319" s="158"/>
      <c r="Y2319" s="164">
        <f t="shared" ca="1" si="155"/>
        <v>46290</v>
      </c>
      <c r="Z2319" s="35">
        <f t="shared" ca="1" si="154"/>
        <v>-195</v>
      </c>
      <c r="AA2319" s="158">
        <f>MONTH(Table1[[#This Row],[End]])</f>
        <v>3</v>
      </c>
      <c r="AB2319" s="158">
        <f>YEAR(Table1[[#This Row],[End]])</f>
        <v>2026</v>
      </c>
      <c r="AC2319" s="159">
        <v>4500022310</v>
      </c>
      <c r="AD2319" s="159" t="s">
        <v>11166</v>
      </c>
      <c r="AE2319" s="184" t="s">
        <v>11167</v>
      </c>
      <c r="AF2319" s="158" t="s">
        <v>333</v>
      </c>
      <c r="AG2319" s="160"/>
      <c r="AH2319" s="160"/>
      <c r="AI2319" s="158"/>
      <c r="AJ2319" s="158"/>
      <c r="AK2319" s="158"/>
      <c r="AL2319" s="158"/>
      <c r="AM2319" s="158"/>
      <c r="AN2319" s="158"/>
      <c r="AO2319" s="158"/>
      <c r="AP2319" s="158"/>
      <c r="AQ2319" s="158">
        <v>104</v>
      </c>
      <c r="AR2319" s="507"/>
      <c r="AS2319" s="475"/>
      <c r="AT2319" s="160"/>
    </row>
    <row r="2320" spans="1:46" ht="15" hidden="1" customHeight="1">
      <c r="A2320" s="331">
        <v>2319</v>
      </c>
      <c r="B2320" s="159" t="s">
        <v>186</v>
      </c>
      <c r="C2320" s="159" t="s">
        <v>8844</v>
      </c>
      <c r="D2320" s="438" t="s">
        <v>9227</v>
      </c>
      <c r="E2320" s="361" t="str">
        <f t="shared" ca="1" si="153"/>
        <v>LOSS</v>
      </c>
      <c r="F2320" s="160" t="s">
        <v>11168</v>
      </c>
      <c r="G2320" s="159" t="s">
        <v>11169</v>
      </c>
      <c r="H2320" s="160" t="s">
        <v>2748</v>
      </c>
      <c r="I2320" s="160" t="s">
        <v>242</v>
      </c>
      <c r="J2320" s="205" t="s">
        <v>188</v>
      </c>
      <c r="K2320" s="219">
        <v>131202052930</v>
      </c>
      <c r="L2320" s="158"/>
      <c r="M2320" s="158" t="s">
        <v>8854</v>
      </c>
      <c r="N2320" s="158" t="s">
        <v>11170</v>
      </c>
      <c r="O2320" s="162"/>
      <c r="P2320" s="161">
        <f>110000000*12</f>
        <v>1320000000</v>
      </c>
      <c r="Q2320" s="161"/>
      <c r="R2320" s="162"/>
      <c r="S2320" s="163">
        <v>42000000</v>
      </c>
      <c r="T2320" s="164"/>
      <c r="U2320" s="340">
        <v>45905</v>
      </c>
      <c r="V2320" s="340">
        <v>46269</v>
      </c>
      <c r="W2320" s="27" t="s">
        <v>17</v>
      </c>
      <c r="X2320" s="158"/>
      <c r="Y2320" s="164">
        <f t="shared" ca="1" si="155"/>
        <v>46290</v>
      </c>
      <c r="Z2320" s="35">
        <f t="shared" ca="1" si="154"/>
        <v>-21</v>
      </c>
      <c r="AA2320" s="158">
        <f>MONTH(Table1[[#This Row],[End]])</f>
        <v>9</v>
      </c>
      <c r="AB2320" s="158">
        <f>YEAR(Table1[[#This Row],[End]])</f>
        <v>2026</v>
      </c>
      <c r="AC2320" s="159" t="s">
        <v>11171</v>
      </c>
      <c r="AD2320" s="159" t="s">
        <v>11172</v>
      </c>
      <c r="AE2320" s="184" t="s">
        <v>11173</v>
      </c>
      <c r="AF2320" s="158" t="s">
        <v>333</v>
      </c>
      <c r="AG2320" s="160"/>
      <c r="AH2320" s="160"/>
      <c r="AI2320" s="158"/>
      <c r="AJ2320" s="158"/>
      <c r="AK2320" s="158"/>
      <c r="AL2320" s="158"/>
      <c r="AM2320" s="158"/>
      <c r="AN2320" s="158"/>
      <c r="AO2320" s="158"/>
      <c r="AP2320" s="158"/>
      <c r="AQ2320" s="158">
        <v>203</v>
      </c>
      <c r="AR2320" s="507"/>
      <c r="AS2320" s="475"/>
      <c r="AT2320" s="160"/>
    </row>
    <row r="2321" spans="1:46" ht="15" hidden="1" customHeight="1">
      <c r="A2321" s="331">
        <v>2320</v>
      </c>
      <c r="B2321" s="159" t="s">
        <v>9045</v>
      </c>
      <c r="C2321" s="159" t="s">
        <v>2678</v>
      </c>
      <c r="D2321" s="437" t="s">
        <v>6723</v>
      </c>
      <c r="E2321" s="361" t="str">
        <f t="shared" ca="1" si="153"/>
        <v>LOSS</v>
      </c>
      <c r="F2321" s="160"/>
      <c r="G2321" s="159" t="s">
        <v>11174</v>
      </c>
      <c r="H2321" s="160" t="s">
        <v>2748</v>
      </c>
      <c r="I2321" s="160" t="s">
        <v>346</v>
      </c>
      <c r="J2321" s="159"/>
      <c r="K2321" s="181" t="s">
        <v>11175</v>
      </c>
      <c r="L2321" s="158"/>
      <c r="M2321" s="158" t="s">
        <v>365</v>
      </c>
      <c r="N2321" s="158" t="s">
        <v>354</v>
      </c>
      <c r="O2321" s="162"/>
      <c r="P2321" s="161">
        <f>9925000*12</f>
        <v>119100000</v>
      </c>
      <c r="Q2321" s="161"/>
      <c r="R2321" s="162"/>
      <c r="S2321" s="163">
        <v>36000000</v>
      </c>
      <c r="T2321" s="164"/>
      <c r="U2321" s="340">
        <v>45901</v>
      </c>
      <c r="V2321" s="340">
        <v>46265</v>
      </c>
      <c r="W2321" s="27" t="s">
        <v>17</v>
      </c>
      <c r="X2321" s="158"/>
      <c r="Y2321" s="164">
        <f t="shared" ca="1" si="155"/>
        <v>46290</v>
      </c>
      <c r="Z2321" s="35">
        <f t="shared" ca="1" si="154"/>
        <v>-25</v>
      </c>
      <c r="AA2321" s="158">
        <f>MONTH(Table1[[#This Row],[End]])</f>
        <v>8</v>
      </c>
      <c r="AB2321" s="158">
        <f>YEAR(Table1[[#This Row],[End]])</f>
        <v>2026</v>
      </c>
      <c r="AC2321" s="159">
        <v>4500022096</v>
      </c>
      <c r="AD2321" s="159" t="s">
        <v>11176</v>
      </c>
      <c r="AE2321" s="158" t="s">
        <v>11177</v>
      </c>
      <c r="AF2321" s="201" t="s">
        <v>339</v>
      </c>
      <c r="AG2321" s="160"/>
      <c r="AH2321" s="160"/>
      <c r="AI2321" s="158"/>
      <c r="AJ2321" s="158"/>
      <c r="AK2321" s="158"/>
      <c r="AL2321" s="158"/>
      <c r="AM2321" s="158"/>
      <c r="AN2321" s="158"/>
      <c r="AO2321" s="158"/>
      <c r="AP2321" s="158"/>
      <c r="AQ2321" s="158"/>
      <c r="AR2321" s="507"/>
      <c r="AS2321" s="475"/>
      <c r="AT2321" s="160"/>
    </row>
    <row r="2322" spans="1:46" ht="15" hidden="1" customHeight="1">
      <c r="A2322" s="331">
        <v>2321</v>
      </c>
      <c r="B2322" s="159" t="s">
        <v>11178</v>
      </c>
      <c r="C2322" s="159" t="s">
        <v>6643</v>
      </c>
      <c r="D2322" s="434" t="s">
        <v>11179</v>
      </c>
      <c r="E2322" s="361" t="str">
        <f t="shared" ca="1" si="153"/>
        <v>LOSS</v>
      </c>
      <c r="F2322" s="160"/>
      <c r="G2322" s="159" t="s">
        <v>11179</v>
      </c>
      <c r="H2322" s="160" t="s">
        <v>2748</v>
      </c>
      <c r="I2322" s="160" t="s">
        <v>346</v>
      </c>
      <c r="J2322" s="159"/>
      <c r="K2322" s="181" t="s">
        <v>11180</v>
      </c>
      <c r="L2322" s="158"/>
      <c r="M2322" s="158" t="s">
        <v>11181</v>
      </c>
      <c r="N2322" s="158"/>
      <c r="O2322" s="162"/>
      <c r="P2322" s="161">
        <f>11239500*12</f>
        <v>134874000</v>
      </c>
      <c r="Q2322" s="161"/>
      <c r="R2322" s="162"/>
      <c r="S2322" s="163">
        <v>62563000</v>
      </c>
      <c r="T2322" s="164"/>
      <c r="U2322" s="340">
        <v>45565</v>
      </c>
      <c r="V2322" s="340">
        <v>45931</v>
      </c>
      <c r="W2322" s="27" t="s">
        <v>250</v>
      </c>
      <c r="X2322" s="158"/>
      <c r="Y2322" s="164">
        <f t="shared" ca="1" si="155"/>
        <v>46290</v>
      </c>
      <c r="Z2322" s="35">
        <f t="shared" ca="1" si="154"/>
        <v>-359</v>
      </c>
      <c r="AA2322" s="158">
        <f>MONTH(Table1[[#This Row],[End]])</f>
        <v>10</v>
      </c>
      <c r="AB2322" s="158">
        <f>YEAR(Table1[[#This Row],[End]])</f>
        <v>2025</v>
      </c>
      <c r="AC2322" s="159">
        <v>4500021515</v>
      </c>
      <c r="AD2322" s="159" t="s">
        <v>11182</v>
      </c>
      <c r="AE2322" s="184" t="s">
        <v>11183</v>
      </c>
      <c r="AF2322" s="201" t="s">
        <v>339</v>
      </c>
      <c r="AG2322" s="160"/>
      <c r="AH2322" s="160"/>
      <c r="AI2322" s="158"/>
      <c r="AJ2322" s="158"/>
      <c r="AK2322" s="158"/>
      <c r="AL2322" s="158"/>
      <c r="AM2322" s="158"/>
      <c r="AN2322" s="158"/>
      <c r="AO2322" s="158"/>
      <c r="AP2322" s="158"/>
      <c r="AQ2322" s="158"/>
      <c r="AR2322" s="507"/>
      <c r="AS2322" s="475"/>
      <c r="AT2322" s="160"/>
    </row>
    <row r="2323" spans="1:46" ht="15" hidden="1" customHeight="1">
      <c r="A2323" s="331">
        <v>2322</v>
      </c>
      <c r="B2323" s="159" t="s">
        <v>11184</v>
      </c>
      <c r="C2323" s="159" t="s">
        <v>670</v>
      </c>
      <c r="D2323" s="437" t="s">
        <v>11179</v>
      </c>
      <c r="E2323" s="361" t="str">
        <f t="shared" ca="1" si="153"/>
        <v>LOSS</v>
      </c>
      <c r="F2323" s="160"/>
      <c r="G2323" s="159"/>
      <c r="H2323" s="160"/>
      <c r="I2323" s="160"/>
      <c r="J2323" s="159"/>
      <c r="K2323" s="160"/>
      <c r="L2323" s="158"/>
      <c r="M2323" s="158"/>
      <c r="N2323" s="158"/>
      <c r="O2323" s="162"/>
      <c r="P2323" s="161"/>
      <c r="Q2323" s="161"/>
      <c r="R2323" s="162"/>
      <c r="S2323" s="163"/>
      <c r="T2323" s="164"/>
      <c r="U2323" s="340">
        <v>45905</v>
      </c>
      <c r="V2323" s="340">
        <v>46269</v>
      </c>
      <c r="W2323" s="27" t="s">
        <v>17</v>
      </c>
      <c r="X2323" s="158"/>
      <c r="Y2323" s="164">
        <f t="shared" ca="1" si="155"/>
        <v>46290</v>
      </c>
      <c r="Z2323" s="35">
        <f t="shared" ca="1" si="154"/>
        <v>-21</v>
      </c>
      <c r="AA2323" s="158">
        <f>MONTH(Table1[[#This Row],[End]])</f>
        <v>9</v>
      </c>
      <c r="AB2323" s="158">
        <f>YEAR(Table1[[#This Row],[End]])</f>
        <v>2026</v>
      </c>
      <c r="AC2323" s="159"/>
      <c r="AD2323" s="159"/>
      <c r="AE2323" s="184"/>
      <c r="AF2323" s="201"/>
      <c r="AG2323" s="160"/>
      <c r="AH2323" s="160"/>
      <c r="AI2323" s="158"/>
      <c r="AJ2323" s="158"/>
      <c r="AK2323" s="158"/>
      <c r="AL2323" s="158"/>
      <c r="AM2323" s="158"/>
      <c r="AN2323" s="158"/>
      <c r="AO2323" s="158"/>
      <c r="AP2323" s="158"/>
      <c r="AQ2323" s="158"/>
      <c r="AR2323" s="507"/>
      <c r="AS2323" s="475"/>
      <c r="AT2323" s="160"/>
    </row>
    <row r="2324" spans="1:46" ht="15" hidden="1" customHeight="1">
      <c r="A2324" s="331">
        <v>2323</v>
      </c>
      <c r="B2324" s="159" t="s">
        <v>382</v>
      </c>
      <c r="C2324" s="159" t="s">
        <v>1299</v>
      </c>
      <c r="D2324" s="437" t="s">
        <v>384</v>
      </c>
      <c r="E2324" s="361" t="str">
        <f t="shared" ca="1" si="153"/>
        <v>LOSS</v>
      </c>
      <c r="F2324" s="160" t="s">
        <v>11185</v>
      </c>
      <c r="G2324" s="159" t="s">
        <v>11186</v>
      </c>
      <c r="H2324" s="160" t="s">
        <v>2748</v>
      </c>
      <c r="I2324" s="160" t="s">
        <v>242</v>
      </c>
      <c r="J2324" s="159" t="s">
        <v>6251</v>
      </c>
      <c r="K2324" s="160"/>
      <c r="L2324" s="158"/>
      <c r="M2324" s="158" t="s">
        <v>329</v>
      </c>
      <c r="N2324" s="158"/>
      <c r="O2324" s="162"/>
      <c r="P2324" s="161">
        <f>41500000*12</f>
        <v>498000000</v>
      </c>
      <c r="Q2324" s="161"/>
      <c r="R2324" s="162"/>
      <c r="S2324" s="163">
        <v>12000000</v>
      </c>
      <c r="T2324" s="164"/>
      <c r="U2324" s="340">
        <v>45533</v>
      </c>
      <c r="V2324" s="340">
        <v>45897</v>
      </c>
      <c r="W2324" s="27" t="s">
        <v>250</v>
      </c>
      <c r="X2324" s="158"/>
      <c r="Y2324" s="164">
        <f t="shared" ca="1" si="155"/>
        <v>46290</v>
      </c>
      <c r="Z2324" s="35">
        <f t="shared" ca="1" si="154"/>
        <v>-393</v>
      </c>
      <c r="AA2324" s="158">
        <f>MONTH(Table1[[#This Row],[End]])</f>
        <v>8</v>
      </c>
      <c r="AB2324" s="158">
        <f>YEAR(Table1[[#This Row],[End]])</f>
        <v>2025</v>
      </c>
      <c r="AC2324" s="159" t="s">
        <v>11187</v>
      </c>
      <c r="AD2324" s="159" t="s">
        <v>11188</v>
      </c>
      <c r="AE2324" s="184" t="s">
        <v>11189</v>
      </c>
      <c r="AF2324" s="158" t="s">
        <v>333</v>
      </c>
      <c r="AG2324" s="160"/>
      <c r="AH2324" s="160"/>
      <c r="AI2324" s="158"/>
      <c r="AJ2324" s="158"/>
      <c r="AK2324" s="158"/>
      <c r="AL2324" s="158"/>
      <c r="AM2324" s="158"/>
      <c r="AN2324" s="158"/>
      <c r="AO2324" s="158"/>
      <c r="AP2324" s="158"/>
      <c r="AQ2324" s="158"/>
      <c r="AR2324" s="507"/>
      <c r="AS2324" s="475"/>
      <c r="AT2324" s="160"/>
    </row>
    <row r="2325" spans="1:46" ht="15" hidden="1" customHeight="1">
      <c r="A2325" s="331">
        <v>2324</v>
      </c>
      <c r="B2325" s="159" t="s">
        <v>382</v>
      </c>
      <c r="C2325" s="159" t="s">
        <v>8951</v>
      </c>
      <c r="D2325" s="437" t="s">
        <v>384</v>
      </c>
      <c r="E2325" s="361" t="str">
        <f t="shared" ca="1" si="153"/>
        <v>LOSS</v>
      </c>
      <c r="F2325" s="181" t="s">
        <v>11190</v>
      </c>
      <c r="G2325" s="205" t="s">
        <v>11191</v>
      </c>
      <c r="H2325" s="160" t="s">
        <v>2748</v>
      </c>
      <c r="I2325" s="160" t="s">
        <v>242</v>
      </c>
      <c r="J2325" s="205" t="s">
        <v>6089</v>
      </c>
      <c r="K2325" s="160"/>
      <c r="L2325" s="158"/>
      <c r="M2325" s="158" t="s">
        <v>329</v>
      </c>
      <c r="N2325" s="158" t="s">
        <v>6885</v>
      </c>
      <c r="O2325" s="162"/>
      <c r="P2325" s="161">
        <f>2750000*12</f>
        <v>33000000</v>
      </c>
      <c r="Q2325" s="161"/>
      <c r="R2325" s="162"/>
      <c r="S2325" s="163">
        <v>12000000</v>
      </c>
      <c r="T2325" s="164"/>
      <c r="U2325" s="340">
        <v>44495</v>
      </c>
      <c r="V2325" s="340">
        <v>45955</v>
      </c>
      <c r="W2325" s="27" t="s">
        <v>250</v>
      </c>
      <c r="X2325" s="158"/>
      <c r="Y2325" s="164">
        <f t="shared" ca="1" si="155"/>
        <v>46290</v>
      </c>
      <c r="Z2325" s="35">
        <f t="shared" ca="1" si="154"/>
        <v>-335</v>
      </c>
      <c r="AA2325" s="158">
        <f>MONTH(Table1[[#This Row],[End]])</f>
        <v>10</v>
      </c>
      <c r="AB2325" s="158">
        <f>YEAR(Table1[[#This Row],[End]])</f>
        <v>2025</v>
      </c>
      <c r="AC2325" s="159" t="s">
        <v>11192</v>
      </c>
      <c r="AD2325" s="159" t="s">
        <v>11193</v>
      </c>
      <c r="AE2325" s="184" t="s">
        <v>11194</v>
      </c>
      <c r="AF2325" s="158" t="s">
        <v>333</v>
      </c>
      <c r="AG2325" s="160"/>
      <c r="AH2325" s="160"/>
      <c r="AI2325" s="158"/>
      <c r="AJ2325" s="158"/>
      <c r="AK2325" s="158"/>
      <c r="AL2325" s="158"/>
      <c r="AM2325" s="158"/>
      <c r="AN2325" s="158"/>
      <c r="AO2325" s="158"/>
      <c r="AP2325" s="158"/>
      <c r="AQ2325" s="158"/>
      <c r="AR2325" s="507"/>
      <c r="AS2325" s="475"/>
      <c r="AT2325" s="160"/>
    </row>
    <row r="2326" spans="1:46" ht="15" hidden="1" customHeight="1">
      <c r="A2326" s="331">
        <v>2325</v>
      </c>
      <c r="B2326" s="159" t="s">
        <v>382</v>
      </c>
      <c r="C2326" s="159" t="s">
        <v>2451</v>
      </c>
      <c r="D2326" s="438" t="s">
        <v>384</v>
      </c>
      <c r="E2326" s="361" t="str">
        <f t="shared" ca="1" si="153"/>
        <v>LOSS</v>
      </c>
      <c r="F2326" s="160" t="s">
        <v>9807</v>
      </c>
      <c r="G2326" s="159" t="s">
        <v>9806</v>
      </c>
      <c r="H2326" s="160" t="s">
        <v>2748</v>
      </c>
      <c r="I2326" s="160" t="s">
        <v>242</v>
      </c>
      <c r="J2326" s="159" t="s">
        <v>11195</v>
      </c>
      <c r="K2326" s="181" t="s">
        <v>11196</v>
      </c>
      <c r="L2326" s="158"/>
      <c r="M2326" s="158" t="s">
        <v>9506</v>
      </c>
      <c r="N2326" s="158" t="s">
        <v>354</v>
      </c>
      <c r="O2326" s="162"/>
      <c r="P2326" s="161">
        <f>5000000*12</f>
        <v>60000000</v>
      </c>
      <c r="Q2326" s="161"/>
      <c r="R2326" s="162"/>
      <c r="S2326" s="163">
        <v>12000000</v>
      </c>
      <c r="T2326" s="164"/>
      <c r="U2326" s="340">
        <v>45512</v>
      </c>
      <c r="V2326" s="340">
        <v>45876</v>
      </c>
      <c r="W2326" s="27" t="s">
        <v>250</v>
      </c>
      <c r="X2326" s="158"/>
      <c r="Y2326" s="164">
        <f t="shared" ca="1" si="155"/>
        <v>46290</v>
      </c>
      <c r="Z2326" s="35">
        <f t="shared" ca="1" si="154"/>
        <v>-414</v>
      </c>
      <c r="AA2326" s="158">
        <f>MONTH(Table1[[#This Row],[End]])</f>
        <v>8</v>
      </c>
      <c r="AB2326" s="158">
        <f>YEAR(Table1[[#This Row],[End]])</f>
        <v>2025</v>
      </c>
      <c r="AC2326" s="159" t="s">
        <v>11197</v>
      </c>
      <c r="AD2326" s="159" t="s">
        <v>11198</v>
      </c>
      <c r="AE2326" s="184" t="s">
        <v>11199</v>
      </c>
      <c r="AF2326" s="158" t="s">
        <v>333</v>
      </c>
      <c r="AG2326" s="160"/>
      <c r="AH2326" s="160"/>
      <c r="AI2326" s="158"/>
      <c r="AJ2326" s="158"/>
      <c r="AK2326" s="158"/>
      <c r="AL2326" s="158"/>
      <c r="AM2326" s="158"/>
      <c r="AN2326" s="158"/>
      <c r="AO2326" s="158"/>
      <c r="AP2326" s="158"/>
      <c r="AQ2326" s="158"/>
      <c r="AR2326" s="507"/>
      <c r="AS2326" s="475"/>
      <c r="AT2326" s="160"/>
    </row>
    <row r="2327" spans="1:46" ht="15" hidden="1" customHeight="1">
      <c r="A2327" s="331">
        <v>2326</v>
      </c>
      <c r="B2327" s="159" t="s">
        <v>382</v>
      </c>
      <c r="C2327" s="159" t="s">
        <v>344</v>
      </c>
      <c r="D2327" s="437" t="s">
        <v>384</v>
      </c>
      <c r="E2327" s="361" t="str">
        <f t="shared" ca="1" si="153"/>
        <v>LOSS</v>
      </c>
      <c r="F2327" s="160"/>
      <c r="G2327" s="159" t="s">
        <v>5316</v>
      </c>
      <c r="H2327" s="160" t="s">
        <v>2748</v>
      </c>
      <c r="I2327" s="160" t="s">
        <v>242</v>
      </c>
      <c r="J2327" s="159"/>
      <c r="K2327" s="160"/>
      <c r="L2327" s="158"/>
      <c r="M2327" s="158" t="s">
        <v>365</v>
      </c>
      <c r="N2327" s="158"/>
      <c r="O2327" s="162"/>
      <c r="P2327" s="161"/>
      <c r="Q2327" s="161"/>
      <c r="R2327" s="162"/>
      <c r="S2327" s="163">
        <v>204000000</v>
      </c>
      <c r="T2327" s="164"/>
      <c r="U2327" s="340">
        <v>45327</v>
      </c>
      <c r="V2327" s="340">
        <v>45508</v>
      </c>
      <c r="W2327" s="27" t="s">
        <v>250</v>
      </c>
      <c r="X2327" s="158"/>
      <c r="Y2327" s="164">
        <f t="shared" ca="1" si="155"/>
        <v>46290</v>
      </c>
      <c r="Z2327" s="35">
        <f t="shared" ca="1" si="154"/>
        <v>-782</v>
      </c>
      <c r="AA2327" s="158">
        <f>MONTH(Table1[[#This Row],[End]])</f>
        <v>8</v>
      </c>
      <c r="AB2327" s="158">
        <f>YEAR(Table1[[#This Row],[End]])</f>
        <v>2024</v>
      </c>
      <c r="AC2327" s="159" t="s">
        <v>3371</v>
      </c>
      <c r="AD2327" s="159" t="s">
        <v>11200</v>
      </c>
      <c r="AE2327" s="184" t="s">
        <v>11201</v>
      </c>
      <c r="AF2327" s="158" t="s">
        <v>333</v>
      </c>
      <c r="AG2327" s="160"/>
      <c r="AH2327" s="160"/>
      <c r="AI2327" s="158"/>
      <c r="AJ2327" s="158"/>
      <c r="AK2327" s="158"/>
      <c r="AL2327" s="158"/>
      <c r="AM2327" s="158"/>
      <c r="AN2327" s="158"/>
      <c r="AO2327" s="158"/>
      <c r="AP2327" s="158"/>
      <c r="AQ2327" s="158"/>
      <c r="AR2327" s="507"/>
      <c r="AS2327" s="475"/>
      <c r="AT2327" s="160"/>
    </row>
    <row r="2328" spans="1:46" ht="15" hidden="1" customHeight="1">
      <c r="A2328" s="331">
        <v>2327</v>
      </c>
      <c r="B2328" s="159" t="s">
        <v>127</v>
      </c>
      <c r="C2328" s="159" t="s">
        <v>2689</v>
      </c>
      <c r="D2328" s="438" t="s">
        <v>384</v>
      </c>
      <c r="E2328" s="361" t="str">
        <f t="shared" ca="1" si="153"/>
        <v>LOSS</v>
      </c>
      <c r="F2328" s="160"/>
      <c r="G2328" s="182" t="s">
        <v>11202</v>
      </c>
      <c r="H2328" s="160" t="s">
        <v>2748</v>
      </c>
      <c r="I2328" s="160" t="s">
        <v>346</v>
      </c>
      <c r="J2328" s="159" t="s">
        <v>128</v>
      </c>
      <c r="K2328" s="160" t="s">
        <v>11203</v>
      </c>
      <c r="L2328" s="158"/>
      <c r="M2328" s="158" t="s">
        <v>365</v>
      </c>
      <c r="N2328" s="158" t="s">
        <v>417</v>
      </c>
      <c r="O2328" s="162"/>
      <c r="P2328" s="161">
        <f>3976380*12</f>
        <v>47716560</v>
      </c>
      <c r="Q2328" s="161"/>
      <c r="R2328" s="162"/>
      <c r="S2328" s="163">
        <v>13200000</v>
      </c>
      <c r="T2328" s="164"/>
      <c r="U2328" s="340">
        <v>45753</v>
      </c>
      <c r="V2328" s="340">
        <v>46117</v>
      </c>
      <c r="W2328" s="27" t="s">
        <v>250</v>
      </c>
      <c r="X2328" s="158"/>
      <c r="Y2328" s="164">
        <f t="shared" ca="1" si="155"/>
        <v>46290</v>
      </c>
      <c r="Z2328" s="35">
        <f t="shared" ca="1" si="154"/>
        <v>-173</v>
      </c>
      <c r="AA2328" s="158">
        <f>MONTH(Table1[[#This Row],[End]])</f>
        <v>4</v>
      </c>
      <c r="AB2328" s="158">
        <f>YEAR(Table1[[#This Row],[End]])</f>
        <v>2026</v>
      </c>
      <c r="AC2328" s="159" t="s">
        <v>11204</v>
      </c>
      <c r="AD2328" s="159" t="s">
        <v>11205</v>
      </c>
      <c r="AE2328" s="184" t="s">
        <v>11206</v>
      </c>
      <c r="AF2328" s="201" t="s">
        <v>339</v>
      </c>
      <c r="AG2328" s="160"/>
      <c r="AH2328" s="160"/>
      <c r="AI2328" s="158"/>
      <c r="AJ2328" s="158"/>
      <c r="AK2328" s="158"/>
      <c r="AL2328" s="158"/>
      <c r="AM2328" s="158"/>
      <c r="AN2328" s="158"/>
      <c r="AO2328" s="158"/>
      <c r="AP2328" s="158"/>
      <c r="AQ2328" s="158">
        <v>172</v>
      </c>
      <c r="AR2328" s="507"/>
      <c r="AS2328" s="475"/>
      <c r="AT2328" s="160"/>
    </row>
    <row r="2329" spans="1:46" ht="15" hidden="1" customHeight="1">
      <c r="A2329" s="331">
        <v>2328</v>
      </c>
      <c r="B2329" s="159" t="s">
        <v>11207</v>
      </c>
      <c r="C2329" s="159" t="s">
        <v>11208</v>
      </c>
      <c r="D2329" s="437" t="s">
        <v>11209</v>
      </c>
      <c r="E2329" s="361" t="str">
        <f t="shared" ca="1" si="153"/>
        <v>ON TRACK</v>
      </c>
      <c r="F2329" s="160"/>
      <c r="G2329" s="159" t="s">
        <v>11210</v>
      </c>
      <c r="H2329" s="160" t="s">
        <v>2748</v>
      </c>
      <c r="I2329" s="160" t="s">
        <v>346</v>
      </c>
      <c r="J2329" s="205" t="s">
        <v>11211</v>
      </c>
      <c r="K2329" s="160"/>
      <c r="L2329" s="158"/>
      <c r="M2329" s="158" t="s">
        <v>353</v>
      </c>
      <c r="N2329" s="158" t="s">
        <v>6727</v>
      </c>
      <c r="O2329" s="162">
        <v>5000000</v>
      </c>
      <c r="P2329" s="161">
        <f>12000000*12</f>
        <v>144000000</v>
      </c>
      <c r="Q2329" s="161"/>
      <c r="R2329" s="162"/>
      <c r="S2329" s="163">
        <v>19500000</v>
      </c>
      <c r="T2329" s="164"/>
      <c r="U2329" s="340">
        <v>45839</v>
      </c>
      <c r="V2329" s="340">
        <v>46568</v>
      </c>
      <c r="W2329" s="27" t="s">
        <v>17</v>
      </c>
      <c r="X2329" s="158"/>
      <c r="Y2329" s="164">
        <f t="shared" ca="1" si="155"/>
        <v>46290</v>
      </c>
      <c r="Z2329" s="35">
        <f t="shared" ca="1" si="154"/>
        <v>278</v>
      </c>
      <c r="AA2329" s="158">
        <f>MONTH(Table1[[#This Row],[End]])</f>
        <v>6</v>
      </c>
      <c r="AB2329" s="158">
        <f>YEAR(Table1[[#This Row],[End]])</f>
        <v>2027</v>
      </c>
      <c r="AC2329" s="159" t="s">
        <v>3371</v>
      </c>
      <c r="AD2329" s="159" t="s">
        <v>11212</v>
      </c>
      <c r="AE2329" s="184" t="s">
        <v>11213</v>
      </c>
      <c r="AF2329" s="158" t="s">
        <v>333</v>
      </c>
      <c r="AG2329" s="160"/>
      <c r="AH2329" s="160"/>
      <c r="AI2329" s="158"/>
      <c r="AJ2329" s="158"/>
      <c r="AK2329" s="158"/>
      <c r="AL2329" s="158"/>
      <c r="AM2329" s="158"/>
      <c r="AN2329" s="158"/>
      <c r="AO2329" s="158"/>
      <c r="AP2329" s="158"/>
      <c r="AQ2329" s="158">
        <v>192</v>
      </c>
      <c r="AR2329" s="507"/>
      <c r="AS2329" s="475" t="s">
        <v>11214</v>
      </c>
      <c r="AT2329" s="160"/>
    </row>
    <row r="2330" spans="1:46" ht="15" hidden="1" customHeight="1">
      <c r="A2330" s="331">
        <v>2329</v>
      </c>
      <c r="B2330" s="28" t="s">
        <v>154</v>
      </c>
      <c r="C2330" s="28" t="s">
        <v>2741</v>
      </c>
      <c r="D2330" s="438" t="s">
        <v>9227</v>
      </c>
      <c r="E2330" s="361" t="str">
        <f t="shared" ca="1" si="153"/>
        <v>LOSS</v>
      </c>
      <c r="F2330" s="160"/>
      <c r="G2330" s="159" t="s">
        <v>8970</v>
      </c>
      <c r="H2330" s="160" t="s">
        <v>2748</v>
      </c>
      <c r="I2330" s="160" t="s">
        <v>346</v>
      </c>
      <c r="J2330" s="205" t="s">
        <v>11215</v>
      </c>
      <c r="K2330" s="205" t="s">
        <v>11216</v>
      </c>
      <c r="L2330" s="158"/>
      <c r="M2330" s="158" t="s">
        <v>353</v>
      </c>
      <c r="N2330" s="158" t="s">
        <v>396</v>
      </c>
      <c r="O2330" s="162"/>
      <c r="P2330" s="161">
        <f>48000000*12</f>
        <v>576000000</v>
      </c>
      <c r="Q2330" s="161"/>
      <c r="R2330" s="162"/>
      <c r="S2330" s="163">
        <v>234000000</v>
      </c>
      <c r="T2330" s="164"/>
      <c r="U2330" s="340">
        <v>45858</v>
      </c>
      <c r="V2330" s="340">
        <v>46222</v>
      </c>
      <c r="W2330" s="27" t="s">
        <v>17</v>
      </c>
      <c r="X2330" s="158"/>
      <c r="Y2330" s="164">
        <f t="shared" ca="1" si="155"/>
        <v>46290</v>
      </c>
      <c r="Z2330" s="35">
        <f t="shared" ca="1" si="154"/>
        <v>-68</v>
      </c>
      <c r="AA2330" s="158">
        <f>MONTH(Table1[[#This Row],[End]])</f>
        <v>7</v>
      </c>
      <c r="AB2330" s="158">
        <f>YEAR(Table1[[#This Row],[End]])</f>
        <v>2026</v>
      </c>
      <c r="AC2330" s="159" t="s">
        <v>11217</v>
      </c>
      <c r="AD2330" s="159" t="s">
        <v>11218</v>
      </c>
      <c r="AE2330" s="184" t="s">
        <v>11219</v>
      </c>
      <c r="AF2330" s="158" t="s">
        <v>333</v>
      </c>
      <c r="AG2330" s="160"/>
      <c r="AH2330" s="160"/>
      <c r="AI2330" s="158"/>
      <c r="AJ2330" s="158"/>
      <c r="AK2330" s="158"/>
      <c r="AL2330" s="158"/>
      <c r="AM2330" s="158"/>
      <c r="AN2330" s="158"/>
      <c r="AO2330" s="158"/>
      <c r="AP2330" s="158"/>
      <c r="AQ2330" s="158">
        <v>219</v>
      </c>
      <c r="AR2330" s="507"/>
      <c r="AS2330" s="475"/>
      <c r="AT2330" s="160"/>
    </row>
    <row r="2331" spans="1:46" ht="15" hidden="1" customHeight="1">
      <c r="A2331" s="331">
        <v>2330</v>
      </c>
      <c r="B2331" s="28" t="s">
        <v>154</v>
      </c>
      <c r="C2331" s="28" t="s">
        <v>2741</v>
      </c>
      <c r="D2331" s="437" t="s">
        <v>9227</v>
      </c>
      <c r="E2331" s="361" t="str">
        <f t="shared" ca="1" si="153"/>
        <v>LOSS</v>
      </c>
      <c r="F2331" s="160"/>
      <c r="G2331" s="159" t="s">
        <v>8970</v>
      </c>
      <c r="H2331" s="160" t="s">
        <v>2748</v>
      </c>
      <c r="I2331" s="160" t="s">
        <v>346</v>
      </c>
      <c r="J2331" s="205" t="s">
        <v>157</v>
      </c>
      <c r="K2331" s="181" t="s">
        <v>7027</v>
      </c>
      <c r="L2331" s="158"/>
      <c r="M2331" s="158" t="s">
        <v>7267</v>
      </c>
      <c r="N2331" s="158" t="s">
        <v>362</v>
      </c>
      <c r="O2331" s="162"/>
      <c r="P2331" s="161">
        <f>14000000*12</f>
        <v>168000000</v>
      </c>
      <c r="Q2331" s="161"/>
      <c r="R2331" s="162"/>
      <c r="S2331" s="163">
        <v>78000000</v>
      </c>
      <c r="T2331" s="164"/>
      <c r="U2331" s="340">
        <v>45848</v>
      </c>
      <c r="V2331" s="340">
        <v>46212</v>
      </c>
      <c r="W2331" s="27" t="s">
        <v>17</v>
      </c>
      <c r="X2331" s="158"/>
      <c r="Y2331" s="164">
        <f t="shared" ca="1" si="155"/>
        <v>46290</v>
      </c>
      <c r="Z2331" s="35">
        <f t="shared" ca="1" si="154"/>
        <v>-78</v>
      </c>
      <c r="AA2331" s="158">
        <f>MONTH(Table1[[#This Row],[End]])</f>
        <v>7</v>
      </c>
      <c r="AB2331" s="158">
        <f>YEAR(Table1[[#This Row],[End]])</f>
        <v>2026</v>
      </c>
      <c r="AC2331" s="159" t="s">
        <v>11220</v>
      </c>
      <c r="AD2331" s="159" t="s">
        <v>11221</v>
      </c>
      <c r="AE2331" s="184" t="s">
        <v>11222</v>
      </c>
      <c r="AF2331" s="158" t="s">
        <v>333</v>
      </c>
      <c r="AG2331" s="160"/>
      <c r="AH2331" s="160"/>
      <c r="AI2331" s="158"/>
      <c r="AJ2331" s="158"/>
      <c r="AK2331" s="158"/>
      <c r="AL2331" s="158"/>
      <c r="AM2331" s="158"/>
      <c r="AN2331" s="158"/>
      <c r="AO2331" s="158"/>
      <c r="AP2331" s="158"/>
      <c r="AQ2331" s="158">
        <v>218</v>
      </c>
      <c r="AR2331" s="507"/>
      <c r="AS2331" s="475"/>
      <c r="AT2331" s="160"/>
    </row>
    <row r="2332" spans="1:46" ht="15" hidden="1" customHeight="1">
      <c r="A2332" s="331">
        <v>2331</v>
      </c>
      <c r="B2332" s="28" t="s">
        <v>154</v>
      </c>
      <c r="C2332" s="28" t="s">
        <v>2741</v>
      </c>
      <c r="D2332" s="438" t="s">
        <v>9227</v>
      </c>
      <c r="E2332" s="361" t="str">
        <f t="shared" ca="1" si="153"/>
        <v>LOSS</v>
      </c>
      <c r="F2332" s="160"/>
      <c r="G2332" s="159" t="s">
        <v>8970</v>
      </c>
      <c r="H2332" s="160" t="s">
        <v>2748</v>
      </c>
      <c r="I2332" s="160" t="s">
        <v>346</v>
      </c>
      <c r="J2332" s="205" t="s">
        <v>158</v>
      </c>
      <c r="K2332" s="205" t="s">
        <v>8977</v>
      </c>
      <c r="L2332" s="158"/>
      <c r="M2332" s="158" t="s">
        <v>7267</v>
      </c>
      <c r="N2332" s="158" t="s">
        <v>6649</v>
      </c>
      <c r="O2332" s="162"/>
      <c r="P2332" s="161">
        <f>12000000*12</f>
        <v>144000000</v>
      </c>
      <c r="Q2332" s="161"/>
      <c r="R2332" s="162"/>
      <c r="S2332" s="163">
        <v>24000000</v>
      </c>
      <c r="T2332" s="164"/>
      <c r="U2332" s="340">
        <v>45858</v>
      </c>
      <c r="V2332" s="340">
        <v>46222</v>
      </c>
      <c r="W2332" s="27" t="s">
        <v>17</v>
      </c>
      <c r="X2332" s="158"/>
      <c r="Y2332" s="164">
        <f t="shared" ca="1" si="155"/>
        <v>46290</v>
      </c>
      <c r="Z2332" s="35">
        <f t="shared" ca="1" si="154"/>
        <v>-68</v>
      </c>
      <c r="AA2332" s="158">
        <f>MONTH(Table1[[#This Row],[End]])</f>
        <v>7</v>
      </c>
      <c r="AB2332" s="158">
        <f>YEAR(Table1[[#This Row],[End]])</f>
        <v>2026</v>
      </c>
      <c r="AC2332" s="28" t="s">
        <v>11223</v>
      </c>
      <c r="AD2332" s="159" t="s">
        <v>11224</v>
      </c>
      <c r="AE2332" s="184" t="s">
        <v>11225</v>
      </c>
      <c r="AF2332" s="158" t="s">
        <v>333</v>
      </c>
      <c r="AG2332" s="160"/>
      <c r="AH2332" s="160"/>
      <c r="AI2332" s="158"/>
      <c r="AJ2332" s="158"/>
      <c r="AK2332" s="158"/>
      <c r="AL2332" s="158"/>
      <c r="AM2332" s="158"/>
      <c r="AN2332" s="158"/>
      <c r="AO2332" s="158"/>
      <c r="AP2332" s="158"/>
      <c r="AQ2332" s="158">
        <v>220</v>
      </c>
      <c r="AR2332" s="507"/>
      <c r="AS2332" s="475"/>
      <c r="AT2332" s="160"/>
    </row>
    <row r="2333" spans="1:46" ht="15" hidden="1" customHeight="1">
      <c r="A2333" s="331">
        <v>2332</v>
      </c>
      <c r="B2333" s="28" t="s">
        <v>154</v>
      </c>
      <c r="C2333" s="28" t="s">
        <v>3779</v>
      </c>
      <c r="D2333" s="437" t="s">
        <v>9227</v>
      </c>
      <c r="E2333" s="361" t="str">
        <f t="shared" ca="1" si="153"/>
        <v>LOSS</v>
      </c>
      <c r="F2333" s="160" t="s">
        <v>11226</v>
      </c>
      <c r="G2333" s="159" t="s">
        <v>11227</v>
      </c>
      <c r="H2333" s="160" t="s">
        <v>2748</v>
      </c>
      <c r="I2333" s="160" t="s">
        <v>346</v>
      </c>
      <c r="J2333" s="205" t="s">
        <v>162</v>
      </c>
      <c r="K2333" s="160"/>
      <c r="L2333" s="158"/>
      <c r="M2333" s="158" t="s">
        <v>7267</v>
      </c>
      <c r="N2333" s="158" t="s">
        <v>389</v>
      </c>
      <c r="O2333" s="162"/>
      <c r="P2333" s="161">
        <f>17000000*12</f>
        <v>204000000</v>
      </c>
      <c r="Q2333" s="161"/>
      <c r="R2333" s="162"/>
      <c r="S2333" s="163">
        <v>132000000</v>
      </c>
      <c r="T2333" s="164"/>
      <c r="U2333" s="340">
        <v>45823</v>
      </c>
      <c r="V2333" s="340">
        <v>46187</v>
      </c>
      <c r="W2333" s="27" t="s">
        <v>17</v>
      </c>
      <c r="X2333" s="158"/>
      <c r="Y2333" s="164">
        <f t="shared" ca="1" si="155"/>
        <v>46290</v>
      </c>
      <c r="Z2333" s="35">
        <f t="shared" ca="1" si="154"/>
        <v>-103</v>
      </c>
      <c r="AA2333" s="158">
        <f>MONTH(Table1[[#This Row],[End]])</f>
        <v>6</v>
      </c>
      <c r="AB2333" s="158">
        <f>YEAR(Table1[[#This Row],[End]])</f>
        <v>2026</v>
      </c>
      <c r="AC2333" s="28" t="s">
        <v>11228</v>
      </c>
      <c r="AD2333" s="159" t="s">
        <v>11229</v>
      </c>
      <c r="AE2333" s="184" t="s">
        <v>11230</v>
      </c>
      <c r="AF2333" s="158" t="s">
        <v>339</v>
      </c>
      <c r="AG2333" s="160"/>
      <c r="AH2333" s="160"/>
      <c r="AI2333" s="158"/>
      <c r="AJ2333" s="158"/>
      <c r="AK2333" s="158"/>
      <c r="AL2333" s="158"/>
      <c r="AM2333" s="158"/>
      <c r="AN2333" s="158"/>
      <c r="AO2333" s="158"/>
      <c r="AP2333" s="158"/>
      <c r="AQ2333" s="158">
        <v>171</v>
      </c>
      <c r="AR2333" s="507"/>
      <c r="AS2333" s="475"/>
      <c r="AT2333" s="160"/>
    </row>
    <row r="2334" spans="1:46" ht="15" hidden="1" customHeight="1">
      <c r="A2334" s="331">
        <v>2333</v>
      </c>
      <c r="B2334" s="28" t="s">
        <v>154</v>
      </c>
      <c r="C2334" s="28" t="s">
        <v>11231</v>
      </c>
      <c r="D2334" s="438" t="s">
        <v>9227</v>
      </c>
      <c r="E2334" s="361" t="str">
        <f t="shared" ca="1" si="153"/>
        <v>LOSS</v>
      </c>
      <c r="F2334" s="160"/>
      <c r="G2334" s="221" t="s">
        <v>11232</v>
      </c>
      <c r="H2334" s="160" t="s">
        <v>2748</v>
      </c>
      <c r="I2334" s="160" t="s">
        <v>346</v>
      </c>
      <c r="J2334" s="205" t="s">
        <v>11233</v>
      </c>
      <c r="K2334" s="160"/>
      <c r="L2334" s="158"/>
      <c r="M2334" s="158" t="s">
        <v>329</v>
      </c>
      <c r="N2334" s="158" t="s">
        <v>6885</v>
      </c>
      <c r="O2334" s="162"/>
      <c r="P2334" s="161">
        <f>1656500*12</f>
        <v>19878000</v>
      </c>
      <c r="Q2334" s="161"/>
      <c r="R2334" s="162"/>
      <c r="S2334" s="163">
        <f>2000000*12</f>
        <v>24000000</v>
      </c>
      <c r="T2334" s="164"/>
      <c r="U2334" s="340">
        <v>45823</v>
      </c>
      <c r="V2334" s="340">
        <v>46187</v>
      </c>
      <c r="W2334" s="27" t="s">
        <v>17</v>
      </c>
      <c r="X2334" s="158"/>
      <c r="Y2334" s="164">
        <f t="shared" ca="1" si="155"/>
        <v>46290</v>
      </c>
      <c r="Z2334" s="35">
        <f t="shared" ca="1" si="154"/>
        <v>-103</v>
      </c>
      <c r="AA2334" s="158">
        <f>MONTH(Table1[[#This Row],[End]])</f>
        <v>6</v>
      </c>
      <c r="AB2334" s="158">
        <f>YEAR(Table1[[#This Row],[End]])</f>
        <v>2026</v>
      </c>
      <c r="AC2334" s="28" t="s">
        <v>11234</v>
      </c>
      <c r="AD2334" s="257" t="s">
        <v>11235</v>
      </c>
      <c r="AE2334" s="184" t="s">
        <v>11236</v>
      </c>
      <c r="AF2334" s="158" t="s">
        <v>339</v>
      </c>
      <c r="AG2334" s="160"/>
      <c r="AH2334" s="160"/>
      <c r="AI2334" s="158"/>
      <c r="AJ2334" s="158"/>
      <c r="AK2334" s="158"/>
      <c r="AL2334" s="158"/>
      <c r="AM2334" s="158"/>
      <c r="AN2334" s="158"/>
      <c r="AO2334" s="158"/>
      <c r="AP2334" s="158"/>
      <c r="AQ2334" s="158">
        <v>231</v>
      </c>
      <c r="AR2334" s="507"/>
      <c r="AS2334" s="475"/>
      <c r="AT2334" s="160"/>
    </row>
    <row r="2335" spans="1:46" ht="15" hidden="1" customHeight="1">
      <c r="A2335" s="331">
        <v>2334</v>
      </c>
      <c r="B2335" s="28" t="s">
        <v>542</v>
      </c>
      <c r="C2335" s="28" t="s">
        <v>1229</v>
      </c>
      <c r="D2335" s="437" t="s">
        <v>413</v>
      </c>
      <c r="E2335" s="361" t="str">
        <f t="shared" ca="1" si="153"/>
        <v>LOSS</v>
      </c>
      <c r="F2335" s="159" t="s">
        <v>11237</v>
      </c>
      <c r="G2335" s="159" t="s">
        <v>11238</v>
      </c>
      <c r="H2335" s="160" t="s">
        <v>2748</v>
      </c>
      <c r="I2335" s="160" t="s">
        <v>242</v>
      </c>
      <c r="J2335" s="205" t="s">
        <v>64</v>
      </c>
      <c r="K2335" s="160"/>
      <c r="L2335" s="158"/>
      <c r="M2335" s="158" t="s">
        <v>365</v>
      </c>
      <c r="N2335" s="158" t="s">
        <v>494</v>
      </c>
      <c r="O2335" s="162"/>
      <c r="P2335" s="161">
        <f>9000000*12</f>
        <v>108000000</v>
      </c>
      <c r="Q2335" s="161"/>
      <c r="R2335" s="162"/>
      <c r="S2335" s="163">
        <v>8000000</v>
      </c>
      <c r="T2335" s="164"/>
      <c r="U2335" s="340">
        <v>45901</v>
      </c>
      <c r="V2335" s="340">
        <v>46265</v>
      </c>
      <c r="W2335" s="27" t="s">
        <v>17</v>
      </c>
      <c r="X2335" s="158"/>
      <c r="Y2335" s="164">
        <f t="shared" ca="1" si="155"/>
        <v>46290</v>
      </c>
      <c r="Z2335" s="35">
        <f t="shared" ca="1" si="154"/>
        <v>-25</v>
      </c>
      <c r="AA2335" s="158">
        <f>MONTH(Table1[[#This Row],[End]])</f>
        <v>8</v>
      </c>
      <c r="AB2335" s="158">
        <f>YEAR(Table1[[#This Row],[End]])</f>
        <v>2026</v>
      </c>
      <c r="AC2335" s="159" t="s">
        <v>11239</v>
      </c>
      <c r="AD2335" s="159" t="s">
        <v>11240</v>
      </c>
      <c r="AE2335" s="184" t="s">
        <v>11241</v>
      </c>
      <c r="AF2335" s="158" t="s">
        <v>333</v>
      </c>
      <c r="AG2335" s="160"/>
      <c r="AH2335" s="160"/>
      <c r="AI2335" s="158"/>
      <c r="AJ2335" s="158"/>
      <c r="AK2335" s="158"/>
      <c r="AL2335" s="158"/>
      <c r="AM2335" s="158"/>
      <c r="AN2335" s="158"/>
      <c r="AO2335" s="158"/>
      <c r="AP2335" s="158"/>
      <c r="AQ2335" s="158">
        <v>199</v>
      </c>
      <c r="AR2335" s="507"/>
      <c r="AS2335" s="475"/>
      <c r="AT2335" s="160"/>
    </row>
    <row r="2336" spans="1:46" ht="15" hidden="1" customHeight="1">
      <c r="A2336" s="331">
        <v>2335</v>
      </c>
      <c r="B2336" s="28" t="s">
        <v>542</v>
      </c>
      <c r="C2336" s="28" t="s">
        <v>11242</v>
      </c>
      <c r="D2336" s="438" t="s">
        <v>413</v>
      </c>
      <c r="E2336" s="361" t="str">
        <f t="shared" ca="1" si="153"/>
        <v>LOSS</v>
      </c>
      <c r="F2336" s="160" t="s">
        <v>11243</v>
      </c>
      <c r="G2336" s="159" t="s">
        <v>11244</v>
      </c>
      <c r="H2336" s="160" t="s">
        <v>2748</v>
      </c>
      <c r="I2336" s="160" t="s">
        <v>242</v>
      </c>
      <c r="J2336" s="205" t="s">
        <v>63</v>
      </c>
      <c r="K2336" s="160"/>
      <c r="L2336" s="158"/>
      <c r="M2336" s="158" t="s">
        <v>365</v>
      </c>
      <c r="N2336" s="158" t="s">
        <v>389</v>
      </c>
      <c r="O2336" s="162"/>
      <c r="P2336" s="161">
        <f>7000000*12</f>
        <v>84000000</v>
      </c>
      <c r="Q2336" s="161"/>
      <c r="R2336" s="162"/>
      <c r="S2336" s="163">
        <v>8000000</v>
      </c>
      <c r="T2336" s="164"/>
      <c r="U2336" s="340">
        <v>45867</v>
      </c>
      <c r="V2336" s="340">
        <v>46231</v>
      </c>
      <c r="W2336" s="27" t="s">
        <v>17</v>
      </c>
      <c r="X2336" s="158"/>
      <c r="Y2336" s="164">
        <f t="shared" ca="1" si="155"/>
        <v>46290</v>
      </c>
      <c r="Z2336" s="35">
        <f t="shared" ca="1" si="154"/>
        <v>-59</v>
      </c>
      <c r="AA2336" s="158">
        <f>MONTH(Table1[[#This Row],[End]])</f>
        <v>7</v>
      </c>
      <c r="AB2336" s="158">
        <f>YEAR(Table1[[#This Row],[End]])</f>
        <v>2026</v>
      </c>
      <c r="AC2336" s="159" t="s">
        <v>11245</v>
      </c>
      <c r="AD2336" s="182" t="s">
        <v>11246</v>
      </c>
      <c r="AE2336" s="184" t="s">
        <v>11247</v>
      </c>
      <c r="AF2336" s="158" t="s">
        <v>333</v>
      </c>
      <c r="AG2336" s="160"/>
      <c r="AH2336" s="160"/>
      <c r="AI2336" s="158"/>
      <c r="AJ2336" s="158"/>
      <c r="AK2336" s="158"/>
      <c r="AL2336" s="158"/>
      <c r="AM2336" s="158"/>
      <c r="AN2336" s="158"/>
      <c r="AO2336" s="158"/>
      <c r="AP2336" s="158"/>
      <c r="AQ2336" s="158">
        <v>196</v>
      </c>
      <c r="AR2336" s="507"/>
      <c r="AS2336" s="475"/>
      <c r="AT2336" s="160"/>
    </row>
    <row r="2337" spans="1:46" ht="15" hidden="1" customHeight="1">
      <c r="A2337" s="331">
        <v>2336</v>
      </c>
      <c r="B2337" s="28" t="s">
        <v>9556</v>
      </c>
      <c r="C2337" s="28" t="s">
        <v>670</v>
      </c>
      <c r="D2337" s="437" t="s">
        <v>413</v>
      </c>
      <c r="E2337" s="361" t="str">
        <f t="shared" ca="1" si="153"/>
        <v>LOSS</v>
      </c>
      <c r="F2337" s="160" t="s">
        <v>8592</v>
      </c>
      <c r="G2337" s="159" t="s">
        <v>8593</v>
      </c>
      <c r="H2337" s="160" t="s">
        <v>2748</v>
      </c>
      <c r="I2337" s="160" t="s">
        <v>242</v>
      </c>
      <c r="J2337" s="205" t="s">
        <v>11248</v>
      </c>
      <c r="K2337" s="160"/>
      <c r="L2337" s="158"/>
      <c r="M2337" s="158" t="s">
        <v>365</v>
      </c>
      <c r="N2337" s="158" t="s">
        <v>6762</v>
      </c>
      <c r="O2337" s="162"/>
      <c r="P2337" s="31">
        <f>29992000*12</f>
        <v>359904000</v>
      </c>
      <c r="Q2337" s="161"/>
      <c r="R2337" s="162"/>
      <c r="S2337" s="163">
        <v>12000000</v>
      </c>
      <c r="T2337" s="164"/>
      <c r="U2337" s="334">
        <v>45857</v>
      </c>
      <c r="V2337" s="334">
        <v>46221</v>
      </c>
      <c r="W2337" s="158" t="s">
        <v>17</v>
      </c>
      <c r="X2337" s="158"/>
      <c r="Y2337" s="34">
        <f t="shared" ca="1" si="155"/>
        <v>46290</v>
      </c>
      <c r="Z2337" s="35">
        <f t="shared" ca="1" si="154"/>
        <v>-69</v>
      </c>
      <c r="AA2337" s="27">
        <f>MONTH(Table1[[#This Row],[End]])</f>
        <v>7</v>
      </c>
      <c r="AB2337" s="27">
        <f>YEAR(V2337)</f>
        <v>2026</v>
      </c>
      <c r="AC2337" s="159" t="s">
        <v>11249</v>
      </c>
      <c r="AD2337" s="159" t="s">
        <v>11250</v>
      </c>
      <c r="AE2337" s="184" t="s">
        <v>11251</v>
      </c>
      <c r="AF2337" s="201" t="s">
        <v>399</v>
      </c>
      <c r="AG2337" s="160"/>
      <c r="AH2337" s="160"/>
      <c r="AI2337" s="158"/>
      <c r="AJ2337" s="158"/>
      <c r="AK2337" s="158"/>
      <c r="AL2337" s="158"/>
      <c r="AM2337" s="158"/>
      <c r="AN2337" s="158"/>
      <c r="AO2337" s="158"/>
      <c r="AP2337" s="158"/>
      <c r="AQ2337" s="158">
        <v>200</v>
      </c>
      <c r="AR2337" s="507"/>
      <c r="AS2337" s="475"/>
      <c r="AT2337" s="160"/>
    </row>
    <row r="2338" spans="1:46" ht="15" hidden="1" customHeight="1">
      <c r="A2338" s="331">
        <v>2337</v>
      </c>
      <c r="B2338" s="28" t="s">
        <v>11252</v>
      </c>
      <c r="C2338" s="28" t="s">
        <v>11253</v>
      </c>
      <c r="D2338" s="438" t="s">
        <v>9557</v>
      </c>
      <c r="E2338" s="361" t="str">
        <f t="shared" ca="1" si="153"/>
        <v>ON TRACK</v>
      </c>
      <c r="F2338" s="160"/>
      <c r="G2338" s="28" t="s">
        <v>4254</v>
      </c>
      <c r="H2338" s="29" t="s">
        <v>2748</v>
      </c>
      <c r="I2338" s="29" t="s">
        <v>346</v>
      </c>
      <c r="J2338" s="28" t="s">
        <v>4255</v>
      </c>
      <c r="K2338" s="160"/>
      <c r="L2338" s="158"/>
      <c r="M2338" s="158" t="s">
        <v>353</v>
      </c>
      <c r="N2338" s="158" t="s">
        <v>362</v>
      </c>
      <c r="O2338" s="162"/>
      <c r="P2338" s="161">
        <f>9000000*12</f>
        <v>108000000</v>
      </c>
      <c r="Q2338" s="161"/>
      <c r="R2338" s="162"/>
      <c r="S2338" s="163">
        <v>205500000</v>
      </c>
      <c r="T2338" s="164"/>
      <c r="U2338" s="334">
        <v>45809</v>
      </c>
      <c r="V2338" s="334">
        <v>46904</v>
      </c>
      <c r="W2338" s="27" t="s">
        <v>17</v>
      </c>
      <c r="X2338" s="158"/>
      <c r="Y2338" s="34">
        <f t="shared" ca="1" si="155"/>
        <v>46290</v>
      </c>
      <c r="Z2338" s="35">
        <f t="shared" ca="1" si="154"/>
        <v>614</v>
      </c>
      <c r="AA2338" s="27">
        <f>MONTH(V2338)</f>
        <v>5</v>
      </c>
      <c r="AB2338" s="27">
        <f>YEAR(V2338)</f>
        <v>2028</v>
      </c>
      <c r="AC2338" s="28" t="s">
        <v>11254</v>
      </c>
      <c r="AD2338" s="159" t="s">
        <v>11255</v>
      </c>
      <c r="AE2338" s="184" t="s">
        <v>11256</v>
      </c>
      <c r="AF2338" s="27" t="s">
        <v>333</v>
      </c>
      <c r="AG2338" s="160"/>
      <c r="AH2338" s="160"/>
      <c r="AI2338" s="158"/>
      <c r="AJ2338" s="158"/>
      <c r="AK2338" s="158"/>
      <c r="AL2338" s="158"/>
      <c r="AM2338" s="158"/>
      <c r="AN2338" s="158"/>
      <c r="AO2338" s="158"/>
      <c r="AP2338" s="158"/>
      <c r="AQ2338" s="158">
        <v>222</v>
      </c>
      <c r="AR2338" s="507"/>
      <c r="AS2338" s="475"/>
      <c r="AT2338" s="160"/>
    </row>
    <row r="2339" spans="1:46" ht="15" hidden="1" customHeight="1">
      <c r="A2339" s="331">
        <v>2338</v>
      </c>
      <c r="B2339" s="28" t="s">
        <v>71</v>
      </c>
      <c r="C2339" s="28" t="s">
        <v>11257</v>
      </c>
      <c r="D2339" s="437" t="s">
        <v>490</v>
      </c>
      <c r="E2339" s="361" t="str">
        <f t="shared" ca="1" si="153"/>
        <v>LOSS</v>
      </c>
      <c r="F2339" s="160" t="s">
        <v>11258</v>
      </c>
      <c r="G2339" s="159" t="s">
        <v>11259</v>
      </c>
      <c r="H2339" s="160" t="s">
        <v>2748</v>
      </c>
      <c r="I2339" s="160" t="s">
        <v>242</v>
      </c>
      <c r="J2339" s="205" t="s">
        <v>74</v>
      </c>
      <c r="K2339" s="219"/>
      <c r="L2339" s="158"/>
      <c r="M2339" s="158" t="s">
        <v>365</v>
      </c>
      <c r="N2339" s="158" t="s">
        <v>362</v>
      </c>
      <c r="O2339" s="162"/>
      <c r="P2339" s="161"/>
      <c r="Q2339" s="161"/>
      <c r="R2339" s="162"/>
      <c r="S2339" s="32">
        <v>36000000</v>
      </c>
      <c r="T2339" s="164"/>
      <c r="U2339" s="334">
        <v>45870</v>
      </c>
      <c r="V2339" s="334">
        <v>46234</v>
      </c>
      <c r="W2339" s="27" t="s">
        <v>17</v>
      </c>
      <c r="X2339" s="158"/>
      <c r="Y2339" s="164">
        <f t="shared" ca="1" si="155"/>
        <v>46290</v>
      </c>
      <c r="Z2339" s="35">
        <f t="shared" ca="1" si="154"/>
        <v>-56</v>
      </c>
      <c r="AA2339" s="158">
        <f>MONTH(Table1[[#This Row],[End]])</f>
        <v>7</v>
      </c>
      <c r="AB2339" s="158">
        <f>YEAR(Table1[[#This Row],[End]])</f>
        <v>2026</v>
      </c>
      <c r="AC2339" s="28" t="s">
        <v>11260</v>
      </c>
      <c r="AD2339" s="159" t="s">
        <v>11261</v>
      </c>
      <c r="AE2339" s="184" t="s">
        <v>11034</v>
      </c>
      <c r="AF2339" s="158" t="s">
        <v>333</v>
      </c>
      <c r="AG2339" s="160"/>
      <c r="AH2339" s="160"/>
      <c r="AI2339" s="158"/>
      <c r="AJ2339" s="158"/>
      <c r="AK2339" s="158"/>
      <c r="AL2339" s="158"/>
      <c r="AM2339" s="158"/>
      <c r="AN2339" s="158"/>
      <c r="AO2339" s="158"/>
      <c r="AP2339" s="158"/>
      <c r="AQ2339" s="158">
        <v>271</v>
      </c>
      <c r="AR2339" s="507"/>
      <c r="AS2339" s="475"/>
      <c r="AT2339" s="160"/>
    </row>
    <row r="2340" spans="1:46" ht="15" hidden="1" customHeight="1">
      <c r="A2340" s="331">
        <v>2339</v>
      </c>
      <c r="B2340" s="28" t="s">
        <v>71</v>
      </c>
      <c r="C2340" s="28" t="s">
        <v>11262</v>
      </c>
      <c r="D2340" s="438" t="s">
        <v>11263</v>
      </c>
      <c r="E2340" s="361" t="str">
        <f t="shared" ca="1" si="153"/>
        <v>LOSS</v>
      </c>
      <c r="F2340" s="160"/>
      <c r="G2340" s="159" t="s">
        <v>11264</v>
      </c>
      <c r="H2340" s="160" t="s">
        <v>2748</v>
      </c>
      <c r="I2340" s="160" t="s">
        <v>242</v>
      </c>
      <c r="J2340" s="205" t="s">
        <v>11265</v>
      </c>
      <c r="K2340" s="160"/>
      <c r="L2340" s="158"/>
      <c r="M2340" s="158" t="s">
        <v>365</v>
      </c>
      <c r="N2340" s="158" t="s">
        <v>468</v>
      </c>
      <c r="O2340" s="162">
        <v>2000000</v>
      </c>
      <c r="P2340" s="161">
        <f>8000000*12</f>
        <v>96000000</v>
      </c>
      <c r="Q2340" s="161"/>
      <c r="R2340" s="162">
        <v>4000000</v>
      </c>
      <c r="S2340" s="163">
        <v>36000000</v>
      </c>
      <c r="T2340" s="164"/>
      <c r="U2340" s="340">
        <v>45824</v>
      </c>
      <c r="V2340" s="340">
        <v>46188</v>
      </c>
      <c r="W2340" s="27" t="s">
        <v>250</v>
      </c>
      <c r="X2340" s="158"/>
      <c r="Y2340" s="164">
        <f t="shared" ca="1" si="155"/>
        <v>46290</v>
      </c>
      <c r="Z2340" s="35">
        <f t="shared" ca="1" si="154"/>
        <v>-102</v>
      </c>
      <c r="AA2340" s="158">
        <f>MONTH(Table1[[#This Row],[End]])</f>
        <v>6</v>
      </c>
      <c r="AB2340" s="158">
        <f>YEAR(Table1[[#This Row],[End]])</f>
        <v>2026</v>
      </c>
      <c r="AC2340" s="159" t="s">
        <v>479</v>
      </c>
      <c r="AD2340" s="159" t="s">
        <v>11266</v>
      </c>
      <c r="AE2340" s="184" t="s">
        <v>11267</v>
      </c>
      <c r="AF2340" s="158" t="s">
        <v>333</v>
      </c>
      <c r="AG2340" s="160"/>
      <c r="AH2340" s="160"/>
      <c r="AI2340" s="158"/>
      <c r="AJ2340" s="158"/>
      <c r="AK2340" s="158"/>
      <c r="AL2340" s="158"/>
      <c r="AM2340" s="158"/>
      <c r="AN2340" s="158"/>
      <c r="AO2340" s="158"/>
      <c r="AP2340" s="158"/>
      <c r="AQ2340" s="158">
        <v>221</v>
      </c>
      <c r="AR2340" s="507"/>
      <c r="AS2340" s="475"/>
      <c r="AT2340" s="160"/>
    </row>
    <row r="2341" spans="1:46" ht="15" hidden="1" customHeight="1">
      <c r="A2341" s="331">
        <v>2340</v>
      </c>
      <c r="B2341" s="28" t="s">
        <v>71</v>
      </c>
      <c r="C2341" s="28" t="s">
        <v>948</v>
      </c>
      <c r="D2341" s="437" t="s">
        <v>11263</v>
      </c>
      <c r="E2341" s="361" t="str">
        <f t="shared" ca="1" si="153"/>
        <v>LOSS</v>
      </c>
      <c r="F2341" s="160" t="s">
        <v>3742</v>
      </c>
      <c r="G2341" s="221" t="s">
        <v>11268</v>
      </c>
      <c r="H2341" s="160" t="s">
        <v>2748</v>
      </c>
      <c r="I2341" s="160" t="s">
        <v>242</v>
      </c>
      <c r="J2341" s="205"/>
      <c r="K2341" s="218" t="s">
        <v>11269</v>
      </c>
      <c r="L2341" s="158"/>
      <c r="M2341" s="158" t="s">
        <v>329</v>
      </c>
      <c r="N2341" s="160"/>
      <c r="O2341" s="162"/>
      <c r="P2341" s="161">
        <f>33000000*12</f>
        <v>396000000</v>
      </c>
      <c r="Q2341" s="161"/>
      <c r="R2341" s="162"/>
      <c r="S2341" s="163">
        <v>54000000</v>
      </c>
      <c r="T2341" s="164"/>
      <c r="U2341" s="340">
        <v>45874</v>
      </c>
      <c r="V2341" s="340">
        <v>46238</v>
      </c>
      <c r="W2341" s="27" t="s">
        <v>17</v>
      </c>
      <c r="X2341" s="158"/>
      <c r="Y2341" s="164">
        <f t="shared" ca="1" si="155"/>
        <v>46290</v>
      </c>
      <c r="Z2341" s="35">
        <f t="shared" ca="1" si="154"/>
        <v>-52</v>
      </c>
      <c r="AA2341" s="158">
        <f>MONTH(Table1[[#This Row],[End]])</f>
        <v>8</v>
      </c>
      <c r="AB2341" s="158">
        <f>YEAR(Table1[[#This Row],[End]])</f>
        <v>2026</v>
      </c>
      <c r="AC2341" s="159" t="s">
        <v>11270</v>
      </c>
      <c r="AD2341" s="159" t="s">
        <v>11271</v>
      </c>
      <c r="AE2341" s="184" t="s">
        <v>11272</v>
      </c>
      <c r="AF2341" s="158" t="s">
        <v>333</v>
      </c>
      <c r="AG2341" s="160"/>
      <c r="AH2341" s="160"/>
      <c r="AI2341" s="158"/>
      <c r="AJ2341" s="158"/>
      <c r="AK2341" s="158"/>
      <c r="AL2341" s="158"/>
      <c r="AM2341" s="158"/>
      <c r="AN2341" s="158"/>
      <c r="AO2341" s="158"/>
      <c r="AP2341" s="158"/>
      <c r="AQ2341" s="158">
        <v>233</v>
      </c>
      <c r="AR2341" s="507"/>
      <c r="AS2341" s="475"/>
      <c r="AT2341" s="160"/>
    </row>
    <row r="2342" spans="1:46" ht="15" hidden="1" customHeight="1">
      <c r="A2342" s="331">
        <v>2341</v>
      </c>
      <c r="B2342" s="28" t="s">
        <v>71</v>
      </c>
      <c r="C2342" s="28" t="s">
        <v>948</v>
      </c>
      <c r="D2342" s="438" t="s">
        <v>11263</v>
      </c>
      <c r="E2342" s="361" t="str">
        <f t="shared" ca="1" si="153"/>
        <v>WARNING</v>
      </c>
      <c r="F2342" s="160" t="s">
        <v>3742</v>
      </c>
      <c r="G2342" s="221" t="s">
        <v>11268</v>
      </c>
      <c r="H2342" s="160" t="s">
        <v>2748</v>
      </c>
      <c r="I2342" s="160" t="s">
        <v>242</v>
      </c>
      <c r="J2342" s="205"/>
      <c r="K2342" s="218" t="s">
        <v>11269</v>
      </c>
      <c r="L2342" s="158"/>
      <c r="M2342" s="158" t="s">
        <v>329</v>
      </c>
      <c r="N2342" s="160"/>
      <c r="O2342" s="162"/>
      <c r="P2342" s="161">
        <f>33000000*12</f>
        <v>396000000</v>
      </c>
      <c r="Q2342" s="161"/>
      <c r="R2342" s="162"/>
      <c r="S2342" s="163">
        <v>18000000</v>
      </c>
      <c r="T2342" s="164"/>
      <c r="U2342" s="340">
        <v>45954</v>
      </c>
      <c r="V2342" s="340">
        <v>46318</v>
      </c>
      <c r="W2342" s="27" t="s">
        <v>17</v>
      </c>
      <c r="X2342" s="158"/>
      <c r="Y2342" s="164">
        <f t="shared" ca="1" si="155"/>
        <v>46290</v>
      </c>
      <c r="Z2342" s="35">
        <f t="shared" ref="Z2342:Z2373" ca="1" si="156">V2342-Y2342</f>
        <v>28</v>
      </c>
      <c r="AA2342" s="158">
        <f>MONTH(Table1[[#This Row],[End]])</f>
        <v>10</v>
      </c>
      <c r="AB2342" s="158">
        <f>YEAR(Table1[[#This Row],[End]])</f>
        <v>2026</v>
      </c>
      <c r="AC2342" s="159" t="s">
        <v>11273</v>
      </c>
      <c r="AD2342" s="159" t="s">
        <v>11274</v>
      </c>
      <c r="AE2342" s="184" t="s">
        <v>11275</v>
      </c>
      <c r="AF2342" s="158" t="s">
        <v>333</v>
      </c>
      <c r="AG2342" s="160"/>
      <c r="AH2342" s="160"/>
      <c r="AI2342" s="158"/>
      <c r="AJ2342" s="158"/>
      <c r="AK2342" s="158"/>
      <c r="AL2342" s="158"/>
      <c r="AM2342" s="158"/>
      <c r="AN2342" s="158"/>
      <c r="AO2342" s="158"/>
      <c r="AP2342" s="158"/>
      <c r="AQ2342" s="158">
        <v>234</v>
      </c>
      <c r="AR2342" s="507"/>
      <c r="AS2342" s="475"/>
      <c r="AT2342" s="160"/>
    </row>
    <row r="2343" spans="1:46" ht="15" hidden="1" customHeight="1">
      <c r="A2343" s="331">
        <v>2342</v>
      </c>
      <c r="B2343" s="28" t="s">
        <v>71</v>
      </c>
      <c r="C2343" s="28" t="s">
        <v>948</v>
      </c>
      <c r="D2343" s="437" t="s">
        <v>11263</v>
      </c>
      <c r="E2343" s="361" t="str">
        <f t="shared" ca="1" si="153"/>
        <v>ON TRACK</v>
      </c>
      <c r="F2343" s="160" t="s">
        <v>3742</v>
      </c>
      <c r="G2343" s="221" t="s">
        <v>11268</v>
      </c>
      <c r="H2343" s="160" t="s">
        <v>2748</v>
      </c>
      <c r="I2343" s="160" t="s">
        <v>242</v>
      </c>
      <c r="J2343" s="205"/>
      <c r="K2343" s="218" t="s">
        <v>11269</v>
      </c>
      <c r="L2343" s="158"/>
      <c r="M2343" s="158" t="s">
        <v>329</v>
      </c>
      <c r="N2343" s="160"/>
      <c r="O2343" s="162"/>
      <c r="P2343" s="161">
        <f>33000000*12</f>
        <v>396000000</v>
      </c>
      <c r="Q2343" s="161"/>
      <c r="R2343" s="162"/>
      <c r="S2343" s="163">
        <v>18000000</v>
      </c>
      <c r="T2343" s="164"/>
      <c r="U2343" s="340">
        <v>45991</v>
      </c>
      <c r="V2343" s="340">
        <v>46355</v>
      </c>
      <c r="W2343" s="27" t="s">
        <v>17</v>
      </c>
      <c r="X2343" s="158"/>
      <c r="Y2343" s="164">
        <f t="shared" ca="1" si="155"/>
        <v>46290</v>
      </c>
      <c r="Z2343" s="35">
        <f t="shared" ca="1" si="156"/>
        <v>65</v>
      </c>
      <c r="AA2343" s="158">
        <f>MONTH(Table1[[#This Row],[End]])</f>
        <v>11</v>
      </c>
      <c r="AB2343" s="158">
        <f>YEAR(Table1[[#This Row],[End]])</f>
        <v>2026</v>
      </c>
      <c r="AC2343" s="159" t="s">
        <v>11276</v>
      </c>
      <c r="AD2343" s="159" t="s">
        <v>11277</v>
      </c>
      <c r="AE2343" s="184" t="s">
        <v>11278</v>
      </c>
      <c r="AF2343" s="158" t="s">
        <v>333</v>
      </c>
      <c r="AG2343" s="160"/>
      <c r="AH2343" s="160"/>
      <c r="AI2343" s="158"/>
      <c r="AJ2343" s="158"/>
      <c r="AK2343" s="158"/>
      <c r="AL2343" s="158"/>
      <c r="AM2343" s="158"/>
      <c r="AN2343" s="158"/>
      <c r="AO2343" s="158"/>
      <c r="AP2343" s="158"/>
      <c r="AQ2343" s="158">
        <v>235</v>
      </c>
      <c r="AR2343" s="507"/>
      <c r="AS2343" s="475"/>
      <c r="AT2343" s="160"/>
    </row>
    <row r="2344" spans="1:46" ht="15" hidden="1" customHeight="1">
      <c r="A2344" s="331">
        <v>2343</v>
      </c>
      <c r="B2344" s="28" t="s">
        <v>2391</v>
      </c>
      <c r="C2344" s="28" t="s">
        <v>1274</v>
      </c>
      <c r="D2344" s="437" t="s">
        <v>3035</v>
      </c>
      <c r="E2344" s="361" t="str">
        <f t="shared" ca="1" si="153"/>
        <v>LOSS</v>
      </c>
      <c r="F2344" s="160"/>
      <c r="G2344" s="159" t="s">
        <v>9576</v>
      </c>
      <c r="H2344" s="160" t="s">
        <v>2748</v>
      </c>
      <c r="I2344" s="160" t="s">
        <v>346</v>
      </c>
      <c r="J2344" s="205"/>
      <c r="K2344" s="160"/>
      <c r="L2344" s="158"/>
      <c r="M2344" s="158" t="s">
        <v>329</v>
      </c>
      <c r="N2344" s="160"/>
      <c r="O2344" s="162"/>
      <c r="P2344" s="161"/>
      <c r="Q2344" s="161"/>
      <c r="R2344" s="162"/>
      <c r="S2344" s="163">
        <v>5000000</v>
      </c>
      <c r="T2344" s="164"/>
      <c r="U2344" s="340">
        <v>45849</v>
      </c>
      <c r="V2344" s="340">
        <v>46213</v>
      </c>
      <c r="W2344" s="27" t="s">
        <v>17</v>
      </c>
      <c r="X2344" s="158"/>
      <c r="Y2344" s="164">
        <f t="shared" ca="1" si="155"/>
        <v>46290</v>
      </c>
      <c r="Z2344" s="35">
        <f t="shared" ca="1" si="156"/>
        <v>-77</v>
      </c>
      <c r="AA2344" s="158">
        <f>MONTH(Table1[[#This Row],[End]])</f>
        <v>7</v>
      </c>
      <c r="AB2344" s="158">
        <f>YEAR(Table1[[#This Row],[End]])</f>
        <v>2026</v>
      </c>
      <c r="AC2344" s="159" t="s">
        <v>479</v>
      </c>
      <c r="AD2344" s="159" t="s">
        <v>11279</v>
      </c>
      <c r="AE2344" s="184" t="s">
        <v>11280</v>
      </c>
      <c r="AF2344" s="158" t="s">
        <v>333</v>
      </c>
      <c r="AG2344" s="160"/>
      <c r="AH2344" s="160"/>
      <c r="AI2344" s="158"/>
      <c r="AJ2344" s="158"/>
      <c r="AK2344" s="158"/>
      <c r="AL2344" s="158"/>
      <c r="AM2344" s="158"/>
      <c r="AN2344" s="158"/>
      <c r="AO2344" s="158"/>
      <c r="AP2344" s="158"/>
      <c r="AQ2344" s="158">
        <v>236</v>
      </c>
      <c r="AR2344" s="507"/>
      <c r="AS2344" s="475"/>
      <c r="AT2344" s="160"/>
    </row>
    <row r="2345" spans="1:46" ht="15" hidden="1" customHeight="1">
      <c r="A2345" s="331">
        <v>2344</v>
      </c>
      <c r="B2345" s="28" t="s">
        <v>186</v>
      </c>
      <c r="C2345" s="28" t="s">
        <v>11281</v>
      </c>
      <c r="D2345" s="437" t="s">
        <v>3035</v>
      </c>
      <c r="E2345" s="361" t="str">
        <f t="shared" ca="1" si="153"/>
        <v>LOSS</v>
      </c>
      <c r="F2345" s="160"/>
      <c r="G2345" s="159" t="s">
        <v>11282</v>
      </c>
      <c r="H2345" s="160" t="s">
        <v>2748</v>
      </c>
      <c r="I2345" s="160" t="s">
        <v>242</v>
      </c>
      <c r="J2345" s="205" t="s">
        <v>187</v>
      </c>
      <c r="K2345" s="160"/>
      <c r="L2345" s="158"/>
      <c r="M2345" s="158" t="s">
        <v>353</v>
      </c>
      <c r="N2345" s="158" t="s">
        <v>6739</v>
      </c>
      <c r="O2345" s="162"/>
      <c r="P2345" s="161">
        <f>4500000*12</f>
        <v>54000000</v>
      </c>
      <c r="Q2345" s="161"/>
      <c r="R2345" s="162"/>
      <c r="S2345" s="163">
        <v>30000000</v>
      </c>
      <c r="T2345" s="164"/>
      <c r="U2345" s="334">
        <v>45841</v>
      </c>
      <c r="V2345" s="334">
        <v>46205</v>
      </c>
      <c r="W2345" s="27" t="s">
        <v>250</v>
      </c>
      <c r="X2345" s="158"/>
      <c r="Y2345" s="164">
        <f t="shared" ca="1" si="155"/>
        <v>46290</v>
      </c>
      <c r="Z2345" s="35">
        <f t="shared" ca="1" si="156"/>
        <v>-85</v>
      </c>
      <c r="AA2345" s="158">
        <f>MONTH(Table1[[#This Row],[End]])</f>
        <v>7</v>
      </c>
      <c r="AB2345" s="158">
        <f>YEAR(Table1[[#This Row],[End]])</f>
        <v>2026</v>
      </c>
      <c r="AC2345" s="159" t="s">
        <v>11283</v>
      </c>
      <c r="AD2345" s="159" t="s">
        <v>11284</v>
      </c>
      <c r="AE2345" s="184" t="s">
        <v>11285</v>
      </c>
      <c r="AF2345" s="158" t="s">
        <v>333</v>
      </c>
      <c r="AG2345" s="160"/>
      <c r="AH2345" s="160"/>
      <c r="AI2345" s="158"/>
      <c r="AJ2345" s="158"/>
      <c r="AK2345" s="158"/>
      <c r="AL2345" s="158"/>
      <c r="AM2345" s="158"/>
      <c r="AN2345" s="158"/>
      <c r="AO2345" s="158"/>
      <c r="AP2345" s="158"/>
      <c r="AQ2345" s="158">
        <v>195</v>
      </c>
      <c r="AR2345" s="507"/>
      <c r="AS2345" s="475"/>
      <c r="AT2345" s="160"/>
    </row>
    <row r="2346" spans="1:46" ht="15" hidden="1" customHeight="1">
      <c r="A2346" s="331">
        <v>2345</v>
      </c>
      <c r="B2346" s="28" t="s">
        <v>97</v>
      </c>
      <c r="C2346" s="28" t="s">
        <v>11286</v>
      </c>
      <c r="D2346" s="447" t="s">
        <v>2363</v>
      </c>
      <c r="E2346" s="361" t="str">
        <f t="shared" ca="1" si="153"/>
        <v>LOSS</v>
      </c>
      <c r="F2346" s="160"/>
      <c r="G2346" s="159" t="s">
        <v>2365</v>
      </c>
      <c r="H2346" s="160" t="s">
        <v>2748</v>
      </c>
      <c r="I2346" s="160" t="s">
        <v>242</v>
      </c>
      <c r="J2346" s="216" t="s">
        <v>11287</v>
      </c>
      <c r="K2346" s="181" t="s">
        <v>11288</v>
      </c>
      <c r="L2346" s="158"/>
      <c r="M2346" s="158" t="s">
        <v>11289</v>
      </c>
      <c r="N2346" s="158" t="s">
        <v>6824</v>
      </c>
      <c r="O2346" s="162"/>
      <c r="P2346" s="161">
        <f>11950000*12</f>
        <v>143400000</v>
      </c>
      <c r="Q2346" s="161"/>
      <c r="R2346" s="162"/>
      <c r="S2346" s="163">
        <v>12000000</v>
      </c>
      <c r="T2346" s="164"/>
      <c r="U2346" s="340">
        <v>45792</v>
      </c>
      <c r="V2346" s="340">
        <v>46156</v>
      </c>
      <c r="W2346" s="27" t="s">
        <v>250</v>
      </c>
      <c r="X2346" s="158"/>
      <c r="Y2346" s="164">
        <f t="shared" ca="1" si="155"/>
        <v>46290</v>
      </c>
      <c r="Z2346" s="35">
        <f t="shared" ca="1" si="156"/>
        <v>-134</v>
      </c>
      <c r="AA2346" s="158">
        <f>MONTH(Table1[[#This Row],[End]])</f>
        <v>5</v>
      </c>
      <c r="AB2346" s="158">
        <f>YEAR(Table1[[#This Row],[End]])</f>
        <v>2026</v>
      </c>
      <c r="AC2346" s="159" t="s">
        <v>11290</v>
      </c>
      <c r="AD2346" s="159" t="s">
        <v>11291</v>
      </c>
      <c r="AE2346" s="184" t="s">
        <v>11292</v>
      </c>
      <c r="AF2346" s="158" t="s">
        <v>333</v>
      </c>
      <c r="AG2346" s="160" t="s">
        <v>11293</v>
      </c>
      <c r="AH2346" s="160"/>
      <c r="AI2346" s="158"/>
      <c r="AJ2346" s="158"/>
      <c r="AK2346" s="158"/>
      <c r="AL2346" s="158"/>
      <c r="AM2346" s="158"/>
      <c r="AN2346" s="158"/>
      <c r="AO2346" s="158"/>
      <c r="AP2346" s="158"/>
      <c r="AQ2346" s="158">
        <v>217</v>
      </c>
      <c r="AR2346" s="507"/>
      <c r="AS2346" s="475"/>
      <c r="AT2346" s="160"/>
    </row>
    <row r="2347" spans="1:46" ht="15" hidden="1" customHeight="1">
      <c r="A2347" s="331">
        <v>2346</v>
      </c>
      <c r="B2347" s="28" t="s">
        <v>30</v>
      </c>
      <c r="C2347" s="28" t="s">
        <v>8433</v>
      </c>
      <c r="D2347" s="438" t="s">
        <v>2757</v>
      </c>
      <c r="E2347" s="361" t="str">
        <f t="shared" ca="1" si="153"/>
        <v>LOSS</v>
      </c>
      <c r="F2347" s="160"/>
      <c r="G2347" s="28" t="s">
        <v>8434</v>
      </c>
      <c r="H2347" s="29" t="s">
        <v>2748</v>
      </c>
      <c r="I2347" s="29" t="s">
        <v>346</v>
      </c>
      <c r="J2347" s="28" t="s">
        <v>31</v>
      </c>
      <c r="K2347" s="160"/>
      <c r="L2347" s="158"/>
      <c r="M2347" s="158" t="s">
        <v>329</v>
      </c>
      <c r="N2347" s="158" t="s">
        <v>11294</v>
      </c>
      <c r="O2347" s="162"/>
      <c r="P2347" s="161">
        <f>2950200*12</f>
        <v>35402400</v>
      </c>
      <c r="Q2347" s="161"/>
      <c r="R2347" s="162"/>
      <c r="S2347" s="163">
        <v>20000000</v>
      </c>
      <c r="T2347" s="164"/>
      <c r="U2347" s="334">
        <v>45689</v>
      </c>
      <c r="V2347" s="334">
        <v>46053</v>
      </c>
      <c r="W2347" s="27" t="s">
        <v>250</v>
      </c>
      <c r="X2347" s="158"/>
      <c r="Y2347" s="34">
        <f t="shared" ca="1" si="155"/>
        <v>46290</v>
      </c>
      <c r="Z2347" s="35">
        <f t="shared" ca="1" si="156"/>
        <v>-237</v>
      </c>
      <c r="AA2347" s="27">
        <f>MONTH(V2347)</f>
        <v>1</v>
      </c>
      <c r="AB2347" s="27">
        <f>YEAR(V2347)</f>
        <v>2026</v>
      </c>
      <c r="AC2347" s="159">
        <v>4500021644</v>
      </c>
      <c r="AD2347" s="159" t="s">
        <v>11295</v>
      </c>
      <c r="AE2347" s="184" t="s">
        <v>11296</v>
      </c>
      <c r="AF2347" s="27" t="s">
        <v>339</v>
      </c>
      <c r="AG2347" s="160"/>
      <c r="AH2347" s="160"/>
      <c r="AI2347" s="158"/>
      <c r="AJ2347" s="158"/>
      <c r="AK2347" s="158"/>
      <c r="AL2347" s="158"/>
      <c r="AM2347" s="158"/>
      <c r="AN2347" s="158"/>
      <c r="AO2347" s="158"/>
      <c r="AP2347" s="158"/>
      <c r="AQ2347" s="158">
        <v>256</v>
      </c>
      <c r="AR2347" s="507"/>
      <c r="AS2347" s="475"/>
      <c r="AT2347" s="160"/>
    </row>
    <row r="2348" spans="1:46" ht="15" hidden="1" customHeight="1">
      <c r="A2348" s="331">
        <v>2347</v>
      </c>
      <c r="B2348" s="28" t="s">
        <v>30</v>
      </c>
      <c r="C2348" s="159" t="s">
        <v>11297</v>
      </c>
      <c r="D2348" s="438" t="s">
        <v>2757</v>
      </c>
      <c r="E2348" s="361" t="str">
        <f t="shared" ca="1" si="153"/>
        <v>LOSS</v>
      </c>
      <c r="F2348" s="160"/>
      <c r="G2348" s="159" t="s">
        <v>11298</v>
      </c>
      <c r="H2348" s="29" t="s">
        <v>2748</v>
      </c>
      <c r="I2348" s="29" t="s">
        <v>346</v>
      </c>
      <c r="J2348" s="205"/>
      <c r="K2348" s="181" t="s">
        <v>11299</v>
      </c>
      <c r="L2348" s="158"/>
      <c r="M2348" s="158" t="s">
        <v>365</v>
      </c>
      <c r="N2348" s="158" t="s">
        <v>417</v>
      </c>
      <c r="O2348" s="162"/>
      <c r="P2348" s="161">
        <f>1236000*12</f>
        <v>14832000</v>
      </c>
      <c r="Q2348" s="161"/>
      <c r="R2348" s="162"/>
      <c r="S2348" s="163">
        <v>20000000</v>
      </c>
      <c r="T2348" s="164"/>
      <c r="U2348" s="334">
        <v>45819</v>
      </c>
      <c r="V2348" s="334">
        <v>46183</v>
      </c>
      <c r="W2348" s="27" t="s">
        <v>245</v>
      </c>
      <c r="X2348" s="158"/>
      <c r="Y2348" s="34">
        <f t="shared" ca="1" si="155"/>
        <v>46290</v>
      </c>
      <c r="Z2348" s="35">
        <f t="shared" ca="1" si="156"/>
        <v>-107</v>
      </c>
      <c r="AA2348" s="27">
        <f>MONTH(V2348)</f>
        <v>6</v>
      </c>
      <c r="AB2348" s="27">
        <f>YEAR(V2348)</f>
        <v>2026</v>
      </c>
      <c r="AC2348" s="159" t="s">
        <v>11300</v>
      </c>
      <c r="AD2348" s="159" t="s">
        <v>11301</v>
      </c>
      <c r="AE2348" s="184" t="s">
        <v>11302</v>
      </c>
      <c r="AF2348" s="158" t="s">
        <v>333</v>
      </c>
      <c r="AG2348" s="160"/>
      <c r="AH2348" s="160"/>
      <c r="AI2348" s="158"/>
      <c r="AJ2348" s="158"/>
      <c r="AK2348" s="158"/>
      <c r="AL2348" s="158"/>
      <c r="AM2348" s="158"/>
      <c r="AN2348" s="158"/>
      <c r="AO2348" s="158"/>
      <c r="AP2348" s="158"/>
      <c r="AQ2348" s="158">
        <v>240</v>
      </c>
      <c r="AR2348" s="507"/>
      <c r="AS2348" s="475"/>
      <c r="AT2348" s="160"/>
    </row>
    <row r="2349" spans="1:46" ht="15" hidden="1" customHeight="1">
      <c r="A2349" s="331">
        <v>2348</v>
      </c>
      <c r="B2349" s="159" t="s">
        <v>129</v>
      </c>
      <c r="C2349" s="159" t="s">
        <v>9632</v>
      </c>
      <c r="D2349" s="438" t="s">
        <v>2447</v>
      </c>
      <c r="E2349" s="361" t="str">
        <f t="shared" ca="1" si="153"/>
        <v>LOSS</v>
      </c>
      <c r="F2349" s="160"/>
      <c r="G2349" s="182" t="s">
        <v>11303</v>
      </c>
      <c r="H2349" s="160" t="s">
        <v>2748</v>
      </c>
      <c r="I2349" s="160" t="s">
        <v>346</v>
      </c>
      <c r="J2349" s="205"/>
      <c r="K2349" s="181" t="s">
        <v>11304</v>
      </c>
      <c r="L2349" s="158"/>
      <c r="M2349" s="158" t="s">
        <v>329</v>
      </c>
      <c r="N2349" s="158" t="s">
        <v>6835</v>
      </c>
      <c r="O2349" s="162"/>
      <c r="P2349" s="161">
        <f>3500000*12</f>
        <v>42000000</v>
      </c>
      <c r="Q2349" s="161"/>
      <c r="R2349" s="162"/>
      <c r="S2349" s="163">
        <v>44835000</v>
      </c>
      <c r="T2349" s="164"/>
      <c r="U2349" s="340">
        <v>45899</v>
      </c>
      <c r="V2349" s="340">
        <v>46263</v>
      </c>
      <c r="W2349" s="27" t="s">
        <v>17</v>
      </c>
      <c r="X2349" s="158"/>
      <c r="Y2349" s="164">
        <f t="shared" ca="1" si="155"/>
        <v>46290</v>
      </c>
      <c r="Z2349" s="35">
        <f t="shared" ca="1" si="156"/>
        <v>-27</v>
      </c>
      <c r="AA2349" s="158">
        <f>MONTH(Table1[[#This Row],[End]])</f>
        <v>8</v>
      </c>
      <c r="AB2349" s="158">
        <f>YEAR(Table1[[#This Row],[End]])</f>
        <v>2026</v>
      </c>
      <c r="AC2349" s="159" t="s">
        <v>11305</v>
      </c>
      <c r="AD2349" s="159" t="s">
        <v>11306</v>
      </c>
      <c r="AE2349" s="184" t="s">
        <v>11307</v>
      </c>
      <c r="AF2349" s="158" t="s">
        <v>333</v>
      </c>
      <c r="AG2349" s="160"/>
      <c r="AH2349" s="160"/>
      <c r="AI2349" s="158"/>
      <c r="AJ2349" s="158"/>
      <c r="AK2349" s="158"/>
      <c r="AL2349" s="158"/>
      <c r="AM2349" s="158"/>
      <c r="AN2349" s="158"/>
      <c r="AO2349" s="158"/>
      <c r="AP2349" s="158"/>
      <c r="AQ2349" s="158">
        <v>239</v>
      </c>
      <c r="AR2349" s="507"/>
      <c r="AS2349" s="475"/>
      <c r="AT2349" s="160"/>
    </row>
    <row r="2350" spans="1:46" ht="15" hidden="1" customHeight="1">
      <c r="A2350" s="331">
        <v>2349</v>
      </c>
      <c r="B2350" s="159" t="s">
        <v>129</v>
      </c>
      <c r="C2350" s="159" t="s">
        <v>11308</v>
      </c>
      <c r="D2350" s="438" t="s">
        <v>11309</v>
      </c>
      <c r="E2350" s="361" t="str">
        <f t="shared" ca="1" si="153"/>
        <v>ATTENTION</v>
      </c>
      <c r="F2350" s="160" t="s">
        <v>11310</v>
      </c>
      <c r="G2350" s="159" t="s">
        <v>11311</v>
      </c>
      <c r="H2350" s="160" t="s">
        <v>2748</v>
      </c>
      <c r="I2350" s="160" t="s">
        <v>346</v>
      </c>
      <c r="J2350" s="181" t="s">
        <v>137</v>
      </c>
      <c r="K2350" s="181"/>
      <c r="L2350" s="158"/>
      <c r="M2350" s="158" t="s">
        <v>365</v>
      </c>
      <c r="N2350" s="158" t="s">
        <v>7088</v>
      </c>
      <c r="O2350" s="162"/>
      <c r="P2350" s="161">
        <f>22800000*12</f>
        <v>273600000</v>
      </c>
      <c r="Q2350" s="161"/>
      <c r="R2350" s="162"/>
      <c r="S2350" s="163">
        <v>56385000</v>
      </c>
      <c r="T2350" s="164"/>
      <c r="U2350" s="340">
        <v>45977</v>
      </c>
      <c r="V2350" s="340">
        <v>46341</v>
      </c>
      <c r="W2350" s="27" t="s">
        <v>17</v>
      </c>
      <c r="X2350" s="158"/>
      <c r="Y2350" s="164">
        <f t="shared" ca="1" si="155"/>
        <v>46290</v>
      </c>
      <c r="Z2350" s="35">
        <f t="shared" ca="1" si="156"/>
        <v>51</v>
      </c>
      <c r="AA2350" s="158">
        <f>MONTH(Table1[[#This Row],[End]])</f>
        <v>11</v>
      </c>
      <c r="AB2350" s="158">
        <f>YEAR(Table1[[#This Row],[End]])</f>
        <v>2026</v>
      </c>
      <c r="AC2350" s="159" t="s">
        <v>11312</v>
      </c>
      <c r="AD2350" s="159" t="s">
        <v>11313</v>
      </c>
      <c r="AE2350" s="184" t="s">
        <v>11314</v>
      </c>
      <c r="AF2350" s="158" t="s">
        <v>333</v>
      </c>
      <c r="AG2350" s="160"/>
      <c r="AH2350" s="160"/>
      <c r="AI2350" s="158"/>
      <c r="AJ2350" s="158"/>
      <c r="AK2350" s="158"/>
      <c r="AL2350" s="158"/>
      <c r="AM2350" s="158"/>
      <c r="AN2350" s="158"/>
      <c r="AO2350" s="158"/>
      <c r="AP2350" s="158"/>
      <c r="AQ2350" s="158">
        <v>243</v>
      </c>
      <c r="AR2350" s="507"/>
      <c r="AS2350" s="475"/>
      <c r="AT2350" s="160"/>
    </row>
    <row r="2351" spans="1:46" ht="15" hidden="1" customHeight="1">
      <c r="A2351" s="331">
        <v>2350</v>
      </c>
      <c r="B2351" s="159" t="s">
        <v>129</v>
      </c>
      <c r="C2351" s="159" t="s">
        <v>11315</v>
      </c>
      <c r="D2351" s="437" t="s">
        <v>11309</v>
      </c>
      <c r="E2351" s="361" t="str">
        <f t="shared" ca="1" si="153"/>
        <v>WARNING</v>
      </c>
      <c r="F2351" s="160" t="s">
        <v>5035</v>
      </c>
      <c r="G2351" s="159" t="s">
        <v>11316</v>
      </c>
      <c r="H2351" s="160" t="s">
        <v>2748</v>
      </c>
      <c r="I2351" s="160" t="s">
        <v>346</v>
      </c>
      <c r="J2351" s="205" t="s">
        <v>136</v>
      </c>
      <c r="K2351" s="160"/>
      <c r="L2351" s="158"/>
      <c r="M2351" s="158" t="s">
        <v>365</v>
      </c>
      <c r="N2351" s="158" t="s">
        <v>11317</v>
      </c>
      <c r="O2351" s="162"/>
      <c r="P2351" s="161">
        <f>8299200*12</f>
        <v>99590400</v>
      </c>
      <c r="Q2351" s="161"/>
      <c r="R2351" s="162"/>
      <c r="S2351" s="163">
        <v>27930000</v>
      </c>
      <c r="T2351" s="164"/>
      <c r="U2351" s="340">
        <v>45946</v>
      </c>
      <c r="V2351" s="340">
        <v>46310</v>
      </c>
      <c r="W2351" s="27" t="s">
        <v>17</v>
      </c>
      <c r="X2351" s="158"/>
      <c r="Y2351" s="164">
        <f t="shared" ca="1" si="155"/>
        <v>46290</v>
      </c>
      <c r="Z2351" s="35">
        <f t="shared" ca="1" si="156"/>
        <v>20</v>
      </c>
      <c r="AA2351" s="158">
        <f>MONTH(Table1[[#This Row],[End]])</f>
        <v>10</v>
      </c>
      <c r="AB2351" s="158">
        <f>YEAR(Table1[[#This Row],[End]])</f>
        <v>2026</v>
      </c>
      <c r="AC2351" s="159" t="s">
        <v>11318</v>
      </c>
      <c r="AD2351" s="159" t="s">
        <v>11319</v>
      </c>
      <c r="AE2351" s="184" t="s">
        <v>11320</v>
      </c>
      <c r="AF2351" s="158" t="s">
        <v>333</v>
      </c>
      <c r="AG2351" s="160"/>
      <c r="AH2351" s="160"/>
      <c r="AI2351" s="158"/>
      <c r="AJ2351" s="158"/>
      <c r="AK2351" s="158"/>
      <c r="AL2351" s="158"/>
      <c r="AM2351" s="158"/>
      <c r="AN2351" s="158"/>
      <c r="AO2351" s="158"/>
      <c r="AP2351" s="158"/>
      <c r="AQ2351" s="158">
        <v>244</v>
      </c>
      <c r="AR2351" s="507"/>
      <c r="AS2351" s="475"/>
      <c r="AT2351" s="160"/>
    </row>
    <row r="2352" spans="1:46" ht="15" hidden="1" customHeight="1">
      <c r="A2352" s="331">
        <v>2351</v>
      </c>
      <c r="B2352" s="159" t="s">
        <v>11321</v>
      </c>
      <c r="C2352" s="182" t="s">
        <v>11322</v>
      </c>
      <c r="D2352" s="438" t="s">
        <v>11309</v>
      </c>
      <c r="E2352" s="361" t="str">
        <f t="shared" ca="1" si="153"/>
        <v>LOSS</v>
      </c>
      <c r="F2352" s="160"/>
      <c r="G2352" s="28" t="s">
        <v>4312</v>
      </c>
      <c r="H2352" s="29" t="s">
        <v>2748</v>
      </c>
      <c r="I2352" s="361" t="s">
        <v>346</v>
      </c>
      <c r="J2352" s="28" t="s">
        <v>109</v>
      </c>
      <c r="K2352" s="160"/>
      <c r="L2352" s="158"/>
      <c r="M2352" s="158" t="s">
        <v>365</v>
      </c>
      <c r="N2352" s="158" t="s">
        <v>354</v>
      </c>
      <c r="O2352" s="162"/>
      <c r="P2352" s="161">
        <f>21000000*12</f>
        <v>252000000</v>
      </c>
      <c r="Q2352" s="161"/>
      <c r="R2352" s="162"/>
      <c r="S2352" s="163">
        <v>26889339</v>
      </c>
      <c r="T2352" s="164"/>
      <c r="U2352" s="334">
        <v>45859</v>
      </c>
      <c r="V2352" s="334">
        <v>46223</v>
      </c>
      <c r="W2352" s="27" t="s">
        <v>17</v>
      </c>
      <c r="X2352" s="158"/>
      <c r="Y2352" s="34">
        <f t="shared" ca="1" si="155"/>
        <v>46290</v>
      </c>
      <c r="Z2352" s="35">
        <f t="shared" ca="1" si="156"/>
        <v>-67</v>
      </c>
      <c r="AA2352" s="27">
        <f>MONTH(V2352)</f>
        <v>7</v>
      </c>
      <c r="AB2352" s="27">
        <f>YEAR(V2352)</f>
        <v>2026</v>
      </c>
      <c r="AC2352" s="28" t="s">
        <v>11323</v>
      </c>
      <c r="AD2352" s="159" t="s">
        <v>11324</v>
      </c>
      <c r="AE2352" s="184" t="s">
        <v>11325</v>
      </c>
      <c r="AF2352" s="27" t="s">
        <v>333</v>
      </c>
      <c r="AG2352" s="160"/>
      <c r="AH2352" s="160"/>
      <c r="AI2352" s="158"/>
      <c r="AJ2352" s="158"/>
      <c r="AK2352" s="158"/>
      <c r="AL2352" s="158"/>
      <c r="AM2352" s="158"/>
      <c r="AN2352" s="158"/>
      <c r="AO2352" s="158"/>
      <c r="AP2352" s="158"/>
      <c r="AQ2352" s="158">
        <v>241</v>
      </c>
      <c r="AR2352" s="507"/>
      <c r="AS2352" s="475"/>
      <c r="AT2352" s="160"/>
    </row>
    <row r="2353" spans="1:46" ht="15" hidden="1" customHeight="1">
      <c r="A2353" s="331">
        <v>2352</v>
      </c>
      <c r="B2353" s="159" t="s">
        <v>97</v>
      </c>
      <c r="C2353" s="159" t="s">
        <v>11326</v>
      </c>
      <c r="D2353" s="437" t="s">
        <v>2363</v>
      </c>
      <c r="E2353" s="361" t="str">
        <f t="shared" ca="1" si="153"/>
        <v>ATTENTION</v>
      </c>
      <c r="F2353" s="160" t="s">
        <v>11327</v>
      </c>
      <c r="G2353" s="159" t="s">
        <v>11328</v>
      </c>
      <c r="H2353" s="160" t="s">
        <v>2748</v>
      </c>
      <c r="I2353" s="160" t="s">
        <v>242</v>
      </c>
      <c r="J2353" s="205" t="s">
        <v>11329</v>
      </c>
      <c r="K2353" s="160"/>
      <c r="L2353" s="158"/>
      <c r="M2353" s="158" t="s">
        <v>365</v>
      </c>
      <c r="N2353" s="158" t="s">
        <v>6897</v>
      </c>
      <c r="O2353" s="162"/>
      <c r="P2353" s="161">
        <f>3500000*12</f>
        <v>42000000</v>
      </c>
      <c r="Q2353" s="161"/>
      <c r="R2353" s="162"/>
      <c r="S2353" s="163">
        <v>6000000</v>
      </c>
      <c r="T2353" s="164"/>
      <c r="U2353" s="340">
        <v>45962</v>
      </c>
      <c r="V2353" s="340">
        <v>46326</v>
      </c>
      <c r="W2353" s="27" t="s">
        <v>250</v>
      </c>
      <c r="X2353" s="158"/>
      <c r="Y2353" s="164">
        <f t="shared" ca="1" si="155"/>
        <v>46290</v>
      </c>
      <c r="Z2353" s="35">
        <f t="shared" ca="1" si="156"/>
        <v>36</v>
      </c>
      <c r="AA2353" s="158">
        <f>MONTH(Table1[[#This Row],[End]])</f>
        <v>10</v>
      </c>
      <c r="AB2353" s="158">
        <f>YEAR(Table1[[#This Row],[End]])</f>
        <v>2026</v>
      </c>
      <c r="AC2353" s="159" t="s">
        <v>11330</v>
      </c>
      <c r="AD2353" s="159" t="s">
        <v>11331</v>
      </c>
      <c r="AE2353" s="184"/>
      <c r="AF2353" s="158" t="s">
        <v>333</v>
      </c>
      <c r="AG2353" s="160"/>
      <c r="AH2353" s="160"/>
      <c r="AI2353" s="158"/>
      <c r="AJ2353" s="158"/>
      <c r="AK2353" s="158"/>
      <c r="AL2353" s="158"/>
      <c r="AM2353" s="158"/>
      <c r="AN2353" s="158"/>
      <c r="AO2353" s="158"/>
      <c r="AP2353" s="158"/>
      <c r="AQ2353" s="158"/>
      <c r="AR2353" s="507"/>
      <c r="AS2353" s="475"/>
      <c r="AT2353" s="160"/>
    </row>
    <row r="2354" spans="1:46" ht="15" hidden="1" customHeight="1">
      <c r="A2354" s="331">
        <v>2353</v>
      </c>
      <c r="B2354" s="159" t="s">
        <v>37</v>
      </c>
      <c r="C2354" s="159" t="s">
        <v>11332</v>
      </c>
      <c r="D2354" s="438" t="s">
        <v>11045</v>
      </c>
      <c r="E2354" s="361" t="str">
        <f t="shared" ca="1" si="153"/>
        <v>LOSS</v>
      </c>
      <c r="F2354" s="160"/>
      <c r="G2354" s="159" t="s">
        <v>11333</v>
      </c>
      <c r="H2354" s="160" t="s">
        <v>2748</v>
      </c>
      <c r="I2354" s="160" t="s">
        <v>242</v>
      </c>
      <c r="J2354" s="205" t="s">
        <v>11334</v>
      </c>
      <c r="K2354" s="205" t="s">
        <v>11335</v>
      </c>
      <c r="L2354" s="158"/>
      <c r="M2354" s="158" t="s">
        <v>353</v>
      </c>
      <c r="N2354" s="158" t="s">
        <v>6727</v>
      </c>
      <c r="O2354" s="162">
        <v>3500000</v>
      </c>
      <c r="P2354" s="161">
        <f>8000000*12</f>
        <v>96000000</v>
      </c>
      <c r="Q2354" s="161"/>
      <c r="R2354" s="162">
        <v>2060000</v>
      </c>
      <c r="S2354" s="163">
        <v>12360000</v>
      </c>
      <c r="T2354" s="164"/>
      <c r="U2354" s="340">
        <v>45884</v>
      </c>
      <c r="V2354" s="340">
        <v>46248</v>
      </c>
      <c r="W2354" s="27" t="s">
        <v>17</v>
      </c>
      <c r="X2354" s="158"/>
      <c r="Y2354" s="164">
        <f t="shared" ca="1" si="155"/>
        <v>46290</v>
      </c>
      <c r="Z2354" s="35">
        <f t="shared" ca="1" si="156"/>
        <v>-42</v>
      </c>
      <c r="AA2354" s="158">
        <f>MONTH(Table1[[#This Row],[End]])</f>
        <v>8</v>
      </c>
      <c r="AB2354" s="158">
        <f>YEAR(Table1[[#This Row],[End]])</f>
        <v>2026</v>
      </c>
      <c r="AC2354" s="159" t="s">
        <v>479</v>
      </c>
      <c r="AD2354" s="159" t="s">
        <v>11336</v>
      </c>
      <c r="AE2354" s="184" t="s">
        <v>11337</v>
      </c>
      <c r="AF2354" s="158" t="s">
        <v>333</v>
      </c>
      <c r="AG2354" s="160"/>
      <c r="AH2354" s="160"/>
      <c r="AI2354" s="158"/>
      <c r="AJ2354" s="158"/>
      <c r="AK2354" s="158"/>
      <c r="AL2354" s="158"/>
      <c r="AM2354" s="158"/>
      <c r="AN2354" s="158"/>
      <c r="AO2354" s="158"/>
      <c r="AP2354" s="158"/>
      <c r="AQ2354" s="158">
        <v>266</v>
      </c>
      <c r="AR2354" s="507"/>
      <c r="AS2354" s="475"/>
      <c r="AT2354" s="160"/>
    </row>
    <row r="2355" spans="1:46" ht="15" hidden="1" customHeight="1">
      <c r="A2355" s="331">
        <v>2354</v>
      </c>
      <c r="B2355" s="159" t="s">
        <v>542</v>
      </c>
      <c r="C2355" s="159" t="s">
        <v>11338</v>
      </c>
      <c r="D2355" s="437" t="s">
        <v>413</v>
      </c>
      <c r="E2355" s="361" t="str">
        <f t="shared" ca="1" si="153"/>
        <v>LOSS</v>
      </c>
      <c r="F2355" s="160"/>
      <c r="G2355" s="159" t="s">
        <v>11339</v>
      </c>
      <c r="H2355" s="160" t="s">
        <v>2748</v>
      </c>
      <c r="I2355" s="160" t="s">
        <v>242</v>
      </c>
      <c r="J2355" s="205" t="s">
        <v>11340</v>
      </c>
      <c r="K2355" s="160"/>
      <c r="L2355" s="158"/>
      <c r="M2355" s="158" t="s">
        <v>329</v>
      </c>
      <c r="N2355" s="158" t="s">
        <v>6885</v>
      </c>
      <c r="O2355" s="162">
        <v>1500000</v>
      </c>
      <c r="P2355" s="161">
        <f>2000000*12</f>
        <v>24000000</v>
      </c>
      <c r="Q2355" s="161"/>
      <c r="R2355" s="162">
        <v>4000000</v>
      </c>
      <c r="S2355" s="163">
        <v>8000000</v>
      </c>
      <c r="T2355" s="164"/>
      <c r="U2355" s="340">
        <v>45903</v>
      </c>
      <c r="V2355" s="340">
        <v>46267</v>
      </c>
      <c r="W2355" s="27" t="s">
        <v>17</v>
      </c>
      <c r="X2355" s="158"/>
      <c r="Y2355" s="164">
        <f t="shared" ca="1" si="155"/>
        <v>46290</v>
      </c>
      <c r="Z2355" s="35">
        <f t="shared" ca="1" si="156"/>
        <v>-23</v>
      </c>
      <c r="AA2355" s="158">
        <f>MONTH(Table1[[#This Row],[End]])</f>
        <v>9</v>
      </c>
      <c r="AB2355" s="158">
        <f>YEAR(Table1[[#This Row],[End]])</f>
        <v>2026</v>
      </c>
      <c r="AC2355" s="159" t="s">
        <v>3371</v>
      </c>
      <c r="AD2355" s="159" t="s">
        <v>11341</v>
      </c>
      <c r="AE2355" s="184" t="s">
        <v>11342</v>
      </c>
      <c r="AF2355" s="158" t="s">
        <v>333</v>
      </c>
      <c r="AG2355" s="160"/>
      <c r="AH2355" s="160"/>
      <c r="AI2355" s="158"/>
      <c r="AJ2355" s="158"/>
      <c r="AK2355" s="158"/>
      <c r="AL2355" s="158"/>
      <c r="AM2355" s="158"/>
      <c r="AN2355" s="158"/>
      <c r="AO2355" s="158"/>
      <c r="AP2355" s="158"/>
      <c r="AQ2355" s="158">
        <v>265</v>
      </c>
      <c r="AR2355" s="507"/>
      <c r="AS2355" s="475"/>
      <c r="AT2355" s="160"/>
    </row>
    <row r="2356" spans="1:46" ht="15" hidden="1" customHeight="1">
      <c r="A2356" s="331">
        <v>2355</v>
      </c>
      <c r="B2356" s="159" t="s">
        <v>221</v>
      </c>
      <c r="C2356" s="159" t="s">
        <v>1134</v>
      </c>
      <c r="D2356" s="438" t="s">
        <v>369</v>
      </c>
      <c r="E2356" s="361" t="str">
        <f t="shared" ca="1" si="153"/>
        <v>LOSS</v>
      </c>
      <c r="F2356" s="159" t="s">
        <v>11343</v>
      </c>
      <c r="G2356" s="255" t="s">
        <v>11344</v>
      </c>
      <c r="H2356" s="160" t="s">
        <v>2748</v>
      </c>
      <c r="I2356" s="160" t="s">
        <v>242</v>
      </c>
      <c r="J2356" s="216" t="s">
        <v>11345</v>
      </c>
      <c r="K2356" s="218" t="s">
        <v>11346</v>
      </c>
      <c r="L2356" s="158"/>
      <c r="M2356" s="158" t="s">
        <v>365</v>
      </c>
      <c r="N2356" s="160"/>
      <c r="O2356" s="162"/>
      <c r="P2356" s="161">
        <f>57837836*12</f>
        <v>694054032</v>
      </c>
      <c r="Q2356" s="161"/>
      <c r="R2356" s="162"/>
      <c r="S2356" s="163">
        <v>6000000</v>
      </c>
      <c r="T2356" s="164"/>
      <c r="U2356" s="340">
        <v>45909</v>
      </c>
      <c r="V2356" s="340">
        <v>46273</v>
      </c>
      <c r="W2356" s="27" t="s">
        <v>17</v>
      </c>
      <c r="X2356" s="158"/>
      <c r="Y2356" s="164">
        <f t="shared" ca="1" si="155"/>
        <v>46290</v>
      </c>
      <c r="Z2356" s="35">
        <f t="shared" ca="1" si="156"/>
        <v>-17</v>
      </c>
      <c r="AA2356" s="158">
        <f>MONTH(Table1[[#This Row],[End]])</f>
        <v>9</v>
      </c>
      <c r="AB2356" s="158">
        <f>YEAR(Table1[[#This Row],[End]])</f>
        <v>2026</v>
      </c>
      <c r="AC2356" s="159" t="s">
        <v>11347</v>
      </c>
      <c r="AD2356" s="159" t="s">
        <v>11348</v>
      </c>
      <c r="AE2356" s="184" t="s">
        <v>11349</v>
      </c>
      <c r="AF2356" s="158" t="s">
        <v>333</v>
      </c>
      <c r="AG2356" s="160"/>
      <c r="AH2356" s="160"/>
      <c r="AI2356" s="158"/>
      <c r="AJ2356" s="158"/>
      <c r="AK2356" s="158"/>
      <c r="AL2356" s="158"/>
      <c r="AM2356" s="158"/>
      <c r="AN2356" s="158"/>
      <c r="AO2356" s="158"/>
      <c r="AP2356" s="158"/>
      <c r="AQ2356" s="158">
        <v>267</v>
      </c>
      <c r="AR2356" s="507"/>
      <c r="AS2356" s="475"/>
      <c r="AT2356" s="160"/>
    </row>
    <row r="2357" spans="1:46" ht="15" hidden="1" customHeight="1">
      <c r="A2357" s="331">
        <v>2356</v>
      </c>
      <c r="B2357" s="159" t="s">
        <v>221</v>
      </c>
      <c r="C2357" s="159" t="s">
        <v>1134</v>
      </c>
      <c r="D2357" s="437" t="s">
        <v>369</v>
      </c>
      <c r="E2357" s="361" t="str">
        <f t="shared" ca="1" si="153"/>
        <v>LOSS</v>
      </c>
      <c r="F2357" s="159" t="s">
        <v>11343</v>
      </c>
      <c r="G2357" s="221" t="s">
        <v>11350</v>
      </c>
      <c r="H2357" s="160" t="s">
        <v>2748</v>
      </c>
      <c r="I2357" s="160" t="s">
        <v>242</v>
      </c>
      <c r="J2357" s="216" t="s">
        <v>11345</v>
      </c>
      <c r="K2357" s="218" t="s">
        <v>11346</v>
      </c>
      <c r="L2357" s="158"/>
      <c r="M2357" s="158" t="s">
        <v>365</v>
      </c>
      <c r="N2357" s="160"/>
      <c r="O2357" s="162"/>
      <c r="P2357" s="161">
        <f>57837836*12</f>
        <v>694054032</v>
      </c>
      <c r="Q2357" s="161"/>
      <c r="R2357" s="162"/>
      <c r="S2357" s="163">
        <v>18000000</v>
      </c>
      <c r="T2357" s="164"/>
      <c r="U2357" s="340">
        <v>45909</v>
      </c>
      <c r="V2357" s="340">
        <v>46273</v>
      </c>
      <c r="W2357" s="27" t="s">
        <v>17</v>
      </c>
      <c r="X2357" s="158"/>
      <c r="Y2357" s="164">
        <f t="shared" ca="1" si="155"/>
        <v>46290</v>
      </c>
      <c r="Z2357" s="35">
        <f t="shared" ca="1" si="156"/>
        <v>-17</v>
      </c>
      <c r="AA2357" s="158">
        <f>MONTH(Table1[[#This Row],[End]])</f>
        <v>9</v>
      </c>
      <c r="AB2357" s="158">
        <f>YEAR(Table1[[#This Row],[End]])</f>
        <v>2026</v>
      </c>
      <c r="AC2357" s="159" t="s">
        <v>11351</v>
      </c>
      <c r="AD2357" s="159" t="s">
        <v>11352</v>
      </c>
      <c r="AE2357" s="184" t="s">
        <v>11353</v>
      </c>
      <c r="AF2357" s="158" t="s">
        <v>333</v>
      </c>
      <c r="AG2357" s="160"/>
      <c r="AH2357" s="160"/>
      <c r="AI2357" s="158"/>
      <c r="AJ2357" s="158"/>
      <c r="AK2357" s="158"/>
      <c r="AL2357" s="158"/>
      <c r="AM2357" s="158"/>
      <c r="AN2357" s="158"/>
      <c r="AO2357" s="158"/>
      <c r="AP2357" s="158"/>
      <c r="AQ2357" s="158">
        <v>268</v>
      </c>
      <c r="AR2357" s="507"/>
      <c r="AS2357" s="475"/>
      <c r="AT2357" s="160"/>
    </row>
    <row r="2358" spans="1:46" ht="15" hidden="1" customHeight="1">
      <c r="A2358" s="331">
        <v>2357</v>
      </c>
      <c r="B2358" s="159" t="s">
        <v>221</v>
      </c>
      <c r="C2358" s="159" t="s">
        <v>1134</v>
      </c>
      <c r="D2358" s="438" t="s">
        <v>369</v>
      </c>
      <c r="E2358" s="361" t="str">
        <f t="shared" ca="1" si="153"/>
        <v>LOSS</v>
      </c>
      <c r="F2358" s="159" t="s">
        <v>11343</v>
      </c>
      <c r="G2358" s="221" t="s">
        <v>11350</v>
      </c>
      <c r="H2358" s="160" t="s">
        <v>2748</v>
      </c>
      <c r="I2358" s="160" t="s">
        <v>346</v>
      </c>
      <c r="J2358" s="216" t="s">
        <v>11345</v>
      </c>
      <c r="K2358" s="218" t="s">
        <v>11346</v>
      </c>
      <c r="L2358" s="158"/>
      <c r="M2358" s="158" t="s">
        <v>365</v>
      </c>
      <c r="N2358" s="160"/>
      <c r="O2358" s="162"/>
      <c r="P2358" s="161">
        <f>57837836*12</f>
        <v>694054032</v>
      </c>
      <c r="Q2358" s="161"/>
      <c r="R2358" s="162"/>
      <c r="S2358" s="163">
        <v>276000000</v>
      </c>
      <c r="T2358" s="164"/>
      <c r="U2358" s="340">
        <v>45906</v>
      </c>
      <c r="V2358" s="340">
        <v>46270</v>
      </c>
      <c r="W2358" s="27" t="s">
        <v>17</v>
      </c>
      <c r="X2358" s="158"/>
      <c r="Y2358" s="164">
        <f t="shared" ca="1" si="155"/>
        <v>46290</v>
      </c>
      <c r="Z2358" s="35">
        <f t="shared" ca="1" si="156"/>
        <v>-20</v>
      </c>
      <c r="AA2358" s="158">
        <f>MONTH(Table1[[#This Row],[End]])</f>
        <v>9</v>
      </c>
      <c r="AB2358" s="158">
        <f>YEAR(Table1[[#This Row],[End]])</f>
        <v>2026</v>
      </c>
      <c r="AC2358" s="159" t="s">
        <v>11354</v>
      </c>
      <c r="AD2358" s="159" t="s">
        <v>11355</v>
      </c>
      <c r="AE2358" s="184" t="s">
        <v>11356</v>
      </c>
      <c r="AF2358" s="158" t="s">
        <v>333</v>
      </c>
      <c r="AG2358" s="160"/>
      <c r="AH2358" s="160"/>
      <c r="AI2358" s="158"/>
      <c r="AJ2358" s="158"/>
      <c r="AK2358" s="158"/>
      <c r="AL2358" s="158"/>
      <c r="AM2358" s="158"/>
      <c r="AN2358" s="158"/>
      <c r="AO2358" s="158"/>
      <c r="AP2358" s="158"/>
      <c r="AQ2358" s="158">
        <v>269</v>
      </c>
      <c r="AR2358" s="507"/>
      <c r="AS2358" s="475"/>
      <c r="AT2358" s="160"/>
    </row>
    <row r="2359" spans="1:46" ht="15" hidden="1" customHeight="1">
      <c r="A2359" s="331">
        <v>2358</v>
      </c>
      <c r="B2359" s="159" t="s">
        <v>221</v>
      </c>
      <c r="C2359" s="182" t="s">
        <v>11357</v>
      </c>
      <c r="D2359" s="437" t="s">
        <v>369</v>
      </c>
      <c r="E2359" s="361" t="str">
        <f t="shared" ca="1" si="153"/>
        <v>LOSS</v>
      </c>
      <c r="F2359" s="255" t="s">
        <v>11344</v>
      </c>
      <c r="G2359" s="221" t="s">
        <v>11358</v>
      </c>
      <c r="H2359" s="160" t="s">
        <v>2748</v>
      </c>
      <c r="I2359" s="160" t="s">
        <v>242</v>
      </c>
      <c r="J2359" s="205"/>
      <c r="K2359" s="218" t="s">
        <v>11359</v>
      </c>
      <c r="L2359" s="158"/>
      <c r="M2359" s="190" t="s">
        <v>365</v>
      </c>
      <c r="N2359" s="160"/>
      <c r="O2359" s="162"/>
      <c r="P2359" s="161">
        <f>71000000*12</f>
        <v>852000000</v>
      </c>
      <c r="Q2359" s="161"/>
      <c r="R2359" s="162"/>
      <c r="S2359" s="163">
        <f>78000000+24000000</f>
        <v>102000000</v>
      </c>
      <c r="T2359" s="164"/>
      <c r="U2359" s="340">
        <v>45896</v>
      </c>
      <c r="V2359" s="340">
        <v>46260</v>
      </c>
      <c r="W2359" s="27" t="s">
        <v>17</v>
      </c>
      <c r="X2359" s="158"/>
      <c r="Y2359" s="164">
        <f t="shared" ca="1" si="155"/>
        <v>46290</v>
      </c>
      <c r="Z2359" s="35">
        <f t="shared" ca="1" si="156"/>
        <v>-30</v>
      </c>
      <c r="AA2359" s="158">
        <f>MONTH(Table1[[#This Row],[End]])</f>
        <v>8</v>
      </c>
      <c r="AB2359" s="158">
        <f>YEAR(Table1[[#This Row],[End]])</f>
        <v>2026</v>
      </c>
      <c r="AC2359" s="159" t="s">
        <v>11360</v>
      </c>
      <c r="AD2359" s="159" t="s">
        <v>11361</v>
      </c>
      <c r="AE2359" s="184" t="s">
        <v>11362</v>
      </c>
      <c r="AF2359" s="158" t="s">
        <v>333</v>
      </c>
      <c r="AG2359" s="160"/>
      <c r="AH2359" s="160"/>
      <c r="AI2359" s="158"/>
      <c r="AJ2359" s="158"/>
      <c r="AK2359" s="158"/>
      <c r="AL2359" s="158"/>
      <c r="AM2359" s="158"/>
      <c r="AN2359" s="158"/>
      <c r="AO2359" s="158"/>
      <c r="AP2359" s="158"/>
      <c r="AQ2359" s="158">
        <v>237</v>
      </c>
      <c r="AR2359" s="507"/>
      <c r="AS2359" s="475"/>
      <c r="AT2359" s="160"/>
    </row>
    <row r="2360" spans="1:46" ht="15" hidden="1" customHeight="1">
      <c r="A2360" s="331">
        <v>2359</v>
      </c>
      <c r="B2360" s="159" t="s">
        <v>221</v>
      </c>
      <c r="C2360" s="182" t="s">
        <v>11357</v>
      </c>
      <c r="D2360" s="438" t="s">
        <v>369</v>
      </c>
      <c r="E2360" s="361" t="str">
        <f t="shared" ca="1" si="153"/>
        <v>LOSS</v>
      </c>
      <c r="F2360" s="255" t="s">
        <v>11344</v>
      </c>
      <c r="G2360" s="221" t="s">
        <v>11358</v>
      </c>
      <c r="H2360" s="160" t="s">
        <v>2748</v>
      </c>
      <c r="I2360" s="160" t="s">
        <v>242</v>
      </c>
      <c r="J2360" s="205"/>
      <c r="K2360" s="218" t="s">
        <v>11359</v>
      </c>
      <c r="L2360" s="158"/>
      <c r="M2360" s="158" t="s">
        <v>365</v>
      </c>
      <c r="N2360" s="160"/>
      <c r="O2360" s="162"/>
      <c r="P2360" s="161">
        <f>71000000*12</f>
        <v>852000000</v>
      </c>
      <c r="Q2360" s="161"/>
      <c r="R2360" s="256">
        <v>10000000</v>
      </c>
      <c r="S2360" s="163">
        <f>10000000*12</f>
        <v>120000000</v>
      </c>
      <c r="T2360" s="164"/>
      <c r="U2360" s="340">
        <v>45876</v>
      </c>
      <c r="V2360" s="340">
        <v>46240</v>
      </c>
      <c r="W2360" s="27" t="s">
        <v>17</v>
      </c>
      <c r="X2360" s="158"/>
      <c r="Y2360" s="164">
        <f t="shared" ca="1" si="155"/>
        <v>46290</v>
      </c>
      <c r="Z2360" s="35">
        <f t="shared" ca="1" si="156"/>
        <v>-50</v>
      </c>
      <c r="AA2360" s="158">
        <f>MONTH(Table1[[#This Row],[End]])</f>
        <v>8</v>
      </c>
      <c r="AB2360" s="158">
        <f>YEAR(Table1[[#This Row],[End]])</f>
        <v>2026</v>
      </c>
      <c r="AC2360" s="159" t="s">
        <v>479</v>
      </c>
      <c r="AD2360" s="159" t="s">
        <v>11363</v>
      </c>
      <c r="AE2360" s="184" t="s">
        <v>11364</v>
      </c>
      <c r="AF2360" s="158" t="s">
        <v>333</v>
      </c>
      <c r="AG2360" s="160"/>
      <c r="AH2360" s="160"/>
      <c r="AI2360" s="158"/>
      <c r="AJ2360" s="158"/>
      <c r="AK2360" s="158"/>
      <c r="AL2360" s="158"/>
      <c r="AM2360" s="158"/>
      <c r="AN2360" s="158"/>
      <c r="AO2360" s="158"/>
      <c r="AP2360" s="158"/>
      <c r="AQ2360" s="158">
        <v>238</v>
      </c>
      <c r="AR2360" s="507"/>
      <c r="AS2360" s="475"/>
      <c r="AT2360" s="160"/>
    </row>
    <row r="2361" spans="1:46" ht="15" hidden="1" customHeight="1">
      <c r="A2361" s="331">
        <v>2360</v>
      </c>
      <c r="B2361" s="159" t="s">
        <v>2121</v>
      </c>
      <c r="C2361" s="182" t="s">
        <v>11365</v>
      </c>
      <c r="D2361" s="437" t="s">
        <v>369</v>
      </c>
      <c r="E2361" s="361" t="str">
        <f t="shared" ca="1" si="153"/>
        <v>ON TRACK</v>
      </c>
      <c r="F2361" s="160"/>
      <c r="G2361" s="182" t="s">
        <v>11366</v>
      </c>
      <c r="H2361" s="29" t="s">
        <v>2748</v>
      </c>
      <c r="I2361" s="160" t="s">
        <v>346</v>
      </c>
      <c r="J2361" s="216" t="s">
        <v>11367</v>
      </c>
      <c r="K2361" s="160"/>
      <c r="L2361" s="158"/>
      <c r="M2361" s="158" t="s">
        <v>365</v>
      </c>
      <c r="N2361" s="160"/>
      <c r="O2361" s="162"/>
      <c r="P2361" s="161">
        <v>90000000</v>
      </c>
      <c r="Q2361" s="161"/>
      <c r="R2361" s="162"/>
      <c r="S2361" s="163">
        <f>19450000*12</f>
        <v>233400000</v>
      </c>
      <c r="T2361" s="164"/>
      <c r="U2361" s="334">
        <v>45870</v>
      </c>
      <c r="V2361" s="334">
        <v>46599</v>
      </c>
      <c r="W2361" s="27" t="s">
        <v>17</v>
      </c>
      <c r="X2361" s="158"/>
      <c r="Y2361" s="34">
        <f t="shared" ca="1" si="155"/>
        <v>46290</v>
      </c>
      <c r="Z2361" s="35">
        <f t="shared" ca="1" si="156"/>
        <v>309</v>
      </c>
      <c r="AA2361" s="27">
        <f>MONTH(V2361)</f>
        <v>7</v>
      </c>
      <c r="AB2361" s="27">
        <f>YEAR(V2361)</f>
        <v>2027</v>
      </c>
      <c r="AC2361" s="159" t="s">
        <v>11368</v>
      </c>
      <c r="AD2361" s="159" t="s">
        <v>11369</v>
      </c>
      <c r="AE2361" s="184" t="s">
        <v>11370</v>
      </c>
      <c r="AF2361" s="158" t="s">
        <v>333</v>
      </c>
      <c r="AG2361" s="160"/>
      <c r="AH2361" s="160"/>
      <c r="AI2361" s="158"/>
      <c r="AJ2361" s="158"/>
      <c r="AK2361" s="158"/>
      <c r="AL2361" s="158"/>
      <c r="AM2361" s="158"/>
      <c r="AN2361" s="158"/>
      <c r="AO2361" s="158"/>
      <c r="AP2361" s="158"/>
      <c r="AQ2361" s="158" t="s">
        <v>11371</v>
      </c>
      <c r="AR2361" s="507"/>
      <c r="AS2361" s="475"/>
      <c r="AT2361" s="160"/>
    </row>
    <row r="2362" spans="1:46" ht="15" hidden="1" customHeight="1">
      <c r="A2362" s="331">
        <v>2361</v>
      </c>
      <c r="B2362" s="159" t="s">
        <v>11372</v>
      </c>
      <c r="C2362" s="182" t="s">
        <v>11373</v>
      </c>
      <c r="D2362" s="443" t="s">
        <v>4268</v>
      </c>
      <c r="E2362" s="361" t="str">
        <f t="shared" ca="1" si="153"/>
        <v>LOSS</v>
      </c>
      <c r="F2362" s="160"/>
      <c r="G2362" s="28" t="s">
        <v>5092</v>
      </c>
      <c r="H2362" s="29" t="s">
        <v>2748</v>
      </c>
      <c r="I2362" s="29" t="s">
        <v>346</v>
      </c>
      <c r="J2362" s="205"/>
      <c r="K2362" s="218" t="s">
        <v>11374</v>
      </c>
      <c r="L2362" s="158"/>
      <c r="M2362" s="158" t="s">
        <v>365</v>
      </c>
      <c r="N2362" s="160"/>
      <c r="O2362" s="162"/>
      <c r="P2362" s="161">
        <f>117296700*12</f>
        <v>1407560400</v>
      </c>
      <c r="Q2362" s="161"/>
      <c r="R2362" s="162"/>
      <c r="S2362" s="163">
        <v>325799125</v>
      </c>
      <c r="T2362" s="164"/>
      <c r="U2362" s="334">
        <v>45394</v>
      </c>
      <c r="V2362" s="334">
        <v>46123</v>
      </c>
      <c r="W2362" s="27" t="s">
        <v>17</v>
      </c>
      <c r="X2362" s="158"/>
      <c r="Y2362" s="34">
        <f t="shared" ca="1" si="155"/>
        <v>46290</v>
      </c>
      <c r="Z2362" s="35">
        <f t="shared" ca="1" si="156"/>
        <v>-167</v>
      </c>
      <c r="AA2362" s="27">
        <f>MONTH(V2362)</f>
        <v>4</v>
      </c>
      <c r="AB2362" s="27">
        <f>YEAR(V2362)</f>
        <v>2026</v>
      </c>
      <c r="AC2362" s="159" t="s">
        <v>11375</v>
      </c>
      <c r="AD2362" s="159" t="s">
        <v>11376</v>
      </c>
      <c r="AE2362" s="184" t="s">
        <v>11377</v>
      </c>
      <c r="AF2362" s="158" t="s">
        <v>333</v>
      </c>
      <c r="AG2362" s="160"/>
      <c r="AH2362" s="160"/>
      <c r="AI2362" s="158"/>
      <c r="AJ2362" s="158"/>
      <c r="AK2362" s="158"/>
      <c r="AL2362" s="158"/>
      <c r="AM2362" s="158"/>
      <c r="AN2362" s="158"/>
      <c r="AO2362" s="158"/>
      <c r="AP2362" s="158"/>
      <c r="AQ2362" s="158">
        <v>224</v>
      </c>
      <c r="AR2362" s="507"/>
      <c r="AS2362" s="475"/>
      <c r="AT2362" s="160"/>
    </row>
    <row r="2363" spans="1:46" ht="15" hidden="1" customHeight="1">
      <c r="A2363" s="331">
        <v>2362</v>
      </c>
      <c r="B2363" s="159" t="s">
        <v>11372</v>
      </c>
      <c r="C2363" s="182" t="s">
        <v>11373</v>
      </c>
      <c r="D2363" s="437" t="s">
        <v>5091</v>
      </c>
      <c r="E2363" s="361" t="str">
        <f t="shared" ca="1" si="153"/>
        <v>ON TRACK</v>
      </c>
      <c r="F2363" s="160"/>
      <c r="G2363" s="28" t="s">
        <v>5103</v>
      </c>
      <c r="H2363" s="29" t="s">
        <v>2748</v>
      </c>
      <c r="I2363" s="29" t="s">
        <v>346</v>
      </c>
      <c r="J2363" s="205"/>
      <c r="K2363" s="218" t="s">
        <v>11374</v>
      </c>
      <c r="L2363" s="158"/>
      <c r="M2363" s="158" t="s">
        <v>365</v>
      </c>
      <c r="N2363" s="160"/>
      <c r="O2363" s="162"/>
      <c r="P2363" s="161">
        <f>117296700*12</f>
        <v>1407560400</v>
      </c>
      <c r="Q2363" s="161"/>
      <c r="R2363" s="162"/>
      <c r="S2363" s="163">
        <v>138111588</v>
      </c>
      <c r="T2363" s="164"/>
      <c r="U2363" s="334">
        <v>45623</v>
      </c>
      <c r="V2363" s="334">
        <v>46352</v>
      </c>
      <c r="W2363" s="27" t="s">
        <v>17</v>
      </c>
      <c r="X2363" s="158"/>
      <c r="Y2363" s="34">
        <f t="shared" ca="1" si="155"/>
        <v>46290</v>
      </c>
      <c r="Z2363" s="35">
        <f t="shared" ca="1" si="156"/>
        <v>62</v>
      </c>
      <c r="AA2363" s="27">
        <f>MONTH(V2363)</f>
        <v>11</v>
      </c>
      <c r="AB2363" s="27">
        <f>YEAR(V2363)</f>
        <v>2026</v>
      </c>
      <c r="AC2363" s="159" t="s">
        <v>11378</v>
      </c>
      <c r="AD2363" s="159" t="s">
        <v>11379</v>
      </c>
      <c r="AE2363" s="184" t="s">
        <v>11380</v>
      </c>
      <c r="AF2363" s="158" t="s">
        <v>333</v>
      </c>
      <c r="AG2363" s="160"/>
      <c r="AH2363" s="160"/>
      <c r="AI2363" s="158"/>
      <c r="AJ2363" s="158"/>
      <c r="AK2363" s="158"/>
      <c r="AL2363" s="158"/>
      <c r="AM2363" s="158"/>
      <c r="AN2363" s="158"/>
      <c r="AO2363" s="158"/>
      <c r="AP2363" s="158"/>
      <c r="AQ2363" s="158">
        <v>225</v>
      </c>
      <c r="AR2363" s="507"/>
      <c r="AS2363" s="475"/>
      <c r="AT2363" s="160"/>
    </row>
    <row r="2364" spans="1:46" ht="15" hidden="1" customHeight="1">
      <c r="A2364" s="331">
        <v>2363</v>
      </c>
      <c r="B2364" s="28" t="s">
        <v>925</v>
      </c>
      <c r="C2364" s="159" t="s">
        <v>11381</v>
      </c>
      <c r="D2364" s="438" t="s">
        <v>5091</v>
      </c>
      <c r="E2364" s="361" t="str">
        <f t="shared" ca="1" si="153"/>
        <v>LOSS</v>
      </c>
      <c r="F2364" s="160"/>
      <c r="G2364" s="159" t="s">
        <v>11382</v>
      </c>
      <c r="H2364" s="29" t="s">
        <v>2748</v>
      </c>
      <c r="I2364" s="160" t="s">
        <v>346</v>
      </c>
      <c r="J2364" s="205" t="s">
        <v>11383</v>
      </c>
      <c r="K2364" s="160"/>
      <c r="L2364" s="158"/>
      <c r="M2364" s="158" t="s">
        <v>11384</v>
      </c>
      <c r="N2364" s="158" t="s">
        <v>389</v>
      </c>
      <c r="O2364" s="162">
        <v>2000000</v>
      </c>
      <c r="P2364" s="161">
        <f>10000000*12</f>
        <v>120000000</v>
      </c>
      <c r="Q2364" s="161"/>
      <c r="R2364" s="162"/>
      <c r="S2364" s="163">
        <v>8400000</v>
      </c>
      <c r="T2364" s="164"/>
      <c r="U2364" s="334">
        <v>45883</v>
      </c>
      <c r="V2364" s="334">
        <v>46247</v>
      </c>
      <c r="W2364" s="27" t="s">
        <v>17</v>
      </c>
      <c r="X2364" s="158"/>
      <c r="Y2364" s="34">
        <f t="shared" ca="1" si="155"/>
        <v>46290</v>
      </c>
      <c r="Z2364" s="35">
        <f t="shared" ca="1" si="156"/>
        <v>-43</v>
      </c>
      <c r="AA2364" s="27">
        <f>MONTH(V2364)</f>
        <v>8</v>
      </c>
      <c r="AB2364" s="27">
        <f>YEAR(V2364)</f>
        <v>2026</v>
      </c>
      <c r="AC2364" s="159" t="s">
        <v>479</v>
      </c>
      <c r="AD2364" s="182" t="s">
        <v>11385</v>
      </c>
      <c r="AE2364" s="27">
        <v>4500025865</v>
      </c>
      <c r="AF2364" s="158" t="s">
        <v>333</v>
      </c>
      <c r="AG2364" s="160"/>
      <c r="AH2364" s="160"/>
      <c r="AI2364" s="158"/>
      <c r="AJ2364" s="158"/>
      <c r="AK2364" s="158"/>
      <c r="AL2364" s="158"/>
      <c r="AM2364" s="158"/>
      <c r="AN2364" s="158"/>
      <c r="AO2364" s="158"/>
      <c r="AP2364" s="158"/>
      <c r="AQ2364" s="158">
        <v>274</v>
      </c>
      <c r="AR2364" s="507"/>
      <c r="AS2364" s="475"/>
      <c r="AT2364" s="160"/>
    </row>
    <row r="2365" spans="1:46" ht="15" hidden="1" customHeight="1">
      <c r="A2365" s="331">
        <v>2364</v>
      </c>
      <c r="B2365" s="159" t="s">
        <v>450</v>
      </c>
      <c r="C2365" s="159" t="s">
        <v>9591</v>
      </c>
      <c r="D2365" s="437" t="s">
        <v>452</v>
      </c>
      <c r="E2365" s="361" t="str">
        <f t="shared" ca="1" si="153"/>
        <v>LOSS</v>
      </c>
      <c r="F2365" s="160" t="s">
        <v>5911</v>
      </c>
      <c r="G2365" s="159" t="s">
        <v>8299</v>
      </c>
      <c r="H2365" s="160" t="s">
        <v>2748</v>
      </c>
      <c r="I2365" s="160" t="s">
        <v>242</v>
      </c>
      <c r="J2365" s="205"/>
      <c r="K2365" s="181" t="s">
        <v>11386</v>
      </c>
      <c r="L2365" s="158"/>
      <c r="M2365" s="158" t="s">
        <v>365</v>
      </c>
      <c r="N2365" s="158" t="s">
        <v>11387</v>
      </c>
      <c r="O2365" s="162"/>
      <c r="P2365" s="161">
        <f>5000000*12</f>
        <v>60000000</v>
      </c>
      <c r="Q2365" s="161"/>
      <c r="R2365" s="162"/>
      <c r="S2365" s="163">
        <v>12000000</v>
      </c>
      <c r="T2365" s="164"/>
      <c r="U2365" s="340">
        <v>45884</v>
      </c>
      <c r="V2365" s="340">
        <v>46248</v>
      </c>
      <c r="W2365" s="27" t="s">
        <v>17</v>
      </c>
      <c r="X2365" s="158"/>
      <c r="Y2365" s="164">
        <f t="shared" ca="1" si="155"/>
        <v>46290</v>
      </c>
      <c r="Z2365" s="35">
        <f t="shared" ca="1" si="156"/>
        <v>-42</v>
      </c>
      <c r="AA2365" s="158">
        <f>MONTH(Table1[[#This Row],[End]])</f>
        <v>8</v>
      </c>
      <c r="AB2365" s="158">
        <f>YEAR(Table1[[#This Row],[End]])</f>
        <v>2026</v>
      </c>
      <c r="AC2365" s="159" t="s">
        <v>11388</v>
      </c>
      <c r="AD2365" s="159" t="s">
        <v>11389</v>
      </c>
      <c r="AE2365" s="184" t="s">
        <v>11390</v>
      </c>
      <c r="AF2365" s="158" t="s">
        <v>333</v>
      </c>
      <c r="AG2365" s="160"/>
      <c r="AH2365" s="160"/>
      <c r="AI2365" s="158"/>
      <c r="AJ2365" s="158"/>
      <c r="AK2365" s="158"/>
      <c r="AL2365" s="158"/>
      <c r="AM2365" s="158"/>
      <c r="AN2365" s="158"/>
      <c r="AO2365" s="158"/>
      <c r="AP2365" s="158"/>
      <c r="AQ2365" s="158">
        <v>270</v>
      </c>
      <c r="AR2365" s="507"/>
      <c r="AS2365" s="475"/>
      <c r="AT2365" s="160"/>
    </row>
    <row r="2366" spans="1:46" ht="15" hidden="1" customHeight="1">
      <c r="A2366" s="331">
        <v>2365</v>
      </c>
      <c r="B2366" s="159" t="s">
        <v>11391</v>
      </c>
      <c r="C2366" s="28" t="s">
        <v>3051</v>
      </c>
      <c r="D2366" s="438" t="s">
        <v>452</v>
      </c>
      <c r="E2366" s="361" t="str">
        <f t="shared" ca="1" si="153"/>
        <v>CRITICAL</v>
      </c>
      <c r="F2366" s="160"/>
      <c r="G2366" s="28" t="s">
        <v>3053</v>
      </c>
      <c r="H2366" s="29" t="s">
        <v>2748</v>
      </c>
      <c r="I2366" s="361" t="s">
        <v>3054</v>
      </c>
      <c r="J2366" s="28" t="s">
        <v>56</v>
      </c>
      <c r="K2366" s="160"/>
      <c r="L2366" s="158"/>
      <c r="M2366" s="158"/>
      <c r="N2366" s="160"/>
      <c r="O2366" s="162"/>
      <c r="P2366" s="31">
        <f>12*5000000</f>
        <v>60000000</v>
      </c>
      <c r="Q2366" s="161"/>
      <c r="R2366" s="162"/>
      <c r="S2366" s="32">
        <v>15000000</v>
      </c>
      <c r="T2366" s="164"/>
      <c r="U2366" s="334">
        <v>45931</v>
      </c>
      <c r="V2366" s="334">
        <v>46295</v>
      </c>
      <c r="W2366" s="27" t="s">
        <v>17</v>
      </c>
      <c r="X2366" s="158"/>
      <c r="Y2366" s="34">
        <f t="shared" ca="1" si="155"/>
        <v>46290</v>
      </c>
      <c r="Z2366" s="35">
        <f t="shared" ca="1" si="156"/>
        <v>5</v>
      </c>
      <c r="AA2366" s="27">
        <f>MONTH(V2366)</f>
        <v>9</v>
      </c>
      <c r="AB2366" s="27">
        <f>YEAR(V2366)</f>
        <v>2026</v>
      </c>
      <c r="AC2366" s="28" t="s">
        <v>11392</v>
      </c>
      <c r="AD2366" s="159" t="s">
        <v>11393</v>
      </c>
      <c r="AE2366" s="184" t="s">
        <v>11394</v>
      </c>
      <c r="AF2366" s="27" t="s">
        <v>333</v>
      </c>
      <c r="AG2366" s="160"/>
      <c r="AH2366" s="160"/>
      <c r="AI2366" s="158"/>
      <c r="AJ2366" s="158"/>
      <c r="AK2366" s="158"/>
      <c r="AL2366" s="158"/>
      <c r="AM2366" s="158"/>
      <c r="AN2366" s="158"/>
      <c r="AO2366" s="158"/>
      <c r="AP2366" s="158"/>
      <c r="AQ2366" s="158">
        <v>242</v>
      </c>
      <c r="AR2366" s="507"/>
      <c r="AS2366" s="475"/>
      <c r="AT2366" s="160"/>
    </row>
    <row r="2367" spans="1:46" ht="15" hidden="1" customHeight="1">
      <c r="A2367" s="331">
        <v>2366</v>
      </c>
      <c r="B2367" s="159" t="s">
        <v>348</v>
      </c>
      <c r="C2367" s="182" t="s">
        <v>11395</v>
      </c>
      <c r="D2367" s="437" t="s">
        <v>3052</v>
      </c>
      <c r="E2367" s="361" t="str">
        <f t="shared" ca="1" si="153"/>
        <v>LOSS</v>
      </c>
      <c r="F2367" s="160"/>
      <c r="G2367" s="159" t="s">
        <v>4807</v>
      </c>
      <c r="H2367" s="160" t="s">
        <v>2748</v>
      </c>
      <c r="I2367" s="160" t="s">
        <v>242</v>
      </c>
      <c r="J2367" s="216" t="s">
        <v>11396</v>
      </c>
      <c r="K2367" s="216" t="s">
        <v>11397</v>
      </c>
      <c r="L2367" s="158"/>
      <c r="M2367" s="158" t="s">
        <v>353</v>
      </c>
      <c r="N2367" s="158" t="s">
        <v>362</v>
      </c>
      <c r="O2367" s="162"/>
      <c r="P2367" s="161">
        <f>73500000*12</f>
        <v>882000000</v>
      </c>
      <c r="Q2367" s="161"/>
      <c r="R2367" s="162"/>
      <c r="S2367" s="163">
        <v>278451132</v>
      </c>
      <c r="T2367" s="164"/>
      <c r="U2367" s="340">
        <v>45658</v>
      </c>
      <c r="V2367" s="340">
        <v>46022</v>
      </c>
      <c r="W2367" s="158" t="s">
        <v>17</v>
      </c>
      <c r="X2367" s="158"/>
      <c r="Y2367" s="34">
        <f t="shared" ca="1" si="155"/>
        <v>46290</v>
      </c>
      <c r="Z2367" s="35">
        <f t="shared" ca="1" si="156"/>
        <v>-268</v>
      </c>
      <c r="AA2367" s="27">
        <f>MONTH(Table1[[#This Row],[End]])</f>
        <v>12</v>
      </c>
      <c r="AB2367" s="27">
        <f>YEAR(V2367)</f>
        <v>2025</v>
      </c>
      <c r="AC2367" s="159" t="s">
        <v>11398</v>
      </c>
      <c r="AD2367" s="159" t="s">
        <v>11399</v>
      </c>
      <c r="AE2367" s="184" t="s">
        <v>11400</v>
      </c>
      <c r="AF2367" s="158" t="s">
        <v>333</v>
      </c>
      <c r="AG2367" s="160"/>
      <c r="AH2367" s="160"/>
      <c r="AI2367" s="158"/>
      <c r="AJ2367" s="158"/>
      <c r="AK2367" s="158"/>
      <c r="AL2367" s="158"/>
      <c r="AM2367" s="158"/>
      <c r="AN2367" s="158"/>
      <c r="AO2367" s="158"/>
      <c r="AP2367" s="158"/>
      <c r="AQ2367" s="158">
        <v>261</v>
      </c>
      <c r="AR2367" s="507"/>
      <c r="AS2367" s="475"/>
      <c r="AT2367" s="160"/>
    </row>
    <row r="2368" spans="1:46" ht="15" hidden="1" customHeight="1">
      <c r="A2368" s="331">
        <v>2367</v>
      </c>
      <c r="B2368" s="159" t="s">
        <v>348</v>
      </c>
      <c r="C2368" s="221" t="s">
        <v>11401</v>
      </c>
      <c r="D2368" s="438" t="s">
        <v>11402</v>
      </c>
      <c r="E2368" s="361" t="str">
        <f t="shared" ca="1" si="153"/>
        <v>LOSS</v>
      </c>
      <c r="F2368" s="160"/>
      <c r="G2368" s="159" t="s">
        <v>4807</v>
      </c>
      <c r="H2368" s="160" t="s">
        <v>2748</v>
      </c>
      <c r="I2368" s="160" t="s">
        <v>242</v>
      </c>
      <c r="J2368" s="218" t="s">
        <v>11403</v>
      </c>
      <c r="K2368" s="218" t="s">
        <v>11404</v>
      </c>
      <c r="L2368" s="158"/>
      <c r="M2368" s="158" t="s">
        <v>353</v>
      </c>
      <c r="N2368" s="158" t="s">
        <v>389</v>
      </c>
      <c r="O2368" s="162"/>
      <c r="P2368" s="161">
        <f>84100000*12</f>
        <v>1009200000</v>
      </c>
      <c r="Q2368" s="161"/>
      <c r="R2368" s="162"/>
      <c r="S2368" s="163">
        <v>298655316</v>
      </c>
      <c r="T2368" s="164"/>
      <c r="U2368" s="340">
        <v>45658</v>
      </c>
      <c r="V2368" s="340">
        <v>46022</v>
      </c>
      <c r="W2368" s="158" t="s">
        <v>17</v>
      </c>
      <c r="X2368" s="158"/>
      <c r="Y2368" s="34">
        <f t="shared" ca="1" si="155"/>
        <v>46290</v>
      </c>
      <c r="Z2368" s="35">
        <f t="shared" ca="1" si="156"/>
        <v>-268</v>
      </c>
      <c r="AA2368" s="27">
        <f>MONTH(Table1[[#This Row],[End]])</f>
        <v>12</v>
      </c>
      <c r="AB2368" s="27">
        <f>YEAR(V2368)</f>
        <v>2025</v>
      </c>
      <c r="AC2368" s="159" t="s">
        <v>11405</v>
      </c>
      <c r="AD2368" s="159" t="s">
        <v>11406</v>
      </c>
      <c r="AE2368" s="184" t="s">
        <v>11407</v>
      </c>
      <c r="AF2368" s="158" t="s">
        <v>333</v>
      </c>
      <c r="AG2368" s="160"/>
      <c r="AH2368" s="160"/>
      <c r="AI2368" s="158"/>
      <c r="AJ2368" s="158"/>
      <c r="AK2368" s="158"/>
      <c r="AL2368" s="158"/>
      <c r="AM2368" s="158"/>
      <c r="AN2368" s="158"/>
      <c r="AO2368" s="158"/>
      <c r="AP2368" s="158"/>
      <c r="AQ2368" s="158">
        <v>262</v>
      </c>
      <c r="AR2368" s="507"/>
      <c r="AS2368" s="475"/>
      <c r="AT2368" s="160"/>
    </row>
    <row r="2369" spans="1:46" ht="15" hidden="1" customHeight="1">
      <c r="A2369" s="331">
        <v>2368</v>
      </c>
      <c r="B2369" s="159" t="s">
        <v>7195</v>
      </c>
      <c r="C2369" s="28" t="s">
        <v>7196</v>
      </c>
      <c r="D2369" s="437" t="s">
        <v>11402</v>
      </c>
      <c r="E2369" s="361" t="str">
        <f t="shared" ca="1" si="153"/>
        <v>LOSS</v>
      </c>
      <c r="F2369" s="160"/>
      <c r="G2369" s="28" t="s">
        <v>7198</v>
      </c>
      <c r="H2369" s="28" t="s">
        <v>2748</v>
      </c>
      <c r="I2369" s="160" t="s">
        <v>346</v>
      </c>
      <c r="J2369" s="28" t="s">
        <v>7199</v>
      </c>
      <c r="K2369" s="160"/>
      <c r="L2369" s="158"/>
      <c r="M2369" s="158"/>
      <c r="N2369" s="160"/>
      <c r="O2369" s="162"/>
      <c r="P2369" s="31">
        <f>2500000*12</f>
        <v>30000000</v>
      </c>
      <c r="Q2369" s="161"/>
      <c r="R2369" s="162"/>
      <c r="S2369" s="32">
        <v>5000000</v>
      </c>
      <c r="T2369" s="164"/>
      <c r="U2369" s="334">
        <v>45888</v>
      </c>
      <c r="V2369" s="334">
        <v>46252</v>
      </c>
      <c r="W2369" s="27" t="s">
        <v>17</v>
      </c>
      <c r="X2369" s="158"/>
      <c r="Y2369" s="34">
        <f t="shared" ca="1" si="155"/>
        <v>46290</v>
      </c>
      <c r="Z2369" s="35">
        <f t="shared" ca="1" si="156"/>
        <v>-38</v>
      </c>
      <c r="AA2369" s="27">
        <f>MONTH(V2369)</f>
        <v>8</v>
      </c>
      <c r="AB2369" s="27">
        <f>YEAR(V2369)</f>
        <v>2026</v>
      </c>
      <c r="AC2369" s="28" t="s">
        <v>11408</v>
      </c>
      <c r="AD2369" s="159" t="s">
        <v>11409</v>
      </c>
      <c r="AE2369" s="184" t="s">
        <v>11410</v>
      </c>
      <c r="AF2369" s="27" t="s">
        <v>333</v>
      </c>
      <c r="AG2369" s="160"/>
      <c r="AH2369" s="160"/>
      <c r="AI2369" s="158"/>
      <c r="AJ2369" s="158"/>
      <c r="AK2369" s="158"/>
      <c r="AL2369" s="158"/>
      <c r="AM2369" s="158"/>
      <c r="AN2369" s="158"/>
      <c r="AO2369" s="158"/>
      <c r="AP2369" s="158"/>
      <c r="AQ2369" s="158">
        <v>264</v>
      </c>
      <c r="AR2369" s="507"/>
      <c r="AS2369" s="475"/>
      <c r="AT2369" s="160"/>
    </row>
    <row r="2370" spans="1:46" ht="15" hidden="1" customHeight="1">
      <c r="A2370" s="331">
        <v>2369</v>
      </c>
      <c r="B2370" s="159" t="s">
        <v>169</v>
      </c>
      <c r="C2370" s="159" t="s">
        <v>344</v>
      </c>
      <c r="D2370" s="438" t="s">
        <v>377</v>
      </c>
      <c r="E2370" s="361" t="str">
        <f t="shared" ref="E2370:E2433" ca="1" si="157">IF(Z2370&lt;=0, "LOSS",IF(Z2370&lt;=15, "CRITICAL",IF(Z2370&lt;=30, "WARNING",IF(Z2370&lt;60, "ATTENTION", "ON TRACK"))))</f>
        <v>LOSS</v>
      </c>
      <c r="F2370" s="160" t="s">
        <v>11411</v>
      </c>
      <c r="G2370" s="159" t="s">
        <v>378</v>
      </c>
      <c r="H2370" s="160" t="s">
        <v>2748</v>
      </c>
      <c r="I2370" s="160" t="s">
        <v>346</v>
      </c>
      <c r="J2370" s="159"/>
      <c r="K2370" s="160"/>
      <c r="L2370" s="158"/>
      <c r="M2370" s="158" t="s">
        <v>365</v>
      </c>
      <c r="N2370" s="158" t="s">
        <v>354</v>
      </c>
      <c r="O2370" s="162"/>
      <c r="P2370" s="161">
        <v>252000000</v>
      </c>
      <c r="Q2370" s="161"/>
      <c r="R2370" s="162">
        <v>2500000</v>
      </c>
      <c r="S2370" s="163">
        <v>104260000</v>
      </c>
      <c r="T2370" s="164"/>
      <c r="U2370" s="340">
        <v>45831</v>
      </c>
      <c r="V2370" s="340">
        <v>46195</v>
      </c>
      <c r="W2370" s="158" t="s">
        <v>17</v>
      </c>
      <c r="X2370" s="158"/>
      <c r="Y2370" s="164">
        <f t="shared" ca="1" si="155"/>
        <v>46290</v>
      </c>
      <c r="Z2370" s="35">
        <f t="shared" ca="1" si="156"/>
        <v>-95</v>
      </c>
      <c r="AA2370" s="158">
        <f>MONTH(Table1[[#This Row],[End]])</f>
        <v>6</v>
      </c>
      <c r="AB2370" s="158">
        <f>YEAR(Table1[[#This Row],[End]])</f>
        <v>2026</v>
      </c>
      <c r="AC2370" s="159" t="s">
        <v>3371</v>
      </c>
      <c r="AD2370" s="159" t="s">
        <v>11412</v>
      </c>
      <c r="AE2370" s="184" t="s">
        <v>11413</v>
      </c>
      <c r="AF2370" s="201" t="s">
        <v>356</v>
      </c>
      <c r="AG2370" s="160"/>
      <c r="AH2370" s="160"/>
      <c r="AI2370" s="158"/>
      <c r="AJ2370" s="158"/>
      <c r="AK2370" s="158"/>
      <c r="AL2370" s="158"/>
      <c r="AM2370" s="158"/>
      <c r="AN2370" s="158"/>
      <c r="AO2370" s="158"/>
      <c r="AP2370" s="158"/>
      <c r="AQ2370" s="158">
        <v>168</v>
      </c>
      <c r="AR2370" s="507"/>
      <c r="AS2370" s="475"/>
      <c r="AT2370" s="160"/>
    </row>
    <row r="2371" spans="1:46" ht="15" hidden="1" customHeight="1">
      <c r="A2371" s="331">
        <v>2370</v>
      </c>
      <c r="B2371" s="159" t="s">
        <v>169</v>
      </c>
      <c r="C2371" s="159" t="s">
        <v>344</v>
      </c>
      <c r="D2371" s="437" t="s">
        <v>862</v>
      </c>
      <c r="E2371" s="361" t="str">
        <f t="shared" ca="1" si="157"/>
        <v>LOSS</v>
      </c>
      <c r="F2371" s="160"/>
      <c r="G2371" s="159" t="s">
        <v>378</v>
      </c>
      <c r="H2371" s="160" t="s">
        <v>2748</v>
      </c>
      <c r="I2371" s="160" t="s">
        <v>242</v>
      </c>
      <c r="J2371" s="159"/>
      <c r="K2371" s="181"/>
      <c r="L2371" s="158"/>
      <c r="M2371" s="158" t="s">
        <v>8854</v>
      </c>
      <c r="N2371" s="158"/>
      <c r="O2371" s="162"/>
      <c r="P2371" s="161">
        <v>2640000000</v>
      </c>
      <c r="Q2371" s="161"/>
      <c r="R2371" s="162"/>
      <c r="S2371" s="163">
        <v>36000000</v>
      </c>
      <c r="T2371" s="213"/>
      <c r="U2371" s="340">
        <v>45856</v>
      </c>
      <c r="V2371" s="340">
        <v>46220</v>
      </c>
      <c r="W2371" s="158" t="s">
        <v>17</v>
      </c>
      <c r="X2371" s="158"/>
      <c r="Y2371" s="164">
        <f t="shared" ca="1" si="155"/>
        <v>46290</v>
      </c>
      <c r="Z2371" s="35">
        <f t="shared" ca="1" si="156"/>
        <v>-70</v>
      </c>
      <c r="AA2371" s="158">
        <f>MONTH(Table1[[#This Row],[End]])</f>
        <v>7</v>
      </c>
      <c r="AB2371" s="158">
        <f>YEAR(Table1[[#This Row],[End]])</f>
        <v>2026</v>
      </c>
      <c r="AC2371" s="159" t="s">
        <v>3371</v>
      </c>
      <c r="AD2371" s="159" t="s">
        <v>11414</v>
      </c>
      <c r="AE2371" s="184" t="s">
        <v>11415</v>
      </c>
      <c r="AF2371" s="201" t="s">
        <v>356</v>
      </c>
      <c r="AG2371" s="160"/>
      <c r="AH2371" s="160"/>
      <c r="AI2371" s="160"/>
      <c r="AJ2371" s="158"/>
      <c r="AK2371" s="158"/>
      <c r="AL2371" s="158"/>
      <c r="AM2371" s="158"/>
      <c r="AN2371" s="158"/>
      <c r="AO2371" s="158"/>
      <c r="AP2371" s="158"/>
      <c r="AQ2371" s="158">
        <v>226</v>
      </c>
      <c r="AR2371" s="507"/>
      <c r="AS2371" s="475"/>
      <c r="AT2371" s="160"/>
    </row>
    <row r="2372" spans="1:46" ht="15" hidden="1" customHeight="1">
      <c r="A2372" s="331">
        <v>2371</v>
      </c>
      <c r="B2372" s="159" t="s">
        <v>348</v>
      </c>
      <c r="C2372" s="159" t="s">
        <v>483</v>
      </c>
      <c r="D2372" s="438" t="s">
        <v>862</v>
      </c>
      <c r="E2372" s="361" t="str">
        <f t="shared" ca="1" si="157"/>
        <v>LOSS</v>
      </c>
      <c r="F2372" s="160"/>
      <c r="G2372" s="159" t="s">
        <v>11416</v>
      </c>
      <c r="H2372" s="160" t="s">
        <v>2748</v>
      </c>
      <c r="I2372" s="160" t="s">
        <v>242</v>
      </c>
      <c r="J2372" s="159" t="s">
        <v>11417</v>
      </c>
      <c r="K2372" s="181" t="s">
        <v>361</v>
      </c>
      <c r="L2372" s="158"/>
      <c r="M2372" s="158" t="s">
        <v>365</v>
      </c>
      <c r="N2372" s="158" t="s">
        <v>6739</v>
      </c>
      <c r="O2372" s="162">
        <v>3000000</v>
      </c>
      <c r="P2372" s="161">
        <v>57000000</v>
      </c>
      <c r="Q2372" s="161"/>
      <c r="R2372" s="162"/>
      <c r="S2372" s="161">
        <v>19180992</v>
      </c>
      <c r="T2372" s="164"/>
      <c r="U2372" s="340">
        <v>45824</v>
      </c>
      <c r="V2372" s="340">
        <v>46022</v>
      </c>
      <c r="W2372" s="158" t="s">
        <v>17</v>
      </c>
      <c r="X2372" s="158"/>
      <c r="Y2372" s="34">
        <f t="shared" ca="1" si="155"/>
        <v>46290</v>
      </c>
      <c r="Z2372" s="35">
        <f t="shared" ca="1" si="156"/>
        <v>-268</v>
      </c>
      <c r="AA2372" s="158">
        <f>MONTH(Table1[[#This Row],[End]])</f>
        <v>12</v>
      </c>
      <c r="AB2372" s="158">
        <f>YEAR(Table1[[#This Row],[End]])</f>
        <v>2025</v>
      </c>
      <c r="AC2372" s="159" t="s">
        <v>3371</v>
      </c>
      <c r="AD2372" s="159" t="s">
        <v>11418</v>
      </c>
      <c r="AE2372" s="184" t="s">
        <v>11419</v>
      </c>
      <c r="AF2372" s="201" t="s">
        <v>356</v>
      </c>
      <c r="AG2372" s="160"/>
      <c r="AH2372" s="160"/>
      <c r="AI2372" s="158"/>
      <c r="AJ2372" s="158"/>
      <c r="AK2372" s="158"/>
      <c r="AL2372" s="158"/>
      <c r="AM2372" s="158"/>
      <c r="AN2372" s="158"/>
      <c r="AO2372" s="158"/>
      <c r="AP2372" s="158"/>
      <c r="AQ2372" s="158">
        <v>110</v>
      </c>
      <c r="AR2372" s="507"/>
      <c r="AS2372" s="475"/>
      <c r="AT2372" s="160"/>
    </row>
    <row r="2373" spans="1:46" ht="15" hidden="1" customHeight="1">
      <c r="A2373" s="331">
        <v>2372</v>
      </c>
      <c r="B2373" s="159" t="s">
        <v>348</v>
      </c>
      <c r="C2373" s="159" t="s">
        <v>4882</v>
      </c>
      <c r="D2373" s="437" t="s">
        <v>11420</v>
      </c>
      <c r="E2373" s="361" t="str">
        <f t="shared" ca="1" si="157"/>
        <v>LOSS</v>
      </c>
      <c r="F2373" s="160"/>
      <c r="G2373" s="159" t="s">
        <v>11421</v>
      </c>
      <c r="H2373" s="160" t="s">
        <v>2748</v>
      </c>
      <c r="I2373" s="160" t="s">
        <v>242</v>
      </c>
      <c r="J2373" s="159" t="s">
        <v>11422</v>
      </c>
      <c r="K2373" s="181" t="s">
        <v>11423</v>
      </c>
      <c r="L2373" s="158"/>
      <c r="M2373" s="158" t="s">
        <v>365</v>
      </c>
      <c r="N2373" s="158" t="s">
        <v>406</v>
      </c>
      <c r="O2373" s="162"/>
      <c r="P2373" s="161">
        <v>20322581</v>
      </c>
      <c r="Q2373" s="161"/>
      <c r="R2373" s="162"/>
      <c r="S2373" s="163">
        <v>8317310</v>
      </c>
      <c r="T2373" s="164"/>
      <c r="U2373" s="340">
        <v>45848</v>
      </c>
      <c r="V2373" s="340">
        <v>46022</v>
      </c>
      <c r="W2373" s="158" t="s">
        <v>17</v>
      </c>
      <c r="X2373" s="158"/>
      <c r="Y2373" s="34">
        <f t="shared" ca="1" si="155"/>
        <v>46290</v>
      </c>
      <c r="Z2373" s="35">
        <f t="shared" ca="1" si="156"/>
        <v>-268</v>
      </c>
      <c r="AA2373" s="158">
        <f>MONTH(Table1[[#This Row],[End]])</f>
        <v>12</v>
      </c>
      <c r="AB2373" s="158">
        <f>YEAR(Table1[[#This Row],[End]])</f>
        <v>2025</v>
      </c>
      <c r="AC2373" s="159" t="s">
        <v>3371</v>
      </c>
      <c r="AD2373" s="159" t="s">
        <v>11424</v>
      </c>
      <c r="AE2373" s="184" t="s">
        <v>11425</v>
      </c>
      <c r="AF2373" s="201" t="s">
        <v>356</v>
      </c>
      <c r="AG2373" s="160"/>
      <c r="AH2373" s="160"/>
      <c r="AI2373" s="158"/>
      <c r="AJ2373" s="158"/>
      <c r="AK2373" s="158"/>
      <c r="AL2373" s="158"/>
      <c r="AM2373" s="158"/>
      <c r="AN2373" s="158"/>
      <c r="AO2373" s="158"/>
      <c r="AP2373" s="158"/>
      <c r="AQ2373" s="158">
        <v>197</v>
      </c>
      <c r="AR2373" s="507"/>
      <c r="AS2373" s="475"/>
      <c r="AT2373" s="160"/>
    </row>
    <row r="2374" spans="1:46" ht="15" hidden="1" customHeight="1">
      <c r="A2374" s="331">
        <v>2373</v>
      </c>
      <c r="B2374" s="159" t="s">
        <v>348</v>
      </c>
      <c r="C2374" s="159" t="s">
        <v>11426</v>
      </c>
      <c r="D2374" s="438" t="s">
        <v>11420</v>
      </c>
      <c r="E2374" s="361" t="str">
        <f t="shared" ca="1" si="157"/>
        <v>LOSS</v>
      </c>
      <c r="F2374" s="160"/>
      <c r="G2374" s="159" t="s">
        <v>11427</v>
      </c>
      <c r="H2374" s="160" t="s">
        <v>2748</v>
      </c>
      <c r="I2374" s="160" t="s">
        <v>242</v>
      </c>
      <c r="J2374" s="159" t="s">
        <v>11428</v>
      </c>
      <c r="K2374" s="181" t="s">
        <v>11429</v>
      </c>
      <c r="L2374" s="158"/>
      <c r="M2374" s="158" t="s">
        <v>365</v>
      </c>
      <c r="N2374" s="158" t="s">
        <v>362</v>
      </c>
      <c r="O2374" s="162">
        <v>12000000</v>
      </c>
      <c r="P2374" s="161">
        <v>29419355</v>
      </c>
      <c r="Q2374" s="161"/>
      <c r="R2374" s="162"/>
      <c r="S2374" s="163">
        <v>13723450</v>
      </c>
      <c r="T2374" s="164"/>
      <c r="U2374" s="340">
        <v>45860</v>
      </c>
      <c r="V2374" s="340">
        <v>46022</v>
      </c>
      <c r="W2374" s="158" t="s">
        <v>17</v>
      </c>
      <c r="X2374" s="158"/>
      <c r="Y2374" s="34">
        <f t="shared" ca="1" si="155"/>
        <v>46290</v>
      </c>
      <c r="Z2374" s="35">
        <f t="shared" ref="Z2374:Z2375" ca="1" si="158">V2374-Y2374</f>
        <v>-268</v>
      </c>
      <c r="AA2374" s="158">
        <f>MONTH(Table1[[#This Row],[End]])</f>
        <v>12</v>
      </c>
      <c r="AB2374" s="158">
        <f>YEAR(Table1[[#This Row],[End]])</f>
        <v>2025</v>
      </c>
      <c r="AC2374" s="159" t="s">
        <v>3371</v>
      </c>
      <c r="AD2374" s="159" t="s">
        <v>11430</v>
      </c>
      <c r="AE2374" s="184" t="s">
        <v>11431</v>
      </c>
      <c r="AF2374" s="201" t="s">
        <v>356</v>
      </c>
      <c r="AG2374" s="160"/>
      <c r="AH2374" s="160"/>
      <c r="AI2374" s="158"/>
      <c r="AJ2374" s="158"/>
      <c r="AK2374" s="158"/>
      <c r="AL2374" s="158"/>
      <c r="AM2374" s="158"/>
      <c r="AN2374" s="158"/>
      <c r="AO2374" s="158"/>
      <c r="AP2374" s="158"/>
      <c r="AQ2374" s="158">
        <v>198</v>
      </c>
      <c r="AR2374" s="507"/>
      <c r="AS2374" s="475"/>
      <c r="AT2374" s="160"/>
    </row>
    <row r="2375" spans="1:46" ht="15" hidden="1" customHeight="1">
      <c r="A2375" s="331">
        <v>2374</v>
      </c>
      <c r="B2375" s="159" t="s">
        <v>348</v>
      </c>
      <c r="C2375" s="159" t="s">
        <v>4765</v>
      </c>
      <c r="D2375" s="437" t="s">
        <v>11420</v>
      </c>
      <c r="E2375" s="361" t="str">
        <f t="shared" ca="1" si="157"/>
        <v>LOSS</v>
      </c>
      <c r="F2375" s="160"/>
      <c r="G2375" s="159" t="s">
        <v>11432</v>
      </c>
      <c r="H2375" s="160" t="s">
        <v>2748</v>
      </c>
      <c r="I2375" s="160" t="s">
        <v>242</v>
      </c>
      <c r="J2375" s="159" t="s">
        <v>11433</v>
      </c>
      <c r="K2375" s="181" t="s">
        <v>11434</v>
      </c>
      <c r="L2375" s="158"/>
      <c r="M2375" s="158" t="s">
        <v>365</v>
      </c>
      <c r="N2375" s="158" t="s">
        <v>8337</v>
      </c>
      <c r="O2375" s="162"/>
      <c r="P2375" s="161">
        <v>768000000</v>
      </c>
      <c r="Q2375" s="161"/>
      <c r="R2375" s="162"/>
      <c r="S2375" s="163">
        <v>64834624</v>
      </c>
      <c r="T2375" s="164"/>
      <c r="U2375" s="340">
        <v>45825</v>
      </c>
      <c r="V2375" s="340">
        <v>46022</v>
      </c>
      <c r="W2375" s="158" t="s">
        <v>17</v>
      </c>
      <c r="X2375" s="158"/>
      <c r="Y2375" s="34">
        <f t="shared" ca="1" si="155"/>
        <v>46290</v>
      </c>
      <c r="Z2375" s="35">
        <f t="shared" ca="1" si="158"/>
        <v>-268</v>
      </c>
      <c r="AA2375" s="158">
        <f>MONTH(Table1[[#This Row],[End]])</f>
        <v>12</v>
      </c>
      <c r="AB2375" s="158">
        <f>YEAR(Table1[[#This Row],[End]])</f>
        <v>2025</v>
      </c>
      <c r="AC2375" s="159" t="s">
        <v>3371</v>
      </c>
      <c r="AD2375" s="159" t="s">
        <v>11435</v>
      </c>
      <c r="AE2375" s="184" t="s">
        <v>11436</v>
      </c>
      <c r="AF2375" s="201" t="s">
        <v>356</v>
      </c>
      <c r="AG2375" s="160"/>
      <c r="AH2375" s="160"/>
      <c r="AI2375" s="158"/>
      <c r="AJ2375" s="158"/>
      <c r="AK2375" s="158"/>
      <c r="AL2375" s="158"/>
      <c r="AM2375" s="158"/>
      <c r="AN2375" s="158"/>
      <c r="AO2375" s="158"/>
      <c r="AP2375" s="158"/>
      <c r="AQ2375" s="158">
        <v>109</v>
      </c>
      <c r="AR2375" s="507"/>
      <c r="AS2375" s="475"/>
      <c r="AT2375" s="160"/>
    </row>
    <row r="2376" spans="1:46" ht="15" hidden="1" customHeight="1">
      <c r="A2376" s="331">
        <v>2375</v>
      </c>
      <c r="B2376" s="159" t="s">
        <v>1043</v>
      </c>
      <c r="C2376" s="159" t="s">
        <v>11437</v>
      </c>
      <c r="D2376" s="437" t="s">
        <v>6810</v>
      </c>
      <c r="E2376" s="361" t="str">
        <f t="shared" ca="1" si="157"/>
        <v>LOSS</v>
      </c>
      <c r="F2376" s="300" t="s">
        <v>6831</v>
      </c>
      <c r="G2376" s="300" t="s">
        <v>6832</v>
      </c>
      <c r="H2376" s="28" t="s">
        <v>261</v>
      </c>
      <c r="I2376" s="160" t="s">
        <v>243</v>
      </c>
      <c r="J2376" s="159" t="s">
        <v>9117</v>
      </c>
      <c r="K2376" s="205" t="s">
        <v>6834</v>
      </c>
      <c r="L2376" s="158" t="s">
        <v>4749</v>
      </c>
      <c r="M2376" s="158" t="s">
        <v>329</v>
      </c>
      <c r="N2376" s="158" t="s">
        <v>6835</v>
      </c>
      <c r="O2376" s="162"/>
      <c r="P2376" s="161">
        <f>12*3000000</f>
        <v>36000000</v>
      </c>
      <c r="Q2376" s="161"/>
      <c r="R2376" s="162"/>
      <c r="S2376" s="163">
        <f>12*1200000</f>
        <v>14400000</v>
      </c>
      <c r="T2376" s="164"/>
      <c r="U2376" s="340">
        <v>45839</v>
      </c>
      <c r="V2376" s="340">
        <v>46203</v>
      </c>
      <c r="W2376" s="158" t="s">
        <v>250</v>
      </c>
      <c r="X2376" s="158"/>
      <c r="Y2376" s="34">
        <f t="shared" ca="1" si="155"/>
        <v>46290</v>
      </c>
      <c r="Z2376" s="207">
        <f ca="1">Table1[[#This Row],[End]]-Table1[[#This Row],[Today]]</f>
        <v>-87</v>
      </c>
      <c r="AA2376" s="158">
        <f>MONTH(Table1[[#This Row],[End]])</f>
        <v>6</v>
      </c>
      <c r="AB2376" s="158">
        <f>YEAR(Table1[[#This Row],[End]])</f>
        <v>2026</v>
      </c>
      <c r="AC2376" s="194" t="s">
        <v>11438</v>
      </c>
      <c r="AD2376" s="194" t="s">
        <v>11439</v>
      </c>
      <c r="AE2376" s="184" t="s">
        <v>11440</v>
      </c>
      <c r="AF2376" s="201" t="s">
        <v>8995</v>
      </c>
      <c r="AG2376" s="160"/>
      <c r="AH2376" s="160" t="s">
        <v>8922</v>
      </c>
      <c r="AI2376" s="158"/>
      <c r="AJ2376" s="158"/>
      <c r="AK2376" s="158"/>
      <c r="AL2376" s="158"/>
      <c r="AM2376" s="158"/>
      <c r="AN2376" s="158"/>
      <c r="AO2376" s="158"/>
      <c r="AP2376" s="158"/>
      <c r="AQ2376" s="158">
        <v>232</v>
      </c>
      <c r="AR2376" s="507"/>
      <c r="AS2376" s="475"/>
      <c r="AT2376" s="160"/>
    </row>
    <row r="2377" spans="1:46" ht="15" hidden="1" customHeight="1">
      <c r="A2377" s="331">
        <v>2376</v>
      </c>
      <c r="B2377" s="222" t="s">
        <v>2500</v>
      </c>
      <c r="C2377" s="222" t="s">
        <v>1192</v>
      </c>
      <c r="D2377" s="437" t="s">
        <v>6810</v>
      </c>
      <c r="E2377" s="361" t="str">
        <f t="shared" si="157"/>
        <v>ON TRACK</v>
      </c>
      <c r="F2377" s="223" t="s">
        <v>115</v>
      </c>
      <c r="G2377" s="222" t="s">
        <v>8598</v>
      </c>
      <c r="H2377" s="160" t="s">
        <v>8588</v>
      </c>
      <c r="I2377" s="160" t="s">
        <v>511</v>
      </c>
      <c r="J2377" s="159"/>
      <c r="K2377" s="181" t="s">
        <v>8599</v>
      </c>
      <c r="L2377" s="158" t="s">
        <v>11441</v>
      </c>
      <c r="M2377" s="226" t="s">
        <v>365</v>
      </c>
      <c r="N2377" s="158" t="s">
        <v>11441</v>
      </c>
      <c r="O2377" s="162" t="s">
        <v>11441</v>
      </c>
      <c r="P2377" s="161">
        <v>114000000</v>
      </c>
      <c r="Q2377" s="161" t="s">
        <v>11441</v>
      </c>
      <c r="R2377" s="162" t="s">
        <v>11441</v>
      </c>
      <c r="S2377" s="211" t="s">
        <v>11441</v>
      </c>
      <c r="T2377" s="213">
        <v>0.2</v>
      </c>
      <c r="U2377" s="340">
        <v>46143</v>
      </c>
      <c r="V2377" s="340">
        <v>46507</v>
      </c>
      <c r="W2377" s="158" t="s">
        <v>17</v>
      </c>
      <c r="X2377" s="158" t="s">
        <v>11441</v>
      </c>
      <c r="Y2377" s="164">
        <v>45897</v>
      </c>
      <c r="Z2377" s="227">
        <v>976</v>
      </c>
      <c r="AA2377" s="158">
        <v>4</v>
      </c>
      <c r="AB2377" s="158">
        <f t="shared" ref="AB2377:AB2440" si="159">YEAR(V2377)</f>
        <v>2027</v>
      </c>
      <c r="AC2377" s="159" t="s">
        <v>11441</v>
      </c>
      <c r="AD2377" s="159" t="s">
        <v>11441</v>
      </c>
      <c r="AE2377" s="158" t="s">
        <v>11441</v>
      </c>
      <c r="AF2377" s="158" t="s">
        <v>356</v>
      </c>
      <c r="AG2377" s="160"/>
      <c r="AH2377" s="160"/>
      <c r="AI2377" s="158"/>
      <c r="AJ2377" s="158"/>
      <c r="AK2377" s="158"/>
      <c r="AL2377" s="158"/>
      <c r="AM2377" s="158"/>
      <c r="AN2377" s="158"/>
      <c r="AO2377" s="158"/>
      <c r="AP2377" s="158"/>
      <c r="AQ2377" s="158"/>
      <c r="AR2377" s="507"/>
      <c r="AS2377" s="475"/>
      <c r="AT2377" s="160"/>
    </row>
    <row r="2378" spans="1:46" ht="15" hidden="1" customHeight="1">
      <c r="A2378" s="331">
        <v>2377</v>
      </c>
      <c r="B2378" s="229" t="s">
        <v>2500</v>
      </c>
      <c r="C2378" s="229" t="s">
        <v>8602</v>
      </c>
      <c r="D2378" s="447" t="s">
        <v>8597</v>
      </c>
      <c r="E2378" s="361" t="str">
        <f t="shared" si="157"/>
        <v>ON TRACK</v>
      </c>
      <c r="F2378" s="230" t="s">
        <v>115</v>
      </c>
      <c r="G2378" s="229" t="s">
        <v>8603</v>
      </c>
      <c r="H2378" s="160" t="s">
        <v>8588</v>
      </c>
      <c r="I2378" s="160" t="s">
        <v>511</v>
      </c>
      <c r="J2378" s="159"/>
      <c r="K2378" s="181" t="s">
        <v>8604</v>
      </c>
      <c r="L2378" s="158"/>
      <c r="M2378" s="232" t="s">
        <v>388</v>
      </c>
      <c r="N2378" s="232"/>
      <c r="O2378" s="162"/>
      <c r="P2378" s="161">
        <v>60000000</v>
      </c>
      <c r="Q2378" s="161"/>
      <c r="R2378" s="162"/>
      <c r="S2378" s="211"/>
      <c r="T2378" s="213">
        <v>0.2</v>
      </c>
      <c r="U2378" s="343">
        <v>46143</v>
      </c>
      <c r="V2378" s="343">
        <v>46507</v>
      </c>
      <c r="W2378" s="158" t="s">
        <v>17</v>
      </c>
      <c r="X2378" s="158"/>
      <c r="Y2378" s="164">
        <v>45897</v>
      </c>
      <c r="Z2378" s="228">
        <v>976</v>
      </c>
      <c r="AA2378" s="158">
        <v>4</v>
      </c>
      <c r="AB2378" s="158">
        <f t="shared" si="159"/>
        <v>2027</v>
      </c>
      <c r="AC2378" s="159" t="s">
        <v>11441</v>
      </c>
      <c r="AD2378" s="159" t="s">
        <v>11441</v>
      </c>
      <c r="AE2378" s="158" t="s">
        <v>11441</v>
      </c>
      <c r="AF2378" s="158" t="s">
        <v>356</v>
      </c>
      <c r="AG2378" s="160"/>
      <c r="AH2378" s="160"/>
      <c r="AI2378" s="158"/>
      <c r="AJ2378" s="158"/>
      <c r="AK2378" s="158"/>
      <c r="AL2378" s="158"/>
      <c r="AM2378" s="158"/>
      <c r="AN2378" s="158"/>
      <c r="AO2378" s="158"/>
      <c r="AP2378" s="158"/>
      <c r="AQ2378" s="158"/>
      <c r="AR2378" s="507"/>
      <c r="AS2378" s="475"/>
      <c r="AT2378" s="160"/>
    </row>
    <row r="2379" spans="1:46" ht="15" hidden="1" customHeight="1">
      <c r="A2379" s="331">
        <v>2378</v>
      </c>
      <c r="B2379" s="222" t="s">
        <v>2500</v>
      </c>
      <c r="C2379" s="222" t="s">
        <v>8606</v>
      </c>
      <c r="D2379" s="438" t="s">
        <v>8597</v>
      </c>
      <c r="E2379" s="361" t="str">
        <f t="shared" si="157"/>
        <v>ON TRACK</v>
      </c>
      <c r="F2379" s="224" t="s">
        <v>8607</v>
      </c>
      <c r="G2379" s="222" t="s">
        <v>8608</v>
      </c>
      <c r="H2379" s="160" t="s">
        <v>8588</v>
      </c>
      <c r="I2379" s="160" t="s">
        <v>511</v>
      </c>
      <c r="J2379" s="159"/>
      <c r="K2379" s="181" t="s">
        <v>8609</v>
      </c>
      <c r="L2379" s="158" t="s">
        <v>11441</v>
      </c>
      <c r="M2379" s="226" t="s">
        <v>365</v>
      </c>
      <c r="N2379" s="158" t="s">
        <v>11441</v>
      </c>
      <c r="O2379" s="162" t="s">
        <v>11441</v>
      </c>
      <c r="P2379" s="161">
        <v>90600000</v>
      </c>
      <c r="Q2379" s="161" t="s">
        <v>11441</v>
      </c>
      <c r="R2379" s="162" t="s">
        <v>11441</v>
      </c>
      <c r="S2379" s="211" t="s">
        <v>11441</v>
      </c>
      <c r="T2379" s="213">
        <v>0.2</v>
      </c>
      <c r="U2379" s="340">
        <v>46143</v>
      </c>
      <c r="V2379" s="340">
        <v>46507</v>
      </c>
      <c r="W2379" s="158" t="s">
        <v>17</v>
      </c>
      <c r="X2379" s="158" t="s">
        <v>11441</v>
      </c>
      <c r="Y2379" s="164">
        <v>45897</v>
      </c>
      <c r="Z2379" s="227">
        <v>976</v>
      </c>
      <c r="AA2379" s="158">
        <v>4</v>
      </c>
      <c r="AB2379" s="158">
        <f t="shared" si="159"/>
        <v>2027</v>
      </c>
      <c r="AC2379" s="159" t="s">
        <v>11441</v>
      </c>
      <c r="AD2379" s="159" t="s">
        <v>11441</v>
      </c>
      <c r="AE2379" s="158" t="s">
        <v>11441</v>
      </c>
      <c r="AF2379" s="158" t="s">
        <v>356</v>
      </c>
      <c r="AG2379" s="160"/>
      <c r="AH2379" s="160"/>
      <c r="AI2379" s="225"/>
      <c r="AJ2379" s="158"/>
      <c r="AK2379" s="158"/>
      <c r="AL2379" s="158"/>
      <c r="AM2379" s="158"/>
      <c r="AN2379" s="158"/>
      <c r="AO2379" s="158"/>
      <c r="AP2379" s="158"/>
      <c r="AQ2379" s="158"/>
      <c r="AR2379" s="507"/>
      <c r="AS2379" s="475"/>
      <c r="AT2379" s="160"/>
    </row>
    <row r="2380" spans="1:46" ht="15" hidden="1" customHeight="1">
      <c r="A2380" s="331">
        <v>2379</v>
      </c>
      <c r="B2380" s="229" t="s">
        <v>2500</v>
      </c>
      <c r="C2380" s="229" t="s">
        <v>8610</v>
      </c>
      <c r="D2380" s="447" t="s">
        <v>8597</v>
      </c>
      <c r="E2380" s="361" t="str">
        <f t="shared" si="157"/>
        <v>ON TRACK</v>
      </c>
      <c r="F2380" s="231" t="s">
        <v>8611</v>
      </c>
      <c r="G2380" s="229" t="s">
        <v>8612</v>
      </c>
      <c r="H2380" s="160" t="s">
        <v>8588</v>
      </c>
      <c r="I2380" s="160" t="s">
        <v>511</v>
      </c>
      <c r="J2380" s="159"/>
      <c r="K2380" s="160"/>
      <c r="L2380" s="158"/>
      <c r="M2380" s="232" t="s">
        <v>365</v>
      </c>
      <c r="N2380" s="232"/>
      <c r="O2380" s="162"/>
      <c r="P2380" s="161">
        <v>75900000</v>
      </c>
      <c r="Q2380" s="161"/>
      <c r="R2380" s="162"/>
      <c r="S2380" s="211"/>
      <c r="T2380" s="213">
        <v>0.2</v>
      </c>
      <c r="U2380" s="343">
        <v>46143</v>
      </c>
      <c r="V2380" s="343">
        <v>46507</v>
      </c>
      <c r="W2380" s="158" t="s">
        <v>17</v>
      </c>
      <c r="X2380" s="158"/>
      <c r="Y2380" s="164">
        <v>45897</v>
      </c>
      <c r="Z2380" s="228">
        <v>976</v>
      </c>
      <c r="AA2380" s="158">
        <v>4</v>
      </c>
      <c r="AB2380" s="158">
        <f t="shared" si="159"/>
        <v>2027</v>
      </c>
      <c r="AC2380" s="159" t="s">
        <v>11441</v>
      </c>
      <c r="AD2380" s="159" t="s">
        <v>11441</v>
      </c>
      <c r="AE2380" s="158" t="s">
        <v>11441</v>
      </c>
      <c r="AF2380" s="158" t="s">
        <v>356</v>
      </c>
      <c r="AG2380" s="160"/>
      <c r="AH2380" s="160"/>
      <c r="AI2380" s="158"/>
      <c r="AJ2380" s="158"/>
      <c r="AK2380" s="158"/>
      <c r="AL2380" s="158"/>
      <c r="AM2380" s="158"/>
      <c r="AN2380" s="158"/>
      <c r="AO2380" s="158"/>
      <c r="AP2380" s="158"/>
      <c r="AQ2380" s="158"/>
      <c r="AR2380" s="507"/>
      <c r="AS2380" s="475"/>
      <c r="AT2380" s="160"/>
    </row>
    <row r="2381" spans="1:46" ht="15" hidden="1" customHeight="1">
      <c r="A2381" s="331">
        <v>2380</v>
      </c>
      <c r="B2381" s="222" t="s">
        <v>2500</v>
      </c>
      <c r="C2381" s="222" t="s">
        <v>8613</v>
      </c>
      <c r="D2381" s="438" t="s">
        <v>8597</v>
      </c>
      <c r="E2381" s="361" t="str">
        <f t="shared" si="157"/>
        <v>ON TRACK</v>
      </c>
      <c r="F2381" s="224" t="s">
        <v>8614</v>
      </c>
      <c r="G2381" s="222" t="s">
        <v>8615</v>
      </c>
      <c r="H2381" s="160" t="s">
        <v>8588</v>
      </c>
      <c r="I2381" s="160" t="s">
        <v>511</v>
      </c>
      <c r="J2381" s="159"/>
      <c r="K2381" s="181" t="s">
        <v>8616</v>
      </c>
      <c r="L2381" s="158" t="s">
        <v>11441</v>
      </c>
      <c r="M2381" s="158" t="s">
        <v>329</v>
      </c>
      <c r="N2381" s="158" t="s">
        <v>11441</v>
      </c>
      <c r="O2381" s="162" t="s">
        <v>11441</v>
      </c>
      <c r="P2381" s="161">
        <v>132000000</v>
      </c>
      <c r="Q2381" s="161" t="s">
        <v>11441</v>
      </c>
      <c r="R2381" s="162" t="s">
        <v>11441</v>
      </c>
      <c r="S2381" s="211" t="s">
        <v>11441</v>
      </c>
      <c r="T2381" s="213">
        <v>0.2</v>
      </c>
      <c r="U2381" s="340">
        <v>46143</v>
      </c>
      <c r="V2381" s="340">
        <v>46507</v>
      </c>
      <c r="W2381" s="158" t="s">
        <v>17</v>
      </c>
      <c r="X2381" s="158" t="s">
        <v>11441</v>
      </c>
      <c r="Y2381" s="164">
        <v>45897</v>
      </c>
      <c r="Z2381" s="227">
        <v>976</v>
      </c>
      <c r="AA2381" s="158">
        <v>4</v>
      </c>
      <c r="AB2381" s="158">
        <f t="shared" si="159"/>
        <v>2027</v>
      </c>
      <c r="AC2381" s="159" t="s">
        <v>11441</v>
      </c>
      <c r="AD2381" s="159" t="s">
        <v>11441</v>
      </c>
      <c r="AE2381" s="158" t="s">
        <v>11441</v>
      </c>
      <c r="AF2381" s="158" t="s">
        <v>356</v>
      </c>
      <c r="AG2381" s="160"/>
      <c r="AH2381" s="160"/>
      <c r="AI2381" s="225" t="s">
        <v>11441</v>
      </c>
      <c r="AJ2381" s="158"/>
      <c r="AK2381" s="158"/>
      <c r="AL2381" s="158"/>
      <c r="AM2381" s="158"/>
      <c r="AN2381" s="158"/>
      <c r="AO2381" s="158"/>
      <c r="AP2381" s="158"/>
      <c r="AQ2381" s="158"/>
      <c r="AR2381" s="507"/>
      <c r="AS2381" s="475"/>
      <c r="AT2381" s="160"/>
    </row>
    <row r="2382" spans="1:46" ht="15" hidden="1" customHeight="1">
      <c r="A2382" s="331">
        <v>2381</v>
      </c>
      <c r="B2382" s="159" t="s">
        <v>2500</v>
      </c>
      <c r="C2382" s="159" t="s">
        <v>9465</v>
      </c>
      <c r="D2382" s="447" t="s">
        <v>8597</v>
      </c>
      <c r="E2382" s="361" t="str">
        <f t="shared" si="157"/>
        <v>ON TRACK</v>
      </c>
      <c r="F2382" s="160" t="s">
        <v>11441</v>
      </c>
      <c r="G2382" s="159" t="s">
        <v>3868</v>
      </c>
      <c r="H2382" s="160" t="s">
        <v>8588</v>
      </c>
      <c r="I2382" s="160" t="s">
        <v>511</v>
      </c>
      <c r="J2382" s="159"/>
      <c r="K2382" s="181" t="s">
        <v>10938</v>
      </c>
      <c r="L2382" s="158" t="s">
        <v>11441</v>
      </c>
      <c r="M2382" s="158" t="s">
        <v>10939</v>
      </c>
      <c r="N2382" s="158" t="s">
        <v>389</v>
      </c>
      <c r="O2382" s="162" t="s">
        <v>11441</v>
      </c>
      <c r="P2382" s="161">
        <f>12400000*12</f>
        <v>148800000</v>
      </c>
      <c r="Q2382" s="161" t="s">
        <v>11441</v>
      </c>
      <c r="R2382" s="162" t="s">
        <v>11441</v>
      </c>
      <c r="S2382" s="211" t="s">
        <v>11441</v>
      </c>
      <c r="T2382" s="213">
        <v>0.2</v>
      </c>
      <c r="U2382" s="343">
        <v>46143</v>
      </c>
      <c r="V2382" s="343">
        <v>46507</v>
      </c>
      <c r="W2382" s="158" t="s">
        <v>17</v>
      </c>
      <c r="X2382" s="158" t="s">
        <v>11441</v>
      </c>
      <c r="Y2382" s="164">
        <v>45897</v>
      </c>
      <c r="Z2382" s="228">
        <v>976</v>
      </c>
      <c r="AA2382" s="158">
        <v>4</v>
      </c>
      <c r="AB2382" s="158">
        <f t="shared" si="159"/>
        <v>2027</v>
      </c>
      <c r="AC2382" s="159" t="s">
        <v>11441</v>
      </c>
      <c r="AD2382" s="159" t="s">
        <v>11441</v>
      </c>
      <c r="AE2382" s="158" t="s">
        <v>11441</v>
      </c>
      <c r="AF2382" s="158" t="s">
        <v>356</v>
      </c>
      <c r="AG2382" s="160"/>
      <c r="AH2382" s="160"/>
      <c r="AI2382" s="158" t="s">
        <v>11441</v>
      </c>
      <c r="AJ2382" s="158"/>
      <c r="AK2382" s="158"/>
      <c r="AL2382" s="158"/>
      <c r="AM2382" s="158"/>
      <c r="AN2382" s="158"/>
      <c r="AO2382" s="158"/>
      <c r="AP2382" s="158"/>
      <c r="AQ2382" s="158"/>
      <c r="AR2382" s="507"/>
      <c r="AS2382" s="475"/>
      <c r="AT2382" s="160"/>
    </row>
    <row r="2383" spans="1:46" ht="15" hidden="1" customHeight="1">
      <c r="A2383" s="331">
        <v>2382</v>
      </c>
      <c r="B2383" s="159" t="s">
        <v>2500</v>
      </c>
      <c r="C2383" s="159" t="s">
        <v>765</v>
      </c>
      <c r="D2383" s="438" t="s">
        <v>8597</v>
      </c>
      <c r="E2383" s="361" t="str">
        <f t="shared" si="157"/>
        <v>ON TRACK</v>
      </c>
      <c r="F2383" s="160" t="s">
        <v>11441</v>
      </c>
      <c r="G2383" s="159" t="s">
        <v>10940</v>
      </c>
      <c r="H2383" s="160" t="s">
        <v>8588</v>
      </c>
      <c r="I2383" s="160" t="s">
        <v>511</v>
      </c>
      <c r="J2383" s="159"/>
      <c r="K2383" s="181" t="s">
        <v>10941</v>
      </c>
      <c r="L2383" s="158" t="s">
        <v>11441</v>
      </c>
      <c r="M2383" s="158" t="s">
        <v>7267</v>
      </c>
      <c r="N2383" s="158" t="s">
        <v>389</v>
      </c>
      <c r="O2383" s="162" t="s">
        <v>11441</v>
      </c>
      <c r="P2383" s="161">
        <f>29500000*12</f>
        <v>354000000</v>
      </c>
      <c r="Q2383" s="161" t="s">
        <v>11441</v>
      </c>
      <c r="R2383" s="162" t="s">
        <v>11441</v>
      </c>
      <c r="S2383" s="211" t="s">
        <v>11441</v>
      </c>
      <c r="T2383" s="213">
        <v>0.2</v>
      </c>
      <c r="U2383" s="340">
        <v>46143</v>
      </c>
      <c r="V2383" s="340">
        <v>46507</v>
      </c>
      <c r="W2383" s="158" t="s">
        <v>17</v>
      </c>
      <c r="X2383" s="158" t="s">
        <v>11441</v>
      </c>
      <c r="Y2383" s="164">
        <v>45897</v>
      </c>
      <c r="Z2383" s="227">
        <v>976</v>
      </c>
      <c r="AA2383" s="158">
        <v>4</v>
      </c>
      <c r="AB2383" s="158">
        <f t="shared" si="159"/>
        <v>2027</v>
      </c>
      <c r="AC2383" s="159" t="s">
        <v>11441</v>
      </c>
      <c r="AD2383" s="159" t="s">
        <v>11441</v>
      </c>
      <c r="AE2383" s="158" t="s">
        <v>11441</v>
      </c>
      <c r="AF2383" s="158" t="s">
        <v>356</v>
      </c>
      <c r="AG2383" s="160"/>
      <c r="AH2383" s="160"/>
      <c r="AI2383" s="225" t="s">
        <v>11441</v>
      </c>
      <c r="AJ2383" s="158"/>
      <c r="AK2383" s="158"/>
      <c r="AL2383" s="158"/>
      <c r="AM2383" s="158"/>
      <c r="AN2383" s="158"/>
      <c r="AO2383" s="158"/>
      <c r="AP2383" s="158"/>
      <c r="AQ2383" s="158"/>
      <c r="AR2383" s="507"/>
      <c r="AS2383" s="475"/>
      <c r="AT2383" s="160"/>
    </row>
    <row r="2384" spans="1:46" ht="15" hidden="1" customHeight="1">
      <c r="A2384" s="331">
        <v>2383</v>
      </c>
      <c r="B2384" s="159" t="s">
        <v>2500</v>
      </c>
      <c r="C2384" s="159" t="s">
        <v>8606</v>
      </c>
      <c r="D2384" s="447" t="s">
        <v>8597</v>
      </c>
      <c r="E2384" s="361" t="str">
        <f t="shared" si="157"/>
        <v>ON TRACK</v>
      </c>
      <c r="F2384" s="160" t="s">
        <v>11441</v>
      </c>
      <c r="G2384" s="159" t="s">
        <v>10942</v>
      </c>
      <c r="H2384" s="160" t="s">
        <v>8588</v>
      </c>
      <c r="I2384" s="160" t="s">
        <v>511</v>
      </c>
      <c r="J2384" s="159"/>
      <c r="K2384" s="181" t="s">
        <v>10943</v>
      </c>
      <c r="L2384" s="158" t="s">
        <v>11441</v>
      </c>
      <c r="M2384" s="158" t="s">
        <v>7267</v>
      </c>
      <c r="N2384" s="158" t="s">
        <v>494</v>
      </c>
      <c r="O2384" s="162" t="s">
        <v>11441</v>
      </c>
      <c r="P2384" s="161">
        <f>7550000*12</f>
        <v>90600000</v>
      </c>
      <c r="Q2384" s="161" t="s">
        <v>11441</v>
      </c>
      <c r="R2384" s="162" t="s">
        <v>11441</v>
      </c>
      <c r="S2384" s="211" t="s">
        <v>11441</v>
      </c>
      <c r="T2384" s="213">
        <v>0.2</v>
      </c>
      <c r="U2384" s="343">
        <v>46143</v>
      </c>
      <c r="V2384" s="343">
        <v>46507</v>
      </c>
      <c r="W2384" s="158" t="s">
        <v>17</v>
      </c>
      <c r="X2384" s="158" t="s">
        <v>11441</v>
      </c>
      <c r="Y2384" s="164">
        <v>45897</v>
      </c>
      <c r="Z2384" s="228">
        <v>976</v>
      </c>
      <c r="AA2384" s="158">
        <v>4</v>
      </c>
      <c r="AB2384" s="158">
        <f t="shared" si="159"/>
        <v>2027</v>
      </c>
      <c r="AC2384" s="159" t="s">
        <v>11441</v>
      </c>
      <c r="AD2384" s="159" t="s">
        <v>11441</v>
      </c>
      <c r="AE2384" s="158" t="s">
        <v>11441</v>
      </c>
      <c r="AF2384" s="158" t="s">
        <v>356</v>
      </c>
      <c r="AG2384" s="160"/>
      <c r="AH2384" s="160"/>
      <c r="AI2384" s="158" t="s">
        <v>11441</v>
      </c>
      <c r="AJ2384" s="158"/>
      <c r="AK2384" s="158"/>
      <c r="AL2384" s="158"/>
      <c r="AM2384" s="158"/>
      <c r="AN2384" s="158"/>
      <c r="AO2384" s="158"/>
      <c r="AP2384" s="158"/>
      <c r="AQ2384" s="158"/>
      <c r="AR2384" s="507"/>
      <c r="AS2384" s="475"/>
      <c r="AT2384" s="160"/>
    </row>
    <row r="2385" spans="1:46" ht="15" hidden="1" customHeight="1">
      <c r="A2385" s="331">
        <v>2384</v>
      </c>
      <c r="B2385" s="159" t="s">
        <v>2500</v>
      </c>
      <c r="C2385" s="159" t="s">
        <v>10944</v>
      </c>
      <c r="D2385" s="438" t="s">
        <v>8597</v>
      </c>
      <c r="E2385" s="361" t="str">
        <f t="shared" si="157"/>
        <v>ON TRACK</v>
      </c>
      <c r="F2385" s="160" t="s">
        <v>11441</v>
      </c>
      <c r="G2385" s="159" t="s">
        <v>10945</v>
      </c>
      <c r="H2385" s="160" t="s">
        <v>8588</v>
      </c>
      <c r="I2385" s="160" t="s">
        <v>511</v>
      </c>
      <c r="J2385" s="159"/>
      <c r="K2385" s="181" t="s">
        <v>10946</v>
      </c>
      <c r="L2385" s="158" t="s">
        <v>11441</v>
      </c>
      <c r="M2385" s="158" t="s">
        <v>9506</v>
      </c>
      <c r="N2385" s="158" t="s">
        <v>389</v>
      </c>
      <c r="O2385" s="162" t="s">
        <v>11441</v>
      </c>
      <c r="P2385" s="161">
        <f>4335000*12</f>
        <v>52020000</v>
      </c>
      <c r="Q2385" s="161" t="s">
        <v>11441</v>
      </c>
      <c r="R2385" s="162" t="s">
        <v>11441</v>
      </c>
      <c r="S2385" s="211" t="s">
        <v>11441</v>
      </c>
      <c r="T2385" s="213">
        <v>0.2</v>
      </c>
      <c r="U2385" s="340">
        <v>46143</v>
      </c>
      <c r="V2385" s="340">
        <v>46507</v>
      </c>
      <c r="W2385" s="158" t="s">
        <v>17</v>
      </c>
      <c r="X2385" s="158" t="s">
        <v>11441</v>
      </c>
      <c r="Y2385" s="164">
        <v>45897</v>
      </c>
      <c r="Z2385" s="227">
        <v>976</v>
      </c>
      <c r="AA2385" s="158">
        <v>4</v>
      </c>
      <c r="AB2385" s="158">
        <f t="shared" si="159"/>
        <v>2027</v>
      </c>
      <c r="AC2385" s="159" t="s">
        <v>11441</v>
      </c>
      <c r="AD2385" s="159" t="s">
        <v>11441</v>
      </c>
      <c r="AE2385" s="158" t="s">
        <v>11441</v>
      </c>
      <c r="AF2385" s="158" t="s">
        <v>356</v>
      </c>
      <c r="AG2385" s="160"/>
      <c r="AH2385" s="160"/>
      <c r="AI2385" s="225" t="s">
        <v>11441</v>
      </c>
      <c r="AJ2385" s="158"/>
      <c r="AK2385" s="158"/>
      <c r="AL2385" s="158"/>
      <c r="AM2385" s="158"/>
      <c r="AN2385" s="158"/>
      <c r="AO2385" s="158"/>
      <c r="AP2385" s="158"/>
      <c r="AQ2385" s="158"/>
      <c r="AR2385" s="507"/>
      <c r="AS2385" s="475"/>
      <c r="AT2385" s="160"/>
    </row>
    <row r="2386" spans="1:46" ht="15" hidden="1" customHeight="1">
      <c r="A2386" s="331">
        <v>2385</v>
      </c>
      <c r="B2386" s="159" t="s">
        <v>2500</v>
      </c>
      <c r="C2386" s="159" t="s">
        <v>3484</v>
      </c>
      <c r="D2386" s="447" t="s">
        <v>8597</v>
      </c>
      <c r="E2386" s="361" t="str">
        <f t="shared" si="157"/>
        <v>ON TRACK</v>
      </c>
      <c r="F2386" s="160" t="s">
        <v>11441</v>
      </c>
      <c r="G2386" s="159" t="s">
        <v>10947</v>
      </c>
      <c r="H2386" s="160" t="s">
        <v>8588</v>
      </c>
      <c r="I2386" s="160" t="s">
        <v>511</v>
      </c>
      <c r="J2386" s="159"/>
      <c r="K2386" s="181" t="s">
        <v>10948</v>
      </c>
      <c r="L2386" s="158" t="s">
        <v>11441</v>
      </c>
      <c r="M2386" s="158" t="s">
        <v>6788</v>
      </c>
      <c r="N2386" s="158" t="s">
        <v>6649</v>
      </c>
      <c r="O2386" s="162" t="s">
        <v>11441</v>
      </c>
      <c r="P2386" s="161">
        <f>3000000*12</f>
        <v>36000000</v>
      </c>
      <c r="Q2386" s="161" t="s">
        <v>11441</v>
      </c>
      <c r="R2386" s="162" t="s">
        <v>11441</v>
      </c>
      <c r="S2386" s="211" t="s">
        <v>11441</v>
      </c>
      <c r="T2386" s="213">
        <v>0.2</v>
      </c>
      <c r="U2386" s="343">
        <v>46143</v>
      </c>
      <c r="V2386" s="343">
        <v>46507</v>
      </c>
      <c r="W2386" s="158" t="s">
        <v>17</v>
      </c>
      <c r="X2386" s="158" t="s">
        <v>11441</v>
      </c>
      <c r="Y2386" s="164">
        <v>45897</v>
      </c>
      <c r="Z2386" s="228">
        <v>976</v>
      </c>
      <c r="AA2386" s="158">
        <v>4</v>
      </c>
      <c r="AB2386" s="158">
        <f t="shared" si="159"/>
        <v>2027</v>
      </c>
      <c r="AC2386" s="159" t="s">
        <v>11441</v>
      </c>
      <c r="AD2386" s="159" t="s">
        <v>11441</v>
      </c>
      <c r="AE2386" s="158" t="s">
        <v>11441</v>
      </c>
      <c r="AF2386" s="158" t="s">
        <v>356</v>
      </c>
      <c r="AG2386" s="160"/>
      <c r="AH2386" s="160"/>
      <c r="AI2386" s="158" t="s">
        <v>11441</v>
      </c>
      <c r="AJ2386" s="158"/>
      <c r="AK2386" s="158"/>
      <c r="AL2386" s="158"/>
      <c r="AM2386" s="158"/>
      <c r="AN2386" s="158"/>
      <c r="AO2386" s="158"/>
      <c r="AP2386" s="158"/>
      <c r="AQ2386" s="158"/>
      <c r="AR2386" s="507"/>
      <c r="AS2386" s="475"/>
      <c r="AT2386" s="160"/>
    </row>
    <row r="2387" spans="1:46" ht="15" hidden="1" customHeight="1">
      <c r="A2387" s="331">
        <v>2386</v>
      </c>
      <c r="B2387" s="159" t="s">
        <v>2500</v>
      </c>
      <c r="C2387" s="159" t="s">
        <v>10959</v>
      </c>
      <c r="D2387" s="438" t="s">
        <v>8597</v>
      </c>
      <c r="E2387" s="361" t="str">
        <f t="shared" si="157"/>
        <v>ON TRACK</v>
      </c>
      <c r="F2387" s="160" t="s">
        <v>11441</v>
      </c>
      <c r="G2387" s="159" t="s">
        <v>10960</v>
      </c>
      <c r="H2387" s="160" t="s">
        <v>8588</v>
      </c>
      <c r="I2387" s="160" t="s">
        <v>511</v>
      </c>
      <c r="J2387" s="159"/>
      <c r="K2387" s="181" t="s">
        <v>10961</v>
      </c>
      <c r="L2387" s="158" t="s">
        <v>11441</v>
      </c>
      <c r="M2387" s="158" t="s">
        <v>10692</v>
      </c>
      <c r="N2387" s="158" t="s">
        <v>6762</v>
      </c>
      <c r="O2387" s="162" t="s">
        <v>11441</v>
      </c>
      <c r="P2387" s="161">
        <f>29992000*12</f>
        <v>359904000</v>
      </c>
      <c r="Q2387" s="161" t="s">
        <v>11441</v>
      </c>
      <c r="R2387" s="162" t="s">
        <v>11441</v>
      </c>
      <c r="S2387" s="211" t="s">
        <v>11441</v>
      </c>
      <c r="T2387" s="213">
        <v>0.2</v>
      </c>
      <c r="U2387" s="340">
        <v>46143</v>
      </c>
      <c r="V2387" s="340">
        <v>46507</v>
      </c>
      <c r="W2387" s="158" t="s">
        <v>17</v>
      </c>
      <c r="X2387" s="158" t="s">
        <v>11441</v>
      </c>
      <c r="Y2387" s="164">
        <v>45897</v>
      </c>
      <c r="Z2387" s="227">
        <v>976</v>
      </c>
      <c r="AA2387" s="158">
        <v>4</v>
      </c>
      <c r="AB2387" s="158">
        <f t="shared" si="159"/>
        <v>2027</v>
      </c>
      <c r="AC2387" s="159" t="s">
        <v>11441</v>
      </c>
      <c r="AD2387" s="159" t="s">
        <v>11441</v>
      </c>
      <c r="AE2387" s="158" t="s">
        <v>11441</v>
      </c>
      <c r="AF2387" s="158" t="s">
        <v>356</v>
      </c>
      <c r="AG2387" s="160"/>
      <c r="AH2387" s="160"/>
      <c r="AI2387" s="225"/>
      <c r="AJ2387" s="158"/>
      <c r="AK2387" s="158"/>
      <c r="AL2387" s="158"/>
      <c r="AM2387" s="158"/>
      <c r="AN2387" s="158"/>
      <c r="AO2387" s="158"/>
      <c r="AP2387" s="158"/>
      <c r="AQ2387" s="158"/>
      <c r="AR2387" s="507"/>
      <c r="AS2387" s="475"/>
      <c r="AT2387" s="160"/>
    </row>
    <row r="2388" spans="1:46" ht="15" hidden="1" customHeight="1">
      <c r="A2388" s="331">
        <v>2387</v>
      </c>
      <c r="B2388" s="222" t="s">
        <v>2500</v>
      </c>
      <c r="C2388" s="222" t="s">
        <v>1192</v>
      </c>
      <c r="D2388" s="447" t="s">
        <v>8597</v>
      </c>
      <c r="E2388" s="361" t="str">
        <f t="shared" si="157"/>
        <v>ON TRACK</v>
      </c>
      <c r="F2388" s="223" t="s">
        <v>115</v>
      </c>
      <c r="G2388" s="222" t="s">
        <v>8598</v>
      </c>
      <c r="H2388" s="160" t="s">
        <v>8588</v>
      </c>
      <c r="I2388" s="160" t="s">
        <v>511</v>
      </c>
      <c r="J2388" s="159"/>
      <c r="K2388" s="181" t="s">
        <v>8599</v>
      </c>
      <c r="L2388" s="158" t="s">
        <v>11441</v>
      </c>
      <c r="M2388" s="226" t="s">
        <v>365</v>
      </c>
      <c r="N2388" s="158" t="s">
        <v>11441</v>
      </c>
      <c r="O2388" s="162" t="s">
        <v>11441</v>
      </c>
      <c r="P2388" s="161">
        <v>114000000</v>
      </c>
      <c r="Q2388" s="161" t="s">
        <v>11441</v>
      </c>
      <c r="R2388" s="162" t="s">
        <v>11441</v>
      </c>
      <c r="S2388" s="211" t="s">
        <v>11441</v>
      </c>
      <c r="T2388" s="213">
        <v>0.2</v>
      </c>
      <c r="U2388" s="340">
        <v>46508</v>
      </c>
      <c r="V2388" s="340">
        <v>46873</v>
      </c>
      <c r="W2388" s="158" t="s">
        <v>17</v>
      </c>
      <c r="X2388" s="158" t="s">
        <v>11441</v>
      </c>
      <c r="Y2388" s="164">
        <v>45897</v>
      </c>
      <c r="Z2388" s="227">
        <v>976</v>
      </c>
      <c r="AA2388" s="158">
        <v>4</v>
      </c>
      <c r="AB2388" s="158">
        <f t="shared" si="159"/>
        <v>2028</v>
      </c>
      <c r="AC2388" s="159" t="s">
        <v>11441</v>
      </c>
      <c r="AD2388" s="159" t="s">
        <v>11441</v>
      </c>
      <c r="AE2388" s="158" t="s">
        <v>11441</v>
      </c>
      <c r="AF2388" s="158" t="s">
        <v>356</v>
      </c>
      <c r="AG2388" s="160"/>
      <c r="AH2388" s="160"/>
      <c r="AI2388" s="158"/>
      <c r="AJ2388" s="158"/>
      <c r="AK2388" s="158"/>
      <c r="AL2388" s="158"/>
      <c r="AM2388" s="158"/>
      <c r="AN2388" s="158"/>
      <c r="AO2388" s="158"/>
      <c r="AP2388" s="158"/>
      <c r="AQ2388" s="158"/>
      <c r="AR2388" s="507"/>
      <c r="AS2388" s="475"/>
      <c r="AT2388" s="160"/>
    </row>
    <row r="2389" spans="1:46" ht="15" hidden="1" customHeight="1">
      <c r="A2389" s="331">
        <v>2388</v>
      </c>
      <c r="B2389" s="229" t="s">
        <v>2500</v>
      </c>
      <c r="C2389" s="229" t="s">
        <v>8602</v>
      </c>
      <c r="D2389" s="447" t="s">
        <v>8597</v>
      </c>
      <c r="E2389" s="361" t="str">
        <f t="shared" si="157"/>
        <v>ON TRACK</v>
      </c>
      <c r="F2389" s="230" t="s">
        <v>115</v>
      </c>
      <c r="G2389" s="229" t="s">
        <v>8603</v>
      </c>
      <c r="H2389" s="160" t="s">
        <v>8588</v>
      </c>
      <c r="I2389" s="160" t="s">
        <v>511</v>
      </c>
      <c r="J2389" s="159"/>
      <c r="K2389" s="181" t="s">
        <v>8604</v>
      </c>
      <c r="L2389" s="158"/>
      <c r="M2389" s="232" t="s">
        <v>388</v>
      </c>
      <c r="N2389" s="232"/>
      <c r="O2389" s="162"/>
      <c r="P2389" s="161">
        <v>60000000</v>
      </c>
      <c r="Q2389" s="161"/>
      <c r="R2389" s="162"/>
      <c r="S2389" s="211"/>
      <c r="T2389" s="213">
        <v>0.2</v>
      </c>
      <c r="U2389" s="340">
        <v>46508</v>
      </c>
      <c r="V2389" s="340">
        <v>46873</v>
      </c>
      <c r="W2389" s="158" t="s">
        <v>17</v>
      </c>
      <c r="X2389" s="158"/>
      <c r="Y2389" s="164">
        <v>45897</v>
      </c>
      <c r="Z2389" s="228">
        <v>976</v>
      </c>
      <c r="AA2389" s="158">
        <v>4</v>
      </c>
      <c r="AB2389" s="158">
        <f t="shared" si="159"/>
        <v>2028</v>
      </c>
      <c r="AC2389" s="159" t="s">
        <v>11441</v>
      </c>
      <c r="AD2389" s="159" t="s">
        <v>11441</v>
      </c>
      <c r="AE2389" s="158" t="s">
        <v>11441</v>
      </c>
      <c r="AF2389" s="158" t="s">
        <v>356</v>
      </c>
      <c r="AG2389" s="160"/>
      <c r="AH2389" s="160"/>
      <c r="AI2389" s="158"/>
      <c r="AJ2389" s="158"/>
      <c r="AK2389" s="158"/>
      <c r="AL2389" s="158"/>
      <c r="AM2389" s="158"/>
      <c r="AN2389" s="158"/>
      <c r="AO2389" s="158"/>
      <c r="AP2389" s="158"/>
      <c r="AQ2389" s="158"/>
      <c r="AR2389" s="507"/>
      <c r="AS2389" s="475"/>
      <c r="AT2389" s="160"/>
    </row>
    <row r="2390" spans="1:46" ht="15" hidden="1" customHeight="1">
      <c r="A2390" s="331">
        <v>2389</v>
      </c>
      <c r="B2390" s="222" t="s">
        <v>2500</v>
      </c>
      <c r="C2390" s="222" t="s">
        <v>8606</v>
      </c>
      <c r="D2390" s="438" t="s">
        <v>8597</v>
      </c>
      <c r="E2390" s="361" t="str">
        <f t="shared" si="157"/>
        <v>ON TRACK</v>
      </c>
      <c r="F2390" s="224" t="s">
        <v>8607</v>
      </c>
      <c r="G2390" s="222" t="s">
        <v>8608</v>
      </c>
      <c r="H2390" s="160" t="s">
        <v>8588</v>
      </c>
      <c r="I2390" s="160" t="s">
        <v>511</v>
      </c>
      <c r="J2390" s="159"/>
      <c r="K2390" s="181" t="s">
        <v>8609</v>
      </c>
      <c r="L2390" s="158" t="s">
        <v>11441</v>
      </c>
      <c r="M2390" s="226" t="s">
        <v>365</v>
      </c>
      <c r="N2390" s="158" t="s">
        <v>11441</v>
      </c>
      <c r="O2390" s="162" t="s">
        <v>11441</v>
      </c>
      <c r="P2390" s="161">
        <v>90600000</v>
      </c>
      <c r="Q2390" s="161" t="s">
        <v>11441</v>
      </c>
      <c r="R2390" s="162" t="s">
        <v>11441</v>
      </c>
      <c r="S2390" s="211" t="s">
        <v>11441</v>
      </c>
      <c r="T2390" s="213">
        <v>0.2</v>
      </c>
      <c r="U2390" s="340">
        <v>46508</v>
      </c>
      <c r="V2390" s="340">
        <v>46873</v>
      </c>
      <c r="W2390" s="158" t="s">
        <v>17</v>
      </c>
      <c r="X2390" s="158" t="s">
        <v>11441</v>
      </c>
      <c r="Y2390" s="164">
        <v>45897</v>
      </c>
      <c r="Z2390" s="227">
        <v>976</v>
      </c>
      <c r="AA2390" s="158">
        <v>4</v>
      </c>
      <c r="AB2390" s="158">
        <f t="shared" si="159"/>
        <v>2028</v>
      </c>
      <c r="AC2390" s="159" t="s">
        <v>11441</v>
      </c>
      <c r="AD2390" s="159" t="s">
        <v>11441</v>
      </c>
      <c r="AE2390" s="158" t="s">
        <v>11441</v>
      </c>
      <c r="AF2390" s="158" t="s">
        <v>356</v>
      </c>
      <c r="AG2390" s="160"/>
      <c r="AH2390" s="160"/>
      <c r="AI2390" s="225"/>
      <c r="AJ2390" s="158"/>
      <c r="AK2390" s="158"/>
      <c r="AL2390" s="158"/>
      <c r="AM2390" s="158"/>
      <c r="AN2390" s="158"/>
      <c r="AO2390" s="158"/>
      <c r="AP2390" s="158"/>
      <c r="AQ2390" s="158"/>
      <c r="AR2390" s="507"/>
      <c r="AS2390" s="475"/>
      <c r="AT2390" s="160"/>
    </row>
    <row r="2391" spans="1:46" ht="15" hidden="1" customHeight="1">
      <c r="A2391" s="331">
        <v>2390</v>
      </c>
      <c r="B2391" s="229" t="s">
        <v>2500</v>
      </c>
      <c r="C2391" s="229" t="s">
        <v>8610</v>
      </c>
      <c r="D2391" s="447" t="s">
        <v>8597</v>
      </c>
      <c r="E2391" s="361" t="str">
        <f t="shared" si="157"/>
        <v>ON TRACK</v>
      </c>
      <c r="F2391" s="231" t="s">
        <v>8611</v>
      </c>
      <c r="G2391" s="229" t="s">
        <v>8612</v>
      </c>
      <c r="H2391" s="160" t="s">
        <v>8588</v>
      </c>
      <c r="I2391" s="160" t="s">
        <v>511</v>
      </c>
      <c r="J2391" s="159"/>
      <c r="K2391" s="160"/>
      <c r="L2391" s="158"/>
      <c r="M2391" s="232" t="s">
        <v>365</v>
      </c>
      <c r="N2391" s="232"/>
      <c r="O2391" s="162"/>
      <c r="P2391" s="161">
        <v>75900000</v>
      </c>
      <c r="Q2391" s="161"/>
      <c r="R2391" s="162"/>
      <c r="S2391" s="211"/>
      <c r="T2391" s="213">
        <v>0.2</v>
      </c>
      <c r="U2391" s="340">
        <v>46508</v>
      </c>
      <c r="V2391" s="340">
        <v>46873</v>
      </c>
      <c r="W2391" s="158" t="s">
        <v>17</v>
      </c>
      <c r="X2391" s="158"/>
      <c r="Y2391" s="164">
        <v>45897</v>
      </c>
      <c r="Z2391" s="228">
        <v>976</v>
      </c>
      <c r="AA2391" s="158">
        <v>4</v>
      </c>
      <c r="AB2391" s="158">
        <f t="shared" si="159"/>
        <v>2028</v>
      </c>
      <c r="AC2391" s="159" t="s">
        <v>11441</v>
      </c>
      <c r="AD2391" s="159" t="s">
        <v>11441</v>
      </c>
      <c r="AE2391" s="158" t="s">
        <v>11441</v>
      </c>
      <c r="AF2391" s="158" t="s">
        <v>356</v>
      </c>
      <c r="AG2391" s="160"/>
      <c r="AH2391" s="160"/>
      <c r="AI2391" s="158"/>
      <c r="AJ2391" s="158"/>
      <c r="AK2391" s="158"/>
      <c r="AL2391" s="158"/>
      <c r="AM2391" s="158"/>
      <c r="AN2391" s="158"/>
      <c r="AO2391" s="158"/>
      <c r="AP2391" s="158"/>
      <c r="AQ2391" s="158"/>
      <c r="AR2391" s="507"/>
      <c r="AS2391" s="475"/>
      <c r="AT2391" s="160"/>
    </row>
    <row r="2392" spans="1:46" ht="15" hidden="1" customHeight="1">
      <c r="A2392" s="331">
        <v>2391</v>
      </c>
      <c r="B2392" s="222" t="s">
        <v>2500</v>
      </c>
      <c r="C2392" s="222" t="s">
        <v>8613</v>
      </c>
      <c r="D2392" s="438" t="s">
        <v>8597</v>
      </c>
      <c r="E2392" s="361" t="str">
        <f t="shared" si="157"/>
        <v>ON TRACK</v>
      </c>
      <c r="F2392" s="224" t="s">
        <v>8614</v>
      </c>
      <c r="G2392" s="222" t="s">
        <v>8615</v>
      </c>
      <c r="H2392" s="160" t="s">
        <v>8588</v>
      </c>
      <c r="I2392" s="160" t="s">
        <v>511</v>
      </c>
      <c r="J2392" s="159"/>
      <c r="K2392" s="181" t="s">
        <v>8616</v>
      </c>
      <c r="L2392" s="158" t="s">
        <v>11441</v>
      </c>
      <c r="M2392" s="158" t="s">
        <v>329</v>
      </c>
      <c r="N2392" s="158" t="s">
        <v>11441</v>
      </c>
      <c r="O2392" s="162" t="s">
        <v>11441</v>
      </c>
      <c r="P2392" s="161">
        <v>132000000</v>
      </c>
      <c r="Q2392" s="161" t="s">
        <v>11441</v>
      </c>
      <c r="R2392" s="162" t="s">
        <v>11441</v>
      </c>
      <c r="S2392" s="211" t="s">
        <v>11441</v>
      </c>
      <c r="T2392" s="213">
        <v>0.2</v>
      </c>
      <c r="U2392" s="340">
        <v>46508</v>
      </c>
      <c r="V2392" s="340">
        <v>46873</v>
      </c>
      <c r="W2392" s="158" t="s">
        <v>17</v>
      </c>
      <c r="X2392" s="158" t="s">
        <v>11441</v>
      </c>
      <c r="Y2392" s="164">
        <v>45897</v>
      </c>
      <c r="Z2392" s="227">
        <v>976</v>
      </c>
      <c r="AA2392" s="158">
        <v>4</v>
      </c>
      <c r="AB2392" s="158">
        <f t="shared" si="159"/>
        <v>2028</v>
      </c>
      <c r="AC2392" s="159" t="s">
        <v>11441</v>
      </c>
      <c r="AD2392" s="159" t="s">
        <v>11441</v>
      </c>
      <c r="AE2392" s="158" t="s">
        <v>11441</v>
      </c>
      <c r="AF2392" s="158" t="s">
        <v>356</v>
      </c>
      <c r="AG2392" s="160"/>
      <c r="AH2392" s="160"/>
      <c r="AI2392" s="225" t="s">
        <v>11441</v>
      </c>
      <c r="AJ2392" s="158"/>
      <c r="AK2392" s="158"/>
      <c r="AL2392" s="158"/>
      <c r="AM2392" s="158"/>
      <c r="AN2392" s="158"/>
      <c r="AO2392" s="158"/>
      <c r="AP2392" s="158"/>
      <c r="AQ2392" s="158"/>
      <c r="AR2392" s="507"/>
      <c r="AS2392" s="475"/>
      <c r="AT2392" s="160"/>
    </row>
    <row r="2393" spans="1:46" ht="15" hidden="1" customHeight="1">
      <c r="A2393" s="331">
        <v>2392</v>
      </c>
      <c r="B2393" s="159" t="s">
        <v>2500</v>
      </c>
      <c r="C2393" s="159" t="s">
        <v>9465</v>
      </c>
      <c r="D2393" s="447" t="s">
        <v>8597</v>
      </c>
      <c r="E2393" s="361" t="str">
        <f t="shared" si="157"/>
        <v>ON TRACK</v>
      </c>
      <c r="F2393" s="160" t="s">
        <v>11441</v>
      </c>
      <c r="G2393" s="159" t="s">
        <v>3868</v>
      </c>
      <c r="H2393" s="160" t="s">
        <v>8588</v>
      </c>
      <c r="I2393" s="160" t="s">
        <v>511</v>
      </c>
      <c r="J2393" s="159"/>
      <c r="K2393" s="181" t="s">
        <v>10938</v>
      </c>
      <c r="L2393" s="158" t="s">
        <v>11441</v>
      </c>
      <c r="M2393" s="158" t="s">
        <v>10939</v>
      </c>
      <c r="N2393" s="158" t="s">
        <v>389</v>
      </c>
      <c r="O2393" s="162" t="s">
        <v>11441</v>
      </c>
      <c r="P2393" s="161">
        <f>12400000*12</f>
        <v>148800000</v>
      </c>
      <c r="Q2393" s="161" t="s">
        <v>11441</v>
      </c>
      <c r="R2393" s="162" t="s">
        <v>11441</v>
      </c>
      <c r="S2393" s="211" t="s">
        <v>11441</v>
      </c>
      <c r="T2393" s="213">
        <v>0.2</v>
      </c>
      <c r="U2393" s="340">
        <v>46508</v>
      </c>
      <c r="V2393" s="340">
        <v>46873</v>
      </c>
      <c r="W2393" s="158" t="s">
        <v>17</v>
      </c>
      <c r="X2393" s="158" t="s">
        <v>11441</v>
      </c>
      <c r="Y2393" s="164">
        <v>45897</v>
      </c>
      <c r="Z2393" s="228">
        <v>976</v>
      </c>
      <c r="AA2393" s="158">
        <v>4</v>
      </c>
      <c r="AB2393" s="158">
        <f t="shared" si="159"/>
        <v>2028</v>
      </c>
      <c r="AC2393" s="159" t="s">
        <v>11441</v>
      </c>
      <c r="AD2393" s="159" t="s">
        <v>11441</v>
      </c>
      <c r="AE2393" s="158" t="s">
        <v>11441</v>
      </c>
      <c r="AF2393" s="158" t="s">
        <v>356</v>
      </c>
      <c r="AG2393" s="160"/>
      <c r="AH2393" s="160"/>
      <c r="AI2393" s="158" t="s">
        <v>11441</v>
      </c>
      <c r="AJ2393" s="158"/>
      <c r="AK2393" s="158"/>
      <c r="AL2393" s="158"/>
      <c r="AM2393" s="158"/>
      <c r="AN2393" s="158"/>
      <c r="AO2393" s="158"/>
      <c r="AP2393" s="158"/>
      <c r="AQ2393" s="158"/>
      <c r="AR2393" s="507"/>
      <c r="AS2393" s="475"/>
      <c r="AT2393" s="160"/>
    </row>
    <row r="2394" spans="1:46" ht="15" hidden="1" customHeight="1">
      <c r="A2394" s="331">
        <v>2393</v>
      </c>
      <c r="B2394" s="159" t="s">
        <v>2500</v>
      </c>
      <c r="C2394" s="159" t="s">
        <v>765</v>
      </c>
      <c r="D2394" s="438" t="s">
        <v>8597</v>
      </c>
      <c r="E2394" s="361" t="str">
        <f t="shared" si="157"/>
        <v>ON TRACK</v>
      </c>
      <c r="F2394" s="160" t="s">
        <v>11441</v>
      </c>
      <c r="G2394" s="159" t="s">
        <v>10940</v>
      </c>
      <c r="H2394" s="160" t="s">
        <v>8588</v>
      </c>
      <c r="I2394" s="160" t="s">
        <v>511</v>
      </c>
      <c r="J2394" s="159"/>
      <c r="K2394" s="181" t="s">
        <v>10941</v>
      </c>
      <c r="L2394" s="158" t="s">
        <v>11441</v>
      </c>
      <c r="M2394" s="158" t="s">
        <v>7267</v>
      </c>
      <c r="N2394" s="158" t="s">
        <v>389</v>
      </c>
      <c r="O2394" s="162" t="s">
        <v>11441</v>
      </c>
      <c r="P2394" s="161">
        <f>29500000*12</f>
        <v>354000000</v>
      </c>
      <c r="Q2394" s="161" t="s">
        <v>11441</v>
      </c>
      <c r="R2394" s="162" t="s">
        <v>11441</v>
      </c>
      <c r="S2394" s="211" t="s">
        <v>11441</v>
      </c>
      <c r="T2394" s="213">
        <v>0.2</v>
      </c>
      <c r="U2394" s="340">
        <v>46508</v>
      </c>
      <c r="V2394" s="340">
        <v>46873</v>
      </c>
      <c r="W2394" s="158" t="s">
        <v>17</v>
      </c>
      <c r="X2394" s="158" t="s">
        <v>11441</v>
      </c>
      <c r="Y2394" s="164">
        <v>45897</v>
      </c>
      <c r="Z2394" s="227">
        <v>976</v>
      </c>
      <c r="AA2394" s="158">
        <v>4</v>
      </c>
      <c r="AB2394" s="158">
        <f t="shared" si="159"/>
        <v>2028</v>
      </c>
      <c r="AC2394" s="159" t="s">
        <v>11441</v>
      </c>
      <c r="AD2394" s="159" t="s">
        <v>11441</v>
      </c>
      <c r="AE2394" s="158" t="s">
        <v>11441</v>
      </c>
      <c r="AF2394" s="158" t="s">
        <v>356</v>
      </c>
      <c r="AG2394" s="160"/>
      <c r="AH2394" s="160"/>
      <c r="AI2394" s="225" t="s">
        <v>11441</v>
      </c>
      <c r="AJ2394" s="158"/>
      <c r="AK2394" s="158"/>
      <c r="AL2394" s="158"/>
      <c r="AM2394" s="158"/>
      <c r="AN2394" s="158"/>
      <c r="AO2394" s="158"/>
      <c r="AP2394" s="158"/>
      <c r="AQ2394" s="158"/>
      <c r="AR2394" s="507"/>
      <c r="AS2394" s="475"/>
      <c r="AT2394" s="160"/>
    </row>
    <row r="2395" spans="1:46" ht="15" hidden="1" customHeight="1">
      <c r="A2395" s="331">
        <v>2394</v>
      </c>
      <c r="B2395" s="159" t="s">
        <v>2500</v>
      </c>
      <c r="C2395" s="159" t="s">
        <v>8606</v>
      </c>
      <c r="D2395" s="447" t="s">
        <v>8597</v>
      </c>
      <c r="E2395" s="361" t="str">
        <f t="shared" si="157"/>
        <v>ON TRACK</v>
      </c>
      <c r="F2395" s="160" t="s">
        <v>11441</v>
      </c>
      <c r="G2395" s="159" t="s">
        <v>10942</v>
      </c>
      <c r="H2395" s="160" t="s">
        <v>8588</v>
      </c>
      <c r="I2395" s="160" t="s">
        <v>511</v>
      </c>
      <c r="J2395" s="159"/>
      <c r="K2395" s="181" t="s">
        <v>10943</v>
      </c>
      <c r="L2395" s="158" t="s">
        <v>11441</v>
      </c>
      <c r="M2395" s="158" t="s">
        <v>7267</v>
      </c>
      <c r="N2395" s="158" t="s">
        <v>494</v>
      </c>
      <c r="O2395" s="162" t="s">
        <v>11441</v>
      </c>
      <c r="P2395" s="161">
        <f>7550000*12</f>
        <v>90600000</v>
      </c>
      <c r="Q2395" s="161" t="s">
        <v>11441</v>
      </c>
      <c r="R2395" s="162" t="s">
        <v>11441</v>
      </c>
      <c r="S2395" s="211" t="s">
        <v>11441</v>
      </c>
      <c r="T2395" s="213">
        <v>0.2</v>
      </c>
      <c r="U2395" s="340">
        <v>46508</v>
      </c>
      <c r="V2395" s="340">
        <v>46873</v>
      </c>
      <c r="W2395" s="158" t="s">
        <v>17</v>
      </c>
      <c r="X2395" s="158" t="s">
        <v>11441</v>
      </c>
      <c r="Y2395" s="164">
        <v>45897</v>
      </c>
      <c r="Z2395" s="228">
        <v>976</v>
      </c>
      <c r="AA2395" s="158">
        <v>4</v>
      </c>
      <c r="AB2395" s="158">
        <f t="shared" si="159"/>
        <v>2028</v>
      </c>
      <c r="AC2395" s="159" t="s">
        <v>11441</v>
      </c>
      <c r="AD2395" s="159" t="s">
        <v>11441</v>
      </c>
      <c r="AE2395" s="158" t="s">
        <v>11441</v>
      </c>
      <c r="AF2395" s="158" t="s">
        <v>356</v>
      </c>
      <c r="AG2395" s="160"/>
      <c r="AH2395" s="160"/>
      <c r="AI2395" s="158" t="s">
        <v>11441</v>
      </c>
      <c r="AJ2395" s="158"/>
      <c r="AK2395" s="158"/>
      <c r="AL2395" s="158"/>
      <c r="AM2395" s="158"/>
      <c r="AN2395" s="158"/>
      <c r="AO2395" s="158"/>
      <c r="AP2395" s="158"/>
      <c r="AQ2395" s="158"/>
      <c r="AR2395" s="507"/>
      <c r="AS2395" s="475"/>
      <c r="AT2395" s="160"/>
    </row>
    <row r="2396" spans="1:46" ht="15" hidden="1" customHeight="1">
      <c r="A2396" s="331">
        <v>2395</v>
      </c>
      <c r="B2396" s="159" t="s">
        <v>2500</v>
      </c>
      <c r="C2396" s="159" t="s">
        <v>10944</v>
      </c>
      <c r="D2396" s="438" t="s">
        <v>8597</v>
      </c>
      <c r="E2396" s="361" t="str">
        <f t="shared" si="157"/>
        <v>ON TRACK</v>
      </c>
      <c r="F2396" s="160" t="s">
        <v>11441</v>
      </c>
      <c r="G2396" s="159" t="s">
        <v>10945</v>
      </c>
      <c r="H2396" s="160" t="s">
        <v>8588</v>
      </c>
      <c r="I2396" s="160" t="s">
        <v>511</v>
      </c>
      <c r="J2396" s="159"/>
      <c r="K2396" s="181" t="s">
        <v>10946</v>
      </c>
      <c r="L2396" s="158" t="s">
        <v>11441</v>
      </c>
      <c r="M2396" s="158" t="s">
        <v>9506</v>
      </c>
      <c r="N2396" s="158" t="s">
        <v>389</v>
      </c>
      <c r="O2396" s="162" t="s">
        <v>11441</v>
      </c>
      <c r="P2396" s="161">
        <f>4335000*12</f>
        <v>52020000</v>
      </c>
      <c r="Q2396" s="161" t="s">
        <v>11441</v>
      </c>
      <c r="R2396" s="162" t="s">
        <v>11441</v>
      </c>
      <c r="S2396" s="211" t="s">
        <v>11441</v>
      </c>
      <c r="T2396" s="213">
        <v>0.2</v>
      </c>
      <c r="U2396" s="340">
        <v>46508</v>
      </c>
      <c r="V2396" s="340">
        <v>46873</v>
      </c>
      <c r="W2396" s="158" t="s">
        <v>17</v>
      </c>
      <c r="X2396" s="158" t="s">
        <v>11441</v>
      </c>
      <c r="Y2396" s="164">
        <v>45897</v>
      </c>
      <c r="Z2396" s="227">
        <v>976</v>
      </c>
      <c r="AA2396" s="158">
        <v>4</v>
      </c>
      <c r="AB2396" s="158">
        <f t="shared" si="159"/>
        <v>2028</v>
      </c>
      <c r="AC2396" s="159" t="s">
        <v>11441</v>
      </c>
      <c r="AD2396" s="159" t="s">
        <v>11441</v>
      </c>
      <c r="AE2396" s="158" t="s">
        <v>11441</v>
      </c>
      <c r="AF2396" s="158" t="s">
        <v>356</v>
      </c>
      <c r="AG2396" s="160"/>
      <c r="AH2396" s="160"/>
      <c r="AI2396" s="225" t="s">
        <v>11441</v>
      </c>
      <c r="AJ2396" s="158"/>
      <c r="AK2396" s="158"/>
      <c r="AL2396" s="158"/>
      <c r="AM2396" s="158"/>
      <c r="AN2396" s="158"/>
      <c r="AO2396" s="158"/>
      <c r="AP2396" s="158"/>
      <c r="AQ2396" s="158"/>
      <c r="AR2396" s="507"/>
      <c r="AS2396" s="475"/>
      <c r="AT2396" s="160"/>
    </row>
    <row r="2397" spans="1:46" ht="15" hidden="1" customHeight="1">
      <c r="A2397" s="331">
        <v>2396</v>
      </c>
      <c r="B2397" s="159" t="s">
        <v>2500</v>
      </c>
      <c r="C2397" s="159" t="s">
        <v>3484</v>
      </c>
      <c r="D2397" s="447" t="s">
        <v>8597</v>
      </c>
      <c r="E2397" s="361" t="str">
        <f t="shared" si="157"/>
        <v>ON TRACK</v>
      </c>
      <c r="F2397" s="160" t="s">
        <v>11441</v>
      </c>
      <c r="G2397" s="159" t="s">
        <v>10947</v>
      </c>
      <c r="H2397" s="160" t="s">
        <v>8588</v>
      </c>
      <c r="I2397" s="160" t="s">
        <v>511</v>
      </c>
      <c r="J2397" s="159"/>
      <c r="K2397" s="181" t="s">
        <v>10948</v>
      </c>
      <c r="L2397" s="158" t="s">
        <v>11441</v>
      </c>
      <c r="M2397" s="158" t="s">
        <v>6788</v>
      </c>
      <c r="N2397" s="158" t="s">
        <v>6649</v>
      </c>
      <c r="O2397" s="162" t="s">
        <v>11441</v>
      </c>
      <c r="P2397" s="161">
        <f>3000000*12</f>
        <v>36000000</v>
      </c>
      <c r="Q2397" s="161" t="s">
        <v>11441</v>
      </c>
      <c r="R2397" s="162" t="s">
        <v>11441</v>
      </c>
      <c r="S2397" s="211" t="s">
        <v>11441</v>
      </c>
      <c r="T2397" s="213">
        <v>0.2</v>
      </c>
      <c r="U2397" s="340">
        <v>46508</v>
      </c>
      <c r="V2397" s="340">
        <v>46873</v>
      </c>
      <c r="W2397" s="158" t="s">
        <v>17</v>
      </c>
      <c r="X2397" s="158" t="s">
        <v>11441</v>
      </c>
      <c r="Y2397" s="164">
        <v>45897</v>
      </c>
      <c r="Z2397" s="228">
        <v>976</v>
      </c>
      <c r="AA2397" s="158">
        <v>4</v>
      </c>
      <c r="AB2397" s="158">
        <f t="shared" si="159"/>
        <v>2028</v>
      </c>
      <c r="AC2397" s="159" t="s">
        <v>11441</v>
      </c>
      <c r="AD2397" s="159" t="s">
        <v>11441</v>
      </c>
      <c r="AE2397" s="158" t="s">
        <v>11441</v>
      </c>
      <c r="AF2397" s="158" t="s">
        <v>356</v>
      </c>
      <c r="AG2397" s="160"/>
      <c r="AH2397" s="160"/>
      <c r="AI2397" s="158" t="s">
        <v>11441</v>
      </c>
      <c r="AJ2397" s="158"/>
      <c r="AK2397" s="158"/>
      <c r="AL2397" s="158"/>
      <c r="AM2397" s="158"/>
      <c r="AN2397" s="158"/>
      <c r="AO2397" s="158"/>
      <c r="AP2397" s="158"/>
      <c r="AQ2397" s="158"/>
      <c r="AR2397" s="507"/>
      <c r="AS2397" s="475"/>
      <c r="AT2397" s="160"/>
    </row>
    <row r="2398" spans="1:46" ht="15" hidden="1" customHeight="1">
      <c r="A2398" s="331">
        <v>2397</v>
      </c>
      <c r="B2398" s="159" t="s">
        <v>2500</v>
      </c>
      <c r="C2398" s="159" t="s">
        <v>10959</v>
      </c>
      <c r="D2398" s="438" t="s">
        <v>8597</v>
      </c>
      <c r="E2398" s="361" t="str">
        <f t="shared" si="157"/>
        <v>ON TRACK</v>
      </c>
      <c r="F2398" s="160" t="s">
        <v>11441</v>
      </c>
      <c r="G2398" s="159" t="s">
        <v>10960</v>
      </c>
      <c r="H2398" s="160" t="s">
        <v>8588</v>
      </c>
      <c r="I2398" s="160" t="s">
        <v>511</v>
      </c>
      <c r="J2398" s="159"/>
      <c r="K2398" s="181" t="s">
        <v>10961</v>
      </c>
      <c r="L2398" s="158" t="s">
        <v>11441</v>
      </c>
      <c r="M2398" s="158" t="s">
        <v>10692</v>
      </c>
      <c r="N2398" s="158" t="s">
        <v>6762</v>
      </c>
      <c r="O2398" s="162" t="s">
        <v>11441</v>
      </c>
      <c r="P2398" s="161">
        <f>29992000*12</f>
        <v>359904000</v>
      </c>
      <c r="Q2398" s="161" t="s">
        <v>11441</v>
      </c>
      <c r="R2398" s="162" t="s">
        <v>11441</v>
      </c>
      <c r="S2398" s="211" t="s">
        <v>11441</v>
      </c>
      <c r="T2398" s="213">
        <v>0.2</v>
      </c>
      <c r="U2398" s="340">
        <v>46508</v>
      </c>
      <c r="V2398" s="340">
        <v>46873</v>
      </c>
      <c r="W2398" s="158" t="s">
        <v>17</v>
      </c>
      <c r="X2398" s="158" t="s">
        <v>11441</v>
      </c>
      <c r="Y2398" s="164">
        <v>45897</v>
      </c>
      <c r="Z2398" s="227">
        <v>976</v>
      </c>
      <c r="AA2398" s="158">
        <v>4</v>
      </c>
      <c r="AB2398" s="158">
        <f t="shared" si="159"/>
        <v>2028</v>
      </c>
      <c r="AC2398" s="159" t="s">
        <v>11441</v>
      </c>
      <c r="AD2398" s="159" t="s">
        <v>11441</v>
      </c>
      <c r="AE2398" s="158" t="s">
        <v>11441</v>
      </c>
      <c r="AF2398" s="158" t="s">
        <v>356</v>
      </c>
      <c r="AG2398" s="160"/>
      <c r="AH2398" s="160"/>
      <c r="AI2398" s="225"/>
      <c r="AJ2398" s="158"/>
      <c r="AK2398" s="158"/>
      <c r="AL2398" s="158"/>
      <c r="AM2398" s="158"/>
      <c r="AN2398" s="158"/>
      <c r="AO2398" s="158"/>
      <c r="AP2398" s="158"/>
      <c r="AQ2398" s="158"/>
      <c r="AR2398" s="507"/>
      <c r="AS2398" s="475"/>
      <c r="AT2398" s="160"/>
    </row>
    <row r="2399" spans="1:46" ht="15" hidden="1" customHeight="1">
      <c r="A2399" s="331">
        <v>2398</v>
      </c>
      <c r="B2399" s="209" t="s">
        <v>11442</v>
      </c>
      <c r="C2399" s="301" t="s">
        <v>11443</v>
      </c>
      <c r="D2399" s="447" t="s">
        <v>8597</v>
      </c>
      <c r="E2399" s="361" t="str">
        <f t="shared" ca="1" si="157"/>
        <v>LOSS</v>
      </c>
      <c r="F2399" s="210" t="s">
        <v>11444</v>
      </c>
      <c r="G2399" s="301" t="s">
        <v>11445</v>
      </c>
      <c r="H2399" s="160" t="s">
        <v>8588</v>
      </c>
      <c r="I2399" s="160" t="s">
        <v>511</v>
      </c>
      <c r="J2399" s="159" t="s">
        <v>11446</v>
      </c>
      <c r="K2399" s="301" t="s">
        <v>11447</v>
      </c>
      <c r="L2399" s="158"/>
      <c r="M2399" s="208" t="s">
        <v>365</v>
      </c>
      <c r="N2399" s="302"/>
      <c r="O2399" s="162"/>
      <c r="P2399" s="161">
        <f>13500000*12</f>
        <v>162000000</v>
      </c>
      <c r="Q2399" s="161"/>
      <c r="R2399" s="162"/>
      <c r="S2399" s="211"/>
      <c r="T2399" s="213">
        <v>0.1</v>
      </c>
      <c r="U2399" s="344">
        <v>45067</v>
      </c>
      <c r="V2399" s="340">
        <v>45432</v>
      </c>
      <c r="W2399" s="158" t="s">
        <v>250</v>
      </c>
      <c r="X2399" s="158"/>
      <c r="Y2399" s="164">
        <f t="shared" ref="Y2399:Y2430" ca="1" si="160">TODAY()</f>
        <v>46290</v>
      </c>
      <c r="Z2399" s="207">
        <f t="shared" ref="Z2399:Z2462" ca="1" si="161">V2399-Y2399</f>
        <v>-858</v>
      </c>
      <c r="AA2399" s="158">
        <f t="shared" ref="AA2399:AA2462" si="162">MONTH(V2399)</f>
        <v>5</v>
      </c>
      <c r="AB2399" s="158">
        <f t="shared" si="159"/>
        <v>2024</v>
      </c>
      <c r="AC2399" s="159"/>
      <c r="AD2399" s="159"/>
      <c r="AE2399" s="158"/>
      <c r="AF2399" s="158" t="s">
        <v>356</v>
      </c>
      <c r="AG2399" s="160"/>
      <c r="AH2399" s="160"/>
      <c r="AI2399" s="158"/>
      <c r="AJ2399" s="158"/>
      <c r="AK2399" s="158"/>
      <c r="AL2399" s="158"/>
      <c r="AM2399" s="158"/>
      <c r="AN2399" s="158"/>
      <c r="AO2399" s="158"/>
      <c r="AP2399" s="158"/>
      <c r="AQ2399" s="158"/>
      <c r="AR2399" s="507"/>
      <c r="AS2399" s="475"/>
      <c r="AT2399" s="160"/>
    </row>
    <row r="2400" spans="1:46" ht="15" hidden="1" customHeight="1">
      <c r="A2400" s="331">
        <v>2399</v>
      </c>
      <c r="B2400" s="209" t="s">
        <v>11442</v>
      </c>
      <c r="C2400" s="301" t="s">
        <v>11448</v>
      </c>
      <c r="D2400" s="447" t="s">
        <v>9866</v>
      </c>
      <c r="E2400" s="361" t="str">
        <f t="shared" ca="1" si="157"/>
        <v>LOSS</v>
      </c>
      <c r="F2400" s="233" t="s">
        <v>11449</v>
      </c>
      <c r="G2400" s="301" t="s">
        <v>11450</v>
      </c>
      <c r="H2400" s="160" t="s">
        <v>8588</v>
      </c>
      <c r="I2400" s="160" t="s">
        <v>511</v>
      </c>
      <c r="J2400" s="159"/>
      <c r="K2400" s="301" t="s">
        <v>11451</v>
      </c>
      <c r="L2400" s="158"/>
      <c r="M2400" s="208" t="s">
        <v>365</v>
      </c>
      <c r="N2400" s="302"/>
      <c r="O2400" s="162"/>
      <c r="P2400" s="161">
        <f>2500000*12</f>
        <v>30000000</v>
      </c>
      <c r="Q2400" s="161"/>
      <c r="R2400" s="162"/>
      <c r="S2400" s="211"/>
      <c r="T2400" s="213">
        <v>0.1</v>
      </c>
      <c r="U2400" s="344">
        <v>45067</v>
      </c>
      <c r="V2400" s="340">
        <v>45432</v>
      </c>
      <c r="W2400" s="158" t="s">
        <v>250</v>
      </c>
      <c r="X2400" s="158"/>
      <c r="Y2400" s="164">
        <f t="shared" ca="1" si="160"/>
        <v>46290</v>
      </c>
      <c r="Z2400" s="207">
        <f t="shared" ca="1" si="161"/>
        <v>-858</v>
      </c>
      <c r="AA2400" s="158">
        <f t="shared" si="162"/>
        <v>5</v>
      </c>
      <c r="AB2400" s="158">
        <f t="shared" si="159"/>
        <v>2024</v>
      </c>
      <c r="AC2400" s="159"/>
      <c r="AD2400" s="159"/>
      <c r="AE2400" s="158"/>
      <c r="AF2400" s="158" t="s">
        <v>356</v>
      </c>
      <c r="AG2400" s="160"/>
      <c r="AH2400" s="160"/>
      <c r="AI2400" s="158"/>
      <c r="AJ2400" s="158"/>
      <c r="AK2400" s="158"/>
      <c r="AL2400" s="158"/>
      <c r="AM2400" s="158"/>
      <c r="AN2400" s="158"/>
      <c r="AO2400" s="158"/>
      <c r="AP2400" s="158"/>
      <c r="AQ2400" s="158"/>
      <c r="AR2400" s="507"/>
      <c r="AS2400" s="475"/>
      <c r="AT2400" s="160"/>
    </row>
    <row r="2401" spans="1:46" ht="15" hidden="1" customHeight="1">
      <c r="A2401" s="331">
        <v>2400</v>
      </c>
      <c r="B2401" s="209" t="s">
        <v>11442</v>
      </c>
      <c r="C2401" s="303" t="s">
        <v>11452</v>
      </c>
      <c r="D2401" s="447" t="s">
        <v>9866</v>
      </c>
      <c r="E2401" s="361" t="str">
        <f t="shared" ca="1" si="157"/>
        <v>LOSS</v>
      </c>
      <c r="F2401" s="233" t="s">
        <v>11453</v>
      </c>
      <c r="G2401" s="304" t="s">
        <v>11454</v>
      </c>
      <c r="H2401" s="160" t="s">
        <v>8588</v>
      </c>
      <c r="I2401" s="160" t="s">
        <v>511</v>
      </c>
      <c r="J2401" s="159" t="s">
        <v>11455</v>
      </c>
      <c r="K2401" s="303" t="s">
        <v>11456</v>
      </c>
      <c r="L2401" s="158"/>
      <c r="M2401" s="208" t="s">
        <v>365</v>
      </c>
      <c r="N2401" s="305"/>
      <c r="O2401" s="162"/>
      <c r="P2401" s="161">
        <f>13000000*12</f>
        <v>156000000</v>
      </c>
      <c r="Q2401" s="161"/>
      <c r="R2401" s="162"/>
      <c r="S2401" s="211"/>
      <c r="T2401" s="213">
        <v>0.1</v>
      </c>
      <c r="U2401" s="344">
        <v>45067</v>
      </c>
      <c r="V2401" s="340">
        <v>45432</v>
      </c>
      <c r="W2401" s="158" t="s">
        <v>250</v>
      </c>
      <c r="X2401" s="158"/>
      <c r="Y2401" s="164">
        <f t="shared" ca="1" si="160"/>
        <v>46290</v>
      </c>
      <c r="Z2401" s="207">
        <f t="shared" ca="1" si="161"/>
        <v>-858</v>
      </c>
      <c r="AA2401" s="158">
        <f t="shared" si="162"/>
        <v>5</v>
      </c>
      <c r="AB2401" s="158">
        <f t="shared" si="159"/>
        <v>2024</v>
      </c>
      <c r="AC2401" s="159"/>
      <c r="AD2401" s="159"/>
      <c r="AE2401" s="158"/>
      <c r="AF2401" s="158" t="s">
        <v>356</v>
      </c>
      <c r="AG2401" s="160"/>
      <c r="AH2401" s="160"/>
      <c r="AI2401" s="158"/>
      <c r="AJ2401" s="158"/>
      <c r="AK2401" s="158"/>
      <c r="AL2401" s="158"/>
      <c r="AM2401" s="158"/>
      <c r="AN2401" s="158"/>
      <c r="AO2401" s="158"/>
      <c r="AP2401" s="158"/>
      <c r="AQ2401" s="158"/>
      <c r="AR2401" s="507"/>
      <c r="AS2401" s="475"/>
      <c r="AT2401" s="160"/>
    </row>
    <row r="2402" spans="1:46" ht="15" hidden="1" customHeight="1">
      <c r="A2402" s="331">
        <v>2401</v>
      </c>
      <c r="B2402" s="209" t="s">
        <v>11442</v>
      </c>
      <c r="C2402" s="303" t="s">
        <v>11457</v>
      </c>
      <c r="D2402" s="447" t="s">
        <v>9866</v>
      </c>
      <c r="E2402" s="361" t="str">
        <f t="shared" ca="1" si="157"/>
        <v>LOSS</v>
      </c>
      <c r="F2402" s="214" t="s">
        <v>115</v>
      </c>
      <c r="G2402" s="303" t="s">
        <v>11458</v>
      </c>
      <c r="H2402" s="160" t="s">
        <v>8588</v>
      </c>
      <c r="I2402" s="160" t="s">
        <v>511</v>
      </c>
      <c r="J2402" s="159" t="s">
        <v>11459</v>
      </c>
      <c r="K2402" s="303" t="s">
        <v>11460</v>
      </c>
      <c r="L2402" s="158"/>
      <c r="M2402" s="298" t="s">
        <v>8709</v>
      </c>
      <c r="N2402" s="305" t="s">
        <v>6735</v>
      </c>
      <c r="O2402" s="162"/>
      <c r="P2402" s="161">
        <f>7000000*12</f>
        <v>84000000</v>
      </c>
      <c r="Q2402" s="161"/>
      <c r="R2402" s="162"/>
      <c r="S2402" s="211"/>
      <c r="T2402" s="213">
        <v>0.1</v>
      </c>
      <c r="U2402" s="344">
        <v>45067</v>
      </c>
      <c r="V2402" s="340">
        <v>45432</v>
      </c>
      <c r="W2402" s="158" t="s">
        <v>250</v>
      </c>
      <c r="X2402" s="158"/>
      <c r="Y2402" s="164">
        <f t="shared" ca="1" si="160"/>
        <v>46290</v>
      </c>
      <c r="Z2402" s="207">
        <f t="shared" ca="1" si="161"/>
        <v>-858</v>
      </c>
      <c r="AA2402" s="158">
        <f t="shared" si="162"/>
        <v>5</v>
      </c>
      <c r="AB2402" s="158">
        <f t="shared" si="159"/>
        <v>2024</v>
      </c>
      <c r="AC2402" s="159"/>
      <c r="AD2402" s="159"/>
      <c r="AE2402" s="158"/>
      <c r="AF2402" s="158" t="s">
        <v>356</v>
      </c>
      <c r="AG2402" s="160"/>
      <c r="AH2402" s="160"/>
      <c r="AI2402" s="158"/>
      <c r="AJ2402" s="158"/>
      <c r="AK2402" s="158"/>
      <c r="AL2402" s="158"/>
      <c r="AM2402" s="158"/>
      <c r="AN2402" s="158"/>
      <c r="AO2402" s="158"/>
      <c r="AP2402" s="158"/>
      <c r="AQ2402" s="158"/>
      <c r="AR2402" s="507"/>
      <c r="AS2402" s="475"/>
      <c r="AT2402" s="160"/>
    </row>
    <row r="2403" spans="1:46" ht="15" hidden="1" customHeight="1">
      <c r="A2403" s="331">
        <v>2402</v>
      </c>
      <c r="B2403" s="209" t="s">
        <v>11442</v>
      </c>
      <c r="C2403" s="303" t="s">
        <v>11461</v>
      </c>
      <c r="D2403" s="447" t="s">
        <v>9866</v>
      </c>
      <c r="E2403" s="361" t="str">
        <f t="shared" ca="1" si="157"/>
        <v>LOSS</v>
      </c>
      <c r="F2403" s="214" t="s">
        <v>115</v>
      </c>
      <c r="G2403" s="303" t="s">
        <v>11462</v>
      </c>
      <c r="H2403" s="160" t="s">
        <v>8588</v>
      </c>
      <c r="I2403" s="160" t="s">
        <v>511</v>
      </c>
      <c r="J2403" s="159" t="s">
        <v>11463</v>
      </c>
      <c r="K2403" s="303" t="s">
        <v>11464</v>
      </c>
      <c r="L2403" s="158"/>
      <c r="M2403" s="298" t="s">
        <v>8709</v>
      </c>
      <c r="N2403" s="305" t="s">
        <v>468</v>
      </c>
      <c r="O2403" s="162"/>
      <c r="P2403" s="161">
        <f>7000000*12</f>
        <v>84000000</v>
      </c>
      <c r="Q2403" s="161"/>
      <c r="R2403" s="162"/>
      <c r="S2403" s="211"/>
      <c r="T2403" s="213">
        <v>0.1</v>
      </c>
      <c r="U2403" s="344">
        <v>45067</v>
      </c>
      <c r="V2403" s="340">
        <v>45432</v>
      </c>
      <c r="W2403" s="158" t="s">
        <v>250</v>
      </c>
      <c r="X2403" s="158"/>
      <c r="Y2403" s="164">
        <f t="shared" ca="1" si="160"/>
        <v>46290</v>
      </c>
      <c r="Z2403" s="207">
        <f t="shared" ca="1" si="161"/>
        <v>-858</v>
      </c>
      <c r="AA2403" s="158">
        <f t="shared" si="162"/>
        <v>5</v>
      </c>
      <c r="AB2403" s="158">
        <f t="shared" si="159"/>
        <v>2024</v>
      </c>
      <c r="AC2403" s="159"/>
      <c r="AD2403" s="159"/>
      <c r="AE2403" s="158"/>
      <c r="AF2403" s="158" t="s">
        <v>356</v>
      </c>
      <c r="AG2403" s="160"/>
      <c r="AH2403" s="160"/>
      <c r="AI2403" s="158"/>
      <c r="AJ2403" s="158"/>
      <c r="AK2403" s="158"/>
      <c r="AL2403" s="158"/>
      <c r="AM2403" s="158"/>
      <c r="AN2403" s="158"/>
      <c r="AO2403" s="158"/>
      <c r="AP2403" s="158"/>
      <c r="AQ2403" s="158"/>
      <c r="AR2403" s="507"/>
      <c r="AS2403" s="475"/>
      <c r="AT2403" s="160"/>
    </row>
    <row r="2404" spans="1:46" ht="15" hidden="1" customHeight="1">
      <c r="A2404" s="331">
        <v>2403</v>
      </c>
      <c r="B2404" s="209" t="s">
        <v>11442</v>
      </c>
      <c r="C2404" s="304" t="s">
        <v>11465</v>
      </c>
      <c r="D2404" s="447" t="s">
        <v>9866</v>
      </c>
      <c r="E2404" s="361" t="str">
        <f t="shared" ca="1" si="157"/>
        <v>LOSS</v>
      </c>
      <c r="F2404" s="214" t="s">
        <v>115</v>
      </c>
      <c r="G2404" s="304" t="s">
        <v>11466</v>
      </c>
      <c r="H2404" s="160" t="s">
        <v>8588</v>
      </c>
      <c r="I2404" s="160" t="s">
        <v>511</v>
      </c>
      <c r="J2404" s="159" t="s">
        <v>11467</v>
      </c>
      <c r="K2404" s="304" t="s">
        <v>11468</v>
      </c>
      <c r="L2404" s="158"/>
      <c r="M2404" s="298" t="s">
        <v>11469</v>
      </c>
      <c r="N2404" s="306" t="s">
        <v>406</v>
      </c>
      <c r="O2404" s="162"/>
      <c r="P2404" s="161">
        <f>10000000*12</f>
        <v>120000000</v>
      </c>
      <c r="Q2404" s="161"/>
      <c r="R2404" s="162"/>
      <c r="S2404" s="211"/>
      <c r="T2404" s="213">
        <v>0.1</v>
      </c>
      <c r="U2404" s="344">
        <v>45067</v>
      </c>
      <c r="V2404" s="340">
        <v>45432</v>
      </c>
      <c r="W2404" s="158" t="s">
        <v>250</v>
      </c>
      <c r="X2404" s="158"/>
      <c r="Y2404" s="164">
        <f t="shared" ca="1" si="160"/>
        <v>46290</v>
      </c>
      <c r="Z2404" s="207">
        <f t="shared" ca="1" si="161"/>
        <v>-858</v>
      </c>
      <c r="AA2404" s="158">
        <f t="shared" si="162"/>
        <v>5</v>
      </c>
      <c r="AB2404" s="158">
        <f t="shared" si="159"/>
        <v>2024</v>
      </c>
      <c r="AC2404" s="159"/>
      <c r="AD2404" s="159"/>
      <c r="AE2404" s="158"/>
      <c r="AF2404" s="158" t="s">
        <v>356</v>
      </c>
      <c r="AG2404" s="160"/>
      <c r="AH2404" s="160"/>
      <c r="AI2404" s="158"/>
      <c r="AJ2404" s="158"/>
      <c r="AK2404" s="158"/>
      <c r="AL2404" s="158"/>
      <c r="AM2404" s="158"/>
      <c r="AN2404" s="158"/>
      <c r="AO2404" s="158"/>
      <c r="AP2404" s="158"/>
      <c r="AQ2404" s="158"/>
      <c r="AR2404" s="507"/>
      <c r="AS2404" s="475"/>
      <c r="AT2404" s="160"/>
    </row>
    <row r="2405" spans="1:46" ht="15" hidden="1" customHeight="1">
      <c r="A2405" s="331">
        <v>2404</v>
      </c>
      <c r="B2405" s="209" t="s">
        <v>11442</v>
      </c>
      <c r="C2405" s="303" t="s">
        <v>11470</v>
      </c>
      <c r="D2405" s="447" t="s">
        <v>9866</v>
      </c>
      <c r="E2405" s="361" t="str">
        <f t="shared" ca="1" si="157"/>
        <v>LOSS</v>
      </c>
      <c r="F2405" s="214" t="s">
        <v>115</v>
      </c>
      <c r="G2405" s="304" t="s">
        <v>11471</v>
      </c>
      <c r="H2405" s="160" t="s">
        <v>8588</v>
      </c>
      <c r="I2405" s="160" t="s">
        <v>511</v>
      </c>
      <c r="J2405" s="159" t="s">
        <v>11472</v>
      </c>
      <c r="K2405" s="304" t="s">
        <v>11473</v>
      </c>
      <c r="L2405" s="158"/>
      <c r="M2405" s="298" t="s">
        <v>353</v>
      </c>
      <c r="N2405" s="306" t="s">
        <v>389</v>
      </c>
      <c r="O2405" s="162"/>
      <c r="P2405" s="161">
        <f>21000000*12</f>
        <v>252000000</v>
      </c>
      <c r="Q2405" s="161"/>
      <c r="R2405" s="162"/>
      <c r="S2405" s="211"/>
      <c r="T2405" s="213">
        <v>0.1</v>
      </c>
      <c r="U2405" s="344">
        <v>45067</v>
      </c>
      <c r="V2405" s="340">
        <v>45432</v>
      </c>
      <c r="W2405" s="158" t="s">
        <v>250</v>
      </c>
      <c r="X2405" s="158"/>
      <c r="Y2405" s="164">
        <f t="shared" ca="1" si="160"/>
        <v>46290</v>
      </c>
      <c r="Z2405" s="207">
        <f t="shared" ca="1" si="161"/>
        <v>-858</v>
      </c>
      <c r="AA2405" s="158">
        <f t="shared" si="162"/>
        <v>5</v>
      </c>
      <c r="AB2405" s="158">
        <f t="shared" si="159"/>
        <v>2024</v>
      </c>
      <c r="AC2405" s="159"/>
      <c r="AD2405" s="159"/>
      <c r="AE2405" s="158"/>
      <c r="AF2405" s="158" t="s">
        <v>356</v>
      </c>
      <c r="AG2405" s="160"/>
      <c r="AH2405" s="160"/>
      <c r="AI2405" s="158"/>
      <c r="AJ2405" s="158"/>
      <c r="AK2405" s="158"/>
      <c r="AL2405" s="158"/>
      <c r="AM2405" s="158"/>
      <c r="AN2405" s="158"/>
      <c r="AO2405" s="158"/>
      <c r="AP2405" s="158"/>
      <c r="AQ2405" s="158"/>
      <c r="AR2405" s="507"/>
      <c r="AS2405" s="475"/>
      <c r="AT2405" s="160"/>
    </row>
    <row r="2406" spans="1:46" ht="15" hidden="1" customHeight="1">
      <c r="A2406" s="331">
        <v>2405</v>
      </c>
      <c r="B2406" s="209" t="s">
        <v>11442</v>
      </c>
      <c r="C2406" s="307" t="s">
        <v>11474</v>
      </c>
      <c r="D2406" s="447" t="s">
        <v>9866</v>
      </c>
      <c r="E2406" s="361" t="str">
        <f t="shared" ca="1" si="157"/>
        <v>LOSS</v>
      </c>
      <c r="F2406" s="214" t="s">
        <v>115</v>
      </c>
      <c r="G2406" s="301" t="s">
        <v>11475</v>
      </c>
      <c r="H2406" s="160" t="s">
        <v>8588</v>
      </c>
      <c r="I2406" s="160" t="s">
        <v>511</v>
      </c>
      <c r="J2406" s="159" t="s">
        <v>11476</v>
      </c>
      <c r="K2406" s="301" t="s">
        <v>11477</v>
      </c>
      <c r="L2406" s="158"/>
      <c r="M2406" s="298" t="s">
        <v>365</v>
      </c>
      <c r="N2406" s="308" t="s">
        <v>354</v>
      </c>
      <c r="O2406" s="162"/>
      <c r="P2406" s="161">
        <f>2800000*12</f>
        <v>33600000</v>
      </c>
      <c r="Q2406" s="161"/>
      <c r="R2406" s="162"/>
      <c r="S2406" s="211"/>
      <c r="T2406" s="213">
        <v>0.1</v>
      </c>
      <c r="U2406" s="344">
        <v>45067</v>
      </c>
      <c r="V2406" s="340">
        <v>45432</v>
      </c>
      <c r="W2406" s="158" t="s">
        <v>250</v>
      </c>
      <c r="X2406" s="158"/>
      <c r="Y2406" s="164">
        <f t="shared" ca="1" si="160"/>
        <v>46290</v>
      </c>
      <c r="Z2406" s="207">
        <f t="shared" ca="1" si="161"/>
        <v>-858</v>
      </c>
      <c r="AA2406" s="158">
        <f t="shared" si="162"/>
        <v>5</v>
      </c>
      <c r="AB2406" s="158">
        <f t="shared" si="159"/>
        <v>2024</v>
      </c>
      <c r="AC2406" s="159"/>
      <c r="AD2406" s="159"/>
      <c r="AE2406" s="158"/>
      <c r="AF2406" s="158" t="s">
        <v>356</v>
      </c>
      <c r="AG2406" s="160"/>
      <c r="AH2406" s="160"/>
      <c r="AI2406" s="158"/>
      <c r="AJ2406" s="158"/>
      <c r="AK2406" s="158"/>
      <c r="AL2406" s="158"/>
      <c r="AM2406" s="158"/>
      <c r="AN2406" s="158"/>
      <c r="AO2406" s="158"/>
      <c r="AP2406" s="158"/>
      <c r="AQ2406" s="158"/>
      <c r="AR2406" s="507"/>
      <c r="AS2406" s="475"/>
      <c r="AT2406" s="160"/>
    </row>
    <row r="2407" spans="1:46" ht="15" hidden="1" customHeight="1">
      <c r="A2407" s="331">
        <v>2406</v>
      </c>
      <c r="B2407" s="209" t="s">
        <v>11442</v>
      </c>
      <c r="C2407" s="307" t="s">
        <v>11478</v>
      </c>
      <c r="D2407" s="447" t="s">
        <v>9866</v>
      </c>
      <c r="E2407" s="361" t="str">
        <f t="shared" ca="1" si="157"/>
        <v>LOSS</v>
      </c>
      <c r="F2407" s="214" t="s">
        <v>115</v>
      </c>
      <c r="G2407" s="301" t="s">
        <v>11479</v>
      </c>
      <c r="H2407" s="160" t="s">
        <v>8588</v>
      </c>
      <c r="I2407" s="160" t="s">
        <v>511</v>
      </c>
      <c r="J2407" s="159" t="s">
        <v>11480</v>
      </c>
      <c r="K2407" s="301" t="s">
        <v>11481</v>
      </c>
      <c r="L2407" s="158"/>
      <c r="M2407" s="298" t="s">
        <v>353</v>
      </c>
      <c r="N2407" s="308" t="s">
        <v>389</v>
      </c>
      <c r="O2407" s="162"/>
      <c r="P2407" s="161">
        <f>12600000*12</f>
        <v>151200000</v>
      </c>
      <c r="Q2407" s="161"/>
      <c r="R2407" s="162"/>
      <c r="S2407" s="211"/>
      <c r="T2407" s="213">
        <v>0.1</v>
      </c>
      <c r="U2407" s="344">
        <v>45067</v>
      </c>
      <c r="V2407" s="340">
        <v>45432</v>
      </c>
      <c r="W2407" s="158" t="s">
        <v>250</v>
      </c>
      <c r="X2407" s="158"/>
      <c r="Y2407" s="164">
        <f t="shared" ca="1" si="160"/>
        <v>46290</v>
      </c>
      <c r="Z2407" s="207">
        <f t="shared" ca="1" si="161"/>
        <v>-858</v>
      </c>
      <c r="AA2407" s="158">
        <f t="shared" si="162"/>
        <v>5</v>
      </c>
      <c r="AB2407" s="158">
        <f t="shared" si="159"/>
        <v>2024</v>
      </c>
      <c r="AC2407" s="159"/>
      <c r="AD2407" s="159"/>
      <c r="AE2407" s="158"/>
      <c r="AF2407" s="158" t="s">
        <v>356</v>
      </c>
      <c r="AG2407" s="160"/>
      <c r="AH2407" s="160"/>
      <c r="AI2407" s="158"/>
      <c r="AJ2407" s="158"/>
      <c r="AK2407" s="158"/>
      <c r="AL2407" s="158"/>
      <c r="AM2407" s="158"/>
      <c r="AN2407" s="158"/>
      <c r="AO2407" s="158"/>
      <c r="AP2407" s="158"/>
      <c r="AQ2407" s="158"/>
      <c r="AR2407" s="507"/>
      <c r="AS2407" s="475"/>
      <c r="AT2407" s="160"/>
    </row>
    <row r="2408" spans="1:46" ht="15" hidden="1" customHeight="1">
      <c r="A2408" s="331">
        <v>2407</v>
      </c>
      <c r="B2408" s="209" t="s">
        <v>11442</v>
      </c>
      <c r="C2408" s="307" t="s">
        <v>11478</v>
      </c>
      <c r="D2408" s="447" t="s">
        <v>9866</v>
      </c>
      <c r="E2408" s="361" t="str">
        <f t="shared" ca="1" si="157"/>
        <v>LOSS</v>
      </c>
      <c r="F2408" s="210" t="s">
        <v>11482</v>
      </c>
      <c r="G2408" s="301" t="s">
        <v>11479</v>
      </c>
      <c r="H2408" s="160" t="s">
        <v>8588</v>
      </c>
      <c r="I2408" s="160" t="s">
        <v>511</v>
      </c>
      <c r="J2408" s="159" t="s">
        <v>11483</v>
      </c>
      <c r="K2408" s="301" t="s">
        <v>11484</v>
      </c>
      <c r="L2408" s="158"/>
      <c r="M2408" s="298" t="s">
        <v>353</v>
      </c>
      <c r="N2408" s="308" t="s">
        <v>7066</v>
      </c>
      <c r="O2408" s="162"/>
      <c r="P2408" s="161">
        <f>8325000*12</f>
        <v>99900000</v>
      </c>
      <c r="Q2408" s="161"/>
      <c r="R2408" s="162"/>
      <c r="S2408" s="211"/>
      <c r="T2408" s="213">
        <v>0.1</v>
      </c>
      <c r="U2408" s="344">
        <v>45067</v>
      </c>
      <c r="V2408" s="340">
        <v>45432</v>
      </c>
      <c r="W2408" s="158" t="s">
        <v>250</v>
      </c>
      <c r="X2408" s="158"/>
      <c r="Y2408" s="164">
        <f t="shared" ca="1" si="160"/>
        <v>46290</v>
      </c>
      <c r="Z2408" s="207">
        <f t="shared" ca="1" si="161"/>
        <v>-858</v>
      </c>
      <c r="AA2408" s="158">
        <f t="shared" si="162"/>
        <v>5</v>
      </c>
      <c r="AB2408" s="158">
        <f t="shared" si="159"/>
        <v>2024</v>
      </c>
      <c r="AC2408" s="159"/>
      <c r="AD2408" s="159"/>
      <c r="AE2408" s="158"/>
      <c r="AF2408" s="158" t="s">
        <v>356</v>
      </c>
      <c r="AG2408" s="160"/>
      <c r="AH2408" s="160"/>
      <c r="AI2408" s="158"/>
      <c r="AJ2408" s="158"/>
      <c r="AK2408" s="158"/>
      <c r="AL2408" s="158"/>
      <c r="AM2408" s="158"/>
      <c r="AN2408" s="158"/>
      <c r="AO2408" s="158"/>
      <c r="AP2408" s="158"/>
      <c r="AQ2408" s="158"/>
      <c r="AR2408" s="507"/>
      <c r="AS2408" s="475"/>
      <c r="AT2408" s="160"/>
    </row>
    <row r="2409" spans="1:46" ht="15" hidden="1" customHeight="1">
      <c r="A2409" s="331">
        <v>2408</v>
      </c>
      <c r="B2409" s="209" t="s">
        <v>11442</v>
      </c>
      <c r="C2409" s="307" t="s">
        <v>11474</v>
      </c>
      <c r="D2409" s="447" t="s">
        <v>9866</v>
      </c>
      <c r="E2409" s="361" t="str">
        <f t="shared" ca="1" si="157"/>
        <v>LOSS</v>
      </c>
      <c r="F2409" s="160"/>
      <c r="G2409" s="301" t="s">
        <v>11485</v>
      </c>
      <c r="H2409" s="160" t="s">
        <v>8588</v>
      </c>
      <c r="I2409" s="160" t="s">
        <v>511</v>
      </c>
      <c r="J2409" s="159" t="s">
        <v>11486</v>
      </c>
      <c r="K2409" s="301" t="s">
        <v>11487</v>
      </c>
      <c r="L2409" s="158"/>
      <c r="M2409" s="298" t="s">
        <v>365</v>
      </c>
      <c r="N2409" s="308" t="s">
        <v>7193</v>
      </c>
      <c r="O2409" s="162"/>
      <c r="P2409" s="161">
        <f>3200000*12</f>
        <v>38400000</v>
      </c>
      <c r="Q2409" s="161"/>
      <c r="R2409" s="162"/>
      <c r="S2409" s="211"/>
      <c r="T2409" s="213">
        <v>0.1</v>
      </c>
      <c r="U2409" s="344">
        <v>45067</v>
      </c>
      <c r="V2409" s="340">
        <v>45432</v>
      </c>
      <c r="W2409" s="158" t="s">
        <v>250</v>
      </c>
      <c r="X2409" s="158"/>
      <c r="Y2409" s="164">
        <f t="shared" ca="1" si="160"/>
        <v>46290</v>
      </c>
      <c r="Z2409" s="207">
        <f t="shared" ca="1" si="161"/>
        <v>-858</v>
      </c>
      <c r="AA2409" s="158">
        <f t="shared" si="162"/>
        <v>5</v>
      </c>
      <c r="AB2409" s="158">
        <f t="shared" si="159"/>
        <v>2024</v>
      </c>
      <c r="AC2409" s="159"/>
      <c r="AD2409" s="159"/>
      <c r="AE2409" s="158"/>
      <c r="AF2409" s="158" t="s">
        <v>356</v>
      </c>
      <c r="AG2409" s="160"/>
      <c r="AH2409" s="160"/>
      <c r="AI2409" s="158"/>
      <c r="AJ2409" s="158"/>
      <c r="AK2409" s="158"/>
      <c r="AL2409" s="158"/>
      <c r="AM2409" s="158"/>
      <c r="AN2409" s="158"/>
      <c r="AO2409" s="158"/>
      <c r="AP2409" s="158"/>
      <c r="AQ2409" s="158"/>
      <c r="AR2409" s="507"/>
      <c r="AS2409" s="475"/>
      <c r="AT2409" s="160"/>
    </row>
    <row r="2410" spans="1:46" ht="15" hidden="1" customHeight="1">
      <c r="A2410" s="331">
        <v>2409</v>
      </c>
      <c r="B2410" s="209" t="s">
        <v>11442</v>
      </c>
      <c r="C2410" s="307" t="s">
        <v>3765</v>
      </c>
      <c r="D2410" s="447" t="s">
        <v>9866</v>
      </c>
      <c r="E2410" s="361" t="str">
        <f t="shared" ca="1" si="157"/>
        <v>LOSS</v>
      </c>
      <c r="F2410" s="160"/>
      <c r="G2410" s="301" t="s">
        <v>11488</v>
      </c>
      <c r="H2410" s="160" t="s">
        <v>8588</v>
      </c>
      <c r="I2410" s="160" t="s">
        <v>511</v>
      </c>
      <c r="J2410" s="159" t="s">
        <v>11489</v>
      </c>
      <c r="K2410" s="301" t="s">
        <v>11490</v>
      </c>
      <c r="L2410" s="158"/>
      <c r="M2410" s="298" t="s">
        <v>365</v>
      </c>
      <c r="N2410" s="308" t="s">
        <v>7193</v>
      </c>
      <c r="O2410" s="162"/>
      <c r="P2410" s="161">
        <f>8300000*12</f>
        <v>99600000</v>
      </c>
      <c r="Q2410" s="161"/>
      <c r="R2410" s="162"/>
      <c r="S2410" s="211"/>
      <c r="T2410" s="213">
        <v>0.1</v>
      </c>
      <c r="U2410" s="344">
        <v>45067</v>
      </c>
      <c r="V2410" s="340">
        <v>45432</v>
      </c>
      <c r="W2410" s="158" t="s">
        <v>250</v>
      </c>
      <c r="X2410" s="158"/>
      <c r="Y2410" s="164">
        <f t="shared" ca="1" si="160"/>
        <v>46290</v>
      </c>
      <c r="Z2410" s="207">
        <f t="shared" ca="1" si="161"/>
        <v>-858</v>
      </c>
      <c r="AA2410" s="158">
        <f t="shared" si="162"/>
        <v>5</v>
      </c>
      <c r="AB2410" s="158">
        <f t="shared" si="159"/>
        <v>2024</v>
      </c>
      <c r="AC2410" s="159"/>
      <c r="AD2410" s="159"/>
      <c r="AE2410" s="158"/>
      <c r="AF2410" s="158" t="s">
        <v>356</v>
      </c>
      <c r="AG2410" s="160"/>
      <c r="AH2410" s="160"/>
      <c r="AI2410" s="158"/>
      <c r="AJ2410" s="158"/>
      <c r="AK2410" s="158"/>
      <c r="AL2410" s="158"/>
      <c r="AM2410" s="158"/>
      <c r="AN2410" s="158"/>
      <c r="AO2410" s="158"/>
      <c r="AP2410" s="158"/>
      <c r="AQ2410" s="158"/>
      <c r="AR2410" s="507"/>
      <c r="AS2410" s="475"/>
      <c r="AT2410" s="160"/>
    </row>
    <row r="2411" spans="1:46" ht="15" hidden="1" customHeight="1">
      <c r="A2411" s="331">
        <v>2410</v>
      </c>
      <c r="B2411" s="209" t="s">
        <v>11442</v>
      </c>
      <c r="C2411" s="307" t="s">
        <v>11491</v>
      </c>
      <c r="D2411" s="447" t="s">
        <v>9866</v>
      </c>
      <c r="E2411" s="361" t="str">
        <f t="shared" ca="1" si="157"/>
        <v>LOSS</v>
      </c>
      <c r="F2411" s="160"/>
      <c r="G2411" s="301" t="s">
        <v>11492</v>
      </c>
      <c r="H2411" s="160" t="s">
        <v>8588</v>
      </c>
      <c r="I2411" s="160" t="s">
        <v>511</v>
      </c>
      <c r="J2411" s="159" t="s">
        <v>11493</v>
      </c>
      <c r="K2411" s="301" t="s">
        <v>11494</v>
      </c>
      <c r="L2411" s="158"/>
      <c r="M2411" s="298" t="s">
        <v>365</v>
      </c>
      <c r="N2411" s="308" t="s">
        <v>406</v>
      </c>
      <c r="O2411" s="162"/>
      <c r="P2411" s="161">
        <f>2950000*12</f>
        <v>35400000</v>
      </c>
      <c r="Q2411" s="161"/>
      <c r="R2411" s="162"/>
      <c r="S2411" s="211"/>
      <c r="T2411" s="213">
        <v>0.1</v>
      </c>
      <c r="U2411" s="344">
        <v>45067</v>
      </c>
      <c r="V2411" s="340">
        <v>45432</v>
      </c>
      <c r="W2411" s="158" t="s">
        <v>250</v>
      </c>
      <c r="X2411" s="158"/>
      <c r="Y2411" s="164">
        <f t="shared" ca="1" si="160"/>
        <v>46290</v>
      </c>
      <c r="Z2411" s="207">
        <f t="shared" ca="1" si="161"/>
        <v>-858</v>
      </c>
      <c r="AA2411" s="158">
        <f t="shared" si="162"/>
        <v>5</v>
      </c>
      <c r="AB2411" s="158">
        <f t="shared" si="159"/>
        <v>2024</v>
      </c>
      <c r="AC2411" s="159"/>
      <c r="AD2411" s="159"/>
      <c r="AE2411" s="158"/>
      <c r="AF2411" s="158" t="s">
        <v>356</v>
      </c>
      <c r="AG2411" s="160"/>
      <c r="AH2411" s="160"/>
      <c r="AI2411" s="158"/>
      <c r="AJ2411" s="158"/>
      <c r="AK2411" s="158"/>
      <c r="AL2411" s="158"/>
      <c r="AM2411" s="158"/>
      <c r="AN2411" s="158"/>
      <c r="AO2411" s="158"/>
      <c r="AP2411" s="158"/>
      <c r="AQ2411" s="158"/>
      <c r="AR2411" s="507"/>
      <c r="AS2411" s="475"/>
      <c r="AT2411" s="160"/>
    </row>
    <row r="2412" spans="1:46" ht="15" hidden="1" customHeight="1">
      <c r="A2412" s="331">
        <v>2411</v>
      </c>
      <c r="B2412" s="209" t="s">
        <v>11442</v>
      </c>
      <c r="C2412" s="309" t="s">
        <v>11495</v>
      </c>
      <c r="D2412" s="447" t="s">
        <v>9866</v>
      </c>
      <c r="E2412" s="361" t="str">
        <f t="shared" ca="1" si="157"/>
        <v>LOSS</v>
      </c>
      <c r="F2412" s="160"/>
      <c r="G2412" s="310" t="s">
        <v>11496</v>
      </c>
      <c r="H2412" s="160" t="s">
        <v>8588</v>
      </c>
      <c r="I2412" s="160" t="s">
        <v>511</v>
      </c>
      <c r="J2412" s="159" t="s">
        <v>11497</v>
      </c>
      <c r="K2412" s="310" t="s">
        <v>11498</v>
      </c>
      <c r="L2412" s="158"/>
      <c r="M2412" s="311" t="s">
        <v>353</v>
      </c>
      <c r="N2412" s="311"/>
      <c r="O2412" s="162"/>
      <c r="P2412" s="161">
        <f>10000000*12</f>
        <v>120000000</v>
      </c>
      <c r="Q2412" s="161"/>
      <c r="R2412" s="162"/>
      <c r="S2412" s="211"/>
      <c r="T2412" s="213">
        <v>0.1</v>
      </c>
      <c r="U2412" s="344">
        <v>45067</v>
      </c>
      <c r="V2412" s="340">
        <v>45432</v>
      </c>
      <c r="W2412" s="158" t="s">
        <v>250</v>
      </c>
      <c r="X2412" s="158"/>
      <c r="Y2412" s="164">
        <f t="shared" ca="1" si="160"/>
        <v>46290</v>
      </c>
      <c r="Z2412" s="207">
        <f t="shared" ca="1" si="161"/>
        <v>-858</v>
      </c>
      <c r="AA2412" s="158">
        <f t="shared" si="162"/>
        <v>5</v>
      </c>
      <c r="AB2412" s="158">
        <f t="shared" si="159"/>
        <v>2024</v>
      </c>
      <c r="AC2412" s="159"/>
      <c r="AD2412" s="159"/>
      <c r="AE2412" s="158"/>
      <c r="AF2412" s="158" t="s">
        <v>356</v>
      </c>
      <c r="AG2412" s="160"/>
      <c r="AH2412" s="160"/>
      <c r="AI2412" s="158"/>
      <c r="AJ2412" s="158"/>
      <c r="AK2412" s="158"/>
      <c r="AL2412" s="158"/>
      <c r="AM2412" s="158"/>
      <c r="AN2412" s="158"/>
      <c r="AO2412" s="158"/>
      <c r="AP2412" s="158"/>
      <c r="AQ2412" s="158"/>
      <c r="AR2412" s="507"/>
      <c r="AS2412" s="475"/>
      <c r="AT2412" s="160"/>
    </row>
    <row r="2413" spans="1:46" ht="15" hidden="1" customHeight="1">
      <c r="A2413" s="331">
        <v>2412</v>
      </c>
      <c r="B2413" s="209" t="s">
        <v>11442</v>
      </c>
      <c r="C2413" s="307" t="s">
        <v>11491</v>
      </c>
      <c r="D2413" s="447" t="s">
        <v>9866</v>
      </c>
      <c r="E2413" s="361" t="str">
        <f t="shared" ca="1" si="157"/>
        <v>LOSS</v>
      </c>
      <c r="F2413" s="160"/>
      <c r="G2413" s="301" t="s">
        <v>11499</v>
      </c>
      <c r="H2413" s="160" t="s">
        <v>8588</v>
      </c>
      <c r="I2413" s="160" t="s">
        <v>511</v>
      </c>
      <c r="J2413" s="159" t="s">
        <v>11500</v>
      </c>
      <c r="K2413" s="301" t="s">
        <v>11501</v>
      </c>
      <c r="L2413" s="158"/>
      <c r="M2413" s="308" t="s">
        <v>365</v>
      </c>
      <c r="N2413" s="308"/>
      <c r="O2413" s="162"/>
      <c r="P2413" s="161">
        <f>4725000*12</f>
        <v>56700000</v>
      </c>
      <c r="Q2413" s="161"/>
      <c r="R2413" s="162"/>
      <c r="S2413" s="211"/>
      <c r="T2413" s="213">
        <v>0.1</v>
      </c>
      <c r="U2413" s="344">
        <v>45067</v>
      </c>
      <c r="V2413" s="340">
        <v>45432</v>
      </c>
      <c r="W2413" s="158" t="s">
        <v>250</v>
      </c>
      <c r="X2413" s="158"/>
      <c r="Y2413" s="164">
        <f t="shared" ca="1" si="160"/>
        <v>46290</v>
      </c>
      <c r="Z2413" s="207">
        <f t="shared" ca="1" si="161"/>
        <v>-858</v>
      </c>
      <c r="AA2413" s="158">
        <f t="shared" si="162"/>
        <v>5</v>
      </c>
      <c r="AB2413" s="158">
        <f t="shared" si="159"/>
        <v>2024</v>
      </c>
      <c r="AC2413" s="159"/>
      <c r="AD2413" s="159"/>
      <c r="AE2413" s="158"/>
      <c r="AF2413" s="158" t="s">
        <v>356</v>
      </c>
      <c r="AG2413" s="160"/>
      <c r="AH2413" s="160"/>
      <c r="AI2413" s="158"/>
      <c r="AJ2413" s="158"/>
      <c r="AK2413" s="158"/>
      <c r="AL2413" s="158"/>
      <c r="AM2413" s="158"/>
      <c r="AN2413" s="158"/>
      <c r="AO2413" s="158"/>
      <c r="AP2413" s="158"/>
      <c r="AQ2413" s="158"/>
      <c r="AR2413" s="507"/>
      <c r="AS2413" s="475"/>
      <c r="AT2413" s="160"/>
    </row>
    <row r="2414" spans="1:46" ht="15" hidden="1" customHeight="1">
      <c r="A2414" s="331">
        <v>2413</v>
      </c>
      <c r="B2414" s="209" t="s">
        <v>11442</v>
      </c>
      <c r="C2414" s="301" t="s">
        <v>11502</v>
      </c>
      <c r="D2414" s="447" t="s">
        <v>9866</v>
      </c>
      <c r="E2414" s="361" t="str">
        <f t="shared" ca="1" si="157"/>
        <v>LOSS</v>
      </c>
      <c r="F2414" s="160"/>
      <c r="G2414" s="301" t="s">
        <v>11503</v>
      </c>
      <c r="H2414" s="160" t="s">
        <v>8588</v>
      </c>
      <c r="I2414" s="160" t="s">
        <v>511</v>
      </c>
      <c r="J2414" s="159" t="s">
        <v>11504</v>
      </c>
      <c r="K2414" s="301" t="s">
        <v>11505</v>
      </c>
      <c r="L2414" s="158"/>
      <c r="M2414" s="298" t="s">
        <v>353</v>
      </c>
      <c r="N2414" s="308" t="s">
        <v>11506</v>
      </c>
      <c r="O2414" s="162"/>
      <c r="P2414" s="161">
        <f>7900000*12</f>
        <v>94800000</v>
      </c>
      <c r="Q2414" s="161"/>
      <c r="R2414" s="162"/>
      <c r="S2414" s="211"/>
      <c r="T2414" s="213">
        <v>0.1</v>
      </c>
      <c r="U2414" s="344">
        <v>45067</v>
      </c>
      <c r="V2414" s="340">
        <v>45432</v>
      </c>
      <c r="W2414" s="158" t="s">
        <v>250</v>
      </c>
      <c r="X2414" s="158"/>
      <c r="Y2414" s="164">
        <f t="shared" ca="1" si="160"/>
        <v>46290</v>
      </c>
      <c r="Z2414" s="207">
        <f t="shared" ca="1" si="161"/>
        <v>-858</v>
      </c>
      <c r="AA2414" s="158">
        <f t="shared" si="162"/>
        <v>5</v>
      </c>
      <c r="AB2414" s="158">
        <f t="shared" si="159"/>
        <v>2024</v>
      </c>
      <c r="AC2414" s="159"/>
      <c r="AD2414" s="159"/>
      <c r="AE2414" s="158"/>
      <c r="AF2414" s="158" t="s">
        <v>356</v>
      </c>
      <c r="AG2414" s="160"/>
      <c r="AH2414" s="160"/>
      <c r="AI2414" s="158"/>
      <c r="AJ2414" s="158"/>
      <c r="AK2414" s="158"/>
      <c r="AL2414" s="158"/>
      <c r="AM2414" s="158"/>
      <c r="AN2414" s="158"/>
      <c r="AO2414" s="158"/>
      <c r="AP2414" s="158"/>
      <c r="AQ2414" s="158"/>
      <c r="AR2414" s="507"/>
      <c r="AS2414" s="475"/>
      <c r="AT2414" s="160"/>
    </row>
    <row r="2415" spans="1:46" ht="15" hidden="1" customHeight="1">
      <c r="A2415" s="331">
        <v>2414</v>
      </c>
      <c r="B2415" s="209" t="s">
        <v>11442</v>
      </c>
      <c r="C2415" s="307" t="s">
        <v>11507</v>
      </c>
      <c r="D2415" s="447" t="s">
        <v>9866</v>
      </c>
      <c r="E2415" s="361" t="str">
        <f t="shared" ca="1" si="157"/>
        <v>LOSS</v>
      </c>
      <c r="F2415" s="160"/>
      <c r="G2415" s="301" t="s">
        <v>11508</v>
      </c>
      <c r="H2415" s="160" t="s">
        <v>8588</v>
      </c>
      <c r="I2415" s="160" t="s">
        <v>511</v>
      </c>
      <c r="J2415" s="159" t="s">
        <v>11509</v>
      </c>
      <c r="K2415" s="301" t="s">
        <v>11510</v>
      </c>
      <c r="L2415" s="158"/>
      <c r="M2415" s="208" t="s">
        <v>11511</v>
      </c>
      <c r="N2415" s="308" t="s">
        <v>494</v>
      </c>
      <c r="O2415" s="162"/>
      <c r="P2415" s="161">
        <f>5500000*12</f>
        <v>66000000</v>
      </c>
      <c r="Q2415" s="161"/>
      <c r="R2415" s="162"/>
      <c r="S2415" s="211"/>
      <c r="T2415" s="213">
        <v>0.1</v>
      </c>
      <c r="U2415" s="344">
        <v>45067</v>
      </c>
      <c r="V2415" s="340">
        <v>45432</v>
      </c>
      <c r="W2415" s="158" t="s">
        <v>250</v>
      </c>
      <c r="X2415" s="158"/>
      <c r="Y2415" s="164">
        <f t="shared" ca="1" si="160"/>
        <v>46290</v>
      </c>
      <c r="Z2415" s="207">
        <f t="shared" ca="1" si="161"/>
        <v>-858</v>
      </c>
      <c r="AA2415" s="158">
        <f t="shared" si="162"/>
        <v>5</v>
      </c>
      <c r="AB2415" s="158">
        <f t="shared" si="159"/>
        <v>2024</v>
      </c>
      <c r="AC2415" s="159"/>
      <c r="AD2415" s="159"/>
      <c r="AE2415" s="158"/>
      <c r="AF2415" s="158" t="s">
        <v>356</v>
      </c>
      <c r="AG2415" s="160"/>
      <c r="AH2415" s="160"/>
      <c r="AI2415" s="158"/>
      <c r="AJ2415" s="158"/>
      <c r="AK2415" s="158"/>
      <c r="AL2415" s="158"/>
      <c r="AM2415" s="158"/>
      <c r="AN2415" s="158"/>
      <c r="AO2415" s="158"/>
      <c r="AP2415" s="158"/>
      <c r="AQ2415" s="158"/>
      <c r="AR2415" s="507"/>
      <c r="AS2415" s="475"/>
      <c r="AT2415" s="160"/>
    </row>
    <row r="2416" spans="1:46" ht="15" hidden="1" customHeight="1">
      <c r="A2416" s="331">
        <v>2415</v>
      </c>
      <c r="B2416" s="209" t="s">
        <v>11442</v>
      </c>
      <c r="C2416" s="307" t="s">
        <v>11512</v>
      </c>
      <c r="D2416" s="447" t="s">
        <v>9866</v>
      </c>
      <c r="E2416" s="361" t="str">
        <f t="shared" ca="1" si="157"/>
        <v>LOSS</v>
      </c>
      <c r="F2416" s="160"/>
      <c r="G2416" s="301" t="s">
        <v>11513</v>
      </c>
      <c r="H2416" s="160" t="s">
        <v>8588</v>
      </c>
      <c r="I2416" s="160" t="s">
        <v>511</v>
      </c>
      <c r="J2416" s="159" t="s">
        <v>11514</v>
      </c>
      <c r="K2416" s="301" t="s">
        <v>11515</v>
      </c>
      <c r="L2416" s="158"/>
      <c r="M2416" s="298" t="s">
        <v>365</v>
      </c>
      <c r="N2416" s="308" t="s">
        <v>494</v>
      </c>
      <c r="O2416" s="162"/>
      <c r="P2416" s="161">
        <f>4000000*12</f>
        <v>48000000</v>
      </c>
      <c r="Q2416" s="161"/>
      <c r="R2416" s="162"/>
      <c r="S2416" s="211"/>
      <c r="T2416" s="213">
        <v>0.1</v>
      </c>
      <c r="U2416" s="344">
        <v>45067</v>
      </c>
      <c r="V2416" s="340">
        <v>45432</v>
      </c>
      <c r="W2416" s="158" t="s">
        <v>250</v>
      </c>
      <c r="X2416" s="158"/>
      <c r="Y2416" s="164">
        <f t="shared" ca="1" si="160"/>
        <v>46290</v>
      </c>
      <c r="Z2416" s="207">
        <f t="shared" ca="1" si="161"/>
        <v>-858</v>
      </c>
      <c r="AA2416" s="158">
        <f t="shared" si="162"/>
        <v>5</v>
      </c>
      <c r="AB2416" s="158">
        <f t="shared" si="159"/>
        <v>2024</v>
      </c>
      <c r="AC2416" s="159"/>
      <c r="AD2416" s="159"/>
      <c r="AE2416" s="158"/>
      <c r="AF2416" s="158" t="s">
        <v>356</v>
      </c>
      <c r="AG2416" s="160"/>
      <c r="AH2416" s="160"/>
      <c r="AI2416" s="158"/>
      <c r="AJ2416" s="158"/>
      <c r="AK2416" s="158"/>
      <c r="AL2416" s="158"/>
      <c r="AM2416" s="158"/>
      <c r="AN2416" s="158"/>
      <c r="AO2416" s="158"/>
      <c r="AP2416" s="158"/>
      <c r="AQ2416" s="158"/>
      <c r="AR2416" s="507"/>
      <c r="AS2416" s="475"/>
      <c r="AT2416" s="160"/>
    </row>
    <row r="2417" spans="1:46" ht="15" hidden="1" customHeight="1">
      <c r="A2417" s="331">
        <v>2416</v>
      </c>
      <c r="B2417" s="209" t="s">
        <v>11442</v>
      </c>
      <c r="C2417" s="307" t="s">
        <v>11516</v>
      </c>
      <c r="D2417" s="447" t="s">
        <v>9866</v>
      </c>
      <c r="E2417" s="361" t="str">
        <f t="shared" ca="1" si="157"/>
        <v>LOSS</v>
      </c>
      <c r="F2417" s="160"/>
      <c r="G2417" s="301" t="s">
        <v>11517</v>
      </c>
      <c r="H2417" s="160" t="s">
        <v>8588</v>
      </c>
      <c r="I2417" s="160" t="s">
        <v>511</v>
      </c>
      <c r="J2417" s="159" t="s">
        <v>11518</v>
      </c>
      <c r="K2417" s="301" t="s">
        <v>11519</v>
      </c>
      <c r="L2417" s="158"/>
      <c r="M2417" s="298" t="s">
        <v>8709</v>
      </c>
      <c r="N2417" s="308" t="s">
        <v>11506</v>
      </c>
      <c r="O2417" s="162"/>
      <c r="P2417" s="161">
        <f>4000000*12</f>
        <v>48000000</v>
      </c>
      <c r="Q2417" s="161"/>
      <c r="R2417" s="162"/>
      <c r="S2417" s="211"/>
      <c r="T2417" s="213">
        <v>0.1</v>
      </c>
      <c r="U2417" s="344">
        <v>45067</v>
      </c>
      <c r="V2417" s="340">
        <v>45432</v>
      </c>
      <c r="W2417" s="158" t="s">
        <v>250</v>
      </c>
      <c r="X2417" s="158"/>
      <c r="Y2417" s="164">
        <f t="shared" ca="1" si="160"/>
        <v>46290</v>
      </c>
      <c r="Z2417" s="207">
        <f t="shared" ca="1" si="161"/>
        <v>-858</v>
      </c>
      <c r="AA2417" s="158">
        <f t="shared" si="162"/>
        <v>5</v>
      </c>
      <c r="AB2417" s="158">
        <f t="shared" si="159"/>
        <v>2024</v>
      </c>
      <c r="AC2417" s="159"/>
      <c r="AD2417" s="159"/>
      <c r="AE2417" s="158"/>
      <c r="AF2417" s="158" t="s">
        <v>356</v>
      </c>
      <c r="AG2417" s="160"/>
      <c r="AH2417" s="160"/>
      <c r="AI2417" s="158"/>
      <c r="AJ2417" s="158"/>
      <c r="AK2417" s="158"/>
      <c r="AL2417" s="158"/>
      <c r="AM2417" s="158"/>
      <c r="AN2417" s="158"/>
      <c r="AO2417" s="158"/>
      <c r="AP2417" s="158"/>
      <c r="AQ2417" s="158"/>
      <c r="AR2417" s="507"/>
      <c r="AS2417" s="475"/>
      <c r="AT2417" s="160"/>
    </row>
    <row r="2418" spans="1:46" ht="15" hidden="1" customHeight="1">
      <c r="A2418" s="331">
        <v>2417</v>
      </c>
      <c r="B2418" s="209" t="s">
        <v>11442</v>
      </c>
      <c r="C2418" s="307" t="s">
        <v>11520</v>
      </c>
      <c r="D2418" s="447" t="s">
        <v>9866</v>
      </c>
      <c r="E2418" s="361" t="str">
        <f t="shared" ca="1" si="157"/>
        <v>LOSS</v>
      </c>
      <c r="F2418" s="160"/>
      <c r="G2418" s="301" t="s">
        <v>11521</v>
      </c>
      <c r="H2418" s="160" t="s">
        <v>8588</v>
      </c>
      <c r="I2418" s="160" t="s">
        <v>511</v>
      </c>
      <c r="J2418" s="159"/>
      <c r="K2418" s="301" t="s">
        <v>11522</v>
      </c>
      <c r="L2418" s="158"/>
      <c r="M2418" s="298" t="s">
        <v>365</v>
      </c>
      <c r="N2418" s="308" t="s">
        <v>8337</v>
      </c>
      <c r="O2418" s="162"/>
      <c r="P2418" s="161">
        <f>29000000*12</f>
        <v>348000000</v>
      </c>
      <c r="Q2418" s="161"/>
      <c r="R2418" s="162"/>
      <c r="S2418" s="211"/>
      <c r="T2418" s="213">
        <v>0.1</v>
      </c>
      <c r="U2418" s="344">
        <v>45067</v>
      </c>
      <c r="V2418" s="340">
        <v>45432</v>
      </c>
      <c r="W2418" s="158" t="s">
        <v>250</v>
      </c>
      <c r="X2418" s="158"/>
      <c r="Y2418" s="164">
        <f t="shared" ca="1" si="160"/>
        <v>46290</v>
      </c>
      <c r="Z2418" s="207">
        <f t="shared" ca="1" si="161"/>
        <v>-858</v>
      </c>
      <c r="AA2418" s="158">
        <f t="shared" si="162"/>
        <v>5</v>
      </c>
      <c r="AB2418" s="158">
        <f t="shared" si="159"/>
        <v>2024</v>
      </c>
      <c r="AC2418" s="159"/>
      <c r="AD2418" s="159"/>
      <c r="AE2418" s="158"/>
      <c r="AF2418" s="158" t="s">
        <v>356</v>
      </c>
      <c r="AG2418" s="160"/>
      <c r="AH2418" s="160"/>
      <c r="AI2418" s="158"/>
      <c r="AJ2418" s="158"/>
      <c r="AK2418" s="158"/>
      <c r="AL2418" s="158"/>
      <c r="AM2418" s="158"/>
      <c r="AN2418" s="158"/>
      <c r="AO2418" s="158"/>
      <c r="AP2418" s="158"/>
      <c r="AQ2418" s="158"/>
      <c r="AR2418" s="507"/>
      <c r="AS2418" s="475"/>
      <c r="AT2418" s="160"/>
    </row>
    <row r="2419" spans="1:46" ht="15" hidden="1" customHeight="1">
      <c r="A2419" s="331">
        <v>2418</v>
      </c>
      <c r="B2419" s="209" t="s">
        <v>11442</v>
      </c>
      <c r="C2419" s="159" t="s">
        <v>11523</v>
      </c>
      <c r="D2419" s="447" t="s">
        <v>9866</v>
      </c>
      <c r="E2419" s="361" t="str">
        <f t="shared" ca="1" si="157"/>
        <v>LOSS</v>
      </c>
      <c r="F2419" s="301" t="s">
        <v>11441</v>
      </c>
      <c r="G2419" s="301" t="s">
        <v>11524</v>
      </c>
      <c r="H2419" s="160" t="s">
        <v>8588</v>
      </c>
      <c r="I2419" s="160" t="s">
        <v>511</v>
      </c>
      <c r="J2419" s="159"/>
      <c r="K2419" s="301" t="s">
        <v>11525</v>
      </c>
      <c r="L2419" s="158"/>
      <c r="M2419" s="308" t="s">
        <v>7267</v>
      </c>
      <c r="N2419" s="298" t="s">
        <v>494</v>
      </c>
      <c r="O2419" s="162"/>
      <c r="P2419" s="161">
        <f>2500000*12</f>
        <v>30000000</v>
      </c>
      <c r="Q2419" s="161"/>
      <c r="R2419" s="162"/>
      <c r="S2419" s="163"/>
      <c r="T2419" s="213">
        <v>0.1</v>
      </c>
      <c r="U2419" s="344">
        <v>45067</v>
      </c>
      <c r="V2419" s="340">
        <v>45432</v>
      </c>
      <c r="W2419" s="158" t="s">
        <v>250</v>
      </c>
      <c r="X2419" s="158"/>
      <c r="Y2419" s="164">
        <f t="shared" ca="1" si="160"/>
        <v>46290</v>
      </c>
      <c r="Z2419" s="207">
        <f t="shared" ca="1" si="161"/>
        <v>-858</v>
      </c>
      <c r="AA2419" s="158">
        <f t="shared" si="162"/>
        <v>5</v>
      </c>
      <c r="AB2419" s="158">
        <f t="shared" si="159"/>
        <v>2024</v>
      </c>
      <c r="AC2419" s="159"/>
      <c r="AD2419" s="159"/>
      <c r="AE2419" s="184"/>
      <c r="AF2419" s="158" t="s">
        <v>356</v>
      </c>
      <c r="AG2419" s="160"/>
      <c r="AH2419" s="160"/>
      <c r="AI2419" s="158"/>
      <c r="AJ2419" s="158"/>
      <c r="AK2419" s="158"/>
      <c r="AL2419" s="158"/>
      <c r="AM2419" s="158"/>
      <c r="AN2419" s="158"/>
      <c r="AO2419" s="158"/>
      <c r="AP2419" s="158"/>
      <c r="AQ2419" s="158"/>
      <c r="AR2419" s="507"/>
      <c r="AS2419" s="475"/>
      <c r="AT2419" s="160"/>
    </row>
    <row r="2420" spans="1:46" ht="15" hidden="1" customHeight="1">
      <c r="A2420" s="331">
        <v>2419</v>
      </c>
      <c r="B2420" s="209" t="s">
        <v>11442</v>
      </c>
      <c r="C2420" s="159" t="s">
        <v>11526</v>
      </c>
      <c r="D2420" s="447" t="s">
        <v>9866</v>
      </c>
      <c r="E2420" s="361" t="str">
        <f t="shared" ca="1" si="157"/>
        <v>LOSS</v>
      </c>
      <c r="F2420" s="301" t="s">
        <v>11527</v>
      </c>
      <c r="G2420" s="301" t="s">
        <v>11528</v>
      </c>
      <c r="H2420" s="160" t="s">
        <v>8588</v>
      </c>
      <c r="I2420" s="160" t="s">
        <v>511</v>
      </c>
      <c r="J2420" s="159"/>
      <c r="K2420" s="301" t="s">
        <v>11529</v>
      </c>
      <c r="L2420" s="158"/>
      <c r="M2420" s="308" t="s">
        <v>7267</v>
      </c>
      <c r="N2420" s="298" t="s">
        <v>7088</v>
      </c>
      <c r="O2420" s="162"/>
      <c r="P2420" s="161">
        <f>33000000*12</f>
        <v>396000000</v>
      </c>
      <c r="Q2420" s="161"/>
      <c r="R2420" s="162"/>
      <c r="S2420" s="163"/>
      <c r="T2420" s="213">
        <v>0.1</v>
      </c>
      <c r="U2420" s="344">
        <v>45067</v>
      </c>
      <c r="V2420" s="340">
        <v>45432</v>
      </c>
      <c r="W2420" s="158" t="s">
        <v>250</v>
      </c>
      <c r="X2420" s="158"/>
      <c r="Y2420" s="164">
        <f t="shared" ca="1" si="160"/>
        <v>46290</v>
      </c>
      <c r="Z2420" s="207">
        <f t="shared" ca="1" si="161"/>
        <v>-858</v>
      </c>
      <c r="AA2420" s="158">
        <f t="shared" si="162"/>
        <v>5</v>
      </c>
      <c r="AB2420" s="158">
        <f t="shared" si="159"/>
        <v>2024</v>
      </c>
      <c r="AC2420" s="159"/>
      <c r="AD2420" s="159"/>
      <c r="AE2420" s="184"/>
      <c r="AF2420" s="158" t="s">
        <v>356</v>
      </c>
      <c r="AG2420" s="160"/>
      <c r="AH2420" s="160"/>
      <c r="AI2420" s="158"/>
      <c r="AJ2420" s="158"/>
      <c r="AK2420" s="158"/>
      <c r="AL2420" s="158"/>
      <c r="AM2420" s="158"/>
      <c r="AN2420" s="158"/>
      <c r="AO2420" s="158"/>
      <c r="AP2420" s="158"/>
      <c r="AQ2420" s="158"/>
      <c r="AR2420" s="507"/>
      <c r="AS2420" s="475"/>
      <c r="AT2420" s="160"/>
    </row>
    <row r="2421" spans="1:46" ht="15" hidden="1" customHeight="1">
      <c r="A2421" s="331">
        <v>2420</v>
      </c>
      <c r="B2421" s="209" t="s">
        <v>11442</v>
      </c>
      <c r="C2421" s="159" t="s">
        <v>3765</v>
      </c>
      <c r="D2421" s="447" t="s">
        <v>9866</v>
      </c>
      <c r="E2421" s="361" t="str">
        <f t="shared" ca="1" si="157"/>
        <v>LOSS</v>
      </c>
      <c r="F2421" s="301" t="s">
        <v>10996</v>
      </c>
      <c r="G2421" s="301" t="s">
        <v>11530</v>
      </c>
      <c r="H2421" s="160" t="s">
        <v>8588</v>
      </c>
      <c r="I2421" s="160" t="s">
        <v>511</v>
      </c>
      <c r="J2421" s="159"/>
      <c r="K2421" s="312" t="s">
        <v>11531</v>
      </c>
      <c r="L2421" s="158"/>
      <c r="M2421" s="308" t="s">
        <v>7267</v>
      </c>
      <c r="N2421" s="298" t="s">
        <v>6649</v>
      </c>
      <c r="O2421" s="162"/>
      <c r="P2421" s="161">
        <f>5400000*12</f>
        <v>64800000</v>
      </c>
      <c r="Q2421" s="161"/>
      <c r="R2421" s="162"/>
      <c r="S2421" s="163"/>
      <c r="T2421" s="213">
        <v>0.1</v>
      </c>
      <c r="U2421" s="344">
        <v>45067</v>
      </c>
      <c r="V2421" s="340">
        <v>45432</v>
      </c>
      <c r="W2421" s="158" t="s">
        <v>250</v>
      </c>
      <c r="X2421" s="158"/>
      <c r="Y2421" s="164">
        <f t="shared" ca="1" si="160"/>
        <v>46290</v>
      </c>
      <c r="Z2421" s="207">
        <f t="shared" ca="1" si="161"/>
        <v>-858</v>
      </c>
      <c r="AA2421" s="158">
        <f t="shared" si="162"/>
        <v>5</v>
      </c>
      <c r="AB2421" s="158">
        <f t="shared" si="159"/>
        <v>2024</v>
      </c>
      <c r="AC2421" s="159"/>
      <c r="AD2421" s="159"/>
      <c r="AE2421" s="184"/>
      <c r="AF2421" s="158" t="s">
        <v>356</v>
      </c>
      <c r="AG2421" s="160"/>
      <c r="AH2421" s="160"/>
      <c r="AI2421" s="158"/>
      <c r="AJ2421" s="158"/>
      <c r="AK2421" s="158"/>
      <c r="AL2421" s="158"/>
      <c r="AM2421" s="158"/>
      <c r="AN2421" s="158"/>
      <c r="AO2421" s="158"/>
      <c r="AP2421" s="158"/>
      <c r="AQ2421" s="158"/>
      <c r="AR2421" s="507"/>
      <c r="AS2421" s="475"/>
      <c r="AT2421" s="160"/>
    </row>
    <row r="2422" spans="1:46" ht="15" hidden="1" customHeight="1">
      <c r="A2422" s="331">
        <v>2421</v>
      </c>
      <c r="B2422" s="209" t="s">
        <v>11442</v>
      </c>
      <c r="C2422" s="159" t="s">
        <v>3765</v>
      </c>
      <c r="D2422" s="447" t="s">
        <v>9866</v>
      </c>
      <c r="E2422" s="361" t="str">
        <f t="shared" ca="1" si="157"/>
        <v>LOSS</v>
      </c>
      <c r="F2422" s="301" t="s">
        <v>10996</v>
      </c>
      <c r="G2422" s="301" t="s">
        <v>11532</v>
      </c>
      <c r="H2422" s="160" t="s">
        <v>8588</v>
      </c>
      <c r="I2422" s="160" t="s">
        <v>511</v>
      </c>
      <c r="J2422" s="159"/>
      <c r="K2422" s="312" t="s">
        <v>11533</v>
      </c>
      <c r="L2422" s="158"/>
      <c r="M2422" s="308" t="s">
        <v>11534</v>
      </c>
      <c r="N2422" s="298" t="s">
        <v>494</v>
      </c>
      <c r="O2422" s="162"/>
      <c r="P2422" s="161">
        <f>6412500*12</f>
        <v>76950000</v>
      </c>
      <c r="Q2422" s="161"/>
      <c r="R2422" s="162"/>
      <c r="S2422" s="163"/>
      <c r="T2422" s="213">
        <v>0.1</v>
      </c>
      <c r="U2422" s="344">
        <v>45067</v>
      </c>
      <c r="V2422" s="340">
        <v>45432</v>
      </c>
      <c r="W2422" s="158" t="s">
        <v>250</v>
      </c>
      <c r="X2422" s="158"/>
      <c r="Y2422" s="164">
        <f t="shared" ca="1" si="160"/>
        <v>46290</v>
      </c>
      <c r="Z2422" s="207">
        <f t="shared" ca="1" si="161"/>
        <v>-858</v>
      </c>
      <c r="AA2422" s="158">
        <f t="shared" si="162"/>
        <v>5</v>
      </c>
      <c r="AB2422" s="158">
        <f t="shared" si="159"/>
        <v>2024</v>
      </c>
      <c r="AC2422" s="159"/>
      <c r="AD2422" s="159"/>
      <c r="AE2422" s="184"/>
      <c r="AF2422" s="158" t="s">
        <v>356</v>
      </c>
      <c r="AG2422" s="160"/>
      <c r="AH2422" s="160"/>
      <c r="AI2422" s="158"/>
      <c r="AJ2422" s="158"/>
      <c r="AK2422" s="158"/>
      <c r="AL2422" s="158"/>
      <c r="AM2422" s="158"/>
      <c r="AN2422" s="158"/>
      <c r="AO2422" s="158"/>
      <c r="AP2422" s="158"/>
      <c r="AQ2422" s="158"/>
      <c r="AR2422" s="507"/>
      <c r="AS2422" s="475"/>
      <c r="AT2422" s="160"/>
    </row>
    <row r="2423" spans="1:46" ht="15" hidden="1" customHeight="1">
      <c r="A2423" s="331">
        <v>2422</v>
      </c>
      <c r="B2423" s="209" t="s">
        <v>11442</v>
      </c>
      <c r="C2423" s="159" t="s">
        <v>11535</v>
      </c>
      <c r="D2423" s="447" t="s">
        <v>9866</v>
      </c>
      <c r="E2423" s="361" t="str">
        <f t="shared" ca="1" si="157"/>
        <v>LOSS</v>
      </c>
      <c r="F2423" s="301" t="s">
        <v>11441</v>
      </c>
      <c r="G2423" s="301" t="s">
        <v>11536</v>
      </c>
      <c r="H2423" s="160" t="s">
        <v>8588</v>
      </c>
      <c r="I2423" s="160" t="s">
        <v>511</v>
      </c>
      <c r="J2423" s="159"/>
      <c r="K2423" s="312" t="s">
        <v>11537</v>
      </c>
      <c r="L2423" s="158"/>
      <c r="M2423" s="308" t="s">
        <v>7267</v>
      </c>
      <c r="N2423" s="298" t="s">
        <v>6949</v>
      </c>
      <c r="O2423" s="162"/>
      <c r="P2423" s="161">
        <f>5300000*12</f>
        <v>63600000</v>
      </c>
      <c r="Q2423" s="161"/>
      <c r="R2423" s="162"/>
      <c r="S2423" s="163"/>
      <c r="T2423" s="213">
        <v>0.1</v>
      </c>
      <c r="U2423" s="344">
        <v>45067</v>
      </c>
      <c r="V2423" s="340">
        <v>45432</v>
      </c>
      <c r="W2423" s="158" t="s">
        <v>250</v>
      </c>
      <c r="X2423" s="158"/>
      <c r="Y2423" s="164">
        <f t="shared" ca="1" si="160"/>
        <v>46290</v>
      </c>
      <c r="Z2423" s="207">
        <f t="shared" ca="1" si="161"/>
        <v>-858</v>
      </c>
      <c r="AA2423" s="158">
        <f t="shared" si="162"/>
        <v>5</v>
      </c>
      <c r="AB2423" s="158">
        <f t="shared" si="159"/>
        <v>2024</v>
      </c>
      <c r="AC2423" s="159"/>
      <c r="AD2423" s="159"/>
      <c r="AE2423" s="184"/>
      <c r="AF2423" s="158" t="s">
        <v>356</v>
      </c>
      <c r="AG2423" s="160"/>
      <c r="AH2423" s="160"/>
      <c r="AI2423" s="158"/>
      <c r="AJ2423" s="158"/>
      <c r="AK2423" s="158"/>
      <c r="AL2423" s="158"/>
      <c r="AM2423" s="158"/>
      <c r="AN2423" s="158"/>
      <c r="AO2423" s="158"/>
      <c r="AP2423" s="158"/>
      <c r="AQ2423" s="158"/>
      <c r="AR2423" s="507"/>
      <c r="AS2423" s="475"/>
      <c r="AT2423" s="160"/>
    </row>
    <row r="2424" spans="1:46" ht="15" hidden="1" customHeight="1">
      <c r="A2424" s="331">
        <v>2423</v>
      </c>
      <c r="B2424" s="209" t="s">
        <v>11442</v>
      </c>
      <c r="C2424" s="159" t="s">
        <v>11538</v>
      </c>
      <c r="D2424" s="447" t="s">
        <v>9866</v>
      </c>
      <c r="E2424" s="361" t="str">
        <f t="shared" ca="1" si="157"/>
        <v>LOSS</v>
      </c>
      <c r="F2424" s="301" t="s">
        <v>11441</v>
      </c>
      <c r="G2424" s="301" t="s">
        <v>11539</v>
      </c>
      <c r="H2424" s="160" t="s">
        <v>8588</v>
      </c>
      <c r="I2424" s="160" t="s">
        <v>511</v>
      </c>
      <c r="J2424" s="159"/>
      <c r="K2424" s="312" t="s">
        <v>11540</v>
      </c>
      <c r="L2424" s="158"/>
      <c r="M2424" s="308" t="s">
        <v>11541</v>
      </c>
      <c r="N2424" s="298" t="s">
        <v>494</v>
      </c>
      <c r="O2424" s="162"/>
      <c r="P2424" s="161">
        <f>6000000*12</f>
        <v>72000000</v>
      </c>
      <c r="Q2424" s="161"/>
      <c r="R2424" s="162"/>
      <c r="S2424" s="163"/>
      <c r="T2424" s="213">
        <v>0.1</v>
      </c>
      <c r="U2424" s="344">
        <v>45067</v>
      </c>
      <c r="V2424" s="340">
        <v>45432</v>
      </c>
      <c r="W2424" s="158" t="s">
        <v>250</v>
      </c>
      <c r="X2424" s="158"/>
      <c r="Y2424" s="164">
        <f t="shared" ca="1" si="160"/>
        <v>46290</v>
      </c>
      <c r="Z2424" s="207">
        <f t="shared" ca="1" si="161"/>
        <v>-858</v>
      </c>
      <c r="AA2424" s="158">
        <f t="shared" si="162"/>
        <v>5</v>
      </c>
      <c r="AB2424" s="158">
        <f t="shared" si="159"/>
        <v>2024</v>
      </c>
      <c r="AC2424" s="159"/>
      <c r="AD2424" s="159"/>
      <c r="AE2424" s="184"/>
      <c r="AF2424" s="158" t="s">
        <v>356</v>
      </c>
      <c r="AG2424" s="160"/>
      <c r="AH2424" s="160"/>
      <c r="AI2424" s="158"/>
      <c r="AJ2424" s="158"/>
      <c r="AK2424" s="158"/>
      <c r="AL2424" s="158"/>
      <c r="AM2424" s="158"/>
      <c r="AN2424" s="158"/>
      <c r="AO2424" s="158"/>
      <c r="AP2424" s="158"/>
      <c r="AQ2424" s="158"/>
      <c r="AR2424" s="507"/>
      <c r="AS2424" s="475"/>
      <c r="AT2424" s="160"/>
    </row>
    <row r="2425" spans="1:46" ht="15" hidden="1" customHeight="1">
      <c r="A2425" s="331">
        <v>2424</v>
      </c>
      <c r="B2425" s="209" t="s">
        <v>11442</v>
      </c>
      <c r="C2425" s="159" t="s">
        <v>11542</v>
      </c>
      <c r="D2425" s="447" t="s">
        <v>9866</v>
      </c>
      <c r="E2425" s="361" t="str">
        <f t="shared" ca="1" si="157"/>
        <v>LOSS</v>
      </c>
      <c r="F2425" s="307" t="s">
        <v>11441</v>
      </c>
      <c r="G2425" s="301" t="s">
        <v>11543</v>
      </c>
      <c r="H2425" s="160" t="s">
        <v>8588</v>
      </c>
      <c r="I2425" s="160" t="s">
        <v>511</v>
      </c>
      <c r="J2425" s="159"/>
      <c r="K2425" s="312" t="s">
        <v>11544</v>
      </c>
      <c r="L2425" s="158"/>
      <c r="M2425" s="308" t="s">
        <v>6788</v>
      </c>
      <c r="N2425" s="298" t="s">
        <v>6835</v>
      </c>
      <c r="O2425" s="162"/>
      <c r="P2425" s="161">
        <f>1620750*12</f>
        <v>19449000</v>
      </c>
      <c r="Q2425" s="161"/>
      <c r="R2425" s="162"/>
      <c r="S2425" s="163"/>
      <c r="T2425" s="213">
        <v>0.1</v>
      </c>
      <c r="U2425" s="344">
        <v>45067</v>
      </c>
      <c r="V2425" s="340">
        <v>45432</v>
      </c>
      <c r="W2425" s="158" t="s">
        <v>250</v>
      </c>
      <c r="X2425" s="158"/>
      <c r="Y2425" s="164">
        <f t="shared" ca="1" si="160"/>
        <v>46290</v>
      </c>
      <c r="Z2425" s="207">
        <f t="shared" ca="1" si="161"/>
        <v>-858</v>
      </c>
      <c r="AA2425" s="158">
        <f t="shared" si="162"/>
        <v>5</v>
      </c>
      <c r="AB2425" s="158">
        <f t="shared" si="159"/>
        <v>2024</v>
      </c>
      <c r="AC2425" s="159"/>
      <c r="AD2425" s="159"/>
      <c r="AE2425" s="184"/>
      <c r="AF2425" s="158" t="s">
        <v>356</v>
      </c>
      <c r="AG2425" s="160"/>
      <c r="AH2425" s="160"/>
      <c r="AI2425" s="158"/>
      <c r="AJ2425" s="158"/>
      <c r="AK2425" s="158"/>
      <c r="AL2425" s="158"/>
      <c r="AM2425" s="158"/>
      <c r="AN2425" s="158"/>
      <c r="AO2425" s="158"/>
      <c r="AP2425" s="158"/>
      <c r="AQ2425" s="158"/>
      <c r="AR2425" s="507"/>
      <c r="AS2425" s="475"/>
      <c r="AT2425" s="160"/>
    </row>
    <row r="2426" spans="1:46" ht="15" hidden="1" customHeight="1">
      <c r="A2426" s="331">
        <v>2425</v>
      </c>
      <c r="B2426" s="209" t="s">
        <v>11442</v>
      </c>
      <c r="C2426" s="159" t="s">
        <v>11545</v>
      </c>
      <c r="D2426" s="447" t="s">
        <v>9866</v>
      </c>
      <c r="E2426" s="361" t="str">
        <f t="shared" ca="1" si="157"/>
        <v>LOSS</v>
      </c>
      <c r="F2426" s="307" t="s">
        <v>11441</v>
      </c>
      <c r="G2426" s="301" t="s">
        <v>11546</v>
      </c>
      <c r="H2426" s="160" t="s">
        <v>8588</v>
      </c>
      <c r="I2426" s="160" t="s">
        <v>511</v>
      </c>
      <c r="J2426" s="159"/>
      <c r="K2426" s="301" t="s">
        <v>11547</v>
      </c>
      <c r="L2426" s="158"/>
      <c r="M2426" s="308" t="s">
        <v>7267</v>
      </c>
      <c r="N2426" s="298" t="s">
        <v>362</v>
      </c>
      <c r="O2426" s="162"/>
      <c r="P2426" s="161">
        <f>8000000*12</f>
        <v>96000000</v>
      </c>
      <c r="Q2426" s="161"/>
      <c r="R2426" s="162"/>
      <c r="S2426" s="163"/>
      <c r="T2426" s="213">
        <v>0.1</v>
      </c>
      <c r="U2426" s="344">
        <v>45067</v>
      </c>
      <c r="V2426" s="340">
        <v>45432</v>
      </c>
      <c r="W2426" s="158" t="s">
        <v>250</v>
      </c>
      <c r="X2426" s="158"/>
      <c r="Y2426" s="164">
        <f t="shared" ca="1" si="160"/>
        <v>46290</v>
      </c>
      <c r="Z2426" s="207">
        <f t="shared" ca="1" si="161"/>
        <v>-858</v>
      </c>
      <c r="AA2426" s="158">
        <f t="shared" si="162"/>
        <v>5</v>
      </c>
      <c r="AB2426" s="158">
        <f t="shared" si="159"/>
        <v>2024</v>
      </c>
      <c r="AC2426" s="159"/>
      <c r="AD2426" s="159"/>
      <c r="AE2426" s="184"/>
      <c r="AF2426" s="158" t="s">
        <v>356</v>
      </c>
      <c r="AG2426" s="160"/>
      <c r="AH2426" s="160"/>
      <c r="AI2426" s="158"/>
      <c r="AJ2426" s="158"/>
      <c r="AK2426" s="158"/>
      <c r="AL2426" s="158"/>
      <c r="AM2426" s="158"/>
      <c r="AN2426" s="158"/>
      <c r="AO2426" s="158"/>
      <c r="AP2426" s="158"/>
      <c r="AQ2426" s="158"/>
      <c r="AR2426" s="507"/>
      <c r="AS2426" s="475"/>
      <c r="AT2426" s="160"/>
    </row>
    <row r="2427" spans="1:46" ht="15" hidden="1" customHeight="1">
      <c r="A2427" s="331">
        <v>2426</v>
      </c>
      <c r="B2427" s="209" t="s">
        <v>11442</v>
      </c>
      <c r="C2427" s="159" t="s">
        <v>11548</v>
      </c>
      <c r="D2427" s="447" t="s">
        <v>9866</v>
      </c>
      <c r="E2427" s="361" t="str">
        <f t="shared" ca="1" si="157"/>
        <v>LOSS</v>
      </c>
      <c r="F2427" s="301" t="s">
        <v>11549</v>
      </c>
      <c r="G2427" s="301" t="s">
        <v>11550</v>
      </c>
      <c r="H2427" s="160" t="s">
        <v>8588</v>
      </c>
      <c r="I2427" s="160" t="s">
        <v>511</v>
      </c>
      <c r="J2427" s="159"/>
      <c r="K2427" s="312" t="s">
        <v>11551</v>
      </c>
      <c r="L2427" s="158"/>
      <c r="M2427" s="308" t="s">
        <v>11552</v>
      </c>
      <c r="N2427" s="298" t="s">
        <v>494</v>
      </c>
      <c r="O2427" s="162"/>
      <c r="P2427" s="161">
        <f>4850000*12</f>
        <v>58200000</v>
      </c>
      <c r="Q2427" s="161"/>
      <c r="R2427" s="162"/>
      <c r="S2427" s="163"/>
      <c r="T2427" s="213">
        <v>0.1</v>
      </c>
      <c r="U2427" s="344">
        <v>45067</v>
      </c>
      <c r="V2427" s="340">
        <v>45432</v>
      </c>
      <c r="W2427" s="158" t="s">
        <v>250</v>
      </c>
      <c r="X2427" s="158"/>
      <c r="Y2427" s="164">
        <f t="shared" ca="1" si="160"/>
        <v>46290</v>
      </c>
      <c r="Z2427" s="207">
        <f t="shared" ca="1" si="161"/>
        <v>-858</v>
      </c>
      <c r="AA2427" s="158">
        <f t="shared" si="162"/>
        <v>5</v>
      </c>
      <c r="AB2427" s="158">
        <f t="shared" si="159"/>
        <v>2024</v>
      </c>
      <c r="AC2427" s="159"/>
      <c r="AD2427" s="159"/>
      <c r="AE2427" s="184"/>
      <c r="AF2427" s="158" t="s">
        <v>356</v>
      </c>
      <c r="AG2427" s="160"/>
      <c r="AH2427" s="160"/>
      <c r="AI2427" s="158"/>
      <c r="AJ2427" s="158"/>
      <c r="AK2427" s="158"/>
      <c r="AL2427" s="158"/>
      <c r="AM2427" s="158"/>
      <c r="AN2427" s="158"/>
      <c r="AO2427" s="158"/>
      <c r="AP2427" s="158"/>
      <c r="AQ2427" s="158"/>
      <c r="AR2427" s="507"/>
      <c r="AS2427" s="475"/>
      <c r="AT2427" s="160"/>
    </row>
    <row r="2428" spans="1:46" ht="15" hidden="1" customHeight="1">
      <c r="A2428" s="331">
        <v>2427</v>
      </c>
      <c r="B2428" s="209" t="s">
        <v>11442</v>
      </c>
      <c r="C2428" s="159" t="s">
        <v>11443</v>
      </c>
      <c r="D2428" s="447" t="s">
        <v>9866</v>
      </c>
      <c r="E2428" s="361" t="str">
        <f t="shared" ca="1" si="157"/>
        <v>LOSS</v>
      </c>
      <c r="F2428" s="210" t="s">
        <v>11444</v>
      </c>
      <c r="G2428" s="159" t="s">
        <v>11445</v>
      </c>
      <c r="H2428" s="160" t="s">
        <v>8588</v>
      </c>
      <c r="I2428" s="160" t="s">
        <v>511</v>
      </c>
      <c r="J2428" s="159" t="s">
        <v>11446</v>
      </c>
      <c r="K2428" s="160" t="s">
        <v>11447</v>
      </c>
      <c r="L2428" s="158"/>
      <c r="M2428" s="208" t="s">
        <v>365</v>
      </c>
      <c r="N2428" s="160"/>
      <c r="O2428" s="162"/>
      <c r="P2428" s="161">
        <f>13500000*12</f>
        <v>162000000</v>
      </c>
      <c r="Q2428" s="161"/>
      <c r="R2428" s="162"/>
      <c r="S2428" s="211"/>
      <c r="T2428" s="213">
        <v>0.1</v>
      </c>
      <c r="U2428" s="344">
        <v>45433</v>
      </c>
      <c r="V2428" s="340">
        <v>45797</v>
      </c>
      <c r="W2428" s="158" t="s">
        <v>250</v>
      </c>
      <c r="X2428" s="158"/>
      <c r="Y2428" s="164">
        <f t="shared" ca="1" si="160"/>
        <v>46290</v>
      </c>
      <c r="Z2428" s="207">
        <f t="shared" ca="1" si="161"/>
        <v>-493</v>
      </c>
      <c r="AA2428" s="158">
        <f t="shared" si="162"/>
        <v>5</v>
      </c>
      <c r="AB2428" s="158">
        <f t="shared" si="159"/>
        <v>2025</v>
      </c>
      <c r="AC2428" s="159"/>
      <c r="AD2428" s="159"/>
      <c r="AE2428" s="158"/>
      <c r="AF2428" s="158" t="s">
        <v>356</v>
      </c>
      <c r="AG2428" s="160"/>
      <c r="AH2428" s="160"/>
      <c r="AI2428" s="158"/>
      <c r="AJ2428" s="158"/>
      <c r="AK2428" s="158"/>
      <c r="AL2428" s="158"/>
      <c r="AM2428" s="158"/>
      <c r="AN2428" s="158"/>
      <c r="AO2428" s="158"/>
      <c r="AP2428" s="158"/>
      <c r="AQ2428" s="158"/>
      <c r="AR2428" s="507"/>
      <c r="AS2428" s="475"/>
      <c r="AT2428" s="160"/>
    </row>
    <row r="2429" spans="1:46" ht="15" hidden="1" customHeight="1">
      <c r="A2429" s="331">
        <v>2428</v>
      </c>
      <c r="B2429" s="209" t="s">
        <v>11442</v>
      </c>
      <c r="C2429" s="159" t="s">
        <v>11448</v>
      </c>
      <c r="D2429" s="447" t="s">
        <v>9866</v>
      </c>
      <c r="E2429" s="361" t="str">
        <f t="shared" ca="1" si="157"/>
        <v>LOSS</v>
      </c>
      <c r="F2429" s="233" t="s">
        <v>11449</v>
      </c>
      <c r="G2429" s="159" t="s">
        <v>11450</v>
      </c>
      <c r="H2429" s="160" t="s">
        <v>8588</v>
      </c>
      <c r="I2429" s="160" t="s">
        <v>511</v>
      </c>
      <c r="J2429" s="159"/>
      <c r="K2429" s="160" t="s">
        <v>11451</v>
      </c>
      <c r="L2429" s="158"/>
      <c r="M2429" s="208" t="s">
        <v>365</v>
      </c>
      <c r="N2429" s="160"/>
      <c r="O2429" s="162"/>
      <c r="P2429" s="161">
        <f>2500000*12</f>
        <v>30000000</v>
      </c>
      <c r="Q2429" s="161"/>
      <c r="R2429" s="162"/>
      <c r="S2429" s="211"/>
      <c r="T2429" s="213">
        <v>0.1</v>
      </c>
      <c r="U2429" s="344">
        <v>45433</v>
      </c>
      <c r="V2429" s="340">
        <v>45797</v>
      </c>
      <c r="W2429" s="158" t="s">
        <v>250</v>
      </c>
      <c r="X2429" s="158"/>
      <c r="Y2429" s="164">
        <f t="shared" ca="1" si="160"/>
        <v>46290</v>
      </c>
      <c r="Z2429" s="207">
        <f t="shared" ca="1" si="161"/>
        <v>-493</v>
      </c>
      <c r="AA2429" s="158">
        <f t="shared" si="162"/>
        <v>5</v>
      </c>
      <c r="AB2429" s="158">
        <f t="shared" si="159"/>
        <v>2025</v>
      </c>
      <c r="AC2429" s="159"/>
      <c r="AD2429" s="159"/>
      <c r="AE2429" s="158"/>
      <c r="AF2429" s="158" t="s">
        <v>356</v>
      </c>
      <c r="AG2429" s="160"/>
      <c r="AH2429" s="160"/>
      <c r="AI2429" s="158"/>
      <c r="AJ2429" s="158"/>
      <c r="AK2429" s="158"/>
      <c r="AL2429" s="158"/>
      <c r="AM2429" s="158"/>
      <c r="AN2429" s="158"/>
      <c r="AO2429" s="158"/>
      <c r="AP2429" s="158"/>
      <c r="AQ2429" s="158"/>
      <c r="AR2429" s="507"/>
      <c r="AS2429" s="475"/>
      <c r="AT2429" s="160"/>
    </row>
    <row r="2430" spans="1:46" ht="15" hidden="1" customHeight="1">
      <c r="A2430" s="331">
        <v>2429</v>
      </c>
      <c r="B2430" s="209" t="s">
        <v>11442</v>
      </c>
      <c r="C2430" s="222" t="s">
        <v>11452</v>
      </c>
      <c r="D2430" s="447" t="s">
        <v>9866</v>
      </c>
      <c r="E2430" s="361" t="str">
        <f t="shared" ca="1" si="157"/>
        <v>LOSS</v>
      </c>
      <c r="F2430" s="233" t="s">
        <v>11453</v>
      </c>
      <c r="G2430" s="159" t="s">
        <v>11454</v>
      </c>
      <c r="H2430" s="160" t="s">
        <v>8588</v>
      </c>
      <c r="I2430" s="160" t="s">
        <v>511</v>
      </c>
      <c r="J2430" s="159" t="s">
        <v>11455</v>
      </c>
      <c r="K2430" s="224" t="s">
        <v>11456</v>
      </c>
      <c r="L2430" s="158"/>
      <c r="M2430" s="208" t="s">
        <v>365</v>
      </c>
      <c r="N2430" s="224"/>
      <c r="O2430" s="162"/>
      <c r="P2430" s="161">
        <f>13000000*12</f>
        <v>156000000</v>
      </c>
      <c r="Q2430" s="161"/>
      <c r="R2430" s="162"/>
      <c r="S2430" s="211"/>
      <c r="T2430" s="213">
        <v>0.1</v>
      </c>
      <c r="U2430" s="344">
        <v>45433</v>
      </c>
      <c r="V2430" s="340">
        <v>45797</v>
      </c>
      <c r="W2430" s="158" t="s">
        <v>250</v>
      </c>
      <c r="X2430" s="158"/>
      <c r="Y2430" s="164">
        <f t="shared" ca="1" si="160"/>
        <v>46290</v>
      </c>
      <c r="Z2430" s="207">
        <f t="shared" ca="1" si="161"/>
        <v>-493</v>
      </c>
      <c r="AA2430" s="158">
        <f t="shared" si="162"/>
        <v>5</v>
      </c>
      <c r="AB2430" s="158">
        <f t="shared" si="159"/>
        <v>2025</v>
      </c>
      <c r="AC2430" s="159"/>
      <c r="AD2430" s="159"/>
      <c r="AE2430" s="158"/>
      <c r="AF2430" s="158" t="s">
        <v>356</v>
      </c>
      <c r="AG2430" s="160"/>
      <c r="AH2430" s="160"/>
      <c r="AI2430" s="158"/>
      <c r="AJ2430" s="158"/>
      <c r="AK2430" s="158"/>
      <c r="AL2430" s="158"/>
      <c r="AM2430" s="158"/>
      <c r="AN2430" s="158"/>
      <c r="AO2430" s="158"/>
      <c r="AP2430" s="158"/>
      <c r="AQ2430" s="158"/>
      <c r="AR2430" s="507"/>
      <c r="AS2430" s="475"/>
      <c r="AT2430" s="160"/>
    </row>
    <row r="2431" spans="1:46" ht="15" hidden="1" customHeight="1">
      <c r="A2431" s="331">
        <v>2430</v>
      </c>
      <c r="B2431" s="209" t="s">
        <v>11442</v>
      </c>
      <c r="C2431" s="222" t="s">
        <v>11457</v>
      </c>
      <c r="D2431" s="447" t="s">
        <v>9866</v>
      </c>
      <c r="E2431" s="361" t="str">
        <f t="shared" ca="1" si="157"/>
        <v>LOSS</v>
      </c>
      <c r="F2431" s="214" t="s">
        <v>115</v>
      </c>
      <c r="G2431" s="222" t="s">
        <v>11458</v>
      </c>
      <c r="H2431" s="160" t="s">
        <v>8588</v>
      </c>
      <c r="I2431" s="160" t="s">
        <v>511</v>
      </c>
      <c r="J2431" s="159" t="s">
        <v>11459</v>
      </c>
      <c r="K2431" s="224" t="s">
        <v>11460</v>
      </c>
      <c r="L2431" s="158"/>
      <c r="M2431" s="158" t="s">
        <v>8709</v>
      </c>
      <c r="N2431" s="226" t="s">
        <v>6735</v>
      </c>
      <c r="O2431" s="162"/>
      <c r="P2431" s="161">
        <f>7000000*12</f>
        <v>84000000</v>
      </c>
      <c r="Q2431" s="161"/>
      <c r="R2431" s="162"/>
      <c r="S2431" s="211"/>
      <c r="T2431" s="213">
        <v>0.1</v>
      </c>
      <c r="U2431" s="344">
        <v>45433</v>
      </c>
      <c r="V2431" s="340">
        <v>45797</v>
      </c>
      <c r="W2431" s="158" t="s">
        <v>250</v>
      </c>
      <c r="X2431" s="158"/>
      <c r="Y2431" s="164">
        <f t="shared" ref="Y2431:Y2462" ca="1" si="163">TODAY()</f>
        <v>46290</v>
      </c>
      <c r="Z2431" s="207">
        <f t="shared" ca="1" si="161"/>
        <v>-493</v>
      </c>
      <c r="AA2431" s="158">
        <f t="shared" si="162"/>
        <v>5</v>
      </c>
      <c r="AB2431" s="158">
        <f t="shared" si="159"/>
        <v>2025</v>
      </c>
      <c r="AC2431" s="159"/>
      <c r="AD2431" s="159"/>
      <c r="AE2431" s="158"/>
      <c r="AF2431" s="158" t="s">
        <v>356</v>
      </c>
      <c r="AG2431" s="160"/>
      <c r="AH2431" s="160"/>
      <c r="AI2431" s="158"/>
      <c r="AJ2431" s="158"/>
      <c r="AK2431" s="158"/>
      <c r="AL2431" s="158"/>
      <c r="AM2431" s="158"/>
      <c r="AN2431" s="158"/>
      <c r="AO2431" s="158"/>
      <c r="AP2431" s="158"/>
      <c r="AQ2431" s="158"/>
      <c r="AR2431" s="507"/>
      <c r="AS2431" s="475"/>
      <c r="AT2431" s="160"/>
    </row>
    <row r="2432" spans="1:46" ht="15" hidden="1" customHeight="1">
      <c r="A2432" s="331">
        <v>2431</v>
      </c>
      <c r="B2432" s="209" t="s">
        <v>11442</v>
      </c>
      <c r="C2432" s="222" t="s">
        <v>11461</v>
      </c>
      <c r="D2432" s="447" t="s">
        <v>9866</v>
      </c>
      <c r="E2432" s="361" t="str">
        <f t="shared" ca="1" si="157"/>
        <v>LOSS</v>
      </c>
      <c r="F2432" s="214" t="s">
        <v>115</v>
      </c>
      <c r="G2432" s="222" t="s">
        <v>11462</v>
      </c>
      <c r="H2432" s="160" t="s">
        <v>8588</v>
      </c>
      <c r="I2432" s="160" t="s">
        <v>511</v>
      </c>
      <c r="J2432" s="159" t="s">
        <v>11463</v>
      </c>
      <c r="K2432" s="224" t="s">
        <v>11464</v>
      </c>
      <c r="L2432" s="158"/>
      <c r="M2432" s="158" t="s">
        <v>8709</v>
      </c>
      <c r="N2432" s="226" t="s">
        <v>468</v>
      </c>
      <c r="O2432" s="162"/>
      <c r="P2432" s="161">
        <f>7000000*12</f>
        <v>84000000</v>
      </c>
      <c r="Q2432" s="161"/>
      <c r="R2432" s="162"/>
      <c r="S2432" s="211"/>
      <c r="T2432" s="213">
        <v>0.1</v>
      </c>
      <c r="U2432" s="344">
        <v>45433</v>
      </c>
      <c r="V2432" s="340">
        <v>45797</v>
      </c>
      <c r="W2432" s="158" t="s">
        <v>250</v>
      </c>
      <c r="X2432" s="158"/>
      <c r="Y2432" s="164">
        <f t="shared" ca="1" si="163"/>
        <v>46290</v>
      </c>
      <c r="Z2432" s="207">
        <f t="shared" ca="1" si="161"/>
        <v>-493</v>
      </c>
      <c r="AA2432" s="158">
        <f t="shared" si="162"/>
        <v>5</v>
      </c>
      <c r="AB2432" s="158">
        <f t="shared" si="159"/>
        <v>2025</v>
      </c>
      <c r="AC2432" s="159"/>
      <c r="AD2432" s="159"/>
      <c r="AE2432" s="158"/>
      <c r="AF2432" s="158" t="s">
        <v>356</v>
      </c>
      <c r="AG2432" s="160"/>
      <c r="AH2432" s="160"/>
      <c r="AI2432" s="158"/>
      <c r="AJ2432" s="158"/>
      <c r="AK2432" s="158"/>
      <c r="AL2432" s="158"/>
      <c r="AM2432" s="158"/>
      <c r="AN2432" s="158"/>
      <c r="AO2432" s="158"/>
      <c r="AP2432" s="158"/>
      <c r="AQ2432" s="158"/>
      <c r="AR2432" s="507"/>
      <c r="AS2432" s="475"/>
      <c r="AT2432" s="160"/>
    </row>
    <row r="2433" spans="1:46" ht="15" hidden="1" customHeight="1">
      <c r="A2433" s="331">
        <v>2432</v>
      </c>
      <c r="B2433" s="209" t="s">
        <v>11442</v>
      </c>
      <c r="C2433" s="159" t="s">
        <v>11465</v>
      </c>
      <c r="D2433" s="447" t="s">
        <v>9866</v>
      </c>
      <c r="E2433" s="361" t="str">
        <f t="shared" ca="1" si="157"/>
        <v>LOSS</v>
      </c>
      <c r="F2433" s="214" t="s">
        <v>115</v>
      </c>
      <c r="G2433" s="159" t="s">
        <v>11466</v>
      </c>
      <c r="H2433" s="160" t="s">
        <v>8588</v>
      </c>
      <c r="I2433" s="160" t="s">
        <v>511</v>
      </c>
      <c r="J2433" s="159" t="s">
        <v>11467</v>
      </c>
      <c r="K2433" s="160" t="s">
        <v>11468</v>
      </c>
      <c r="L2433" s="158"/>
      <c r="M2433" s="158" t="s">
        <v>11469</v>
      </c>
      <c r="N2433" s="158" t="s">
        <v>406</v>
      </c>
      <c r="O2433" s="162"/>
      <c r="P2433" s="161">
        <f>10000000*12</f>
        <v>120000000</v>
      </c>
      <c r="Q2433" s="161"/>
      <c r="R2433" s="162"/>
      <c r="S2433" s="211"/>
      <c r="T2433" s="213">
        <v>0.1</v>
      </c>
      <c r="U2433" s="344">
        <v>45433</v>
      </c>
      <c r="V2433" s="340">
        <v>45797</v>
      </c>
      <c r="W2433" s="158" t="s">
        <v>250</v>
      </c>
      <c r="X2433" s="158"/>
      <c r="Y2433" s="164">
        <f t="shared" ca="1" si="163"/>
        <v>46290</v>
      </c>
      <c r="Z2433" s="207">
        <f t="shared" ca="1" si="161"/>
        <v>-493</v>
      </c>
      <c r="AA2433" s="158">
        <f t="shared" si="162"/>
        <v>5</v>
      </c>
      <c r="AB2433" s="158">
        <f t="shared" si="159"/>
        <v>2025</v>
      </c>
      <c r="AC2433" s="159"/>
      <c r="AD2433" s="159"/>
      <c r="AE2433" s="158"/>
      <c r="AF2433" s="158" t="s">
        <v>356</v>
      </c>
      <c r="AG2433" s="160"/>
      <c r="AH2433" s="160"/>
      <c r="AI2433" s="158"/>
      <c r="AJ2433" s="158"/>
      <c r="AK2433" s="158"/>
      <c r="AL2433" s="158"/>
      <c r="AM2433" s="158"/>
      <c r="AN2433" s="158"/>
      <c r="AO2433" s="158"/>
      <c r="AP2433" s="158"/>
      <c r="AQ2433" s="158"/>
      <c r="AR2433" s="507"/>
      <c r="AS2433" s="475"/>
      <c r="AT2433" s="160"/>
    </row>
    <row r="2434" spans="1:46" ht="15" hidden="1" customHeight="1">
      <c r="A2434" s="331">
        <v>2433</v>
      </c>
      <c r="B2434" s="209" t="s">
        <v>11442</v>
      </c>
      <c r="C2434" s="222" t="s">
        <v>11470</v>
      </c>
      <c r="D2434" s="447" t="s">
        <v>9866</v>
      </c>
      <c r="E2434" s="361" t="str">
        <f t="shared" ref="E2434:E2497" ca="1" si="164">IF(Z2434&lt;=0, "LOSS",IF(Z2434&lt;=15, "CRITICAL",IF(Z2434&lt;=30, "WARNING",IF(Z2434&lt;60, "ATTENTION", "ON TRACK"))))</f>
        <v>LOSS</v>
      </c>
      <c r="F2434" s="214" t="s">
        <v>115</v>
      </c>
      <c r="G2434" s="159" t="s">
        <v>11471</v>
      </c>
      <c r="H2434" s="160" t="s">
        <v>8588</v>
      </c>
      <c r="I2434" s="160" t="s">
        <v>511</v>
      </c>
      <c r="J2434" s="159" t="s">
        <v>11472</v>
      </c>
      <c r="K2434" s="160" t="s">
        <v>11473</v>
      </c>
      <c r="L2434" s="158"/>
      <c r="M2434" s="158" t="s">
        <v>353</v>
      </c>
      <c r="N2434" s="158" t="s">
        <v>389</v>
      </c>
      <c r="O2434" s="162"/>
      <c r="P2434" s="161">
        <f>21000000*12</f>
        <v>252000000</v>
      </c>
      <c r="Q2434" s="161"/>
      <c r="R2434" s="162"/>
      <c r="S2434" s="211"/>
      <c r="T2434" s="213">
        <v>0.1</v>
      </c>
      <c r="U2434" s="344">
        <v>45433</v>
      </c>
      <c r="V2434" s="340">
        <v>45797</v>
      </c>
      <c r="W2434" s="158" t="s">
        <v>250</v>
      </c>
      <c r="X2434" s="158"/>
      <c r="Y2434" s="164">
        <f t="shared" ca="1" si="163"/>
        <v>46290</v>
      </c>
      <c r="Z2434" s="207">
        <f t="shared" ca="1" si="161"/>
        <v>-493</v>
      </c>
      <c r="AA2434" s="158">
        <f t="shared" si="162"/>
        <v>5</v>
      </c>
      <c r="AB2434" s="158">
        <f t="shared" si="159"/>
        <v>2025</v>
      </c>
      <c r="AC2434" s="159"/>
      <c r="AD2434" s="159"/>
      <c r="AE2434" s="158"/>
      <c r="AF2434" s="158" t="s">
        <v>356</v>
      </c>
      <c r="AG2434" s="160"/>
      <c r="AH2434" s="160"/>
      <c r="AI2434" s="158"/>
      <c r="AJ2434" s="158"/>
      <c r="AK2434" s="158"/>
      <c r="AL2434" s="158"/>
      <c r="AM2434" s="158"/>
      <c r="AN2434" s="158"/>
      <c r="AO2434" s="158"/>
      <c r="AP2434" s="158"/>
      <c r="AQ2434" s="158"/>
      <c r="AR2434" s="507"/>
      <c r="AS2434" s="475"/>
      <c r="AT2434" s="160"/>
    </row>
    <row r="2435" spans="1:46" ht="15" hidden="1" customHeight="1">
      <c r="A2435" s="331">
        <v>2434</v>
      </c>
      <c r="B2435" s="209" t="s">
        <v>11442</v>
      </c>
      <c r="C2435" s="159" t="s">
        <v>11474</v>
      </c>
      <c r="D2435" s="447" t="s">
        <v>9866</v>
      </c>
      <c r="E2435" s="361" t="str">
        <f t="shared" ca="1" si="164"/>
        <v>LOSS</v>
      </c>
      <c r="F2435" s="214" t="s">
        <v>115</v>
      </c>
      <c r="G2435" s="159" t="s">
        <v>11475</v>
      </c>
      <c r="H2435" s="160" t="s">
        <v>8588</v>
      </c>
      <c r="I2435" s="160" t="s">
        <v>511</v>
      </c>
      <c r="J2435" s="159" t="s">
        <v>11476</v>
      </c>
      <c r="K2435" s="160" t="s">
        <v>11477</v>
      </c>
      <c r="L2435" s="158"/>
      <c r="M2435" s="158" t="s">
        <v>365</v>
      </c>
      <c r="N2435" s="158" t="s">
        <v>354</v>
      </c>
      <c r="O2435" s="162"/>
      <c r="P2435" s="161">
        <f>2800000*12</f>
        <v>33600000</v>
      </c>
      <c r="Q2435" s="161"/>
      <c r="R2435" s="162"/>
      <c r="S2435" s="211"/>
      <c r="T2435" s="213">
        <v>0.1</v>
      </c>
      <c r="U2435" s="344">
        <v>45433</v>
      </c>
      <c r="V2435" s="340">
        <v>45797</v>
      </c>
      <c r="W2435" s="158" t="s">
        <v>250</v>
      </c>
      <c r="X2435" s="158"/>
      <c r="Y2435" s="164">
        <f t="shared" ca="1" si="163"/>
        <v>46290</v>
      </c>
      <c r="Z2435" s="207">
        <f t="shared" ca="1" si="161"/>
        <v>-493</v>
      </c>
      <c r="AA2435" s="158">
        <f t="shared" si="162"/>
        <v>5</v>
      </c>
      <c r="AB2435" s="158">
        <f t="shared" si="159"/>
        <v>2025</v>
      </c>
      <c r="AC2435" s="159"/>
      <c r="AD2435" s="159"/>
      <c r="AE2435" s="158"/>
      <c r="AF2435" s="158" t="s">
        <v>356</v>
      </c>
      <c r="AG2435" s="160"/>
      <c r="AH2435" s="160"/>
      <c r="AI2435" s="158"/>
      <c r="AJ2435" s="158"/>
      <c r="AK2435" s="158"/>
      <c r="AL2435" s="158"/>
      <c r="AM2435" s="158"/>
      <c r="AN2435" s="158"/>
      <c r="AO2435" s="158"/>
      <c r="AP2435" s="158"/>
      <c r="AQ2435" s="158"/>
      <c r="AR2435" s="507"/>
      <c r="AS2435" s="475"/>
      <c r="AT2435" s="160"/>
    </row>
    <row r="2436" spans="1:46" ht="15" hidden="1" customHeight="1">
      <c r="A2436" s="331">
        <v>2435</v>
      </c>
      <c r="B2436" s="209" t="s">
        <v>11442</v>
      </c>
      <c r="C2436" s="159" t="s">
        <v>11478</v>
      </c>
      <c r="D2436" s="447" t="s">
        <v>9866</v>
      </c>
      <c r="E2436" s="361" t="str">
        <f t="shared" ca="1" si="164"/>
        <v>LOSS</v>
      </c>
      <c r="F2436" s="214" t="s">
        <v>115</v>
      </c>
      <c r="G2436" s="159" t="s">
        <v>11479</v>
      </c>
      <c r="H2436" s="160" t="s">
        <v>8588</v>
      </c>
      <c r="I2436" s="160" t="s">
        <v>511</v>
      </c>
      <c r="J2436" s="159" t="s">
        <v>11480</v>
      </c>
      <c r="K2436" s="160" t="s">
        <v>11481</v>
      </c>
      <c r="L2436" s="158"/>
      <c r="M2436" s="158" t="s">
        <v>353</v>
      </c>
      <c r="N2436" s="158" t="s">
        <v>389</v>
      </c>
      <c r="O2436" s="162"/>
      <c r="P2436" s="161">
        <f>12600000*12</f>
        <v>151200000</v>
      </c>
      <c r="Q2436" s="161"/>
      <c r="R2436" s="162"/>
      <c r="S2436" s="211"/>
      <c r="T2436" s="213">
        <v>0.1</v>
      </c>
      <c r="U2436" s="344">
        <v>45433</v>
      </c>
      <c r="V2436" s="340">
        <v>45797</v>
      </c>
      <c r="W2436" s="158" t="s">
        <v>250</v>
      </c>
      <c r="X2436" s="158"/>
      <c r="Y2436" s="164">
        <f t="shared" ca="1" si="163"/>
        <v>46290</v>
      </c>
      <c r="Z2436" s="207">
        <f t="shared" ca="1" si="161"/>
        <v>-493</v>
      </c>
      <c r="AA2436" s="158">
        <f t="shared" si="162"/>
        <v>5</v>
      </c>
      <c r="AB2436" s="158">
        <f t="shared" si="159"/>
        <v>2025</v>
      </c>
      <c r="AC2436" s="159"/>
      <c r="AD2436" s="159"/>
      <c r="AE2436" s="158"/>
      <c r="AF2436" s="158" t="s">
        <v>356</v>
      </c>
      <c r="AG2436" s="160"/>
      <c r="AH2436" s="160"/>
      <c r="AI2436" s="158"/>
      <c r="AJ2436" s="158"/>
      <c r="AK2436" s="158"/>
      <c r="AL2436" s="158"/>
      <c r="AM2436" s="158"/>
      <c r="AN2436" s="158"/>
      <c r="AO2436" s="158"/>
      <c r="AP2436" s="158"/>
      <c r="AQ2436" s="158"/>
      <c r="AR2436" s="507"/>
      <c r="AS2436" s="475"/>
      <c r="AT2436" s="160"/>
    </row>
    <row r="2437" spans="1:46" ht="15" hidden="1" customHeight="1">
      <c r="A2437" s="331">
        <v>2436</v>
      </c>
      <c r="B2437" s="209" t="s">
        <v>11442</v>
      </c>
      <c r="C2437" s="159" t="s">
        <v>11478</v>
      </c>
      <c r="D2437" s="447" t="s">
        <v>9866</v>
      </c>
      <c r="E2437" s="361" t="str">
        <f t="shared" ca="1" si="164"/>
        <v>LOSS</v>
      </c>
      <c r="F2437" s="210" t="s">
        <v>11482</v>
      </c>
      <c r="G2437" s="159" t="s">
        <v>11479</v>
      </c>
      <c r="H2437" s="160" t="s">
        <v>8588</v>
      </c>
      <c r="I2437" s="160" t="s">
        <v>511</v>
      </c>
      <c r="J2437" s="159" t="s">
        <v>11483</v>
      </c>
      <c r="K2437" s="160" t="s">
        <v>11484</v>
      </c>
      <c r="L2437" s="158"/>
      <c r="M2437" s="158" t="s">
        <v>353</v>
      </c>
      <c r="N2437" s="158" t="s">
        <v>7066</v>
      </c>
      <c r="O2437" s="162"/>
      <c r="P2437" s="161">
        <f>8325000*12</f>
        <v>99900000</v>
      </c>
      <c r="Q2437" s="161"/>
      <c r="R2437" s="162"/>
      <c r="S2437" s="211"/>
      <c r="T2437" s="213">
        <v>0.1</v>
      </c>
      <c r="U2437" s="344">
        <v>45433</v>
      </c>
      <c r="V2437" s="340">
        <v>45797</v>
      </c>
      <c r="W2437" s="158" t="s">
        <v>250</v>
      </c>
      <c r="X2437" s="158"/>
      <c r="Y2437" s="164">
        <f t="shared" ca="1" si="163"/>
        <v>46290</v>
      </c>
      <c r="Z2437" s="207">
        <f t="shared" ca="1" si="161"/>
        <v>-493</v>
      </c>
      <c r="AA2437" s="158">
        <f t="shared" si="162"/>
        <v>5</v>
      </c>
      <c r="AB2437" s="158">
        <f t="shared" si="159"/>
        <v>2025</v>
      </c>
      <c r="AC2437" s="159"/>
      <c r="AD2437" s="159"/>
      <c r="AE2437" s="158"/>
      <c r="AF2437" s="158" t="s">
        <v>356</v>
      </c>
      <c r="AG2437" s="160"/>
      <c r="AH2437" s="160"/>
      <c r="AI2437" s="158"/>
      <c r="AJ2437" s="158"/>
      <c r="AK2437" s="158"/>
      <c r="AL2437" s="158"/>
      <c r="AM2437" s="158"/>
      <c r="AN2437" s="158"/>
      <c r="AO2437" s="158"/>
      <c r="AP2437" s="158"/>
      <c r="AQ2437" s="158"/>
      <c r="AR2437" s="507"/>
      <c r="AS2437" s="475"/>
      <c r="AT2437" s="160"/>
    </row>
    <row r="2438" spans="1:46" ht="15" hidden="1" customHeight="1">
      <c r="A2438" s="331">
        <v>2437</v>
      </c>
      <c r="B2438" s="209" t="s">
        <v>11442</v>
      </c>
      <c r="C2438" s="159" t="s">
        <v>11474</v>
      </c>
      <c r="D2438" s="447" t="s">
        <v>9866</v>
      </c>
      <c r="E2438" s="361" t="str">
        <f t="shared" ca="1" si="164"/>
        <v>LOSS</v>
      </c>
      <c r="F2438" s="160"/>
      <c r="G2438" s="159" t="s">
        <v>11485</v>
      </c>
      <c r="H2438" s="160" t="s">
        <v>8588</v>
      </c>
      <c r="I2438" s="160" t="s">
        <v>511</v>
      </c>
      <c r="J2438" s="159" t="s">
        <v>11486</v>
      </c>
      <c r="K2438" s="160" t="s">
        <v>11487</v>
      </c>
      <c r="L2438" s="158"/>
      <c r="M2438" s="158" t="s">
        <v>365</v>
      </c>
      <c r="N2438" s="158" t="s">
        <v>7193</v>
      </c>
      <c r="O2438" s="162"/>
      <c r="P2438" s="161">
        <f>3200000*12</f>
        <v>38400000</v>
      </c>
      <c r="Q2438" s="161"/>
      <c r="R2438" s="162"/>
      <c r="S2438" s="211"/>
      <c r="T2438" s="213">
        <v>0.1</v>
      </c>
      <c r="U2438" s="344">
        <v>45433</v>
      </c>
      <c r="V2438" s="340">
        <v>45797</v>
      </c>
      <c r="W2438" s="158" t="s">
        <v>250</v>
      </c>
      <c r="X2438" s="158"/>
      <c r="Y2438" s="164">
        <f t="shared" ca="1" si="163"/>
        <v>46290</v>
      </c>
      <c r="Z2438" s="207">
        <f t="shared" ca="1" si="161"/>
        <v>-493</v>
      </c>
      <c r="AA2438" s="158">
        <f t="shared" si="162"/>
        <v>5</v>
      </c>
      <c r="AB2438" s="158">
        <f t="shared" si="159"/>
        <v>2025</v>
      </c>
      <c r="AC2438" s="159"/>
      <c r="AD2438" s="159"/>
      <c r="AE2438" s="158"/>
      <c r="AF2438" s="158" t="s">
        <v>356</v>
      </c>
      <c r="AG2438" s="160"/>
      <c r="AH2438" s="160"/>
      <c r="AI2438" s="158"/>
      <c r="AJ2438" s="158"/>
      <c r="AK2438" s="158"/>
      <c r="AL2438" s="158"/>
      <c r="AM2438" s="158"/>
      <c r="AN2438" s="158"/>
      <c r="AO2438" s="158"/>
      <c r="AP2438" s="158"/>
      <c r="AQ2438" s="158"/>
      <c r="AR2438" s="507"/>
      <c r="AS2438" s="475"/>
      <c r="AT2438" s="160"/>
    </row>
    <row r="2439" spans="1:46" ht="15" hidden="1" customHeight="1">
      <c r="A2439" s="331">
        <v>2438</v>
      </c>
      <c r="B2439" s="209" t="s">
        <v>11442</v>
      </c>
      <c r="C2439" s="159" t="s">
        <v>3765</v>
      </c>
      <c r="D2439" s="447" t="s">
        <v>9866</v>
      </c>
      <c r="E2439" s="361" t="str">
        <f t="shared" ca="1" si="164"/>
        <v>LOSS</v>
      </c>
      <c r="F2439" s="160"/>
      <c r="G2439" s="159" t="s">
        <v>11488</v>
      </c>
      <c r="H2439" s="160" t="s">
        <v>8588</v>
      </c>
      <c r="I2439" s="160" t="s">
        <v>511</v>
      </c>
      <c r="J2439" s="159" t="s">
        <v>11489</v>
      </c>
      <c r="K2439" s="160" t="s">
        <v>11490</v>
      </c>
      <c r="L2439" s="158"/>
      <c r="M2439" s="158" t="s">
        <v>365</v>
      </c>
      <c r="N2439" s="158" t="s">
        <v>7193</v>
      </c>
      <c r="O2439" s="162"/>
      <c r="P2439" s="161">
        <f>8300000*12</f>
        <v>99600000</v>
      </c>
      <c r="Q2439" s="161"/>
      <c r="R2439" s="162"/>
      <c r="S2439" s="211"/>
      <c r="T2439" s="213">
        <v>0.1</v>
      </c>
      <c r="U2439" s="344">
        <v>45433</v>
      </c>
      <c r="V2439" s="340">
        <v>45797</v>
      </c>
      <c r="W2439" s="158" t="s">
        <v>250</v>
      </c>
      <c r="X2439" s="158"/>
      <c r="Y2439" s="164">
        <f t="shared" ca="1" si="163"/>
        <v>46290</v>
      </c>
      <c r="Z2439" s="207">
        <f t="shared" ca="1" si="161"/>
        <v>-493</v>
      </c>
      <c r="AA2439" s="158">
        <f t="shared" si="162"/>
        <v>5</v>
      </c>
      <c r="AB2439" s="158">
        <f t="shared" si="159"/>
        <v>2025</v>
      </c>
      <c r="AC2439" s="159"/>
      <c r="AD2439" s="159"/>
      <c r="AE2439" s="158"/>
      <c r="AF2439" s="158" t="s">
        <v>356</v>
      </c>
      <c r="AG2439" s="160"/>
      <c r="AH2439" s="160"/>
      <c r="AI2439" s="158"/>
      <c r="AJ2439" s="158"/>
      <c r="AK2439" s="158"/>
      <c r="AL2439" s="158"/>
      <c r="AM2439" s="158"/>
      <c r="AN2439" s="158"/>
      <c r="AO2439" s="158"/>
      <c r="AP2439" s="158"/>
      <c r="AQ2439" s="158"/>
      <c r="AR2439" s="507"/>
      <c r="AS2439" s="475"/>
      <c r="AT2439" s="160"/>
    </row>
    <row r="2440" spans="1:46" ht="15" hidden="1" customHeight="1">
      <c r="A2440" s="331">
        <v>2439</v>
      </c>
      <c r="B2440" s="209" t="s">
        <v>11442</v>
      </c>
      <c r="C2440" s="159" t="s">
        <v>11491</v>
      </c>
      <c r="D2440" s="447" t="s">
        <v>9866</v>
      </c>
      <c r="E2440" s="361" t="str">
        <f t="shared" ca="1" si="164"/>
        <v>LOSS</v>
      </c>
      <c r="F2440" s="160"/>
      <c r="G2440" s="159" t="s">
        <v>11492</v>
      </c>
      <c r="H2440" s="160" t="s">
        <v>8588</v>
      </c>
      <c r="I2440" s="160" t="s">
        <v>511</v>
      </c>
      <c r="J2440" s="159" t="s">
        <v>11493</v>
      </c>
      <c r="K2440" s="160" t="s">
        <v>11494</v>
      </c>
      <c r="L2440" s="158"/>
      <c r="M2440" s="158" t="s">
        <v>365</v>
      </c>
      <c r="N2440" s="158" t="s">
        <v>406</v>
      </c>
      <c r="O2440" s="162"/>
      <c r="P2440" s="161">
        <f>2950000*12</f>
        <v>35400000</v>
      </c>
      <c r="Q2440" s="161"/>
      <c r="R2440" s="162"/>
      <c r="S2440" s="211"/>
      <c r="T2440" s="213">
        <v>0.1</v>
      </c>
      <c r="U2440" s="344">
        <v>45433</v>
      </c>
      <c r="V2440" s="340">
        <v>45797</v>
      </c>
      <c r="W2440" s="158" t="s">
        <v>250</v>
      </c>
      <c r="X2440" s="158"/>
      <c r="Y2440" s="164">
        <f t="shared" ca="1" si="163"/>
        <v>46290</v>
      </c>
      <c r="Z2440" s="207">
        <f t="shared" ca="1" si="161"/>
        <v>-493</v>
      </c>
      <c r="AA2440" s="158">
        <f t="shared" si="162"/>
        <v>5</v>
      </c>
      <c r="AB2440" s="158">
        <f t="shared" si="159"/>
        <v>2025</v>
      </c>
      <c r="AC2440" s="159"/>
      <c r="AD2440" s="159"/>
      <c r="AE2440" s="158"/>
      <c r="AF2440" s="158" t="s">
        <v>356</v>
      </c>
      <c r="AG2440" s="160"/>
      <c r="AH2440" s="160"/>
      <c r="AI2440" s="158"/>
      <c r="AJ2440" s="158"/>
      <c r="AK2440" s="158"/>
      <c r="AL2440" s="158"/>
      <c r="AM2440" s="158"/>
      <c r="AN2440" s="158"/>
      <c r="AO2440" s="158"/>
      <c r="AP2440" s="158"/>
      <c r="AQ2440" s="158"/>
      <c r="AR2440" s="507"/>
      <c r="AS2440" s="475"/>
      <c r="AT2440" s="160"/>
    </row>
    <row r="2441" spans="1:46" ht="15" hidden="1" customHeight="1">
      <c r="A2441" s="331">
        <v>2440</v>
      </c>
      <c r="B2441" s="209" t="s">
        <v>11442</v>
      </c>
      <c r="C2441" s="222" t="s">
        <v>11495</v>
      </c>
      <c r="D2441" s="447" t="s">
        <v>9866</v>
      </c>
      <c r="E2441" s="361" t="str">
        <f t="shared" ca="1" si="164"/>
        <v>LOSS</v>
      </c>
      <c r="F2441" s="160"/>
      <c r="G2441" s="222" t="s">
        <v>11496</v>
      </c>
      <c r="H2441" s="160" t="s">
        <v>8588</v>
      </c>
      <c r="I2441" s="160" t="s">
        <v>511</v>
      </c>
      <c r="J2441" s="159" t="s">
        <v>11497</v>
      </c>
      <c r="K2441" s="224" t="s">
        <v>11498</v>
      </c>
      <c r="L2441" s="158"/>
      <c r="M2441" s="226" t="s">
        <v>353</v>
      </c>
      <c r="N2441" s="226"/>
      <c r="O2441" s="162"/>
      <c r="P2441" s="161">
        <f>10000000*12</f>
        <v>120000000</v>
      </c>
      <c r="Q2441" s="161"/>
      <c r="R2441" s="162"/>
      <c r="S2441" s="211"/>
      <c r="T2441" s="213">
        <v>0.1</v>
      </c>
      <c r="U2441" s="344">
        <v>45433</v>
      </c>
      <c r="V2441" s="340">
        <v>45797</v>
      </c>
      <c r="W2441" s="158" t="s">
        <v>250</v>
      </c>
      <c r="X2441" s="158"/>
      <c r="Y2441" s="164">
        <f t="shared" ca="1" si="163"/>
        <v>46290</v>
      </c>
      <c r="Z2441" s="207">
        <f t="shared" ca="1" si="161"/>
        <v>-493</v>
      </c>
      <c r="AA2441" s="158">
        <f t="shared" si="162"/>
        <v>5</v>
      </c>
      <c r="AB2441" s="158">
        <f t="shared" ref="AB2441:AB2504" si="165">YEAR(V2441)</f>
        <v>2025</v>
      </c>
      <c r="AC2441" s="159"/>
      <c r="AD2441" s="159"/>
      <c r="AE2441" s="158"/>
      <c r="AF2441" s="158" t="s">
        <v>356</v>
      </c>
      <c r="AG2441" s="160"/>
      <c r="AH2441" s="160"/>
      <c r="AI2441" s="158"/>
      <c r="AJ2441" s="158"/>
      <c r="AK2441" s="158"/>
      <c r="AL2441" s="158"/>
      <c r="AM2441" s="158"/>
      <c r="AN2441" s="158"/>
      <c r="AO2441" s="158"/>
      <c r="AP2441" s="158"/>
      <c r="AQ2441" s="158"/>
      <c r="AR2441" s="507"/>
      <c r="AS2441" s="475"/>
      <c r="AT2441" s="160"/>
    </row>
    <row r="2442" spans="1:46" ht="15" hidden="1" customHeight="1">
      <c r="A2442" s="331">
        <v>2441</v>
      </c>
      <c r="B2442" s="209" t="s">
        <v>11442</v>
      </c>
      <c r="C2442" s="159" t="s">
        <v>11491</v>
      </c>
      <c r="D2442" s="447" t="s">
        <v>9866</v>
      </c>
      <c r="E2442" s="361" t="str">
        <f t="shared" ca="1" si="164"/>
        <v>LOSS</v>
      </c>
      <c r="F2442" s="160"/>
      <c r="G2442" s="159" t="s">
        <v>11499</v>
      </c>
      <c r="H2442" s="160" t="s">
        <v>8588</v>
      </c>
      <c r="I2442" s="160" t="s">
        <v>511</v>
      </c>
      <c r="J2442" s="159" t="s">
        <v>11500</v>
      </c>
      <c r="K2442" s="160" t="s">
        <v>11501</v>
      </c>
      <c r="L2442" s="158"/>
      <c r="M2442" s="158" t="s">
        <v>365</v>
      </c>
      <c r="N2442" s="158"/>
      <c r="O2442" s="162"/>
      <c r="P2442" s="161">
        <f>4725000*12</f>
        <v>56700000</v>
      </c>
      <c r="Q2442" s="161"/>
      <c r="R2442" s="162"/>
      <c r="S2442" s="211"/>
      <c r="T2442" s="213">
        <v>0.1</v>
      </c>
      <c r="U2442" s="344">
        <v>45433</v>
      </c>
      <c r="V2442" s="340">
        <v>45797</v>
      </c>
      <c r="W2442" s="158" t="s">
        <v>250</v>
      </c>
      <c r="X2442" s="158"/>
      <c r="Y2442" s="164">
        <f t="shared" ca="1" si="163"/>
        <v>46290</v>
      </c>
      <c r="Z2442" s="207">
        <f t="shared" ca="1" si="161"/>
        <v>-493</v>
      </c>
      <c r="AA2442" s="158">
        <f t="shared" si="162"/>
        <v>5</v>
      </c>
      <c r="AB2442" s="158">
        <f t="shared" si="165"/>
        <v>2025</v>
      </c>
      <c r="AC2442" s="159"/>
      <c r="AD2442" s="159"/>
      <c r="AE2442" s="158"/>
      <c r="AF2442" s="158" t="s">
        <v>356</v>
      </c>
      <c r="AG2442" s="160"/>
      <c r="AH2442" s="160"/>
      <c r="AI2442" s="158"/>
      <c r="AJ2442" s="158"/>
      <c r="AK2442" s="158"/>
      <c r="AL2442" s="158"/>
      <c r="AM2442" s="158"/>
      <c r="AN2442" s="158"/>
      <c r="AO2442" s="158"/>
      <c r="AP2442" s="158"/>
      <c r="AQ2442" s="158"/>
      <c r="AR2442" s="507"/>
      <c r="AS2442" s="475"/>
      <c r="AT2442" s="160"/>
    </row>
    <row r="2443" spans="1:46" ht="15" hidden="1" customHeight="1">
      <c r="A2443" s="331">
        <v>2442</v>
      </c>
      <c r="B2443" s="209" t="s">
        <v>11442</v>
      </c>
      <c r="C2443" s="159" t="s">
        <v>11502</v>
      </c>
      <c r="D2443" s="447" t="s">
        <v>9866</v>
      </c>
      <c r="E2443" s="361" t="str">
        <f t="shared" ca="1" si="164"/>
        <v>LOSS</v>
      </c>
      <c r="F2443" s="160"/>
      <c r="G2443" s="159" t="s">
        <v>11503</v>
      </c>
      <c r="H2443" s="160" t="s">
        <v>8588</v>
      </c>
      <c r="I2443" s="160" t="s">
        <v>511</v>
      </c>
      <c r="J2443" s="159" t="s">
        <v>11504</v>
      </c>
      <c r="K2443" s="160" t="s">
        <v>11505</v>
      </c>
      <c r="L2443" s="158"/>
      <c r="M2443" s="158" t="s">
        <v>353</v>
      </c>
      <c r="N2443" s="158" t="s">
        <v>11506</v>
      </c>
      <c r="O2443" s="162"/>
      <c r="P2443" s="161">
        <f>7900000*12</f>
        <v>94800000</v>
      </c>
      <c r="Q2443" s="161"/>
      <c r="R2443" s="162"/>
      <c r="S2443" s="211"/>
      <c r="T2443" s="213">
        <v>0.1</v>
      </c>
      <c r="U2443" s="344">
        <v>45433</v>
      </c>
      <c r="V2443" s="340">
        <v>45797</v>
      </c>
      <c r="W2443" s="158" t="s">
        <v>250</v>
      </c>
      <c r="X2443" s="158"/>
      <c r="Y2443" s="164">
        <f t="shared" ca="1" si="163"/>
        <v>46290</v>
      </c>
      <c r="Z2443" s="207">
        <f t="shared" ca="1" si="161"/>
        <v>-493</v>
      </c>
      <c r="AA2443" s="158">
        <f t="shared" si="162"/>
        <v>5</v>
      </c>
      <c r="AB2443" s="158">
        <f t="shared" si="165"/>
        <v>2025</v>
      </c>
      <c r="AC2443" s="159"/>
      <c r="AD2443" s="159"/>
      <c r="AE2443" s="158"/>
      <c r="AF2443" s="158" t="s">
        <v>356</v>
      </c>
      <c r="AG2443" s="160"/>
      <c r="AH2443" s="160"/>
      <c r="AI2443" s="158"/>
      <c r="AJ2443" s="158"/>
      <c r="AK2443" s="158"/>
      <c r="AL2443" s="158"/>
      <c r="AM2443" s="158"/>
      <c r="AN2443" s="158"/>
      <c r="AO2443" s="158"/>
      <c r="AP2443" s="158"/>
      <c r="AQ2443" s="158"/>
      <c r="AR2443" s="507"/>
      <c r="AS2443" s="475"/>
      <c r="AT2443" s="160"/>
    </row>
    <row r="2444" spans="1:46" ht="15" hidden="1" customHeight="1">
      <c r="A2444" s="331">
        <v>2443</v>
      </c>
      <c r="B2444" s="209" t="s">
        <v>11442</v>
      </c>
      <c r="C2444" s="159" t="s">
        <v>11507</v>
      </c>
      <c r="D2444" s="447" t="s">
        <v>9866</v>
      </c>
      <c r="E2444" s="361" t="str">
        <f t="shared" ca="1" si="164"/>
        <v>LOSS</v>
      </c>
      <c r="F2444" s="160"/>
      <c r="G2444" s="159" t="s">
        <v>11508</v>
      </c>
      <c r="H2444" s="160" t="s">
        <v>8588</v>
      </c>
      <c r="I2444" s="160" t="s">
        <v>511</v>
      </c>
      <c r="J2444" s="159" t="s">
        <v>11509</v>
      </c>
      <c r="K2444" s="160" t="s">
        <v>11510</v>
      </c>
      <c r="L2444" s="158"/>
      <c r="M2444" s="208" t="s">
        <v>11511</v>
      </c>
      <c r="N2444" s="158" t="s">
        <v>494</v>
      </c>
      <c r="O2444" s="162"/>
      <c r="P2444" s="161">
        <f>5500000*12</f>
        <v>66000000</v>
      </c>
      <c r="Q2444" s="161"/>
      <c r="R2444" s="162"/>
      <c r="S2444" s="211"/>
      <c r="T2444" s="213">
        <v>0.1</v>
      </c>
      <c r="U2444" s="344">
        <v>45433</v>
      </c>
      <c r="V2444" s="340">
        <v>45797</v>
      </c>
      <c r="W2444" s="158" t="s">
        <v>250</v>
      </c>
      <c r="X2444" s="158"/>
      <c r="Y2444" s="164">
        <f t="shared" ca="1" si="163"/>
        <v>46290</v>
      </c>
      <c r="Z2444" s="207">
        <f t="shared" ca="1" si="161"/>
        <v>-493</v>
      </c>
      <c r="AA2444" s="158">
        <f t="shared" si="162"/>
        <v>5</v>
      </c>
      <c r="AB2444" s="158">
        <f t="shared" si="165"/>
        <v>2025</v>
      </c>
      <c r="AC2444" s="159"/>
      <c r="AD2444" s="159"/>
      <c r="AE2444" s="158"/>
      <c r="AF2444" s="158" t="s">
        <v>356</v>
      </c>
      <c r="AG2444" s="160"/>
      <c r="AH2444" s="160"/>
      <c r="AI2444" s="158"/>
      <c r="AJ2444" s="158"/>
      <c r="AK2444" s="158"/>
      <c r="AL2444" s="158"/>
      <c r="AM2444" s="158"/>
      <c r="AN2444" s="158"/>
      <c r="AO2444" s="158"/>
      <c r="AP2444" s="158"/>
      <c r="AQ2444" s="158"/>
      <c r="AR2444" s="507"/>
      <c r="AS2444" s="475"/>
      <c r="AT2444" s="160"/>
    </row>
    <row r="2445" spans="1:46" ht="15" hidden="1" customHeight="1">
      <c r="A2445" s="331">
        <v>2444</v>
      </c>
      <c r="B2445" s="209" t="s">
        <v>11442</v>
      </c>
      <c r="C2445" s="159" t="s">
        <v>11512</v>
      </c>
      <c r="D2445" s="447" t="s">
        <v>9866</v>
      </c>
      <c r="E2445" s="361" t="str">
        <f t="shared" ca="1" si="164"/>
        <v>LOSS</v>
      </c>
      <c r="F2445" s="160"/>
      <c r="G2445" s="159" t="s">
        <v>11513</v>
      </c>
      <c r="H2445" s="160" t="s">
        <v>8588</v>
      </c>
      <c r="I2445" s="160" t="s">
        <v>511</v>
      </c>
      <c r="J2445" s="159" t="s">
        <v>11514</v>
      </c>
      <c r="K2445" s="160" t="s">
        <v>11515</v>
      </c>
      <c r="L2445" s="158"/>
      <c r="M2445" s="158" t="s">
        <v>365</v>
      </c>
      <c r="N2445" s="158" t="s">
        <v>494</v>
      </c>
      <c r="O2445" s="162"/>
      <c r="P2445" s="161">
        <f>4000000*12</f>
        <v>48000000</v>
      </c>
      <c r="Q2445" s="161"/>
      <c r="R2445" s="162"/>
      <c r="S2445" s="211"/>
      <c r="T2445" s="213">
        <v>0.1</v>
      </c>
      <c r="U2445" s="344">
        <v>45433</v>
      </c>
      <c r="V2445" s="340">
        <v>45797</v>
      </c>
      <c r="W2445" s="158" t="s">
        <v>250</v>
      </c>
      <c r="X2445" s="158"/>
      <c r="Y2445" s="164">
        <f t="shared" ca="1" si="163"/>
        <v>46290</v>
      </c>
      <c r="Z2445" s="207">
        <f t="shared" ca="1" si="161"/>
        <v>-493</v>
      </c>
      <c r="AA2445" s="158">
        <f t="shared" si="162"/>
        <v>5</v>
      </c>
      <c r="AB2445" s="158">
        <f t="shared" si="165"/>
        <v>2025</v>
      </c>
      <c r="AC2445" s="159"/>
      <c r="AD2445" s="159"/>
      <c r="AE2445" s="158"/>
      <c r="AF2445" s="158" t="s">
        <v>356</v>
      </c>
      <c r="AG2445" s="160"/>
      <c r="AH2445" s="160"/>
      <c r="AI2445" s="158"/>
      <c r="AJ2445" s="158"/>
      <c r="AK2445" s="158"/>
      <c r="AL2445" s="158"/>
      <c r="AM2445" s="158"/>
      <c r="AN2445" s="158"/>
      <c r="AO2445" s="158"/>
      <c r="AP2445" s="158"/>
      <c r="AQ2445" s="158"/>
      <c r="AR2445" s="507"/>
      <c r="AS2445" s="475"/>
      <c r="AT2445" s="160"/>
    </row>
    <row r="2446" spans="1:46" ht="15" hidden="1" customHeight="1">
      <c r="A2446" s="331">
        <v>2445</v>
      </c>
      <c r="B2446" s="209" t="s">
        <v>11442</v>
      </c>
      <c r="C2446" s="159" t="s">
        <v>11516</v>
      </c>
      <c r="D2446" s="447" t="s">
        <v>9866</v>
      </c>
      <c r="E2446" s="361" t="str">
        <f t="shared" ca="1" si="164"/>
        <v>LOSS</v>
      </c>
      <c r="F2446" s="160"/>
      <c r="G2446" s="159" t="s">
        <v>11517</v>
      </c>
      <c r="H2446" s="160" t="s">
        <v>8588</v>
      </c>
      <c r="I2446" s="160" t="s">
        <v>511</v>
      </c>
      <c r="J2446" s="159" t="s">
        <v>11518</v>
      </c>
      <c r="K2446" s="160" t="s">
        <v>11519</v>
      </c>
      <c r="L2446" s="158"/>
      <c r="M2446" s="158" t="s">
        <v>8709</v>
      </c>
      <c r="N2446" s="158" t="s">
        <v>11506</v>
      </c>
      <c r="O2446" s="162"/>
      <c r="P2446" s="161">
        <f>4000000*12</f>
        <v>48000000</v>
      </c>
      <c r="Q2446" s="161"/>
      <c r="R2446" s="162"/>
      <c r="S2446" s="211"/>
      <c r="T2446" s="213">
        <v>0.1</v>
      </c>
      <c r="U2446" s="344">
        <v>45433</v>
      </c>
      <c r="V2446" s="340">
        <v>45797</v>
      </c>
      <c r="W2446" s="158" t="s">
        <v>250</v>
      </c>
      <c r="X2446" s="158"/>
      <c r="Y2446" s="164">
        <f t="shared" ca="1" si="163"/>
        <v>46290</v>
      </c>
      <c r="Z2446" s="207">
        <f t="shared" ca="1" si="161"/>
        <v>-493</v>
      </c>
      <c r="AA2446" s="158">
        <f t="shared" si="162"/>
        <v>5</v>
      </c>
      <c r="AB2446" s="158">
        <f t="shared" si="165"/>
        <v>2025</v>
      </c>
      <c r="AC2446" s="159"/>
      <c r="AD2446" s="159"/>
      <c r="AE2446" s="158"/>
      <c r="AF2446" s="158" t="s">
        <v>356</v>
      </c>
      <c r="AG2446" s="160"/>
      <c r="AH2446" s="160"/>
      <c r="AI2446" s="158"/>
      <c r="AJ2446" s="158"/>
      <c r="AK2446" s="158"/>
      <c r="AL2446" s="158"/>
      <c r="AM2446" s="158"/>
      <c r="AN2446" s="158"/>
      <c r="AO2446" s="158"/>
      <c r="AP2446" s="158"/>
      <c r="AQ2446" s="158"/>
      <c r="AR2446" s="507"/>
      <c r="AS2446" s="475"/>
      <c r="AT2446" s="160"/>
    </row>
    <row r="2447" spans="1:46" ht="15" hidden="1" customHeight="1">
      <c r="A2447" s="331">
        <v>2446</v>
      </c>
      <c r="B2447" s="209" t="s">
        <v>11442</v>
      </c>
      <c r="C2447" s="159" t="s">
        <v>11520</v>
      </c>
      <c r="D2447" s="447" t="s">
        <v>9866</v>
      </c>
      <c r="E2447" s="361" t="str">
        <f t="shared" ca="1" si="164"/>
        <v>LOSS</v>
      </c>
      <c r="F2447" s="160"/>
      <c r="G2447" s="159" t="s">
        <v>11521</v>
      </c>
      <c r="H2447" s="160" t="s">
        <v>8588</v>
      </c>
      <c r="I2447" s="160" t="s">
        <v>511</v>
      </c>
      <c r="J2447" s="159"/>
      <c r="K2447" s="160" t="s">
        <v>11522</v>
      </c>
      <c r="L2447" s="158"/>
      <c r="M2447" s="158" t="s">
        <v>365</v>
      </c>
      <c r="N2447" s="158" t="s">
        <v>8337</v>
      </c>
      <c r="O2447" s="162"/>
      <c r="P2447" s="161">
        <f>29000000*12</f>
        <v>348000000</v>
      </c>
      <c r="Q2447" s="161"/>
      <c r="R2447" s="162"/>
      <c r="S2447" s="211"/>
      <c r="T2447" s="213">
        <v>0.1</v>
      </c>
      <c r="U2447" s="344">
        <v>45433</v>
      </c>
      <c r="V2447" s="340">
        <v>45797</v>
      </c>
      <c r="W2447" s="158" t="s">
        <v>250</v>
      </c>
      <c r="X2447" s="158"/>
      <c r="Y2447" s="164">
        <f t="shared" ca="1" si="163"/>
        <v>46290</v>
      </c>
      <c r="Z2447" s="207">
        <f t="shared" ca="1" si="161"/>
        <v>-493</v>
      </c>
      <c r="AA2447" s="158">
        <f t="shared" si="162"/>
        <v>5</v>
      </c>
      <c r="AB2447" s="158">
        <f t="shared" si="165"/>
        <v>2025</v>
      </c>
      <c r="AC2447" s="159"/>
      <c r="AD2447" s="159"/>
      <c r="AE2447" s="158"/>
      <c r="AF2447" s="158" t="s">
        <v>356</v>
      </c>
      <c r="AG2447" s="160"/>
      <c r="AH2447" s="160"/>
      <c r="AI2447" s="158"/>
      <c r="AJ2447" s="158"/>
      <c r="AK2447" s="158"/>
      <c r="AL2447" s="158"/>
      <c r="AM2447" s="158"/>
      <c r="AN2447" s="158"/>
      <c r="AO2447" s="158"/>
      <c r="AP2447" s="158"/>
      <c r="AQ2447" s="158"/>
      <c r="AR2447" s="507"/>
      <c r="AS2447" s="475"/>
      <c r="AT2447" s="160"/>
    </row>
    <row r="2448" spans="1:46" ht="15" hidden="1" customHeight="1">
      <c r="A2448" s="331">
        <v>2447</v>
      </c>
      <c r="B2448" s="209" t="s">
        <v>11442</v>
      </c>
      <c r="C2448" s="159" t="s">
        <v>11523</v>
      </c>
      <c r="D2448" s="447" t="s">
        <v>9866</v>
      </c>
      <c r="E2448" s="361" t="str">
        <f t="shared" ca="1" si="164"/>
        <v>LOSS</v>
      </c>
      <c r="F2448" s="160" t="s">
        <v>11441</v>
      </c>
      <c r="G2448" s="159" t="s">
        <v>11524</v>
      </c>
      <c r="H2448" s="160" t="s">
        <v>8588</v>
      </c>
      <c r="I2448" s="160" t="s">
        <v>511</v>
      </c>
      <c r="J2448" s="159"/>
      <c r="K2448" s="160" t="s">
        <v>11525</v>
      </c>
      <c r="L2448" s="158"/>
      <c r="M2448" s="158" t="s">
        <v>7267</v>
      </c>
      <c r="N2448" s="158" t="s">
        <v>494</v>
      </c>
      <c r="O2448" s="162"/>
      <c r="P2448" s="161">
        <f>2500000*12</f>
        <v>30000000</v>
      </c>
      <c r="Q2448" s="161"/>
      <c r="R2448" s="162"/>
      <c r="S2448" s="163"/>
      <c r="T2448" s="213">
        <v>0.1</v>
      </c>
      <c r="U2448" s="344">
        <v>45433</v>
      </c>
      <c r="V2448" s="340">
        <v>45797</v>
      </c>
      <c r="W2448" s="158" t="s">
        <v>250</v>
      </c>
      <c r="X2448" s="158"/>
      <c r="Y2448" s="164">
        <f t="shared" ca="1" si="163"/>
        <v>46290</v>
      </c>
      <c r="Z2448" s="207">
        <f t="shared" ca="1" si="161"/>
        <v>-493</v>
      </c>
      <c r="AA2448" s="158">
        <f t="shared" si="162"/>
        <v>5</v>
      </c>
      <c r="AB2448" s="158">
        <f t="shared" si="165"/>
        <v>2025</v>
      </c>
      <c r="AC2448" s="159"/>
      <c r="AD2448" s="159"/>
      <c r="AE2448" s="184"/>
      <c r="AF2448" s="158" t="s">
        <v>356</v>
      </c>
      <c r="AG2448" s="160"/>
      <c r="AH2448" s="160"/>
      <c r="AI2448" s="158"/>
      <c r="AJ2448" s="158"/>
      <c r="AK2448" s="158"/>
      <c r="AL2448" s="158"/>
      <c r="AM2448" s="158"/>
      <c r="AN2448" s="158"/>
      <c r="AO2448" s="158"/>
      <c r="AP2448" s="158"/>
      <c r="AQ2448" s="158"/>
      <c r="AR2448" s="507"/>
      <c r="AS2448" s="475"/>
      <c r="AT2448" s="160"/>
    </row>
    <row r="2449" spans="1:46" ht="15" hidden="1" customHeight="1">
      <c r="A2449" s="331">
        <v>2448</v>
      </c>
      <c r="B2449" s="209" t="s">
        <v>11442</v>
      </c>
      <c r="C2449" s="159" t="s">
        <v>11526</v>
      </c>
      <c r="D2449" s="447" t="s">
        <v>9866</v>
      </c>
      <c r="E2449" s="361" t="str">
        <f t="shared" ca="1" si="164"/>
        <v>LOSS</v>
      </c>
      <c r="F2449" s="160" t="s">
        <v>11527</v>
      </c>
      <c r="G2449" s="159" t="s">
        <v>11528</v>
      </c>
      <c r="H2449" s="160" t="s">
        <v>8588</v>
      </c>
      <c r="I2449" s="160" t="s">
        <v>511</v>
      </c>
      <c r="J2449" s="159"/>
      <c r="K2449" s="160" t="s">
        <v>11529</v>
      </c>
      <c r="L2449" s="158"/>
      <c r="M2449" s="158" t="s">
        <v>7267</v>
      </c>
      <c r="N2449" s="158" t="s">
        <v>7088</v>
      </c>
      <c r="O2449" s="162"/>
      <c r="P2449" s="161">
        <f>33000000*12</f>
        <v>396000000</v>
      </c>
      <c r="Q2449" s="161"/>
      <c r="R2449" s="162"/>
      <c r="S2449" s="163"/>
      <c r="T2449" s="213">
        <v>0.1</v>
      </c>
      <c r="U2449" s="344">
        <v>45433</v>
      </c>
      <c r="V2449" s="340">
        <v>45797</v>
      </c>
      <c r="W2449" s="158" t="s">
        <v>250</v>
      </c>
      <c r="X2449" s="158"/>
      <c r="Y2449" s="164">
        <f t="shared" ca="1" si="163"/>
        <v>46290</v>
      </c>
      <c r="Z2449" s="207">
        <f t="shared" ca="1" si="161"/>
        <v>-493</v>
      </c>
      <c r="AA2449" s="158">
        <f t="shared" si="162"/>
        <v>5</v>
      </c>
      <c r="AB2449" s="158">
        <f t="shared" si="165"/>
        <v>2025</v>
      </c>
      <c r="AC2449" s="159"/>
      <c r="AD2449" s="159"/>
      <c r="AE2449" s="184"/>
      <c r="AF2449" s="158" t="s">
        <v>356</v>
      </c>
      <c r="AG2449" s="160"/>
      <c r="AH2449" s="160"/>
      <c r="AI2449" s="158"/>
      <c r="AJ2449" s="158"/>
      <c r="AK2449" s="158"/>
      <c r="AL2449" s="158"/>
      <c r="AM2449" s="158"/>
      <c r="AN2449" s="158"/>
      <c r="AO2449" s="158"/>
      <c r="AP2449" s="158"/>
      <c r="AQ2449" s="158"/>
      <c r="AR2449" s="507"/>
      <c r="AS2449" s="475"/>
      <c r="AT2449" s="160"/>
    </row>
    <row r="2450" spans="1:46" ht="15" hidden="1" customHeight="1">
      <c r="A2450" s="331">
        <v>2449</v>
      </c>
      <c r="B2450" s="209" t="s">
        <v>11442</v>
      </c>
      <c r="C2450" s="159" t="s">
        <v>3765</v>
      </c>
      <c r="D2450" s="447" t="s">
        <v>9866</v>
      </c>
      <c r="E2450" s="361" t="str">
        <f t="shared" ca="1" si="164"/>
        <v>LOSS</v>
      </c>
      <c r="F2450" s="160" t="s">
        <v>10996</v>
      </c>
      <c r="G2450" s="159" t="s">
        <v>11530</v>
      </c>
      <c r="H2450" s="160" t="s">
        <v>8588</v>
      </c>
      <c r="I2450" s="160" t="s">
        <v>511</v>
      </c>
      <c r="J2450" s="159"/>
      <c r="K2450" s="181" t="s">
        <v>11531</v>
      </c>
      <c r="L2450" s="158"/>
      <c r="M2450" s="158" t="s">
        <v>7267</v>
      </c>
      <c r="N2450" s="158" t="s">
        <v>6649</v>
      </c>
      <c r="O2450" s="162"/>
      <c r="P2450" s="161">
        <f>5400000*12</f>
        <v>64800000</v>
      </c>
      <c r="Q2450" s="161"/>
      <c r="R2450" s="162"/>
      <c r="S2450" s="163"/>
      <c r="T2450" s="213">
        <v>0.1</v>
      </c>
      <c r="U2450" s="344">
        <v>45433</v>
      </c>
      <c r="V2450" s="340">
        <v>45797</v>
      </c>
      <c r="W2450" s="158" t="s">
        <v>250</v>
      </c>
      <c r="X2450" s="158"/>
      <c r="Y2450" s="164">
        <f t="shared" ca="1" si="163"/>
        <v>46290</v>
      </c>
      <c r="Z2450" s="207">
        <f t="shared" ca="1" si="161"/>
        <v>-493</v>
      </c>
      <c r="AA2450" s="158">
        <f t="shared" si="162"/>
        <v>5</v>
      </c>
      <c r="AB2450" s="158">
        <f t="shared" si="165"/>
        <v>2025</v>
      </c>
      <c r="AC2450" s="159"/>
      <c r="AD2450" s="159"/>
      <c r="AE2450" s="184"/>
      <c r="AF2450" s="158" t="s">
        <v>356</v>
      </c>
      <c r="AG2450" s="160"/>
      <c r="AH2450" s="160"/>
      <c r="AI2450" s="158"/>
      <c r="AJ2450" s="158"/>
      <c r="AK2450" s="158"/>
      <c r="AL2450" s="158"/>
      <c r="AM2450" s="158"/>
      <c r="AN2450" s="158"/>
      <c r="AO2450" s="158"/>
      <c r="AP2450" s="158"/>
      <c r="AQ2450" s="158"/>
      <c r="AR2450" s="507"/>
      <c r="AS2450" s="475"/>
      <c r="AT2450" s="160"/>
    </row>
    <row r="2451" spans="1:46" ht="15" hidden="1" customHeight="1">
      <c r="A2451" s="331">
        <v>2450</v>
      </c>
      <c r="B2451" s="209" t="s">
        <v>11442</v>
      </c>
      <c r="C2451" s="159" t="s">
        <v>3765</v>
      </c>
      <c r="D2451" s="447" t="s">
        <v>9866</v>
      </c>
      <c r="E2451" s="361" t="str">
        <f t="shared" ca="1" si="164"/>
        <v>LOSS</v>
      </c>
      <c r="F2451" s="160" t="s">
        <v>10996</v>
      </c>
      <c r="G2451" s="159" t="s">
        <v>11532</v>
      </c>
      <c r="H2451" s="160" t="s">
        <v>8588</v>
      </c>
      <c r="I2451" s="160" t="s">
        <v>511</v>
      </c>
      <c r="J2451" s="159"/>
      <c r="K2451" s="181" t="s">
        <v>11533</v>
      </c>
      <c r="L2451" s="158"/>
      <c r="M2451" s="158" t="s">
        <v>11534</v>
      </c>
      <c r="N2451" s="158" t="s">
        <v>494</v>
      </c>
      <c r="O2451" s="162"/>
      <c r="P2451" s="161">
        <f>6412500*12</f>
        <v>76950000</v>
      </c>
      <c r="Q2451" s="161"/>
      <c r="R2451" s="162"/>
      <c r="S2451" s="163"/>
      <c r="T2451" s="213">
        <v>0.1</v>
      </c>
      <c r="U2451" s="344">
        <v>45433</v>
      </c>
      <c r="V2451" s="340">
        <v>45797</v>
      </c>
      <c r="W2451" s="158" t="s">
        <v>250</v>
      </c>
      <c r="X2451" s="158"/>
      <c r="Y2451" s="164">
        <f t="shared" ca="1" si="163"/>
        <v>46290</v>
      </c>
      <c r="Z2451" s="207">
        <f t="shared" ca="1" si="161"/>
        <v>-493</v>
      </c>
      <c r="AA2451" s="158">
        <f t="shared" si="162"/>
        <v>5</v>
      </c>
      <c r="AB2451" s="158">
        <f t="shared" si="165"/>
        <v>2025</v>
      </c>
      <c r="AC2451" s="159"/>
      <c r="AD2451" s="159"/>
      <c r="AE2451" s="184"/>
      <c r="AF2451" s="158" t="s">
        <v>356</v>
      </c>
      <c r="AG2451" s="160"/>
      <c r="AH2451" s="160"/>
      <c r="AI2451" s="158"/>
      <c r="AJ2451" s="158"/>
      <c r="AK2451" s="158"/>
      <c r="AL2451" s="158"/>
      <c r="AM2451" s="158"/>
      <c r="AN2451" s="158"/>
      <c r="AO2451" s="158"/>
      <c r="AP2451" s="158"/>
      <c r="AQ2451" s="158"/>
      <c r="AR2451" s="507"/>
      <c r="AS2451" s="475"/>
      <c r="AT2451" s="160"/>
    </row>
    <row r="2452" spans="1:46" ht="15" hidden="1" customHeight="1">
      <c r="A2452" s="331">
        <v>2451</v>
      </c>
      <c r="B2452" s="209" t="s">
        <v>11442</v>
      </c>
      <c r="C2452" s="159" t="s">
        <v>11535</v>
      </c>
      <c r="D2452" s="447" t="s">
        <v>9866</v>
      </c>
      <c r="E2452" s="361" t="str">
        <f t="shared" ca="1" si="164"/>
        <v>LOSS</v>
      </c>
      <c r="F2452" s="160" t="s">
        <v>11441</v>
      </c>
      <c r="G2452" s="159" t="s">
        <v>11536</v>
      </c>
      <c r="H2452" s="160" t="s">
        <v>8588</v>
      </c>
      <c r="I2452" s="160" t="s">
        <v>511</v>
      </c>
      <c r="J2452" s="159"/>
      <c r="K2452" s="181" t="s">
        <v>11537</v>
      </c>
      <c r="L2452" s="158"/>
      <c r="M2452" s="158" t="s">
        <v>7267</v>
      </c>
      <c r="N2452" s="158" t="s">
        <v>6949</v>
      </c>
      <c r="O2452" s="162"/>
      <c r="P2452" s="161">
        <f>5300000*12</f>
        <v>63600000</v>
      </c>
      <c r="Q2452" s="161"/>
      <c r="R2452" s="162"/>
      <c r="S2452" s="163"/>
      <c r="T2452" s="213">
        <v>0.1</v>
      </c>
      <c r="U2452" s="344">
        <v>45433</v>
      </c>
      <c r="V2452" s="340">
        <v>45797</v>
      </c>
      <c r="W2452" s="158" t="s">
        <v>250</v>
      </c>
      <c r="X2452" s="158"/>
      <c r="Y2452" s="164">
        <f t="shared" ca="1" si="163"/>
        <v>46290</v>
      </c>
      <c r="Z2452" s="207">
        <f t="shared" ca="1" si="161"/>
        <v>-493</v>
      </c>
      <c r="AA2452" s="158">
        <f t="shared" si="162"/>
        <v>5</v>
      </c>
      <c r="AB2452" s="158">
        <f t="shared" si="165"/>
        <v>2025</v>
      </c>
      <c r="AC2452" s="159"/>
      <c r="AD2452" s="159"/>
      <c r="AE2452" s="184"/>
      <c r="AF2452" s="158" t="s">
        <v>356</v>
      </c>
      <c r="AG2452" s="160"/>
      <c r="AH2452" s="160"/>
      <c r="AI2452" s="158"/>
      <c r="AJ2452" s="158"/>
      <c r="AK2452" s="158"/>
      <c r="AL2452" s="158"/>
      <c r="AM2452" s="158"/>
      <c r="AN2452" s="158"/>
      <c r="AO2452" s="158"/>
      <c r="AP2452" s="158"/>
      <c r="AQ2452" s="158"/>
      <c r="AR2452" s="507"/>
      <c r="AS2452" s="475"/>
      <c r="AT2452" s="160"/>
    </row>
    <row r="2453" spans="1:46" ht="15" hidden="1" customHeight="1">
      <c r="A2453" s="331">
        <v>2452</v>
      </c>
      <c r="B2453" s="209" t="s">
        <v>11442</v>
      </c>
      <c r="C2453" s="159" t="s">
        <v>11538</v>
      </c>
      <c r="D2453" s="447" t="s">
        <v>9866</v>
      </c>
      <c r="E2453" s="361" t="str">
        <f t="shared" ca="1" si="164"/>
        <v>LOSS</v>
      </c>
      <c r="F2453" s="160" t="s">
        <v>11441</v>
      </c>
      <c r="G2453" s="159" t="s">
        <v>11539</v>
      </c>
      <c r="H2453" s="160" t="s">
        <v>8588</v>
      </c>
      <c r="I2453" s="160" t="s">
        <v>511</v>
      </c>
      <c r="J2453" s="159"/>
      <c r="K2453" s="181" t="s">
        <v>11540</v>
      </c>
      <c r="L2453" s="158"/>
      <c r="M2453" s="158" t="s">
        <v>11541</v>
      </c>
      <c r="N2453" s="158" t="s">
        <v>494</v>
      </c>
      <c r="O2453" s="162"/>
      <c r="P2453" s="161">
        <f>6000000*12</f>
        <v>72000000</v>
      </c>
      <c r="Q2453" s="161"/>
      <c r="R2453" s="162"/>
      <c r="S2453" s="163"/>
      <c r="T2453" s="213">
        <v>0.1</v>
      </c>
      <c r="U2453" s="344">
        <v>45433</v>
      </c>
      <c r="V2453" s="340">
        <v>45797</v>
      </c>
      <c r="W2453" s="158" t="s">
        <v>250</v>
      </c>
      <c r="X2453" s="158"/>
      <c r="Y2453" s="164">
        <f t="shared" ca="1" si="163"/>
        <v>46290</v>
      </c>
      <c r="Z2453" s="207">
        <f t="shared" ca="1" si="161"/>
        <v>-493</v>
      </c>
      <c r="AA2453" s="158">
        <f t="shared" si="162"/>
        <v>5</v>
      </c>
      <c r="AB2453" s="158">
        <f t="shared" si="165"/>
        <v>2025</v>
      </c>
      <c r="AC2453" s="159"/>
      <c r="AD2453" s="159"/>
      <c r="AE2453" s="184"/>
      <c r="AF2453" s="158" t="s">
        <v>356</v>
      </c>
      <c r="AG2453" s="160"/>
      <c r="AH2453" s="160"/>
      <c r="AI2453" s="158"/>
      <c r="AJ2453" s="158"/>
      <c r="AK2453" s="158"/>
      <c r="AL2453" s="158"/>
      <c r="AM2453" s="158"/>
      <c r="AN2453" s="158"/>
      <c r="AO2453" s="158"/>
      <c r="AP2453" s="158"/>
      <c r="AQ2453" s="158"/>
      <c r="AR2453" s="507"/>
      <c r="AS2453" s="475"/>
      <c r="AT2453" s="160"/>
    </row>
    <row r="2454" spans="1:46" ht="15" hidden="1" customHeight="1">
      <c r="A2454" s="331">
        <v>2453</v>
      </c>
      <c r="B2454" s="209" t="s">
        <v>11442</v>
      </c>
      <c r="C2454" s="159" t="s">
        <v>11542</v>
      </c>
      <c r="D2454" s="447" t="s">
        <v>9866</v>
      </c>
      <c r="E2454" s="361" t="str">
        <f t="shared" ca="1" si="164"/>
        <v>LOSS</v>
      </c>
      <c r="F2454" s="160" t="s">
        <v>11441</v>
      </c>
      <c r="G2454" s="159" t="s">
        <v>11543</v>
      </c>
      <c r="H2454" s="160" t="s">
        <v>8588</v>
      </c>
      <c r="I2454" s="160" t="s">
        <v>511</v>
      </c>
      <c r="J2454" s="159"/>
      <c r="K2454" s="181" t="s">
        <v>11544</v>
      </c>
      <c r="L2454" s="158"/>
      <c r="M2454" s="158" t="s">
        <v>6788</v>
      </c>
      <c r="N2454" s="158" t="s">
        <v>6835</v>
      </c>
      <c r="O2454" s="162"/>
      <c r="P2454" s="161">
        <f>1620750*12</f>
        <v>19449000</v>
      </c>
      <c r="Q2454" s="161"/>
      <c r="R2454" s="162"/>
      <c r="S2454" s="163"/>
      <c r="T2454" s="213">
        <v>0.1</v>
      </c>
      <c r="U2454" s="344">
        <v>45433</v>
      </c>
      <c r="V2454" s="340">
        <v>45797</v>
      </c>
      <c r="W2454" s="158" t="s">
        <v>250</v>
      </c>
      <c r="X2454" s="158"/>
      <c r="Y2454" s="164">
        <f t="shared" ca="1" si="163"/>
        <v>46290</v>
      </c>
      <c r="Z2454" s="207">
        <f t="shared" ca="1" si="161"/>
        <v>-493</v>
      </c>
      <c r="AA2454" s="158">
        <f t="shared" si="162"/>
        <v>5</v>
      </c>
      <c r="AB2454" s="158">
        <f t="shared" si="165"/>
        <v>2025</v>
      </c>
      <c r="AC2454" s="159"/>
      <c r="AD2454" s="159"/>
      <c r="AE2454" s="184"/>
      <c r="AF2454" s="158" t="s">
        <v>356</v>
      </c>
      <c r="AG2454" s="160"/>
      <c r="AH2454" s="160"/>
      <c r="AI2454" s="158"/>
      <c r="AJ2454" s="158"/>
      <c r="AK2454" s="158"/>
      <c r="AL2454" s="158"/>
      <c r="AM2454" s="158"/>
      <c r="AN2454" s="158"/>
      <c r="AO2454" s="158"/>
      <c r="AP2454" s="158"/>
      <c r="AQ2454" s="158"/>
      <c r="AR2454" s="507"/>
      <c r="AS2454" s="475"/>
      <c r="AT2454" s="160"/>
    </row>
    <row r="2455" spans="1:46" ht="15" hidden="1" customHeight="1">
      <c r="A2455" s="331">
        <v>2454</v>
      </c>
      <c r="B2455" s="209" t="s">
        <v>11442</v>
      </c>
      <c r="C2455" s="159" t="s">
        <v>11545</v>
      </c>
      <c r="D2455" s="447" t="s">
        <v>9866</v>
      </c>
      <c r="E2455" s="361" t="str">
        <f t="shared" ca="1" si="164"/>
        <v>LOSS</v>
      </c>
      <c r="F2455" s="160" t="s">
        <v>11441</v>
      </c>
      <c r="G2455" s="159" t="s">
        <v>11546</v>
      </c>
      <c r="H2455" s="160" t="s">
        <v>8588</v>
      </c>
      <c r="I2455" s="160" t="s">
        <v>511</v>
      </c>
      <c r="J2455" s="159"/>
      <c r="K2455" s="160" t="s">
        <v>11547</v>
      </c>
      <c r="L2455" s="158"/>
      <c r="M2455" s="158" t="s">
        <v>7267</v>
      </c>
      <c r="N2455" s="158" t="s">
        <v>362</v>
      </c>
      <c r="O2455" s="162"/>
      <c r="P2455" s="161">
        <f>8000000*12</f>
        <v>96000000</v>
      </c>
      <c r="Q2455" s="161"/>
      <c r="R2455" s="162"/>
      <c r="S2455" s="163"/>
      <c r="T2455" s="213">
        <v>0.1</v>
      </c>
      <c r="U2455" s="344">
        <v>45433</v>
      </c>
      <c r="V2455" s="340">
        <v>45797</v>
      </c>
      <c r="W2455" s="158" t="s">
        <v>250</v>
      </c>
      <c r="X2455" s="158"/>
      <c r="Y2455" s="164">
        <f t="shared" ca="1" si="163"/>
        <v>46290</v>
      </c>
      <c r="Z2455" s="207">
        <f t="shared" ca="1" si="161"/>
        <v>-493</v>
      </c>
      <c r="AA2455" s="158">
        <f t="shared" si="162"/>
        <v>5</v>
      </c>
      <c r="AB2455" s="158">
        <f t="shared" si="165"/>
        <v>2025</v>
      </c>
      <c r="AC2455" s="159"/>
      <c r="AD2455" s="159"/>
      <c r="AE2455" s="184"/>
      <c r="AF2455" s="158" t="s">
        <v>356</v>
      </c>
      <c r="AG2455" s="160"/>
      <c r="AH2455" s="160"/>
      <c r="AI2455" s="158"/>
      <c r="AJ2455" s="158"/>
      <c r="AK2455" s="158"/>
      <c r="AL2455" s="158"/>
      <c r="AM2455" s="158"/>
      <c r="AN2455" s="158"/>
      <c r="AO2455" s="158"/>
      <c r="AP2455" s="158"/>
      <c r="AQ2455" s="158"/>
      <c r="AR2455" s="507"/>
      <c r="AS2455" s="475"/>
      <c r="AT2455" s="160"/>
    </row>
    <row r="2456" spans="1:46" ht="15" hidden="1" customHeight="1">
      <c r="A2456" s="331">
        <v>2455</v>
      </c>
      <c r="B2456" s="209" t="s">
        <v>11442</v>
      </c>
      <c r="C2456" s="159" t="s">
        <v>11548</v>
      </c>
      <c r="D2456" s="447" t="s">
        <v>9866</v>
      </c>
      <c r="E2456" s="361" t="str">
        <f t="shared" ca="1" si="164"/>
        <v>LOSS</v>
      </c>
      <c r="F2456" s="160" t="s">
        <v>11549</v>
      </c>
      <c r="G2456" s="159" t="s">
        <v>11550</v>
      </c>
      <c r="H2456" s="160" t="s">
        <v>8588</v>
      </c>
      <c r="I2456" s="160" t="s">
        <v>511</v>
      </c>
      <c r="J2456" s="159"/>
      <c r="K2456" s="181" t="s">
        <v>11551</v>
      </c>
      <c r="L2456" s="158"/>
      <c r="M2456" s="158" t="s">
        <v>11552</v>
      </c>
      <c r="N2456" s="158" t="s">
        <v>494</v>
      </c>
      <c r="O2456" s="162"/>
      <c r="P2456" s="161">
        <f>4850000*12</f>
        <v>58200000</v>
      </c>
      <c r="Q2456" s="161"/>
      <c r="R2456" s="162"/>
      <c r="S2456" s="163"/>
      <c r="T2456" s="213">
        <v>0.1</v>
      </c>
      <c r="U2456" s="344">
        <v>45433</v>
      </c>
      <c r="V2456" s="340">
        <v>45797</v>
      </c>
      <c r="W2456" s="158" t="s">
        <v>250</v>
      </c>
      <c r="X2456" s="158"/>
      <c r="Y2456" s="164">
        <f t="shared" ca="1" si="163"/>
        <v>46290</v>
      </c>
      <c r="Z2456" s="207">
        <f t="shared" ca="1" si="161"/>
        <v>-493</v>
      </c>
      <c r="AA2456" s="158">
        <f t="shared" si="162"/>
        <v>5</v>
      </c>
      <c r="AB2456" s="158">
        <f t="shared" si="165"/>
        <v>2025</v>
      </c>
      <c r="AC2456" s="159"/>
      <c r="AD2456" s="159"/>
      <c r="AE2456" s="184"/>
      <c r="AF2456" s="158" t="s">
        <v>356</v>
      </c>
      <c r="AG2456" s="160"/>
      <c r="AH2456" s="160"/>
      <c r="AI2456" s="158"/>
      <c r="AJ2456" s="158"/>
      <c r="AK2456" s="158"/>
      <c r="AL2456" s="158"/>
      <c r="AM2456" s="158"/>
      <c r="AN2456" s="158"/>
      <c r="AO2456" s="158"/>
      <c r="AP2456" s="158"/>
      <c r="AQ2456" s="158"/>
      <c r="AR2456" s="507"/>
      <c r="AS2456" s="475"/>
      <c r="AT2456" s="160"/>
    </row>
    <row r="2457" spans="1:46" ht="15" hidden="1" customHeight="1">
      <c r="A2457" s="331">
        <v>2456</v>
      </c>
      <c r="B2457" s="209" t="s">
        <v>11442</v>
      </c>
      <c r="C2457" s="159" t="s">
        <v>11443</v>
      </c>
      <c r="D2457" s="447" t="s">
        <v>9866</v>
      </c>
      <c r="E2457" s="361" t="str">
        <f t="shared" ca="1" si="164"/>
        <v>LOSS</v>
      </c>
      <c r="F2457" s="210" t="s">
        <v>11444</v>
      </c>
      <c r="G2457" s="159" t="s">
        <v>11445</v>
      </c>
      <c r="H2457" s="160" t="s">
        <v>8588</v>
      </c>
      <c r="I2457" s="160" t="s">
        <v>511</v>
      </c>
      <c r="J2457" s="159" t="s">
        <v>11446</v>
      </c>
      <c r="K2457" s="160" t="s">
        <v>11447</v>
      </c>
      <c r="L2457" s="158"/>
      <c r="M2457" s="208" t="s">
        <v>365</v>
      </c>
      <c r="N2457" s="158"/>
      <c r="O2457" s="162"/>
      <c r="P2457" s="161">
        <f>13500000*12</f>
        <v>162000000</v>
      </c>
      <c r="Q2457" s="161"/>
      <c r="R2457" s="162"/>
      <c r="S2457" s="211"/>
      <c r="T2457" s="213">
        <v>0.15</v>
      </c>
      <c r="U2457" s="344">
        <v>45798</v>
      </c>
      <c r="V2457" s="340">
        <v>46162</v>
      </c>
      <c r="W2457" s="158" t="s">
        <v>17</v>
      </c>
      <c r="X2457" s="158"/>
      <c r="Y2457" s="164">
        <f t="shared" ca="1" si="163"/>
        <v>46290</v>
      </c>
      <c r="Z2457" s="207">
        <f t="shared" ca="1" si="161"/>
        <v>-128</v>
      </c>
      <c r="AA2457" s="158">
        <f t="shared" si="162"/>
        <v>5</v>
      </c>
      <c r="AB2457" s="158">
        <f t="shared" si="165"/>
        <v>2026</v>
      </c>
      <c r="AC2457" s="159"/>
      <c r="AD2457" s="159"/>
      <c r="AE2457" s="158"/>
      <c r="AF2457" s="158" t="s">
        <v>356</v>
      </c>
      <c r="AG2457" s="160"/>
      <c r="AH2457" s="160"/>
      <c r="AI2457" s="158"/>
      <c r="AJ2457" s="158"/>
      <c r="AK2457" s="158"/>
      <c r="AL2457" s="158"/>
      <c r="AM2457" s="158"/>
      <c r="AN2457" s="158"/>
      <c r="AO2457" s="158"/>
      <c r="AP2457" s="158"/>
      <c r="AQ2457" s="158"/>
      <c r="AR2457" s="507"/>
      <c r="AS2457" s="475"/>
      <c r="AT2457" s="160"/>
    </row>
    <row r="2458" spans="1:46" ht="15" hidden="1" customHeight="1">
      <c r="A2458" s="331">
        <v>2457</v>
      </c>
      <c r="B2458" s="209" t="s">
        <v>11442</v>
      </c>
      <c r="C2458" s="159" t="s">
        <v>11448</v>
      </c>
      <c r="D2458" s="447" t="s">
        <v>9866</v>
      </c>
      <c r="E2458" s="361" t="str">
        <f t="shared" ca="1" si="164"/>
        <v>LOSS</v>
      </c>
      <c r="F2458" s="233" t="s">
        <v>11449</v>
      </c>
      <c r="G2458" s="159" t="s">
        <v>11450</v>
      </c>
      <c r="H2458" s="160" t="s">
        <v>8588</v>
      </c>
      <c r="I2458" s="160" t="s">
        <v>511</v>
      </c>
      <c r="J2458" s="159"/>
      <c r="K2458" s="160" t="s">
        <v>11451</v>
      </c>
      <c r="L2458" s="158"/>
      <c r="M2458" s="208" t="s">
        <v>365</v>
      </c>
      <c r="N2458" s="158"/>
      <c r="O2458" s="162"/>
      <c r="P2458" s="161">
        <f>2500000*12</f>
        <v>30000000</v>
      </c>
      <c r="Q2458" s="161"/>
      <c r="R2458" s="162"/>
      <c r="S2458" s="211"/>
      <c r="T2458" s="213">
        <v>0.15</v>
      </c>
      <c r="U2458" s="344">
        <v>45798</v>
      </c>
      <c r="V2458" s="340">
        <v>46162</v>
      </c>
      <c r="W2458" s="158" t="s">
        <v>17</v>
      </c>
      <c r="X2458" s="158"/>
      <c r="Y2458" s="164">
        <f t="shared" ca="1" si="163"/>
        <v>46290</v>
      </c>
      <c r="Z2458" s="207">
        <f t="shared" ca="1" si="161"/>
        <v>-128</v>
      </c>
      <c r="AA2458" s="158">
        <f t="shared" si="162"/>
        <v>5</v>
      </c>
      <c r="AB2458" s="158">
        <f t="shared" si="165"/>
        <v>2026</v>
      </c>
      <c r="AC2458" s="159"/>
      <c r="AD2458" s="159"/>
      <c r="AE2458" s="158"/>
      <c r="AF2458" s="158" t="s">
        <v>356</v>
      </c>
      <c r="AG2458" s="160"/>
      <c r="AH2458" s="160"/>
      <c r="AI2458" s="158"/>
      <c r="AJ2458" s="158"/>
      <c r="AK2458" s="158"/>
      <c r="AL2458" s="158"/>
      <c r="AM2458" s="158"/>
      <c r="AN2458" s="158"/>
      <c r="AO2458" s="158"/>
      <c r="AP2458" s="158"/>
      <c r="AQ2458" s="158"/>
      <c r="AR2458" s="507"/>
      <c r="AS2458" s="475"/>
      <c r="AT2458" s="160"/>
    </row>
    <row r="2459" spans="1:46" ht="15" hidden="1" customHeight="1">
      <c r="A2459" s="331">
        <v>2458</v>
      </c>
      <c r="B2459" s="209" t="s">
        <v>11442</v>
      </c>
      <c r="C2459" s="222" t="s">
        <v>11452</v>
      </c>
      <c r="D2459" s="447" t="s">
        <v>9866</v>
      </c>
      <c r="E2459" s="361" t="str">
        <f t="shared" ca="1" si="164"/>
        <v>LOSS</v>
      </c>
      <c r="F2459" s="233" t="s">
        <v>11453</v>
      </c>
      <c r="G2459" s="159" t="s">
        <v>11454</v>
      </c>
      <c r="H2459" s="160" t="s">
        <v>8588</v>
      </c>
      <c r="I2459" s="160" t="s">
        <v>511</v>
      </c>
      <c r="J2459" s="159" t="s">
        <v>11455</v>
      </c>
      <c r="K2459" s="224" t="s">
        <v>11456</v>
      </c>
      <c r="L2459" s="158"/>
      <c r="M2459" s="208" t="s">
        <v>365</v>
      </c>
      <c r="N2459" s="226"/>
      <c r="O2459" s="162"/>
      <c r="P2459" s="161">
        <f>13000000*12</f>
        <v>156000000</v>
      </c>
      <c r="Q2459" s="161"/>
      <c r="R2459" s="162"/>
      <c r="S2459" s="211"/>
      <c r="T2459" s="213">
        <v>0.15</v>
      </c>
      <c r="U2459" s="344">
        <v>45798</v>
      </c>
      <c r="V2459" s="340">
        <v>46162</v>
      </c>
      <c r="W2459" s="158" t="s">
        <v>17</v>
      </c>
      <c r="X2459" s="158"/>
      <c r="Y2459" s="164">
        <f t="shared" ca="1" si="163"/>
        <v>46290</v>
      </c>
      <c r="Z2459" s="207">
        <f t="shared" ca="1" si="161"/>
        <v>-128</v>
      </c>
      <c r="AA2459" s="158">
        <f t="shared" si="162"/>
        <v>5</v>
      </c>
      <c r="AB2459" s="158">
        <f t="shared" si="165"/>
        <v>2026</v>
      </c>
      <c r="AC2459" s="159"/>
      <c r="AD2459" s="159"/>
      <c r="AE2459" s="158"/>
      <c r="AF2459" s="158" t="s">
        <v>356</v>
      </c>
      <c r="AG2459" s="160"/>
      <c r="AH2459" s="160"/>
      <c r="AI2459" s="158"/>
      <c r="AJ2459" s="158"/>
      <c r="AK2459" s="158"/>
      <c r="AL2459" s="158"/>
      <c r="AM2459" s="158"/>
      <c r="AN2459" s="158"/>
      <c r="AO2459" s="158"/>
      <c r="AP2459" s="158"/>
      <c r="AQ2459" s="158"/>
      <c r="AR2459" s="507"/>
      <c r="AS2459" s="475"/>
      <c r="AT2459" s="160"/>
    </row>
    <row r="2460" spans="1:46" ht="15" hidden="1" customHeight="1">
      <c r="A2460" s="331">
        <v>2459</v>
      </c>
      <c r="B2460" s="209" t="s">
        <v>11442</v>
      </c>
      <c r="C2460" s="222" t="s">
        <v>11457</v>
      </c>
      <c r="D2460" s="447" t="s">
        <v>9866</v>
      </c>
      <c r="E2460" s="361" t="str">
        <f t="shared" ca="1" si="164"/>
        <v>LOSS</v>
      </c>
      <c r="F2460" s="214" t="s">
        <v>115</v>
      </c>
      <c r="G2460" s="222" t="s">
        <v>11458</v>
      </c>
      <c r="H2460" s="160" t="s">
        <v>8588</v>
      </c>
      <c r="I2460" s="160" t="s">
        <v>511</v>
      </c>
      <c r="J2460" s="159" t="s">
        <v>11459</v>
      </c>
      <c r="K2460" s="224" t="s">
        <v>11460</v>
      </c>
      <c r="L2460" s="158"/>
      <c r="M2460" s="158" t="s">
        <v>8709</v>
      </c>
      <c r="N2460" s="226" t="s">
        <v>6735</v>
      </c>
      <c r="O2460" s="162"/>
      <c r="P2460" s="161">
        <f>7000000*12</f>
        <v>84000000</v>
      </c>
      <c r="Q2460" s="161"/>
      <c r="R2460" s="162"/>
      <c r="S2460" s="211"/>
      <c r="T2460" s="213">
        <v>0.15</v>
      </c>
      <c r="U2460" s="344">
        <v>45798</v>
      </c>
      <c r="V2460" s="340">
        <v>46162</v>
      </c>
      <c r="W2460" s="158" t="s">
        <v>17</v>
      </c>
      <c r="X2460" s="158"/>
      <c r="Y2460" s="164">
        <f t="shared" ca="1" si="163"/>
        <v>46290</v>
      </c>
      <c r="Z2460" s="207">
        <f t="shared" ca="1" si="161"/>
        <v>-128</v>
      </c>
      <c r="AA2460" s="158">
        <f t="shared" si="162"/>
        <v>5</v>
      </c>
      <c r="AB2460" s="158">
        <f t="shared" si="165"/>
        <v>2026</v>
      </c>
      <c r="AC2460" s="159"/>
      <c r="AD2460" s="159"/>
      <c r="AE2460" s="158"/>
      <c r="AF2460" s="158" t="s">
        <v>356</v>
      </c>
      <c r="AG2460" s="160"/>
      <c r="AH2460" s="160"/>
      <c r="AI2460" s="158"/>
      <c r="AJ2460" s="158"/>
      <c r="AK2460" s="158"/>
      <c r="AL2460" s="158"/>
      <c r="AM2460" s="158"/>
      <c r="AN2460" s="158"/>
      <c r="AO2460" s="158"/>
      <c r="AP2460" s="158"/>
      <c r="AQ2460" s="158"/>
      <c r="AR2460" s="507"/>
      <c r="AS2460" s="475"/>
      <c r="AT2460" s="160"/>
    </row>
    <row r="2461" spans="1:46" ht="15" hidden="1" customHeight="1">
      <c r="A2461" s="331">
        <v>2460</v>
      </c>
      <c r="B2461" s="209" t="s">
        <v>11442</v>
      </c>
      <c r="C2461" s="222" t="s">
        <v>11461</v>
      </c>
      <c r="D2461" s="447" t="s">
        <v>9866</v>
      </c>
      <c r="E2461" s="361" t="str">
        <f t="shared" ca="1" si="164"/>
        <v>LOSS</v>
      </c>
      <c r="F2461" s="214" t="s">
        <v>115</v>
      </c>
      <c r="G2461" s="222" t="s">
        <v>11462</v>
      </c>
      <c r="H2461" s="160" t="s">
        <v>8588</v>
      </c>
      <c r="I2461" s="160" t="s">
        <v>511</v>
      </c>
      <c r="J2461" s="159" t="s">
        <v>11463</v>
      </c>
      <c r="K2461" s="224" t="s">
        <v>11464</v>
      </c>
      <c r="L2461" s="158"/>
      <c r="M2461" s="158" t="s">
        <v>8709</v>
      </c>
      <c r="N2461" s="226" t="s">
        <v>468</v>
      </c>
      <c r="O2461" s="162"/>
      <c r="P2461" s="161">
        <f>7000000*12</f>
        <v>84000000</v>
      </c>
      <c r="Q2461" s="161"/>
      <c r="R2461" s="162"/>
      <c r="S2461" s="211"/>
      <c r="T2461" s="213">
        <v>0.15</v>
      </c>
      <c r="U2461" s="344">
        <v>45798</v>
      </c>
      <c r="V2461" s="340">
        <v>46162</v>
      </c>
      <c r="W2461" s="158" t="s">
        <v>17</v>
      </c>
      <c r="X2461" s="158"/>
      <c r="Y2461" s="164">
        <f t="shared" ca="1" si="163"/>
        <v>46290</v>
      </c>
      <c r="Z2461" s="207">
        <f t="shared" ca="1" si="161"/>
        <v>-128</v>
      </c>
      <c r="AA2461" s="158">
        <f t="shared" si="162"/>
        <v>5</v>
      </c>
      <c r="AB2461" s="158">
        <f t="shared" si="165"/>
        <v>2026</v>
      </c>
      <c r="AC2461" s="159"/>
      <c r="AD2461" s="159"/>
      <c r="AE2461" s="158"/>
      <c r="AF2461" s="158" t="s">
        <v>356</v>
      </c>
      <c r="AG2461" s="160"/>
      <c r="AH2461" s="160"/>
      <c r="AI2461" s="158"/>
      <c r="AJ2461" s="158"/>
      <c r="AK2461" s="158"/>
      <c r="AL2461" s="158"/>
      <c r="AM2461" s="158"/>
      <c r="AN2461" s="158"/>
      <c r="AO2461" s="158"/>
      <c r="AP2461" s="158"/>
      <c r="AQ2461" s="158"/>
      <c r="AR2461" s="507"/>
      <c r="AS2461" s="475"/>
      <c r="AT2461" s="160"/>
    </row>
    <row r="2462" spans="1:46" ht="15" hidden="1" customHeight="1">
      <c r="A2462" s="331">
        <v>2461</v>
      </c>
      <c r="B2462" s="209" t="s">
        <v>11442</v>
      </c>
      <c r="C2462" s="159" t="s">
        <v>11465</v>
      </c>
      <c r="D2462" s="447" t="s">
        <v>9866</v>
      </c>
      <c r="E2462" s="361" t="str">
        <f t="shared" ca="1" si="164"/>
        <v>LOSS</v>
      </c>
      <c r="F2462" s="214" t="s">
        <v>115</v>
      </c>
      <c r="G2462" s="159" t="s">
        <v>11466</v>
      </c>
      <c r="H2462" s="160" t="s">
        <v>8588</v>
      </c>
      <c r="I2462" s="160" t="s">
        <v>511</v>
      </c>
      <c r="J2462" s="159" t="s">
        <v>11467</v>
      </c>
      <c r="K2462" s="160" t="s">
        <v>11468</v>
      </c>
      <c r="L2462" s="158"/>
      <c r="M2462" s="158" t="s">
        <v>11469</v>
      </c>
      <c r="N2462" s="158" t="s">
        <v>406</v>
      </c>
      <c r="O2462" s="162"/>
      <c r="P2462" s="161">
        <f>10000000*12</f>
        <v>120000000</v>
      </c>
      <c r="Q2462" s="161"/>
      <c r="R2462" s="162"/>
      <c r="S2462" s="211"/>
      <c r="T2462" s="213">
        <v>0.15</v>
      </c>
      <c r="U2462" s="344">
        <v>45798</v>
      </c>
      <c r="V2462" s="340">
        <v>46162</v>
      </c>
      <c r="W2462" s="158" t="s">
        <v>17</v>
      </c>
      <c r="X2462" s="158"/>
      <c r="Y2462" s="164">
        <f t="shared" ca="1" si="163"/>
        <v>46290</v>
      </c>
      <c r="Z2462" s="207">
        <f t="shared" ca="1" si="161"/>
        <v>-128</v>
      </c>
      <c r="AA2462" s="158">
        <f t="shared" si="162"/>
        <v>5</v>
      </c>
      <c r="AB2462" s="158">
        <f t="shared" si="165"/>
        <v>2026</v>
      </c>
      <c r="AC2462" s="159"/>
      <c r="AD2462" s="159"/>
      <c r="AE2462" s="158"/>
      <c r="AF2462" s="158" t="s">
        <v>356</v>
      </c>
      <c r="AG2462" s="160"/>
      <c r="AH2462" s="160"/>
      <c r="AI2462" s="158"/>
      <c r="AJ2462" s="158"/>
      <c r="AK2462" s="158"/>
      <c r="AL2462" s="158"/>
      <c r="AM2462" s="158"/>
      <c r="AN2462" s="158"/>
      <c r="AO2462" s="158"/>
      <c r="AP2462" s="158"/>
      <c r="AQ2462" s="158"/>
      <c r="AR2462" s="507"/>
      <c r="AS2462" s="475"/>
      <c r="AT2462" s="160"/>
    </row>
    <row r="2463" spans="1:46" ht="15" hidden="1" customHeight="1">
      <c r="A2463" s="331">
        <v>2462</v>
      </c>
      <c r="B2463" s="209" t="s">
        <v>11442</v>
      </c>
      <c r="C2463" s="222" t="s">
        <v>11470</v>
      </c>
      <c r="D2463" s="447" t="s">
        <v>9866</v>
      </c>
      <c r="E2463" s="361" t="str">
        <f t="shared" ca="1" si="164"/>
        <v>LOSS</v>
      </c>
      <c r="F2463" s="214" t="s">
        <v>115</v>
      </c>
      <c r="G2463" s="159" t="s">
        <v>11471</v>
      </c>
      <c r="H2463" s="160" t="s">
        <v>8588</v>
      </c>
      <c r="I2463" s="160" t="s">
        <v>511</v>
      </c>
      <c r="J2463" s="159" t="s">
        <v>11472</v>
      </c>
      <c r="K2463" s="160" t="s">
        <v>11473</v>
      </c>
      <c r="L2463" s="158"/>
      <c r="M2463" s="158" t="s">
        <v>353</v>
      </c>
      <c r="N2463" s="158" t="s">
        <v>389</v>
      </c>
      <c r="O2463" s="162"/>
      <c r="P2463" s="161">
        <f>21000000*12</f>
        <v>252000000</v>
      </c>
      <c r="Q2463" s="161"/>
      <c r="R2463" s="162"/>
      <c r="S2463" s="211"/>
      <c r="T2463" s="213">
        <v>0.15</v>
      </c>
      <c r="U2463" s="344">
        <v>45798</v>
      </c>
      <c r="V2463" s="340">
        <v>46162</v>
      </c>
      <c r="W2463" s="158" t="s">
        <v>17</v>
      </c>
      <c r="X2463" s="158"/>
      <c r="Y2463" s="164">
        <f t="shared" ref="Y2463:Y2494" ca="1" si="166">TODAY()</f>
        <v>46290</v>
      </c>
      <c r="Z2463" s="207">
        <f t="shared" ref="Z2463:Z2526" ca="1" si="167">V2463-Y2463</f>
        <v>-128</v>
      </c>
      <c r="AA2463" s="158">
        <f t="shared" ref="AA2463:AA2526" si="168">MONTH(V2463)</f>
        <v>5</v>
      </c>
      <c r="AB2463" s="158">
        <f t="shared" si="165"/>
        <v>2026</v>
      </c>
      <c r="AC2463" s="159"/>
      <c r="AD2463" s="159"/>
      <c r="AE2463" s="158"/>
      <c r="AF2463" s="158" t="s">
        <v>356</v>
      </c>
      <c r="AG2463" s="160"/>
      <c r="AH2463" s="160"/>
      <c r="AI2463" s="158"/>
      <c r="AJ2463" s="158"/>
      <c r="AK2463" s="158"/>
      <c r="AL2463" s="158"/>
      <c r="AM2463" s="158"/>
      <c r="AN2463" s="158"/>
      <c r="AO2463" s="158"/>
      <c r="AP2463" s="158"/>
      <c r="AQ2463" s="158"/>
      <c r="AR2463" s="507"/>
      <c r="AS2463" s="475"/>
      <c r="AT2463" s="160"/>
    </row>
    <row r="2464" spans="1:46" ht="15" hidden="1" customHeight="1">
      <c r="A2464" s="331">
        <v>2463</v>
      </c>
      <c r="B2464" s="209" t="s">
        <v>11442</v>
      </c>
      <c r="C2464" s="159" t="s">
        <v>11474</v>
      </c>
      <c r="D2464" s="447" t="s">
        <v>9866</v>
      </c>
      <c r="E2464" s="361" t="str">
        <f t="shared" ca="1" si="164"/>
        <v>LOSS</v>
      </c>
      <c r="F2464" s="214" t="s">
        <v>115</v>
      </c>
      <c r="G2464" s="159" t="s">
        <v>11475</v>
      </c>
      <c r="H2464" s="160" t="s">
        <v>8588</v>
      </c>
      <c r="I2464" s="160" t="s">
        <v>511</v>
      </c>
      <c r="J2464" s="159" t="s">
        <v>11476</v>
      </c>
      <c r="K2464" s="160" t="s">
        <v>11477</v>
      </c>
      <c r="L2464" s="158"/>
      <c r="M2464" s="158" t="s">
        <v>365</v>
      </c>
      <c r="N2464" s="158" t="s">
        <v>354</v>
      </c>
      <c r="O2464" s="162"/>
      <c r="P2464" s="161">
        <f>2800000*12</f>
        <v>33600000</v>
      </c>
      <c r="Q2464" s="161"/>
      <c r="R2464" s="162"/>
      <c r="S2464" s="211"/>
      <c r="T2464" s="213">
        <v>0.15</v>
      </c>
      <c r="U2464" s="344">
        <v>45798</v>
      </c>
      <c r="V2464" s="340">
        <v>46162</v>
      </c>
      <c r="W2464" s="158" t="s">
        <v>17</v>
      </c>
      <c r="X2464" s="158"/>
      <c r="Y2464" s="164">
        <f t="shared" ca="1" si="166"/>
        <v>46290</v>
      </c>
      <c r="Z2464" s="207">
        <f t="shared" ca="1" si="167"/>
        <v>-128</v>
      </c>
      <c r="AA2464" s="158">
        <f t="shared" si="168"/>
        <v>5</v>
      </c>
      <c r="AB2464" s="158">
        <f t="shared" si="165"/>
        <v>2026</v>
      </c>
      <c r="AC2464" s="159"/>
      <c r="AD2464" s="159"/>
      <c r="AE2464" s="158"/>
      <c r="AF2464" s="158" t="s">
        <v>356</v>
      </c>
      <c r="AG2464" s="160"/>
      <c r="AH2464" s="160"/>
      <c r="AI2464" s="158"/>
      <c r="AJ2464" s="158"/>
      <c r="AK2464" s="158"/>
      <c r="AL2464" s="158"/>
      <c r="AM2464" s="158"/>
      <c r="AN2464" s="158"/>
      <c r="AO2464" s="158"/>
      <c r="AP2464" s="158"/>
      <c r="AQ2464" s="158"/>
      <c r="AR2464" s="507"/>
      <c r="AS2464" s="475"/>
      <c r="AT2464" s="160"/>
    </row>
    <row r="2465" spans="1:46" ht="15" hidden="1" customHeight="1">
      <c r="A2465" s="331">
        <v>2464</v>
      </c>
      <c r="B2465" s="209" t="s">
        <v>11442</v>
      </c>
      <c r="C2465" s="159" t="s">
        <v>11478</v>
      </c>
      <c r="D2465" s="447" t="s">
        <v>9866</v>
      </c>
      <c r="E2465" s="361" t="str">
        <f t="shared" ca="1" si="164"/>
        <v>LOSS</v>
      </c>
      <c r="F2465" s="214" t="s">
        <v>115</v>
      </c>
      <c r="G2465" s="159" t="s">
        <v>11479</v>
      </c>
      <c r="H2465" s="160" t="s">
        <v>8588</v>
      </c>
      <c r="I2465" s="160" t="s">
        <v>511</v>
      </c>
      <c r="J2465" s="159" t="s">
        <v>11480</v>
      </c>
      <c r="K2465" s="160" t="s">
        <v>11481</v>
      </c>
      <c r="L2465" s="158"/>
      <c r="M2465" s="158" t="s">
        <v>353</v>
      </c>
      <c r="N2465" s="158" t="s">
        <v>389</v>
      </c>
      <c r="O2465" s="162"/>
      <c r="P2465" s="161">
        <f>12600000*12</f>
        <v>151200000</v>
      </c>
      <c r="Q2465" s="161"/>
      <c r="R2465" s="162"/>
      <c r="S2465" s="211"/>
      <c r="T2465" s="213">
        <v>0.15</v>
      </c>
      <c r="U2465" s="344">
        <v>45798</v>
      </c>
      <c r="V2465" s="340">
        <v>46162</v>
      </c>
      <c r="W2465" s="158" t="s">
        <v>17</v>
      </c>
      <c r="X2465" s="158"/>
      <c r="Y2465" s="164">
        <f t="shared" ca="1" si="166"/>
        <v>46290</v>
      </c>
      <c r="Z2465" s="207">
        <f t="shared" ca="1" si="167"/>
        <v>-128</v>
      </c>
      <c r="AA2465" s="158">
        <f t="shared" si="168"/>
        <v>5</v>
      </c>
      <c r="AB2465" s="158">
        <f t="shared" si="165"/>
        <v>2026</v>
      </c>
      <c r="AC2465" s="159"/>
      <c r="AD2465" s="159"/>
      <c r="AE2465" s="158"/>
      <c r="AF2465" s="158" t="s">
        <v>356</v>
      </c>
      <c r="AG2465" s="160"/>
      <c r="AH2465" s="160"/>
      <c r="AI2465" s="158"/>
      <c r="AJ2465" s="158"/>
      <c r="AK2465" s="158"/>
      <c r="AL2465" s="158"/>
      <c r="AM2465" s="158"/>
      <c r="AN2465" s="158"/>
      <c r="AO2465" s="158"/>
      <c r="AP2465" s="158"/>
      <c r="AQ2465" s="158"/>
      <c r="AR2465" s="507"/>
      <c r="AS2465" s="475"/>
      <c r="AT2465" s="160"/>
    </row>
    <row r="2466" spans="1:46" ht="15" hidden="1" customHeight="1">
      <c r="A2466" s="331">
        <v>2465</v>
      </c>
      <c r="B2466" s="209" t="s">
        <v>11442</v>
      </c>
      <c r="C2466" s="159" t="s">
        <v>11478</v>
      </c>
      <c r="D2466" s="447" t="s">
        <v>9866</v>
      </c>
      <c r="E2466" s="361" t="str">
        <f t="shared" ca="1" si="164"/>
        <v>LOSS</v>
      </c>
      <c r="F2466" s="210" t="s">
        <v>11482</v>
      </c>
      <c r="G2466" s="159" t="s">
        <v>11479</v>
      </c>
      <c r="H2466" s="160" t="s">
        <v>8588</v>
      </c>
      <c r="I2466" s="160" t="s">
        <v>511</v>
      </c>
      <c r="J2466" s="159" t="s">
        <v>11483</v>
      </c>
      <c r="K2466" s="160" t="s">
        <v>11484</v>
      </c>
      <c r="L2466" s="158"/>
      <c r="M2466" s="158" t="s">
        <v>353</v>
      </c>
      <c r="N2466" s="158" t="s">
        <v>7066</v>
      </c>
      <c r="O2466" s="162"/>
      <c r="P2466" s="161">
        <f>8325000*12</f>
        <v>99900000</v>
      </c>
      <c r="Q2466" s="161"/>
      <c r="R2466" s="162"/>
      <c r="S2466" s="211"/>
      <c r="T2466" s="213">
        <v>0.15</v>
      </c>
      <c r="U2466" s="344">
        <v>45798</v>
      </c>
      <c r="V2466" s="340">
        <v>46162</v>
      </c>
      <c r="W2466" s="158" t="s">
        <v>17</v>
      </c>
      <c r="X2466" s="158"/>
      <c r="Y2466" s="164">
        <f t="shared" ca="1" si="166"/>
        <v>46290</v>
      </c>
      <c r="Z2466" s="207">
        <f t="shared" ca="1" si="167"/>
        <v>-128</v>
      </c>
      <c r="AA2466" s="158">
        <f t="shared" si="168"/>
        <v>5</v>
      </c>
      <c r="AB2466" s="158">
        <f t="shared" si="165"/>
        <v>2026</v>
      </c>
      <c r="AC2466" s="159"/>
      <c r="AD2466" s="159"/>
      <c r="AE2466" s="158"/>
      <c r="AF2466" s="158" t="s">
        <v>356</v>
      </c>
      <c r="AG2466" s="160"/>
      <c r="AH2466" s="160"/>
      <c r="AI2466" s="158"/>
      <c r="AJ2466" s="158"/>
      <c r="AK2466" s="158"/>
      <c r="AL2466" s="158"/>
      <c r="AM2466" s="158"/>
      <c r="AN2466" s="158"/>
      <c r="AO2466" s="158"/>
      <c r="AP2466" s="158"/>
      <c r="AQ2466" s="158"/>
      <c r="AR2466" s="507"/>
      <c r="AS2466" s="475"/>
      <c r="AT2466" s="160"/>
    </row>
    <row r="2467" spans="1:46" ht="15" hidden="1" customHeight="1">
      <c r="A2467" s="331">
        <v>2466</v>
      </c>
      <c r="B2467" s="209" t="s">
        <v>11442</v>
      </c>
      <c r="C2467" s="159" t="s">
        <v>11474</v>
      </c>
      <c r="D2467" s="447" t="s">
        <v>9866</v>
      </c>
      <c r="E2467" s="361" t="str">
        <f t="shared" ca="1" si="164"/>
        <v>LOSS</v>
      </c>
      <c r="F2467" s="160"/>
      <c r="G2467" s="159" t="s">
        <v>11485</v>
      </c>
      <c r="H2467" s="160" t="s">
        <v>8588</v>
      </c>
      <c r="I2467" s="160" t="s">
        <v>511</v>
      </c>
      <c r="J2467" s="159" t="s">
        <v>11486</v>
      </c>
      <c r="K2467" s="160" t="s">
        <v>11487</v>
      </c>
      <c r="L2467" s="158"/>
      <c r="M2467" s="158" t="s">
        <v>365</v>
      </c>
      <c r="N2467" s="158" t="s">
        <v>7193</v>
      </c>
      <c r="O2467" s="162"/>
      <c r="P2467" s="161">
        <f>3200000*12</f>
        <v>38400000</v>
      </c>
      <c r="Q2467" s="161"/>
      <c r="R2467" s="162"/>
      <c r="S2467" s="211"/>
      <c r="T2467" s="213">
        <v>0.15</v>
      </c>
      <c r="U2467" s="344">
        <v>45798</v>
      </c>
      <c r="V2467" s="340">
        <v>46162</v>
      </c>
      <c r="W2467" s="158" t="s">
        <v>17</v>
      </c>
      <c r="X2467" s="158"/>
      <c r="Y2467" s="164">
        <f t="shared" ca="1" si="166"/>
        <v>46290</v>
      </c>
      <c r="Z2467" s="207">
        <f t="shared" ca="1" si="167"/>
        <v>-128</v>
      </c>
      <c r="AA2467" s="158">
        <f t="shared" si="168"/>
        <v>5</v>
      </c>
      <c r="AB2467" s="158">
        <f t="shared" si="165"/>
        <v>2026</v>
      </c>
      <c r="AC2467" s="159"/>
      <c r="AD2467" s="159"/>
      <c r="AE2467" s="158"/>
      <c r="AF2467" s="158" t="s">
        <v>356</v>
      </c>
      <c r="AG2467" s="160"/>
      <c r="AH2467" s="160"/>
      <c r="AI2467" s="158"/>
      <c r="AJ2467" s="158"/>
      <c r="AK2467" s="158"/>
      <c r="AL2467" s="158"/>
      <c r="AM2467" s="158"/>
      <c r="AN2467" s="158"/>
      <c r="AO2467" s="158"/>
      <c r="AP2467" s="158"/>
      <c r="AQ2467" s="158"/>
      <c r="AR2467" s="507"/>
      <c r="AS2467" s="475"/>
      <c r="AT2467" s="160"/>
    </row>
    <row r="2468" spans="1:46" ht="15" hidden="1" customHeight="1">
      <c r="A2468" s="331">
        <v>2467</v>
      </c>
      <c r="B2468" s="209" t="s">
        <v>11442</v>
      </c>
      <c r="C2468" s="159" t="s">
        <v>3765</v>
      </c>
      <c r="D2468" s="447" t="s">
        <v>9866</v>
      </c>
      <c r="E2468" s="361" t="str">
        <f t="shared" ca="1" si="164"/>
        <v>LOSS</v>
      </c>
      <c r="F2468" s="160"/>
      <c r="G2468" s="159" t="s">
        <v>11488</v>
      </c>
      <c r="H2468" s="160" t="s">
        <v>8588</v>
      </c>
      <c r="I2468" s="160" t="s">
        <v>511</v>
      </c>
      <c r="J2468" s="159" t="s">
        <v>11489</v>
      </c>
      <c r="K2468" s="160" t="s">
        <v>11490</v>
      </c>
      <c r="L2468" s="158"/>
      <c r="M2468" s="158" t="s">
        <v>365</v>
      </c>
      <c r="N2468" s="158" t="s">
        <v>7193</v>
      </c>
      <c r="O2468" s="162"/>
      <c r="P2468" s="161">
        <f>8300000*12</f>
        <v>99600000</v>
      </c>
      <c r="Q2468" s="161"/>
      <c r="R2468" s="162"/>
      <c r="S2468" s="211"/>
      <c r="T2468" s="213">
        <v>0.15</v>
      </c>
      <c r="U2468" s="344">
        <v>45798</v>
      </c>
      <c r="V2468" s="340">
        <v>46162</v>
      </c>
      <c r="W2468" s="158" t="s">
        <v>17</v>
      </c>
      <c r="X2468" s="158"/>
      <c r="Y2468" s="164">
        <f t="shared" ca="1" si="166"/>
        <v>46290</v>
      </c>
      <c r="Z2468" s="207">
        <f t="shared" ca="1" si="167"/>
        <v>-128</v>
      </c>
      <c r="AA2468" s="158">
        <f t="shared" si="168"/>
        <v>5</v>
      </c>
      <c r="AB2468" s="158">
        <f t="shared" si="165"/>
        <v>2026</v>
      </c>
      <c r="AC2468" s="159"/>
      <c r="AD2468" s="159"/>
      <c r="AE2468" s="158"/>
      <c r="AF2468" s="158" t="s">
        <v>356</v>
      </c>
      <c r="AG2468" s="160"/>
      <c r="AH2468" s="160"/>
      <c r="AI2468" s="158"/>
      <c r="AJ2468" s="158"/>
      <c r="AK2468" s="158"/>
      <c r="AL2468" s="158"/>
      <c r="AM2468" s="158"/>
      <c r="AN2468" s="158"/>
      <c r="AO2468" s="158"/>
      <c r="AP2468" s="158"/>
      <c r="AQ2468" s="158"/>
      <c r="AR2468" s="507"/>
      <c r="AS2468" s="475"/>
      <c r="AT2468" s="160"/>
    </row>
    <row r="2469" spans="1:46" ht="15" hidden="1" customHeight="1">
      <c r="A2469" s="331">
        <v>2468</v>
      </c>
      <c r="B2469" s="209" t="s">
        <v>11442</v>
      </c>
      <c r="C2469" s="159" t="s">
        <v>11491</v>
      </c>
      <c r="D2469" s="447" t="s">
        <v>9866</v>
      </c>
      <c r="E2469" s="361" t="str">
        <f t="shared" ca="1" si="164"/>
        <v>LOSS</v>
      </c>
      <c r="F2469" s="160"/>
      <c r="G2469" s="159" t="s">
        <v>11492</v>
      </c>
      <c r="H2469" s="160" t="s">
        <v>8588</v>
      </c>
      <c r="I2469" s="160" t="s">
        <v>511</v>
      </c>
      <c r="J2469" s="159" t="s">
        <v>11493</v>
      </c>
      <c r="K2469" s="160" t="s">
        <v>11494</v>
      </c>
      <c r="L2469" s="158"/>
      <c r="M2469" s="158" t="s">
        <v>365</v>
      </c>
      <c r="N2469" s="158" t="s">
        <v>406</v>
      </c>
      <c r="O2469" s="162"/>
      <c r="P2469" s="161">
        <f>2950000*12</f>
        <v>35400000</v>
      </c>
      <c r="Q2469" s="161"/>
      <c r="R2469" s="162"/>
      <c r="S2469" s="211"/>
      <c r="T2469" s="213">
        <v>0.15</v>
      </c>
      <c r="U2469" s="344">
        <v>45798</v>
      </c>
      <c r="V2469" s="340">
        <v>46162</v>
      </c>
      <c r="W2469" s="158" t="s">
        <v>17</v>
      </c>
      <c r="X2469" s="158"/>
      <c r="Y2469" s="164">
        <f t="shared" ca="1" si="166"/>
        <v>46290</v>
      </c>
      <c r="Z2469" s="207">
        <f t="shared" ca="1" si="167"/>
        <v>-128</v>
      </c>
      <c r="AA2469" s="158">
        <f t="shared" si="168"/>
        <v>5</v>
      </c>
      <c r="AB2469" s="158">
        <f t="shared" si="165"/>
        <v>2026</v>
      </c>
      <c r="AC2469" s="159"/>
      <c r="AD2469" s="159"/>
      <c r="AE2469" s="158"/>
      <c r="AF2469" s="158" t="s">
        <v>356</v>
      </c>
      <c r="AG2469" s="160"/>
      <c r="AH2469" s="160"/>
      <c r="AI2469" s="158"/>
      <c r="AJ2469" s="158"/>
      <c r="AK2469" s="158"/>
      <c r="AL2469" s="158"/>
      <c r="AM2469" s="158"/>
      <c r="AN2469" s="158"/>
      <c r="AO2469" s="158"/>
      <c r="AP2469" s="158"/>
      <c r="AQ2469" s="158"/>
      <c r="AR2469" s="507"/>
      <c r="AS2469" s="475"/>
      <c r="AT2469" s="160"/>
    </row>
    <row r="2470" spans="1:46" ht="15" hidden="1" customHeight="1">
      <c r="A2470" s="331">
        <v>2469</v>
      </c>
      <c r="B2470" s="209" t="s">
        <v>11442</v>
      </c>
      <c r="C2470" s="222" t="s">
        <v>11495</v>
      </c>
      <c r="D2470" s="447" t="s">
        <v>9866</v>
      </c>
      <c r="E2470" s="361" t="str">
        <f t="shared" ca="1" si="164"/>
        <v>LOSS</v>
      </c>
      <c r="F2470" s="160"/>
      <c r="G2470" s="222" t="s">
        <v>11496</v>
      </c>
      <c r="H2470" s="160" t="s">
        <v>8588</v>
      </c>
      <c r="I2470" s="160" t="s">
        <v>511</v>
      </c>
      <c r="J2470" s="159" t="s">
        <v>11497</v>
      </c>
      <c r="K2470" s="224" t="s">
        <v>11498</v>
      </c>
      <c r="L2470" s="158"/>
      <c r="M2470" s="226" t="s">
        <v>353</v>
      </c>
      <c r="N2470" s="226"/>
      <c r="O2470" s="162"/>
      <c r="P2470" s="161">
        <f>10000000*12</f>
        <v>120000000</v>
      </c>
      <c r="Q2470" s="161"/>
      <c r="R2470" s="162"/>
      <c r="S2470" s="211"/>
      <c r="T2470" s="213">
        <v>0.15</v>
      </c>
      <c r="U2470" s="344">
        <v>45798</v>
      </c>
      <c r="V2470" s="340">
        <v>46162</v>
      </c>
      <c r="W2470" s="158" t="s">
        <v>17</v>
      </c>
      <c r="X2470" s="158"/>
      <c r="Y2470" s="164">
        <f t="shared" ca="1" si="166"/>
        <v>46290</v>
      </c>
      <c r="Z2470" s="207">
        <f t="shared" ca="1" si="167"/>
        <v>-128</v>
      </c>
      <c r="AA2470" s="158">
        <f t="shared" si="168"/>
        <v>5</v>
      </c>
      <c r="AB2470" s="158">
        <f t="shared" si="165"/>
        <v>2026</v>
      </c>
      <c r="AC2470" s="159"/>
      <c r="AD2470" s="159"/>
      <c r="AE2470" s="158"/>
      <c r="AF2470" s="158" t="s">
        <v>356</v>
      </c>
      <c r="AG2470" s="160"/>
      <c r="AH2470" s="160"/>
      <c r="AI2470" s="158"/>
      <c r="AJ2470" s="158"/>
      <c r="AK2470" s="158"/>
      <c r="AL2470" s="158"/>
      <c r="AM2470" s="158"/>
      <c r="AN2470" s="158"/>
      <c r="AO2470" s="158"/>
      <c r="AP2470" s="158"/>
      <c r="AQ2470" s="158"/>
      <c r="AR2470" s="507"/>
      <c r="AS2470" s="475"/>
      <c r="AT2470" s="160"/>
    </row>
    <row r="2471" spans="1:46" ht="15" hidden="1" customHeight="1">
      <c r="A2471" s="331">
        <v>2470</v>
      </c>
      <c r="B2471" s="209" t="s">
        <v>11442</v>
      </c>
      <c r="C2471" s="159" t="s">
        <v>11491</v>
      </c>
      <c r="D2471" s="447" t="s">
        <v>9866</v>
      </c>
      <c r="E2471" s="361" t="str">
        <f t="shared" ca="1" si="164"/>
        <v>LOSS</v>
      </c>
      <c r="F2471" s="160"/>
      <c r="G2471" s="159" t="s">
        <v>11499</v>
      </c>
      <c r="H2471" s="160" t="s">
        <v>8588</v>
      </c>
      <c r="I2471" s="160" t="s">
        <v>511</v>
      </c>
      <c r="J2471" s="159" t="s">
        <v>11500</v>
      </c>
      <c r="K2471" s="160" t="s">
        <v>11501</v>
      </c>
      <c r="L2471" s="158"/>
      <c r="M2471" s="158" t="s">
        <v>365</v>
      </c>
      <c r="N2471" s="158"/>
      <c r="O2471" s="162"/>
      <c r="P2471" s="161">
        <f>4725000*12</f>
        <v>56700000</v>
      </c>
      <c r="Q2471" s="161"/>
      <c r="R2471" s="162"/>
      <c r="S2471" s="211"/>
      <c r="T2471" s="213">
        <v>0.15</v>
      </c>
      <c r="U2471" s="344">
        <v>45798</v>
      </c>
      <c r="V2471" s="340">
        <v>46162</v>
      </c>
      <c r="W2471" s="158" t="s">
        <v>17</v>
      </c>
      <c r="X2471" s="158"/>
      <c r="Y2471" s="164">
        <f t="shared" ca="1" si="166"/>
        <v>46290</v>
      </c>
      <c r="Z2471" s="207">
        <f t="shared" ca="1" si="167"/>
        <v>-128</v>
      </c>
      <c r="AA2471" s="158">
        <f t="shared" si="168"/>
        <v>5</v>
      </c>
      <c r="AB2471" s="158">
        <f t="shared" si="165"/>
        <v>2026</v>
      </c>
      <c r="AC2471" s="159"/>
      <c r="AD2471" s="159"/>
      <c r="AE2471" s="158"/>
      <c r="AF2471" s="158" t="s">
        <v>356</v>
      </c>
      <c r="AG2471" s="160"/>
      <c r="AH2471" s="160"/>
      <c r="AI2471" s="158"/>
      <c r="AJ2471" s="158"/>
      <c r="AK2471" s="158"/>
      <c r="AL2471" s="158"/>
      <c r="AM2471" s="158"/>
      <c r="AN2471" s="158"/>
      <c r="AO2471" s="158"/>
      <c r="AP2471" s="158"/>
      <c r="AQ2471" s="158"/>
      <c r="AR2471" s="507"/>
      <c r="AS2471" s="475"/>
      <c r="AT2471" s="160"/>
    </row>
    <row r="2472" spans="1:46" ht="15" hidden="1" customHeight="1">
      <c r="A2472" s="331">
        <v>2471</v>
      </c>
      <c r="B2472" s="209" t="s">
        <v>11442</v>
      </c>
      <c r="C2472" s="159" t="s">
        <v>11502</v>
      </c>
      <c r="D2472" s="447" t="s">
        <v>9866</v>
      </c>
      <c r="E2472" s="361" t="str">
        <f t="shared" ca="1" si="164"/>
        <v>LOSS</v>
      </c>
      <c r="F2472" s="160"/>
      <c r="G2472" s="159" t="s">
        <v>11503</v>
      </c>
      <c r="H2472" s="160" t="s">
        <v>8588</v>
      </c>
      <c r="I2472" s="160" t="s">
        <v>511</v>
      </c>
      <c r="J2472" s="159" t="s">
        <v>11504</v>
      </c>
      <c r="K2472" s="160" t="s">
        <v>11505</v>
      </c>
      <c r="L2472" s="158"/>
      <c r="M2472" s="158" t="s">
        <v>353</v>
      </c>
      <c r="N2472" s="158" t="s">
        <v>11506</v>
      </c>
      <c r="O2472" s="162"/>
      <c r="P2472" s="161">
        <f>7900000*12</f>
        <v>94800000</v>
      </c>
      <c r="Q2472" s="161"/>
      <c r="R2472" s="162"/>
      <c r="S2472" s="211"/>
      <c r="T2472" s="213">
        <v>0.15</v>
      </c>
      <c r="U2472" s="344">
        <v>45798</v>
      </c>
      <c r="V2472" s="340">
        <v>46162</v>
      </c>
      <c r="W2472" s="158" t="s">
        <v>17</v>
      </c>
      <c r="X2472" s="158"/>
      <c r="Y2472" s="164">
        <f t="shared" ca="1" si="166"/>
        <v>46290</v>
      </c>
      <c r="Z2472" s="207">
        <f t="shared" ca="1" si="167"/>
        <v>-128</v>
      </c>
      <c r="AA2472" s="158">
        <f t="shared" si="168"/>
        <v>5</v>
      </c>
      <c r="AB2472" s="158">
        <f t="shared" si="165"/>
        <v>2026</v>
      </c>
      <c r="AC2472" s="159"/>
      <c r="AD2472" s="159"/>
      <c r="AE2472" s="158"/>
      <c r="AF2472" s="158" t="s">
        <v>356</v>
      </c>
      <c r="AG2472" s="160"/>
      <c r="AH2472" s="160"/>
      <c r="AI2472" s="158"/>
      <c r="AJ2472" s="158"/>
      <c r="AK2472" s="158"/>
      <c r="AL2472" s="158"/>
      <c r="AM2472" s="158"/>
      <c r="AN2472" s="158"/>
      <c r="AO2472" s="158"/>
      <c r="AP2472" s="158"/>
      <c r="AQ2472" s="158"/>
      <c r="AR2472" s="507"/>
      <c r="AS2472" s="475"/>
      <c r="AT2472" s="160"/>
    </row>
    <row r="2473" spans="1:46" ht="15" hidden="1" customHeight="1">
      <c r="A2473" s="331">
        <v>2472</v>
      </c>
      <c r="B2473" s="209" t="s">
        <v>11442</v>
      </c>
      <c r="C2473" s="159" t="s">
        <v>11507</v>
      </c>
      <c r="D2473" s="447" t="s">
        <v>9866</v>
      </c>
      <c r="E2473" s="361" t="str">
        <f t="shared" ca="1" si="164"/>
        <v>LOSS</v>
      </c>
      <c r="F2473" s="160"/>
      <c r="G2473" s="159" t="s">
        <v>11508</v>
      </c>
      <c r="H2473" s="160" t="s">
        <v>8588</v>
      </c>
      <c r="I2473" s="160" t="s">
        <v>511</v>
      </c>
      <c r="J2473" s="159" t="s">
        <v>11509</v>
      </c>
      <c r="K2473" s="160" t="s">
        <v>11510</v>
      </c>
      <c r="L2473" s="158"/>
      <c r="M2473" s="208" t="s">
        <v>11511</v>
      </c>
      <c r="N2473" s="158" t="s">
        <v>494</v>
      </c>
      <c r="O2473" s="162"/>
      <c r="P2473" s="161">
        <f>5500000*12</f>
        <v>66000000</v>
      </c>
      <c r="Q2473" s="161"/>
      <c r="R2473" s="162"/>
      <c r="S2473" s="211"/>
      <c r="T2473" s="213">
        <v>0.15</v>
      </c>
      <c r="U2473" s="344">
        <v>45798</v>
      </c>
      <c r="V2473" s="340">
        <v>46162</v>
      </c>
      <c r="W2473" s="158" t="s">
        <v>17</v>
      </c>
      <c r="X2473" s="158"/>
      <c r="Y2473" s="164">
        <f t="shared" ca="1" si="166"/>
        <v>46290</v>
      </c>
      <c r="Z2473" s="207">
        <f t="shared" ca="1" si="167"/>
        <v>-128</v>
      </c>
      <c r="AA2473" s="158">
        <f t="shared" si="168"/>
        <v>5</v>
      </c>
      <c r="AB2473" s="158">
        <f t="shared" si="165"/>
        <v>2026</v>
      </c>
      <c r="AC2473" s="159"/>
      <c r="AD2473" s="159"/>
      <c r="AE2473" s="158"/>
      <c r="AF2473" s="158" t="s">
        <v>356</v>
      </c>
      <c r="AG2473" s="160"/>
      <c r="AH2473" s="160"/>
      <c r="AI2473" s="158"/>
      <c r="AJ2473" s="158"/>
      <c r="AK2473" s="158"/>
      <c r="AL2473" s="158"/>
      <c r="AM2473" s="158"/>
      <c r="AN2473" s="158"/>
      <c r="AO2473" s="158"/>
      <c r="AP2473" s="158"/>
      <c r="AQ2473" s="158"/>
      <c r="AR2473" s="507"/>
      <c r="AS2473" s="475"/>
      <c r="AT2473" s="160"/>
    </row>
    <row r="2474" spans="1:46" ht="15" hidden="1" customHeight="1">
      <c r="A2474" s="331">
        <v>2473</v>
      </c>
      <c r="B2474" s="209" t="s">
        <v>11442</v>
      </c>
      <c r="C2474" s="159" t="s">
        <v>11512</v>
      </c>
      <c r="D2474" s="447" t="s">
        <v>9866</v>
      </c>
      <c r="E2474" s="361" t="str">
        <f t="shared" ca="1" si="164"/>
        <v>LOSS</v>
      </c>
      <c r="F2474" s="160"/>
      <c r="G2474" s="159" t="s">
        <v>11513</v>
      </c>
      <c r="H2474" s="160" t="s">
        <v>8588</v>
      </c>
      <c r="I2474" s="160" t="s">
        <v>511</v>
      </c>
      <c r="J2474" s="159" t="s">
        <v>11514</v>
      </c>
      <c r="K2474" s="160" t="s">
        <v>11515</v>
      </c>
      <c r="L2474" s="158"/>
      <c r="M2474" s="158" t="s">
        <v>365</v>
      </c>
      <c r="N2474" s="158" t="s">
        <v>494</v>
      </c>
      <c r="O2474" s="162"/>
      <c r="P2474" s="161">
        <f>4000000*12</f>
        <v>48000000</v>
      </c>
      <c r="Q2474" s="161"/>
      <c r="R2474" s="162"/>
      <c r="S2474" s="211"/>
      <c r="T2474" s="213">
        <v>0.15</v>
      </c>
      <c r="U2474" s="344">
        <v>45798</v>
      </c>
      <c r="V2474" s="340">
        <v>46162</v>
      </c>
      <c r="W2474" s="158" t="s">
        <v>17</v>
      </c>
      <c r="X2474" s="158"/>
      <c r="Y2474" s="164">
        <f t="shared" ca="1" si="166"/>
        <v>46290</v>
      </c>
      <c r="Z2474" s="207">
        <f t="shared" ca="1" si="167"/>
        <v>-128</v>
      </c>
      <c r="AA2474" s="158">
        <f t="shared" si="168"/>
        <v>5</v>
      </c>
      <c r="AB2474" s="158">
        <f t="shared" si="165"/>
        <v>2026</v>
      </c>
      <c r="AC2474" s="159"/>
      <c r="AD2474" s="159"/>
      <c r="AE2474" s="158"/>
      <c r="AF2474" s="158" t="s">
        <v>356</v>
      </c>
      <c r="AG2474" s="160"/>
      <c r="AH2474" s="160"/>
      <c r="AI2474" s="158"/>
      <c r="AJ2474" s="158"/>
      <c r="AK2474" s="158"/>
      <c r="AL2474" s="158"/>
      <c r="AM2474" s="158"/>
      <c r="AN2474" s="158"/>
      <c r="AO2474" s="158"/>
      <c r="AP2474" s="158"/>
      <c r="AQ2474" s="158"/>
      <c r="AR2474" s="507"/>
      <c r="AS2474" s="475"/>
      <c r="AT2474" s="160"/>
    </row>
    <row r="2475" spans="1:46" ht="15" hidden="1" customHeight="1">
      <c r="A2475" s="331">
        <v>2474</v>
      </c>
      <c r="B2475" s="209" t="s">
        <v>11442</v>
      </c>
      <c r="C2475" s="159" t="s">
        <v>11516</v>
      </c>
      <c r="D2475" s="447" t="s">
        <v>9866</v>
      </c>
      <c r="E2475" s="361" t="str">
        <f t="shared" ca="1" si="164"/>
        <v>LOSS</v>
      </c>
      <c r="F2475" s="160"/>
      <c r="G2475" s="159" t="s">
        <v>11517</v>
      </c>
      <c r="H2475" s="160" t="s">
        <v>8588</v>
      </c>
      <c r="I2475" s="160" t="s">
        <v>511</v>
      </c>
      <c r="J2475" s="159" t="s">
        <v>11518</v>
      </c>
      <c r="K2475" s="160" t="s">
        <v>11519</v>
      </c>
      <c r="L2475" s="158"/>
      <c r="M2475" s="158" t="s">
        <v>8709</v>
      </c>
      <c r="N2475" s="158" t="s">
        <v>11506</v>
      </c>
      <c r="O2475" s="162"/>
      <c r="P2475" s="161">
        <f>4000000*12</f>
        <v>48000000</v>
      </c>
      <c r="Q2475" s="161"/>
      <c r="R2475" s="162"/>
      <c r="S2475" s="211"/>
      <c r="T2475" s="213">
        <v>0.15</v>
      </c>
      <c r="U2475" s="344">
        <v>45798</v>
      </c>
      <c r="V2475" s="340">
        <v>46162</v>
      </c>
      <c r="W2475" s="158" t="s">
        <v>17</v>
      </c>
      <c r="X2475" s="158"/>
      <c r="Y2475" s="164">
        <f t="shared" ca="1" si="166"/>
        <v>46290</v>
      </c>
      <c r="Z2475" s="207">
        <f t="shared" ca="1" si="167"/>
        <v>-128</v>
      </c>
      <c r="AA2475" s="158">
        <f t="shared" si="168"/>
        <v>5</v>
      </c>
      <c r="AB2475" s="158">
        <f t="shared" si="165"/>
        <v>2026</v>
      </c>
      <c r="AC2475" s="159"/>
      <c r="AD2475" s="159"/>
      <c r="AE2475" s="158"/>
      <c r="AF2475" s="158" t="s">
        <v>356</v>
      </c>
      <c r="AG2475" s="160"/>
      <c r="AH2475" s="160"/>
      <c r="AI2475" s="158"/>
      <c r="AJ2475" s="158"/>
      <c r="AK2475" s="158"/>
      <c r="AL2475" s="158"/>
      <c r="AM2475" s="158"/>
      <c r="AN2475" s="158"/>
      <c r="AO2475" s="158"/>
      <c r="AP2475" s="158"/>
      <c r="AQ2475" s="158"/>
      <c r="AR2475" s="507"/>
      <c r="AS2475" s="475"/>
      <c r="AT2475" s="160"/>
    </row>
    <row r="2476" spans="1:46" ht="15" hidden="1" customHeight="1">
      <c r="A2476" s="331">
        <v>2475</v>
      </c>
      <c r="B2476" s="209" t="s">
        <v>11442</v>
      </c>
      <c r="C2476" s="159" t="s">
        <v>11520</v>
      </c>
      <c r="D2476" s="447" t="s">
        <v>9866</v>
      </c>
      <c r="E2476" s="361" t="str">
        <f t="shared" ca="1" si="164"/>
        <v>LOSS</v>
      </c>
      <c r="F2476" s="160"/>
      <c r="G2476" s="159" t="s">
        <v>11521</v>
      </c>
      <c r="H2476" s="160" t="s">
        <v>8588</v>
      </c>
      <c r="I2476" s="160" t="s">
        <v>511</v>
      </c>
      <c r="J2476" s="159"/>
      <c r="K2476" s="160" t="s">
        <v>11522</v>
      </c>
      <c r="L2476" s="158"/>
      <c r="M2476" s="158" t="s">
        <v>365</v>
      </c>
      <c r="N2476" s="158" t="s">
        <v>8337</v>
      </c>
      <c r="O2476" s="162"/>
      <c r="P2476" s="161">
        <f>29000000*12</f>
        <v>348000000</v>
      </c>
      <c r="Q2476" s="161"/>
      <c r="R2476" s="162"/>
      <c r="S2476" s="211"/>
      <c r="T2476" s="213">
        <v>0.15</v>
      </c>
      <c r="U2476" s="344">
        <v>45798</v>
      </c>
      <c r="V2476" s="340">
        <v>46162</v>
      </c>
      <c r="W2476" s="158" t="s">
        <v>17</v>
      </c>
      <c r="X2476" s="158"/>
      <c r="Y2476" s="164">
        <f t="shared" ca="1" si="166"/>
        <v>46290</v>
      </c>
      <c r="Z2476" s="207">
        <f t="shared" ca="1" si="167"/>
        <v>-128</v>
      </c>
      <c r="AA2476" s="158">
        <f t="shared" si="168"/>
        <v>5</v>
      </c>
      <c r="AB2476" s="158">
        <f t="shared" si="165"/>
        <v>2026</v>
      </c>
      <c r="AC2476" s="159"/>
      <c r="AD2476" s="159"/>
      <c r="AE2476" s="158"/>
      <c r="AF2476" s="158" t="s">
        <v>356</v>
      </c>
      <c r="AG2476" s="160"/>
      <c r="AH2476" s="160"/>
      <c r="AI2476" s="158"/>
      <c r="AJ2476" s="158"/>
      <c r="AK2476" s="158"/>
      <c r="AL2476" s="158"/>
      <c r="AM2476" s="158"/>
      <c r="AN2476" s="158"/>
      <c r="AO2476" s="158"/>
      <c r="AP2476" s="158"/>
      <c r="AQ2476" s="158"/>
      <c r="AR2476" s="507"/>
      <c r="AS2476" s="475"/>
      <c r="AT2476" s="160"/>
    </row>
    <row r="2477" spans="1:46" ht="15" hidden="1" customHeight="1">
      <c r="A2477" s="331">
        <v>2476</v>
      </c>
      <c r="B2477" s="209" t="s">
        <v>11442</v>
      </c>
      <c r="C2477" s="159" t="s">
        <v>11523</v>
      </c>
      <c r="D2477" s="447" t="s">
        <v>9866</v>
      </c>
      <c r="E2477" s="361" t="str">
        <f t="shared" ca="1" si="164"/>
        <v>LOSS</v>
      </c>
      <c r="F2477" s="160" t="s">
        <v>11441</v>
      </c>
      <c r="G2477" s="159" t="s">
        <v>11524</v>
      </c>
      <c r="H2477" s="160" t="s">
        <v>8588</v>
      </c>
      <c r="I2477" s="160" t="s">
        <v>511</v>
      </c>
      <c r="J2477" s="159"/>
      <c r="K2477" s="160" t="s">
        <v>11525</v>
      </c>
      <c r="L2477" s="158"/>
      <c r="M2477" s="158" t="s">
        <v>7267</v>
      </c>
      <c r="N2477" s="158" t="s">
        <v>494</v>
      </c>
      <c r="O2477" s="162"/>
      <c r="P2477" s="161">
        <f>2500000*12</f>
        <v>30000000</v>
      </c>
      <c r="Q2477" s="161"/>
      <c r="R2477" s="162"/>
      <c r="S2477" s="163"/>
      <c r="T2477" s="213">
        <v>0.15</v>
      </c>
      <c r="U2477" s="344">
        <v>45798</v>
      </c>
      <c r="V2477" s="340">
        <v>46162</v>
      </c>
      <c r="W2477" s="158" t="s">
        <v>17</v>
      </c>
      <c r="X2477" s="158"/>
      <c r="Y2477" s="164">
        <f t="shared" ca="1" si="166"/>
        <v>46290</v>
      </c>
      <c r="Z2477" s="207">
        <f t="shared" ca="1" si="167"/>
        <v>-128</v>
      </c>
      <c r="AA2477" s="158">
        <f t="shared" si="168"/>
        <v>5</v>
      </c>
      <c r="AB2477" s="158">
        <f t="shared" si="165"/>
        <v>2026</v>
      </c>
      <c r="AC2477" s="159"/>
      <c r="AD2477" s="159"/>
      <c r="AE2477" s="184"/>
      <c r="AF2477" s="158" t="s">
        <v>356</v>
      </c>
      <c r="AG2477" s="160"/>
      <c r="AH2477" s="160"/>
      <c r="AI2477" s="158"/>
      <c r="AJ2477" s="158"/>
      <c r="AK2477" s="158"/>
      <c r="AL2477" s="158"/>
      <c r="AM2477" s="158"/>
      <c r="AN2477" s="158"/>
      <c r="AO2477" s="158"/>
      <c r="AP2477" s="158"/>
      <c r="AQ2477" s="158"/>
      <c r="AR2477" s="507"/>
      <c r="AS2477" s="475"/>
      <c r="AT2477" s="160"/>
    </row>
    <row r="2478" spans="1:46" ht="15" hidden="1" customHeight="1">
      <c r="A2478" s="331">
        <v>2477</v>
      </c>
      <c r="B2478" s="209" t="s">
        <v>11442</v>
      </c>
      <c r="C2478" s="159" t="s">
        <v>11526</v>
      </c>
      <c r="D2478" s="447" t="s">
        <v>9866</v>
      </c>
      <c r="E2478" s="361" t="str">
        <f t="shared" ca="1" si="164"/>
        <v>LOSS</v>
      </c>
      <c r="F2478" s="160" t="s">
        <v>11527</v>
      </c>
      <c r="G2478" s="159" t="s">
        <v>11528</v>
      </c>
      <c r="H2478" s="160" t="s">
        <v>8588</v>
      </c>
      <c r="I2478" s="160" t="s">
        <v>511</v>
      </c>
      <c r="J2478" s="159"/>
      <c r="K2478" s="160" t="s">
        <v>11529</v>
      </c>
      <c r="L2478" s="158"/>
      <c r="M2478" s="158" t="s">
        <v>7267</v>
      </c>
      <c r="N2478" s="158" t="s">
        <v>7088</v>
      </c>
      <c r="O2478" s="162"/>
      <c r="P2478" s="161">
        <f>33000000*12</f>
        <v>396000000</v>
      </c>
      <c r="Q2478" s="161"/>
      <c r="R2478" s="162"/>
      <c r="S2478" s="163"/>
      <c r="T2478" s="213">
        <v>0.15</v>
      </c>
      <c r="U2478" s="344">
        <v>45798</v>
      </c>
      <c r="V2478" s="340">
        <v>46162</v>
      </c>
      <c r="W2478" s="158" t="s">
        <v>17</v>
      </c>
      <c r="X2478" s="158"/>
      <c r="Y2478" s="164">
        <f t="shared" ca="1" si="166"/>
        <v>46290</v>
      </c>
      <c r="Z2478" s="207">
        <f t="shared" ca="1" si="167"/>
        <v>-128</v>
      </c>
      <c r="AA2478" s="158">
        <f t="shared" si="168"/>
        <v>5</v>
      </c>
      <c r="AB2478" s="158">
        <f t="shared" si="165"/>
        <v>2026</v>
      </c>
      <c r="AC2478" s="159"/>
      <c r="AD2478" s="159"/>
      <c r="AE2478" s="184"/>
      <c r="AF2478" s="158" t="s">
        <v>356</v>
      </c>
      <c r="AG2478" s="160"/>
      <c r="AH2478" s="160"/>
      <c r="AI2478" s="158"/>
      <c r="AJ2478" s="158"/>
      <c r="AK2478" s="158"/>
      <c r="AL2478" s="158"/>
      <c r="AM2478" s="158"/>
      <c r="AN2478" s="158"/>
      <c r="AO2478" s="158"/>
      <c r="AP2478" s="158"/>
      <c r="AQ2478" s="158"/>
      <c r="AR2478" s="507"/>
      <c r="AS2478" s="475"/>
      <c r="AT2478" s="160"/>
    </row>
    <row r="2479" spans="1:46" ht="15" hidden="1" customHeight="1">
      <c r="A2479" s="331">
        <v>2478</v>
      </c>
      <c r="B2479" s="209" t="s">
        <v>11442</v>
      </c>
      <c r="C2479" s="159" t="s">
        <v>3765</v>
      </c>
      <c r="D2479" s="447" t="s">
        <v>9866</v>
      </c>
      <c r="E2479" s="361" t="str">
        <f t="shared" ca="1" si="164"/>
        <v>LOSS</v>
      </c>
      <c r="F2479" s="160" t="s">
        <v>10996</v>
      </c>
      <c r="G2479" s="159" t="s">
        <v>11530</v>
      </c>
      <c r="H2479" s="160" t="s">
        <v>8588</v>
      </c>
      <c r="I2479" s="160" t="s">
        <v>511</v>
      </c>
      <c r="J2479" s="159"/>
      <c r="K2479" s="181" t="s">
        <v>11531</v>
      </c>
      <c r="L2479" s="158"/>
      <c r="M2479" s="158" t="s">
        <v>7267</v>
      </c>
      <c r="N2479" s="158" t="s">
        <v>6649</v>
      </c>
      <c r="O2479" s="162"/>
      <c r="P2479" s="161">
        <f>5400000*12</f>
        <v>64800000</v>
      </c>
      <c r="Q2479" s="161"/>
      <c r="R2479" s="162"/>
      <c r="S2479" s="163"/>
      <c r="T2479" s="213">
        <v>0.15</v>
      </c>
      <c r="U2479" s="344">
        <v>45798</v>
      </c>
      <c r="V2479" s="340">
        <v>46162</v>
      </c>
      <c r="W2479" s="158" t="s">
        <v>17</v>
      </c>
      <c r="X2479" s="158"/>
      <c r="Y2479" s="164">
        <f t="shared" ca="1" si="166"/>
        <v>46290</v>
      </c>
      <c r="Z2479" s="207">
        <f t="shared" ca="1" si="167"/>
        <v>-128</v>
      </c>
      <c r="AA2479" s="158">
        <f t="shared" si="168"/>
        <v>5</v>
      </c>
      <c r="AB2479" s="158">
        <f t="shared" si="165"/>
        <v>2026</v>
      </c>
      <c r="AC2479" s="159"/>
      <c r="AD2479" s="159"/>
      <c r="AE2479" s="184"/>
      <c r="AF2479" s="158" t="s">
        <v>356</v>
      </c>
      <c r="AG2479" s="160"/>
      <c r="AH2479" s="160"/>
      <c r="AI2479" s="158"/>
      <c r="AJ2479" s="158"/>
      <c r="AK2479" s="158"/>
      <c r="AL2479" s="158"/>
      <c r="AM2479" s="158"/>
      <c r="AN2479" s="158"/>
      <c r="AO2479" s="158"/>
      <c r="AP2479" s="158"/>
      <c r="AQ2479" s="158"/>
      <c r="AR2479" s="507"/>
      <c r="AS2479" s="475"/>
      <c r="AT2479" s="160"/>
    </row>
    <row r="2480" spans="1:46" ht="15" hidden="1" customHeight="1">
      <c r="A2480" s="331">
        <v>2479</v>
      </c>
      <c r="B2480" s="209" t="s">
        <v>11442</v>
      </c>
      <c r="C2480" s="159" t="s">
        <v>3765</v>
      </c>
      <c r="D2480" s="447" t="s">
        <v>9866</v>
      </c>
      <c r="E2480" s="361" t="str">
        <f t="shared" ca="1" si="164"/>
        <v>LOSS</v>
      </c>
      <c r="F2480" s="160" t="s">
        <v>10996</v>
      </c>
      <c r="G2480" s="159" t="s">
        <v>11532</v>
      </c>
      <c r="H2480" s="160" t="s">
        <v>8588</v>
      </c>
      <c r="I2480" s="160" t="s">
        <v>511</v>
      </c>
      <c r="J2480" s="159"/>
      <c r="K2480" s="181" t="s">
        <v>11533</v>
      </c>
      <c r="L2480" s="158"/>
      <c r="M2480" s="158" t="s">
        <v>11534</v>
      </c>
      <c r="N2480" s="158" t="s">
        <v>494</v>
      </c>
      <c r="O2480" s="162"/>
      <c r="P2480" s="161">
        <f>6412500*12</f>
        <v>76950000</v>
      </c>
      <c r="Q2480" s="161"/>
      <c r="R2480" s="162"/>
      <c r="S2480" s="163"/>
      <c r="T2480" s="213">
        <v>0.15</v>
      </c>
      <c r="U2480" s="344">
        <v>45798</v>
      </c>
      <c r="V2480" s="340">
        <v>46162</v>
      </c>
      <c r="W2480" s="158" t="s">
        <v>17</v>
      </c>
      <c r="X2480" s="158"/>
      <c r="Y2480" s="164">
        <f t="shared" ca="1" si="166"/>
        <v>46290</v>
      </c>
      <c r="Z2480" s="207">
        <f t="shared" ca="1" si="167"/>
        <v>-128</v>
      </c>
      <c r="AA2480" s="158">
        <f t="shared" si="168"/>
        <v>5</v>
      </c>
      <c r="AB2480" s="158">
        <f t="shared" si="165"/>
        <v>2026</v>
      </c>
      <c r="AC2480" s="159"/>
      <c r="AD2480" s="159"/>
      <c r="AE2480" s="184"/>
      <c r="AF2480" s="158" t="s">
        <v>356</v>
      </c>
      <c r="AG2480" s="160"/>
      <c r="AH2480" s="160"/>
      <c r="AI2480" s="158"/>
      <c r="AJ2480" s="158"/>
      <c r="AK2480" s="158"/>
      <c r="AL2480" s="158"/>
      <c r="AM2480" s="158"/>
      <c r="AN2480" s="158"/>
      <c r="AO2480" s="158"/>
      <c r="AP2480" s="158"/>
      <c r="AQ2480" s="158"/>
      <c r="AR2480" s="507"/>
      <c r="AS2480" s="475"/>
      <c r="AT2480" s="160"/>
    </row>
    <row r="2481" spans="1:46" ht="15" hidden="1" customHeight="1">
      <c r="A2481" s="331">
        <v>2480</v>
      </c>
      <c r="B2481" s="209" t="s">
        <v>11442</v>
      </c>
      <c r="C2481" s="159" t="s">
        <v>11535</v>
      </c>
      <c r="D2481" s="447" t="s">
        <v>9866</v>
      </c>
      <c r="E2481" s="361" t="str">
        <f t="shared" ca="1" si="164"/>
        <v>LOSS</v>
      </c>
      <c r="F2481" s="160" t="s">
        <v>11441</v>
      </c>
      <c r="G2481" s="159" t="s">
        <v>11536</v>
      </c>
      <c r="H2481" s="160" t="s">
        <v>8588</v>
      </c>
      <c r="I2481" s="160" t="s">
        <v>511</v>
      </c>
      <c r="J2481" s="159"/>
      <c r="K2481" s="181" t="s">
        <v>11537</v>
      </c>
      <c r="L2481" s="158"/>
      <c r="M2481" s="158" t="s">
        <v>7267</v>
      </c>
      <c r="N2481" s="158" t="s">
        <v>6949</v>
      </c>
      <c r="O2481" s="162"/>
      <c r="P2481" s="161">
        <f>5300000*12</f>
        <v>63600000</v>
      </c>
      <c r="Q2481" s="161"/>
      <c r="R2481" s="162"/>
      <c r="S2481" s="163"/>
      <c r="T2481" s="213">
        <v>0.15</v>
      </c>
      <c r="U2481" s="344">
        <v>45798</v>
      </c>
      <c r="V2481" s="340">
        <v>46162</v>
      </c>
      <c r="W2481" s="158" t="s">
        <v>17</v>
      </c>
      <c r="X2481" s="158"/>
      <c r="Y2481" s="164">
        <f t="shared" ca="1" si="166"/>
        <v>46290</v>
      </c>
      <c r="Z2481" s="207">
        <f t="shared" ca="1" si="167"/>
        <v>-128</v>
      </c>
      <c r="AA2481" s="158">
        <f t="shared" si="168"/>
        <v>5</v>
      </c>
      <c r="AB2481" s="158">
        <f t="shared" si="165"/>
        <v>2026</v>
      </c>
      <c r="AC2481" s="159"/>
      <c r="AD2481" s="159"/>
      <c r="AE2481" s="184"/>
      <c r="AF2481" s="158" t="s">
        <v>356</v>
      </c>
      <c r="AG2481" s="160"/>
      <c r="AH2481" s="160"/>
      <c r="AI2481" s="158"/>
      <c r="AJ2481" s="158"/>
      <c r="AK2481" s="158"/>
      <c r="AL2481" s="158"/>
      <c r="AM2481" s="158"/>
      <c r="AN2481" s="158"/>
      <c r="AO2481" s="158"/>
      <c r="AP2481" s="158"/>
      <c r="AQ2481" s="158"/>
      <c r="AR2481" s="507"/>
      <c r="AS2481" s="475"/>
      <c r="AT2481" s="160"/>
    </row>
    <row r="2482" spans="1:46" ht="15" hidden="1" customHeight="1">
      <c r="A2482" s="331">
        <v>2481</v>
      </c>
      <c r="B2482" s="209" t="s">
        <v>11442</v>
      </c>
      <c r="C2482" s="159" t="s">
        <v>11538</v>
      </c>
      <c r="D2482" s="447" t="s">
        <v>9866</v>
      </c>
      <c r="E2482" s="361" t="str">
        <f t="shared" ca="1" si="164"/>
        <v>LOSS</v>
      </c>
      <c r="F2482" s="160" t="s">
        <v>11441</v>
      </c>
      <c r="G2482" s="159" t="s">
        <v>11539</v>
      </c>
      <c r="H2482" s="160" t="s">
        <v>8588</v>
      </c>
      <c r="I2482" s="160" t="s">
        <v>511</v>
      </c>
      <c r="J2482" s="159"/>
      <c r="K2482" s="181" t="s">
        <v>11540</v>
      </c>
      <c r="L2482" s="158"/>
      <c r="M2482" s="158" t="s">
        <v>11541</v>
      </c>
      <c r="N2482" s="158" t="s">
        <v>494</v>
      </c>
      <c r="O2482" s="162"/>
      <c r="P2482" s="161">
        <f>6000000*12</f>
        <v>72000000</v>
      </c>
      <c r="Q2482" s="161"/>
      <c r="R2482" s="162"/>
      <c r="S2482" s="163"/>
      <c r="T2482" s="213">
        <v>0.15</v>
      </c>
      <c r="U2482" s="344">
        <v>45798</v>
      </c>
      <c r="V2482" s="340">
        <v>46162</v>
      </c>
      <c r="W2482" s="158" t="s">
        <v>17</v>
      </c>
      <c r="X2482" s="158"/>
      <c r="Y2482" s="164">
        <f t="shared" ca="1" si="166"/>
        <v>46290</v>
      </c>
      <c r="Z2482" s="207">
        <f t="shared" ca="1" si="167"/>
        <v>-128</v>
      </c>
      <c r="AA2482" s="158">
        <f t="shared" si="168"/>
        <v>5</v>
      </c>
      <c r="AB2482" s="158">
        <f t="shared" si="165"/>
        <v>2026</v>
      </c>
      <c r="AC2482" s="159"/>
      <c r="AD2482" s="159"/>
      <c r="AE2482" s="184"/>
      <c r="AF2482" s="158" t="s">
        <v>356</v>
      </c>
      <c r="AG2482" s="160"/>
      <c r="AH2482" s="160"/>
      <c r="AI2482" s="158"/>
      <c r="AJ2482" s="158"/>
      <c r="AK2482" s="158"/>
      <c r="AL2482" s="158"/>
      <c r="AM2482" s="158"/>
      <c r="AN2482" s="158"/>
      <c r="AO2482" s="158"/>
      <c r="AP2482" s="158"/>
      <c r="AQ2482" s="158"/>
      <c r="AR2482" s="507"/>
      <c r="AS2482" s="475"/>
      <c r="AT2482" s="160"/>
    </row>
    <row r="2483" spans="1:46" ht="15" hidden="1" customHeight="1">
      <c r="A2483" s="331">
        <v>2482</v>
      </c>
      <c r="B2483" s="209" t="s">
        <v>11442</v>
      </c>
      <c r="C2483" s="159" t="s">
        <v>11542</v>
      </c>
      <c r="D2483" s="447" t="s">
        <v>9866</v>
      </c>
      <c r="E2483" s="361" t="str">
        <f t="shared" ca="1" si="164"/>
        <v>LOSS</v>
      </c>
      <c r="F2483" s="160" t="s">
        <v>11441</v>
      </c>
      <c r="G2483" s="159" t="s">
        <v>11543</v>
      </c>
      <c r="H2483" s="160" t="s">
        <v>8588</v>
      </c>
      <c r="I2483" s="160" t="s">
        <v>511</v>
      </c>
      <c r="J2483" s="159"/>
      <c r="K2483" s="181" t="s">
        <v>11544</v>
      </c>
      <c r="L2483" s="158"/>
      <c r="M2483" s="158" t="s">
        <v>6788</v>
      </c>
      <c r="N2483" s="158" t="s">
        <v>6835</v>
      </c>
      <c r="O2483" s="162"/>
      <c r="P2483" s="161">
        <f>1620750*12</f>
        <v>19449000</v>
      </c>
      <c r="Q2483" s="161"/>
      <c r="R2483" s="162"/>
      <c r="S2483" s="163"/>
      <c r="T2483" s="213">
        <v>0.15</v>
      </c>
      <c r="U2483" s="344">
        <v>45798</v>
      </c>
      <c r="V2483" s="340">
        <v>46162</v>
      </c>
      <c r="W2483" s="158" t="s">
        <v>17</v>
      </c>
      <c r="X2483" s="158"/>
      <c r="Y2483" s="164">
        <f t="shared" ca="1" si="166"/>
        <v>46290</v>
      </c>
      <c r="Z2483" s="207">
        <f t="shared" ca="1" si="167"/>
        <v>-128</v>
      </c>
      <c r="AA2483" s="158">
        <f t="shared" si="168"/>
        <v>5</v>
      </c>
      <c r="AB2483" s="158">
        <f t="shared" si="165"/>
        <v>2026</v>
      </c>
      <c r="AC2483" s="159"/>
      <c r="AD2483" s="159"/>
      <c r="AE2483" s="184"/>
      <c r="AF2483" s="158" t="s">
        <v>356</v>
      </c>
      <c r="AG2483" s="160"/>
      <c r="AH2483" s="160"/>
      <c r="AI2483" s="158"/>
      <c r="AJ2483" s="158"/>
      <c r="AK2483" s="158"/>
      <c r="AL2483" s="158"/>
      <c r="AM2483" s="158"/>
      <c r="AN2483" s="158"/>
      <c r="AO2483" s="158"/>
      <c r="AP2483" s="158"/>
      <c r="AQ2483" s="158"/>
      <c r="AR2483" s="507"/>
      <c r="AS2483" s="475"/>
      <c r="AT2483" s="160"/>
    </row>
    <row r="2484" spans="1:46" ht="15" hidden="1" customHeight="1">
      <c r="A2484" s="331">
        <v>2483</v>
      </c>
      <c r="B2484" s="209" t="s">
        <v>11442</v>
      </c>
      <c r="C2484" s="159" t="s">
        <v>11545</v>
      </c>
      <c r="D2484" s="447" t="s">
        <v>9866</v>
      </c>
      <c r="E2484" s="361" t="str">
        <f t="shared" ca="1" si="164"/>
        <v>LOSS</v>
      </c>
      <c r="F2484" s="160" t="s">
        <v>11441</v>
      </c>
      <c r="G2484" s="159" t="s">
        <v>11546</v>
      </c>
      <c r="H2484" s="160" t="s">
        <v>8588</v>
      </c>
      <c r="I2484" s="160" t="s">
        <v>511</v>
      </c>
      <c r="J2484" s="159"/>
      <c r="K2484" s="160" t="s">
        <v>11547</v>
      </c>
      <c r="L2484" s="158"/>
      <c r="M2484" s="158" t="s">
        <v>7267</v>
      </c>
      <c r="N2484" s="158" t="s">
        <v>362</v>
      </c>
      <c r="O2484" s="162"/>
      <c r="P2484" s="161">
        <f>8000000*12</f>
        <v>96000000</v>
      </c>
      <c r="Q2484" s="161"/>
      <c r="R2484" s="162"/>
      <c r="S2484" s="163"/>
      <c r="T2484" s="213">
        <v>0.15</v>
      </c>
      <c r="U2484" s="344">
        <v>45798</v>
      </c>
      <c r="V2484" s="340">
        <v>46162</v>
      </c>
      <c r="W2484" s="158" t="s">
        <v>17</v>
      </c>
      <c r="X2484" s="158"/>
      <c r="Y2484" s="164">
        <f t="shared" ca="1" si="166"/>
        <v>46290</v>
      </c>
      <c r="Z2484" s="207">
        <f t="shared" ca="1" si="167"/>
        <v>-128</v>
      </c>
      <c r="AA2484" s="158">
        <f t="shared" si="168"/>
        <v>5</v>
      </c>
      <c r="AB2484" s="158">
        <f t="shared" si="165"/>
        <v>2026</v>
      </c>
      <c r="AC2484" s="159"/>
      <c r="AD2484" s="159"/>
      <c r="AE2484" s="184"/>
      <c r="AF2484" s="158" t="s">
        <v>356</v>
      </c>
      <c r="AG2484" s="160"/>
      <c r="AH2484" s="160"/>
      <c r="AI2484" s="158"/>
      <c r="AJ2484" s="158"/>
      <c r="AK2484" s="158"/>
      <c r="AL2484" s="158"/>
      <c r="AM2484" s="158"/>
      <c r="AN2484" s="158"/>
      <c r="AO2484" s="158"/>
      <c r="AP2484" s="158"/>
      <c r="AQ2484" s="158"/>
      <c r="AR2484" s="507"/>
      <c r="AS2484" s="475"/>
      <c r="AT2484" s="160"/>
    </row>
    <row r="2485" spans="1:46" ht="15" hidden="1" customHeight="1">
      <c r="A2485" s="331">
        <v>2484</v>
      </c>
      <c r="B2485" s="209" t="s">
        <v>11442</v>
      </c>
      <c r="C2485" s="159" t="s">
        <v>11548</v>
      </c>
      <c r="D2485" s="447" t="s">
        <v>9866</v>
      </c>
      <c r="E2485" s="361" t="str">
        <f t="shared" ca="1" si="164"/>
        <v>LOSS</v>
      </c>
      <c r="F2485" s="160" t="s">
        <v>11549</v>
      </c>
      <c r="G2485" s="159" t="s">
        <v>11550</v>
      </c>
      <c r="H2485" s="160" t="s">
        <v>8588</v>
      </c>
      <c r="I2485" s="160" t="s">
        <v>511</v>
      </c>
      <c r="J2485" s="159"/>
      <c r="K2485" s="181" t="s">
        <v>11551</v>
      </c>
      <c r="L2485" s="158"/>
      <c r="M2485" s="158" t="s">
        <v>11552</v>
      </c>
      <c r="N2485" s="158" t="s">
        <v>494</v>
      </c>
      <c r="O2485" s="162"/>
      <c r="P2485" s="161">
        <f>4850000*12</f>
        <v>58200000</v>
      </c>
      <c r="Q2485" s="161"/>
      <c r="R2485" s="162"/>
      <c r="S2485" s="163"/>
      <c r="T2485" s="213">
        <v>0.15</v>
      </c>
      <c r="U2485" s="344">
        <v>45798</v>
      </c>
      <c r="V2485" s="340">
        <v>46162</v>
      </c>
      <c r="W2485" s="158" t="s">
        <v>17</v>
      </c>
      <c r="X2485" s="158"/>
      <c r="Y2485" s="164">
        <f t="shared" ca="1" si="166"/>
        <v>46290</v>
      </c>
      <c r="Z2485" s="207">
        <f t="shared" ca="1" si="167"/>
        <v>-128</v>
      </c>
      <c r="AA2485" s="158">
        <f t="shared" si="168"/>
        <v>5</v>
      </c>
      <c r="AB2485" s="158">
        <f t="shared" si="165"/>
        <v>2026</v>
      </c>
      <c r="AC2485" s="159"/>
      <c r="AD2485" s="159"/>
      <c r="AE2485" s="184"/>
      <c r="AF2485" s="158" t="s">
        <v>356</v>
      </c>
      <c r="AG2485" s="160"/>
      <c r="AH2485" s="160"/>
      <c r="AI2485" s="158"/>
      <c r="AJ2485" s="158"/>
      <c r="AK2485" s="158"/>
      <c r="AL2485" s="158"/>
      <c r="AM2485" s="158"/>
      <c r="AN2485" s="158"/>
      <c r="AO2485" s="158"/>
      <c r="AP2485" s="158"/>
      <c r="AQ2485" s="158"/>
      <c r="AR2485" s="507"/>
      <c r="AS2485" s="475"/>
      <c r="AT2485" s="160"/>
    </row>
    <row r="2486" spans="1:46" ht="15" hidden="1" customHeight="1">
      <c r="A2486" s="331">
        <v>2485</v>
      </c>
      <c r="B2486" s="209" t="s">
        <v>11442</v>
      </c>
      <c r="C2486" s="159" t="s">
        <v>11443</v>
      </c>
      <c r="D2486" s="447" t="s">
        <v>9866</v>
      </c>
      <c r="E2486" s="361" t="str">
        <f t="shared" ca="1" si="164"/>
        <v>ON TRACK</v>
      </c>
      <c r="F2486" s="210" t="s">
        <v>11444</v>
      </c>
      <c r="G2486" s="159" t="s">
        <v>11445</v>
      </c>
      <c r="H2486" s="160" t="s">
        <v>8588</v>
      </c>
      <c r="I2486" s="160" t="s">
        <v>511</v>
      </c>
      <c r="J2486" s="159" t="s">
        <v>11446</v>
      </c>
      <c r="K2486" s="160" t="s">
        <v>11447</v>
      </c>
      <c r="L2486" s="158"/>
      <c r="M2486" s="208" t="s">
        <v>365</v>
      </c>
      <c r="N2486" s="160"/>
      <c r="O2486" s="162"/>
      <c r="P2486" s="161">
        <f>13500000*12</f>
        <v>162000000</v>
      </c>
      <c r="Q2486" s="161"/>
      <c r="R2486" s="162"/>
      <c r="S2486" s="211"/>
      <c r="T2486" s="213">
        <v>0.15</v>
      </c>
      <c r="U2486" s="344">
        <v>46163</v>
      </c>
      <c r="V2486" s="340">
        <v>46527</v>
      </c>
      <c r="W2486" s="158" t="s">
        <v>17</v>
      </c>
      <c r="X2486" s="158"/>
      <c r="Y2486" s="164">
        <f t="shared" ca="1" si="166"/>
        <v>46290</v>
      </c>
      <c r="Z2486" s="207">
        <f t="shared" ca="1" si="167"/>
        <v>237</v>
      </c>
      <c r="AA2486" s="158">
        <f t="shared" si="168"/>
        <v>5</v>
      </c>
      <c r="AB2486" s="158">
        <f t="shared" si="165"/>
        <v>2027</v>
      </c>
      <c r="AC2486" s="159"/>
      <c r="AD2486" s="159"/>
      <c r="AE2486" s="158"/>
      <c r="AF2486" s="158" t="s">
        <v>356</v>
      </c>
      <c r="AG2486" s="160"/>
      <c r="AH2486" s="160"/>
      <c r="AI2486" s="158"/>
      <c r="AJ2486" s="158"/>
      <c r="AK2486" s="158"/>
      <c r="AL2486" s="158"/>
      <c r="AM2486" s="158"/>
      <c r="AN2486" s="158"/>
      <c r="AO2486" s="158"/>
      <c r="AP2486" s="158"/>
      <c r="AQ2486" s="158"/>
      <c r="AR2486" s="507"/>
      <c r="AS2486" s="475"/>
      <c r="AT2486" s="160"/>
    </row>
    <row r="2487" spans="1:46" ht="15" hidden="1" customHeight="1">
      <c r="A2487" s="331">
        <v>2486</v>
      </c>
      <c r="B2487" s="209" t="s">
        <v>11442</v>
      </c>
      <c r="C2487" s="159" t="s">
        <v>11448</v>
      </c>
      <c r="D2487" s="447" t="s">
        <v>9866</v>
      </c>
      <c r="E2487" s="361" t="str">
        <f t="shared" ca="1" si="164"/>
        <v>ON TRACK</v>
      </c>
      <c r="F2487" s="233" t="s">
        <v>11449</v>
      </c>
      <c r="G2487" s="159" t="s">
        <v>11450</v>
      </c>
      <c r="H2487" s="160" t="s">
        <v>8588</v>
      </c>
      <c r="I2487" s="160" t="s">
        <v>511</v>
      </c>
      <c r="J2487" s="159"/>
      <c r="K2487" s="160" t="s">
        <v>11451</v>
      </c>
      <c r="L2487" s="158"/>
      <c r="M2487" s="208" t="s">
        <v>365</v>
      </c>
      <c r="N2487" s="160"/>
      <c r="O2487" s="162"/>
      <c r="P2487" s="161">
        <f>2500000*12</f>
        <v>30000000</v>
      </c>
      <c r="Q2487" s="161"/>
      <c r="R2487" s="162"/>
      <c r="S2487" s="211"/>
      <c r="T2487" s="213">
        <v>0.15</v>
      </c>
      <c r="U2487" s="344">
        <v>46163</v>
      </c>
      <c r="V2487" s="340">
        <v>46527</v>
      </c>
      <c r="W2487" s="158" t="s">
        <v>17</v>
      </c>
      <c r="X2487" s="158"/>
      <c r="Y2487" s="164">
        <f t="shared" ca="1" si="166"/>
        <v>46290</v>
      </c>
      <c r="Z2487" s="207">
        <f t="shared" ca="1" si="167"/>
        <v>237</v>
      </c>
      <c r="AA2487" s="158">
        <f t="shared" si="168"/>
        <v>5</v>
      </c>
      <c r="AB2487" s="158">
        <f t="shared" si="165"/>
        <v>2027</v>
      </c>
      <c r="AC2487" s="159"/>
      <c r="AD2487" s="159"/>
      <c r="AE2487" s="158"/>
      <c r="AF2487" s="158" t="s">
        <v>356</v>
      </c>
      <c r="AG2487" s="160"/>
      <c r="AH2487" s="160"/>
      <c r="AI2487" s="158"/>
      <c r="AJ2487" s="158"/>
      <c r="AK2487" s="158"/>
      <c r="AL2487" s="158"/>
      <c r="AM2487" s="158"/>
      <c r="AN2487" s="158"/>
      <c r="AO2487" s="158"/>
      <c r="AP2487" s="158"/>
      <c r="AQ2487" s="158"/>
      <c r="AR2487" s="507"/>
      <c r="AS2487" s="475"/>
      <c r="AT2487" s="160"/>
    </row>
    <row r="2488" spans="1:46" ht="15" hidden="1" customHeight="1">
      <c r="A2488" s="331">
        <v>2487</v>
      </c>
      <c r="B2488" s="209" t="s">
        <v>11442</v>
      </c>
      <c r="C2488" s="222" t="s">
        <v>11452</v>
      </c>
      <c r="D2488" s="447" t="s">
        <v>9866</v>
      </c>
      <c r="E2488" s="361" t="str">
        <f t="shared" ca="1" si="164"/>
        <v>ON TRACK</v>
      </c>
      <c r="F2488" s="233" t="s">
        <v>11453</v>
      </c>
      <c r="G2488" s="159" t="s">
        <v>11454</v>
      </c>
      <c r="H2488" s="160" t="s">
        <v>8588</v>
      </c>
      <c r="I2488" s="160" t="s">
        <v>511</v>
      </c>
      <c r="J2488" s="159" t="s">
        <v>11455</v>
      </c>
      <c r="K2488" s="224" t="s">
        <v>11456</v>
      </c>
      <c r="L2488" s="158"/>
      <c r="M2488" s="208" t="s">
        <v>365</v>
      </c>
      <c r="N2488" s="226"/>
      <c r="O2488" s="162"/>
      <c r="P2488" s="161">
        <f>13000000*12</f>
        <v>156000000</v>
      </c>
      <c r="Q2488" s="161"/>
      <c r="R2488" s="162"/>
      <c r="S2488" s="211"/>
      <c r="T2488" s="213">
        <v>0.15</v>
      </c>
      <c r="U2488" s="344">
        <v>46163</v>
      </c>
      <c r="V2488" s="340">
        <v>46527</v>
      </c>
      <c r="W2488" s="158" t="s">
        <v>17</v>
      </c>
      <c r="X2488" s="158"/>
      <c r="Y2488" s="164">
        <f t="shared" ca="1" si="166"/>
        <v>46290</v>
      </c>
      <c r="Z2488" s="207">
        <f t="shared" ca="1" si="167"/>
        <v>237</v>
      </c>
      <c r="AA2488" s="158">
        <f t="shared" si="168"/>
        <v>5</v>
      </c>
      <c r="AB2488" s="158">
        <f t="shared" si="165"/>
        <v>2027</v>
      </c>
      <c r="AC2488" s="159"/>
      <c r="AD2488" s="159"/>
      <c r="AE2488" s="158"/>
      <c r="AF2488" s="158" t="s">
        <v>356</v>
      </c>
      <c r="AG2488" s="160"/>
      <c r="AH2488" s="160"/>
      <c r="AI2488" s="158"/>
      <c r="AJ2488" s="158"/>
      <c r="AK2488" s="158"/>
      <c r="AL2488" s="158"/>
      <c r="AM2488" s="158"/>
      <c r="AN2488" s="158"/>
      <c r="AO2488" s="158"/>
      <c r="AP2488" s="158"/>
      <c r="AQ2488" s="158"/>
      <c r="AR2488" s="507"/>
      <c r="AS2488" s="475"/>
      <c r="AT2488" s="160"/>
    </row>
    <row r="2489" spans="1:46" ht="15" hidden="1" customHeight="1">
      <c r="A2489" s="331">
        <v>2488</v>
      </c>
      <c r="B2489" s="209" t="s">
        <v>11442</v>
      </c>
      <c r="C2489" s="222" t="s">
        <v>11457</v>
      </c>
      <c r="D2489" s="447" t="s">
        <v>9866</v>
      </c>
      <c r="E2489" s="361" t="str">
        <f t="shared" ca="1" si="164"/>
        <v>ON TRACK</v>
      </c>
      <c r="F2489" s="214" t="s">
        <v>115</v>
      </c>
      <c r="G2489" s="222" t="s">
        <v>11458</v>
      </c>
      <c r="H2489" s="160" t="s">
        <v>8588</v>
      </c>
      <c r="I2489" s="160" t="s">
        <v>511</v>
      </c>
      <c r="J2489" s="159" t="s">
        <v>11459</v>
      </c>
      <c r="K2489" s="224" t="s">
        <v>11460</v>
      </c>
      <c r="L2489" s="158"/>
      <c r="M2489" s="158" t="s">
        <v>8709</v>
      </c>
      <c r="N2489" s="226" t="s">
        <v>6735</v>
      </c>
      <c r="O2489" s="162"/>
      <c r="P2489" s="161">
        <f>7000000*12</f>
        <v>84000000</v>
      </c>
      <c r="Q2489" s="161"/>
      <c r="R2489" s="162"/>
      <c r="S2489" s="211"/>
      <c r="T2489" s="213">
        <v>0.15</v>
      </c>
      <c r="U2489" s="344">
        <v>46163</v>
      </c>
      <c r="V2489" s="340">
        <v>46527</v>
      </c>
      <c r="W2489" s="158" t="s">
        <v>17</v>
      </c>
      <c r="X2489" s="158"/>
      <c r="Y2489" s="164">
        <f t="shared" ca="1" si="166"/>
        <v>46290</v>
      </c>
      <c r="Z2489" s="207">
        <f t="shared" ca="1" si="167"/>
        <v>237</v>
      </c>
      <c r="AA2489" s="158">
        <f t="shared" si="168"/>
        <v>5</v>
      </c>
      <c r="AB2489" s="158">
        <f t="shared" si="165"/>
        <v>2027</v>
      </c>
      <c r="AC2489" s="159"/>
      <c r="AD2489" s="159"/>
      <c r="AE2489" s="158"/>
      <c r="AF2489" s="158" t="s">
        <v>356</v>
      </c>
      <c r="AG2489" s="160"/>
      <c r="AH2489" s="160"/>
      <c r="AI2489" s="158"/>
      <c r="AJ2489" s="158"/>
      <c r="AK2489" s="158"/>
      <c r="AL2489" s="158"/>
      <c r="AM2489" s="158"/>
      <c r="AN2489" s="158"/>
      <c r="AO2489" s="158"/>
      <c r="AP2489" s="158"/>
      <c r="AQ2489" s="158"/>
      <c r="AR2489" s="507"/>
      <c r="AS2489" s="475"/>
      <c r="AT2489" s="160"/>
    </row>
    <row r="2490" spans="1:46" ht="15" hidden="1" customHeight="1">
      <c r="A2490" s="331">
        <v>2489</v>
      </c>
      <c r="B2490" s="209" t="s">
        <v>11442</v>
      </c>
      <c r="C2490" s="222" t="s">
        <v>11461</v>
      </c>
      <c r="D2490" s="447" t="s">
        <v>9866</v>
      </c>
      <c r="E2490" s="361" t="str">
        <f t="shared" ca="1" si="164"/>
        <v>ON TRACK</v>
      </c>
      <c r="F2490" s="214" t="s">
        <v>115</v>
      </c>
      <c r="G2490" s="222" t="s">
        <v>11462</v>
      </c>
      <c r="H2490" s="160" t="s">
        <v>8588</v>
      </c>
      <c r="I2490" s="160" t="s">
        <v>511</v>
      </c>
      <c r="J2490" s="159" t="s">
        <v>11463</v>
      </c>
      <c r="K2490" s="224" t="s">
        <v>11464</v>
      </c>
      <c r="L2490" s="158"/>
      <c r="M2490" s="158" t="s">
        <v>8709</v>
      </c>
      <c r="N2490" s="226" t="s">
        <v>468</v>
      </c>
      <c r="O2490" s="162"/>
      <c r="P2490" s="161">
        <f>7000000*12</f>
        <v>84000000</v>
      </c>
      <c r="Q2490" s="161"/>
      <c r="R2490" s="162"/>
      <c r="S2490" s="211"/>
      <c r="T2490" s="213">
        <v>0.15</v>
      </c>
      <c r="U2490" s="344">
        <v>46163</v>
      </c>
      <c r="V2490" s="340">
        <v>46527</v>
      </c>
      <c r="W2490" s="158" t="s">
        <v>17</v>
      </c>
      <c r="X2490" s="158"/>
      <c r="Y2490" s="164">
        <f t="shared" ca="1" si="166"/>
        <v>46290</v>
      </c>
      <c r="Z2490" s="207">
        <f t="shared" ca="1" si="167"/>
        <v>237</v>
      </c>
      <c r="AA2490" s="158">
        <f t="shared" si="168"/>
        <v>5</v>
      </c>
      <c r="AB2490" s="158">
        <f t="shared" si="165"/>
        <v>2027</v>
      </c>
      <c r="AC2490" s="159"/>
      <c r="AD2490" s="159"/>
      <c r="AE2490" s="158"/>
      <c r="AF2490" s="158" t="s">
        <v>356</v>
      </c>
      <c r="AG2490" s="160"/>
      <c r="AH2490" s="160"/>
      <c r="AI2490" s="158"/>
      <c r="AJ2490" s="158"/>
      <c r="AK2490" s="158"/>
      <c r="AL2490" s="158"/>
      <c r="AM2490" s="158"/>
      <c r="AN2490" s="158"/>
      <c r="AO2490" s="158"/>
      <c r="AP2490" s="158"/>
      <c r="AQ2490" s="158"/>
      <c r="AR2490" s="507"/>
      <c r="AS2490" s="475"/>
      <c r="AT2490" s="160"/>
    </row>
    <row r="2491" spans="1:46" ht="15" hidden="1" customHeight="1">
      <c r="A2491" s="331">
        <v>2490</v>
      </c>
      <c r="B2491" s="209" t="s">
        <v>11442</v>
      </c>
      <c r="C2491" s="159" t="s">
        <v>11465</v>
      </c>
      <c r="D2491" s="447" t="s">
        <v>9866</v>
      </c>
      <c r="E2491" s="361" t="str">
        <f t="shared" ca="1" si="164"/>
        <v>ON TRACK</v>
      </c>
      <c r="F2491" s="214" t="s">
        <v>115</v>
      </c>
      <c r="G2491" s="159" t="s">
        <v>11466</v>
      </c>
      <c r="H2491" s="160" t="s">
        <v>8588</v>
      </c>
      <c r="I2491" s="160" t="s">
        <v>511</v>
      </c>
      <c r="J2491" s="159" t="s">
        <v>11467</v>
      </c>
      <c r="K2491" s="160" t="s">
        <v>11468</v>
      </c>
      <c r="L2491" s="158"/>
      <c r="M2491" s="158" t="s">
        <v>11469</v>
      </c>
      <c r="N2491" s="158" t="s">
        <v>406</v>
      </c>
      <c r="O2491" s="162"/>
      <c r="P2491" s="161">
        <f>10000000*12</f>
        <v>120000000</v>
      </c>
      <c r="Q2491" s="161"/>
      <c r="R2491" s="162"/>
      <c r="S2491" s="211"/>
      <c r="T2491" s="213">
        <v>0.15</v>
      </c>
      <c r="U2491" s="344">
        <v>46163</v>
      </c>
      <c r="V2491" s="340">
        <v>46527</v>
      </c>
      <c r="W2491" s="158" t="s">
        <v>17</v>
      </c>
      <c r="X2491" s="158"/>
      <c r="Y2491" s="164">
        <f t="shared" ca="1" si="166"/>
        <v>46290</v>
      </c>
      <c r="Z2491" s="207">
        <f t="shared" ca="1" si="167"/>
        <v>237</v>
      </c>
      <c r="AA2491" s="158">
        <f t="shared" si="168"/>
        <v>5</v>
      </c>
      <c r="AB2491" s="158">
        <f t="shared" si="165"/>
        <v>2027</v>
      </c>
      <c r="AC2491" s="159"/>
      <c r="AD2491" s="159"/>
      <c r="AE2491" s="158"/>
      <c r="AF2491" s="158" t="s">
        <v>356</v>
      </c>
      <c r="AG2491" s="160"/>
      <c r="AH2491" s="160"/>
      <c r="AI2491" s="158"/>
      <c r="AJ2491" s="158"/>
      <c r="AK2491" s="158"/>
      <c r="AL2491" s="158"/>
      <c r="AM2491" s="158"/>
      <c r="AN2491" s="158"/>
      <c r="AO2491" s="158"/>
      <c r="AP2491" s="158"/>
      <c r="AQ2491" s="158"/>
      <c r="AR2491" s="507"/>
      <c r="AS2491" s="475"/>
      <c r="AT2491" s="160"/>
    </row>
    <row r="2492" spans="1:46" ht="15" hidden="1" customHeight="1">
      <c r="A2492" s="331">
        <v>2491</v>
      </c>
      <c r="B2492" s="209" t="s">
        <v>11442</v>
      </c>
      <c r="C2492" s="222" t="s">
        <v>11470</v>
      </c>
      <c r="D2492" s="447" t="s">
        <v>9866</v>
      </c>
      <c r="E2492" s="361" t="str">
        <f t="shared" ca="1" si="164"/>
        <v>ON TRACK</v>
      </c>
      <c r="F2492" s="214" t="s">
        <v>115</v>
      </c>
      <c r="G2492" s="159" t="s">
        <v>11471</v>
      </c>
      <c r="H2492" s="160" t="s">
        <v>8588</v>
      </c>
      <c r="I2492" s="160" t="s">
        <v>511</v>
      </c>
      <c r="J2492" s="159" t="s">
        <v>11472</v>
      </c>
      <c r="K2492" s="160" t="s">
        <v>11473</v>
      </c>
      <c r="L2492" s="158"/>
      <c r="M2492" s="158" t="s">
        <v>353</v>
      </c>
      <c r="N2492" s="158" t="s">
        <v>389</v>
      </c>
      <c r="O2492" s="162"/>
      <c r="P2492" s="161">
        <f>21000000*12</f>
        <v>252000000</v>
      </c>
      <c r="Q2492" s="161"/>
      <c r="R2492" s="162"/>
      <c r="S2492" s="211"/>
      <c r="T2492" s="213">
        <v>0.15</v>
      </c>
      <c r="U2492" s="344">
        <v>46163</v>
      </c>
      <c r="V2492" s="340">
        <v>46527</v>
      </c>
      <c r="W2492" s="158" t="s">
        <v>17</v>
      </c>
      <c r="X2492" s="158"/>
      <c r="Y2492" s="164">
        <f t="shared" ca="1" si="166"/>
        <v>46290</v>
      </c>
      <c r="Z2492" s="207">
        <f t="shared" ca="1" si="167"/>
        <v>237</v>
      </c>
      <c r="AA2492" s="158">
        <f t="shared" si="168"/>
        <v>5</v>
      </c>
      <c r="AB2492" s="158">
        <f t="shared" si="165"/>
        <v>2027</v>
      </c>
      <c r="AC2492" s="159"/>
      <c r="AD2492" s="159"/>
      <c r="AE2492" s="158"/>
      <c r="AF2492" s="158" t="s">
        <v>356</v>
      </c>
      <c r="AG2492" s="160"/>
      <c r="AH2492" s="160"/>
      <c r="AI2492" s="158"/>
      <c r="AJ2492" s="158"/>
      <c r="AK2492" s="158"/>
      <c r="AL2492" s="158"/>
      <c r="AM2492" s="158"/>
      <c r="AN2492" s="158"/>
      <c r="AO2492" s="158"/>
      <c r="AP2492" s="158"/>
      <c r="AQ2492" s="158"/>
      <c r="AR2492" s="507"/>
      <c r="AS2492" s="475"/>
      <c r="AT2492" s="160"/>
    </row>
    <row r="2493" spans="1:46" ht="15" hidden="1" customHeight="1">
      <c r="A2493" s="331">
        <v>2492</v>
      </c>
      <c r="B2493" s="209" t="s">
        <v>11442</v>
      </c>
      <c r="C2493" s="159" t="s">
        <v>11474</v>
      </c>
      <c r="D2493" s="447" t="s">
        <v>9866</v>
      </c>
      <c r="E2493" s="361" t="str">
        <f t="shared" ca="1" si="164"/>
        <v>ON TRACK</v>
      </c>
      <c r="F2493" s="214" t="s">
        <v>115</v>
      </c>
      <c r="G2493" s="159" t="s">
        <v>11475</v>
      </c>
      <c r="H2493" s="160" t="s">
        <v>8588</v>
      </c>
      <c r="I2493" s="160" t="s">
        <v>511</v>
      </c>
      <c r="J2493" s="159" t="s">
        <v>11476</v>
      </c>
      <c r="K2493" s="160" t="s">
        <v>11477</v>
      </c>
      <c r="L2493" s="158"/>
      <c r="M2493" s="158" t="s">
        <v>365</v>
      </c>
      <c r="N2493" s="158" t="s">
        <v>354</v>
      </c>
      <c r="O2493" s="162"/>
      <c r="P2493" s="161">
        <f>2800000*12</f>
        <v>33600000</v>
      </c>
      <c r="Q2493" s="161"/>
      <c r="R2493" s="162"/>
      <c r="S2493" s="211"/>
      <c r="T2493" s="213">
        <v>0.15</v>
      </c>
      <c r="U2493" s="344">
        <v>46163</v>
      </c>
      <c r="V2493" s="340">
        <v>46527</v>
      </c>
      <c r="W2493" s="158" t="s">
        <v>17</v>
      </c>
      <c r="X2493" s="158"/>
      <c r="Y2493" s="164">
        <f t="shared" ca="1" si="166"/>
        <v>46290</v>
      </c>
      <c r="Z2493" s="207">
        <f t="shared" ca="1" si="167"/>
        <v>237</v>
      </c>
      <c r="AA2493" s="158">
        <f t="shared" si="168"/>
        <v>5</v>
      </c>
      <c r="AB2493" s="158">
        <f t="shared" si="165"/>
        <v>2027</v>
      </c>
      <c r="AC2493" s="159"/>
      <c r="AD2493" s="159"/>
      <c r="AE2493" s="158"/>
      <c r="AF2493" s="158" t="s">
        <v>356</v>
      </c>
      <c r="AG2493" s="160"/>
      <c r="AH2493" s="160"/>
      <c r="AI2493" s="158"/>
      <c r="AJ2493" s="158"/>
      <c r="AK2493" s="158"/>
      <c r="AL2493" s="158"/>
      <c r="AM2493" s="158"/>
      <c r="AN2493" s="158"/>
      <c r="AO2493" s="158"/>
      <c r="AP2493" s="158"/>
      <c r="AQ2493" s="158"/>
      <c r="AR2493" s="507"/>
      <c r="AS2493" s="475"/>
      <c r="AT2493" s="160"/>
    </row>
    <row r="2494" spans="1:46" ht="15" hidden="1" customHeight="1">
      <c r="A2494" s="331">
        <v>2493</v>
      </c>
      <c r="B2494" s="209" t="s">
        <v>11442</v>
      </c>
      <c r="C2494" s="159" t="s">
        <v>11478</v>
      </c>
      <c r="D2494" s="447" t="s">
        <v>9866</v>
      </c>
      <c r="E2494" s="361" t="str">
        <f t="shared" ca="1" si="164"/>
        <v>ON TRACK</v>
      </c>
      <c r="F2494" s="214" t="s">
        <v>115</v>
      </c>
      <c r="G2494" s="159" t="s">
        <v>11479</v>
      </c>
      <c r="H2494" s="160" t="s">
        <v>8588</v>
      </c>
      <c r="I2494" s="160" t="s">
        <v>511</v>
      </c>
      <c r="J2494" s="159" t="s">
        <v>11480</v>
      </c>
      <c r="K2494" s="160" t="s">
        <v>11481</v>
      </c>
      <c r="L2494" s="158"/>
      <c r="M2494" s="158" t="s">
        <v>353</v>
      </c>
      <c r="N2494" s="158" t="s">
        <v>389</v>
      </c>
      <c r="O2494" s="162"/>
      <c r="P2494" s="161">
        <f>12600000*12</f>
        <v>151200000</v>
      </c>
      <c r="Q2494" s="161"/>
      <c r="R2494" s="162"/>
      <c r="S2494" s="211"/>
      <c r="T2494" s="213">
        <v>0.15</v>
      </c>
      <c r="U2494" s="344">
        <v>46163</v>
      </c>
      <c r="V2494" s="340">
        <v>46527</v>
      </c>
      <c r="W2494" s="158" t="s">
        <v>17</v>
      </c>
      <c r="X2494" s="158"/>
      <c r="Y2494" s="164">
        <f t="shared" ca="1" si="166"/>
        <v>46290</v>
      </c>
      <c r="Z2494" s="207">
        <f t="shared" ca="1" si="167"/>
        <v>237</v>
      </c>
      <c r="AA2494" s="158">
        <f t="shared" si="168"/>
        <v>5</v>
      </c>
      <c r="AB2494" s="158">
        <f t="shared" si="165"/>
        <v>2027</v>
      </c>
      <c r="AC2494" s="159"/>
      <c r="AD2494" s="159"/>
      <c r="AE2494" s="158"/>
      <c r="AF2494" s="158" t="s">
        <v>356</v>
      </c>
      <c r="AG2494" s="160"/>
      <c r="AH2494" s="160"/>
      <c r="AI2494" s="158"/>
      <c r="AJ2494" s="158"/>
      <c r="AK2494" s="158"/>
      <c r="AL2494" s="158"/>
      <c r="AM2494" s="158"/>
      <c r="AN2494" s="158"/>
      <c r="AO2494" s="158"/>
      <c r="AP2494" s="158"/>
      <c r="AQ2494" s="158"/>
      <c r="AR2494" s="507"/>
      <c r="AS2494" s="475"/>
      <c r="AT2494" s="160"/>
    </row>
    <row r="2495" spans="1:46" ht="15" hidden="1" customHeight="1">
      <c r="A2495" s="331">
        <v>2494</v>
      </c>
      <c r="B2495" s="209" t="s">
        <v>11442</v>
      </c>
      <c r="C2495" s="159" t="s">
        <v>11478</v>
      </c>
      <c r="D2495" s="447" t="s">
        <v>9866</v>
      </c>
      <c r="E2495" s="361" t="str">
        <f t="shared" ca="1" si="164"/>
        <v>ON TRACK</v>
      </c>
      <c r="F2495" s="210" t="s">
        <v>11482</v>
      </c>
      <c r="G2495" s="159" t="s">
        <v>11479</v>
      </c>
      <c r="H2495" s="160" t="s">
        <v>8588</v>
      </c>
      <c r="I2495" s="160" t="s">
        <v>511</v>
      </c>
      <c r="J2495" s="159" t="s">
        <v>11483</v>
      </c>
      <c r="K2495" s="160" t="s">
        <v>11484</v>
      </c>
      <c r="L2495" s="158"/>
      <c r="M2495" s="158" t="s">
        <v>353</v>
      </c>
      <c r="N2495" s="158" t="s">
        <v>7066</v>
      </c>
      <c r="O2495" s="162"/>
      <c r="P2495" s="161">
        <f>8325000*12</f>
        <v>99900000</v>
      </c>
      <c r="Q2495" s="161"/>
      <c r="R2495" s="162"/>
      <c r="S2495" s="211"/>
      <c r="T2495" s="213">
        <v>0.15</v>
      </c>
      <c r="U2495" s="344">
        <v>46163</v>
      </c>
      <c r="V2495" s="340">
        <v>46527</v>
      </c>
      <c r="W2495" s="158" t="s">
        <v>17</v>
      </c>
      <c r="X2495" s="158"/>
      <c r="Y2495" s="164">
        <f t="shared" ref="Y2495:Y2526" ca="1" si="169">TODAY()</f>
        <v>46290</v>
      </c>
      <c r="Z2495" s="207">
        <f t="shared" ca="1" si="167"/>
        <v>237</v>
      </c>
      <c r="AA2495" s="158">
        <f t="shared" si="168"/>
        <v>5</v>
      </c>
      <c r="AB2495" s="158">
        <f t="shared" si="165"/>
        <v>2027</v>
      </c>
      <c r="AC2495" s="159"/>
      <c r="AD2495" s="159"/>
      <c r="AE2495" s="158"/>
      <c r="AF2495" s="158" t="s">
        <v>356</v>
      </c>
      <c r="AG2495" s="160"/>
      <c r="AH2495" s="160"/>
      <c r="AI2495" s="158"/>
      <c r="AJ2495" s="158"/>
      <c r="AK2495" s="158"/>
      <c r="AL2495" s="158"/>
      <c r="AM2495" s="158"/>
      <c r="AN2495" s="158"/>
      <c r="AO2495" s="158"/>
      <c r="AP2495" s="158"/>
      <c r="AQ2495" s="158"/>
      <c r="AR2495" s="507"/>
      <c r="AS2495" s="475"/>
      <c r="AT2495" s="160"/>
    </row>
    <row r="2496" spans="1:46" ht="15" hidden="1" customHeight="1">
      <c r="A2496" s="331">
        <v>2495</v>
      </c>
      <c r="B2496" s="209" t="s">
        <v>11442</v>
      </c>
      <c r="C2496" s="159" t="s">
        <v>11474</v>
      </c>
      <c r="D2496" s="447" t="s">
        <v>9866</v>
      </c>
      <c r="E2496" s="361" t="str">
        <f t="shared" ca="1" si="164"/>
        <v>ON TRACK</v>
      </c>
      <c r="F2496" s="160"/>
      <c r="G2496" s="159" t="s">
        <v>11485</v>
      </c>
      <c r="H2496" s="160" t="s">
        <v>8588</v>
      </c>
      <c r="I2496" s="160" t="s">
        <v>511</v>
      </c>
      <c r="J2496" s="159" t="s">
        <v>11486</v>
      </c>
      <c r="K2496" s="160" t="s">
        <v>11487</v>
      </c>
      <c r="L2496" s="158"/>
      <c r="M2496" s="158" t="s">
        <v>365</v>
      </c>
      <c r="N2496" s="158" t="s">
        <v>7193</v>
      </c>
      <c r="O2496" s="162"/>
      <c r="P2496" s="161">
        <f>3200000*12</f>
        <v>38400000</v>
      </c>
      <c r="Q2496" s="161"/>
      <c r="R2496" s="162"/>
      <c r="S2496" s="211"/>
      <c r="T2496" s="213">
        <v>0.15</v>
      </c>
      <c r="U2496" s="344">
        <v>46163</v>
      </c>
      <c r="V2496" s="340">
        <v>46527</v>
      </c>
      <c r="W2496" s="158" t="s">
        <v>17</v>
      </c>
      <c r="X2496" s="158"/>
      <c r="Y2496" s="164">
        <f t="shared" ca="1" si="169"/>
        <v>46290</v>
      </c>
      <c r="Z2496" s="207">
        <f t="shared" ca="1" si="167"/>
        <v>237</v>
      </c>
      <c r="AA2496" s="158">
        <f t="shared" si="168"/>
        <v>5</v>
      </c>
      <c r="AB2496" s="158">
        <f t="shared" si="165"/>
        <v>2027</v>
      </c>
      <c r="AC2496" s="159"/>
      <c r="AD2496" s="159"/>
      <c r="AE2496" s="158"/>
      <c r="AF2496" s="158" t="s">
        <v>356</v>
      </c>
      <c r="AG2496" s="160"/>
      <c r="AH2496" s="160"/>
      <c r="AI2496" s="158"/>
      <c r="AJ2496" s="158"/>
      <c r="AK2496" s="158"/>
      <c r="AL2496" s="158"/>
      <c r="AM2496" s="158"/>
      <c r="AN2496" s="158"/>
      <c r="AO2496" s="158"/>
      <c r="AP2496" s="158"/>
      <c r="AQ2496" s="158"/>
      <c r="AR2496" s="507"/>
      <c r="AS2496" s="475"/>
      <c r="AT2496" s="160"/>
    </row>
    <row r="2497" spans="1:46" ht="15" hidden="1" customHeight="1">
      <c r="A2497" s="331">
        <v>2496</v>
      </c>
      <c r="B2497" s="209" t="s">
        <v>11442</v>
      </c>
      <c r="C2497" s="159" t="s">
        <v>3765</v>
      </c>
      <c r="D2497" s="447" t="s">
        <v>9866</v>
      </c>
      <c r="E2497" s="361" t="str">
        <f t="shared" ca="1" si="164"/>
        <v>ON TRACK</v>
      </c>
      <c r="F2497" s="160"/>
      <c r="G2497" s="159" t="s">
        <v>11488</v>
      </c>
      <c r="H2497" s="160" t="s">
        <v>8588</v>
      </c>
      <c r="I2497" s="160" t="s">
        <v>511</v>
      </c>
      <c r="J2497" s="159" t="s">
        <v>11489</v>
      </c>
      <c r="K2497" s="160" t="s">
        <v>11490</v>
      </c>
      <c r="L2497" s="158"/>
      <c r="M2497" s="158" t="s">
        <v>365</v>
      </c>
      <c r="N2497" s="158" t="s">
        <v>7193</v>
      </c>
      <c r="O2497" s="162"/>
      <c r="P2497" s="161">
        <f>8300000*12</f>
        <v>99600000</v>
      </c>
      <c r="Q2497" s="161"/>
      <c r="R2497" s="162"/>
      <c r="S2497" s="211"/>
      <c r="T2497" s="213">
        <v>0.15</v>
      </c>
      <c r="U2497" s="344">
        <v>46163</v>
      </c>
      <c r="V2497" s="340">
        <v>46527</v>
      </c>
      <c r="W2497" s="158" t="s">
        <v>17</v>
      </c>
      <c r="X2497" s="158"/>
      <c r="Y2497" s="164">
        <f t="shared" ca="1" si="169"/>
        <v>46290</v>
      </c>
      <c r="Z2497" s="207">
        <f t="shared" ca="1" si="167"/>
        <v>237</v>
      </c>
      <c r="AA2497" s="158">
        <f t="shared" si="168"/>
        <v>5</v>
      </c>
      <c r="AB2497" s="158">
        <f t="shared" si="165"/>
        <v>2027</v>
      </c>
      <c r="AC2497" s="159"/>
      <c r="AD2497" s="159"/>
      <c r="AE2497" s="158"/>
      <c r="AF2497" s="158" t="s">
        <v>356</v>
      </c>
      <c r="AG2497" s="160"/>
      <c r="AH2497" s="160"/>
      <c r="AI2497" s="158"/>
      <c r="AJ2497" s="158"/>
      <c r="AK2497" s="158"/>
      <c r="AL2497" s="158"/>
      <c r="AM2497" s="158"/>
      <c r="AN2497" s="158"/>
      <c r="AO2497" s="158"/>
      <c r="AP2497" s="158"/>
      <c r="AQ2497" s="158"/>
      <c r="AR2497" s="507"/>
      <c r="AS2497" s="475"/>
      <c r="AT2497" s="160"/>
    </row>
    <row r="2498" spans="1:46" ht="15" hidden="1" customHeight="1">
      <c r="A2498" s="331">
        <v>2497</v>
      </c>
      <c r="B2498" s="209" t="s">
        <v>11442</v>
      </c>
      <c r="C2498" s="159" t="s">
        <v>11491</v>
      </c>
      <c r="D2498" s="447" t="s">
        <v>9866</v>
      </c>
      <c r="E2498" s="361" t="str">
        <f t="shared" ref="E2498:E2561" ca="1" si="170">IF(Z2498&lt;=0, "LOSS",IF(Z2498&lt;=15, "CRITICAL",IF(Z2498&lt;=30, "WARNING",IF(Z2498&lt;60, "ATTENTION", "ON TRACK"))))</f>
        <v>ON TRACK</v>
      </c>
      <c r="F2498" s="160"/>
      <c r="G2498" s="159" t="s">
        <v>11492</v>
      </c>
      <c r="H2498" s="160" t="s">
        <v>8588</v>
      </c>
      <c r="I2498" s="160" t="s">
        <v>511</v>
      </c>
      <c r="J2498" s="159" t="s">
        <v>11493</v>
      </c>
      <c r="K2498" s="160" t="s">
        <v>11494</v>
      </c>
      <c r="L2498" s="158"/>
      <c r="M2498" s="158" t="s">
        <v>365</v>
      </c>
      <c r="N2498" s="158" t="s">
        <v>406</v>
      </c>
      <c r="O2498" s="162"/>
      <c r="P2498" s="161">
        <f>2950000*12</f>
        <v>35400000</v>
      </c>
      <c r="Q2498" s="161"/>
      <c r="R2498" s="162"/>
      <c r="S2498" s="211"/>
      <c r="T2498" s="213">
        <v>0.15</v>
      </c>
      <c r="U2498" s="344">
        <v>46163</v>
      </c>
      <c r="V2498" s="340">
        <v>46527</v>
      </c>
      <c r="W2498" s="158" t="s">
        <v>17</v>
      </c>
      <c r="X2498" s="158"/>
      <c r="Y2498" s="164">
        <f t="shared" ca="1" si="169"/>
        <v>46290</v>
      </c>
      <c r="Z2498" s="207">
        <f t="shared" ca="1" si="167"/>
        <v>237</v>
      </c>
      <c r="AA2498" s="158">
        <f t="shared" si="168"/>
        <v>5</v>
      </c>
      <c r="AB2498" s="158">
        <f t="shared" si="165"/>
        <v>2027</v>
      </c>
      <c r="AC2498" s="159"/>
      <c r="AD2498" s="159"/>
      <c r="AE2498" s="158"/>
      <c r="AF2498" s="158" t="s">
        <v>356</v>
      </c>
      <c r="AG2498" s="160"/>
      <c r="AH2498" s="160"/>
      <c r="AI2498" s="158"/>
      <c r="AJ2498" s="158"/>
      <c r="AK2498" s="158"/>
      <c r="AL2498" s="158"/>
      <c r="AM2498" s="158"/>
      <c r="AN2498" s="158"/>
      <c r="AO2498" s="158"/>
      <c r="AP2498" s="158"/>
      <c r="AQ2498" s="158"/>
      <c r="AR2498" s="507"/>
      <c r="AS2498" s="475"/>
      <c r="AT2498" s="160"/>
    </row>
    <row r="2499" spans="1:46" ht="15" hidden="1" customHeight="1">
      <c r="A2499" s="331">
        <v>2498</v>
      </c>
      <c r="B2499" s="209" t="s">
        <v>11442</v>
      </c>
      <c r="C2499" s="222" t="s">
        <v>11495</v>
      </c>
      <c r="D2499" s="447" t="s">
        <v>9866</v>
      </c>
      <c r="E2499" s="361" t="str">
        <f t="shared" ca="1" si="170"/>
        <v>ON TRACK</v>
      </c>
      <c r="F2499" s="160"/>
      <c r="G2499" s="222" t="s">
        <v>11496</v>
      </c>
      <c r="H2499" s="160" t="s">
        <v>8588</v>
      </c>
      <c r="I2499" s="160" t="s">
        <v>511</v>
      </c>
      <c r="J2499" s="159" t="s">
        <v>11497</v>
      </c>
      <c r="K2499" s="224" t="s">
        <v>11498</v>
      </c>
      <c r="L2499" s="158"/>
      <c r="M2499" s="226" t="s">
        <v>353</v>
      </c>
      <c r="N2499" s="226"/>
      <c r="O2499" s="162"/>
      <c r="P2499" s="161">
        <f>10000000*12</f>
        <v>120000000</v>
      </c>
      <c r="Q2499" s="161"/>
      <c r="R2499" s="162"/>
      <c r="S2499" s="211"/>
      <c r="T2499" s="213">
        <v>0.15</v>
      </c>
      <c r="U2499" s="344">
        <v>46163</v>
      </c>
      <c r="V2499" s="340">
        <v>46527</v>
      </c>
      <c r="W2499" s="158" t="s">
        <v>17</v>
      </c>
      <c r="X2499" s="158"/>
      <c r="Y2499" s="164">
        <f t="shared" ca="1" si="169"/>
        <v>46290</v>
      </c>
      <c r="Z2499" s="207">
        <f t="shared" ca="1" si="167"/>
        <v>237</v>
      </c>
      <c r="AA2499" s="158">
        <f t="shared" si="168"/>
        <v>5</v>
      </c>
      <c r="AB2499" s="158">
        <f t="shared" si="165"/>
        <v>2027</v>
      </c>
      <c r="AC2499" s="159"/>
      <c r="AD2499" s="159"/>
      <c r="AE2499" s="158"/>
      <c r="AF2499" s="158" t="s">
        <v>356</v>
      </c>
      <c r="AG2499" s="160"/>
      <c r="AH2499" s="160"/>
      <c r="AI2499" s="158"/>
      <c r="AJ2499" s="158"/>
      <c r="AK2499" s="158"/>
      <c r="AL2499" s="158"/>
      <c r="AM2499" s="158"/>
      <c r="AN2499" s="158"/>
      <c r="AO2499" s="158"/>
      <c r="AP2499" s="158"/>
      <c r="AQ2499" s="158"/>
      <c r="AR2499" s="507"/>
      <c r="AS2499" s="475"/>
      <c r="AT2499" s="160"/>
    </row>
    <row r="2500" spans="1:46" ht="15" hidden="1" customHeight="1">
      <c r="A2500" s="331">
        <v>2499</v>
      </c>
      <c r="B2500" s="209" t="s">
        <v>11442</v>
      </c>
      <c r="C2500" s="159" t="s">
        <v>11491</v>
      </c>
      <c r="D2500" s="447" t="s">
        <v>9866</v>
      </c>
      <c r="E2500" s="361" t="str">
        <f t="shared" ca="1" si="170"/>
        <v>ON TRACK</v>
      </c>
      <c r="F2500" s="160"/>
      <c r="G2500" s="159" t="s">
        <v>11499</v>
      </c>
      <c r="H2500" s="160" t="s">
        <v>8588</v>
      </c>
      <c r="I2500" s="160" t="s">
        <v>511</v>
      </c>
      <c r="J2500" s="159" t="s">
        <v>11500</v>
      </c>
      <c r="K2500" s="160" t="s">
        <v>11501</v>
      </c>
      <c r="L2500" s="158"/>
      <c r="M2500" s="158" t="s">
        <v>365</v>
      </c>
      <c r="N2500" s="158"/>
      <c r="O2500" s="162"/>
      <c r="P2500" s="161">
        <f>4725000*12</f>
        <v>56700000</v>
      </c>
      <c r="Q2500" s="161"/>
      <c r="R2500" s="162"/>
      <c r="S2500" s="211"/>
      <c r="T2500" s="213">
        <v>0.15</v>
      </c>
      <c r="U2500" s="344">
        <v>46163</v>
      </c>
      <c r="V2500" s="340">
        <v>46527</v>
      </c>
      <c r="W2500" s="158" t="s">
        <v>17</v>
      </c>
      <c r="X2500" s="158"/>
      <c r="Y2500" s="164">
        <f t="shared" ca="1" si="169"/>
        <v>46290</v>
      </c>
      <c r="Z2500" s="207">
        <f t="shared" ca="1" si="167"/>
        <v>237</v>
      </c>
      <c r="AA2500" s="158">
        <f t="shared" si="168"/>
        <v>5</v>
      </c>
      <c r="AB2500" s="158">
        <f t="shared" si="165"/>
        <v>2027</v>
      </c>
      <c r="AC2500" s="159"/>
      <c r="AD2500" s="159"/>
      <c r="AE2500" s="158"/>
      <c r="AF2500" s="158" t="s">
        <v>356</v>
      </c>
      <c r="AG2500" s="160"/>
      <c r="AH2500" s="160"/>
      <c r="AI2500" s="158"/>
      <c r="AJ2500" s="158"/>
      <c r="AK2500" s="158"/>
      <c r="AL2500" s="158"/>
      <c r="AM2500" s="158"/>
      <c r="AN2500" s="158"/>
      <c r="AO2500" s="158"/>
      <c r="AP2500" s="158"/>
      <c r="AQ2500" s="158"/>
      <c r="AR2500" s="507"/>
      <c r="AS2500" s="475"/>
      <c r="AT2500" s="160"/>
    </row>
    <row r="2501" spans="1:46" ht="15" hidden="1" customHeight="1">
      <c r="A2501" s="331">
        <v>2500</v>
      </c>
      <c r="B2501" s="209" t="s">
        <v>11442</v>
      </c>
      <c r="C2501" s="159" t="s">
        <v>11502</v>
      </c>
      <c r="D2501" s="447" t="s">
        <v>9866</v>
      </c>
      <c r="E2501" s="361" t="str">
        <f t="shared" ca="1" si="170"/>
        <v>ON TRACK</v>
      </c>
      <c r="F2501" s="160"/>
      <c r="G2501" s="159" t="s">
        <v>11503</v>
      </c>
      <c r="H2501" s="160" t="s">
        <v>8588</v>
      </c>
      <c r="I2501" s="160" t="s">
        <v>511</v>
      </c>
      <c r="J2501" s="159" t="s">
        <v>11504</v>
      </c>
      <c r="K2501" s="160" t="s">
        <v>11505</v>
      </c>
      <c r="L2501" s="158"/>
      <c r="M2501" s="158" t="s">
        <v>353</v>
      </c>
      <c r="N2501" s="158" t="s">
        <v>11506</v>
      </c>
      <c r="O2501" s="162"/>
      <c r="P2501" s="161">
        <f>7900000*12</f>
        <v>94800000</v>
      </c>
      <c r="Q2501" s="161"/>
      <c r="R2501" s="162"/>
      <c r="S2501" s="211"/>
      <c r="T2501" s="213">
        <v>0.15</v>
      </c>
      <c r="U2501" s="344">
        <v>46163</v>
      </c>
      <c r="V2501" s="340">
        <v>46527</v>
      </c>
      <c r="W2501" s="158" t="s">
        <v>17</v>
      </c>
      <c r="X2501" s="158"/>
      <c r="Y2501" s="164">
        <f t="shared" ca="1" si="169"/>
        <v>46290</v>
      </c>
      <c r="Z2501" s="207">
        <f t="shared" ca="1" si="167"/>
        <v>237</v>
      </c>
      <c r="AA2501" s="158">
        <f t="shared" si="168"/>
        <v>5</v>
      </c>
      <c r="AB2501" s="158">
        <f t="shared" si="165"/>
        <v>2027</v>
      </c>
      <c r="AC2501" s="159"/>
      <c r="AD2501" s="159"/>
      <c r="AE2501" s="158"/>
      <c r="AF2501" s="158" t="s">
        <v>356</v>
      </c>
      <c r="AG2501" s="160"/>
      <c r="AH2501" s="160"/>
      <c r="AI2501" s="158"/>
      <c r="AJ2501" s="158"/>
      <c r="AK2501" s="158"/>
      <c r="AL2501" s="158"/>
      <c r="AM2501" s="158"/>
      <c r="AN2501" s="158"/>
      <c r="AO2501" s="158"/>
      <c r="AP2501" s="158"/>
      <c r="AQ2501" s="158"/>
      <c r="AR2501" s="507"/>
      <c r="AS2501" s="475"/>
      <c r="AT2501" s="160"/>
    </row>
    <row r="2502" spans="1:46" ht="15" hidden="1" customHeight="1">
      <c r="A2502" s="331">
        <v>2501</v>
      </c>
      <c r="B2502" s="209" t="s">
        <v>11442</v>
      </c>
      <c r="C2502" s="159" t="s">
        <v>11507</v>
      </c>
      <c r="D2502" s="447" t="s">
        <v>9866</v>
      </c>
      <c r="E2502" s="361" t="str">
        <f t="shared" ca="1" si="170"/>
        <v>ON TRACK</v>
      </c>
      <c r="F2502" s="160"/>
      <c r="G2502" s="159" t="s">
        <v>11508</v>
      </c>
      <c r="H2502" s="160" t="s">
        <v>8588</v>
      </c>
      <c r="I2502" s="160" t="s">
        <v>511</v>
      </c>
      <c r="J2502" s="159" t="s">
        <v>11509</v>
      </c>
      <c r="K2502" s="160" t="s">
        <v>11510</v>
      </c>
      <c r="L2502" s="158"/>
      <c r="M2502" s="208" t="s">
        <v>11511</v>
      </c>
      <c r="N2502" s="158" t="s">
        <v>494</v>
      </c>
      <c r="O2502" s="162"/>
      <c r="P2502" s="161">
        <f>5500000*12</f>
        <v>66000000</v>
      </c>
      <c r="Q2502" s="161"/>
      <c r="R2502" s="162"/>
      <c r="S2502" s="211"/>
      <c r="T2502" s="213">
        <v>0.15</v>
      </c>
      <c r="U2502" s="344">
        <v>46163</v>
      </c>
      <c r="V2502" s="340">
        <v>46527</v>
      </c>
      <c r="W2502" s="158" t="s">
        <v>17</v>
      </c>
      <c r="X2502" s="158"/>
      <c r="Y2502" s="164">
        <f t="shared" ca="1" si="169"/>
        <v>46290</v>
      </c>
      <c r="Z2502" s="207">
        <f t="shared" ca="1" si="167"/>
        <v>237</v>
      </c>
      <c r="AA2502" s="158">
        <f t="shared" si="168"/>
        <v>5</v>
      </c>
      <c r="AB2502" s="158">
        <f t="shared" si="165"/>
        <v>2027</v>
      </c>
      <c r="AC2502" s="159"/>
      <c r="AD2502" s="159"/>
      <c r="AE2502" s="158"/>
      <c r="AF2502" s="158" t="s">
        <v>356</v>
      </c>
      <c r="AG2502" s="160"/>
      <c r="AH2502" s="160"/>
      <c r="AI2502" s="158"/>
      <c r="AJ2502" s="158"/>
      <c r="AK2502" s="158"/>
      <c r="AL2502" s="158"/>
      <c r="AM2502" s="158"/>
      <c r="AN2502" s="158"/>
      <c r="AO2502" s="158"/>
      <c r="AP2502" s="158"/>
      <c r="AQ2502" s="158"/>
      <c r="AR2502" s="507"/>
      <c r="AS2502" s="475"/>
      <c r="AT2502" s="160"/>
    </row>
    <row r="2503" spans="1:46" ht="15" hidden="1" customHeight="1">
      <c r="A2503" s="331">
        <v>2502</v>
      </c>
      <c r="B2503" s="209" t="s">
        <v>11442</v>
      </c>
      <c r="C2503" s="159" t="s">
        <v>11512</v>
      </c>
      <c r="D2503" s="447" t="s">
        <v>9866</v>
      </c>
      <c r="E2503" s="361" t="str">
        <f t="shared" ca="1" si="170"/>
        <v>ON TRACK</v>
      </c>
      <c r="F2503" s="160"/>
      <c r="G2503" s="159" t="s">
        <v>11513</v>
      </c>
      <c r="H2503" s="160" t="s">
        <v>8588</v>
      </c>
      <c r="I2503" s="160" t="s">
        <v>511</v>
      </c>
      <c r="J2503" s="159" t="s">
        <v>11514</v>
      </c>
      <c r="K2503" s="160" t="s">
        <v>11515</v>
      </c>
      <c r="L2503" s="158"/>
      <c r="M2503" s="158" t="s">
        <v>365</v>
      </c>
      <c r="N2503" s="158" t="s">
        <v>494</v>
      </c>
      <c r="O2503" s="162"/>
      <c r="P2503" s="161">
        <f>4000000*12</f>
        <v>48000000</v>
      </c>
      <c r="Q2503" s="161"/>
      <c r="R2503" s="162"/>
      <c r="S2503" s="211"/>
      <c r="T2503" s="213">
        <v>0.15</v>
      </c>
      <c r="U2503" s="344">
        <v>46163</v>
      </c>
      <c r="V2503" s="340">
        <v>46527</v>
      </c>
      <c r="W2503" s="158" t="s">
        <v>17</v>
      </c>
      <c r="X2503" s="158"/>
      <c r="Y2503" s="164">
        <f t="shared" ca="1" si="169"/>
        <v>46290</v>
      </c>
      <c r="Z2503" s="207">
        <f t="shared" ca="1" si="167"/>
        <v>237</v>
      </c>
      <c r="AA2503" s="158">
        <f t="shared" si="168"/>
        <v>5</v>
      </c>
      <c r="AB2503" s="158">
        <f t="shared" si="165"/>
        <v>2027</v>
      </c>
      <c r="AC2503" s="159"/>
      <c r="AD2503" s="159"/>
      <c r="AE2503" s="158"/>
      <c r="AF2503" s="158" t="s">
        <v>356</v>
      </c>
      <c r="AG2503" s="160"/>
      <c r="AH2503" s="160"/>
      <c r="AI2503" s="158"/>
      <c r="AJ2503" s="158"/>
      <c r="AK2503" s="158"/>
      <c r="AL2503" s="158"/>
      <c r="AM2503" s="158"/>
      <c r="AN2503" s="158"/>
      <c r="AO2503" s="158"/>
      <c r="AP2503" s="158"/>
      <c r="AQ2503" s="158"/>
      <c r="AR2503" s="507"/>
      <c r="AS2503" s="475"/>
      <c r="AT2503" s="160"/>
    </row>
    <row r="2504" spans="1:46" ht="15" hidden="1" customHeight="1">
      <c r="A2504" s="331">
        <v>2503</v>
      </c>
      <c r="B2504" s="209" t="s">
        <v>11442</v>
      </c>
      <c r="C2504" s="159" t="s">
        <v>11516</v>
      </c>
      <c r="D2504" s="447" t="s">
        <v>9866</v>
      </c>
      <c r="E2504" s="361" t="str">
        <f t="shared" ca="1" si="170"/>
        <v>ON TRACK</v>
      </c>
      <c r="F2504" s="160"/>
      <c r="G2504" s="159" t="s">
        <v>11517</v>
      </c>
      <c r="H2504" s="160" t="s">
        <v>8588</v>
      </c>
      <c r="I2504" s="160" t="s">
        <v>511</v>
      </c>
      <c r="J2504" s="159" t="s">
        <v>11518</v>
      </c>
      <c r="K2504" s="160" t="s">
        <v>11519</v>
      </c>
      <c r="L2504" s="158"/>
      <c r="M2504" s="158" t="s">
        <v>8709</v>
      </c>
      <c r="N2504" s="158" t="s">
        <v>11506</v>
      </c>
      <c r="O2504" s="162"/>
      <c r="P2504" s="161">
        <f>4000000*12</f>
        <v>48000000</v>
      </c>
      <c r="Q2504" s="161"/>
      <c r="R2504" s="162"/>
      <c r="S2504" s="211"/>
      <c r="T2504" s="213">
        <v>0.15</v>
      </c>
      <c r="U2504" s="344">
        <v>46163</v>
      </c>
      <c r="V2504" s="340">
        <v>46527</v>
      </c>
      <c r="W2504" s="158" t="s">
        <v>17</v>
      </c>
      <c r="X2504" s="158"/>
      <c r="Y2504" s="164">
        <f t="shared" ca="1" si="169"/>
        <v>46290</v>
      </c>
      <c r="Z2504" s="207">
        <f t="shared" ca="1" si="167"/>
        <v>237</v>
      </c>
      <c r="AA2504" s="158">
        <f t="shared" si="168"/>
        <v>5</v>
      </c>
      <c r="AB2504" s="158">
        <f t="shared" si="165"/>
        <v>2027</v>
      </c>
      <c r="AC2504" s="159"/>
      <c r="AD2504" s="159"/>
      <c r="AE2504" s="158"/>
      <c r="AF2504" s="158" t="s">
        <v>356</v>
      </c>
      <c r="AG2504" s="160"/>
      <c r="AH2504" s="160"/>
      <c r="AI2504" s="158"/>
      <c r="AJ2504" s="158"/>
      <c r="AK2504" s="158"/>
      <c r="AL2504" s="158"/>
      <c r="AM2504" s="158"/>
      <c r="AN2504" s="158"/>
      <c r="AO2504" s="158"/>
      <c r="AP2504" s="158"/>
      <c r="AQ2504" s="158"/>
      <c r="AR2504" s="507"/>
      <c r="AS2504" s="475"/>
      <c r="AT2504" s="160"/>
    </row>
    <row r="2505" spans="1:46" ht="15" hidden="1" customHeight="1">
      <c r="A2505" s="331">
        <v>2504</v>
      </c>
      <c r="B2505" s="209" t="s">
        <v>11442</v>
      </c>
      <c r="C2505" s="159" t="s">
        <v>11520</v>
      </c>
      <c r="D2505" s="447" t="s">
        <v>9866</v>
      </c>
      <c r="E2505" s="361" t="str">
        <f t="shared" ca="1" si="170"/>
        <v>ON TRACK</v>
      </c>
      <c r="F2505" s="160"/>
      <c r="G2505" s="159" t="s">
        <v>11521</v>
      </c>
      <c r="H2505" s="160" t="s">
        <v>8588</v>
      </c>
      <c r="I2505" s="160" t="s">
        <v>511</v>
      </c>
      <c r="J2505" s="159"/>
      <c r="K2505" s="160" t="s">
        <v>11522</v>
      </c>
      <c r="L2505" s="158"/>
      <c r="M2505" s="158" t="s">
        <v>365</v>
      </c>
      <c r="N2505" s="158" t="s">
        <v>8337</v>
      </c>
      <c r="O2505" s="162"/>
      <c r="P2505" s="161">
        <f>29000000*12</f>
        <v>348000000</v>
      </c>
      <c r="Q2505" s="161"/>
      <c r="R2505" s="162"/>
      <c r="S2505" s="211"/>
      <c r="T2505" s="213">
        <v>0.15</v>
      </c>
      <c r="U2505" s="344">
        <v>46163</v>
      </c>
      <c r="V2505" s="340">
        <v>46527</v>
      </c>
      <c r="W2505" s="158" t="s">
        <v>17</v>
      </c>
      <c r="X2505" s="158"/>
      <c r="Y2505" s="164">
        <f t="shared" ca="1" si="169"/>
        <v>46290</v>
      </c>
      <c r="Z2505" s="207">
        <f t="shared" ca="1" si="167"/>
        <v>237</v>
      </c>
      <c r="AA2505" s="158">
        <f t="shared" si="168"/>
        <v>5</v>
      </c>
      <c r="AB2505" s="158">
        <f t="shared" ref="AB2505:AB2568" si="171">YEAR(V2505)</f>
        <v>2027</v>
      </c>
      <c r="AC2505" s="159"/>
      <c r="AD2505" s="159"/>
      <c r="AE2505" s="158"/>
      <c r="AF2505" s="158" t="s">
        <v>356</v>
      </c>
      <c r="AG2505" s="160"/>
      <c r="AH2505" s="160"/>
      <c r="AI2505" s="158"/>
      <c r="AJ2505" s="158"/>
      <c r="AK2505" s="158"/>
      <c r="AL2505" s="158"/>
      <c r="AM2505" s="158"/>
      <c r="AN2505" s="158"/>
      <c r="AO2505" s="158"/>
      <c r="AP2505" s="158"/>
      <c r="AQ2505" s="158"/>
      <c r="AR2505" s="507"/>
      <c r="AS2505" s="475"/>
      <c r="AT2505" s="160"/>
    </row>
    <row r="2506" spans="1:46" ht="15" hidden="1" customHeight="1">
      <c r="A2506" s="331">
        <v>2505</v>
      </c>
      <c r="B2506" s="209" t="s">
        <v>11442</v>
      </c>
      <c r="C2506" s="159" t="s">
        <v>11523</v>
      </c>
      <c r="D2506" s="447" t="s">
        <v>9866</v>
      </c>
      <c r="E2506" s="361" t="str">
        <f t="shared" ca="1" si="170"/>
        <v>ON TRACK</v>
      </c>
      <c r="F2506" s="160" t="s">
        <v>11441</v>
      </c>
      <c r="G2506" s="159" t="s">
        <v>11524</v>
      </c>
      <c r="H2506" s="160" t="s">
        <v>8588</v>
      </c>
      <c r="I2506" s="160" t="s">
        <v>511</v>
      </c>
      <c r="J2506" s="159"/>
      <c r="K2506" s="160" t="s">
        <v>11525</v>
      </c>
      <c r="L2506" s="158"/>
      <c r="M2506" s="158" t="s">
        <v>7267</v>
      </c>
      <c r="N2506" s="158" t="s">
        <v>494</v>
      </c>
      <c r="O2506" s="162"/>
      <c r="P2506" s="161">
        <f>2500000*12</f>
        <v>30000000</v>
      </c>
      <c r="Q2506" s="161"/>
      <c r="R2506" s="162"/>
      <c r="S2506" s="163"/>
      <c r="T2506" s="213">
        <v>0.15</v>
      </c>
      <c r="U2506" s="344">
        <v>46163</v>
      </c>
      <c r="V2506" s="340">
        <v>46527</v>
      </c>
      <c r="W2506" s="158" t="s">
        <v>17</v>
      </c>
      <c r="X2506" s="158"/>
      <c r="Y2506" s="164">
        <f t="shared" ca="1" si="169"/>
        <v>46290</v>
      </c>
      <c r="Z2506" s="207">
        <f t="shared" ca="1" si="167"/>
        <v>237</v>
      </c>
      <c r="AA2506" s="158">
        <f t="shared" si="168"/>
        <v>5</v>
      </c>
      <c r="AB2506" s="158">
        <f t="shared" si="171"/>
        <v>2027</v>
      </c>
      <c r="AC2506" s="159"/>
      <c r="AD2506" s="159"/>
      <c r="AE2506" s="184"/>
      <c r="AF2506" s="158" t="s">
        <v>356</v>
      </c>
      <c r="AG2506" s="160"/>
      <c r="AH2506" s="160"/>
      <c r="AI2506" s="158"/>
      <c r="AJ2506" s="158"/>
      <c r="AK2506" s="158"/>
      <c r="AL2506" s="158"/>
      <c r="AM2506" s="158"/>
      <c r="AN2506" s="158"/>
      <c r="AO2506" s="158"/>
      <c r="AP2506" s="158"/>
      <c r="AQ2506" s="158"/>
      <c r="AR2506" s="507"/>
      <c r="AS2506" s="475"/>
      <c r="AT2506" s="160"/>
    </row>
    <row r="2507" spans="1:46" ht="15" hidden="1" customHeight="1">
      <c r="A2507" s="331">
        <v>2506</v>
      </c>
      <c r="B2507" s="209" t="s">
        <v>11442</v>
      </c>
      <c r="C2507" s="159" t="s">
        <v>11526</v>
      </c>
      <c r="D2507" s="447" t="s">
        <v>9866</v>
      </c>
      <c r="E2507" s="361" t="str">
        <f t="shared" ca="1" si="170"/>
        <v>ON TRACK</v>
      </c>
      <c r="F2507" s="160" t="s">
        <v>11527</v>
      </c>
      <c r="G2507" s="159" t="s">
        <v>11528</v>
      </c>
      <c r="H2507" s="160" t="s">
        <v>8588</v>
      </c>
      <c r="I2507" s="160" t="s">
        <v>511</v>
      </c>
      <c r="J2507" s="159"/>
      <c r="K2507" s="160" t="s">
        <v>11529</v>
      </c>
      <c r="L2507" s="158"/>
      <c r="M2507" s="158" t="s">
        <v>7267</v>
      </c>
      <c r="N2507" s="158" t="s">
        <v>7088</v>
      </c>
      <c r="O2507" s="162"/>
      <c r="P2507" s="161">
        <f>33000000*12</f>
        <v>396000000</v>
      </c>
      <c r="Q2507" s="161"/>
      <c r="R2507" s="162"/>
      <c r="S2507" s="163"/>
      <c r="T2507" s="213">
        <v>0.15</v>
      </c>
      <c r="U2507" s="344">
        <v>46163</v>
      </c>
      <c r="V2507" s="340">
        <v>46527</v>
      </c>
      <c r="W2507" s="158" t="s">
        <v>17</v>
      </c>
      <c r="X2507" s="158"/>
      <c r="Y2507" s="164">
        <f t="shared" ca="1" si="169"/>
        <v>46290</v>
      </c>
      <c r="Z2507" s="207">
        <f t="shared" ca="1" si="167"/>
        <v>237</v>
      </c>
      <c r="AA2507" s="158">
        <f t="shared" si="168"/>
        <v>5</v>
      </c>
      <c r="AB2507" s="158">
        <f t="shared" si="171"/>
        <v>2027</v>
      </c>
      <c r="AC2507" s="159"/>
      <c r="AD2507" s="159"/>
      <c r="AE2507" s="184"/>
      <c r="AF2507" s="158" t="s">
        <v>356</v>
      </c>
      <c r="AG2507" s="160"/>
      <c r="AH2507" s="160"/>
      <c r="AI2507" s="158"/>
      <c r="AJ2507" s="158"/>
      <c r="AK2507" s="158"/>
      <c r="AL2507" s="158"/>
      <c r="AM2507" s="158"/>
      <c r="AN2507" s="158"/>
      <c r="AO2507" s="158"/>
      <c r="AP2507" s="158"/>
      <c r="AQ2507" s="158"/>
      <c r="AR2507" s="507"/>
      <c r="AS2507" s="475"/>
      <c r="AT2507" s="160"/>
    </row>
    <row r="2508" spans="1:46" ht="15" hidden="1" customHeight="1">
      <c r="A2508" s="331">
        <v>2507</v>
      </c>
      <c r="B2508" s="209" t="s">
        <v>11442</v>
      </c>
      <c r="C2508" s="159" t="s">
        <v>3765</v>
      </c>
      <c r="D2508" s="447" t="s">
        <v>9866</v>
      </c>
      <c r="E2508" s="361" t="str">
        <f t="shared" ca="1" si="170"/>
        <v>ON TRACK</v>
      </c>
      <c r="F2508" s="160" t="s">
        <v>10996</v>
      </c>
      <c r="G2508" s="159" t="s">
        <v>11530</v>
      </c>
      <c r="H2508" s="160" t="s">
        <v>8588</v>
      </c>
      <c r="I2508" s="160" t="s">
        <v>511</v>
      </c>
      <c r="J2508" s="159"/>
      <c r="K2508" s="181" t="s">
        <v>11531</v>
      </c>
      <c r="L2508" s="158"/>
      <c r="M2508" s="158" t="s">
        <v>7267</v>
      </c>
      <c r="N2508" s="158" t="s">
        <v>6649</v>
      </c>
      <c r="O2508" s="162"/>
      <c r="P2508" s="161">
        <f>5400000*12</f>
        <v>64800000</v>
      </c>
      <c r="Q2508" s="161"/>
      <c r="R2508" s="162"/>
      <c r="S2508" s="163"/>
      <c r="T2508" s="213">
        <v>0.15</v>
      </c>
      <c r="U2508" s="344">
        <v>46163</v>
      </c>
      <c r="V2508" s="340">
        <v>46527</v>
      </c>
      <c r="W2508" s="158" t="s">
        <v>17</v>
      </c>
      <c r="X2508" s="158"/>
      <c r="Y2508" s="164">
        <f t="shared" ca="1" si="169"/>
        <v>46290</v>
      </c>
      <c r="Z2508" s="207">
        <f t="shared" ca="1" si="167"/>
        <v>237</v>
      </c>
      <c r="AA2508" s="158">
        <f t="shared" si="168"/>
        <v>5</v>
      </c>
      <c r="AB2508" s="158">
        <f t="shared" si="171"/>
        <v>2027</v>
      </c>
      <c r="AC2508" s="159"/>
      <c r="AD2508" s="159"/>
      <c r="AE2508" s="184"/>
      <c r="AF2508" s="158" t="s">
        <v>356</v>
      </c>
      <c r="AG2508" s="160"/>
      <c r="AH2508" s="160"/>
      <c r="AI2508" s="158"/>
      <c r="AJ2508" s="158"/>
      <c r="AK2508" s="158"/>
      <c r="AL2508" s="158"/>
      <c r="AM2508" s="158"/>
      <c r="AN2508" s="158"/>
      <c r="AO2508" s="158"/>
      <c r="AP2508" s="158"/>
      <c r="AQ2508" s="158"/>
      <c r="AR2508" s="507"/>
      <c r="AS2508" s="475"/>
      <c r="AT2508" s="160"/>
    </row>
    <row r="2509" spans="1:46" ht="15" hidden="1" customHeight="1">
      <c r="A2509" s="331">
        <v>2508</v>
      </c>
      <c r="B2509" s="209" t="s">
        <v>11442</v>
      </c>
      <c r="C2509" s="159" t="s">
        <v>3765</v>
      </c>
      <c r="D2509" s="447" t="s">
        <v>9866</v>
      </c>
      <c r="E2509" s="361" t="str">
        <f t="shared" ca="1" si="170"/>
        <v>ON TRACK</v>
      </c>
      <c r="F2509" s="160" t="s">
        <v>10996</v>
      </c>
      <c r="G2509" s="159" t="s">
        <v>11532</v>
      </c>
      <c r="H2509" s="160" t="s">
        <v>8588</v>
      </c>
      <c r="I2509" s="160" t="s">
        <v>511</v>
      </c>
      <c r="J2509" s="159"/>
      <c r="K2509" s="181" t="s">
        <v>11533</v>
      </c>
      <c r="L2509" s="158"/>
      <c r="M2509" s="158" t="s">
        <v>11534</v>
      </c>
      <c r="N2509" s="158" t="s">
        <v>494</v>
      </c>
      <c r="O2509" s="162"/>
      <c r="P2509" s="161">
        <f>6412500*12</f>
        <v>76950000</v>
      </c>
      <c r="Q2509" s="161"/>
      <c r="R2509" s="162"/>
      <c r="S2509" s="163"/>
      <c r="T2509" s="213">
        <v>0.15</v>
      </c>
      <c r="U2509" s="344">
        <v>46163</v>
      </c>
      <c r="V2509" s="340">
        <v>46527</v>
      </c>
      <c r="W2509" s="158" t="s">
        <v>17</v>
      </c>
      <c r="X2509" s="158"/>
      <c r="Y2509" s="164">
        <f t="shared" ca="1" si="169"/>
        <v>46290</v>
      </c>
      <c r="Z2509" s="207">
        <f t="shared" ca="1" si="167"/>
        <v>237</v>
      </c>
      <c r="AA2509" s="158">
        <f t="shared" si="168"/>
        <v>5</v>
      </c>
      <c r="AB2509" s="158">
        <f t="shared" si="171"/>
        <v>2027</v>
      </c>
      <c r="AC2509" s="159"/>
      <c r="AD2509" s="159"/>
      <c r="AE2509" s="184"/>
      <c r="AF2509" s="158" t="s">
        <v>356</v>
      </c>
      <c r="AG2509" s="160"/>
      <c r="AH2509" s="160"/>
      <c r="AI2509" s="158"/>
      <c r="AJ2509" s="158"/>
      <c r="AK2509" s="158"/>
      <c r="AL2509" s="158"/>
      <c r="AM2509" s="158"/>
      <c r="AN2509" s="158"/>
      <c r="AO2509" s="158"/>
      <c r="AP2509" s="158"/>
      <c r="AQ2509" s="158"/>
      <c r="AR2509" s="507"/>
      <c r="AS2509" s="475"/>
      <c r="AT2509" s="160"/>
    </row>
    <row r="2510" spans="1:46" ht="15" hidden="1" customHeight="1">
      <c r="A2510" s="331">
        <v>2509</v>
      </c>
      <c r="B2510" s="209" t="s">
        <v>11442</v>
      </c>
      <c r="C2510" s="159" t="s">
        <v>11535</v>
      </c>
      <c r="D2510" s="447" t="s">
        <v>9866</v>
      </c>
      <c r="E2510" s="361" t="str">
        <f t="shared" ca="1" si="170"/>
        <v>ON TRACK</v>
      </c>
      <c r="F2510" s="160" t="s">
        <v>11441</v>
      </c>
      <c r="G2510" s="159" t="s">
        <v>11536</v>
      </c>
      <c r="H2510" s="160" t="s">
        <v>8588</v>
      </c>
      <c r="I2510" s="160" t="s">
        <v>511</v>
      </c>
      <c r="J2510" s="159"/>
      <c r="K2510" s="181" t="s">
        <v>11537</v>
      </c>
      <c r="L2510" s="158"/>
      <c r="M2510" s="158" t="s">
        <v>7267</v>
      </c>
      <c r="N2510" s="158" t="s">
        <v>6949</v>
      </c>
      <c r="O2510" s="162"/>
      <c r="P2510" s="161">
        <f>5300000*12</f>
        <v>63600000</v>
      </c>
      <c r="Q2510" s="161"/>
      <c r="R2510" s="162"/>
      <c r="S2510" s="163"/>
      <c r="T2510" s="213">
        <v>0.15</v>
      </c>
      <c r="U2510" s="344">
        <v>46163</v>
      </c>
      <c r="V2510" s="340">
        <v>46527</v>
      </c>
      <c r="W2510" s="158" t="s">
        <v>17</v>
      </c>
      <c r="X2510" s="158"/>
      <c r="Y2510" s="164">
        <f t="shared" ca="1" si="169"/>
        <v>46290</v>
      </c>
      <c r="Z2510" s="207">
        <f t="shared" ca="1" si="167"/>
        <v>237</v>
      </c>
      <c r="AA2510" s="158">
        <f t="shared" si="168"/>
        <v>5</v>
      </c>
      <c r="AB2510" s="158">
        <f t="shared" si="171"/>
        <v>2027</v>
      </c>
      <c r="AC2510" s="159"/>
      <c r="AD2510" s="159"/>
      <c r="AE2510" s="184"/>
      <c r="AF2510" s="158" t="s">
        <v>356</v>
      </c>
      <c r="AG2510" s="160"/>
      <c r="AH2510" s="160"/>
      <c r="AI2510" s="158"/>
      <c r="AJ2510" s="158"/>
      <c r="AK2510" s="158"/>
      <c r="AL2510" s="158"/>
      <c r="AM2510" s="158"/>
      <c r="AN2510" s="158"/>
      <c r="AO2510" s="158"/>
      <c r="AP2510" s="158"/>
      <c r="AQ2510" s="158"/>
      <c r="AR2510" s="507"/>
      <c r="AS2510" s="475"/>
      <c r="AT2510" s="160"/>
    </row>
    <row r="2511" spans="1:46" ht="15" hidden="1" customHeight="1">
      <c r="A2511" s="331">
        <v>2510</v>
      </c>
      <c r="B2511" s="209" t="s">
        <v>11442</v>
      </c>
      <c r="C2511" s="159" t="s">
        <v>11538</v>
      </c>
      <c r="D2511" s="447" t="s">
        <v>9866</v>
      </c>
      <c r="E2511" s="361" t="str">
        <f t="shared" ca="1" si="170"/>
        <v>ON TRACK</v>
      </c>
      <c r="F2511" s="160" t="s">
        <v>11441</v>
      </c>
      <c r="G2511" s="159" t="s">
        <v>11539</v>
      </c>
      <c r="H2511" s="160" t="s">
        <v>8588</v>
      </c>
      <c r="I2511" s="160" t="s">
        <v>511</v>
      </c>
      <c r="J2511" s="159"/>
      <c r="K2511" s="181" t="s">
        <v>11540</v>
      </c>
      <c r="L2511" s="158"/>
      <c r="M2511" s="158" t="s">
        <v>11541</v>
      </c>
      <c r="N2511" s="158" t="s">
        <v>494</v>
      </c>
      <c r="O2511" s="162"/>
      <c r="P2511" s="161">
        <f>6000000*12</f>
        <v>72000000</v>
      </c>
      <c r="Q2511" s="161"/>
      <c r="R2511" s="162"/>
      <c r="S2511" s="163"/>
      <c r="T2511" s="213">
        <v>0.15</v>
      </c>
      <c r="U2511" s="344">
        <v>46163</v>
      </c>
      <c r="V2511" s="340">
        <v>46527</v>
      </c>
      <c r="W2511" s="158" t="s">
        <v>17</v>
      </c>
      <c r="X2511" s="158"/>
      <c r="Y2511" s="164">
        <f t="shared" ca="1" si="169"/>
        <v>46290</v>
      </c>
      <c r="Z2511" s="207">
        <f t="shared" ca="1" si="167"/>
        <v>237</v>
      </c>
      <c r="AA2511" s="158">
        <f t="shared" si="168"/>
        <v>5</v>
      </c>
      <c r="AB2511" s="158">
        <f t="shared" si="171"/>
        <v>2027</v>
      </c>
      <c r="AC2511" s="159"/>
      <c r="AD2511" s="159"/>
      <c r="AE2511" s="184"/>
      <c r="AF2511" s="158" t="s">
        <v>356</v>
      </c>
      <c r="AG2511" s="160"/>
      <c r="AH2511" s="160"/>
      <c r="AI2511" s="158"/>
      <c r="AJ2511" s="158"/>
      <c r="AK2511" s="158"/>
      <c r="AL2511" s="158"/>
      <c r="AM2511" s="158"/>
      <c r="AN2511" s="158"/>
      <c r="AO2511" s="158"/>
      <c r="AP2511" s="158"/>
      <c r="AQ2511" s="158"/>
      <c r="AR2511" s="507"/>
      <c r="AS2511" s="475"/>
      <c r="AT2511" s="160"/>
    </row>
    <row r="2512" spans="1:46" ht="15" hidden="1" customHeight="1">
      <c r="A2512" s="331">
        <v>2511</v>
      </c>
      <c r="B2512" s="209" t="s">
        <v>11442</v>
      </c>
      <c r="C2512" s="159" t="s">
        <v>11542</v>
      </c>
      <c r="D2512" s="447" t="s">
        <v>9866</v>
      </c>
      <c r="E2512" s="361" t="str">
        <f t="shared" ca="1" si="170"/>
        <v>ON TRACK</v>
      </c>
      <c r="F2512" s="160" t="s">
        <v>11441</v>
      </c>
      <c r="G2512" s="159" t="s">
        <v>11543</v>
      </c>
      <c r="H2512" s="160" t="s">
        <v>8588</v>
      </c>
      <c r="I2512" s="160" t="s">
        <v>511</v>
      </c>
      <c r="J2512" s="159"/>
      <c r="K2512" s="181" t="s">
        <v>11544</v>
      </c>
      <c r="L2512" s="158"/>
      <c r="M2512" s="158" t="s">
        <v>6788</v>
      </c>
      <c r="N2512" s="158" t="s">
        <v>6835</v>
      </c>
      <c r="O2512" s="162"/>
      <c r="P2512" s="161">
        <f>1620750*12</f>
        <v>19449000</v>
      </c>
      <c r="Q2512" s="161"/>
      <c r="R2512" s="162"/>
      <c r="S2512" s="163"/>
      <c r="T2512" s="213">
        <v>0.15</v>
      </c>
      <c r="U2512" s="344">
        <v>46163</v>
      </c>
      <c r="V2512" s="340">
        <v>46527</v>
      </c>
      <c r="W2512" s="158" t="s">
        <v>17</v>
      </c>
      <c r="X2512" s="158"/>
      <c r="Y2512" s="164">
        <f t="shared" ca="1" si="169"/>
        <v>46290</v>
      </c>
      <c r="Z2512" s="207">
        <f t="shared" ca="1" si="167"/>
        <v>237</v>
      </c>
      <c r="AA2512" s="158">
        <f t="shared" si="168"/>
        <v>5</v>
      </c>
      <c r="AB2512" s="158">
        <f t="shared" si="171"/>
        <v>2027</v>
      </c>
      <c r="AC2512" s="159"/>
      <c r="AD2512" s="159"/>
      <c r="AE2512" s="184"/>
      <c r="AF2512" s="158" t="s">
        <v>356</v>
      </c>
      <c r="AG2512" s="160"/>
      <c r="AH2512" s="160"/>
      <c r="AI2512" s="158"/>
      <c r="AJ2512" s="158"/>
      <c r="AK2512" s="158"/>
      <c r="AL2512" s="158"/>
      <c r="AM2512" s="158"/>
      <c r="AN2512" s="158"/>
      <c r="AO2512" s="158"/>
      <c r="AP2512" s="158"/>
      <c r="AQ2512" s="158"/>
      <c r="AR2512" s="507"/>
      <c r="AS2512" s="475"/>
      <c r="AT2512" s="160"/>
    </row>
    <row r="2513" spans="1:46" ht="15" hidden="1" customHeight="1">
      <c r="A2513" s="331">
        <v>2512</v>
      </c>
      <c r="B2513" s="209" t="s">
        <v>11442</v>
      </c>
      <c r="C2513" s="159" t="s">
        <v>11545</v>
      </c>
      <c r="D2513" s="447" t="s">
        <v>9866</v>
      </c>
      <c r="E2513" s="361" t="str">
        <f t="shared" ca="1" si="170"/>
        <v>ON TRACK</v>
      </c>
      <c r="F2513" s="160" t="s">
        <v>11441</v>
      </c>
      <c r="G2513" s="159" t="s">
        <v>11546</v>
      </c>
      <c r="H2513" s="160" t="s">
        <v>8588</v>
      </c>
      <c r="I2513" s="160" t="s">
        <v>511</v>
      </c>
      <c r="J2513" s="159"/>
      <c r="K2513" s="160" t="s">
        <v>11547</v>
      </c>
      <c r="L2513" s="158"/>
      <c r="M2513" s="158" t="s">
        <v>7267</v>
      </c>
      <c r="N2513" s="158" t="s">
        <v>362</v>
      </c>
      <c r="O2513" s="162"/>
      <c r="P2513" s="161">
        <f>8000000*12</f>
        <v>96000000</v>
      </c>
      <c r="Q2513" s="161"/>
      <c r="R2513" s="162"/>
      <c r="S2513" s="163"/>
      <c r="T2513" s="213">
        <v>0.15</v>
      </c>
      <c r="U2513" s="344">
        <v>46163</v>
      </c>
      <c r="V2513" s="340">
        <v>46527</v>
      </c>
      <c r="W2513" s="158" t="s">
        <v>17</v>
      </c>
      <c r="X2513" s="158"/>
      <c r="Y2513" s="164">
        <f t="shared" ca="1" si="169"/>
        <v>46290</v>
      </c>
      <c r="Z2513" s="207">
        <f t="shared" ca="1" si="167"/>
        <v>237</v>
      </c>
      <c r="AA2513" s="158">
        <f t="shared" si="168"/>
        <v>5</v>
      </c>
      <c r="AB2513" s="158">
        <f t="shared" si="171"/>
        <v>2027</v>
      </c>
      <c r="AC2513" s="159"/>
      <c r="AD2513" s="159"/>
      <c r="AE2513" s="184"/>
      <c r="AF2513" s="158" t="s">
        <v>356</v>
      </c>
      <c r="AG2513" s="160"/>
      <c r="AH2513" s="160"/>
      <c r="AI2513" s="158"/>
      <c r="AJ2513" s="158"/>
      <c r="AK2513" s="158"/>
      <c r="AL2513" s="158"/>
      <c r="AM2513" s="158"/>
      <c r="AN2513" s="158"/>
      <c r="AO2513" s="158"/>
      <c r="AP2513" s="158"/>
      <c r="AQ2513" s="158"/>
      <c r="AR2513" s="507"/>
      <c r="AS2513" s="475"/>
      <c r="AT2513" s="160"/>
    </row>
    <row r="2514" spans="1:46" ht="15" hidden="1" customHeight="1">
      <c r="A2514" s="331">
        <v>2513</v>
      </c>
      <c r="B2514" s="209" t="s">
        <v>11442</v>
      </c>
      <c r="C2514" s="159" t="s">
        <v>11548</v>
      </c>
      <c r="D2514" s="447" t="s">
        <v>9866</v>
      </c>
      <c r="E2514" s="361" t="str">
        <f t="shared" ca="1" si="170"/>
        <v>ON TRACK</v>
      </c>
      <c r="F2514" s="160" t="s">
        <v>11549</v>
      </c>
      <c r="G2514" s="159" t="s">
        <v>11550</v>
      </c>
      <c r="H2514" s="160" t="s">
        <v>8588</v>
      </c>
      <c r="I2514" s="160" t="s">
        <v>511</v>
      </c>
      <c r="J2514" s="159"/>
      <c r="K2514" s="181" t="s">
        <v>11551</v>
      </c>
      <c r="L2514" s="158"/>
      <c r="M2514" s="158" t="s">
        <v>11552</v>
      </c>
      <c r="N2514" s="158" t="s">
        <v>494</v>
      </c>
      <c r="O2514" s="162"/>
      <c r="P2514" s="161">
        <f>4850000*12</f>
        <v>58200000</v>
      </c>
      <c r="Q2514" s="161"/>
      <c r="R2514" s="162"/>
      <c r="S2514" s="163"/>
      <c r="T2514" s="213">
        <v>0.15</v>
      </c>
      <c r="U2514" s="344">
        <v>46163</v>
      </c>
      <c r="V2514" s="340">
        <v>46527</v>
      </c>
      <c r="W2514" s="158" t="s">
        <v>17</v>
      </c>
      <c r="X2514" s="158"/>
      <c r="Y2514" s="164">
        <f t="shared" ca="1" si="169"/>
        <v>46290</v>
      </c>
      <c r="Z2514" s="207">
        <f t="shared" ca="1" si="167"/>
        <v>237</v>
      </c>
      <c r="AA2514" s="158">
        <f t="shared" si="168"/>
        <v>5</v>
      </c>
      <c r="AB2514" s="158">
        <f t="shared" si="171"/>
        <v>2027</v>
      </c>
      <c r="AC2514" s="159"/>
      <c r="AD2514" s="159"/>
      <c r="AE2514" s="184"/>
      <c r="AF2514" s="158" t="s">
        <v>356</v>
      </c>
      <c r="AG2514" s="160"/>
      <c r="AH2514" s="160"/>
      <c r="AI2514" s="158"/>
      <c r="AJ2514" s="158"/>
      <c r="AK2514" s="158"/>
      <c r="AL2514" s="158"/>
      <c r="AM2514" s="158"/>
      <c r="AN2514" s="158"/>
      <c r="AO2514" s="158"/>
      <c r="AP2514" s="158"/>
      <c r="AQ2514" s="158"/>
      <c r="AR2514" s="507"/>
      <c r="AS2514" s="475"/>
      <c r="AT2514" s="160"/>
    </row>
    <row r="2515" spans="1:46" ht="15" hidden="1" customHeight="1">
      <c r="A2515" s="331">
        <v>2514</v>
      </c>
      <c r="B2515" s="209" t="s">
        <v>11442</v>
      </c>
      <c r="C2515" s="159" t="s">
        <v>11443</v>
      </c>
      <c r="D2515" s="447" t="s">
        <v>9866</v>
      </c>
      <c r="E2515" s="361" t="str">
        <f t="shared" ca="1" si="170"/>
        <v>ON TRACK</v>
      </c>
      <c r="F2515" s="210" t="s">
        <v>11444</v>
      </c>
      <c r="G2515" s="159" t="s">
        <v>11445</v>
      </c>
      <c r="H2515" s="160" t="s">
        <v>8588</v>
      </c>
      <c r="I2515" s="160" t="s">
        <v>511</v>
      </c>
      <c r="J2515" s="159" t="s">
        <v>11446</v>
      </c>
      <c r="K2515" s="160" t="s">
        <v>11447</v>
      </c>
      <c r="L2515" s="158"/>
      <c r="M2515" s="208" t="s">
        <v>365</v>
      </c>
      <c r="N2515" s="158"/>
      <c r="O2515" s="162"/>
      <c r="P2515" s="161">
        <f>13500000*12</f>
        <v>162000000</v>
      </c>
      <c r="Q2515" s="161"/>
      <c r="R2515" s="162"/>
      <c r="S2515" s="211"/>
      <c r="T2515" s="213">
        <v>0.15</v>
      </c>
      <c r="U2515" s="344">
        <v>46528</v>
      </c>
      <c r="V2515" s="340">
        <v>46893</v>
      </c>
      <c r="W2515" s="158" t="s">
        <v>17</v>
      </c>
      <c r="X2515" s="158"/>
      <c r="Y2515" s="164">
        <f t="shared" ca="1" si="169"/>
        <v>46290</v>
      </c>
      <c r="Z2515" s="207">
        <f t="shared" ca="1" si="167"/>
        <v>603</v>
      </c>
      <c r="AA2515" s="158">
        <f t="shared" si="168"/>
        <v>5</v>
      </c>
      <c r="AB2515" s="158">
        <f t="shared" si="171"/>
        <v>2028</v>
      </c>
      <c r="AC2515" s="159"/>
      <c r="AD2515" s="159"/>
      <c r="AE2515" s="158"/>
      <c r="AF2515" s="158" t="s">
        <v>356</v>
      </c>
      <c r="AG2515" s="160"/>
      <c r="AH2515" s="160"/>
      <c r="AI2515" s="158"/>
      <c r="AJ2515" s="158"/>
      <c r="AK2515" s="158"/>
      <c r="AL2515" s="158"/>
      <c r="AM2515" s="158"/>
      <c r="AN2515" s="158"/>
      <c r="AO2515" s="158"/>
      <c r="AP2515" s="158"/>
      <c r="AQ2515" s="158"/>
      <c r="AR2515" s="507"/>
      <c r="AS2515" s="475"/>
      <c r="AT2515" s="160"/>
    </row>
    <row r="2516" spans="1:46" ht="15" hidden="1" customHeight="1">
      <c r="A2516" s="331">
        <v>2515</v>
      </c>
      <c r="B2516" s="209" t="s">
        <v>11442</v>
      </c>
      <c r="C2516" s="159" t="s">
        <v>11448</v>
      </c>
      <c r="D2516" s="447" t="s">
        <v>9866</v>
      </c>
      <c r="E2516" s="361" t="str">
        <f t="shared" ca="1" si="170"/>
        <v>ON TRACK</v>
      </c>
      <c r="F2516" s="233" t="s">
        <v>11449</v>
      </c>
      <c r="G2516" s="159" t="s">
        <v>11450</v>
      </c>
      <c r="H2516" s="160" t="s">
        <v>8588</v>
      </c>
      <c r="I2516" s="160" t="s">
        <v>511</v>
      </c>
      <c r="J2516" s="159"/>
      <c r="K2516" s="160" t="s">
        <v>11451</v>
      </c>
      <c r="L2516" s="158"/>
      <c r="M2516" s="208" t="s">
        <v>365</v>
      </c>
      <c r="N2516" s="158"/>
      <c r="O2516" s="162"/>
      <c r="P2516" s="161">
        <f>2500000*12</f>
        <v>30000000</v>
      </c>
      <c r="Q2516" s="161"/>
      <c r="R2516" s="162"/>
      <c r="S2516" s="211"/>
      <c r="T2516" s="213">
        <v>0.15</v>
      </c>
      <c r="U2516" s="344">
        <v>46528</v>
      </c>
      <c r="V2516" s="340">
        <v>46893</v>
      </c>
      <c r="W2516" s="158" t="s">
        <v>17</v>
      </c>
      <c r="X2516" s="158"/>
      <c r="Y2516" s="164">
        <f t="shared" ca="1" si="169"/>
        <v>46290</v>
      </c>
      <c r="Z2516" s="207">
        <f t="shared" ca="1" si="167"/>
        <v>603</v>
      </c>
      <c r="AA2516" s="158">
        <f t="shared" si="168"/>
        <v>5</v>
      </c>
      <c r="AB2516" s="158">
        <f t="shared" si="171"/>
        <v>2028</v>
      </c>
      <c r="AC2516" s="159"/>
      <c r="AD2516" s="159"/>
      <c r="AE2516" s="158"/>
      <c r="AF2516" s="158" t="s">
        <v>356</v>
      </c>
      <c r="AG2516" s="160"/>
      <c r="AH2516" s="160"/>
      <c r="AI2516" s="158"/>
      <c r="AJ2516" s="158"/>
      <c r="AK2516" s="158"/>
      <c r="AL2516" s="158"/>
      <c r="AM2516" s="158"/>
      <c r="AN2516" s="158"/>
      <c r="AO2516" s="158"/>
      <c r="AP2516" s="158"/>
      <c r="AQ2516" s="158"/>
      <c r="AR2516" s="507"/>
      <c r="AS2516" s="475"/>
      <c r="AT2516" s="160"/>
    </row>
    <row r="2517" spans="1:46" ht="15" hidden="1" customHeight="1">
      <c r="A2517" s="331">
        <v>2516</v>
      </c>
      <c r="B2517" s="209" t="s">
        <v>11442</v>
      </c>
      <c r="C2517" s="222" t="s">
        <v>11452</v>
      </c>
      <c r="D2517" s="447" t="s">
        <v>9866</v>
      </c>
      <c r="E2517" s="361" t="str">
        <f t="shared" ca="1" si="170"/>
        <v>ON TRACK</v>
      </c>
      <c r="F2517" s="233" t="s">
        <v>11453</v>
      </c>
      <c r="G2517" s="159" t="s">
        <v>11454</v>
      </c>
      <c r="H2517" s="160" t="s">
        <v>8588</v>
      </c>
      <c r="I2517" s="160" t="s">
        <v>511</v>
      </c>
      <c r="J2517" s="159" t="s">
        <v>11455</v>
      </c>
      <c r="K2517" s="224" t="s">
        <v>11456</v>
      </c>
      <c r="L2517" s="158"/>
      <c r="M2517" s="208" t="s">
        <v>365</v>
      </c>
      <c r="N2517" s="226"/>
      <c r="O2517" s="162"/>
      <c r="P2517" s="161">
        <f>13000000*12</f>
        <v>156000000</v>
      </c>
      <c r="Q2517" s="161"/>
      <c r="R2517" s="162"/>
      <c r="S2517" s="211"/>
      <c r="T2517" s="213">
        <v>0.15</v>
      </c>
      <c r="U2517" s="344">
        <v>46528</v>
      </c>
      <c r="V2517" s="340">
        <v>46893</v>
      </c>
      <c r="W2517" s="158" t="s">
        <v>17</v>
      </c>
      <c r="X2517" s="158"/>
      <c r="Y2517" s="164">
        <f t="shared" ca="1" si="169"/>
        <v>46290</v>
      </c>
      <c r="Z2517" s="207">
        <f t="shared" ca="1" si="167"/>
        <v>603</v>
      </c>
      <c r="AA2517" s="158">
        <f t="shared" si="168"/>
        <v>5</v>
      </c>
      <c r="AB2517" s="158">
        <f t="shared" si="171"/>
        <v>2028</v>
      </c>
      <c r="AC2517" s="159"/>
      <c r="AD2517" s="159"/>
      <c r="AE2517" s="158"/>
      <c r="AF2517" s="158" t="s">
        <v>356</v>
      </c>
      <c r="AG2517" s="160"/>
      <c r="AH2517" s="160"/>
      <c r="AI2517" s="158"/>
      <c r="AJ2517" s="158"/>
      <c r="AK2517" s="158"/>
      <c r="AL2517" s="158"/>
      <c r="AM2517" s="158"/>
      <c r="AN2517" s="158"/>
      <c r="AO2517" s="158"/>
      <c r="AP2517" s="158"/>
      <c r="AQ2517" s="158"/>
      <c r="AR2517" s="507"/>
      <c r="AS2517" s="475"/>
      <c r="AT2517" s="160"/>
    </row>
    <row r="2518" spans="1:46" ht="15" hidden="1" customHeight="1">
      <c r="A2518" s="331">
        <v>2517</v>
      </c>
      <c r="B2518" s="209" t="s">
        <v>11442</v>
      </c>
      <c r="C2518" s="222" t="s">
        <v>11457</v>
      </c>
      <c r="D2518" s="447" t="s">
        <v>9866</v>
      </c>
      <c r="E2518" s="361" t="str">
        <f t="shared" ca="1" si="170"/>
        <v>ON TRACK</v>
      </c>
      <c r="F2518" s="214" t="s">
        <v>115</v>
      </c>
      <c r="G2518" s="222" t="s">
        <v>11458</v>
      </c>
      <c r="H2518" s="160" t="s">
        <v>8588</v>
      </c>
      <c r="I2518" s="160" t="s">
        <v>511</v>
      </c>
      <c r="J2518" s="159" t="s">
        <v>11459</v>
      </c>
      <c r="K2518" s="224" t="s">
        <v>11460</v>
      </c>
      <c r="L2518" s="158"/>
      <c r="M2518" s="158" t="s">
        <v>8709</v>
      </c>
      <c r="N2518" s="226" t="s">
        <v>6735</v>
      </c>
      <c r="O2518" s="162"/>
      <c r="P2518" s="161">
        <f>7000000*12</f>
        <v>84000000</v>
      </c>
      <c r="Q2518" s="161"/>
      <c r="R2518" s="162"/>
      <c r="S2518" s="211"/>
      <c r="T2518" s="213">
        <v>0.15</v>
      </c>
      <c r="U2518" s="344">
        <v>46528</v>
      </c>
      <c r="V2518" s="340">
        <v>46893</v>
      </c>
      <c r="W2518" s="158" t="s">
        <v>17</v>
      </c>
      <c r="X2518" s="158"/>
      <c r="Y2518" s="164">
        <f t="shared" ca="1" si="169"/>
        <v>46290</v>
      </c>
      <c r="Z2518" s="207">
        <f t="shared" ca="1" si="167"/>
        <v>603</v>
      </c>
      <c r="AA2518" s="158">
        <f t="shared" si="168"/>
        <v>5</v>
      </c>
      <c r="AB2518" s="158">
        <f t="shared" si="171"/>
        <v>2028</v>
      </c>
      <c r="AC2518" s="159"/>
      <c r="AD2518" s="159"/>
      <c r="AE2518" s="158"/>
      <c r="AF2518" s="158" t="s">
        <v>356</v>
      </c>
      <c r="AG2518" s="160"/>
      <c r="AH2518" s="160"/>
      <c r="AI2518" s="158"/>
      <c r="AJ2518" s="158"/>
      <c r="AK2518" s="158"/>
      <c r="AL2518" s="158"/>
      <c r="AM2518" s="158"/>
      <c r="AN2518" s="158"/>
      <c r="AO2518" s="158"/>
      <c r="AP2518" s="158"/>
      <c r="AQ2518" s="158"/>
      <c r="AR2518" s="507"/>
      <c r="AS2518" s="475"/>
      <c r="AT2518" s="160"/>
    </row>
    <row r="2519" spans="1:46" ht="15" hidden="1" customHeight="1">
      <c r="A2519" s="331">
        <v>2518</v>
      </c>
      <c r="B2519" s="209" t="s">
        <v>11442</v>
      </c>
      <c r="C2519" s="222" t="s">
        <v>11461</v>
      </c>
      <c r="D2519" s="447" t="s">
        <v>9866</v>
      </c>
      <c r="E2519" s="361" t="str">
        <f t="shared" ca="1" si="170"/>
        <v>ON TRACK</v>
      </c>
      <c r="F2519" s="214" t="s">
        <v>115</v>
      </c>
      <c r="G2519" s="222" t="s">
        <v>11462</v>
      </c>
      <c r="H2519" s="160" t="s">
        <v>8588</v>
      </c>
      <c r="I2519" s="160" t="s">
        <v>511</v>
      </c>
      <c r="J2519" s="159" t="s">
        <v>11463</v>
      </c>
      <c r="K2519" s="224" t="s">
        <v>11464</v>
      </c>
      <c r="L2519" s="158"/>
      <c r="M2519" s="158" t="s">
        <v>8709</v>
      </c>
      <c r="N2519" s="226" t="s">
        <v>468</v>
      </c>
      <c r="O2519" s="162"/>
      <c r="P2519" s="161">
        <f>7000000*12</f>
        <v>84000000</v>
      </c>
      <c r="Q2519" s="161"/>
      <c r="R2519" s="162"/>
      <c r="S2519" s="211"/>
      <c r="T2519" s="213">
        <v>0.15</v>
      </c>
      <c r="U2519" s="344">
        <v>46528</v>
      </c>
      <c r="V2519" s="340">
        <v>46893</v>
      </c>
      <c r="W2519" s="158" t="s">
        <v>17</v>
      </c>
      <c r="X2519" s="158"/>
      <c r="Y2519" s="164">
        <f t="shared" ca="1" si="169"/>
        <v>46290</v>
      </c>
      <c r="Z2519" s="207">
        <f t="shared" ca="1" si="167"/>
        <v>603</v>
      </c>
      <c r="AA2519" s="158">
        <f t="shared" si="168"/>
        <v>5</v>
      </c>
      <c r="AB2519" s="158">
        <f t="shared" si="171"/>
        <v>2028</v>
      </c>
      <c r="AC2519" s="159"/>
      <c r="AD2519" s="159"/>
      <c r="AE2519" s="158"/>
      <c r="AF2519" s="158" t="s">
        <v>356</v>
      </c>
      <c r="AG2519" s="160"/>
      <c r="AH2519" s="160"/>
      <c r="AI2519" s="158"/>
      <c r="AJ2519" s="158"/>
      <c r="AK2519" s="158"/>
      <c r="AL2519" s="158"/>
      <c r="AM2519" s="158"/>
      <c r="AN2519" s="158"/>
      <c r="AO2519" s="158"/>
      <c r="AP2519" s="158"/>
      <c r="AQ2519" s="158"/>
      <c r="AR2519" s="507"/>
      <c r="AS2519" s="475"/>
      <c r="AT2519" s="160"/>
    </row>
    <row r="2520" spans="1:46" ht="15" hidden="1" customHeight="1">
      <c r="A2520" s="331">
        <v>2519</v>
      </c>
      <c r="B2520" s="209" t="s">
        <v>11442</v>
      </c>
      <c r="C2520" s="159" t="s">
        <v>11465</v>
      </c>
      <c r="D2520" s="447" t="s">
        <v>9866</v>
      </c>
      <c r="E2520" s="361" t="str">
        <f t="shared" ca="1" si="170"/>
        <v>ON TRACK</v>
      </c>
      <c r="F2520" s="214" t="s">
        <v>115</v>
      </c>
      <c r="G2520" s="159" t="s">
        <v>11466</v>
      </c>
      <c r="H2520" s="160" t="s">
        <v>8588</v>
      </c>
      <c r="I2520" s="160" t="s">
        <v>511</v>
      </c>
      <c r="J2520" s="159" t="s">
        <v>11467</v>
      </c>
      <c r="K2520" s="160" t="s">
        <v>11468</v>
      </c>
      <c r="L2520" s="158"/>
      <c r="M2520" s="158" t="s">
        <v>11469</v>
      </c>
      <c r="N2520" s="158" t="s">
        <v>406</v>
      </c>
      <c r="O2520" s="162"/>
      <c r="P2520" s="161">
        <f>10000000*12</f>
        <v>120000000</v>
      </c>
      <c r="Q2520" s="161"/>
      <c r="R2520" s="162"/>
      <c r="S2520" s="211"/>
      <c r="T2520" s="213">
        <v>0.15</v>
      </c>
      <c r="U2520" s="344">
        <v>46528</v>
      </c>
      <c r="V2520" s="340">
        <v>46893</v>
      </c>
      <c r="W2520" s="158" t="s">
        <v>17</v>
      </c>
      <c r="X2520" s="158"/>
      <c r="Y2520" s="164">
        <f t="shared" ca="1" si="169"/>
        <v>46290</v>
      </c>
      <c r="Z2520" s="207">
        <f t="shared" ca="1" si="167"/>
        <v>603</v>
      </c>
      <c r="AA2520" s="158">
        <f t="shared" si="168"/>
        <v>5</v>
      </c>
      <c r="AB2520" s="158">
        <f t="shared" si="171"/>
        <v>2028</v>
      </c>
      <c r="AC2520" s="159"/>
      <c r="AD2520" s="159"/>
      <c r="AE2520" s="158"/>
      <c r="AF2520" s="158" t="s">
        <v>356</v>
      </c>
      <c r="AG2520" s="160"/>
      <c r="AH2520" s="160"/>
      <c r="AI2520" s="158"/>
      <c r="AJ2520" s="158"/>
      <c r="AK2520" s="158"/>
      <c r="AL2520" s="158"/>
      <c r="AM2520" s="158"/>
      <c r="AN2520" s="158"/>
      <c r="AO2520" s="158"/>
      <c r="AP2520" s="158"/>
      <c r="AQ2520" s="158"/>
      <c r="AR2520" s="507"/>
      <c r="AS2520" s="475"/>
      <c r="AT2520" s="160"/>
    </row>
    <row r="2521" spans="1:46" ht="15" hidden="1" customHeight="1">
      <c r="A2521" s="331">
        <v>2520</v>
      </c>
      <c r="B2521" s="209" t="s">
        <v>11442</v>
      </c>
      <c r="C2521" s="222" t="s">
        <v>11470</v>
      </c>
      <c r="D2521" s="447" t="s">
        <v>9866</v>
      </c>
      <c r="E2521" s="361" t="str">
        <f t="shared" ca="1" si="170"/>
        <v>ON TRACK</v>
      </c>
      <c r="F2521" s="214" t="s">
        <v>115</v>
      </c>
      <c r="G2521" s="159" t="s">
        <v>11471</v>
      </c>
      <c r="H2521" s="160" t="s">
        <v>8588</v>
      </c>
      <c r="I2521" s="160" t="s">
        <v>511</v>
      </c>
      <c r="J2521" s="159" t="s">
        <v>11472</v>
      </c>
      <c r="K2521" s="160" t="s">
        <v>11473</v>
      </c>
      <c r="L2521" s="158"/>
      <c r="M2521" s="158" t="s">
        <v>353</v>
      </c>
      <c r="N2521" s="158" t="s">
        <v>389</v>
      </c>
      <c r="O2521" s="162"/>
      <c r="P2521" s="161">
        <f>21000000*12</f>
        <v>252000000</v>
      </c>
      <c r="Q2521" s="161"/>
      <c r="R2521" s="162"/>
      <c r="S2521" s="211"/>
      <c r="T2521" s="213">
        <v>0.15</v>
      </c>
      <c r="U2521" s="344">
        <v>46528</v>
      </c>
      <c r="V2521" s="340">
        <v>46893</v>
      </c>
      <c r="W2521" s="158" t="s">
        <v>17</v>
      </c>
      <c r="X2521" s="158"/>
      <c r="Y2521" s="164">
        <f t="shared" ca="1" si="169"/>
        <v>46290</v>
      </c>
      <c r="Z2521" s="207">
        <f t="shared" ca="1" si="167"/>
        <v>603</v>
      </c>
      <c r="AA2521" s="158">
        <f t="shared" si="168"/>
        <v>5</v>
      </c>
      <c r="AB2521" s="158">
        <f t="shared" si="171"/>
        <v>2028</v>
      </c>
      <c r="AC2521" s="159"/>
      <c r="AD2521" s="159"/>
      <c r="AE2521" s="158"/>
      <c r="AF2521" s="158" t="s">
        <v>356</v>
      </c>
      <c r="AG2521" s="160"/>
      <c r="AH2521" s="160"/>
      <c r="AI2521" s="158"/>
      <c r="AJ2521" s="158"/>
      <c r="AK2521" s="158"/>
      <c r="AL2521" s="158"/>
      <c r="AM2521" s="158"/>
      <c r="AN2521" s="158"/>
      <c r="AO2521" s="158"/>
      <c r="AP2521" s="158"/>
      <c r="AQ2521" s="158"/>
      <c r="AR2521" s="507"/>
      <c r="AS2521" s="475"/>
      <c r="AT2521" s="160"/>
    </row>
    <row r="2522" spans="1:46" ht="15" hidden="1" customHeight="1">
      <c r="A2522" s="331">
        <v>2521</v>
      </c>
      <c r="B2522" s="209" t="s">
        <v>11442</v>
      </c>
      <c r="C2522" s="159" t="s">
        <v>11474</v>
      </c>
      <c r="D2522" s="447" t="s">
        <v>9866</v>
      </c>
      <c r="E2522" s="361" t="str">
        <f t="shared" ca="1" si="170"/>
        <v>ON TRACK</v>
      </c>
      <c r="F2522" s="214" t="s">
        <v>115</v>
      </c>
      <c r="G2522" s="159" t="s">
        <v>11475</v>
      </c>
      <c r="H2522" s="160" t="s">
        <v>8588</v>
      </c>
      <c r="I2522" s="160" t="s">
        <v>511</v>
      </c>
      <c r="J2522" s="159" t="s">
        <v>11476</v>
      </c>
      <c r="K2522" s="160" t="s">
        <v>11477</v>
      </c>
      <c r="L2522" s="158"/>
      <c r="M2522" s="158" t="s">
        <v>365</v>
      </c>
      <c r="N2522" s="158" t="s">
        <v>354</v>
      </c>
      <c r="O2522" s="162"/>
      <c r="P2522" s="161">
        <f>2800000*12</f>
        <v>33600000</v>
      </c>
      <c r="Q2522" s="161"/>
      <c r="R2522" s="162"/>
      <c r="S2522" s="211"/>
      <c r="T2522" s="213">
        <v>0.15</v>
      </c>
      <c r="U2522" s="344">
        <v>46528</v>
      </c>
      <c r="V2522" s="340">
        <v>46893</v>
      </c>
      <c r="W2522" s="158" t="s">
        <v>17</v>
      </c>
      <c r="X2522" s="158"/>
      <c r="Y2522" s="164">
        <f t="shared" ca="1" si="169"/>
        <v>46290</v>
      </c>
      <c r="Z2522" s="207">
        <f t="shared" ca="1" si="167"/>
        <v>603</v>
      </c>
      <c r="AA2522" s="158">
        <f t="shared" si="168"/>
        <v>5</v>
      </c>
      <c r="AB2522" s="158">
        <f t="shared" si="171"/>
        <v>2028</v>
      </c>
      <c r="AC2522" s="159"/>
      <c r="AD2522" s="159"/>
      <c r="AE2522" s="158"/>
      <c r="AF2522" s="158" t="s">
        <v>356</v>
      </c>
      <c r="AG2522" s="160"/>
      <c r="AH2522" s="160"/>
      <c r="AI2522" s="158"/>
      <c r="AJ2522" s="158"/>
      <c r="AK2522" s="158"/>
      <c r="AL2522" s="158"/>
      <c r="AM2522" s="158"/>
      <c r="AN2522" s="158"/>
      <c r="AO2522" s="158"/>
      <c r="AP2522" s="158"/>
      <c r="AQ2522" s="158"/>
      <c r="AR2522" s="507"/>
      <c r="AS2522" s="475"/>
      <c r="AT2522" s="160"/>
    </row>
    <row r="2523" spans="1:46" ht="15" hidden="1" customHeight="1">
      <c r="A2523" s="331">
        <v>2522</v>
      </c>
      <c r="B2523" s="209" t="s">
        <v>11442</v>
      </c>
      <c r="C2523" s="159" t="s">
        <v>11478</v>
      </c>
      <c r="D2523" s="447" t="s">
        <v>9866</v>
      </c>
      <c r="E2523" s="361" t="str">
        <f t="shared" ca="1" si="170"/>
        <v>ON TRACK</v>
      </c>
      <c r="F2523" s="214" t="s">
        <v>115</v>
      </c>
      <c r="G2523" s="159" t="s">
        <v>11479</v>
      </c>
      <c r="H2523" s="160" t="s">
        <v>8588</v>
      </c>
      <c r="I2523" s="160" t="s">
        <v>511</v>
      </c>
      <c r="J2523" s="159" t="s">
        <v>11480</v>
      </c>
      <c r="K2523" s="160" t="s">
        <v>11481</v>
      </c>
      <c r="L2523" s="158"/>
      <c r="M2523" s="158" t="s">
        <v>353</v>
      </c>
      <c r="N2523" s="158" t="s">
        <v>389</v>
      </c>
      <c r="O2523" s="162"/>
      <c r="P2523" s="161">
        <f>12600000*12</f>
        <v>151200000</v>
      </c>
      <c r="Q2523" s="161"/>
      <c r="R2523" s="162"/>
      <c r="S2523" s="211"/>
      <c r="T2523" s="213">
        <v>0.15</v>
      </c>
      <c r="U2523" s="344">
        <v>46528</v>
      </c>
      <c r="V2523" s="340">
        <v>46893</v>
      </c>
      <c r="W2523" s="158" t="s">
        <v>17</v>
      </c>
      <c r="X2523" s="158"/>
      <c r="Y2523" s="164">
        <f t="shared" ca="1" si="169"/>
        <v>46290</v>
      </c>
      <c r="Z2523" s="207">
        <f t="shared" ca="1" si="167"/>
        <v>603</v>
      </c>
      <c r="AA2523" s="158">
        <f t="shared" si="168"/>
        <v>5</v>
      </c>
      <c r="AB2523" s="158">
        <f t="shared" si="171"/>
        <v>2028</v>
      </c>
      <c r="AC2523" s="159"/>
      <c r="AD2523" s="159"/>
      <c r="AE2523" s="158"/>
      <c r="AF2523" s="158" t="s">
        <v>356</v>
      </c>
      <c r="AG2523" s="160"/>
      <c r="AH2523" s="160"/>
      <c r="AI2523" s="158"/>
      <c r="AJ2523" s="158"/>
      <c r="AK2523" s="158"/>
      <c r="AL2523" s="158"/>
      <c r="AM2523" s="158"/>
      <c r="AN2523" s="158"/>
      <c r="AO2523" s="158"/>
      <c r="AP2523" s="158"/>
      <c r="AQ2523" s="158"/>
      <c r="AR2523" s="507"/>
      <c r="AS2523" s="475"/>
      <c r="AT2523" s="160"/>
    </row>
    <row r="2524" spans="1:46" ht="15" hidden="1" customHeight="1">
      <c r="A2524" s="331">
        <v>2523</v>
      </c>
      <c r="B2524" s="209" t="s">
        <v>11442</v>
      </c>
      <c r="C2524" s="159" t="s">
        <v>11478</v>
      </c>
      <c r="D2524" s="447" t="s">
        <v>9866</v>
      </c>
      <c r="E2524" s="361" t="str">
        <f t="shared" ca="1" si="170"/>
        <v>ON TRACK</v>
      </c>
      <c r="F2524" s="210" t="s">
        <v>11482</v>
      </c>
      <c r="G2524" s="159" t="s">
        <v>11479</v>
      </c>
      <c r="H2524" s="160" t="s">
        <v>8588</v>
      </c>
      <c r="I2524" s="160" t="s">
        <v>511</v>
      </c>
      <c r="J2524" s="159" t="s">
        <v>11483</v>
      </c>
      <c r="K2524" s="160" t="s">
        <v>11484</v>
      </c>
      <c r="L2524" s="158"/>
      <c r="M2524" s="158" t="s">
        <v>353</v>
      </c>
      <c r="N2524" s="158" t="s">
        <v>7066</v>
      </c>
      <c r="O2524" s="162"/>
      <c r="P2524" s="161">
        <f>8325000*12</f>
        <v>99900000</v>
      </c>
      <c r="Q2524" s="161"/>
      <c r="R2524" s="162"/>
      <c r="S2524" s="211"/>
      <c r="T2524" s="213">
        <v>0.15</v>
      </c>
      <c r="U2524" s="344">
        <v>46528</v>
      </c>
      <c r="V2524" s="340">
        <v>46893</v>
      </c>
      <c r="W2524" s="158" t="s">
        <v>17</v>
      </c>
      <c r="X2524" s="158"/>
      <c r="Y2524" s="164">
        <f t="shared" ca="1" si="169"/>
        <v>46290</v>
      </c>
      <c r="Z2524" s="207">
        <f t="shared" ca="1" si="167"/>
        <v>603</v>
      </c>
      <c r="AA2524" s="158">
        <f t="shared" si="168"/>
        <v>5</v>
      </c>
      <c r="AB2524" s="158">
        <f t="shared" si="171"/>
        <v>2028</v>
      </c>
      <c r="AC2524" s="159"/>
      <c r="AD2524" s="159"/>
      <c r="AE2524" s="158"/>
      <c r="AF2524" s="158" t="s">
        <v>356</v>
      </c>
      <c r="AG2524" s="160"/>
      <c r="AH2524" s="160"/>
      <c r="AI2524" s="158"/>
      <c r="AJ2524" s="158"/>
      <c r="AK2524" s="158"/>
      <c r="AL2524" s="158"/>
      <c r="AM2524" s="158"/>
      <c r="AN2524" s="158"/>
      <c r="AO2524" s="158"/>
      <c r="AP2524" s="158"/>
      <c r="AQ2524" s="158"/>
      <c r="AR2524" s="507"/>
      <c r="AS2524" s="475"/>
      <c r="AT2524" s="160"/>
    </row>
    <row r="2525" spans="1:46" ht="15" hidden="1" customHeight="1">
      <c r="A2525" s="331">
        <v>2524</v>
      </c>
      <c r="B2525" s="209" t="s">
        <v>11442</v>
      </c>
      <c r="C2525" s="159" t="s">
        <v>11474</v>
      </c>
      <c r="D2525" s="447" t="s">
        <v>9866</v>
      </c>
      <c r="E2525" s="361" t="str">
        <f t="shared" ca="1" si="170"/>
        <v>ON TRACK</v>
      </c>
      <c r="F2525" s="160"/>
      <c r="G2525" s="159" t="s">
        <v>11485</v>
      </c>
      <c r="H2525" s="160" t="s">
        <v>8588</v>
      </c>
      <c r="I2525" s="160" t="s">
        <v>511</v>
      </c>
      <c r="J2525" s="159" t="s">
        <v>11486</v>
      </c>
      <c r="K2525" s="160" t="s">
        <v>11487</v>
      </c>
      <c r="L2525" s="158"/>
      <c r="M2525" s="158" t="s">
        <v>365</v>
      </c>
      <c r="N2525" s="158" t="s">
        <v>7193</v>
      </c>
      <c r="O2525" s="162"/>
      <c r="P2525" s="161">
        <f>3200000*12</f>
        <v>38400000</v>
      </c>
      <c r="Q2525" s="161"/>
      <c r="R2525" s="162"/>
      <c r="S2525" s="211"/>
      <c r="T2525" s="213">
        <v>0.15</v>
      </c>
      <c r="U2525" s="344">
        <v>46528</v>
      </c>
      <c r="V2525" s="340">
        <v>46893</v>
      </c>
      <c r="W2525" s="158" t="s">
        <v>17</v>
      </c>
      <c r="X2525" s="158"/>
      <c r="Y2525" s="164">
        <f t="shared" ca="1" si="169"/>
        <v>46290</v>
      </c>
      <c r="Z2525" s="207">
        <f t="shared" ca="1" si="167"/>
        <v>603</v>
      </c>
      <c r="AA2525" s="158">
        <f t="shared" si="168"/>
        <v>5</v>
      </c>
      <c r="AB2525" s="158">
        <f t="shared" si="171"/>
        <v>2028</v>
      </c>
      <c r="AC2525" s="159"/>
      <c r="AD2525" s="159"/>
      <c r="AE2525" s="158"/>
      <c r="AF2525" s="158" t="s">
        <v>356</v>
      </c>
      <c r="AG2525" s="160"/>
      <c r="AH2525" s="160"/>
      <c r="AI2525" s="158"/>
      <c r="AJ2525" s="158"/>
      <c r="AK2525" s="158"/>
      <c r="AL2525" s="158"/>
      <c r="AM2525" s="158"/>
      <c r="AN2525" s="158"/>
      <c r="AO2525" s="158"/>
      <c r="AP2525" s="158"/>
      <c r="AQ2525" s="158"/>
      <c r="AR2525" s="507"/>
      <c r="AS2525" s="475"/>
      <c r="AT2525" s="160"/>
    </row>
    <row r="2526" spans="1:46" ht="15" hidden="1" customHeight="1">
      <c r="A2526" s="331">
        <v>2525</v>
      </c>
      <c r="B2526" s="209" t="s">
        <v>11442</v>
      </c>
      <c r="C2526" s="159" t="s">
        <v>3765</v>
      </c>
      <c r="D2526" s="447" t="s">
        <v>9866</v>
      </c>
      <c r="E2526" s="361" t="str">
        <f t="shared" ca="1" si="170"/>
        <v>ON TRACK</v>
      </c>
      <c r="F2526" s="160"/>
      <c r="G2526" s="159" t="s">
        <v>11488</v>
      </c>
      <c r="H2526" s="160" t="s">
        <v>8588</v>
      </c>
      <c r="I2526" s="160" t="s">
        <v>511</v>
      </c>
      <c r="J2526" s="159" t="s">
        <v>11489</v>
      </c>
      <c r="K2526" s="160" t="s">
        <v>11490</v>
      </c>
      <c r="L2526" s="158"/>
      <c r="M2526" s="158" t="s">
        <v>365</v>
      </c>
      <c r="N2526" s="158" t="s">
        <v>7193</v>
      </c>
      <c r="O2526" s="162"/>
      <c r="P2526" s="161">
        <f>8300000*12</f>
        <v>99600000</v>
      </c>
      <c r="Q2526" s="161"/>
      <c r="R2526" s="162"/>
      <c r="S2526" s="211"/>
      <c r="T2526" s="213">
        <v>0.15</v>
      </c>
      <c r="U2526" s="344">
        <v>46528</v>
      </c>
      <c r="V2526" s="340">
        <v>46893</v>
      </c>
      <c r="W2526" s="158" t="s">
        <v>17</v>
      </c>
      <c r="X2526" s="158"/>
      <c r="Y2526" s="164">
        <f t="shared" ca="1" si="169"/>
        <v>46290</v>
      </c>
      <c r="Z2526" s="207">
        <f t="shared" ca="1" si="167"/>
        <v>603</v>
      </c>
      <c r="AA2526" s="158">
        <f t="shared" si="168"/>
        <v>5</v>
      </c>
      <c r="AB2526" s="158">
        <f t="shared" si="171"/>
        <v>2028</v>
      </c>
      <c r="AC2526" s="159"/>
      <c r="AD2526" s="159"/>
      <c r="AE2526" s="158"/>
      <c r="AF2526" s="158" t="s">
        <v>356</v>
      </c>
      <c r="AG2526" s="160"/>
      <c r="AH2526" s="160"/>
      <c r="AI2526" s="158"/>
      <c r="AJ2526" s="158"/>
      <c r="AK2526" s="158"/>
      <c r="AL2526" s="158"/>
      <c r="AM2526" s="158"/>
      <c r="AN2526" s="158"/>
      <c r="AO2526" s="158"/>
      <c r="AP2526" s="158"/>
      <c r="AQ2526" s="158"/>
      <c r="AR2526" s="507"/>
      <c r="AS2526" s="475"/>
      <c r="AT2526" s="160"/>
    </row>
    <row r="2527" spans="1:46" ht="15" hidden="1" customHeight="1">
      <c r="A2527" s="331">
        <v>2526</v>
      </c>
      <c r="B2527" s="209" t="s">
        <v>11442</v>
      </c>
      <c r="C2527" s="159" t="s">
        <v>11491</v>
      </c>
      <c r="D2527" s="447" t="s">
        <v>9866</v>
      </c>
      <c r="E2527" s="361" t="str">
        <f t="shared" ca="1" si="170"/>
        <v>ON TRACK</v>
      </c>
      <c r="F2527" s="160"/>
      <c r="G2527" s="159" t="s">
        <v>11492</v>
      </c>
      <c r="H2527" s="160" t="s">
        <v>8588</v>
      </c>
      <c r="I2527" s="160" t="s">
        <v>511</v>
      </c>
      <c r="J2527" s="159" t="s">
        <v>11493</v>
      </c>
      <c r="K2527" s="160" t="s">
        <v>11494</v>
      </c>
      <c r="L2527" s="158"/>
      <c r="M2527" s="158" t="s">
        <v>365</v>
      </c>
      <c r="N2527" s="158" t="s">
        <v>406</v>
      </c>
      <c r="O2527" s="162"/>
      <c r="P2527" s="161">
        <f>2950000*12</f>
        <v>35400000</v>
      </c>
      <c r="Q2527" s="161"/>
      <c r="R2527" s="162"/>
      <c r="S2527" s="211"/>
      <c r="T2527" s="213">
        <v>0.15</v>
      </c>
      <c r="U2527" s="344">
        <v>46528</v>
      </c>
      <c r="V2527" s="340">
        <v>46893</v>
      </c>
      <c r="W2527" s="158" t="s">
        <v>17</v>
      </c>
      <c r="X2527" s="158"/>
      <c r="Y2527" s="164">
        <f t="shared" ref="Y2527:Y2560" ca="1" si="172">TODAY()</f>
        <v>46290</v>
      </c>
      <c r="Z2527" s="207">
        <f t="shared" ref="Z2527:Z2590" ca="1" si="173">V2527-Y2527</f>
        <v>603</v>
      </c>
      <c r="AA2527" s="158">
        <f t="shared" ref="AA2527:AA2590" si="174">MONTH(V2527)</f>
        <v>5</v>
      </c>
      <c r="AB2527" s="158">
        <f t="shared" si="171"/>
        <v>2028</v>
      </c>
      <c r="AC2527" s="159"/>
      <c r="AD2527" s="159"/>
      <c r="AE2527" s="158"/>
      <c r="AF2527" s="158" t="s">
        <v>356</v>
      </c>
      <c r="AG2527" s="160"/>
      <c r="AH2527" s="160"/>
      <c r="AI2527" s="158"/>
      <c r="AJ2527" s="158"/>
      <c r="AK2527" s="158"/>
      <c r="AL2527" s="158"/>
      <c r="AM2527" s="158"/>
      <c r="AN2527" s="158"/>
      <c r="AO2527" s="158"/>
      <c r="AP2527" s="158"/>
      <c r="AQ2527" s="158"/>
      <c r="AR2527" s="507"/>
      <c r="AS2527" s="475"/>
      <c r="AT2527" s="160"/>
    </row>
    <row r="2528" spans="1:46" ht="15" hidden="1" customHeight="1">
      <c r="A2528" s="331">
        <v>2527</v>
      </c>
      <c r="B2528" s="209" t="s">
        <v>11442</v>
      </c>
      <c r="C2528" s="222" t="s">
        <v>11495</v>
      </c>
      <c r="D2528" s="447" t="s">
        <v>9866</v>
      </c>
      <c r="E2528" s="361" t="str">
        <f t="shared" ca="1" si="170"/>
        <v>ON TRACK</v>
      </c>
      <c r="F2528" s="160"/>
      <c r="G2528" s="222" t="s">
        <v>11496</v>
      </c>
      <c r="H2528" s="160" t="s">
        <v>8588</v>
      </c>
      <c r="I2528" s="160" t="s">
        <v>511</v>
      </c>
      <c r="J2528" s="159" t="s">
        <v>11497</v>
      </c>
      <c r="K2528" s="224" t="s">
        <v>11498</v>
      </c>
      <c r="L2528" s="158"/>
      <c r="M2528" s="226" t="s">
        <v>353</v>
      </c>
      <c r="N2528" s="226"/>
      <c r="O2528" s="162"/>
      <c r="P2528" s="161">
        <f>10000000*12</f>
        <v>120000000</v>
      </c>
      <c r="Q2528" s="161"/>
      <c r="R2528" s="162"/>
      <c r="S2528" s="211"/>
      <c r="T2528" s="213">
        <v>0.15</v>
      </c>
      <c r="U2528" s="344">
        <v>46528</v>
      </c>
      <c r="V2528" s="340">
        <v>46893</v>
      </c>
      <c r="W2528" s="158" t="s">
        <v>17</v>
      </c>
      <c r="X2528" s="158"/>
      <c r="Y2528" s="164">
        <f t="shared" ca="1" si="172"/>
        <v>46290</v>
      </c>
      <c r="Z2528" s="207">
        <f t="shared" ca="1" si="173"/>
        <v>603</v>
      </c>
      <c r="AA2528" s="158">
        <f t="shared" si="174"/>
        <v>5</v>
      </c>
      <c r="AB2528" s="158">
        <f t="shared" si="171"/>
        <v>2028</v>
      </c>
      <c r="AC2528" s="159"/>
      <c r="AD2528" s="159"/>
      <c r="AE2528" s="158"/>
      <c r="AF2528" s="158" t="s">
        <v>356</v>
      </c>
      <c r="AG2528" s="160"/>
      <c r="AH2528" s="160"/>
      <c r="AI2528" s="158"/>
      <c r="AJ2528" s="158"/>
      <c r="AK2528" s="158"/>
      <c r="AL2528" s="158"/>
      <c r="AM2528" s="158"/>
      <c r="AN2528" s="158"/>
      <c r="AO2528" s="158"/>
      <c r="AP2528" s="158"/>
      <c r="AQ2528" s="158"/>
      <c r="AR2528" s="507"/>
      <c r="AS2528" s="475"/>
      <c r="AT2528" s="160"/>
    </row>
    <row r="2529" spans="1:46" ht="15" hidden="1" customHeight="1">
      <c r="A2529" s="331">
        <v>2528</v>
      </c>
      <c r="B2529" s="209" t="s">
        <v>11442</v>
      </c>
      <c r="C2529" s="159" t="s">
        <v>11491</v>
      </c>
      <c r="D2529" s="447" t="s">
        <v>9866</v>
      </c>
      <c r="E2529" s="361" t="str">
        <f t="shared" ca="1" si="170"/>
        <v>ON TRACK</v>
      </c>
      <c r="F2529" s="160"/>
      <c r="G2529" s="159" t="s">
        <v>11499</v>
      </c>
      <c r="H2529" s="160" t="s">
        <v>8588</v>
      </c>
      <c r="I2529" s="160" t="s">
        <v>511</v>
      </c>
      <c r="J2529" s="159" t="s">
        <v>11500</v>
      </c>
      <c r="K2529" s="160" t="s">
        <v>11501</v>
      </c>
      <c r="L2529" s="158"/>
      <c r="M2529" s="158" t="s">
        <v>365</v>
      </c>
      <c r="N2529" s="158"/>
      <c r="O2529" s="162"/>
      <c r="P2529" s="161">
        <f>4725000*12</f>
        <v>56700000</v>
      </c>
      <c r="Q2529" s="161"/>
      <c r="R2529" s="162"/>
      <c r="S2529" s="211"/>
      <c r="T2529" s="213">
        <v>0.15</v>
      </c>
      <c r="U2529" s="344">
        <v>46528</v>
      </c>
      <c r="V2529" s="340">
        <v>46893</v>
      </c>
      <c r="W2529" s="158" t="s">
        <v>17</v>
      </c>
      <c r="X2529" s="158"/>
      <c r="Y2529" s="164">
        <f t="shared" ca="1" si="172"/>
        <v>46290</v>
      </c>
      <c r="Z2529" s="207">
        <f t="shared" ca="1" si="173"/>
        <v>603</v>
      </c>
      <c r="AA2529" s="158">
        <f t="shared" si="174"/>
        <v>5</v>
      </c>
      <c r="AB2529" s="158">
        <f t="shared" si="171"/>
        <v>2028</v>
      </c>
      <c r="AC2529" s="159"/>
      <c r="AD2529" s="159"/>
      <c r="AE2529" s="158"/>
      <c r="AF2529" s="158" t="s">
        <v>356</v>
      </c>
      <c r="AG2529" s="160"/>
      <c r="AH2529" s="160"/>
      <c r="AI2529" s="158"/>
      <c r="AJ2529" s="158"/>
      <c r="AK2529" s="158"/>
      <c r="AL2529" s="158"/>
      <c r="AM2529" s="158"/>
      <c r="AN2529" s="158"/>
      <c r="AO2529" s="158"/>
      <c r="AP2529" s="158"/>
      <c r="AQ2529" s="158"/>
      <c r="AR2529" s="507"/>
      <c r="AS2529" s="475"/>
      <c r="AT2529" s="160"/>
    </row>
    <row r="2530" spans="1:46" ht="15" hidden="1" customHeight="1">
      <c r="A2530" s="331">
        <v>2529</v>
      </c>
      <c r="B2530" s="209" t="s">
        <v>11442</v>
      </c>
      <c r="C2530" s="159" t="s">
        <v>11502</v>
      </c>
      <c r="D2530" s="447" t="s">
        <v>9866</v>
      </c>
      <c r="E2530" s="361" t="str">
        <f t="shared" ca="1" si="170"/>
        <v>ON TRACK</v>
      </c>
      <c r="F2530" s="160"/>
      <c r="G2530" s="159" t="s">
        <v>11503</v>
      </c>
      <c r="H2530" s="160" t="s">
        <v>8588</v>
      </c>
      <c r="I2530" s="160" t="s">
        <v>511</v>
      </c>
      <c r="J2530" s="159" t="s">
        <v>11504</v>
      </c>
      <c r="K2530" s="160" t="s">
        <v>11505</v>
      </c>
      <c r="L2530" s="158"/>
      <c r="M2530" s="158" t="s">
        <v>353</v>
      </c>
      <c r="N2530" s="158" t="s">
        <v>11506</v>
      </c>
      <c r="O2530" s="162"/>
      <c r="P2530" s="161">
        <f>7900000*12</f>
        <v>94800000</v>
      </c>
      <c r="Q2530" s="161"/>
      <c r="R2530" s="162"/>
      <c r="S2530" s="211"/>
      <c r="T2530" s="213">
        <v>0.15</v>
      </c>
      <c r="U2530" s="344">
        <v>46528</v>
      </c>
      <c r="V2530" s="340">
        <v>46893</v>
      </c>
      <c r="W2530" s="158" t="s">
        <v>17</v>
      </c>
      <c r="X2530" s="158"/>
      <c r="Y2530" s="164">
        <f t="shared" ca="1" si="172"/>
        <v>46290</v>
      </c>
      <c r="Z2530" s="207">
        <f t="shared" ca="1" si="173"/>
        <v>603</v>
      </c>
      <c r="AA2530" s="158">
        <f t="shared" si="174"/>
        <v>5</v>
      </c>
      <c r="AB2530" s="158">
        <f t="shared" si="171"/>
        <v>2028</v>
      </c>
      <c r="AC2530" s="159"/>
      <c r="AD2530" s="159"/>
      <c r="AE2530" s="158"/>
      <c r="AF2530" s="158" t="s">
        <v>356</v>
      </c>
      <c r="AG2530" s="160"/>
      <c r="AH2530" s="160"/>
      <c r="AI2530" s="158"/>
      <c r="AJ2530" s="158"/>
      <c r="AK2530" s="158"/>
      <c r="AL2530" s="158"/>
      <c r="AM2530" s="158"/>
      <c r="AN2530" s="158"/>
      <c r="AO2530" s="158"/>
      <c r="AP2530" s="158"/>
      <c r="AQ2530" s="158"/>
      <c r="AR2530" s="507"/>
      <c r="AS2530" s="475"/>
      <c r="AT2530" s="160"/>
    </row>
    <row r="2531" spans="1:46" ht="15" hidden="1" customHeight="1">
      <c r="A2531" s="331">
        <v>2530</v>
      </c>
      <c r="B2531" s="209" t="s">
        <v>11442</v>
      </c>
      <c r="C2531" s="159" t="s">
        <v>11507</v>
      </c>
      <c r="D2531" s="447" t="s">
        <v>9866</v>
      </c>
      <c r="E2531" s="361" t="str">
        <f t="shared" ca="1" si="170"/>
        <v>ON TRACK</v>
      </c>
      <c r="F2531" s="160"/>
      <c r="G2531" s="159" t="s">
        <v>11508</v>
      </c>
      <c r="H2531" s="160" t="s">
        <v>8588</v>
      </c>
      <c r="I2531" s="160" t="s">
        <v>511</v>
      </c>
      <c r="J2531" s="159" t="s">
        <v>11509</v>
      </c>
      <c r="K2531" s="160" t="s">
        <v>11510</v>
      </c>
      <c r="L2531" s="158"/>
      <c r="M2531" s="208" t="s">
        <v>11511</v>
      </c>
      <c r="N2531" s="158" t="s">
        <v>494</v>
      </c>
      <c r="O2531" s="162"/>
      <c r="P2531" s="161">
        <f>5500000*12</f>
        <v>66000000</v>
      </c>
      <c r="Q2531" s="161"/>
      <c r="R2531" s="162"/>
      <c r="S2531" s="211"/>
      <c r="T2531" s="213">
        <v>0.15</v>
      </c>
      <c r="U2531" s="344">
        <v>46528</v>
      </c>
      <c r="V2531" s="340">
        <v>46893</v>
      </c>
      <c r="W2531" s="158" t="s">
        <v>17</v>
      </c>
      <c r="X2531" s="158"/>
      <c r="Y2531" s="164">
        <f t="shared" ca="1" si="172"/>
        <v>46290</v>
      </c>
      <c r="Z2531" s="207">
        <f t="shared" ca="1" si="173"/>
        <v>603</v>
      </c>
      <c r="AA2531" s="158">
        <f t="shared" si="174"/>
        <v>5</v>
      </c>
      <c r="AB2531" s="158">
        <f t="shared" si="171"/>
        <v>2028</v>
      </c>
      <c r="AC2531" s="159"/>
      <c r="AD2531" s="159"/>
      <c r="AE2531" s="158"/>
      <c r="AF2531" s="158" t="s">
        <v>356</v>
      </c>
      <c r="AG2531" s="160"/>
      <c r="AH2531" s="160"/>
      <c r="AI2531" s="158"/>
      <c r="AJ2531" s="158"/>
      <c r="AK2531" s="158"/>
      <c r="AL2531" s="158"/>
      <c r="AM2531" s="158"/>
      <c r="AN2531" s="158"/>
      <c r="AO2531" s="158"/>
      <c r="AP2531" s="158"/>
      <c r="AQ2531" s="158"/>
      <c r="AR2531" s="507"/>
      <c r="AS2531" s="475"/>
      <c r="AT2531" s="160"/>
    </row>
    <row r="2532" spans="1:46" ht="15" hidden="1" customHeight="1">
      <c r="A2532" s="331">
        <v>2531</v>
      </c>
      <c r="B2532" s="209" t="s">
        <v>11442</v>
      </c>
      <c r="C2532" s="159" t="s">
        <v>11512</v>
      </c>
      <c r="D2532" s="447" t="s">
        <v>9866</v>
      </c>
      <c r="E2532" s="361" t="str">
        <f t="shared" ca="1" si="170"/>
        <v>ON TRACK</v>
      </c>
      <c r="F2532" s="160"/>
      <c r="G2532" s="159" t="s">
        <v>11513</v>
      </c>
      <c r="H2532" s="160" t="s">
        <v>8588</v>
      </c>
      <c r="I2532" s="160" t="s">
        <v>511</v>
      </c>
      <c r="J2532" s="159" t="s">
        <v>11514</v>
      </c>
      <c r="K2532" s="160" t="s">
        <v>11515</v>
      </c>
      <c r="L2532" s="158"/>
      <c r="M2532" s="158" t="s">
        <v>365</v>
      </c>
      <c r="N2532" s="158" t="s">
        <v>494</v>
      </c>
      <c r="O2532" s="162"/>
      <c r="P2532" s="161">
        <f>4000000*12</f>
        <v>48000000</v>
      </c>
      <c r="Q2532" s="161"/>
      <c r="R2532" s="162"/>
      <c r="S2532" s="211"/>
      <c r="T2532" s="213">
        <v>0.15</v>
      </c>
      <c r="U2532" s="344">
        <v>46528</v>
      </c>
      <c r="V2532" s="340">
        <v>46893</v>
      </c>
      <c r="W2532" s="158" t="s">
        <v>17</v>
      </c>
      <c r="X2532" s="158"/>
      <c r="Y2532" s="164">
        <f t="shared" ca="1" si="172"/>
        <v>46290</v>
      </c>
      <c r="Z2532" s="207">
        <f t="shared" ca="1" si="173"/>
        <v>603</v>
      </c>
      <c r="AA2532" s="158">
        <f t="shared" si="174"/>
        <v>5</v>
      </c>
      <c r="AB2532" s="158">
        <f t="shared" si="171"/>
        <v>2028</v>
      </c>
      <c r="AC2532" s="159"/>
      <c r="AD2532" s="159"/>
      <c r="AE2532" s="158"/>
      <c r="AF2532" s="158" t="s">
        <v>356</v>
      </c>
      <c r="AG2532" s="160"/>
      <c r="AH2532" s="160"/>
      <c r="AI2532" s="158"/>
      <c r="AJ2532" s="158"/>
      <c r="AK2532" s="158"/>
      <c r="AL2532" s="158"/>
      <c r="AM2532" s="158"/>
      <c r="AN2532" s="158"/>
      <c r="AO2532" s="158"/>
      <c r="AP2532" s="158"/>
      <c r="AQ2532" s="158"/>
      <c r="AR2532" s="507"/>
      <c r="AS2532" s="475"/>
      <c r="AT2532" s="160"/>
    </row>
    <row r="2533" spans="1:46" ht="15" hidden="1" customHeight="1">
      <c r="A2533" s="331">
        <v>2532</v>
      </c>
      <c r="B2533" s="209" t="s">
        <v>11442</v>
      </c>
      <c r="C2533" s="159" t="s">
        <v>11516</v>
      </c>
      <c r="D2533" s="447" t="s">
        <v>9866</v>
      </c>
      <c r="E2533" s="361" t="str">
        <f t="shared" ca="1" si="170"/>
        <v>ON TRACK</v>
      </c>
      <c r="F2533" s="160"/>
      <c r="G2533" s="159" t="s">
        <v>11517</v>
      </c>
      <c r="H2533" s="160" t="s">
        <v>8588</v>
      </c>
      <c r="I2533" s="160" t="s">
        <v>511</v>
      </c>
      <c r="J2533" s="159" t="s">
        <v>11518</v>
      </c>
      <c r="K2533" s="160" t="s">
        <v>11519</v>
      </c>
      <c r="L2533" s="158"/>
      <c r="M2533" s="158" t="s">
        <v>8709</v>
      </c>
      <c r="N2533" s="158" t="s">
        <v>11506</v>
      </c>
      <c r="O2533" s="162"/>
      <c r="P2533" s="161">
        <f>4000000*12</f>
        <v>48000000</v>
      </c>
      <c r="Q2533" s="161"/>
      <c r="R2533" s="162"/>
      <c r="S2533" s="211"/>
      <c r="T2533" s="213">
        <v>0.15</v>
      </c>
      <c r="U2533" s="344">
        <v>46528</v>
      </c>
      <c r="V2533" s="340">
        <v>46893</v>
      </c>
      <c r="W2533" s="158" t="s">
        <v>17</v>
      </c>
      <c r="X2533" s="158"/>
      <c r="Y2533" s="164">
        <f t="shared" ca="1" si="172"/>
        <v>46290</v>
      </c>
      <c r="Z2533" s="207">
        <f t="shared" ca="1" si="173"/>
        <v>603</v>
      </c>
      <c r="AA2533" s="158">
        <f t="shared" si="174"/>
        <v>5</v>
      </c>
      <c r="AB2533" s="158">
        <f t="shared" si="171"/>
        <v>2028</v>
      </c>
      <c r="AC2533" s="159"/>
      <c r="AD2533" s="159"/>
      <c r="AE2533" s="158"/>
      <c r="AF2533" s="158" t="s">
        <v>356</v>
      </c>
      <c r="AG2533" s="160"/>
      <c r="AH2533" s="160"/>
      <c r="AI2533" s="158"/>
      <c r="AJ2533" s="158"/>
      <c r="AK2533" s="158"/>
      <c r="AL2533" s="158"/>
      <c r="AM2533" s="158"/>
      <c r="AN2533" s="158"/>
      <c r="AO2533" s="158"/>
      <c r="AP2533" s="158"/>
      <c r="AQ2533" s="158"/>
      <c r="AR2533" s="507"/>
      <c r="AS2533" s="475"/>
      <c r="AT2533" s="160"/>
    </row>
    <row r="2534" spans="1:46" ht="15" hidden="1" customHeight="1">
      <c r="A2534" s="331">
        <v>2533</v>
      </c>
      <c r="B2534" s="209" t="s">
        <v>11442</v>
      </c>
      <c r="C2534" s="159" t="s">
        <v>11520</v>
      </c>
      <c r="D2534" s="447" t="s">
        <v>9866</v>
      </c>
      <c r="E2534" s="361" t="str">
        <f t="shared" ca="1" si="170"/>
        <v>ON TRACK</v>
      </c>
      <c r="F2534" s="160"/>
      <c r="G2534" s="159" t="s">
        <v>11521</v>
      </c>
      <c r="H2534" s="160" t="s">
        <v>8588</v>
      </c>
      <c r="I2534" s="160" t="s">
        <v>511</v>
      </c>
      <c r="J2534" s="159"/>
      <c r="K2534" s="160" t="s">
        <v>11522</v>
      </c>
      <c r="L2534" s="158"/>
      <c r="M2534" s="158" t="s">
        <v>365</v>
      </c>
      <c r="N2534" s="158" t="s">
        <v>8337</v>
      </c>
      <c r="O2534" s="162"/>
      <c r="P2534" s="161">
        <f>29000000*12</f>
        <v>348000000</v>
      </c>
      <c r="Q2534" s="161"/>
      <c r="R2534" s="162"/>
      <c r="S2534" s="211"/>
      <c r="T2534" s="213">
        <v>0.15</v>
      </c>
      <c r="U2534" s="344">
        <v>46528</v>
      </c>
      <c r="V2534" s="340">
        <v>46893</v>
      </c>
      <c r="W2534" s="158" t="s">
        <v>17</v>
      </c>
      <c r="X2534" s="158"/>
      <c r="Y2534" s="164">
        <f t="shared" ca="1" si="172"/>
        <v>46290</v>
      </c>
      <c r="Z2534" s="207">
        <f t="shared" ca="1" si="173"/>
        <v>603</v>
      </c>
      <c r="AA2534" s="158">
        <f t="shared" si="174"/>
        <v>5</v>
      </c>
      <c r="AB2534" s="158">
        <f t="shared" si="171"/>
        <v>2028</v>
      </c>
      <c r="AC2534" s="159"/>
      <c r="AD2534" s="159"/>
      <c r="AE2534" s="158"/>
      <c r="AF2534" s="158" t="s">
        <v>356</v>
      </c>
      <c r="AG2534" s="160"/>
      <c r="AH2534" s="160"/>
      <c r="AI2534" s="158"/>
      <c r="AJ2534" s="158"/>
      <c r="AK2534" s="158"/>
      <c r="AL2534" s="158"/>
      <c r="AM2534" s="158"/>
      <c r="AN2534" s="158"/>
      <c r="AO2534" s="158"/>
      <c r="AP2534" s="158"/>
      <c r="AQ2534" s="158"/>
      <c r="AR2534" s="507"/>
      <c r="AS2534" s="475"/>
      <c r="AT2534" s="160"/>
    </row>
    <row r="2535" spans="1:46" ht="15" hidden="1" customHeight="1">
      <c r="A2535" s="331">
        <v>2534</v>
      </c>
      <c r="B2535" s="209" t="s">
        <v>11442</v>
      </c>
      <c r="C2535" s="159" t="s">
        <v>11523</v>
      </c>
      <c r="D2535" s="447" t="s">
        <v>9866</v>
      </c>
      <c r="E2535" s="361" t="str">
        <f t="shared" ca="1" si="170"/>
        <v>ON TRACK</v>
      </c>
      <c r="F2535" s="160" t="s">
        <v>11441</v>
      </c>
      <c r="G2535" s="159" t="s">
        <v>11524</v>
      </c>
      <c r="H2535" s="160" t="s">
        <v>8588</v>
      </c>
      <c r="I2535" s="160" t="s">
        <v>511</v>
      </c>
      <c r="J2535" s="159"/>
      <c r="K2535" s="160" t="s">
        <v>11525</v>
      </c>
      <c r="L2535" s="158"/>
      <c r="M2535" s="158" t="s">
        <v>7267</v>
      </c>
      <c r="N2535" s="158" t="s">
        <v>494</v>
      </c>
      <c r="O2535" s="162"/>
      <c r="P2535" s="161">
        <f>2500000*12</f>
        <v>30000000</v>
      </c>
      <c r="Q2535" s="161"/>
      <c r="R2535" s="162"/>
      <c r="S2535" s="163"/>
      <c r="T2535" s="213">
        <v>0.15</v>
      </c>
      <c r="U2535" s="344">
        <v>46528</v>
      </c>
      <c r="V2535" s="340">
        <v>46893</v>
      </c>
      <c r="W2535" s="158" t="s">
        <v>17</v>
      </c>
      <c r="X2535" s="158"/>
      <c r="Y2535" s="164">
        <f t="shared" ca="1" si="172"/>
        <v>46290</v>
      </c>
      <c r="Z2535" s="207">
        <f t="shared" ca="1" si="173"/>
        <v>603</v>
      </c>
      <c r="AA2535" s="158">
        <f t="shared" si="174"/>
        <v>5</v>
      </c>
      <c r="AB2535" s="158">
        <f t="shared" si="171"/>
        <v>2028</v>
      </c>
      <c r="AC2535" s="159"/>
      <c r="AD2535" s="159"/>
      <c r="AE2535" s="184"/>
      <c r="AF2535" s="158" t="s">
        <v>356</v>
      </c>
      <c r="AG2535" s="160"/>
      <c r="AH2535" s="160"/>
      <c r="AI2535" s="158"/>
      <c r="AJ2535" s="158"/>
      <c r="AK2535" s="158"/>
      <c r="AL2535" s="158"/>
      <c r="AM2535" s="158"/>
      <c r="AN2535" s="158"/>
      <c r="AO2535" s="158"/>
      <c r="AP2535" s="158"/>
      <c r="AQ2535" s="158"/>
      <c r="AR2535" s="507"/>
      <c r="AS2535" s="475"/>
      <c r="AT2535" s="160"/>
    </row>
    <row r="2536" spans="1:46" ht="15" hidden="1" customHeight="1">
      <c r="A2536" s="331">
        <v>2535</v>
      </c>
      <c r="B2536" s="209" t="s">
        <v>11442</v>
      </c>
      <c r="C2536" s="159" t="s">
        <v>11526</v>
      </c>
      <c r="D2536" s="447" t="s">
        <v>9866</v>
      </c>
      <c r="E2536" s="361" t="str">
        <f t="shared" ca="1" si="170"/>
        <v>ON TRACK</v>
      </c>
      <c r="F2536" s="160" t="s">
        <v>11527</v>
      </c>
      <c r="G2536" s="159" t="s">
        <v>11528</v>
      </c>
      <c r="H2536" s="160" t="s">
        <v>8588</v>
      </c>
      <c r="I2536" s="160" t="s">
        <v>511</v>
      </c>
      <c r="J2536" s="159"/>
      <c r="K2536" s="160" t="s">
        <v>11529</v>
      </c>
      <c r="L2536" s="158"/>
      <c r="M2536" s="158" t="s">
        <v>7267</v>
      </c>
      <c r="N2536" s="158" t="s">
        <v>7088</v>
      </c>
      <c r="O2536" s="162"/>
      <c r="P2536" s="161">
        <f>33000000*12</f>
        <v>396000000</v>
      </c>
      <c r="Q2536" s="161"/>
      <c r="R2536" s="162"/>
      <c r="S2536" s="163"/>
      <c r="T2536" s="213">
        <v>0.15</v>
      </c>
      <c r="U2536" s="344">
        <v>46528</v>
      </c>
      <c r="V2536" s="340">
        <v>46893</v>
      </c>
      <c r="W2536" s="158" t="s">
        <v>17</v>
      </c>
      <c r="X2536" s="158"/>
      <c r="Y2536" s="164">
        <f t="shared" ca="1" si="172"/>
        <v>46290</v>
      </c>
      <c r="Z2536" s="207">
        <f t="shared" ca="1" si="173"/>
        <v>603</v>
      </c>
      <c r="AA2536" s="158">
        <f t="shared" si="174"/>
        <v>5</v>
      </c>
      <c r="AB2536" s="158">
        <f t="shared" si="171"/>
        <v>2028</v>
      </c>
      <c r="AC2536" s="159"/>
      <c r="AD2536" s="159"/>
      <c r="AE2536" s="184"/>
      <c r="AF2536" s="158" t="s">
        <v>356</v>
      </c>
      <c r="AG2536" s="160"/>
      <c r="AH2536" s="160"/>
      <c r="AI2536" s="158"/>
      <c r="AJ2536" s="158"/>
      <c r="AK2536" s="158"/>
      <c r="AL2536" s="158"/>
      <c r="AM2536" s="158"/>
      <c r="AN2536" s="158"/>
      <c r="AO2536" s="158"/>
      <c r="AP2536" s="158"/>
      <c r="AQ2536" s="158"/>
      <c r="AR2536" s="507"/>
      <c r="AS2536" s="475"/>
      <c r="AT2536" s="160"/>
    </row>
    <row r="2537" spans="1:46" ht="15" hidden="1" customHeight="1">
      <c r="A2537" s="331">
        <v>2536</v>
      </c>
      <c r="B2537" s="209" t="s">
        <v>11442</v>
      </c>
      <c r="C2537" s="159" t="s">
        <v>3765</v>
      </c>
      <c r="D2537" s="447" t="s">
        <v>9866</v>
      </c>
      <c r="E2537" s="361" t="str">
        <f t="shared" ca="1" si="170"/>
        <v>ON TRACK</v>
      </c>
      <c r="F2537" s="160" t="s">
        <v>10996</v>
      </c>
      <c r="G2537" s="159" t="s">
        <v>11530</v>
      </c>
      <c r="H2537" s="160" t="s">
        <v>8588</v>
      </c>
      <c r="I2537" s="160" t="s">
        <v>511</v>
      </c>
      <c r="J2537" s="159"/>
      <c r="K2537" s="181" t="s">
        <v>11531</v>
      </c>
      <c r="L2537" s="158"/>
      <c r="M2537" s="158" t="s">
        <v>7267</v>
      </c>
      <c r="N2537" s="158" t="s">
        <v>6649</v>
      </c>
      <c r="O2537" s="162"/>
      <c r="P2537" s="161">
        <f>5400000*12</f>
        <v>64800000</v>
      </c>
      <c r="Q2537" s="161"/>
      <c r="R2537" s="162"/>
      <c r="S2537" s="163"/>
      <c r="T2537" s="213">
        <v>0.15</v>
      </c>
      <c r="U2537" s="344">
        <v>46528</v>
      </c>
      <c r="V2537" s="340">
        <v>46893</v>
      </c>
      <c r="W2537" s="158" t="s">
        <v>17</v>
      </c>
      <c r="X2537" s="158"/>
      <c r="Y2537" s="164">
        <f t="shared" ca="1" si="172"/>
        <v>46290</v>
      </c>
      <c r="Z2537" s="207">
        <f t="shared" ca="1" si="173"/>
        <v>603</v>
      </c>
      <c r="AA2537" s="158">
        <f t="shared" si="174"/>
        <v>5</v>
      </c>
      <c r="AB2537" s="158">
        <f t="shared" si="171"/>
        <v>2028</v>
      </c>
      <c r="AC2537" s="159"/>
      <c r="AD2537" s="159"/>
      <c r="AE2537" s="184"/>
      <c r="AF2537" s="158" t="s">
        <v>356</v>
      </c>
      <c r="AG2537" s="160"/>
      <c r="AH2537" s="160"/>
      <c r="AI2537" s="158"/>
      <c r="AJ2537" s="158"/>
      <c r="AK2537" s="158"/>
      <c r="AL2537" s="158"/>
      <c r="AM2537" s="158"/>
      <c r="AN2537" s="158"/>
      <c r="AO2537" s="158"/>
      <c r="AP2537" s="158"/>
      <c r="AQ2537" s="158"/>
      <c r="AR2537" s="507"/>
      <c r="AS2537" s="475"/>
      <c r="AT2537" s="160"/>
    </row>
    <row r="2538" spans="1:46" ht="15" hidden="1" customHeight="1">
      <c r="A2538" s="331">
        <v>2537</v>
      </c>
      <c r="B2538" s="209" t="s">
        <v>11442</v>
      </c>
      <c r="C2538" s="159" t="s">
        <v>3765</v>
      </c>
      <c r="D2538" s="447" t="s">
        <v>9866</v>
      </c>
      <c r="E2538" s="361" t="str">
        <f t="shared" ca="1" si="170"/>
        <v>ON TRACK</v>
      </c>
      <c r="F2538" s="160" t="s">
        <v>10996</v>
      </c>
      <c r="G2538" s="159" t="s">
        <v>11532</v>
      </c>
      <c r="H2538" s="160" t="s">
        <v>8588</v>
      </c>
      <c r="I2538" s="160" t="s">
        <v>511</v>
      </c>
      <c r="J2538" s="159"/>
      <c r="K2538" s="181" t="s">
        <v>11533</v>
      </c>
      <c r="L2538" s="158"/>
      <c r="M2538" s="158" t="s">
        <v>11534</v>
      </c>
      <c r="N2538" s="158" t="s">
        <v>494</v>
      </c>
      <c r="O2538" s="162"/>
      <c r="P2538" s="161">
        <f>6412500*12</f>
        <v>76950000</v>
      </c>
      <c r="Q2538" s="161"/>
      <c r="R2538" s="162"/>
      <c r="S2538" s="163"/>
      <c r="T2538" s="213">
        <v>0.15</v>
      </c>
      <c r="U2538" s="344">
        <v>46528</v>
      </c>
      <c r="V2538" s="340">
        <v>46893</v>
      </c>
      <c r="W2538" s="158" t="s">
        <v>17</v>
      </c>
      <c r="X2538" s="158"/>
      <c r="Y2538" s="164">
        <f t="shared" ca="1" si="172"/>
        <v>46290</v>
      </c>
      <c r="Z2538" s="207">
        <f t="shared" ca="1" si="173"/>
        <v>603</v>
      </c>
      <c r="AA2538" s="158">
        <f t="shared" si="174"/>
        <v>5</v>
      </c>
      <c r="AB2538" s="158">
        <f t="shared" si="171"/>
        <v>2028</v>
      </c>
      <c r="AC2538" s="159"/>
      <c r="AD2538" s="159"/>
      <c r="AE2538" s="184"/>
      <c r="AF2538" s="158" t="s">
        <v>356</v>
      </c>
      <c r="AG2538" s="160"/>
      <c r="AH2538" s="160"/>
      <c r="AI2538" s="158"/>
      <c r="AJ2538" s="158"/>
      <c r="AK2538" s="158"/>
      <c r="AL2538" s="158"/>
      <c r="AM2538" s="158"/>
      <c r="AN2538" s="158"/>
      <c r="AO2538" s="158"/>
      <c r="AP2538" s="158"/>
      <c r="AQ2538" s="158"/>
      <c r="AR2538" s="507"/>
      <c r="AS2538" s="475"/>
      <c r="AT2538" s="160"/>
    </row>
    <row r="2539" spans="1:46" ht="15" hidden="1" customHeight="1">
      <c r="A2539" s="331">
        <v>2538</v>
      </c>
      <c r="B2539" s="209" t="s">
        <v>11442</v>
      </c>
      <c r="C2539" s="159" t="s">
        <v>11535</v>
      </c>
      <c r="D2539" s="447" t="s">
        <v>9866</v>
      </c>
      <c r="E2539" s="361" t="str">
        <f t="shared" ca="1" si="170"/>
        <v>ON TRACK</v>
      </c>
      <c r="F2539" s="160" t="s">
        <v>11441</v>
      </c>
      <c r="G2539" s="159" t="s">
        <v>11536</v>
      </c>
      <c r="H2539" s="160" t="s">
        <v>8588</v>
      </c>
      <c r="I2539" s="160" t="s">
        <v>511</v>
      </c>
      <c r="J2539" s="159"/>
      <c r="K2539" s="181" t="s">
        <v>11537</v>
      </c>
      <c r="L2539" s="158"/>
      <c r="M2539" s="158" t="s">
        <v>7267</v>
      </c>
      <c r="N2539" s="158" t="s">
        <v>6949</v>
      </c>
      <c r="O2539" s="162"/>
      <c r="P2539" s="161">
        <f>5300000*12</f>
        <v>63600000</v>
      </c>
      <c r="Q2539" s="161"/>
      <c r="R2539" s="162"/>
      <c r="S2539" s="163"/>
      <c r="T2539" s="213">
        <v>0.15</v>
      </c>
      <c r="U2539" s="344">
        <v>46528</v>
      </c>
      <c r="V2539" s="340">
        <v>46893</v>
      </c>
      <c r="W2539" s="158" t="s">
        <v>17</v>
      </c>
      <c r="X2539" s="158"/>
      <c r="Y2539" s="164">
        <f t="shared" ca="1" si="172"/>
        <v>46290</v>
      </c>
      <c r="Z2539" s="207">
        <f t="shared" ca="1" si="173"/>
        <v>603</v>
      </c>
      <c r="AA2539" s="158">
        <f t="shared" si="174"/>
        <v>5</v>
      </c>
      <c r="AB2539" s="158">
        <f t="shared" si="171"/>
        <v>2028</v>
      </c>
      <c r="AC2539" s="159"/>
      <c r="AD2539" s="159"/>
      <c r="AE2539" s="184"/>
      <c r="AF2539" s="158" t="s">
        <v>356</v>
      </c>
      <c r="AG2539" s="160"/>
      <c r="AH2539" s="160"/>
      <c r="AI2539" s="158"/>
      <c r="AJ2539" s="158"/>
      <c r="AK2539" s="158"/>
      <c r="AL2539" s="158"/>
      <c r="AM2539" s="158"/>
      <c r="AN2539" s="158"/>
      <c r="AO2539" s="158"/>
      <c r="AP2539" s="158"/>
      <c r="AQ2539" s="158"/>
      <c r="AR2539" s="507"/>
      <c r="AS2539" s="475"/>
      <c r="AT2539" s="160"/>
    </row>
    <row r="2540" spans="1:46" ht="15" hidden="1" customHeight="1">
      <c r="A2540" s="331">
        <v>2539</v>
      </c>
      <c r="B2540" s="209" t="s">
        <v>11442</v>
      </c>
      <c r="C2540" s="159" t="s">
        <v>11538</v>
      </c>
      <c r="D2540" s="447" t="s">
        <v>9866</v>
      </c>
      <c r="E2540" s="361" t="str">
        <f t="shared" ca="1" si="170"/>
        <v>ON TRACK</v>
      </c>
      <c r="F2540" s="160" t="s">
        <v>11441</v>
      </c>
      <c r="G2540" s="159" t="s">
        <v>11539</v>
      </c>
      <c r="H2540" s="160" t="s">
        <v>8588</v>
      </c>
      <c r="I2540" s="160" t="s">
        <v>511</v>
      </c>
      <c r="J2540" s="159"/>
      <c r="K2540" s="181" t="s">
        <v>11540</v>
      </c>
      <c r="L2540" s="158"/>
      <c r="M2540" s="158" t="s">
        <v>11541</v>
      </c>
      <c r="N2540" s="158" t="s">
        <v>494</v>
      </c>
      <c r="O2540" s="162"/>
      <c r="P2540" s="161">
        <f>6000000*12</f>
        <v>72000000</v>
      </c>
      <c r="Q2540" s="161"/>
      <c r="R2540" s="162"/>
      <c r="S2540" s="163"/>
      <c r="T2540" s="213">
        <v>0.15</v>
      </c>
      <c r="U2540" s="344">
        <v>46528</v>
      </c>
      <c r="V2540" s="340">
        <v>46893</v>
      </c>
      <c r="W2540" s="158" t="s">
        <v>17</v>
      </c>
      <c r="X2540" s="158"/>
      <c r="Y2540" s="164">
        <f t="shared" ca="1" si="172"/>
        <v>46290</v>
      </c>
      <c r="Z2540" s="207">
        <f t="shared" ca="1" si="173"/>
        <v>603</v>
      </c>
      <c r="AA2540" s="158">
        <f t="shared" si="174"/>
        <v>5</v>
      </c>
      <c r="AB2540" s="158">
        <f t="shared" si="171"/>
        <v>2028</v>
      </c>
      <c r="AC2540" s="159"/>
      <c r="AD2540" s="159"/>
      <c r="AE2540" s="184"/>
      <c r="AF2540" s="158" t="s">
        <v>356</v>
      </c>
      <c r="AG2540" s="160"/>
      <c r="AH2540" s="160"/>
      <c r="AI2540" s="158"/>
      <c r="AJ2540" s="158"/>
      <c r="AK2540" s="158"/>
      <c r="AL2540" s="158"/>
      <c r="AM2540" s="158"/>
      <c r="AN2540" s="158"/>
      <c r="AO2540" s="158"/>
      <c r="AP2540" s="158"/>
      <c r="AQ2540" s="158"/>
      <c r="AR2540" s="507"/>
      <c r="AS2540" s="475"/>
      <c r="AT2540" s="160"/>
    </row>
    <row r="2541" spans="1:46" ht="15" hidden="1" customHeight="1">
      <c r="A2541" s="331">
        <v>2540</v>
      </c>
      <c r="B2541" s="209" t="s">
        <v>11442</v>
      </c>
      <c r="C2541" s="159" t="s">
        <v>11542</v>
      </c>
      <c r="D2541" s="447" t="s">
        <v>9866</v>
      </c>
      <c r="E2541" s="361" t="str">
        <f t="shared" ca="1" si="170"/>
        <v>ON TRACK</v>
      </c>
      <c r="F2541" s="160" t="s">
        <v>11441</v>
      </c>
      <c r="G2541" s="159" t="s">
        <v>11543</v>
      </c>
      <c r="H2541" s="160" t="s">
        <v>8588</v>
      </c>
      <c r="I2541" s="160" t="s">
        <v>511</v>
      </c>
      <c r="J2541" s="159"/>
      <c r="K2541" s="181" t="s">
        <v>11544</v>
      </c>
      <c r="L2541" s="158"/>
      <c r="M2541" s="158" t="s">
        <v>6788</v>
      </c>
      <c r="N2541" s="158" t="s">
        <v>6835</v>
      </c>
      <c r="O2541" s="162"/>
      <c r="P2541" s="161">
        <f>1620750*12</f>
        <v>19449000</v>
      </c>
      <c r="Q2541" s="161"/>
      <c r="R2541" s="162"/>
      <c r="S2541" s="163"/>
      <c r="T2541" s="213">
        <v>0.15</v>
      </c>
      <c r="U2541" s="344">
        <v>46528</v>
      </c>
      <c r="V2541" s="340">
        <v>46893</v>
      </c>
      <c r="W2541" s="158" t="s">
        <v>17</v>
      </c>
      <c r="X2541" s="158"/>
      <c r="Y2541" s="164">
        <f t="shared" ca="1" si="172"/>
        <v>46290</v>
      </c>
      <c r="Z2541" s="207">
        <f t="shared" ca="1" si="173"/>
        <v>603</v>
      </c>
      <c r="AA2541" s="158">
        <f t="shared" si="174"/>
        <v>5</v>
      </c>
      <c r="AB2541" s="158">
        <f t="shared" si="171"/>
        <v>2028</v>
      </c>
      <c r="AC2541" s="159"/>
      <c r="AD2541" s="159"/>
      <c r="AE2541" s="184"/>
      <c r="AF2541" s="158" t="s">
        <v>356</v>
      </c>
      <c r="AG2541" s="160"/>
      <c r="AH2541" s="160"/>
      <c r="AI2541" s="158"/>
      <c r="AJ2541" s="158"/>
      <c r="AK2541" s="158"/>
      <c r="AL2541" s="158"/>
      <c r="AM2541" s="158"/>
      <c r="AN2541" s="158"/>
      <c r="AO2541" s="158"/>
      <c r="AP2541" s="158"/>
      <c r="AQ2541" s="158"/>
      <c r="AR2541" s="507"/>
      <c r="AS2541" s="475"/>
      <c r="AT2541" s="160"/>
    </row>
    <row r="2542" spans="1:46" ht="15" hidden="1" customHeight="1">
      <c r="A2542" s="331">
        <v>2541</v>
      </c>
      <c r="B2542" s="209" t="s">
        <v>11442</v>
      </c>
      <c r="C2542" s="159" t="s">
        <v>11545</v>
      </c>
      <c r="D2542" s="447" t="s">
        <v>9866</v>
      </c>
      <c r="E2542" s="361" t="str">
        <f t="shared" ca="1" si="170"/>
        <v>ON TRACK</v>
      </c>
      <c r="F2542" s="160" t="s">
        <v>11441</v>
      </c>
      <c r="G2542" s="159" t="s">
        <v>11546</v>
      </c>
      <c r="H2542" s="160" t="s">
        <v>8588</v>
      </c>
      <c r="I2542" s="160" t="s">
        <v>511</v>
      </c>
      <c r="J2542" s="159"/>
      <c r="K2542" s="160" t="s">
        <v>11547</v>
      </c>
      <c r="L2542" s="158"/>
      <c r="M2542" s="158" t="s">
        <v>7267</v>
      </c>
      <c r="N2542" s="158" t="s">
        <v>362</v>
      </c>
      <c r="O2542" s="162"/>
      <c r="P2542" s="161">
        <f>8000000*12</f>
        <v>96000000</v>
      </c>
      <c r="Q2542" s="161"/>
      <c r="R2542" s="162"/>
      <c r="S2542" s="163"/>
      <c r="T2542" s="213">
        <v>0.15</v>
      </c>
      <c r="U2542" s="344">
        <v>46528</v>
      </c>
      <c r="V2542" s="340">
        <v>46893</v>
      </c>
      <c r="W2542" s="158" t="s">
        <v>17</v>
      </c>
      <c r="X2542" s="158"/>
      <c r="Y2542" s="164">
        <f t="shared" ca="1" si="172"/>
        <v>46290</v>
      </c>
      <c r="Z2542" s="207">
        <f t="shared" ca="1" si="173"/>
        <v>603</v>
      </c>
      <c r="AA2542" s="158">
        <f t="shared" si="174"/>
        <v>5</v>
      </c>
      <c r="AB2542" s="158">
        <f t="shared" si="171"/>
        <v>2028</v>
      </c>
      <c r="AC2542" s="159"/>
      <c r="AD2542" s="159"/>
      <c r="AE2542" s="184"/>
      <c r="AF2542" s="158" t="s">
        <v>356</v>
      </c>
      <c r="AG2542" s="160"/>
      <c r="AH2542" s="160"/>
      <c r="AI2542" s="158"/>
      <c r="AJ2542" s="158"/>
      <c r="AK2542" s="158"/>
      <c r="AL2542" s="158"/>
      <c r="AM2542" s="158"/>
      <c r="AN2542" s="158"/>
      <c r="AO2542" s="158"/>
      <c r="AP2542" s="158"/>
      <c r="AQ2542" s="158"/>
      <c r="AR2542" s="507"/>
      <c r="AS2542" s="475"/>
      <c r="AT2542" s="160"/>
    </row>
    <row r="2543" spans="1:46" ht="15" hidden="1" customHeight="1">
      <c r="A2543" s="331">
        <v>2542</v>
      </c>
      <c r="B2543" s="209" t="s">
        <v>11442</v>
      </c>
      <c r="C2543" s="159" t="s">
        <v>11548</v>
      </c>
      <c r="D2543" s="447" t="s">
        <v>9866</v>
      </c>
      <c r="E2543" s="361" t="str">
        <f t="shared" ca="1" si="170"/>
        <v>ON TRACK</v>
      </c>
      <c r="F2543" s="160" t="s">
        <v>11549</v>
      </c>
      <c r="G2543" s="159" t="s">
        <v>11550</v>
      </c>
      <c r="H2543" s="160" t="s">
        <v>8588</v>
      </c>
      <c r="I2543" s="160" t="s">
        <v>511</v>
      </c>
      <c r="J2543" s="159"/>
      <c r="K2543" s="181" t="s">
        <v>11551</v>
      </c>
      <c r="L2543" s="158"/>
      <c r="M2543" s="158" t="s">
        <v>11552</v>
      </c>
      <c r="N2543" s="158" t="s">
        <v>494</v>
      </c>
      <c r="O2543" s="162"/>
      <c r="P2543" s="161">
        <f>4850000*12</f>
        <v>58200000</v>
      </c>
      <c r="Q2543" s="161"/>
      <c r="R2543" s="162"/>
      <c r="S2543" s="163"/>
      <c r="T2543" s="213">
        <v>0.15</v>
      </c>
      <c r="U2543" s="344">
        <v>46528</v>
      </c>
      <c r="V2543" s="340">
        <v>46893</v>
      </c>
      <c r="W2543" s="158" t="s">
        <v>17</v>
      </c>
      <c r="X2543" s="158"/>
      <c r="Y2543" s="164">
        <f t="shared" ca="1" si="172"/>
        <v>46290</v>
      </c>
      <c r="Z2543" s="207">
        <f t="shared" ca="1" si="173"/>
        <v>603</v>
      </c>
      <c r="AA2543" s="158">
        <f t="shared" si="174"/>
        <v>5</v>
      </c>
      <c r="AB2543" s="158">
        <f t="shared" si="171"/>
        <v>2028</v>
      </c>
      <c r="AC2543" s="159"/>
      <c r="AD2543" s="159"/>
      <c r="AE2543" s="184"/>
      <c r="AF2543" s="158" t="s">
        <v>356</v>
      </c>
      <c r="AG2543" s="160"/>
      <c r="AH2543" s="160"/>
      <c r="AI2543" s="158"/>
      <c r="AJ2543" s="158"/>
      <c r="AK2543" s="158"/>
      <c r="AL2543" s="158"/>
      <c r="AM2543" s="158"/>
      <c r="AN2543" s="158"/>
      <c r="AO2543" s="158"/>
      <c r="AP2543" s="158"/>
      <c r="AQ2543" s="158"/>
      <c r="AR2543" s="507"/>
      <c r="AS2543" s="475"/>
      <c r="AT2543" s="160"/>
    </row>
    <row r="2544" spans="1:46" ht="15" hidden="1" customHeight="1">
      <c r="A2544" s="331">
        <v>2543</v>
      </c>
      <c r="B2544" s="159" t="s">
        <v>11553</v>
      </c>
      <c r="C2544" s="159" t="s">
        <v>704</v>
      </c>
      <c r="D2544" s="447" t="s">
        <v>9866</v>
      </c>
      <c r="E2544" s="361" t="str">
        <f t="shared" ca="1" si="170"/>
        <v>LOSS</v>
      </c>
      <c r="F2544" s="160"/>
      <c r="G2544" s="159" t="s">
        <v>11554</v>
      </c>
      <c r="H2544" s="160" t="s">
        <v>8588</v>
      </c>
      <c r="I2544" s="160" t="s">
        <v>511</v>
      </c>
      <c r="J2544" s="159"/>
      <c r="K2544" s="205" t="s">
        <v>11555</v>
      </c>
      <c r="L2544" s="158"/>
      <c r="M2544" s="158" t="s">
        <v>365</v>
      </c>
      <c r="N2544" s="160"/>
      <c r="O2544" s="162"/>
      <c r="P2544" s="161">
        <v>132000000</v>
      </c>
      <c r="Q2544" s="161"/>
      <c r="R2544" s="162"/>
      <c r="S2544" s="211"/>
      <c r="T2544" s="213">
        <v>0.12</v>
      </c>
      <c r="U2544" s="341">
        <v>45595</v>
      </c>
      <c r="V2544" s="340">
        <v>45959</v>
      </c>
      <c r="W2544" s="158" t="s">
        <v>250</v>
      </c>
      <c r="X2544" s="158"/>
      <c r="Y2544" s="164">
        <f t="shared" ca="1" si="172"/>
        <v>46290</v>
      </c>
      <c r="Z2544" s="207">
        <f t="shared" ca="1" si="173"/>
        <v>-331</v>
      </c>
      <c r="AA2544" s="158">
        <f t="shared" si="174"/>
        <v>10</v>
      </c>
      <c r="AB2544" s="158">
        <f t="shared" si="171"/>
        <v>2025</v>
      </c>
      <c r="AC2544" s="159"/>
      <c r="AD2544" s="159"/>
      <c r="AE2544" s="158"/>
      <c r="AF2544" s="158" t="s">
        <v>356</v>
      </c>
      <c r="AG2544" s="160"/>
      <c r="AH2544" s="160"/>
      <c r="AI2544" s="158"/>
      <c r="AJ2544" s="158"/>
      <c r="AK2544" s="158"/>
      <c r="AL2544" s="158"/>
      <c r="AM2544" s="158"/>
      <c r="AN2544" s="158"/>
      <c r="AO2544" s="158"/>
      <c r="AP2544" s="158"/>
      <c r="AQ2544" s="158"/>
      <c r="AR2544" s="507"/>
      <c r="AS2544" s="475"/>
      <c r="AT2544" s="160"/>
    </row>
    <row r="2545" spans="1:46" ht="15" hidden="1" customHeight="1">
      <c r="A2545" s="331">
        <v>2544</v>
      </c>
      <c r="B2545" s="209" t="s">
        <v>11553</v>
      </c>
      <c r="C2545" s="209" t="s">
        <v>11556</v>
      </c>
      <c r="D2545" s="437" t="s">
        <v>11557</v>
      </c>
      <c r="E2545" s="361" t="str">
        <f t="shared" ca="1" si="170"/>
        <v>LOSS</v>
      </c>
      <c r="F2545" s="160"/>
      <c r="G2545" s="209" t="s">
        <v>11554</v>
      </c>
      <c r="H2545" s="160" t="s">
        <v>8588</v>
      </c>
      <c r="I2545" s="160" t="s">
        <v>511</v>
      </c>
      <c r="J2545" s="159"/>
      <c r="K2545" s="205" t="s">
        <v>11558</v>
      </c>
      <c r="L2545" s="158"/>
      <c r="M2545" s="208" t="s">
        <v>329</v>
      </c>
      <c r="N2545" s="160"/>
      <c r="O2545" s="162"/>
      <c r="P2545" s="161">
        <v>228000000</v>
      </c>
      <c r="Q2545" s="161"/>
      <c r="R2545" s="162"/>
      <c r="S2545" s="211"/>
      <c r="T2545" s="213">
        <v>0.12</v>
      </c>
      <c r="U2545" s="341">
        <v>45595</v>
      </c>
      <c r="V2545" s="340">
        <v>45959</v>
      </c>
      <c r="W2545" s="158" t="s">
        <v>250</v>
      </c>
      <c r="X2545" s="158"/>
      <c r="Y2545" s="164">
        <f t="shared" ca="1" si="172"/>
        <v>46290</v>
      </c>
      <c r="Z2545" s="207">
        <f t="shared" ca="1" si="173"/>
        <v>-331</v>
      </c>
      <c r="AA2545" s="158">
        <f t="shared" si="174"/>
        <v>10</v>
      </c>
      <c r="AB2545" s="158">
        <f t="shared" si="171"/>
        <v>2025</v>
      </c>
      <c r="AC2545" s="159"/>
      <c r="AD2545" s="159"/>
      <c r="AE2545" s="158"/>
      <c r="AF2545" s="158" t="s">
        <v>356</v>
      </c>
      <c r="AG2545" s="160"/>
      <c r="AH2545" s="160"/>
      <c r="AI2545" s="158"/>
      <c r="AJ2545" s="158"/>
      <c r="AK2545" s="158"/>
      <c r="AL2545" s="158"/>
      <c r="AM2545" s="158"/>
      <c r="AN2545" s="158"/>
      <c r="AO2545" s="158"/>
      <c r="AP2545" s="158"/>
      <c r="AQ2545" s="158"/>
      <c r="AR2545" s="507"/>
      <c r="AS2545" s="475"/>
      <c r="AT2545" s="160"/>
    </row>
    <row r="2546" spans="1:46" ht="15" hidden="1" customHeight="1">
      <c r="A2546" s="331">
        <v>2545</v>
      </c>
      <c r="B2546" s="159" t="s">
        <v>11553</v>
      </c>
      <c r="C2546" s="159" t="s">
        <v>704</v>
      </c>
      <c r="D2546" s="447" t="s">
        <v>11557</v>
      </c>
      <c r="E2546" s="361" t="str">
        <f t="shared" ca="1" si="170"/>
        <v>ATTENTION</v>
      </c>
      <c r="F2546" s="160"/>
      <c r="G2546" s="159" t="s">
        <v>11554</v>
      </c>
      <c r="H2546" s="160" t="s">
        <v>8588</v>
      </c>
      <c r="I2546" s="160" t="s">
        <v>511</v>
      </c>
      <c r="J2546" s="159"/>
      <c r="K2546" s="205" t="s">
        <v>11555</v>
      </c>
      <c r="L2546" s="158"/>
      <c r="M2546" s="158" t="s">
        <v>365</v>
      </c>
      <c r="N2546" s="160"/>
      <c r="O2546" s="162"/>
      <c r="P2546" s="161">
        <v>132000000</v>
      </c>
      <c r="Q2546" s="161"/>
      <c r="R2546" s="162"/>
      <c r="S2546" s="211"/>
      <c r="T2546" s="213">
        <v>0.12</v>
      </c>
      <c r="U2546" s="341">
        <v>45960</v>
      </c>
      <c r="V2546" s="340">
        <v>46324</v>
      </c>
      <c r="W2546" s="158" t="s">
        <v>17</v>
      </c>
      <c r="X2546" s="158"/>
      <c r="Y2546" s="164">
        <f t="shared" ca="1" si="172"/>
        <v>46290</v>
      </c>
      <c r="Z2546" s="207">
        <f t="shared" ca="1" si="173"/>
        <v>34</v>
      </c>
      <c r="AA2546" s="158">
        <f t="shared" si="174"/>
        <v>10</v>
      </c>
      <c r="AB2546" s="158">
        <f t="shared" si="171"/>
        <v>2026</v>
      </c>
      <c r="AC2546" s="159"/>
      <c r="AD2546" s="159"/>
      <c r="AE2546" s="158"/>
      <c r="AF2546" s="158" t="s">
        <v>356</v>
      </c>
      <c r="AG2546" s="160"/>
      <c r="AH2546" s="160"/>
      <c r="AI2546" s="158"/>
      <c r="AJ2546" s="158"/>
      <c r="AK2546" s="158"/>
      <c r="AL2546" s="158"/>
      <c r="AM2546" s="158"/>
      <c r="AN2546" s="158"/>
      <c r="AO2546" s="158"/>
      <c r="AP2546" s="158"/>
      <c r="AQ2546" s="158"/>
      <c r="AR2546" s="507"/>
      <c r="AS2546" s="475"/>
      <c r="AT2546" s="160"/>
    </row>
    <row r="2547" spans="1:46" ht="15" hidden="1" customHeight="1">
      <c r="A2547" s="331">
        <v>2546</v>
      </c>
      <c r="B2547" s="209" t="s">
        <v>11553</v>
      </c>
      <c r="C2547" s="209" t="s">
        <v>11556</v>
      </c>
      <c r="D2547" s="437" t="s">
        <v>11557</v>
      </c>
      <c r="E2547" s="361" t="str">
        <f t="shared" ca="1" si="170"/>
        <v>ATTENTION</v>
      </c>
      <c r="F2547" s="160"/>
      <c r="G2547" s="209" t="s">
        <v>11554</v>
      </c>
      <c r="H2547" s="160" t="s">
        <v>8588</v>
      </c>
      <c r="I2547" s="160" t="s">
        <v>511</v>
      </c>
      <c r="J2547" s="159"/>
      <c r="K2547" s="205" t="s">
        <v>11558</v>
      </c>
      <c r="L2547" s="158"/>
      <c r="M2547" s="208" t="s">
        <v>329</v>
      </c>
      <c r="N2547" s="160"/>
      <c r="O2547" s="162"/>
      <c r="P2547" s="161">
        <v>228000000</v>
      </c>
      <c r="Q2547" s="161"/>
      <c r="R2547" s="162"/>
      <c r="S2547" s="211"/>
      <c r="T2547" s="213">
        <v>0.12</v>
      </c>
      <c r="U2547" s="341">
        <v>45960</v>
      </c>
      <c r="V2547" s="340">
        <v>46324</v>
      </c>
      <c r="W2547" s="158" t="s">
        <v>17</v>
      </c>
      <c r="X2547" s="158"/>
      <c r="Y2547" s="164">
        <f t="shared" ca="1" si="172"/>
        <v>46290</v>
      </c>
      <c r="Z2547" s="207">
        <f t="shared" ca="1" si="173"/>
        <v>34</v>
      </c>
      <c r="AA2547" s="158">
        <f t="shared" si="174"/>
        <v>10</v>
      </c>
      <c r="AB2547" s="158">
        <f t="shared" si="171"/>
        <v>2026</v>
      </c>
      <c r="AC2547" s="159"/>
      <c r="AD2547" s="159"/>
      <c r="AE2547" s="158"/>
      <c r="AF2547" s="158" t="s">
        <v>356</v>
      </c>
      <c r="AG2547" s="160"/>
      <c r="AH2547" s="160"/>
      <c r="AI2547" s="158"/>
      <c r="AJ2547" s="158"/>
      <c r="AK2547" s="158"/>
      <c r="AL2547" s="158"/>
      <c r="AM2547" s="158"/>
      <c r="AN2547" s="158"/>
      <c r="AO2547" s="158"/>
      <c r="AP2547" s="158"/>
      <c r="AQ2547" s="158"/>
      <c r="AR2547" s="507"/>
      <c r="AS2547" s="475"/>
      <c r="AT2547" s="160"/>
    </row>
    <row r="2548" spans="1:46" ht="15" hidden="1" customHeight="1">
      <c r="A2548" s="331">
        <v>2547</v>
      </c>
      <c r="B2548" s="159" t="s">
        <v>11553</v>
      </c>
      <c r="C2548" s="159" t="s">
        <v>704</v>
      </c>
      <c r="D2548" s="447" t="s">
        <v>11557</v>
      </c>
      <c r="E2548" s="361" t="str">
        <f t="shared" ca="1" si="170"/>
        <v>ON TRACK</v>
      </c>
      <c r="F2548" s="160"/>
      <c r="G2548" s="159" t="s">
        <v>11554</v>
      </c>
      <c r="H2548" s="160" t="s">
        <v>8588</v>
      </c>
      <c r="I2548" s="160" t="s">
        <v>511</v>
      </c>
      <c r="J2548" s="159"/>
      <c r="K2548" s="205" t="s">
        <v>11555</v>
      </c>
      <c r="L2548" s="158"/>
      <c r="M2548" s="158" t="s">
        <v>365</v>
      </c>
      <c r="N2548" s="160"/>
      <c r="O2548" s="162"/>
      <c r="P2548" s="161">
        <v>132000000</v>
      </c>
      <c r="Q2548" s="161"/>
      <c r="R2548" s="162"/>
      <c r="S2548" s="211"/>
      <c r="T2548" s="213">
        <v>0.12</v>
      </c>
      <c r="U2548" s="341">
        <v>46305</v>
      </c>
      <c r="V2548" s="340">
        <v>46689</v>
      </c>
      <c r="W2548" s="158" t="s">
        <v>17</v>
      </c>
      <c r="X2548" s="158"/>
      <c r="Y2548" s="164">
        <f t="shared" ca="1" si="172"/>
        <v>46290</v>
      </c>
      <c r="Z2548" s="207">
        <f t="shared" ca="1" si="173"/>
        <v>399</v>
      </c>
      <c r="AA2548" s="158">
        <f t="shared" si="174"/>
        <v>10</v>
      </c>
      <c r="AB2548" s="158">
        <f t="shared" si="171"/>
        <v>2027</v>
      </c>
      <c r="AC2548" s="159"/>
      <c r="AD2548" s="159"/>
      <c r="AE2548" s="158"/>
      <c r="AF2548" s="158" t="s">
        <v>356</v>
      </c>
      <c r="AG2548" s="160"/>
      <c r="AH2548" s="160"/>
      <c r="AI2548" s="158"/>
      <c r="AJ2548" s="158"/>
      <c r="AK2548" s="158"/>
      <c r="AL2548" s="158"/>
      <c r="AM2548" s="158"/>
      <c r="AN2548" s="158"/>
      <c r="AO2548" s="158"/>
      <c r="AP2548" s="158"/>
      <c r="AQ2548" s="158"/>
      <c r="AR2548" s="507"/>
      <c r="AS2548" s="475"/>
      <c r="AT2548" s="160"/>
    </row>
    <row r="2549" spans="1:46" ht="15" hidden="1" customHeight="1">
      <c r="A2549" s="331">
        <v>2548</v>
      </c>
      <c r="B2549" s="209" t="s">
        <v>11553</v>
      </c>
      <c r="C2549" s="209" t="s">
        <v>11556</v>
      </c>
      <c r="D2549" s="437" t="s">
        <v>11557</v>
      </c>
      <c r="E2549" s="361" t="str">
        <f t="shared" ca="1" si="170"/>
        <v>ON TRACK</v>
      </c>
      <c r="F2549" s="160"/>
      <c r="G2549" s="209" t="s">
        <v>11554</v>
      </c>
      <c r="H2549" s="160" t="s">
        <v>8588</v>
      </c>
      <c r="I2549" s="160" t="s">
        <v>511</v>
      </c>
      <c r="J2549" s="159"/>
      <c r="K2549" s="205" t="s">
        <v>11558</v>
      </c>
      <c r="L2549" s="158"/>
      <c r="M2549" s="208" t="s">
        <v>329</v>
      </c>
      <c r="N2549" s="160"/>
      <c r="O2549" s="162"/>
      <c r="P2549" s="161">
        <v>228000000</v>
      </c>
      <c r="Q2549" s="161"/>
      <c r="R2549" s="162"/>
      <c r="S2549" s="211"/>
      <c r="T2549" s="213">
        <v>0.12</v>
      </c>
      <c r="U2549" s="341">
        <v>46305</v>
      </c>
      <c r="V2549" s="340">
        <v>46689</v>
      </c>
      <c r="W2549" s="158" t="s">
        <v>17</v>
      </c>
      <c r="X2549" s="158"/>
      <c r="Y2549" s="164">
        <f t="shared" ca="1" si="172"/>
        <v>46290</v>
      </c>
      <c r="Z2549" s="207">
        <f t="shared" ca="1" si="173"/>
        <v>399</v>
      </c>
      <c r="AA2549" s="158">
        <f t="shared" si="174"/>
        <v>10</v>
      </c>
      <c r="AB2549" s="158">
        <f t="shared" si="171"/>
        <v>2027</v>
      </c>
      <c r="AC2549" s="159"/>
      <c r="AD2549" s="159"/>
      <c r="AE2549" s="158"/>
      <c r="AF2549" s="158" t="s">
        <v>356</v>
      </c>
      <c r="AG2549" s="160"/>
      <c r="AH2549" s="160"/>
      <c r="AI2549" s="158"/>
      <c r="AJ2549" s="158"/>
      <c r="AK2549" s="158"/>
      <c r="AL2549" s="158"/>
      <c r="AM2549" s="158"/>
      <c r="AN2549" s="158"/>
      <c r="AO2549" s="158"/>
      <c r="AP2549" s="158"/>
      <c r="AQ2549" s="158"/>
      <c r="AR2549" s="507"/>
      <c r="AS2549" s="475"/>
      <c r="AT2549" s="160"/>
    </row>
    <row r="2550" spans="1:46" ht="15" hidden="1" customHeight="1">
      <c r="A2550" s="331">
        <v>2549</v>
      </c>
      <c r="B2550" s="234" t="s">
        <v>11559</v>
      </c>
      <c r="C2550" s="234" t="s">
        <v>11560</v>
      </c>
      <c r="D2550" s="447" t="s">
        <v>11557</v>
      </c>
      <c r="E2550" s="361" t="str">
        <f t="shared" ca="1" si="170"/>
        <v>LOSS</v>
      </c>
      <c r="F2550" s="160"/>
      <c r="G2550" s="234" t="s">
        <v>11561</v>
      </c>
      <c r="H2550" s="160" t="s">
        <v>8588</v>
      </c>
      <c r="I2550" s="160" t="s">
        <v>511</v>
      </c>
      <c r="J2550" s="159"/>
      <c r="K2550" s="160"/>
      <c r="L2550" s="158"/>
      <c r="M2550" s="208" t="s">
        <v>365</v>
      </c>
      <c r="N2550" s="160"/>
      <c r="O2550" s="162"/>
      <c r="P2550" s="161">
        <v>144000000</v>
      </c>
      <c r="Q2550" s="161"/>
      <c r="R2550" s="162"/>
      <c r="S2550" s="211"/>
      <c r="T2550" s="213">
        <v>0.2</v>
      </c>
      <c r="U2550" s="341">
        <v>45627</v>
      </c>
      <c r="V2550" s="340">
        <v>45991</v>
      </c>
      <c r="W2550" s="158" t="s">
        <v>250</v>
      </c>
      <c r="X2550" s="158"/>
      <c r="Y2550" s="164">
        <f t="shared" ca="1" si="172"/>
        <v>46290</v>
      </c>
      <c r="Z2550" s="207">
        <f t="shared" ca="1" si="173"/>
        <v>-299</v>
      </c>
      <c r="AA2550" s="158">
        <f t="shared" si="174"/>
        <v>11</v>
      </c>
      <c r="AB2550" s="158">
        <f t="shared" si="171"/>
        <v>2025</v>
      </c>
      <c r="AC2550" s="159"/>
      <c r="AD2550" s="159"/>
      <c r="AE2550" s="158"/>
      <c r="AF2550" s="158" t="s">
        <v>356</v>
      </c>
      <c r="AG2550" s="160"/>
      <c r="AH2550" s="160"/>
      <c r="AI2550" s="158"/>
      <c r="AJ2550" s="158"/>
      <c r="AK2550" s="158"/>
      <c r="AL2550" s="158"/>
      <c r="AM2550" s="158"/>
      <c r="AN2550" s="158"/>
      <c r="AO2550" s="158"/>
      <c r="AP2550" s="158"/>
      <c r="AQ2550" s="158"/>
      <c r="AR2550" s="507"/>
      <c r="AS2550" s="475"/>
      <c r="AT2550" s="160"/>
    </row>
    <row r="2551" spans="1:46" ht="15" hidden="1" customHeight="1">
      <c r="A2551" s="331">
        <v>2550</v>
      </c>
      <c r="B2551" s="234" t="s">
        <v>11559</v>
      </c>
      <c r="C2551" s="234" t="s">
        <v>11560</v>
      </c>
      <c r="D2551" s="447" t="s">
        <v>11562</v>
      </c>
      <c r="E2551" s="361" t="str">
        <f t="shared" ca="1" si="170"/>
        <v>ON TRACK</v>
      </c>
      <c r="F2551" s="160"/>
      <c r="G2551" s="234" t="s">
        <v>11561</v>
      </c>
      <c r="H2551" s="160" t="s">
        <v>8588</v>
      </c>
      <c r="I2551" s="160" t="s">
        <v>511</v>
      </c>
      <c r="J2551" s="159"/>
      <c r="K2551" s="160"/>
      <c r="L2551" s="158"/>
      <c r="M2551" s="208" t="s">
        <v>365</v>
      </c>
      <c r="N2551" s="160"/>
      <c r="O2551" s="162"/>
      <c r="P2551" s="161">
        <v>144000000</v>
      </c>
      <c r="Q2551" s="161"/>
      <c r="R2551" s="162"/>
      <c r="S2551" s="211"/>
      <c r="T2551" s="213">
        <v>0.2</v>
      </c>
      <c r="U2551" s="341">
        <v>45992</v>
      </c>
      <c r="V2551" s="340">
        <v>46356</v>
      </c>
      <c r="W2551" s="158" t="s">
        <v>17</v>
      </c>
      <c r="X2551" s="158"/>
      <c r="Y2551" s="164">
        <f t="shared" ca="1" si="172"/>
        <v>46290</v>
      </c>
      <c r="Z2551" s="207">
        <f t="shared" ca="1" si="173"/>
        <v>66</v>
      </c>
      <c r="AA2551" s="158">
        <f t="shared" si="174"/>
        <v>11</v>
      </c>
      <c r="AB2551" s="158">
        <f t="shared" si="171"/>
        <v>2026</v>
      </c>
      <c r="AC2551" s="159"/>
      <c r="AD2551" s="159"/>
      <c r="AE2551" s="158"/>
      <c r="AF2551" s="158" t="s">
        <v>356</v>
      </c>
      <c r="AG2551" s="160"/>
      <c r="AH2551" s="160"/>
      <c r="AI2551" s="158"/>
      <c r="AJ2551" s="158"/>
      <c r="AK2551" s="158"/>
      <c r="AL2551" s="158"/>
      <c r="AM2551" s="158"/>
      <c r="AN2551" s="158"/>
      <c r="AO2551" s="158"/>
      <c r="AP2551" s="158"/>
      <c r="AQ2551" s="158"/>
      <c r="AR2551" s="507"/>
      <c r="AS2551" s="475"/>
      <c r="AT2551" s="160"/>
    </row>
    <row r="2552" spans="1:46" ht="15" hidden="1" customHeight="1">
      <c r="A2552" s="331">
        <v>2551</v>
      </c>
      <c r="B2552" s="234" t="s">
        <v>8622</v>
      </c>
      <c r="C2552" s="234" t="s">
        <v>11563</v>
      </c>
      <c r="D2552" s="447" t="s">
        <v>11562</v>
      </c>
      <c r="E2552" s="361" t="str">
        <f t="shared" ca="1" si="170"/>
        <v>LOSS</v>
      </c>
      <c r="F2552" s="160"/>
      <c r="G2552" s="234" t="s">
        <v>11564</v>
      </c>
      <c r="H2552" s="160" t="s">
        <v>8588</v>
      </c>
      <c r="I2552" s="160" t="s">
        <v>511</v>
      </c>
      <c r="J2552" s="205"/>
      <c r="K2552" s="181" t="s">
        <v>11565</v>
      </c>
      <c r="L2552" s="158"/>
      <c r="M2552" s="208" t="s">
        <v>8709</v>
      </c>
      <c r="N2552" s="160"/>
      <c r="O2552" s="162"/>
      <c r="P2552" s="161">
        <v>139560000</v>
      </c>
      <c r="Q2552" s="161"/>
      <c r="R2552" s="162"/>
      <c r="S2552" s="211"/>
      <c r="T2552" s="213">
        <v>0.25</v>
      </c>
      <c r="U2552" s="341">
        <v>44993</v>
      </c>
      <c r="V2552" s="340">
        <v>45358</v>
      </c>
      <c r="W2552" s="158" t="s">
        <v>250</v>
      </c>
      <c r="X2552" s="158"/>
      <c r="Y2552" s="164">
        <f t="shared" ca="1" si="172"/>
        <v>46290</v>
      </c>
      <c r="Z2552" s="207">
        <f t="shared" ca="1" si="173"/>
        <v>-932</v>
      </c>
      <c r="AA2552" s="158">
        <f t="shared" si="174"/>
        <v>3</v>
      </c>
      <c r="AB2552" s="158">
        <f t="shared" si="171"/>
        <v>2024</v>
      </c>
      <c r="AC2552" s="159"/>
      <c r="AD2552" s="159"/>
      <c r="AE2552" s="158"/>
      <c r="AF2552" s="158" t="s">
        <v>356</v>
      </c>
      <c r="AG2552" s="160"/>
      <c r="AH2552" s="160"/>
      <c r="AI2552" s="158"/>
      <c r="AJ2552" s="158"/>
      <c r="AK2552" s="158"/>
      <c r="AL2552" s="158"/>
      <c r="AM2552" s="158"/>
      <c r="AN2552" s="158"/>
      <c r="AO2552" s="158"/>
      <c r="AP2552" s="158"/>
      <c r="AQ2552" s="158"/>
      <c r="AR2552" s="507"/>
      <c r="AS2552" s="475"/>
      <c r="AT2552" s="160"/>
    </row>
    <row r="2553" spans="1:46" ht="15" hidden="1" customHeight="1">
      <c r="A2553" s="331">
        <v>2552</v>
      </c>
      <c r="B2553" s="234" t="s">
        <v>8622</v>
      </c>
      <c r="C2553" s="234" t="s">
        <v>11563</v>
      </c>
      <c r="D2553" s="447" t="s">
        <v>11566</v>
      </c>
      <c r="E2553" s="361" t="str">
        <f t="shared" ca="1" si="170"/>
        <v>LOSS</v>
      </c>
      <c r="F2553" s="160"/>
      <c r="G2553" s="234" t="s">
        <v>11564</v>
      </c>
      <c r="H2553" s="160" t="s">
        <v>8588</v>
      </c>
      <c r="I2553" s="160" t="s">
        <v>511</v>
      </c>
      <c r="J2553" s="205"/>
      <c r="K2553" s="181" t="s">
        <v>11565</v>
      </c>
      <c r="L2553" s="158"/>
      <c r="M2553" s="208" t="s">
        <v>8709</v>
      </c>
      <c r="N2553" s="160"/>
      <c r="O2553" s="162"/>
      <c r="P2553" s="161">
        <v>139560000</v>
      </c>
      <c r="Q2553" s="161"/>
      <c r="R2553" s="162"/>
      <c r="S2553" s="211"/>
      <c r="T2553" s="213">
        <v>0.25</v>
      </c>
      <c r="U2553" s="341">
        <v>45359</v>
      </c>
      <c r="V2553" s="340">
        <v>45723</v>
      </c>
      <c r="W2553" s="158" t="s">
        <v>250</v>
      </c>
      <c r="X2553" s="158"/>
      <c r="Y2553" s="164">
        <f t="shared" ca="1" si="172"/>
        <v>46290</v>
      </c>
      <c r="Z2553" s="207">
        <f t="shared" ca="1" si="173"/>
        <v>-567</v>
      </c>
      <c r="AA2553" s="158">
        <f t="shared" si="174"/>
        <v>3</v>
      </c>
      <c r="AB2553" s="158">
        <f t="shared" si="171"/>
        <v>2025</v>
      </c>
      <c r="AC2553" s="159"/>
      <c r="AD2553" s="159"/>
      <c r="AE2553" s="158"/>
      <c r="AF2553" s="158" t="s">
        <v>356</v>
      </c>
      <c r="AG2553" s="160"/>
      <c r="AH2553" s="160"/>
      <c r="AI2553" s="158"/>
      <c r="AJ2553" s="158"/>
      <c r="AK2553" s="158"/>
      <c r="AL2553" s="158"/>
      <c r="AM2553" s="158"/>
      <c r="AN2553" s="158"/>
      <c r="AO2553" s="158"/>
      <c r="AP2553" s="158"/>
      <c r="AQ2553" s="158"/>
      <c r="AR2553" s="507"/>
      <c r="AS2553" s="475"/>
      <c r="AT2553" s="160"/>
    </row>
    <row r="2554" spans="1:46" ht="15" hidden="1" customHeight="1">
      <c r="A2554" s="331">
        <v>2553</v>
      </c>
      <c r="B2554" s="234" t="s">
        <v>8622</v>
      </c>
      <c r="C2554" s="234" t="s">
        <v>11563</v>
      </c>
      <c r="D2554" s="447" t="s">
        <v>11566</v>
      </c>
      <c r="E2554" s="361" t="str">
        <f t="shared" ca="1" si="170"/>
        <v>LOSS</v>
      </c>
      <c r="F2554" s="160"/>
      <c r="G2554" s="234" t="s">
        <v>11564</v>
      </c>
      <c r="H2554" s="160" t="s">
        <v>8588</v>
      </c>
      <c r="I2554" s="160" t="s">
        <v>511</v>
      </c>
      <c r="J2554" s="205"/>
      <c r="K2554" s="181" t="s">
        <v>11565</v>
      </c>
      <c r="L2554" s="158"/>
      <c r="M2554" s="208" t="s">
        <v>8709</v>
      </c>
      <c r="N2554" s="160"/>
      <c r="O2554" s="162"/>
      <c r="P2554" s="161">
        <v>139560000</v>
      </c>
      <c r="Q2554" s="161"/>
      <c r="R2554" s="162"/>
      <c r="S2554" s="211"/>
      <c r="T2554" s="213">
        <v>0.25</v>
      </c>
      <c r="U2554" s="341">
        <v>45724</v>
      </c>
      <c r="V2554" s="340">
        <v>46088</v>
      </c>
      <c r="W2554" s="158" t="s">
        <v>17</v>
      </c>
      <c r="X2554" s="158"/>
      <c r="Y2554" s="164">
        <f t="shared" ca="1" si="172"/>
        <v>46290</v>
      </c>
      <c r="Z2554" s="207">
        <f t="shared" ca="1" si="173"/>
        <v>-202</v>
      </c>
      <c r="AA2554" s="158">
        <f t="shared" si="174"/>
        <v>3</v>
      </c>
      <c r="AB2554" s="158">
        <f t="shared" si="171"/>
        <v>2026</v>
      </c>
      <c r="AC2554" s="159"/>
      <c r="AD2554" s="159"/>
      <c r="AE2554" s="158"/>
      <c r="AF2554" s="158" t="s">
        <v>356</v>
      </c>
      <c r="AG2554" s="160"/>
      <c r="AH2554" s="160"/>
      <c r="AI2554" s="158"/>
      <c r="AJ2554" s="158"/>
      <c r="AK2554" s="158"/>
      <c r="AL2554" s="158"/>
      <c r="AM2554" s="158"/>
      <c r="AN2554" s="158"/>
      <c r="AO2554" s="158"/>
      <c r="AP2554" s="158"/>
      <c r="AQ2554" s="158"/>
      <c r="AR2554" s="507"/>
      <c r="AS2554" s="475" t="s">
        <v>11567</v>
      </c>
      <c r="AT2554" s="160" t="s">
        <v>11568</v>
      </c>
    </row>
    <row r="2555" spans="1:46" ht="15" hidden="1" customHeight="1">
      <c r="A2555" s="331">
        <v>2554</v>
      </c>
      <c r="B2555" s="234" t="s">
        <v>8666</v>
      </c>
      <c r="C2555" s="234" t="s">
        <v>8667</v>
      </c>
      <c r="D2555" s="447" t="s">
        <v>8668</v>
      </c>
      <c r="E2555" s="361" t="str">
        <f t="shared" ca="1" si="170"/>
        <v>LOSS</v>
      </c>
      <c r="F2555" s="160"/>
      <c r="G2555" s="209" t="s">
        <v>8669</v>
      </c>
      <c r="H2555" s="160" t="s">
        <v>8588</v>
      </c>
      <c r="I2555" s="160" t="s">
        <v>511</v>
      </c>
      <c r="J2555" s="159" t="s">
        <v>8670</v>
      </c>
      <c r="K2555" s="160"/>
      <c r="L2555" s="158"/>
      <c r="M2555" s="208" t="s">
        <v>365</v>
      </c>
      <c r="N2555" s="160"/>
      <c r="O2555" s="162"/>
      <c r="P2555" s="161">
        <v>15600000</v>
      </c>
      <c r="Q2555" s="161"/>
      <c r="R2555" s="162"/>
      <c r="S2555" s="211"/>
      <c r="T2555" s="213">
        <v>0.12</v>
      </c>
      <c r="U2555" s="341">
        <v>45449</v>
      </c>
      <c r="V2555" s="340">
        <v>45813</v>
      </c>
      <c r="W2555" s="158" t="s">
        <v>250</v>
      </c>
      <c r="X2555" s="158"/>
      <c r="Y2555" s="164">
        <f t="shared" ca="1" si="172"/>
        <v>46290</v>
      </c>
      <c r="Z2555" s="207">
        <f t="shared" ca="1" si="173"/>
        <v>-477</v>
      </c>
      <c r="AA2555" s="158">
        <f t="shared" si="174"/>
        <v>6</v>
      </c>
      <c r="AB2555" s="158">
        <f t="shared" si="171"/>
        <v>2025</v>
      </c>
      <c r="AC2555" s="159"/>
      <c r="AD2555" s="159"/>
      <c r="AE2555" s="158"/>
      <c r="AF2555" s="158" t="s">
        <v>356</v>
      </c>
      <c r="AG2555" s="160"/>
      <c r="AH2555" s="160"/>
      <c r="AI2555" s="158"/>
      <c r="AJ2555" s="158"/>
      <c r="AK2555" s="158"/>
      <c r="AL2555" s="158"/>
      <c r="AM2555" s="158"/>
      <c r="AN2555" s="158"/>
      <c r="AO2555" s="158"/>
      <c r="AP2555" s="158"/>
      <c r="AQ2555" s="158"/>
      <c r="AR2555" s="507"/>
      <c r="AS2555" s="475"/>
      <c r="AT2555" s="160"/>
    </row>
    <row r="2556" spans="1:46" ht="15" hidden="1" customHeight="1">
      <c r="A2556" s="331">
        <v>2555</v>
      </c>
      <c r="B2556" s="234" t="s">
        <v>8666</v>
      </c>
      <c r="C2556" s="234" t="s">
        <v>8667</v>
      </c>
      <c r="D2556" s="447" t="s">
        <v>8668</v>
      </c>
      <c r="E2556" s="361" t="str">
        <f t="shared" ca="1" si="170"/>
        <v>LOSS</v>
      </c>
      <c r="F2556" s="160"/>
      <c r="G2556" s="209" t="s">
        <v>8669</v>
      </c>
      <c r="H2556" s="160" t="s">
        <v>8588</v>
      </c>
      <c r="I2556" s="160" t="s">
        <v>511</v>
      </c>
      <c r="J2556" s="159" t="s">
        <v>8670</v>
      </c>
      <c r="K2556" s="160"/>
      <c r="L2556" s="158"/>
      <c r="M2556" s="208" t="s">
        <v>365</v>
      </c>
      <c r="N2556" s="160"/>
      <c r="O2556" s="162"/>
      <c r="P2556" s="161">
        <v>15600000</v>
      </c>
      <c r="Q2556" s="161"/>
      <c r="R2556" s="162"/>
      <c r="S2556" s="211"/>
      <c r="T2556" s="213">
        <v>0.12</v>
      </c>
      <c r="U2556" s="341">
        <v>45814</v>
      </c>
      <c r="V2556" s="340">
        <v>46178</v>
      </c>
      <c r="W2556" s="158" t="s">
        <v>17</v>
      </c>
      <c r="X2556" s="158"/>
      <c r="Y2556" s="164">
        <f t="shared" ca="1" si="172"/>
        <v>46290</v>
      </c>
      <c r="Z2556" s="207">
        <f t="shared" ca="1" si="173"/>
        <v>-112</v>
      </c>
      <c r="AA2556" s="158">
        <f t="shared" si="174"/>
        <v>6</v>
      </c>
      <c r="AB2556" s="158">
        <f t="shared" si="171"/>
        <v>2026</v>
      </c>
      <c r="AC2556" s="159"/>
      <c r="AD2556" s="159"/>
      <c r="AE2556" s="158"/>
      <c r="AF2556" s="158" t="s">
        <v>356</v>
      </c>
      <c r="AG2556" s="160"/>
      <c r="AH2556" s="160"/>
      <c r="AI2556" s="158"/>
      <c r="AJ2556" s="158"/>
      <c r="AK2556" s="158"/>
      <c r="AL2556" s="158"/>
      <c r="AM2556" s="158"/>
      <c r="AN2556" s="158"/>
      <c r="AO2556" s="158"/>
      <c r="AP2556" s="158"/>
      <c r="AQ2556" s="158"/>
      <c r="AR2556" s="507"/>
      <c r="AS2556" s="475"/>
      <c r="AT2556" s="160"/>
    </row>
    <row r="2557" spans="1:46" ht="15" hidden="1" customHeight="1">
      <c r="A2557" s="331">
        <v>2556</v>
      </c>
      <c r="B2557" s="234" t="s">
        <v>8666</v>
      </c>
      <c r="C2557" s="234" t="s">
        <v>8667</v>
      </c>
      <c r="D2557" s="447" t="s">
        <v>8668</v>
      </c>
      <c r="E2557" s="361" t="str">
        <f t="shared" ca="1" si="170"/>
        <v>LOSS</v>
      </c>
      <c r="F2557" s="160"/>
      <c r="G2557" s="209" t="s">
        <v>8669</v>
      </c>
      <c r="H2557" s="160" t="s">
        <v>8588</v>
      </c>
      <c r="I2557" s="160" t="s">
        <v>511</v>
      </c>
      <c r="J2557" s="159" t="s">
        <v>8670</v>
      </c>
      <c r="K2557" s="160"/>
      <c r="L2557" s="158"/>
      <c r="M2557" s="208" t="s">
        <v>365</v>
      </c>
      <c r="N2557" s="160"/>
      <c r="O2557" s="162"/>
      <c r="P2557" s="161">
        <v>15600000</v>
      </c>
      <c r="Q2557" s="161"/>
      <c r="R2557" s="162"/>
      <c r="S2557" s="211"/>
      <c r="T2557" s="213">
        <v>0.12</v>
      </c>
      <c r="U2557" s="341">
        <v>45814</v>
      </c>
      <c r="V2557" s="340">
        <v>46178</v>
      </c>
      <c r="W2557" s="158" t="s">
        <v>17</v>
      </c>
      <c r="X2557" s="158"/>
      <c r="Y2557" s="164">
        <f t="shared" ca="1" si="172"/>
        <v>46290</v>
      </c>
      <c r="Z2557" s="207">
        <f t="shared" ca="1" si="173"/>
        <v>-112</v>
      </c>
      <c r="AA2557" s="158">
        <f t="shared" si="174"/>
        <v>6</v>
      </c>
      <c r="AB2557" s="158">
        <f t="shared" si="171"/>
        <v>2026</v>
      </c>
      <c r="AC2557" s="159"/>
      <c r="AD2557" s="159"/>
      <c r="AE2557" s="158"/>
      <c r="AF2557" s="158" t="s">
        <v>356</v>
      </c>
      <c r="AG2557" s="160"/>
      <c r="AH2557" s="160"/>
      <c r="AI2557" s="158"/>
      <c r="AJ2557" s="158"/>
      <c r="AK2557" s="158"/>
      <c r="AL2557" s="158"/>
      <c r="AM2557" s="158"/>
      <c r="AN2557" s="158"/>
      <c r="AO2557" s="158"/>
      <c r="AP2557" s="158"/>
      <c r="AQ2557" s="158"/>
      <c r="AR2557" s="507"/>
      <c r="AS2557" s="475"/>
      <c r="AT2557" s="160"/>
    </row>
    <row r="2558" spans="1:46" ht="15" hidden="1" customHeight="1">
      <c r="A2558" s="331">
        <v>2557</v>
      </c>
      <c r="B2558" s="234" t="s">
        <v>8666</v>
      </c>
      <c r="C2558" s="234" t="s">
        <v>8667</v>
      </c>
      <c r="D2558" s="447" t="s">
        <v>8668</v>
      </c>
      <c r="E2558" s="361" t="str">
        <f t="shared" ca="1" si="170"/>
        <v>ON TRACK</v>
      </c>
      <c r="F2558" s="160"/>
      <c r="G2558" s="209" t="s">
        <v>8669</v>
      </c>
      <c r="H2558" s="160" t="s">
        <v>8588</v>
      </c>
      <c r="I2558" s="160" t="s">
        <v>511</v>
      </c>
      <c r="J2558" s="159" t="s">
        <v>8670</v>
      </c>
      <c r="K2558" s="160"/>
      <c r="L2558" s="158"/>
      <c r="M2558" s="208" t="s">
        <v>365</v>
      </c>
      <c r="N2558" s="160"/>
      <c r="O2558" s="162"/>
      <c r="P2558" s="161">
        <v>15600000</v>
      </c>
      <c r="Q2558" s="161"/>
      <c r="R2558" s="162"/>
      <c r="S2558" s="211"/>
      <c r="T2558" s="213">
        <v>0.12</v>
      </c>
      <c r="U2558" s="341">
        <v>46179</v>
      </c>
      <c r="V2558" s="340">
        <v>46543</v>
      </c>
      <c r="W2558" s="158" t="s">
        <v>17</v>
      </c>
      <c r="X2558" s="158"/>
      <c r="Y2558" s="164">
        <f t="shared" ca="1" si="172"/>
        <v>46290</v>
      </c>
      <c r="Z2558" s="207">
        <f t="shared" ca="1" si="173"/>
        <v>253</v>
      </c>
      <c r="AA2558" s="158">
        <f t="shared" si="174"/>
        <v>6</v>
      </c>
      <c r="AB2558" s="158">
        <f t="shared" si="171"/>
        <v>2027</v>
      </c>
      <c r="AC2558" s="159"/>
      <c r="AD2558" s="159"/>
      <c r="AE2558" s="158"/>
      <c r="AF2558" s="158" t="s">
        <v>356</v>
      </c>
      <c r="AG2558" s="160"/>
      <c r="AH2558" s="160"/>
      <c r="AI2558" s="158"/>
      <c r="AJ2558" s="158"/>
      <c r="AK2558" s="158"/>
      <c r="AL2558" s="158"/>
      <c r="AM2558" s="158"/>
      <c r="AN2558" s="158"/>
      <c r="AO2558" s="158"/>
      <c r="AP2558" s="158"/>
      <c r="AQ2558" s="158"/>
      <c r="AR2558" s="507"/>
      <c r="AS2558" s="475"/>
      <c r="AT2558" s="160"/>
    </row>
    <row r="2559" spans="1:46" ht="15" hidden="1" customHeight="1">
      <c r="A2559" s="331">
        <v>2558</v>
      </c>
      <c r="B2559" s="234" t="s">
        <v>8666</v>
      </c>
      <c r="C2559" s="234" t="s">
        <v>8667</v>
      </c>
      <c r="D2559" s="447" t="s">
        <v>8668</v>
      </c>
      <c r="E2559" s="361" t="str">
        <f t="shared" ca="1" si="170"/>
        <v>ON TRACK</v>
      </c>
      <c r="F2559" s="160"/>
      <c r="G2559" s="209" t="s">
        <v>8669</v>
      </c>
      <c r="H2559" s="160" t="s">
        <v>8588</v>
      </c>
      <c r="I2559" s="160" t="s">
        <v>511</v>
      </c>
      <c r="J2559" s="159" t="s">
        <v>8670</v>
      </c>
      <c r="K2559" s="160"/>
      <c r="L2559" s="158"/>
      <c r="M2559" s="208" t="s">
        <v>365</v>
      </c>
      <c r="N2559" s="160"/>
      <c r="O2559" s="162"/>
      <c r="P2559" s="161">
        <v>15600000</v>
      </c>
      <c r="Q2559" s="161"/>
      <c r="R2559" s="162"/>
      <c r="S2559" s="211"/>
      <c r="T2559" s="213">
        <v>0.12</v>
      </c>
      <c r="U2559" s="341">
        <v>46544</v>
      </c>
      <c r="V2559" s="340">
        <v>46909</v>
      </c>
      <c r="W2559" s="158" t="s">
        <v>17</v>
      </c>
      <c r="X2559" s="158"/>
      <c r="Y2559" s="164">
        <f t="shared" ca="1" si="172"/>
        <v>46290</v>
      </c>
      <c r="Z2559" s="207">
        <f t="shared" ca="1" si="173"/>
        <v>619</v>
      </c>
      <c r="AA2559" s="158">
        <f t="shared" si="174"/>
        <v>6</v>
      </c>
      <c r="AB2559" s="158">
        <f t="shared" si="171"/>
        <v>2028</v>
      </c>
      <c r="AC2559" s="159"/>
      <c r="AD2559" s="159"/>
      <c r="AE2559" s="158"/>
      <c r="AF2559" s="158" t="s">
        <v>356</v>
      </c>
      <c r="AG2559" s="160"/>
      <c r="AH2559" s="160"/>
      <c r="AI2559" s="158"/>
      <c r="AJ2559" s="158"/>
      <c r="AK2559" s="158"/>
      <c r="AL2559" s="158"/>
      <c r="AM2559" s="158"/>
      <c r="AN2559" s="158"/>
      <c r="AO2559" s="158"/>
      <c r="AP2559" s="158"/>
      <c r="AQ2559" s="158"/>
      <c r="AR2559" s="507"/>
      <c r="AS2559" s="475"/>
      <c r="AT2559" s="160"/>
    </row>
    <row r="2560" spans="1:46" ht="15" hidden="1" customHeight="1">
      <c r="A2560" s="331">
        <v>2559</v>
      </c>
      <c r="B2560" s="80" t="s">
        <v>8666</v>
      </c>
      <c r="C2560" s="80" t="s">
        <v>8672</v>
      </c>
      <c r="D2560" s="447" t="s">
        <v>8668</v>
      </c>
      <c r="E2560" s="361" t="str">
        <f t="shared" ca="1" si="170"/>
        <v>LOSS</v>
      </c>
      <c r="F2560" s="29"/>
      <c r="G2560" s="75" t="s">
        <v>8673</v>
      </c>
      <c r="H2560" s="29" t="s">
        <v>8588</v>
      </c>
      <c r="I2560" s="29" t="s">
        <v>511</v>
      </c>
      <c r="J2560" s="28" t="s">
        <v>8674</v>
      </c>
      <c r="K2560" s="29"/>
      <c r="L2560" s="27"/>
      <c r="M2560" s="76" t="s">
        <v>365</v>
      </c>
      <c r="N2560" s="29"/>
      <c r="O2560" s="56"/>
      <c r="P2560" s="31">
        <v>163636368</v>
      </c>
      <c r="Q2560" s="31"/>
      <c r="R2560" s="27"/>
      <c r="S2560" s="32"/>
      <c r="T2560" s="79">
        <v>0.25</v>
      </c>
      <c r="U2560" s="339">
        <v>44562</v>
      </c>
      <c r="V2560" s="334">
        <v>44928</v>
      </c>
      <c r="W2560" s="27" t="s">
        <v>250</v>
      </c>
      <c r="X2560" s="27"/>
      <c r="Y2560" s="34">
        <f t="shared" ca="1" si="172"/>
        <v>46290</v>
      </c>
      <c r="Z2560" s="35">
        <f t="shared" ca="1" si="173"/>
        <v>-1362</v>
      </c>
      <c r="AA2560" s="27">
        <f t="shared" si="174"/>
        <v>1</v>
      </c>
      <c r="AB2560" s="27">
        <f t="shared" si="171"/>
        <v>2023</v>
      </c>
      <c r="AC2560" s="28"/>
      <c r="AD2560" s="28"/>
      <c r="AE2560" s="27"/>
      <c r="AF2560" s="158" t="s">
        <v>356</v>
      </c>
      <c r="AG2560" s="160"/>
      <c r="AH2560" s="160"/>
      <c r="AI2560" s="27"/>
      <c r="AJ2560" s="27"/>
      <c r="AK2560" s="27"/>
      <c r="AL2560" s="27"/>
      <c r="AM2560" s="27"/>
      <c r="AN2560" s="27"/>
      <c r="AO2560" s="27"/>
      <c r="AP2560" s="27"/>
      <c r="AQ2560" s="27"/>
      <c r="AR2560" s="504"/>
      <c r="AS2560" s="332"/>
      <c r="AT2560" s="160"/>
    </row>
    <row r="2561" spans="1:46" ht="15" hidden="1" customHeight="1">
      <c r="A2561" s="331">
        <v>2560</v>
      </c>
      <c r="B2561" s="80" t="s">
        <v>8666</v>
      </c>
      <c r="C2561" s="80" t="s">
        <v>8672</v>
      </c>
      <c r="D2561" s="447" t="s">
        <v>8668</v>
      </c>
      <c r="E2561" s="361" t="str">
        <f t="shared" si="170"/>
        <v>LOSS</v>
      </c>
      <c r="F2561" s="160"/>
      <c r="G2561" s="75" t="s">
        <v>8673</v>
      </c>
      <c r="H2561" s="29" t="s">
        <v>8588</v>
      </c>
      <c r="I2561" s="29" t="s">
        <v>511</v>
      </c>
      <c r="J2561" s="28" t="s">
        <v>8674</v>
      </c>
      <c r="K2561" s="160"/>
      <c r="L2561" s="158"/>
      <c r="M2561" s="76" t="s">
        <v>365</v>
      </c>
      <c r="N2561" s="160"/>
      <c r="O2561" s="162"/>
      <c r="P2561" s="31">
        <v>163636368</v>
      </c>
      <c r="Q2561" s="161"/>
      <c r="R2561" s="162"/>
      <c r="S2561" s="211"/>
      <c r="T2561" s="79">
        <v>0.25</v>
      </c>
      <c r="U2561" s="339">
        <v>44927</v>
      </c>
      <c r="V2561" s="340">
        <v>45293</v>
      </c>
      <c r="W2561" s="27" t="s">
        <v>250</v>
      </c>
      <c r="X2561" s="158"/>
      <c r="Y2561" s="164">
        <v>45897</v>
      </c>
      <c r="Z2561" s="35">
        <f t="shared" si="173"/>
        <v>-604</v>
      </c>
      <c r="AA2561" s="27">
        <f t="shared" si="174"/>
        <v>1</v>
      </c>
      <c r="AB2561" s="27">
        <f t="shared" si="171"/>
        <v>2024</v>
      </c>
      <c r="AC2561" s="159"/>
      <c r="AD2561" s="159"/>
      <c r="AE2561" s="158"/>
      <c r="AF2561" s="158" t="s">
        <v>356</v>
      </c>
      <c r="AG2561" s="160"/>
      <c r="AH2561" s="160"/>
      <c r="AI2561" s="158"/>
      <c r="AJ2561" s="158"/>
      <c r="AK2561" s="158"/>
      <c r="AL2561" s="158"/>
      <c r="AM2561" s="158"/>
      <c r="AN2561" s="158"/>
      <c r="AO2561" s="158"/>
      <c r="AP2561" s="158"/>
      <c r="AQ2561" s="158"/>
      <c r="AR2561" s="507"/>
      <c r="AS2561" s="475"/>
      <c r="AT2561" s="160"/>
    </row>
    <row r="2562" spans="1:46" ht="15" hidden="1" customHeight="1">
      <c r="A2562" s="331">
        <v>2561</v>
      </c>
      <c r="B2562" s="80" t="s">
        <v>8666</v>
      </c>
      <c r="C2562" s="80" t="s">
        <v>8672</v>
      </c>
      <c r="D2562" s="447" t="s">
        <v>8668</v>
      </c>
      <c r="E2562" s="361" t="str">
        <f t="shared" ref="E2562:E2625" si="175">IF(Z2562&lt;=0, "LOSS",IF(Z2562&lt;=15, "CRITICAL",IF(Z2562&lt;=30, "WARNING",IF(Z2562&lt;60, "ATTENTION", "ON TRACK"))))</f>
        <v>LOSS</v>
      </c>
      <c r="F2562" s="160"/>
      <c r="G2562" s="75" t="s">
        <v>8673</v>
      </c>
      <c r="H2562" s="29" t="s">
        <v>8588</v>
      </c>
      <c r="I2562" s="29" t="s">
        <v>511</v>
      </c>
      <c r="J2562" s="28" t="s">
        <v>8674</v>
      </c>
      <c r="K2562" s="160"/>
      <c r="L2562" s="158"/>
      <c r="M2562" s="76" t="s">
        <v>365</v>
      </c>
      <c r="N2562" s="160"/>
      <c r="O2562" s="162"/>
      <c r="P2562" s="31">
        <v>163636368</v>
      </c>
      <c r="Q2562" s="161"/>
      <c r="R2562" s="162"/>
      <c r="S2562" s="211"/>
      <c r="T2562" s="79">
        <v>0.25</v>
      </c>
      <c r="U2562" s="339">
        <v>45292</v>
      </c>
      <c r="V2562" s="340">
        <v>45659</v>
      </c>
      <c r="W2562" s="27" t="s">
        <v>250</v>
      </c>
      <c r="X2562" s="158"/>
      <c r="Y2562" s="164">
        <v>45897</v>
      </c>
      <c r="Z2562" s="35">
        <f t="shared" si="173"/>
        <v>-238</v>
      </c>
      <c r="AA2562" s="27">
        <f t="shared" si="174"/>
        <v>1</v>
      </c>
      <c r="AB2562" s="27">
        <f t="shared" si="171"/>
        <v>2025</v>
      </c>
      <c r="AC2562" s="159"/>
      <c r="AD2562" s="159"/>
      <c r="AE2562" s="158"/>
      <c r="AF2562" s="158" t="s">
        <v>356</v>
      </c>
      <c r="AG2562" s="160"/>
      <c r="AH2562" s="160"/>
      <c r="AI2562" s="158"/>
      <c r="AJ2562" s="158"/>
      <c r="AK2562" s="158"/>
      <c r="AL2562" s="158"/>
      <c r="AM2562" s="158"/>
      <c r="AN2562" s="158"/>
      <c r="AO2562" s="158"/>
      <c r="AP2562" s="158"/>
      <c r="AQ2562" s="158"/>
      <c r="AR2562" s="507"/>
      <c r="AS2562" s="475"/>
      <c r="AT2562" s="160"/>
    </row>
    <row r="2563" spans="1:46" ht="15" hidden="1" customHeight="1">
      <c r="A2563" s="331">
        <v>2562</v>
      </c>
      <c r="B2563" s="80" t="s">
        <v>8666</v>
      </c>
      <c r="C2563" s="80" t="s">
        <v>8672</v>
      </c>
      <c r="D2563" s="447" t="s">
        <v>8668</v>
      </c>
      <c r="E2563" s="361" t="str">
        <f t="shared" si="175"/>
        <v>ON TRACK</v>
      </c>
      <c r="F2563" s="160"/>
      <c r="G2563" s="75" t="s">
        <v>8673</v>
      </c>
      <c r="H2563" s="29" t="s">
        <v>8588</v>
      </c>
      <c r="I2563" s="29" t="s">
        <v>511</v>
      </c>
      <c r="J2563" s="28" t="s">
        <v>8674</v>
      </c>
      <c r="K2563" s="160"/>
      <c r="L2563" s="158"/>
      <c r="M2563" s="76" t="s">
        <v>365</v>
      </c>
      <c r="N2563" s="160"/>
      <c r="O2563" s="162"/>
      <c r="P2563" s="31">
        <v>163636368</v>
      </c>
      <c r="Q2563" s="161"/>
      <c r="R2563" s="162"/>
      <c r="S2563" s="211"/>
      <c r="T2563" s="79">
        <v>0.25</v>
      </c>
      <c r="U2563" s="339">
        <v>45658</v>
      </c>
      <c r="V2563" s="340">
        <v>46024</v>
      </c>
      <c r="W2563" s="27" t="s">
        <v>17</v>
      </c>
      <c r="X2563" s="158"/>
      <c r="Y2563" s="164">
        <v>45897</v>
      </c>
      <c r="Z2563" s="35">
        <f t="shared" si="173"/>
        <v>127</v>
      </c>
      <c r="AA2563" s="27">
        <f t="shared" si="174"/>
        <v>1</v>
      </c>
      <c r="AB2563" s="27">
        <f t="shared" si="171"/>
        <v>2026</v>
      </c>
      <c r="AC2563" s="159"/>
      <c r="AD2563" s="159"/>
      <c r="AE2563" s="158"/>
      <c r="AF2563" s="158" t="s">
        <v>356</v>
      </c>
      <c r="AG2563" s="160"/>
      <c r="AH2563" s="160"/>
      <c r="AI2563" s="158"/>
      <c r="AJ2563" s="158"/>
      <c r="AK2563" s="158"/>
      <c r="AL2563" s="158"/>
      <c r="AM2563" s="158"/>
      <c r="AN2563" s="158"/>
      <c r="AO2563" s="158"/>
      <c r="AP2563" s="158"/>
      <c r="AQ2563" s="158"/>
      <c r="AR2563" s="507"/>
      <c r="AS2563" s="475"/>
      <c r="AT2563" s="160"/>
    </row>
    <row r="2564" spans="1:46" ht="15" hidden="1" customHeight="1">
      <c r="A2564" s="331">
        <v>2563</v>
      </c>
      <c r="B2564" s="234" t="s">
        <v>8675</v>
      </c>
      <c r="C2564" s="301" t="s">
        <v>11569</v>
      </c>
      <c r="D2564" s="447" t="s">
        <v>8668</v>
      </c>
      <c r="E2564" s="361" t="str">
        <f t="shared" ca="1" si="175"/>
        <v>LOSS</v>
      </c>
      <c r="F2564" s="160"/>
      <c r="G2564" s="234" t="s">
        <v>8678</v>
      </c>
      <c r="H2564" s="160" t="s">
        <v>8588</v>
      </c>
      <c r="I2564" s="160" t="s">
        <v>511</v>
      </c>
      <c r="J2564" s="159"/>
      <c r="K2564" s="313" t="s">
        <v>11570</v>
      </c>
      <c r="L2564" s="158"/>
      <c r="M2564" s="208" t="s">
        <v>353</v>
      </c>
      <c r="N2564" s="158" t="s">
        <v>406</v>
      </c>
      <c r="O2564" s="162"/>
      <c r="P2564" s="161">
        <v>97200000</v>
      </c>
      <c r="Q2564" s="161"/>
      <c r="R2564" s="162"/>
      <c r="S2564" s="211"/>
      <c r="T2564" s="213">
        <v>0.35</v>
      </c>
      <c r="U2564" s="341">
        <v>45536</v>
      </c>
      <c r="V2564" s="345">
        <v>45900</v>
      </c>
      <c r="W2564" s="158" t="s">
        <v>250</v>
      </c>
      <c r="X2564" s="158"/>
      <c r="Y2564" s="164">
        <f t="shared" ref="Y2564:Y2595" ca="1" si="176">TODAY()</f>
        <v>46290</v>
      </c>
      <c r="Z2564" s="207">
        <f t="shared" ca="1" si="173"/>
        <v>-390</v>
      </c>
      <c r="AA2564" s="158">
        <f t="shared" si="174"/>
        <v>8</v>
      </c>
      <c r="AB2564" s="158">
        <f t="shared" si="171"/>
        <v>2025</v>
      </c>
      <c r="AC2564" s="159"/>
      <c r="AD2564" s="159"/>
      <c r="AE2564" s="158"/>
      <c r="AF2564" s="158" t="s">
        <v>356</v>
      </c>
      <c r="AG2564" s="160"/>
      <c r="AH2564" s="160"/>
      <c r="AI2564" s="158"/>
      <c r="AJ2564" s="158"/>
      <c r="AK2564" s="158"/>
      <c r="AL2564" s="158"/>
      <c r="AM2564" s="158"/>
      <c r="AN2564" s="158"/>
      <c r="AO2564" s="158"/>
      <c r="AP2564" s="158"/>
      <c r="AQ2564" s="158"/>
      <c r="AR2564" s="507"/>
      <c r="AS2564" s="475"/>
      <c r="AT2564" s="160"/>
    </row>
    <row r="2565" spans="1:46" ht="15" hidden="1" customHeight="1">
      <c r="A2565" s="331">
        <v>2564</v>
      </c>
      <c r="B2565" s="234" t="s">
        <v>8675</v>
      </c>
      <c r="C2565" s="301" t="s">
        <v>11571</v>
      </c>
      <c r="D2565" s="447" t="s">
        <v>8677</v>
      </c>
      <c r="E2565" s="361" t="str">
        <f t="shared" ca="1" si="175"/>
        <v>LOSS</v>
      </c>
      <c r="F2565" s="160"/>
      <c r="G2565" s="234" t="s">
        <v>8682</v>
      </c>
      <c r="H2565" s="160" t="s">
        <v>8588</v>
      </c>
      <c r="I2565" s="160" t="s">
        <v>511</v>
      </c>
      <c r="J2565" s="159"/>
      <c r="K2565" s="313" t="s">
        <v>11572</v>
      </c>
      <c r="L2565" s="158"/>
      <c r="M2565" s="208" t="s">
        <v>353</v>
      </c>
      <c r="N2565" s="158" t="s">
        <v>389</v>
      </c>
      <c r="O2565" s="162"/>
      <c r="P2565" s="161">
        <v>171000000</v>
      </c>
      <c r="Q2565" s="161"/>
      <c r="R2565" s="162"/>
      <c r="S2565" s="211"/>
      <c r="T2565" s="213">
        <v>0.35</v>
      </c>
      <c r="U2565" s="341">
        <v>45536</v>
      </c>
      <c r="V2565" s="345">
        <v>45900</v>
      </c>
      <c r="W2565" s="158" t="s">
        <v>250</v>
      </c>
      <c r="X2565" s="158"/>
      <c r="Y2565" s="164">
        <f t="shared" ca="1" si="176"/>
        <v>46290</v>
      </c>
      <c r="Z2565" s="207">
        <f t="shared" ca="1" si="173"/>
        <v>-390</v>
      </c>
      <c r="AA2565" s="158">
        <f t="shared" si="174"/>
        <v>8</v>
      </c>
      <c r="AB2565" s="158">
        <f t="shared" si="171"/>
        <v>2025</v>
      </c>
      <c r="AC2565" s="159"/>
      <c r="AD2565" s="159"/>
      <c r="AE2565" s="158"/>
      <c r="AF2565" s="158" t="s">
        <v>356</v>
      </c>
      <c r="AG2565" s="160"/>
      <c r="AH2565" s="160"/>
      <c r="AI2565" s="158"/>
      <c r="AJ2565" s="158"/>
      <c r="AK2565" s="158"/>
      <c r="AL2565" s="158"/>
      <c r="AM2565" s="158"/>
      <c r="AN2565" s="158"/>
      <c r="AO2565" s="158"/>
      <c r="AP2565" s="158"/>
      <c r="AQ2565" s="158"/>
      <c r="AR2565" s="507"/>
      <c r="AS2565" s="475"/>
      <c r="AT2565" s="160"/>
    </row>
    <row r="2566" spans="1:46" ht="15" hidden="1" customHeight="1">
      <c r="A2566" s="331">
        <v>2565</v>
      </c>
      <c r="B2566" s="234" t="s">
        <v>8675</v>
      </c>
      <c r="C2566" s="301" t="s">
        <v>8684</v>
      </c>
      <c r="D2566" s="447" t="s">
        <v>8677</v>
      </c>
      <c r="E2566" s="361" t="str">
        <f t="shared" ca="1" si="175"/>
        <v>LOSS</v>
      </c>
      <c r="F2566" s="160"/>
      <c r="G2566" s="234" t="s">
        <v>8685</v>
      </c>
      <c r="H2566" s="160" t="s">
        <v>8588</v>
      </c>
      <c r="I2566" s="160" t="s">
        <v>511</v>
      </c>
      <c r="J2566" s="159"/>
      <c r="K2566" s="313" t="s">
        <v>11573</v>
      </c>
      <c r="L2566" s="158"/>
      <c r="M2566" s="208" t="s">
        <v>353</v>
      </c>
      <c r="N2566" s="158" t="s">
        <v>354</v>
      </c>
      <c r="O2566" s="162"/>
      <c r="P2566" s="161">
        <v>90000000</v>
      </c>
      <c r="Q2566" s="161"/>
      <c r="R2566" s="162"/>
      <c r="S2566" s="211"/>
      <c r="T2566" s="213">
        <v>0.35</v>
      </c>
      <c r="U2566" s="341">
        <v>45536</v>
      </c>
      <c r="V2566" s="345">
        <v>45900</v>
      </c>
      <c r="W2566" s="158" t="s">
        <v>250</v>
      </c>
      <c r="X2566" s="158"/>
      <c r="Y2566" s="164">
        <f t="shared" ca="1" si="176"/>
        <v>46290</v>
      </c>
      <c r="Z2566" s="207">
        <f t="shared" ca="1" si="173"/>
        <v>-390</v>
      </c>
      <c r="AA2566" s="158">
        <f t="shared" si="174"/>
        <v>8</v>
      </c>
      <c r="AB2566" s="158">
        <f t="shared" si="171"/>
        <v>2025</v>
      </c>
      <c r="AC2566" s="159"/>
      <c r="AD2566" s="159"/>
      <c r="AE2566" s="158"/>
      <c r="AF2566" s="158" t="s">
        <v>356</v>
      </c>
      <c r="AG2566" s="160"/>
      <c r="AH2566" s="160"/>
      <c r="AI2566" s="158"/>
      <c r="AJ2566" s="158"/>
      <c r="AK2566" s="158"/>
      <c r="AL2566" s="158"/>
      <c r="AM2566" s="158"/>
      <c r="AN2566" s="158"/>
      <c r="AO2566" s="158"/>
      <c r="AP2566" s="158"/>
      <c r="AQ2566" s="158"/>
      <c r="AR2566" s="507"/>
      <c r="AS2566" s="475"/>
      <c r="AT2566" s="160"/>
    </row>
    <row r="2567" spans="1:46" ht="15" hidden="1" customHeight="1">
      <c r="A2567" s="331">
        <v>2566</v>
      </c>
      <c r="B2567" s="234" t="s">
        <v>8675</v>
      </c>
      <c r="C2567" s="310" t="s">
        <v>8687</v>
      </c>
      <c r="D2567" s="447" t="s">
        <v>8677</v>
      </c>
      <c r="E2567" s="361" t="str">
        <f t="shared" ca="1" si="175"/>
        <v>LOSS</v>
      </c>
      <c r="F2567" s="160"/>
      <c r="G2567" s="234" t="s">
        <v>8688</v>
      </c>
      <c r="H2567" s="160" t="s">
        <v>8588</v>
      </c>
      <c r="I2567" s="160" t="s">
        <v>511</v>
      </c>
      <c r="J2567" s="159"/>
      <c r="K2567" s="314" t="s">
        <v>11574</v>
      </c>
      <c r="L2567" s="158"/>
      <c r="M2567" s="208" t="s">
        <v>353</v>
      </c>
      <c r="N2567" s="158" t="s">
        <v>8689</v>
      </c>
      <c r="O2567" s="162"/>
      <c r="P2567" s="161">
        <v>96000000</v>
      </c>
      <c r="Q2567" s="161"/>
      <c r="R2567" s="162"/>
      <c r="S2567" s="211"/>
      <c r="T2567" s="213">
        <v>0.35</v>
      </c>
      <c r="U2567" s="341">
        <v>45536</v>
      </c>
      <c r="V2567" s="345">
        <v>45900</v>
      </c>
      <c r="W2567" s="158" t="s">
        <v>250</v>
      </c>
      <c r="X2567" s="158"/>
      <c r="Y2567" s="164">
        <f t="shared" ca="1" si="176"/>
        <v>46290</v>
      </c>
      <c r="Z2567" s="207">
        <f t="shared" ca="1" si="173"/>
        <v>-390</v>
      </c>
      <c r="AA2567" s="158">
        <f t="shared" si="174"/>
        <v>8</v>
      </c>
      <c r="AB2567" s="158">
        <f t="shared" si="171"/>
        <v>2025</v>
      </c>
      <c r="AC2567" s="159"/>
      <c r="AD2567" s="159"/>
      <c r="AE2567" s="158"/>
      <c r="AF2567" s="158" t="s">
        <v>356</v>
      </c>
      <c r="AG2567" s="160"/>
      <c r="AH2567" s="160"/>
      <c r="AI2567" s="158"/>
      <c r="AJ2567" s="158"/>
      <c r="AK2567" s="158"/>
      <c r="AL2567" s="158"/>
      <c r="AM2567" s="158"/>
      <c r="AN2567" s="158"/>
      <c r="AO2567" s="158"/>
      <c r="AP2567" s="158"/>
      <c r="AQ2567" s="158"/>
      <c r="AR2567" s="507"/>
      <c r="AS2567" s="475"/>
      <c r="AT2567" s="160"/>
    </row>
    <row r="2568" spans="1:46" ht="15" hidden="1" customHeight="1">
      <c r="A2568" s="331">
        <v>2567</v>
      </c>
      <c r="B2568" s="234" t="s">
        <v>8675</v>
      </c>
      <c r="C2568" s="310" t="s">
        <v>11575</v>
      </c>
      <c r="D2568" s="447" t="s">
        <v>8677</v>
      </c>
      <c r="E2568" s="361" t="str">
        <f t="shared" ca="1" si="175"/>
        <v>LOSS</v>
      </c>
      <c r="F2568" s="160"/>
      <c r="G2568" s="234" t="s">
        <v>8691</v>
      </c>
      <c r="H2568" s="160" t="s">
        <v>8588</v>
      </c>
      <c r="I2568" s="160" t="s">
        <v>511</v>
      </c>
      <c r="J2568" s="159"/>
      <c r="K2568" s="314" t="s">
        <v>11576</v>
      </c>
      <c r="L2568" s="158"/>
      <c r="M2568" s="208" t="s">
        <v>353</v>
      </c>
      <c r="N2568" s="158" t="s">
        <v>468</v>
      </c>
      <c r="O2568" s="162"/>
      <c r="P2568" s="161">
        <v>64800000</v>
      </c>
      <c r="Q2568" s="161"/>
      <c r="R2568" s="162"/>
      <c r="S2568" s="211"/>
      <c r="T2568" s="213">
        <v>0.35</v>
      </c>
      <c r="U2568" s="341">
        <v>45536</v>
      </c>
      <c r="V2568" s="345">
        <v>45900</v>
      </c>
      <c r="W2568" s="158" t="s">
        <v>250</v>
      </c>
      <c r="X2568" s="158"/>
      <c r="Y2568" s="164">
        <f t="shared" ca="1" si="176"/>
        <v>46290</v>
      </c>
      <c r="Z2568" s="207">
        <f t="shared" ca="1" si="173"/>
        <v>-390</v>
      </c>
      <c r="AA2568" s="158">
        <f t="shared" si="174"/>
        <v>8</v>
      </c>
      <c r="AB2568" s="158">
        <f t="shared" si="171"/>
        <v>2025</v>
      </c>
      <c r="AC2568" s="159"/>
      <c r="AD2568" s="159"/>
      <c r="AE2568" s="158"/>
      <c r="AF2568" s="158" t="s">
        <v>356</v>
      </c>
      <c r="AG2568" s="160"/>
      <c r="AH2568" s="160"/>
      <c r="AI2568" s="158"/>
      <c r="AJ2568" s="158"/>
      <c r="AK2568" s="158"/>
      <c r="AL2568" s="158"/>
      <c r="AM2568" s="158"/>
      <c r="AN2568" s="158"/>
      <c r="AO2568" s="158"/>
      <c r="AP2568" s="158"/>
      <c r="AQ2568" s="158"/>
      <c r="AR2568" s="507"/>
      <c r="AS2568" s="475"/>
      <c r="AT2568" s="160"/>
    </row>
    <row r="2569" spans="1:46" ht="15" hidden="1" customHeight="1">
      <c r="A2569" s="331">
        <v>2568</v>
      </c>
      <c r="B2569" s="234" t="s">
        <v>8675</v>
      </c>
      <c r="C2569" s="310" t="s">
        <v>11577</v>
      </c>
      <c r="D2569" s="447" t="s">
        <v>8677</v>
      </c>
      <c r="E2569" s="361" t="str">
        <f t="shared" ca="1" si="175"/>
        <v>LOSS</v>
      </c>
      <c r="F2569" s="160"/>
      <c r="G2569" s="234" t="s">
        <v>8694</v>
      </c>
      <c r="H2569" s="160" t="s">
        <v>8588</v>
      </c>
      <c r="I2569" s="160" t="s">
        <v>511</v>
      </c>
      <c r="J2569" s="159"/>
      <c r="K2569" s="314" t="s">
        <v>11578</v>
      </c>
      <c r="L2569" s="158"/>
      <c r="M2569" s="208" t="s">
        <v>353</v>
      </c>
      <c r="N2569" s="158" t="s">
        <v>354</v>
      </c>
      <c r="O2569" s="162"/>
      <c r="P2569" s="161">
        <v>60000000</v>
      </c>
      <c r="Q2569" s="161"/>
      <c r="R2569" s="162"/>
      <c r="S2569" s="211"/>
      <c r="T2569" s="213">
        <v>0.35</v>
      </c>
      <c r="U2569" s="341">
        <v>45536</v>
      </c>
      <c r="V2569" s="345">
        <v>45900</v>
      </c>
      <c r="W2569" s="158" t="s">
        <v>250</v>
      </c>
      <c r="X2569" s="158"/>
      <c r="Y2569" s="164">
        <f t="shared" ca="1" si="176"/>
        <v>46290</v>
      </c>
      <c r="Z2569" s="207">
        <f t="shared" ca="1" si="173"/>
        <v>-390</v>
      </c>
      <c r="AA2569" s="158">
        <f t="shared" si="174"/>
        <v>8</v>
      </c>
      <c r="AB2569" s="158">
        <f t="shared" ref="AB2569:AB2632" si="177">YEAR(V2569)</f>
        <v>2025</v>
      </c>
      <c r="AC2569" s="159"/>
      <c r="AD2569" s="159"/>
      <c r="AE2569" s="158"/>
      <c r="AF2569" s="158" t="s">
        <v>356</v>
      </c>
      <c r="AG2569" s="160"/>
      <c r="AH2569" s="160"/>
      <c r="AI2569" s="158"/>
      <c r="AJ2569" s="158"/>
      <c r="AK2569" s="158"/>
      <c r="AL2569" s="158"/>
      <c r="AM2569" s="158"/>
      <c r="AN2569" s="158"/>
      <c r="AO2569" s="158"/>
      <c r="AP2569" s="158"/>
      <c r="AQ2569" s="158"/>
      <c r="AR2569" s="507"/>
      <c r="AS2569" s="475"/>
      <c r="AT2569" s="160"/>
    </row>
    <row r="2570" spans="1:46" ht="15" hidden="1" customHeight="1">
      <c r="A2570" s="331">
        <v>2569</v>
      </c>
      <c r="B2570" s="234" t="s">
        <v>8675</v>
      </c>
      <c r="C2570" s="310" t="s">
        <v>8699</v>
      </c>
      <c r="D2570" s="447" t="s">
        <v>8677</v>
      </c>
      <c r="E2570" s="361" t="str">
        <f t="shared" ca="1" si="175"/>
        <v>LOSS</v>
      </c>
      <c r="F2570" s="160"/>
      <c r="G2570" s="234" t="s">
        <v>8697</v>
      </c>
      <c r="H2570" s="160" t="s">
        <v>8588</v>
      </c>
      <c r="I2570" s="160" t="s">
        <v>511</v>
      </c>
      <c r="J2570" s="159"/>
      <c r="K2570" s="314" t="s">
        <v>11579</v>
      </c>
      <c r="L2570" s="158"/>
      <c r="M2570" s="208" t="s">
        <v>353</v>
      </c>
      <c r="N2570" s="158" t="s">
        <v>406</v>
      </c>
      <c r="O2570" s="162"/>
      <c r="P2570" s="161">
        <v>117000000</v>
      </c>
      <c r="Q2570" s="161"/>
      <c r="R2570" s="162"/>
      <c r="S2570" s="211"/>
      <c r="T2570" s="213">
        <v>0.35</v>
      </c>
      <c r="U2570" s="341">
        <v>45536</v>
      </c>
      <c r="V2570" s="345">
        <v>45900</v>
      </c>
      <c r="W2570" s="158" t="s">
        <v>250</v>
      </c>
      <c r="X2570" s="158"/>
      <c r="Y2570" s="164">
        <f t="shared" ca="1" si="176"/>
        <v>46290</v>
      </c>
      <c r="Z2570" s="207">
        <f t="shared" ca="1" si="173"/>
        <v>-390</v>
      </c>
      <c r="AA2570" s="158">
        <f t="shared" si="174"/>
        <v>8</v>
      </c>
      <c r="AB2570" s="158">
        <f t="shared" si="177"/>
        <v>2025</v>
      </c>
      <c r="AC2570" s="159"/>
      <c r="AD2570" s="159"/>
      <c r="AE2570" s="158"/>
      <c r="AF2570" s="158" t="s">
        <v>356</v>
      </c>
      <c r="AG2570" s="160"/>
      <c r="AH2570" s="160"/>
      <c r="AI2570" s="158"/>
      <c r="AJ2570" s="158"/>
      <c r="AK2570" s="158"/>
      <c r="AL2570" s="158"/>
      <c r="AM2570" s="158"/>
      <c r="AN2570" s="158"/>
      <c r="AO2570" s="158"/>
      <c r="AP2570" s="158"/>
      <c r="AQ2570" s="158"/>
      <c r="AR2570" s="507"/>
      <c r="AS2570" s="475"/>
      <c r="AT2570" s="160"/>
    </row>
    <row r="2571" spans="1:46" ht="15" hidden="1" customHeight="1">
      <c r="A2571" s="331">
        <v>2570</v>
      </c>
      <c r="B2571" s="234" t="s">
        <v>8675</v>
      </c>
      <c r="C2571" s="310" t="s">
        <v>8703</v>
      </c>
      <c r="D2571" s="447" t="s">
        <v>8677</v>
      </c>
      <c r="E2571" s="361" t="str">
        <f t="shared" ca="1" si="175"/>
        <v>LOSS</v>
      </c>
      <c r="F2571" s="160"/>
      <c r="G2571" s="234" t="s">
        <v>8700</v>
      </c>
      <c r="H2571" s="160" t="s">
        <v>8588</v>
      </c>
      <c r="I2571" s="160" t="s">
        <v>511</v>
      </c>
      <c r="J2571" s="159"/>
      <c r="K2571" s="314" t="s">
        <v>11580</v>
      </c>
      <c r="L2571" s="158"/>
      <c r="M2571" s="208" t="s">
        <v>353</v>
      </c>
      <c r="N2571" s="158" t="s">
        <v>8702</v>
      </c>
      <c r="O2571" s="162"/>
      <c r="P2571" s="161">
        <v>78000000</v>
      </c>
      <c r="Q2571" s="161"/>
      <c r="R2571" s="162"/>
      <c r="S2571" s="211"/>
      <c r="T2571" s="213">
        <v>0.35</v>
      </c>
      <c r="U2571" s="341">
        <v>45536</v>
      </c>
      <c r="V2571" s="345">
        <v>45900</v>
      </c>
      <c r="W2571" s="158" t="s">
        <v>250</v>
      </c>
      <c r="X2571" s="158"/>
      <c r="Y2571" s="164">
        <f t="shared" ca="1" si="176"/>
        <v>46290</v>
      </c>
      <c r="Z2571" s="207">
        <f t="shared" ca="1" si="173"/>
        <v>-390</v>
      </c>
      <c r="AA2571" s="158">
        <f t="shared" si="174"/>
        <v>8</v>
      </c>
      <c r="AB2571" s="158">
        <f t="shared" si="177"/>
        <v>2025</v>
      </c>
      <c r="AC2571" s="159"/>
      <c r="AD2571" s="159"/>
      <c r="AE2571" s="158"/>
      <c r="AF2571" s="158" t="s">
        <v>356</v>
      </c>
      <c r="AG2571" s="160"/>
      <c r="AH2571" s="160"/>
      <c r="AI2571" s="158"/>
      <c r="AJ2571" s="158"/>
      <c r="AK2571" s="158"/>
      <c r="AL2571" s="158"/>
      <c r="AM2571" s="158"/>
      <c r="AN2571" s="158"/>
      <c r="AO2571" s="158"/>
      <c r="AP2571" s="158"/>
      <c r="AQ2571" s="158"/>
      <c r="AR2571" s="507"/>
      <c r="AS2571" s="475"/>
      <c r="AT2571" s="160"/>
    </row>
    <row r="2572" spans="1:46" ht="15" hidden="1" customHeight="1">
      <c r="A2572" s="331">
        <v>2571</v>
      </c>
      <c r="B2572" s="234" t="s">
        <v>8675</v>
      </c>
      <c r="C2572" s="310" t="s">
        <v>11581</v>
      </c>
      <c r="D2572" s="447" t="s">
        <v>8677</v>
      </c>
      <c r="E2572" s="361" t="str">
        <f t="shared" ca="1" si="175"/>
        <v>LOSS</v>
      </c>
      <c r="F2572" s="160"/>
      <c r="G2572" s="234" t="s">
        <v>8704</v>
      </c>
      <c r="H2572" s="160" t="s">
        <v>8588</v>
      </c>
      <c r="I2572" s="160" t="s">
        <v>511</v>
      </c>
      <c r="J2572" s="159"/>
      <c r="K2572" s="314" t="s">
        <v>11582</v>
      </c>
      <c r="L2572" s="158"/>
      <c r="M2572" s="208" t="s">
        <v>353</v>
      </c>
      <c r="N2572" s="158" t="s">
        <v>362</v>
      </c>
      <c r="O2572" s="162"/>
      <c r="P2572" s="161">
        <v>120000000</v>
      </c>
      <c r="Q2572" s="161"/>
      <c r="R2572" s="162"/>
      <c r="S2572" s="211"/>
      <c r="T2572" s="213">
        <v>0.35</v>
      </c>
      <c r="U2572" s="341">
        <v>45536</v>
      </c>
      <c r="V2572" s="345">
        <v>45900</v>
      </c>
      <c r="W2572" s="158" t="s">
        <v>250</v>
      </c>
      <c r="X2572" s="158"/>
      <c r="Y2572" s="164">
        <f t="shared" ca="1" si="176"/>
        <v>46290</v>
      </c>
      <c r="Z2572" s="207">
        <f t="shared" ca="1" si="173"/>
        <v>-390</v>
      </c>
      <c r="AA2572" s="158">
        <f t="shared" si="174"/>
        <v>8</v>
      </c>
      <c r="AB2572" s="158">
        <f t="shared" si="177"/>
        <v>2025</v>
      </c>
      <c r="AC2572" s="159"/>
      <c r="AD2572" s="159"/>
      <c r="AE2572" s="158"/>
      <c r="AF2572" s="158" t="s">
        <v>356</v>
      </c>
      <c r="AG2572" s="160"/>
      <c r="AH2572" s="160"/>
      <c r="AI2572" s="158"/>
      <c r="AJ2572" s="158"/>
      <c r="AK2572" s="158"/>
      <c r="AL2572" s="158"/>
      <c r="AM2572" s="158"/>
      <c r="AN2572" s="158"/>
      <c r="AO2572" s="158"/>
      <c r="AP2572" s="158"/>
      <c r="AQ2572" s="158"/>
      <c r="AR2572" s="507"/>
      <c r="AS2572" s="475"/>
      <c r="AT2572" s="160"/>
    </row>
    <row r="2573" spans="1:46" ht="15" hidden="1" customHeight="1">
      <c r="A2573" s="331">
        <v>2572</v>
      </c>
      <c r="B2573" s="234" t="s">
        <v>8675</v>
      </c>
      <c r="C2573" s="310" t="s">
        <v>8800</v>
      </c>
      <c r="D2573" s="447" t="s">
        <v>8677</v>
      </c>
      <c r="E2573" s="361" t="str">
        <f t="shared" ca="1" si="175"/>
        <v>LOSS</v>
      </c>
      <c r="F2573" s="160"/>
      <c r="G2573" s="234" t="s">
        <v>8707</v>
      </c>
      <c r="H2573" s="160" t="s">
        <v>8588</v>
      </c>
      <c r="I2573" s="160" t="s">
        <v>511</v>
      </c>
      <c r="J2573" s="159"/>
      <c r="K2573" s="313" t="s">
        <v>11583</v>
      </c>
      <c r="L2573" s="158"/>
      <c r="M2573" s="208" t="s">
        <v>8709</v>
      </c>
      <c r="N2573" s="158" t="s">
        <v>362</v>
      </c>
      <c r="O2573" s="162"/>
      <c r="P2573" s="161">
        <v>162000000</v>
      </c>
      <c r="Q2573" s="161"/>
      <c r="R2573" s="162"/>
      <c r="S2573" s="211"/>
      <c r="T2573" s="213">
        <v>0.35</v>
      </c>
      <c r="U2573" s="341">
        <v>45536</v>
      </c>
      <c r="V2573" s="345">
        <v>45900</v>
      </c>
      <c r="W2573" s="158" t="s">
        <v>250</v>
      </c>
      <c r="X2573" s="158"/>
      <c r="Y2573" s="164">
        <f t="shared" ca="1" si="176"/>
        <v>46290</v>
      </c>
      <c r="Z2573" s="207">
        <f t="shared" ca="1" si="173"/>
        <v>-390</v>
      </c>
      <c r="AA2573" s="158">
        <f t="shared" si="174"/>
        <v>8</v>
      </c>
      <c r="AB2573" s="158">
        <f t="shared" si="177"/>
        <v>2025</v>
      </c>
      <c r="AC2573" s="159"/>
      <c r="AD2573" s="159"/>
      <c r="AE2573" s="158"/>
      <c r="AF2573" s="158" t="s">
        <v>356</v>
      </c>
      <c r="AG2573" s="160"/>
      <c r="AH2573" s="160"/>
      <c r="AI2573" s="158"/>
      <c r="AJ2573" s="158"/>
      <c r="AK2573" s="158"/>
      <c r="AL2573" s="158"/>
      <c r="AM2573" s="158"/>
      <c r="AN2573" s="158"/>
      <c r="AO2573" s="158"/>
      <c r="AP2573" s="158"/>
      <c r="AQ2573" s="158"/>
      <c r="AR2573" s="507"/>
      <c r="AS2573" s="475"/>
      <c r="AT2573" s="160"/>
    </row>
    <row r="2574" spans="1:46" ht="15" hidden="1" customHeight="1">
      <c r="A2574" s="331">
        <v>2573</v>
      </c>
      <c r="B2574" s="234" t="s">
        <v>8675</v>
      </c>
      <c r="C2574" s="222" t="s">
        <v>11584</v>
      </c>
      <c r="D2574" s="447" t="s">
        <v>8677</v>
      </c>
      <c r="E2574" s="361" t="str">
        <f t="shared" ca="1" si="175"/>
        <v>LOSS</v>
      </c>
      <c r="F2574" s="160"/>
      <c r="G2574" s="234" t="s">
        <v>8948</v>
      </c>
      <c r="H2574" s="160" t="s">
        <v>8588</v>
      </c>
      <c r="I2574" s="160" t="s">
        <v>511</v>
      </c>
      <c r="J2574" s="159"/>
      <c r="K2574" s="315" t="s">
        <v>8949</v>
      </c>
      <c r="L2574" s="158"/>
      <c r="M2574" s="208" t="s">
        <v>8709</v>
      </c>
      <c r="N2574" s="158" t="s">
        <v>11585</v>
      </c>
      <c r="O2574" s="162"/>
      <c r="P2574" s="161">
        <f>2450000*12</f>
        <v>29400000</v>
      </c>
      <c r="Q2574" s="161"/>
      <c r="R2574" s="162"/>
      <c r="S2574" s="211"/>
      <c r="T2574" s="213">
        <v>0.35</v>
      </c>
      <c r="U2574" s="341">
        <v>45536</v>
      </c>
      <c r="V2574" s="345">
        <v>45900</v>
      </c>
      <c r="W2574" s="158" t="s">
        <v>250</v>
      </c>
      <c r="X2574" s="158"/>
      <c r="Y2574" s="164">
        <f t="shared" ca="1" si="176"/>
        <v>46290</v>
      </c>
      <c r="Z2574" s="207">
        <f t="shared" ca="1" si="173"/>
        <v>-390</v>
      </c>
      <c r="AA2574" s="158">
        <f t="shared" si="174"/>
        <v>8</v>
      </c>
      <c r="AB2574" s="158">
        <f t="shared" si="177"/>
        <v>2025</v>
      </c>
      <c r="AC2574" s="159"/>
      <c r="AD2574" s="159"/>
      <c r="AE2574" s="158"/>
      <c r="AF2574" s="158" t="s">
        <v>356</v>
      </c>
      <c r="AG2574" s="160"/>
      <c r="AH2574" s="160"/>
      <c r="AI2574" s="158"/>
      <c r="AJ2574" s="158"/>
      <c r="AK2574" s="158"/>
      <c r="AL2574" s="158"/>
      <c r="AM2574" s="158"/>
      <c r="AN2574" s="158"/>
      <c r="AO2574" s="158"/>
      <c r="AP2574" s="158"/>
      <c r="AQ2574" s="158"/>
      <c r="AR2574" s="507"/>
      <c r="AS2574" s="475"/>
      <c r="AT2574" s="160"/>
    </row>
    <row r="2575" spans="1:46" ht="15" hidden="1" customHeight="1">
      <c r="A2575" s="331">
        <v>2574</v>
      </c>
      <c r="B2575" s="234" t="s">
        <v>8675</v>
      </c>
      <c r="C2575" s="159" t="s">
        <v>11569</v>
      </c>
      <c r="D2575" s="447" t="s">
        <v>8677</v>
      </c>
      <c r="E2575" s="361" t="str">
        <f t="shared" ca="1" si="175"/>
        <v>LOSS</v>
      </c>
      <c r="F2575" s="160"/>
      <c r="G2575" s="234" t="s">
        <v>8678</v>
      </c>
      <c r="H2575" s="160" t="s">
        <v>8588</v>
      </c>
      <c r="I2575" s="160" t="s">
        <v>511</v>
      </c>
      <c r="J2575" s="159"/>
      <c r="K2575" s="181" t="s">
        <v>11570</v>
      </c>
      <c r="L2575" s="158"/>
      <c r="M2575" s="208" t="s">
        <v>353</v>
      </c>
      <c r="N2575" s="158" t="s">
        <v>406</v>
      </c>
      <c r="O2575" s="162"/>
      <c r="P2575" s="161">
        <v>97200000</v>
      </c>
      <c r="Q2575" s="161"/>
      <c r="R2575" s="162"/>
      <c r="S2575" s="211"/>
      <c r="T2575" s="213">
        <v>0.35</v>
      </c>
      <c r="U2575" s="341">
        <v>45901</v>
      </c>
      <c r="V2575" s="345">
        <v>46265</v>
      </c>
      <c r="W2575" s="158" t="s">
        <v>17</v>
      </c>
      <c r="X2575" s="158"/>
      <c r="Y2575" s="164">
        <f t="shared" ca="1" si="176"/>
        <v>46290</v>
      </c>
      <c r="Z2575" s="207">
        <f t="shared" ca="1" si="173"/>
        <v>-25</v>
      </c>
      <c r="AA2575" s="158">
        <f t="shared" si="174"/>
        <v>8</v>
      </c>
      <c r="AB2575" s="158">
        <f t="shared" si="177"/>
        <v>2026</v>
      </c>
      <c r="AC2575" s="159"/>
      <c r="AD2575" s="159"/>
      <c r="AE2575" s="158"/>
      <c r="AF2575" s="158" t="s">
        <v>356</v>
      </c>
      <c r="AG2575" s="160"/>
      <c r="AH2575" s="160"/>
      <c r="AI2575" s="158"/>
      <c r="AJ2575" s="158"/>
      <c r="AK2575" s="158"/>
      <c r="AL2575" s="158"/>
      <c r="AM2575" s="158"/>
      <c r="AN2575" s="158"/>
      <c r="AO2575" s="158"/>
      <c r="AP2575" s="158"/>
      <c r="AQ2575" s="158"/>
      <c r="AR2575" s="507"/>
      <c r="AS2575" s="475"/>
      <c r="AT2575" s="160"/>
    </row>
    <row r="2576" spans="1:46" ht="15" hidden="1" customHeight="1">
      <c r="A2576" s="331">
        <v>2575</v>
      </c>
      <c r="B2576" s="234" t="s">
        <v>8675</v>
      </c>
      <c r="C2576" s="159" t="s">
        <v>11571</v>
      </c>
      <c r="D2576" s="447" t="s">
        <v>8677</v>
      </c>
      <c r="E2576" s="361" t="str">
        <f t="shared" ca="1" si="175"/>
        <v>LOSS</v>
      </c>
      <c r="F2576" s="160"/>
      <c r="G2576" s="234" t="s">
        <v>8682</v>
      </c>
      <c r="H2576" s="160" t="s">
        <v>8588</v>
      </c>
      <c r="I2576" s="160" t="s">
        <v>511</v>
      </c>
      <c r="J2576" s="159"/>
      <c r="K2576" s="181" t="s">
        <v>11572</v>
      </c>
      <c r="L2576" s="158"/>
      <c r="M2576" s="208" t="s">
        <v>353</v>
      </c>
      <c r="N2576" s="158" t="s">
        <v>389</v>
      </c>
      <c r="O2576" s="162"/>
      <c r="P2576" s="161">
        <v>171000000</v>
      </c>
      <c r="Q2576" s="161"/>
      <c r="R2576" s="162"/>
      <c r="S2576" s="211"/>
      <c r="T2576" s="213">
        <v>0.35</v>
      </c>
      <c r="U2576" s="341">
        <v>45901</v>
      </c>
      <c r="V2576" s="345">
        <v>46265</v>
      </c>
      <c r="W2576" s="158" t="s">
        <v>17</v>
      </c>
      <c r="X2576" s="158"/>
      <c r="Y2576" s="164">
        <f t="shared" ca="1" si="176"/>
        <v>46290</v>
      </c>
      <c r="Z2576" s="207">
        <f t="shared" ca="1" si="173"/>
        <v>-25</v>
      </c>
      <c r="AA2576" s="158">
        <f t="shared" si="174"/>
        <v>8</v>
      </c>
      <c r="AB2576" s="158">
        <f t="shared" si="177"/>
        <v>2026</v>
      </c>
      <c r="AC2576" s="159"/>
      <c r="AD2576" s="159"/>
      <c r="AE2576" s="158"/>
      <c r="AF2576" s="158" t="s">
        <v>356</v>
      </c>
      <c r="AG2576" s="160"/>
      <c r="AH2576" s="160"/>
      <c r="AI2576" s="158"/>
      <c r="AJ2576" s="158"/>
      <c r="AK2576" s="158"/>
      <c r="AL2576" s="158"/>
      <c r="AM2576" s="158"/>
      <c r="AN2576" s="158"/>
      <c r="AO2576" s="158"/>
      <c r="AP2576" s="158"/>
      <c r="AQ2576" s="158"/>
      <c r="AR2576" s="507"/>
      <c r="AS2576" s="475"/>
      <c r="AT2576" s="160"/>
    </row>
    <row r="2577" spans="1:46" ht="15" hidden="1" customHeight="1">
      <c r="A2577" s="331">
        <v>2576</v>
      </c>
      <c r="B2577" s="234" t="s">
        <v>8675</v>
      </c>
      <c r="C2577" s="159" t="s">
        <v>8684</v>
      </c>
      <c r="D2577" s="447" t="s">
        <v>8677</v>
      </c>
      <c r="E2577" s="361" t="str">
        <f t="shared" ca="1" si="175"/>
        <v>LOSS</v>
      </c>
      <c r="F2577" s="160"/>
      <c r="G2577" s="234" t="s">
        <v>8685</v>
      </c>
      <c r="H2577" s="160" t="s">
        <v>8588</v>
      </c>
      <c r="I2577" s="160" t="s">
        <v>511</v>
      </c>
      <c r="J2577" s="159"/>
      <c r="K2577" s="181" t="s">
        <v>11573</v>
      </c>
      <c r="L2577" s="158"/>
      <c r="M2577" s="208" t="s">
        <v>353</v>
      </c>
      <c r="N2577" s="158" t="s">
        <v>354</v>
      </c>
      <c r="O2577" s="162"/>
      <c r="P2577" s="161">
        <v>90000000</v>
      </c>
      <c r="Q2577" s="161"/>
      <c r="R2577" s="162"/>
      <c r="S2577" s="211"/>
      <c r="T2577" s="213">
        <v>0.35</v>
      </c>
      <c r="U2577" s="341">
        <v>45901</v>
      </c>
      <c r="V2577" s="345">
        <v>46265</v>
      </c>
      <c r="W2577" s="158" t="s">
        <v>17</v>
      </c>
      <c r="X2577" s="158"/>
      <c r="Y2577" s="164">
        <f t="shared" ca="1" si="176"/>
        <v>46290</v>
      </c>
      <c r="Z2577" s="207">
        <f t="shared" ca="1" si="173"/>
        <v>-25</v>
      </c>
      <c r="AA2577" s="158">
        <f t="shared" si="174"/>
        <v>8</v>
      </c>
      <c r="AB2577" s="158">
        <f t="shared" si="177"/>
        <v>2026</v>
      </c>
      <c r="AC2577" s="159"/>
      <c r="AD2577" s="159"/>
      <c r="AE2577" s="158"/>
      <c r="AF2577" s="158" t="s">
        <v>356</v>
      </c>
      <c r="AG2577" s="160"/>
      <c r="AH2577" s="160"/>
      <c r="AI2577" s="158"/>
      <c r="AJ2577" s="158"/>
      <c r="AK2577" s="158"/>
      <c r="AL2577" s="158"/>
      <c r="AM2577" s="158"/>
      <c r="AN2577" s="158"/>
      <c r="AO2577" s="158"/>
      <c r="AP2577" s="158"/>
      <c r="AQ2577" s="158"/>
      <c r="AR2577" s="507"/>
      <c r="AS2577" s="475"/>
      <c r="AT2577" s="160"/>
    </row>
    <row r="2578" spans="1:46" ht="15" hidden="1" customHeight="1">
      <c r="A2578" s="331">
        <v>2577</v>
      </c>
      <c r="B2578" s="234" t="s">
        <v>8675</v>
      </c>
      <c r="C2578" s="222" t="s">
        <v>8687</v>
      </c>
      <c r="D2578" s="447" t="s">
        <v>8677</v>
      </c>
      <c r="E2578" s="361" t="str">
        <f t="shared" ca="1" si="175"/>
        <v>LOSS</v>
      </c>
      <c r="F2578" s="160"/>
      <c r="G2578" s="234" t="s">
        <v>8688</v>
      </c>
      <c r="H2578" s="160" t="s">
        <v>8588</v>
      </c>
      <c r="I2578" s="160" t="s">
        <v>511</v>
      </c>
      <c r="J2578" s="159"/>
      <c r="K2578" s="160" t="s">
        <v>11574</v>
      </c>
      <c r="L2578" s="158"/>
      <c r="M2578" s="208" t="s">
        <v>353</v>
      </c>
      <c r="N2578" s="158" t="s">
        <v>8689</v>
      </c>
      <c r="O2578" s="162"/>
      <c r="P2578" s="161">
        <v>96000000</v>
      </c>
      <c r="Q2578" s="161"/>
      <c r="R2578" s="162"/>
      <c r="S2578" s="211"/>
      <c r="T2578" s="213">
        <v>0.35</v>
      </c>
      <c r="U2578" s="341">
        <v>45901</v>
      </c>
      <c r="V2578" s="345">
        <v>46265</v>
      </c>
      <c r="W2578" s="158" t="s">
        <v>17</v>
      </c>
      <c r="X2578" s="158"/>
      <c r="Y2578" s="164">
        <f t="shared" ca="1" si="176"/>
        <v>46290</v>
      </c>
      <c r="Z2578" s="207">
        <f t="shared" ca="1" si="173"/>
        <v>-25</v>
      </c>
      <c r="AA2578" s="158">
        <f t="shared" si="174"/>
        <v>8</v>
      </c>
      <c r="AB2578" s="158">
        <f t="shared" si="177"/>
        <v>2026</v>
      </c>
      <c r="AC2578" s="159"/>
      <c r="AD2578" s="159"/>
      <c r="AE2578" s="158"/>
      <c r="AF2578" s="158" t="s">
        <v>356</v>
      </c>
      <c r="AG2578" s="160"/>
      <c r="AH2578" s="160"/>
      <c r="AI2578" s="158"/>
      <c r="AJ2578" s="158"/>
      <c r="AK2578" s="158"/>
      <c r="AL2578" s="158"/>
      <c r="AM2578" s="158"/>
      <c r="AN2578" s="158"/>
      <c r="AO2578" s="158"/>
      <c r="AP2578" s="158"/>
      <c r="AQ2578" s="158"/>
      <c r="AR2578" s="507"/>
      <c r="AS2578" s="475"/>
      <c r="AT2578" s="160"/>
    </row>
    <row r="2579" spans="1:46" ht="15" hidden="1" customHeight="1">
      <c r="A2579" s="331">
        <v>2578</v>
      </c>
      <c r="B2579" s="234" t="s">
        <v>8675</v>
      </c>
      <c r="C2579" s="222" t="s">
        <v>11575</v>
      </c>
      <c r="D2579" s="447" t="s">
        <v>8677</v>
      </c>
      <c r="E2579" s="361" t="str">
        <f t="shared" ca="1" si="175"/>
        <v>LOSS</v>
      </c>
      <c r="F2579" s="160"/>
      <c r="G2579" s="234" t="s">
        <v>8691</v>
      </c>
      <c r="H2579" s="160" t="s">
        <v>8588</v>
      </c>
      <c r="I2579" s="160" t="s">
        <v>511</v>
      </c>
      <c r="J2579" s="159"/>
      <c r="K2579" s="160" t="s">
        <v>11576</v>
      </c>
      <c r="L2579" s="158"/>
      <c r="M2579" s="208" t="s">
        <v>353</v>
      </c>
      <c r="N2579" s="158" t="s">
        <v>468</v>
      </c>
      <c r="O2579" s="162"/>
      <c r="P2579" s="161">
        <v>64800000</v>
      </c>
      <c r="Q2579" s="161"/>
      <c r="R2579" s="162"/>
      <c r="S2579" s="211"/>
      <c r="T2579" s="213">
        <v>0.35</v>
      </c>
      <c r="U2579" s="341">
        <v>45901</v>
      </c>
      <c r="V2579" s="345">
        <v>46265</v>
      </c>
      <c r="W2579" s="158" t="s">
        <v>17</v>
      </c>
      <c r="X2579" s="158"/>
      <c r="Y2579" s="164">
        <f t="shared" ca="1" si="176"/>
        <v>46290</v>
      </c>
      <c r="Z2579" s="207">
        <f t="shared" ca="1" si="173"/>
        <v>-25</v>
      </c>
      <c r="AA2579" s="158">
        <f t="shared" si="174"/>
        <v>8</v>
      </c>
      <c r="AB2579" s="158">
        <f t="shared" si="177"/>
        <v>2026</v>
      </c>
      <c r="AC2579" s="159"/>
      <c r="AD2579" s="159"/>
      <c r="AE2579" s="158"/>
      <c r="AF2579" s="158" t="s">
        <v>356</v>
      </c>
      <c r="AG2579" s="160"/>
      <c r="AH2579" s="160"/>
      <c r="AI2579" s="158"/>
      <c r="AJ2579" s="158"/>
      <c r="AK2579" s="158"/>
      <c r="AL2579" s="158"/>
      <c r="AM2579" s="158"/>
      <c r="AN2579" s="158"/>
      <c r="AO2579" s="158"/>
      <c r="AP2579" s="158"/>
      <c r="AQ2579" s="158"/>
      <c r="AR2579" s="507"/>
      <c r="AS2579" s="475"/>
      <c r="AT2579" s="160"/>
    </row>
    <row r="2580" spans="1:46" ht="15" hidden="1" customHeight="1">
      <c r="A2580" s="331">
        <v>2579</v>
      </c>
      <c r="B2580" s="234" t="s">
        <v>8675</v>
      </c>
      <c r="C2580" s="222" t="s">
        <v>11577</v>
      </c>
      <c r="D2580" s="447" t="s">
        <v>8677</v>
      </c>
      <c r="E2580" s="361" t="str">
        <f t="shared" ca="1" si="175"/>
        <v>LOSS</v>
      </c>
      <c r="F2580" s="160"/>
      <c r="G2580" s="234" t="s">
        <v>8694</v>
      </c>
      <c r="H2580" s="160" t="s">
        <v>8588</v>
      </c>
      <c r="I2580" s="160" t="s">
        <v>511</v>
      </c>
      <c r="J2580" s="159"/>
      <c r="K2580" s="160" t="s">
        <v>11578</v>
      </c>
      <c r="L2580" s="158"/>
      <c r="M2580" s="208" t="s">
        <v>353</v>
      </c>
      <c r="N2580" s="158" t="s">
        <v>354</v>
      </c>
      <c r="O2580" s="162"/>
      <c r="P2580" s="161">
        <v>60000000</v>
      </c>
      <c r="Q2580" s="161"/>
      <c r="R2580" s="162"/>
      <c r="S2580" s="211"/>
      <c r="T2580" s="213">
        <v>0.35</v>
      </c>
      <c r="U2580" s="341">
        <v>45901</v>
      </c>
      <c r="V2580" s="345">
        <v>46265</v>
      </c>
      <c r="W2580" s="158" t="s">
        <v>17</v>
      </c>
      <c r="X2580" s="158"/>
      <c r="Y2580" s="164">
        <f t="shared" ca="1" si="176"/>
        <v>46290</v>
      </c>
      <c r="Z2580" s="207">
        <f t="shared" ca="1" si="173"/>
        <v>-25</v>
      </c>
      <c r="AA2580" s="158">
        <f t="shared" si="174"/>
        <v>8</v>
      </c>
      <c r="AB2580" s="158">
        <f t="shared" si="177"/>
        <v>2026</v>
      </c>
      <c r="AC2580" s="159"/>
      <c r="AD2580" s="159"/>
      <c r="AE2580" s="158"/>
      <c r="AF2580" s="158" t="s">
        <v>356</v>
      </c>
      <c r="AG2580" s="160"/>
      <c r="AH2580" s="160"/>
      <c r="AI2580" s="158"/>
      <c r="AJ2580" s="158"/>
      <c r="AK2580" s="158"/>
      <c r="AL2580" s="158"/>
      <c r="AM2580" s="158"/>
      <c r="AN2580" s="158"/>
      <c r="AO2580" s="158"/>
      <c r="AP2580" s="158"/>
      <c r="AQ2580" s="158"/>
      <c r="AR2580" s="507"/>
      <c r="AS2580" s="475"/>
      <c r="AT2580" s="160"/>
    </row>
    <row r="2581" spans="1:46" ht="15" hidden="1" customHeight="1">
      <c r="A2581" s="331">
        <v>2580</v>
      </c>
      <c r="B2581" s="234" t="s">
        <v>8675</v>
      </c>
      <c r="C2581" s="222" t="s">
        <v>8699</v>
      </c>
      <c r="D2581" s="447" t="s">
        <v>8677</v>
      </c>
      <c r="E2581" s="361" t="str">
        <f t="shared" ca="1" si="175"/>
        <v>LOSS</v>
      </c>
      <c r="F2581" s="160"/>
      <c r="G2581" s="234" t="s">
        <v>8697</v>
      </c>
      <c r="H2581" s="160" t="s">
        <v>8588</v>
      </c>
      <c r="I2581" s="160" t="s">
        <v>511</v>
      </c>
      <c r="J2581" s="159"/>
      <c r="K2581" s="160" t="s">
        <v>11579</v>
      </c>
      <c r="L2581" s="158"/>
      <c r="M2581" s="208" t="s">
        <v>353</v>
      </c>
      <c r="N2581" s="158" t="s">
        <v>406</v>
      </c>
      <c r="O2581" s="162"/>
      <c r="P2581" s="161">
        <v>117000000</v>
      </c>
      <c r="Q2581" s="161"/>
      <c r="R2581" s="162"/>
      <c r="S2581" s="211"/>
      <c r="T2581" s="213">
        <v>0.35</v>
      </c>
      <c r="U2581" s="341">
        <v>45901</v>
      </c>
      <c r="V2581" s="345">
        <v>46265</v>
      </c>
      <c r="W2581" s="158" t="s">
        <v>17</v>
      </c>
      <c r="X2581" s="158"/>
      <c r="Y2581" s="164">
        <f t="shared" ca="1" si="176"/>
        <v>46290</v>
      </c>
      <c r="Z2581" s="207">
        <f t="shared" ca="1" si="173"/>
        <v>-25</v>
      </c>
      <c r="AA2581" s="158">
        <f t="shared" si="174"/>
        <v>8</v>
      </c>
      <c r="AB2581" s="158">
        <f t="shared" si="177"/>
        <v>2026</v>
      </c>
      <c r="AC2581" s="159"/>
      <c r="AD2581" s="159"/>
      <c r="AE2581" s="158"/>
      <c r="AF2581" s="158" t="s">
        <v>356</v>
      </c>
      <c r="AG2581" s="160"/>
      <c r="AH2581" s="160"/>
      <c r="AI2581" s="158"/>
      <c r="AJ2581" s="158"/>
      <c r="AK2581" s="158"/>
      <c r="AL2581" s="158"/>
      <c r="AM2581" s="158"/>
      <c r="AN2581" s="158"/>
      <c r="AO2581" s="158"/>
      <c r="AP2581" s="158"/>
      <c r="AQ2581" s="158"/>
      <c r="AR2581" s="507"/>
      <c r="AS2581" s="475"/>
      <c r="AT2581" s="160"/>
    </row>
    <row r="2582" spans="1:46" ht="15" hidden="1" customHeight="1">
      <c r="A2582" s="331">
        <v>2581</v>
      </c>
      <c r="B2582" s="234" t="s">
        <v>8675</v>
      </c>
      <c r="C2582" s="222" t="s">
        <v>8703</v>
      </c>
      <c r="D2582" s="447" t="s">
        <v>8677</v>
      </c>
      <c r="E2582" s="361" t="str">
        <f t="shared" ca="1" si="175"/>
        <v>LOSS</v>
      </c>
      <c r="F2582" s="160"/>
      <c r="G2582" s="234" t="s">
        <v>8700</v>
      </c>
      <c r="H2582" s="160" t="s">
        <v>8588</v>
      </c>
      <c r="I2582" s="160" t="s">
        <v>511</v>
      </c>
      <c r="J2582" s="159"/>
      <c r="K2582" s="160" t="s">
        <v>11580</v>
      </c>
      <c r="L2582" s="158"/>
      <c r="M2582" s="208" t="s">
        <v>353</v>
      </c>
      <c r="N2582" s="158" t="s">
        <v>8702</v>
      </c>
      <c r="O2582" s="162"/>
      <c r="P2582" s="161">
        <v>78000000</v>
      </c>
      <c r="Q2582" s="161"/>
      <c r="R2582" s="162"/>
      <c r="S2582" s="211"/>
      <c r="T2582" s="213">
        <v>0.35</v>
      </c>
      <c r="U2582" s="341">
        <v>45901</v>
      </c>
      <c r="V2582" s="345">
        <v>46265</v>
      </c>
      <c r="W2582" s="158" t="s">
        <v>17</v>
      </c>
      <c r="X2582" s="158"/>
      <c r="Y2582" s="164">
        <f t="shared" ca="1" si="176"/>
        <v>46290</v>
      </c>
      <c r="Z2582" s="207">
        <f t="shared" ca="1" si="173"/>
        <v>-25</v>
      </c>
      <c r="AA2582" s="158">
        <f t="shared" si="174"/>
        <v>8</v>
      </c>
      <c r="AB2582" s="158">
        <f t="shared" si="177"/>
        <v>2026</v>
      </c>
      <c r="AC2582" s="159"/>
      <c r="AD2582" s="159"/>
      <c r="AE2582" s="158"/>
      <c r="AF2582" s="158" t="s">
        <v>356</v>
      </c>
      <c r="AG2582" s="160"/>
      <c r="AH2582" s="160"/>
      <c r="AI2582" s="158"/>
      <c r="AJ2582" s="158"/>
      <c r="AK2582" s="158"/>
      <c r="AL2582" s="158"/>
      <c r="AM2582" s="158"/>
      <c r="AN2582" s="158"/>
      <c r="AO2582" s="158"/>
      <c r="AP2582" s="158"/>
      <c r="AQ2582" s="158"/>
      <c r="AR2582" s="507"/>
      <c r="AS2582" s="475"/>
      <c r="AT2582" s="160"/>
    </row>
    <row r="2583" spans="1:46" ht="15" hidden="1" customHeight="1">
      <c r="A2583" s="331">
        <v>2582</v>
      </c>
      <c r="B2583" s="234" t="s">
        <v>8675</v>
      </c>
      <c r="C2583" s="222" t="s">
        <v>11581</v>
      </c>
      <c r="D2583" s="447" t="s">
        <v>8677</v>
      </c>
      <c r="E2583" s="361" t="str">
        <f t="shared" ca="1" si="175"/>
        <v>LOSS</v>
      </c>
      <c r="F2583" s="160"/>
      <c r="G2583" s="234" t="s">
        <v>8704</v>
      </c>
      <c r="H2583" s="160" t="s">
        <v>8588</v>
      </c>
      <c r="I2583" s="160" t="s">
        <v>511</v>
      </c>
      <c r="J2583" s="159"/>
      <c r="K2583" s="160" t="s">
        <v>11582</v>
      </c>
      <c r="L2583" s="158"/>
      <c r="M2583" s="208" t="s">
        <v>353</v>
      </c>
      <c r="N2583" s="158" t="s">
        <v>362</v>
      </c>
      <c r="O2583" s="162"/>
      <c r="P2583" s="161">
        <v>120000000</v>
      </c>
      <c r="Q2583" s="161"/>
      <c r="R2583" s="162"/>
      <c r="S2583" s="211"/>
      <c r="T2583" s="213">
        <v>0.35</v>
      </c>
      <c r="U2583" s="341">
        <v>45901</v>
      </c>
      <c r="V2583" s="345">
        <v>46265</v>
      </c>
      <c r="W2583" s="158" t="s">
        <v>17</v>
      </c>
      <c r="X2583" s="158"/>
      <c r="Y2583" s="164">
        <f t="shared" ca="1" si="176"/>
        <v>46290</v>
      </c>
      <c r="Z2583" s="207">
        <f t="shared" ca="1" si="173"/>
        <v>-25</v>
      </c>
      <c r="AA2583" s="158">
        <f t="shared" si="174"/>
        <v>8</v>
      </c>
      <c r="AB2583" s="158">
        <f t="shared" si="177"/>
        <v>2026</v>
      </c>
      <c r="AC2583" s="159"/>
      <c r="AD2583" s="159"/>
      <c r="AE2583" s="158"/>
      <c r="AF2583" s="158" t="s">
        <v>356</v>
      </c>
      <c r="AG2583" s="160"/>
      <c r="AH2583" s="160"/>
      <c r="AI2583" s="158"/>
      <c r="AJ2583" s="158"/>
      <c r="AK2583" s="158"/>
      <c r="AL2583" s="158"/>
      <c r="AM2583" s="158"/>
      <c r="AN2583" s="158"/>
      <c r="AO2583" s="158"/>
      <c r="AP2583" s="158"/>
      <c r="AQ2583" s="158"/>
      <c r="AR2583" s="507"/>
      <c r="AS2583" s="475"/>
      <c r="AT2583" s="160"/>
    </row>
    <row r="2584" spans="1:46" ht="15" hidden="1" customHeight="1">
      <c r="A2584" s="331">
        <v>2583</v>
      </c>
      <c r="B2584" s="234" t="s">
        <v>8675</v>
      </c>
      <c r="C2584" s="222" t="s">
        <v>8800</v>
      </c>
      <c r="D2584" s="447" t="s">
        <v>8677</v>
      </c>
      <c r="E2584" s="361" t="str">
        <f t="shared" ca="1" si="175"/>
        <v>LOSS</v>
      </c>
      <c r="F2584" s="160"/>
      <c r="G2584" s="234" t="s">
        <v>8707</v>
      </c>
      <c r="H2584" s="160" t="s">
        <v>8588</v>
      </c>
      <c r="I2584" s="160" t="s">
        <v>511</v>
      </c>
      <c r="J2584" s="159"/>
      <c r="K2584" s="181" t="s">
        <v>11583</v>
      </c>
      <c r="L2584" s="158"/>
      <c r="M2584" s="208" t="s">
        <v>8709</v>
      </c>
      <c r="N2584" s="158" t="s">
        <v>362</v>
      </c>
      <c r="O2584" s="162"/>
      <c r="P2584" s="161">
        <v>162000000</v>
      </c>
      <c r="Q2584" s="161"/>
      <c r="R2584" s="162"/>
      <c r="S2584" s="211"/>
      <c r="T2584" s="213">
        <v>0.35</v>
      </c>
      <c r="U2584" s="341">
        <v>45901</v>
      </c>
      <c r="V2584" s="345">
        <v>46265</v>
      </c>
      <c r="W2584" s="158" t="s">
        <v>17</v>
      </c>
      <c r="X2584" s="158"/>
      <c r="Y2584" s="164">
        <f t="shared" ca="1" si="176"/>
        <v>46290</v>
      </c>
      <c r="Z2584" s="207">
        <f t="shared" ca="1" si="173"/>
        <v>-25</v>
      </c>
      <c r="AA2584" s="158">
        <f t="shared" si="174"/>
        <v>8</v>
      </c>
      <c r="AB2584" s="158">
        <f t="shared" si="177"/>
        <v>2026</v>
      </c>
      <c r="AC2584" s="159"/>
      <c r="AD2584" s="159"/>
      <c r="AE2584" s="158"/>
      <c r="AF2584" s="158" t="s">
        <v>356</v>
      </c>
      <c r="AG2584" s="160"/>
      <c r="AH2584" s="160"/>
      <c r="AI2584" s="158"/>
      <c r="AJ2584" s="158"/>
      <c r="AK2584" s="158"/>
      <c r="AL2584" s="158"/>
      <c r="AM2584" s="158"/>
      <c r="AN2584" s="158"/>
      <c r="AO2584" s="158"/>
      <c r="AP2584" s="158"/>
      <c r="AQ2584" s="158"/>
      <c r="AR2584" s="507"/>
      <c r="AS2584" s="475"/>
      <c r="AT2584" s="160"/>
    </row>
    <row r="2585" spans="1:46" ht="15" hidden="1" customHeight="1">
      <c r="A2585" s="331">
        <v>2584</v>
      </c>
      <c r="B2585" s="234" t="s">
        <v>8675</v>
      </c>
      <c r="C2585" s="222" t="s">
        <v>11584</v>
      </c>
      <c r="D2585" s="447" t="s">
        <v>8677</v>
      </c>
      <c r="E2585" s="361" t="str">
        <f t="shared" ca="1" si="175"/>
        <v>LOSS</v>
      </c>
      <c r="F2585" s="160"/>
      <c r="G2585" s="234" t="s">
        <v>8948</v>
      </c>
      <c r="H2585" s="160" t="s">
        <v>8588</v>
      </c>
      <c r="I2585" s="160" t="s">
        <v>511</v>
      </c>
      <c r="J2585" s="159"/>
      <c r="K2585" s="181" t="s">
        <v>8949</v>
      </c>
      <c r="L2585" s="158"/>
      <c r="M2585" s="208" t="s">
        <v>8709</v>
      </c>
      <c r="N2585" s="158" t="s">
        <v>11585</v>
      </c>
      <c r="O2585" s="162"/>
      <c r="P2585" s="161">
        <f>2450000*12</f>
        <v>29400000</v>
      </c>
      <c r="Q2585" s="161"/>
      <c r="R2585" s="162"/>
      <c r="S2585" s="211"/>
      <c r="T2585" s="213">
        <v>0.35</v>
      </c>
      <c r="U2585" s="341">
        <v>45901</v>
      </c>
      <c r="V2585" s="345">
        <v>46265</v>
      </c>
      <c r="W2585" s="158" t="s">
        <v>17</v>
      </c>
      <c r="X2585" s="158"/>
      <c r="Y2585" s="164">
        <f t="shared" ca="1" si="176"/>
        <v>46290</v>
      </c>
      <c r="Z2585" s="207">
        <f t="shared" ca="1" si="173"/>
        <v>-25</v>
      </c>
      <c r="AA2585" s="158">
        <f t="shared" si="174"/>
        <v>8</v>
      </c>
      <c r="AB2585" s="158">
        <f t="shared" si="177"/>
        <v>2026</v>
      </c>
      <c r="AC2585" s="159"/>
      <c r="AD2585" s="159"/>
      <c r="AE2585" s="158"/>
      <c r="AF2585" s="158" t="s">
        <v>356</v>
      </c>
      <c r="AG2585" s="160"/>
      <c r="AH2585" s="160"/>
      <c r="AI2585" s="158"/>
      <c r="AJ2585" s="158"/>
      <c r="AK2585" s="158"/>
      <c r="AL2585" s="158"/>
      <c r="AM2585" s="158"/>
      <c r="AN2585" s="158"/>
      <c r="AO2585" s="158"/>
      <c r="AP2585" s="158"/>
      <c r="AQ2585" s="158"/>
      <c r="AR2585" s="507"/>
      <c r="AS2585" s="475"/>
      <c r="AT2585" s="160"/>
    </row>
    <row r="2586" spans="1:46" ht="15" hidden="1" customHeight="1">
      <c r="A2586" s="331">
        <v>2585</v>
      </c>
      <c r="B2586" s="234" t="s">
        <v>8675</v>
      </c>
      <c r="C2586" s="159" t="s">
        <v>11569</v>
      </c>
      <c r="D2586" s="447" t="s">
        <v>8677</v>
      </c>
      <c r="E2586" s="361" t="str">
        <f t="shared" ca="1" si="175"/>
        <v>ON TRACK</v>
      </c>
      <c r="F2586" s="160"/>
      <c r="G2586" s="234" t="s">
        <v>8678</v>
      </c>
      <c r="H2586" s="160" t="s">
        <v>8588</v>
      </c>
      <c r="I2586" s="160" t="s">
        <v>511</v>
      </c>
      <c r="J2586" s="159"/>
      <c r="K2586" s="181" t="s">
        <v>11570</v>
      </c>
      <c r="L2586" s="158"/>
      <c r="M2586" s="208" t="s">
        <v>353</v>
      </c>
      <c r="N2586" s="158" t="s">
        <v>406</v>
      </c>
      <c r="O2586" s="162"/>
      <c r="P2586" s="161">
        <v>97200000</v>
      </c>
      <c r="Q2586" s="161"/>
      <c r="R2586" s="162"/>
      <c r="S2586" s="211"/>
      <c r="T2586" s="213">
        <v>0.35</v>
      </c>
      <c r="U2586" s="341">
        <v>46266</v>
      </c>
      <c r="V2586" s="345">
        <v>46630</v>
      </c>
      <c r="W2586" s="158" t="s">
        <v>17</v>
      </c>
      <c r="X2586" s="158"/>
      <c r="Y2586" s="164">
        <f t="shared" ca="1" si="176"/>
        <v>46290</v>
      </c>
      <c r="Z2586" s="207">
        <f t="shared" ca="1" si="173"/>
        <v>340</v>
      </c>
      <c r="AA2586" s="158">
        <f t="shared" si="174"/>
        <v>8</v>
      </c>
      <c r="AB2586" s="158">
        <f t="shared" si="177"/>
        <v>2027</v>
      </c>
      <c r="AC2586" s="159"/>
      <c r="AD2586" s="159"/>
      <c r="AE2586" s="158"/>
      <c r="AF2586" s="158" t="s">
        <v>356</v>
      </c>
      <c r="AG2586" s="160"/>
      <c r="AH2586" s="160"/>
      <c r="AI2586" s="158"/>
      <c r="AJ2586" s="158"/>
      <c r="AK2586" s="158"/>
      <c r="AL2586" s="158"/>
      <c r="AM2586" s="158"/>
      <c r="AN2586" s="158"/>
      <c r="AO2586" s="158"/>
      <c r="AP2586" s="158"/>
      <c r="AQ2586" s="158"/>
      <c r="AR2586" s="507"/>
      <c r="AS2586" s="475"/>
      <c r="AT2586" s="160"/>
    </row>
    <row r="2587" spans="1:46" ht="15" hidden="1" customHeight="1">
      <c r="A2587" s="331">
        <v>2586</v>
      </c>
      <c r="B2587" s="234" t="s">
        <v>8675</v>
      </c>
      <c r="C2587" s="159" t="s">
        <v>11571</v>
      </c>
      <c r="D2587" s="447" t="s">
        <v>8677</v>
      </c>
      <c r="E2587" s="361" t="str">
        <f t="shared" ca="1" si="175"/>
        <v>ON TRACK</v>
      </c>
      <c r="F2587" s="160"/>
      <c r="G2587" s="234" t="s">
        <v>8682</v>
      </c>
      <c r="H2587" s="160" t="s">
        <v>8588</v>
      </c>
      <c r="I2587" s="160" t="s">
        <v>511</v>
      </c>
      <c r="J2587" s="159"/>
      <c r="K2587" s="181" t="s">
        <v>11572</v>
      </c>
      <c r="L2587" s="158"/>
      <c r="M2587" s="208" t="s">
        <v>353</v>
      </c>
      <c r="N2587" s="158" t="s">
        <v>389</v>
      </c>
      <c r="O2587" s="162"/>
      <c r="P2587" s="161">
        <v>171000000</v>
      </c>
      <c r="Q2587" s="161"/>
      <c r="R2587" s="162"/>
      <c r="S2587" s="211"/>
      <c r="T2587" s="213">
        <v>0.35</v>
      </c>
      <c r="U2587" s="341">
        <v>46266</v>
      </c>
      <c r="V2587" s="345">
        <v>46630</v>
      </c>
      <c r="W2587" s="158" t="s">
        <v>17</v>
      </c>
      <c r="X2587" s="158"/>
      <c r="Y2587" s="164">
        <f t="shared" ca="1" si="176"/>
        <v>46290</v>
      </c>
      <c r="Z2587" s="207">
        <f t="shared" ca="1" si="173"/>
        <v>340</v>
      </c>
      <c r="AA2587" s="158">
        <f t="shared" si="174"/>
        <v>8</v>
      </c>
      <c r="AB2587" s="158">
        <f t="shared" si="177"/>
        <v>2027</v>
      </c>
      <c r="AC2587" s="159"/>
      <c r="AD2587" s="159"/>
      <c r="AE2587" s="158"/>
      <c r="AF2587" s="158" t="s">
        <v>356</v>
      </c>
      <c r="AG2587" s="160"/>
      <c r="AH2587" s="160"/>
      <c r="AI2587" s="158"/>
      <c r="AJ2587" s="158"/>
      <c r="AK2587" s="158"/>
      <c r="AL2587" s="158"/>
      <c r="AM2587" s="158"/>
      <c r="AN2587" s="158"/>
      <c r="AO2587" s="158"/>
      <c r="AP2587" s="158"/>
      <c r="AQ2587" s="158"/>
      <c r="AR2587" s="507"/>
      <c r="AS2587" s="475"/>
      <c r="AT2587" s="160"/>
    </row>
    <row r="2588" spans="1:46" ht="15" hidden="1" customHeight="1">
      <c r="A2588" s="331">
        <v>2587</v>
      </c>
      <c r="B2588" s="234" t="s">
        <v>8675</v>
      </c>
      <c r="C2588" s="159" t="s">
        <v>8684</v>
      </c>
      <c r="D2588" s="447" t="s">
        <v>8677</v>
      </c>
      <c r="E2588" s="361" t="str">
        <f t="shared" ca="1" si="175"/>
        <v>ON TRACK</v>
      </c>
      <c r="F2588" s="160"/>
      <c r="G2588" s="234" t="s">
        <v>8685</v>
      </c>
      <c r="H2588" s="160" t="s">
        <v>8588</v>
      </c>
      <c r="I2588" s="160" t="s">
        <v>511</v>
      </c>
      <c r="J2588" s="159"/>
      <c r="K2588" s="181" t="s">
        <v>11573</v>
      </c>
      <c r="L2588" s="158"/>
      <c r="M2588" s="208" t="s">
        <v>353</v>
      </c>
      <c r="N2588" s="158" t="s">
        <v>354</v>
      </c>
      <c r="O2588" s="162"/>
      <c r="P2588" s="161">
        <v>90000000</v>
      </c>
      <c r="Q2588" s="161"/>
      <c r="R2588" s="162"/>
      <c r="S2588" s="211"/>
      <c r="T2588" s="213">
        <v>0.35</v>
      </c>
      <c r="U2588" s="341">
        <v>46266</v>
      </c>
      <c r="V2588" s="345">
        <v>46630</v>
      </c>
      <c r="W2588" s="158" t="s">
        <v>17</v>
      </c>
      <c r="X2588" s="158"/>
      <c r="Y2588" s="164">
        <f t="shared" ca="1" si="176"/>
        <v>46290</v>
      </c>
      <c r="Z2588" s="207">
        <f t="shared" ca="1" si="173"/>
        <v>340</v>
      </c>
      <c r="AA2588" s="158">
        <f t="shared" si="174"/>
        <v>8</v>
      </c>
      <c r="AB2588" s="158">
        <f t="shared" si="177"/>
        <v>2027</v>
      </c>
      <c r="AC2588" s="159"/>
      <c r="AD2588" s="159"/>
      <c r="AE2588" s="158"/>
      <c r="AF2588" s="158" t="s">
        <v>356</v>
      </c>
      <c r="AG2588" s="160"/>
      <c r="AH2588" s="160"/>
      <c r="AI2588" s="158"/>
      <c r="AJ2588" s="158"/>
      <c r="AK2588" s="158"/>
      <c r="AL2588" s="158"/>
      <c r="AM2588" s="158"/>
      <c r="AN2588" s="158"/>
      <c r="AO2588" s="158"/>
      <c r="AP2588" s="158"/>
      <c r="AQ2588" s="158"/>
      <c r="AR2588" s="507"/>
      <c r="AS2588" s="475"/>
      <c r="AT2588" s="160"/>
    </row>
    <row r="2589" spans="1:46" ht="15" hidden="1" customHeight="1">
      <c r="A2589" s="331">
        <v>2588</v>
      </c>
      <c r="B2589" s="234" t="s">
        <v>8675</v>
      </c>
      <c r="C2589" s="222" t="s">
        <v>8687</v>
      </c>
      <c r="D2589" s="447" t="s">
        <v>8677</v>
      </c>
      <c r="E2589" s="361" t="str">
        <f t="shared" ca="1" si="175"/>
        <v>ON TRACK</v>
      </c>
      <c r="F2589" s="160"/>
      <c r="G2589" s="234" t="s">
        <v>8688</v>
      </c>
      <c r="H2589" s="160" t="s">
        <v>8588</v>
      </c>
      <c r="I2589" s="160" t="s">
        <v>511</v>
      </c>
      <c r="J2589" s="159"/>
      <c r="K2589" s="160" t="s">
        <v>11574</v>
      </c>
      <c r="L2589" s="158"/>
      <c r="M2589" s="208" t="s">
        <v>353</v>
      </c>
      <c r="N2589" s="158" t="s">
        <v>8689</v>
      </c>
      <c r="O2589" s="162"/>
      <c r="P2589" s="161">
        <v>96000000</v>
      </c>
      <c r="Q2589" s="161"/>
      <c r="R2589" s="162"/>
      <c r="S2589" s="211"/>
      <c r="T2589" s="213">
        <v>0.35</v>
      </c>
      <c r="U2589" s="341">
        <v>46266</v>
      </c>
      <c r="V2589" s="345">
        <v>46630</v>
      </c>
      <c r="W2589" s="158" t="s">
        <v>17</v>
      </c>
      <c r="X2589" s="158"/>
      <c r="Y2589" s="164">
        <f t="shared" ca="1" si="176"/>
        <v>46290</v>
      </c>
      <c r="Z2589" s="207">
        <f t="shared" ca="1" si="173"/>
        <v>340</v>
      </c>
      <c r="AA2589" s="158">
        <f t="shared" si="174"/>
        <v>8</v>
      </c>
      <c r="AB2589" s="158">
        <f t="shared" si="177"/>
        <v>2027</v>
      </c>
      <c r="AC2589" s="159"/>
      <c r="AD2589" s="159"/>
      <c r="AE2589" s="158"/>
      <c r="AF2589" s="158" t="s">
        <v>356</v>
      </c>
      <c r="AG2589" s="160"/>
      <c r="AH2589" s="160"/>
      <c r="AI2589" s="158"/>
      <c r="AJ2589" s="158"/>
      <c r="AK2589" s="158"/>
      <c r="AL2589" s="158"/>
      <c r="AM2589" s="158"/>
      <c r="AN2589" s="158"/>
      <c r="AO2589" s="158"/>
      <c r="AP2589" s="158"/>
      <c r="AQ2589" s="158"/>
      <c r="AR2589" s="507"/>
      <c r="AS2589" s="475"/>
      <c r="AT2589" s="160"/>
    </row>
    <row r="2590" spans="1:46" ht="15" hidden="1" customHeight="1">
      <c r="A2590" s="331">
        <v>2589</v>
      </c>
      <c r="B2590" s="234" t="s">
        <v>8675</v>
      </c>
      <c r="C2590" s="222" t="s">
        <v>11575</v>
      </c>
      <c r="D2590" s="447" t="s">
        <v>8677</v>
      </c>
      <c r="E2590" s="361" t="str">
        <f t="shared" ca="1" si="175"/>
        <v>ON TRACK</v>
      </c>
      <c r="F2590" s="160"/>
      <c r="G2590" s="234" t="s">
        <v>8691</v>
      </c>
      <c r="H2590" s="160" t="s">
        <v>8588</v>
      </c>
      <c r="I2590" s="160" t="s">
        <v>511</v>
      </c>
      <c r="J2590" s="159"/>
      <c r="K2590" s="160" t="s">
        <v>11576</v>
      </c>
      <c r="L2590" s="158"/>
      <c r="M2590" s="208" t="s">
        <v>353</v>
      </c>
      <c r="N2590" s="158" t="s">
        <v>468</v>
      </c>
      <c r="O2590" s="162"/>
      <c r="P2590" s="161">
        <v>64800000</v>
      </c>
      <c r="Q2590" s="161"/>
      <c r="R2590" s="162"/>
      <c r="S2590" s="211"/>
      <c r="T2590" s="213">
        <v>0.35</v>
      </c>
      <c r="U2590" s="341">
        <v>46266</v>
      </c>
      <c r="V2590" s="345">
        <v>46630</v>
      </c>
      <c r="W2590" s="158" t="s">
        <v>17</v>
      </c>
      <c r="X2590" s="158"/>
      <c r="Y2590" s="164">
        <f t="shared" ca="1" si="176"/>
        <v>46290</v>
      </c>
      <c r="Z2590" s="207">
        <f t="shared" ca="1" si="173"/>
        <v>340</v>
      </c>
      <c r="AA2590" s="158">
        <f t="shared" si="174"/>
        <v>8</v>
      </c>
      <c r="AB2590" s="158">
        <f t="shared" si="177"/>
        <v>2027</v>
      </c>
      <c r="AC2590" s="159"/>
      <c r="AD2590" s="159"/>
      <c r="AE2590" s="158"/>
      <c r="AF2590" s="158" t="s">
        <v>356</v>
      </c>
      <c r="AG2590" s="160"/>
      <c r="AH2590" s="160"/>
      <c r="AI2590" s="158"/>
      <c r="AJ2590" s="158"/>
      <c r="AK2590" s="158"/>
      <c r="AL2590" s="158"/>
      <c r="AM2590" s="158"/>
      <c r="AN2590" s="158"/>
      <c r="AO2590" s="158"/>
      <c r="AP2590" s="158"/>
      <c r="AQ2590" s="158"/>
      <c r="AR2590" s="507"/>
      <c r="AS2590" s="475"/>
      <c r="AT2590" s="160"/>
    </row>
    <row r="2591" spans="1:46" ht="15" hidden="1" customHeight="1">
      <c r="A2591" s="331">
        <v>2590</v>
      </c>
      <c r="B2591" s="234" t="s">
        <v>8675</v>
      </c>
      <c r="C2591" s="222" t="s">
        <v>11577</v>
      </c>
      <c r="D2591" s="447" t="s">
        <v>8677</v>
      </c>
      <c r="E2591" s="361" t="str">
        <f t="shared" ca="1" si="175"/>
        <v>ON TRACK</v>
      </c>
      <c r="F2591" s="160"/>
      <c r="G2591" s="234" t="s">
        <v>8694</v>
      </c>
      <c r="H2591" s="160" t="s">
        <v>8588</v>
      </c>
      <c r="I2591" s="160" t="s">
        <v>511</v>
      </c>
      <c r="J2591" s="159"/>
      <c r="K2591" s="160" t="s">
        <v>11578</v>
      </c>
      <c r="L2591" s="158"/>
      <c r="M2591" s="208" t="s">
        <v>353</v>
      </c>
      <c r="N2591" s="158" t="s">
        <v>354</v>
      </c>
      <c r="O2591" s="162"/>
      <c r="P2591" s="161">
        <v>60000000</v>
      </c>
      <c r="Q2591" s="161"/>
      <c r="R2591" s="162"/>
      <c r="S2591" s="211"/>
      <c r="T2591" s="213">
        <v>0.35</v>
      </c>
      <c r="U2591" s="341">
        <v>46266</v>
      </c>
      <c r="V2591" s="345">
        <v>46630</v>
      </c>
      <c r="W2591" s="158" t="s">
        <v>17</v>
      </c>
      <c r="X2591" s="158"/>
      <c r="Y2591" s="164">
        <f t="shared" ca="1" si="176"/>
        <v>46290</v>
      </c>
      <c r="Z2591" s="207">
        <f t="shared" ref="Z2591:Z2654" ca="1" si="178">V2591-Y2591</f>
        <v>340</v>
      </c>
      <c r="AA2591" s="158">
        <f t="shared" ref="AA2591:AA2652" si="179">MONTH(V2591)</f>
        <v>8</v>
      </c>
      <c r="AB2591" s="158">
        <f t="shared" si="177"/>
        <v>2027</v>
      </c>
      <c r="AC2591" s="159"/>
      <c r="AD2591" s="159"/>
      <c r="AE2591" s="158"/>
      <c r="AF2591" s="158" t="s">
        <v>356</v>
      </c>
      <c r="AG2591" s="160"/>
      <c r="AH2591" s="160"/>
      <c r="AI2591" s="158"/>
      <c r="AJ2591" s="158"/>
      <c r="AK2591" s="158"/>
      <c r="AL2591" s="158"/>
      <c r="AM2591" s="158"/>
      <c r="AN2591" s="158"/>
      <c r="AO2591" s="158"/>
      <c r="AP2591" s="158"/>
      <c r="AQ2591" s="158"/>
      <c r="AR2591" s="507"/>
      <c r="AS2591" s="475"/>
      <c r="AT2591" s="160"/>
    </row>
    <row r="2592" spans="1:46" ht="15" hidden="1" customHeight="1">
      <c r="A2592" s="331">
        <v>2591</v>
      </c>
      <c r="B2592" s="234" t="s">
        <v>8675</v>
      </c>
      <c r="C2592" s="222" t="s">
        <v>8699</v>
      </c>
      <c r="D2592" s="447" t="s">
        <v>8677</v>
      </c>
      <c r="E2592" s="361" t="str">
        <f t="shared" ca="1" si="175"/>
        <v>ON TRACK</v>
      </c>
      <c r="F2592" s="160"/>
      <c r="G2592" s="234" t="s">
        <v>8697</v>
      </c>
      <c r="H2592" s="160" t="s">
        <v>8588</v>
      </c>
      <c r="I2592" s="160" t="s">
        <v>511</v>
      </c>
      <c r="J2592" s="159"/>
      <c r="K2592" s="160" t="s">
        <v>11579</v>
      </c>
      <c r="L2592" s="158"/>
      <c r="M2592" s="208" t="s">
        <v>353</v>
      </c>
      <c r="N2592" s="158" t="s">
        <v>406</v>
      </c>
      <c r="O2592" s="162"/>
      <c r="P2592" s="161">
        <v>117000000</v>
      </c>
      <c r="Q2592" s="161"/>
      <c r="R2592" s="162"/>
      <c r="S2592" s="211"/>
      <c r="T2592" s="213">
        <v>0.35</v>
      </c>
      <c r="U2592" s="341">
        <v>46266</v>
      </c>
      <c r="V2592" s="345">
        <v>46630</v>
      </c>
      <c r="W2592" s="158" t="s">
        <v>17</v>
      </c>
      <c r="X2592" s="158"/>
      <c r="Y2592" s="164">
        <f t="shared" ca="1" si="176"/>
        <v>46290</v>
      </c>
      <c r="Z2592" s="207">
        <f t="shared" ca="1" si="178"/>
        <v>340</v>
      </c>
      <c r="AA2592" s="158">
        <f t="shared" si="179"/>
        <v>8</v>
      </c>
      <c r="AB2592" s="158">
        <f t="shared" si="177"/>
        <v>2027</v>
      </c>
      <c r="AC2592" s="159"/>
      <c r="AD2592" s="159"/>
      <c r="AE2592" s="158"/>
      <c r="AF2592" s="158" t="s">
        <v>356</v>
      </c>
      <c r="AG2592" s="160"/>
      <c r="AH2592" s="160"/>
      <c r="AI2592" s="158"/>
      <c r="AJ2592" s="158"/>
      <c r="AK2592" s="158"/>
      <c r="AL2592" s="158"/>
      <c r="AM2592" s="158"/>
      <c r="AN2592" s="158"/>
      <c r="AO2592" s="158"/>
      <c r="AP2592" s="158"/>
      <c r="AQ2592" s="158"/>
      <c r="AR2592" s="507"/>
      <c r="AS2592" s="475"/>
      <c r="AT2592" s="160"/>
    </row>
    <row r="2593" spans="1:46" ht="15" hidden="1" customHeight="1">
      <c r="A2593" s="331">
        <v>2592</v>
      </c>
      <c r="B2593" s="234" t="s">
        <v>8675</v>
      </c>
      <c r="C2593" s="222" t="s">
        <v>8703</v>
      </c>
      <c r="D2593" s="447" t="s">
        <v>8677</v>
      </c>
      <c r="E2593" s="361" t="str">
        <f t="shared" ca="1" si="175"/>
        <v>ON TRACK</v>
      </c>
      <c r="F2593" s="160"/>
      <c r="G2593" s="234" t="s">
        <v>8700</v>
      </c>
      <c r="H2593" s="160" t="s">
        <v>8588</v>
      </c>
      <c r="I2593" s="160" t="s">
        <v>511</v>
      </c>
      <c r="J2593" s="159"/>
      <c r="K2593" s="160" t="s">
        <v>11580</v>
      </c>
      <c r="L2593" s="158"/>
      <c r="M2593" s="208" t="s">
        <v>353</v>
      </c>
      <c r="N2593" s="158" t="s">
        <v>8702</v>
      </c>
      <c r="O2593" s="162"/>
      <c r="P2593" s="161">
        <v>78000000</v>
      </c>
      <c r="Q2593" s="161"/>
      <c r="R2593" s="162"/>
      <c r="S2593" s="211"/>
      <c r="T2593" s="213">
        <v>0.35</v>
      </c>
      <c r="U2593" s="341">
        <v>46266</v>
      </c>
      <c r="V2593" s="345">
        <v>46630</v>
      </c>
      <c r="W2593" s="158" t="s">
        <v>17</v>
      </c>
      <c r="X2593" s="158"/>
      <c r="Y2593" s="164">
        <f t="shared" ca="1" si="176"/>
        <v>46290</v>
      </c>
      <c r="Z2593" s="207">
        <f t="shared" ca="1" si="178"/>
        <v>340</v>
      </c>
      <c r="AA2593" s="158">
        <f t="shared" si="179"/>
        <v>8</v>
      </c>
      <c r="AB2593" s="158">
        <f t="shared" si="177"/>
        <v>2027</v>
      </c>
      <c r="AC2593" s="159"/>
      <c r="AD2593" s="159"/>
      <c r="AE2593" s="158"/>
      <c r="AF2593" s="158" t="s">
        <v>356</v>
      </c>
      <c r="AG2593" s="160"/>
      <c r="AH2593" s="160"/>
      <c r="AI2593" s="158"/>
      <c r="AJ2593" s="158"/>
      <c r="AK2593" s="158"/>
      <c r="AL2593" s="158"/>
      <c r="AM2593" s="158"/>
      <c r="AN2593" s="158"/>
      <c r="AO2593" s="158"/>
      <c r="AP2593" s="158"/>
      <c r="AQ2593" s="158"/>
      <c r="AR2593" s="507"/>
      <c r="AS2593" s="475"/>
      <c r="AT2593" s="160"/>
    </row>
    <row r="2594" spans="1:46" ht="15" hidden="1" customHeight="1">
      <c r="A2594" s="331">
        <v>2593</v>
      </c>
      <c r="B2594" s="234" t="s">
        <v>8675</v>
      </c>
      <c r="C2594" s="222" t="s">
        <v>11581</v>
      </c>
      <c r="D2594" s="447" t="s">
        <v>8677</v>
      </c>
      <c r="E2594" s="361" t="str">
        <f t="shared" ca="1" si="175"/>
        <v>ON TRACK</v>
      </c>
      <c r="F2594" s="160"/>
      <c r="G2594" s="234" t="s">
        <v>8704</v>
      </c>
      <c r="H2594" s="160" t="s">
        <v>8588</v>
      </c>
      <c r="I2594" s="160" t="s">
        <v>511</v>
      </c>
      <c r="J2594" s="159"/>
      <c r="K2594" s="160" t="s">
        <v>11582</v>
      </c>
      <c r="L2594" s="158"/>
      <c r="M2594" s="208" t="s">
        <v>353</v>
      </c>
      <c r="N2594" s="158" t="s">
        <v>362</v>
      </c>
      <c r="O2594" s="162"/>
      <c r="P2594" s="161">
        <v>120000000</v>
      </c>
      <c r="Q2594" s="161"/>
      <c r="R2594" s="162"/>
      <c r="S2594" s="211"/>
      <c r="T2594" s="213">
        <v>0.35</v>
      </c>
      <c r="U2594" s="341">
        <v>46266</v>
      </c>
      <c r="V2594" s="345">
        <v>46630</v>
      </c>
      <c r="W2594" s="158" t="s">
        <v>17</v>
      </c>
      <c r="X2594" s="158"/>
      <c r="Y2594" s="164">
        <f t="shared" ca="1" si="176"/>
        <v>46290</v>
      </c>
      <c r="Z2594" s="207">
        <f t="shared" ca="1" si="178"/>
        <v>340</v>
      </c>
      <c r="AA2594" s="158">
        <f t="shared" si="179"/>
        <v>8</v>
      </c>
      <c r="AB2594" s="158">
        <f t="shared" si="177"/>
        <v>2027</v>
      </c>
      <c r="AC2594" s="159"/>
      <c r="AD2594" s="159"/>
      <c r="AE2594" s="158"/>
      <c r="AF2594" s="158" t="s">
        <v>356</v>
      </c>
      <c r="AG2594" s="160"/>
      <c r="AH2594" s="160"/>
      <c r="AI2594" s="158"/>
      <c r="AJ2594" s="158"/>
      <c r="AK2594" s="158"/>
      <c r="AL2594" s="158"/>
      <c r="AM2594" s="158"/>
      <c r="AN2594" s="158"/>
      <c r="AO2594" s="158"/>
      <c r="AP2594" s="158"/>
      <c r="AQ2594" s="158"/>
      <c r="AR2594" s="507"/>
      <c r="AS2594" s="475"/>
      <c r="AT2594" s="160"/>
    </row>
    <row r="2595" spans="1:46" ht="15" hidden="1" customHeight="1">
      <c r="A2595" s="331">
        <v>2594</v>
      </c>
      <c r="B2595" s="234" t="s">
        <v>8675</v>
      </c>
      <c r="C2595" s="222" t="s">
        <v>8800</v>
      </c>
      <c r="D2595" s="447" t="s">
        <v>8677</v>
      </c>
      <c r="E2595" s="361" t="str">
        <f t="shared" ca="1" si="175"/>
        <v>ON TRACK</v>
      </c>
      <c r="F2595" s="160"/>
      <c r="G2595" s="234" t="s">
        <v>8707</v>
      </c>
      <c r="H2595" s="160" t="s">
        <v>8588</v>
      </c>
      <c r="I2595" s="160" t="s">
        <v>511</v>
      </c>
      <c r="J2595" s="159"/>
      <c r="K2595" s="181" t="s">
        <v>11583</v>
      </c>
      <c r="L2595" s="158"/>
      <c r="M2595" s="208" t="s">
        <v>8709</v>
      </c>
      <c r="N2595" s="158" t="s">
        <v>362</v>
      </c>
      <c r="O2595" s="162"/>
      <c r="P2595" s="161">
        <v>162000000</v>
      </c>
      <c r="Q2595" s="161"/>
      <c r="R2595" s="162"/>
      <c r="S2595" s="211"/>
      <c r="T2595" s="213">
        <v>0.35</v>
      </c>
      <c r="U2595" s="341">
        <v>46266</v>
      </c>
      <c r="V2595" s="345">
        <v>46630</v>
      </c>
      <c r="W2595" s="158" t="s">
        <v>17</v>
      </c>
      <c r="X2595" s="158"/>
      <c r="Y2595" s="164">
        <f t="shared" ca="1" si="176"/>
        <v>46290</v>
      </c>
      <c r="Z2595" s="207">
        <f t="shared" ca="1" si="178"/>
        <v>340</v>
      </c>
      <c r="AA2595" s="158">
        <f t="shared" si="179"/>
        <v>8</v>
      </c>
      <c r="AB2595" s="158">
        <f t="shared" si="177"/>
        <v>2027</v>
      </c>
      <c r="AC2595" s="159"/>
      <c r="AD2595" s="159"/>
      <c r="AE2595" s="158"/>
      <c r="AF2595" s="158" t="s">
        <v>356</v>
      </c>
      <c r="AG2595" s="160"/>
      <c r="AH2595" s="160"/>
      <c r="AI2595" s="158"/>
      <c r="AJ2595" s="158"/>
      <c r="AK2595" s="158"/>
      <c r="AL2595" s="158"/>
      <c r="AM2595" s="158"/>
      <c r="AN2595" s="158"/>
      <c r="AO2595" s="158"/>
      <c r="AP2595" s="158"/>
      <c r="AQ2595" s="158"/>
      <c r="AR2595" s="507"/>
      <c r="AS2595" s="475"/>
      <c r="AT2595" s="160"/>
    </row>
    <row r="2596" spans="1:46" s="236" customFormat="1" ht="15" hidden="1" customHeight="1">
      <c r="A2596" s="331">
        <v>2595</v>
      </c>
      <c r="B2596" s="234" t="s">
        <v>8675</v>
      </c>
      <c r="C2596" s="222" t="s">
        <v>11584</v>
      </c>
      <c r="D2596" s="447" t="s">
        <v>8677</v>
      </c>
      <c r="E2596" s="361" t="str">
        <f t="shared" ca="1" si="175"/>
        <v>ON TRACK</v>
      </c>
      <c r="F2596" s="160"/>
      <c r="G2596" s="234" t="s">
        <v>8948</v>
      </c>
      <c r="H2596" s="160" t="s">
        <v>8588</v>
      </c>
      <c r="I2596" s="160" t="s">
        <v>511</v>
      </c>
      <c r="J2596" s="159"/>
      <c r="K2596" s="181" t="s">
        <v>8949</v>
      </c>
      <c r="L2596" s="158"/>
      <c r="M2596" s="208" t="s">
        <v>8709</v>
      </c>
      <c r="N2596" s="158" t="s">
        <v>11585</v>
      </c>
      <c r="O2596" s="162"/>
      <c r="P2596" s="161">
        <f>2450000*12</f>
        <v>29400000</v>
      </c>
      <c r="Q2596" s="161"/>
      <c r="R2596" s="162"/>
      <c r="S2596" s="211"/>
      <c r="T2596" s="213">
        <v>0.35</v>
      </c>
      <c r="U2596" s="341">
        <v>46266</v>
      </c>
      <c r="V2596" s="345">
        <v>46630</v>
      </c>
      <c r="W2596" s="158" t="s">
        <v>17</v>
      </c>
      <c r="X2596" s="158"/>
      <c r="Y2596" s="164">
        <f t="shared" ref="Y2596:Y2627" ca="1" si="180">TODAY()</f>
        <v>46290</v>
      </c>
      <c r="Z2596" s="207">
        <f t="shared" ca="1" si="178"/>
        <v>340</v>
      </c>
      <c r="AA2596" s="158">
        <f t="shared" si="179"/>
        <v>8</v>
      </c>
      <c r="AB2596" s="158">
        <f t="shared" si="177"/>
        <v>2027</v>
      </c>
      <c r="AC2596" s="159"/>
      <c r="AD2596" s="159"/>
      <c r="AE2596" s="158"/>
      <c r="AF2596" s="158" t="s">
        <v>356</v>
      </c>
      <c r="AG2596" s="231"/>
      <c r="AH2596" s="231"/>
      <c r="AI2596" s="158"/>
      <c r="AJ2596" s="158"/>
      <c r="AK2596" s="158"/>
      <c r="AL2596" s="158"/>
      <c r="AM2596" s="158"/>
      <c r="AN2596" s="158"/>
      <c r="AO2596" s="158"/>
      <c r="AP2596" s="158"/>
      <c r="AQ2596" s="158"/>
      <c r="AR2596" s="507"/>
      <c r="AS2596" s="475"/>
      <c r="AT2596" s="231"/>
    </row>
    <row r="2597" spans="1:46" ht="15" hidden="1" customHeight="1">
      <c r="A2597" s="331">
        <v>2596</v>
      </c>
      <c r="B2597" s="234" t="s">
        <v>8675</v>
      </c>
      <c r="C2597" s="159" t="s">
        <v>11569</v>
      </c>
      <c r="D2597" s="447" t="s">
        <v>8677</v>
      </c>
      <c r="E2597" s="361" t="str">
        <f t="shared" ca="1" si="175"/>
        <v>ON TRACK</v>
      </c>
      <c r="F2597" s="160"/>
      <c r="G2597" s="234" t="s">
        <v>8678</v>
      </c>
      <c r="H2597" s="160" t="s">
        <v>8588</v>
      </c>
      <c r="I2597" s="160" t="s">
        <v>511</v>
      </c>
      <c r="J2597" s="159"/>
      <c r="K2597" s="181" t="s">
        <v>11570</v>
      </c>
      <c r="L2597" s="158"/>
      <c r="M2597" s="208" t="s">
        <v>353</v>
      </c>
      <c r="N2597" s="158" t="s">
        <v>406</v>
      </c>
      <c r="O2597" s="162"/>
      <c r="P2597" s="161">
        <v>97200000</v>
      </c>
      <c r="Q2597" s="161"/>
      <c r="R2597" s="162"/>
      <c r="S2597" s="211"/>
      <c r="T2597" s="213">
        <v>0.35</v>
      </c>
      <c r="U2597" s="341">
        <v>46631</v>
      </c>
      <c r="V2597" s="345">
        <v>46996</v>
      </c>
      <c r="W2597" s="158" t="s">
        <v>17</v>
      </c>
      <c r="X2597" s="158"/>
      <c r="Y2597" s="164">
        <f t="shared" ca="1" si="180"/>
        <v>46290</v>
      </c>
      <c r="Z2597" s="207">
        <f t="shared" ca="1" si="178"/>
        <v>706</v>
      </c>
      <c r="AA2597" s="158">
        <f t="shared" si="179"/>
        <v>8</v>
      </c>
      <c r="AB2597" s="158">
        <f t="shared" si="177"/>
        <v>2028</v>
      </c>
      <c r="AC2597" s="159"/>
      <c r="AD2597" s="159"/>
      <c r="AE2597" s="158"/>
      <c r="AF2597" s="158" t="s">
        <v>356</v>
      </c>
      <c r="AG2597" s="160"/>
      <c r="AH2597" s="160"/>
      <c r="AI2597" s="158"/>
      <c r="AJ2597" s="158"/>
      <c r="AK2597" s="158"/>
      <c r="AL2597" s="158"/>
      <c r="AM2597" s="158"/>
      <c r="AN2597" s="158"/>
      <c r="AO2597" s="158"/>
      <c r="AP2597" s="158"/>
      <c r="AQ2597" s="158"/>
      <c r="AR2597" s="507"/>
      <c r="AS2597" s="475"/>
      <c r="AT2597" s="160"/>
    </row>
    <row r="2598" spans="1:46" s="236" customFormat="1" ht="15" hidden="1" customHeight="1">
      <c r="A2598" s="331">
        <v>2597</v>
      </c>
      <c r="B2598" s="234" t="s">
        <v>8675</v>
      </c>
      <c r="C2598" s="159" t="s">
        <v>11571</v>
      </c>
      <c r="D2598" s="447" t="s">
        <v>8677</v>
      </c>
      <c r="E2598" s="361" t="str">
        <f t="shared" ca="1" si="175"/>
        <v>ON TRACK</v>
      </c>
      <c r="F2598" s="160"/>
      <c r="G2598" s="234" t="s">
        <v>8682</v>
      </c>
      <c r="H2598" s="160" t="s">
        <v>8588</v>
      </c>
      <c r="I2598" s="160" t="s">
        <v>511</v>
      </c>
      <c r="J2598" s="159"/>
      <c r="K2598" s="181" t="s">
        <v>11572</v>
      </c>
      <c r="L2598" s="158"/>
      <c r="M2598" s="208" t="s">
        <v>353</v>
      </c>
      <c r="N2598" s="158" t="s">
        <v>389</v>
      </c>
      <c r="O2598" s="162"/>
      <c r="P2598" s="161">
        <v>171000000</v>
      </c>
      <c r="Q2598" s="161"/>
      <c r="R2598" s="162"/>
      <c r="S2598" s="211"/>
      <c r="T2598" s="213">
        <v>0.35</v>
      </c>
      <c r="U2598" s="341">
        <v>46631</v>
      </c>
      <c r="V2598" s="345">
        <v>46996</v>
      </c>
      <c r="W2598" s="158" t="s">
        <v>17</v>
      </c>
      <c r="X2598" s="158"/>
      <c r="Y2598" s="164">
        <f t="shared" ca="1" si="180"/>
        <v>46290</v>
      </c>
      <c r="Z2598" s="207">
        <f t="shared" ca="1" si="178"/>
        <v>706</v>
      </c>
      <c r="AA2598" s="158">
        <f t="shared" si="179"/>
        <v>8</v>
      </c>
      <c r="AB2598" s="158">
        <f t="shared" si="177"/>
        <v>2028</v>
      </c>
      <c r="AC2598" s="159"/>
      <c r="AD2598" s="159"/>
      <c r="AE2598" s="158"/>
      <c r="AF2598" s="158" t="s">
        <v>356</v>
      </c>
      <c r="AG2598" s="231"/>
      <c r="AH2598" s="231"/>
      <c r="AI2598" s="158"/>
      <c r="AJ2598" s="158"/>
      <c r="AK2598" s="158"/>
      <c r="AL2598" s="158"/>
      <c r="AM2598" s="158"/>
      <c r="AN2598" s="158"/>
      <c r="AO2598" s="158"/>
      <c r="AP2598" s="158"/>
      <c r="AQ2598" s="158"/>
      <c r="AR2598" s="507"/>
      <c r="AS2598" s="475"/>
      <c r="AT2598" s="231"/>
    </row>
    <row r="2599" spans="1:46" ht="15" hidden="1" customHeight="1">
      <c r="A2599" s="331">
        <v>2598</v>
      </c>
      <c r="B2599" s="234" t="s">
        <v>8675</v>
      </c>
      <c r="C2599" s="159" t="s">
        <v>8684</v>
      </c>
      <c r="D2599" s="447" t="s">
        <v>8677</v>
      </c>
      <c r="E2599" s="361" t="str">
        <f t="shared" ca="1" si="175"/>
        <v>ON TRACK</v>
      </c>
      <c r="F2599" s="160"/>
      <c r="G2599" s="234" t="s">
        <v>8685</v>
      </c>
      <c r="H2599" s="160" t="s">
        <v>8588</v>
      </c>
      <c r="I2599" s="160" t="s">
        <v>511</v>
      </c>
      <c r="J2599" s="159"/>
      <c r="K2599" s="181" t="s">
        <v>11573</v>
      </c>
      <c r="L2599" s="158"/>
      <c r="M2599" s="208" t="s">
        <v>353</v>
      </c>
      <c r="N2599" s="158" t="s">
        <v>354</v>
      </c>
      <c r="O2599" s="162"/>
      <c r="P2599" s="161">
        <v>90000000</v>
      </c>
      <c r="Q2599" s="161"/>
      <c r="R2599" s="162"/>
      <c r="S2599" s="211"/>
      <c r="T2599" s="213">
        <v>0.35</v>
      </c>
      <c r="U2599" s="341">
        <v>46631</v>
      </c>
      <c r="V2599" s="345">
        <v>46996</v>
      </c>
      <c r="W2599" s="158" t="s">
        <v>17</v>
      </c>
      <c r="X2599" s="158"/>
      <c r="Y2599" s="164">
        <f t="shared" ca="1" si="180"/>
        <v>46290</v>
      </c>
      <c r="Z2599" s="207">
        <f t="shared" ca="1" si="178"/>
        <v>706</v>
      </c>
      <c r="AA2599" s="158">
        <f t="shared" si="179"/>
        <v>8</v>
      </c>
      <c r="AB2599" s="158">
        <f t="shared" si="177"/>
        <v>2028</v>
      </c>
      <c r="AC2599" s="159"/>
      <c r="AD2599" s="159"/>
      <c r="AE2599" s="158"/>
      <c r="AF2599" s="158" t="s">
        <v>356</v>
      </c>
      <c r="AG2599" s="160"/>
      <c r="AH2599" s="160"/>
      <c r="AI2599" s="158"/>
      <c r="AJ2599" s="158"/>
      <c r="AK2599" s="158"/>
      <c r="AL2599" s="158"/>
      <c r="AM2599" s="158"/>
      <c r="AN2599" s="158"/>
      <c r="AO2599" s="158"/>
      <c r="AP2599" s="158"/>
      <c r="AQ2599" s="158"/>
      <c r="AR2599" s="507"/>
      <c r="AS2599" s="475"/>
      <c r="AT2599" s="160"/>
    </row>
    <row r="2600" spans="1:46" s="236" customFormat="1" ht="15" hidden="1" customHeight="1">
      <c r="A2600" s="331">
        <v>2599</v>
      </c>
      <c r="B2600" s="234" t="s">
        <v>8675</v>
      </c>
      <c r="C2600" s="222" t="s">
        <v>8687</v>
      </c>
      <c r="D2600" s="447" t="s">
        <v>8677</v>
      </c>
      <c r="E2600" s="361" t="str">
        <f t="shared" ca="1" si="175"/>
        <v>ON TRACK</v>
      </c>
      <c r="F2600" s="160"/>
      <c r="G2600" s="234" t="s">
        <v>8688</v>
      </c>
      <c r="H2600" s="160" t="s">
        <v>8588</v>
      </c>
      <c r="I2600" s="160" t="s">
        <v>511</v>
      </c>
      <c r="J2600" s="159"/>
      <c r="K2600" s="160" t="s">
        <v>11574</v>
      </c>
      <c r="L2600" s="158"/>
      <c r="M2600" s="208" t="s">
        <v>353</v>
      </c>
      <c r="N2600" s="158" t="s">
        <v>8689</v>
      </c>
      <c r="O2600" s="162"/>
      <c r="P2600" s="161">
        <v>96000000</v>
      </c>
      <c r="Q2600" s="161"/>
      <c r="R2600" s="162"/>
      <c r="S2600" s="211"/>
      <c r="T2600" s="213">
        <v>0.35</v>
      </c>
      <c r="U2600" s="341">
        <v>46631</v>
      </c>
      <c r="V2600" s="345">
        <v>46996</v>
      </c>
      <c r="W2600" s="158" t="s">
        <v>17</v>
      </c>
      <c r="X2600" s="158"/>
      <c r="Y2600" s="164">
        <f t="shared" ca="1" si="180"/>
        <v>46290</v>
      </c>
      <c r="Z2600" s="207">
        <f t="shared" ca="1" si="178"/>
        <v>706</v>
      </c>
      <c r="AA2600" s="158">
        <f t="shared" si="179"/>
        <v>8</v>
      </c>
      <c r="AB2600" s="158">
        <f t="shared" si="177"/>
        <v>2028</v>
      </c>
      <c r="AC2600" s="159"/>
      <c r="AD2600" s="159"/>
      <c r="AE2600" s="158"/>
      <c r="AF2600" s="158" t="s">
        <v>356</v>
      </c>
      <c r="AG2600" s="231"/>
      <c r="AH2600" s="231"/>
      <c r="AI2600" s="158"/>
      <c r="AJ2600" s="158"/>
      <c r="AK2600" s="158"/>
      <c r="AL2600" s="158"/>
      <c r="AM2600" s="158"/>
      <c r="AN2600" s="158"/>
      <c r="AO2600" s="158"/>
      <c r="AP2600" s="158"/>
      <c r="AQ2600" s="158"/>
      <c r="AR2600" s="507"/>
      <c r="AS2600" s="475"/>
      <c r="AT2600" s="231"/>
    </row>
    <row r="2601" spans="1:46" ht="15" hidden="1" customHeight="1">
      <c r="A2601" s="331">
        <v>2600</v>
      </c>
      <c r="B2601" s="234" t="s">
        <v>8675</v>
      </c>
      <c r="C2601" s="222" t="s">
        <v>11575</v>
      </c>
      <c r="D2601" s="447" t="s">
        <v>8677</v>
      </c>
      <c r="E2601" s="361" t="str">
        <f t="shared" ca="1" si="175"/>
        <v>ON TRACK</v>
      </c>
      <c r="F2601" s="160"/>
      <c r="G2601" s="234" t="s">
        <v>8691</v>
      </c>
      <c r="H2601" s="160" t="s">
        <v>8588</v>
      </c>
      <c r="I2601" s="160" t="s">
        <v>511</v>
      </c>
      <c r="J2601" s="159"/>
      <c r="K2601" s="160" t="s">
        <v>11576</v>
      </c>
      <c r="L2601" s="158"/>
      <c r="M2601" s="208" t="s">
        <v>353</v>
      </c>
      <c r="N2601" s="158" t="s">
        <v>468</v>
      </c>
      <c r="O2601" s="162"/>
      <c r="P2601" s="161">
        <v>64800000</v>
      </c>
      <c r="Q2601" s="161"/>
      <c r="R2601" s="162"/>
      <c r="S2601" s="211"/>
      <c r="T2601" s="213">
        <v>0.35</v>
      </c>
      <c r="U2601" s="341">
        <v>46631</v>
      </c>
      <c r="V2601" s="345">
        <v>46996</v>
      </c>
      <c r="W2601" s="158" t="s">
        <v>17</v>
      </c>
      <c r="X2601" s="158"/>
      <c r="Y2601" s="164">
        <f t="shared" ca="1" si="180"/>
        <v>46290</v>
      </c>
      <c r="Z2601" s="207">
        <f t="shared" ca="1" si="178"/>
        <v>706</v>
      </c>
      <c r="AA2601" s="158">
        <f t="shared" si="179"/>
        <v>8</v>
      </c>
      <c r="AB2601" s="158">
        <f t="shared" si="177"/>
        <v>2028</v>
      </c>
      <c r="AC2601" s="159"/>
      <c r="AD2601" s="159"/>
      <c r="AE2601" s="158"/>
      <c r="AF2601" s="158" t="s">
        <v>356</v>
      </c>
      <c r="AG2601" s="160"/>
      <c r="AH2601" s="160"/>
      <c r="AI2601" s="158"/>
      <c r="AJ2601" s="158"/>
      <c r="AK2601" s="158"/>
      <c r="AL2601" s="158"/>
      <c r="AM2601" s="158"/>
      <c r="AN2601" s="158"/>
      <c r="AO2601" s="158"/>
      <c r="AP2601" s="158"/>
      <c r="AQ2601" s="158"/>
      <c r="AR2601" s="507"/>
      <c r="AS2601" s="475"/>
      <c r="AT2601" s="160"/>
    </row>
    <row r="2602" spans="1:46" s="236" customFormat="1" ht="15" hidden="1" customHeight="1">
      <c r="A2602" s="331">
        <v>2601</v>
      </c>
      <c r="B2602" s="234" t="s">
        <v>8675</v>
      </c>
      <c r="C2602" s="222" t="s">
        <v>11577</v>
      </c>
      <c r="D2602" s="447" t="s">
        <v>8677</v>
      </c>
      <c r="E2602" s="361" t="str">
        <f t="shared" ca="1" si="175"/>
        <v>ON TRACK</v>
      </c>
      <c r="F2602" s="160"/>
      <c r="G2602" s="234" t="s">
        <v>8694</v>
      </c>
      <c r="H2602" s="160" t="s">
        <v>8588</v>
      </c>
      <c r="I2602" s="160" t="s">
        <v>511</v>
      </c>
      <c r="J2602" s="159"/>
      <c r="K2602" s="160" t="s">
        <v>11578</v>
      </c>
      <c r="L2602" s="158"/>
      <c r="M2602" s="208" t="s">
        <v>353</v>
      </c>
      <c r="N2602" s="158" t="s">
        <v>354</v>
      </c>
      <c r="O2602" s="162"/>
      <c r="P2602" s="161">
        <v>60000000</v>
      </c>
      <c r="Q2602" s="161"/>
      <c r="R2602" s="162"/>
      <c r="S2602" s="211"/>
      <c r="T2602" s="213">
        <v>0.35</v>
      </c>
      <c r="U2602" s="341">
        <v>46631</v>
      </c>
      <c r="V2602" s="345">
        <v>46996</v>
      </c>
      <c r="W2602" s="158" t="s">
        <v>17</v>
      </c>
      <c r="X2602" s="158"/>
      <c r="Y2602" s="164">
        <f t="shared" ca="1" si="180"/>
        <v>46290</v>
      </c>
      <c r="Z2602" s="207">
        <f t="shared" ca="1" si="178"/>
        <v>706</v>
      </c>
      <c r="AA2602" s="158">
        <f t="shared" si="179"/>
        <v>8</v>
      </c>
      <c r="AB2602" s="158">
        <f t="shared" si="177"/>
        <v>2028</v>
      </c>
      <c r="AC2602" s="159"/>
      <c r="AD2602" s="159"/>
      <c r="AE2602" s="158"/>
      <c r="AF2602" s="158" t="s">
        <v>356</v>
      </c>
      <c r="AG2602" s="231"/>
      <c r="AH2602" s="231"/>
      <c r="AI2602" s="158"/>
      <c r="AJ2602" s="158"/>
      <c r="AK2602" s="158"/>
      <c r="AL2602" s="158"/>
      <c r="AM2602" s="158"/>
      <c r="AN2602" s="158"/>
      <c r="AO2602" s="158"/>
      <c r="AP2602" s="158"/>
      <c r="AQ2602" s="158"/>
      <c r="AR2602" s="507"/>
      <c r="AS2602" s="475"/>
      <c r="AT2602" s="231"/>
    </row>
    <row r="2603" spans="1:46" ht="15" hidden="1" customHeight="1">
      <c r="A2603" s="331">
        <v>2602</v>
      </c>
      <c r="B2603" s="234" t="s">
        <v>8675</v>
      </c>
      <c r="C2603" s="222" t="s">
        <v>8699</v>
      </c>
      <c r="D2603" s="447" t="s">
        <v>8677</v>
      </c>
      <c r="E2603" s="361" t="str">
        <f t="shared" ca="1" si="175"/>
        <v>ON TRACK</v>
      </c>
      <c r="F2603" s="160"/>
      <c r="G2603" s="234" t="s">
        <v>8697</v>
      </c>
      <c r="H2603" s="160" t="s">
        <v>8588</v>
      </c>
      <c r="I2603" s="160" t="s">
        <v>511</v>
      </c>
      <c r="J2603" s="159"/>
      <c r="K2603" s="160" t="s">
        <v>11579</v>
      </c>
      <c r="L2603" s="158"/>
      <c r="M2603" s="208" t="s">
        <v>353</v>
      </c>
      <c r="N2603" s="158" t="s">
        <v>406</v>
      </c>
      <c r="O2603" s="162"/>
      <c r="P2603" s="161">
        <v>117000000</v>
      </c>
      <c r="Q2603" s="161"/>
      <c r="R2603" s="162"/>
      <c r="S2603" s="211"/>
      <c r="T2603" s="213">
        <v>0.35</v>
      </c>
      <c r="U2603" s="341">
        <v>46631</v>
      </c>
      <c r="V2603" s="345">
        <v>46996</v>
      </c>
      <c r="W2603" s="158" t="s">
        <v>17</v>
      </c>
      <c r="X2603" s="158"/>
      <c r="Y2603" s="164">
        <f t="shared" ca="1" si="180"/>
        <v>46290</v>
      </c>
      <c r="Z2603" s="207">
        <f t="shared" ca="1" si="178"/>
        <v>706</v>
      </c>
      <c r="AA2603" s="158">
        <f t="shared" si="179"/>
        <v>8</v>
      </c>
      <c r="AB2603" s="158">
        <f t="shared" si="177"/>
        <v>2028</v>
      </c>
      <c r="AC2603" s="159"/>
      <c r="AD2603" s="159"/>
      <c r="AE2603" s="158"/>
      <c r="AF2603" s="158" t="s">
        <v>356</v>
      </c>
      <c r="AG2603" s="160"/>
      <c r="AH2603" s="160"/>
      <c r="AI2603" s="158"/>
      <c r="AJ2603" s="158"/>
      <c r="AK2603" s="158"/>
      <c r="AL2603" s="158"/>
      <c r="AM2603" s="158"/>
      <c r="AN2603" s="158"/>
      <c r="AO2603" s="158"/>
      <c r="AP2603" s="158"/>
      <c r="AQ2603" s="158"/>
      <c r="AR2603" s="507"/>
      <c r="AS2603" s="475"/>
      <c r="AT2603" s="160"/>
    </row>
    <row r="2604" spans="1:46" s="236" customFormat="1" ht="15" hidden="1" customHeight="1">
      <c r="A2604" s="331">
        <v>2603</v>
      </c>
      <c r="B2604" s="234" t="s">
        <v>8675</v>
      </c>
      <c r="C2604" s="222" t="s">
        <v>8703</v>
      </c>
      <c r="D2604" s="447" t="s">
        <v>8677</v>
      </c>
      <c r="E2604" s="361" t="str">
        <f t="shared" ca="1" si="175"/>
        <v>ON TRACK</v>
      </c>
      <c r="F2604" s="160"/>
      <c r="G2604" s="234" t="s">
        <v>8700</v>
      </c>
      <c r="H2604" s="160" t="s">
        <v>8588</v>
      </c>
      <c r="I2604" s="160" t="s">
        <v>511</v>
      </c>
      <c r="J2604" s="159"/>
      <c r="K2604" s="160" t="s">
        <v>11580</v>
      </c>
      <c r="L2604" s="158"/>
      <c r="M2604" s="208" t="s">
        <v>353</v>
      </c>
      <c r="N2604" s="158" t="s">
        <v>8702</v>
      </c>
      <c r="O2604" s="162"/>
      <c r="P2604" s="161">
        <v>78000000</v>
      </c>
      <c r="Q2604" s="161"/>
      <c r="R2604" s="162"/>
      <c r="S2604" s="211"/>
      <c r="T2604" s="213">
        <v>0.35</v>
      </c>
      <c r="U2604" s="341">
        <v>46631</v>
      </c>
      <c r="V2604" s="345">
        <v>46996</v>
      </c>
      <c r="W2604" s="158" t="s">
        <v>17</v>
      </c>
      <c r="X2604" s="158"/>
      <c r="Y2604" s="164">
        <f t="shared" ca="1" si="180"/>
        <v>46290</v>
      </c>
      <c r="Z2604" s="207">
        <f t="shared" ca="1" si="178"/>
        <v>706</v>
      </c>
      <c r="AA2604" s="158">
        <f t="shared" si="179"/>
        <v>8</v>
      </c>
      <c r="AB2604" s="158">
        <f t="shared" si="177"/>
        <v>2028</v>
      </c>
      <c r="AC2604" s="159"/>
      <c r="AD2604" s="159"/>
      <c r="AE2604" s="158"/>
      <c r="AF2604" s="158" t="s">
        <v>356</v>
      </c>
      <c r="AG2604" s="231"/>
      <c r="AH2604" s="231"/>
      <c r="AI2604" s="158"/>
      <c r="AJ2604" s="158"/>
      <c r="AK2604" s="158"/>
      <c r="AL2604" s="158"/>
      <c r="AM2604" s="158"/>
      <c r="AN2604" s="158"/>
      <c r="AO2604" s="158"/>
      <c r="AP2604" s="158"/>
      <c r="AQ2604" s="158"/>
      <c r="AR2604" s="507"/>
      <c r="AS2604" s="475"/>
      <c r="AT2604" s="231"/>
    </row>
    <row r="2605" spans="1:46" ht="15" hidden="1" customHeight="1">
      <c r="A2605" s="331">
        <v>2604</v>
      </c>
      <c r="B2605" s="234" t="s">
        <v>8675</v>
      </c>
      <c r="C2605" s="222" t="s">
        <v>11581</v>
      </c>
      <c r="D2605" s="447" t="s">
        <v>8677</v>
      </c>
      <c r="E2605" s="361" t="str">
        <f t="shared" ca="1" si="175"/>
        <v>ON TRACK</v>
      </c>
      <c r="F2605" s="160"/>
      <c r="G2605" s="234" t="s">
        <v>8704</v>
      </c>
      <c r="H2605" s="160" t="s">
        <v>8588</v>
      </c>
      <c r="I2605" s="160" t="s">
        <v>511</v>
      </c>
      <c r="J2605" s="159"/>
      <c r="K2605" s="160" t="s">
        <v>11582</v>
      </c>
      <c r="L2605" s="158"/>
      <c r="M2605" s="208" t="s">
        <v>353</v>
      </c>
      <c r="N2605" s="158" t="s">
        <v>362</v>
      </c>
      <c r="O2605" s="162"/>
      <c r="P2605" s="161">
        <v>120000000</v>
      </c>
      <c r="Q2605" s="161"/>
      <c r="R2605" s="162"/>
      <c r="S2605" s="211"/>
      <c r="T2605" s="213">
        <v>0.35</v>
      </c>
      <c r="U2605" s="341">
        <v>46631</v>
      </c>
      <c r="V2605" s="345">
        <v>46996</v>
      </c>
      <c r="W2605" s="158" t="s">
        <v>17</v>
      </c>
      <c r="X2605" s="158"/>
      <c r="Y2605" s="164">
        <f t="shared" ca="1" si="180"/>
        <v>46290</v>
      </c>
      <c r="Z2605" s="207">
        <f t="shared" ca="1" si="178"/>
        <v>706</v>
      </c>
      <c r="AA2605" s="158">
        <f t="shared" si="179"/>
        <v>8</v>
      </c>
      <c r="AB2605" s="158">
        <f t="shared" si="177"/>
        <v>2028</v>
      </c>
      <c r="AC2605" s="159"/>
      <c r="AD2605" s="159"/>
      <c r="AE2605" s="158"/>
      <c r="AF2605" s="158" t="s">
        <v>356</v>
      </c>
      <c r="AG2605" s="160"/>
      <c r="AH2605" s="160"/>
      <c r="AI2605" s="158"/>
      <c r="AJ2605" s="158"/>
      <c r="AK2605" s="158"/>
      <c r="AL2605" s="158"/>
      <c r="AM2605" s="158"/>
      <c r="AN2605" s="158"/>
      <c r="AO2605" s="158"/>
      <c r="AP2605" s="158"/>
      <c r="AQ2605" s="158"/>
      <c r="AR2605" s="507"/>
      <c r="AS2605" s="475"/>
      <c r="AT2605" s="160"/>
    </row>
    <row r="2606" spans="1:46" s="236" customFormat="1" ht="15" hidden="1" customHeight="1">
      <c r="A2606" s="331">
        <v>2605</v>
      </c>
      <c r="B2606" s="234" t="s">
        <v>8675</v>
      </c>
      <c r="C2606" s="222" t="s">
        <v>8800</v>
      </c>
      <c r="D2606" s="447" t="s">
        <v>8677</v>
      </c>
      <c r="E2606" s="361" t="str">
        <f t="shared" ca="1" si="175"/>
        <v>ON TRACK</v>
      </c>
      <c r="F2606" s="160"/>
      <c r="G2606" s="234" t="s">
        <v>8707</v>
      </c>
      <c r="H2606" s="160" t="s">
        <v>8588</v>
      </c>
      <c r="I2606" s="160" t="s">
        <v>511</v>
      </c>
      <c r="J2606" s="159"/>
      <c r="K2606" s="181" t="s">
        <v>11583</v>
      </c>
      <c r="L2606" s="158"/>
      <c r="M2606" s="208" t="s">
        <v>8709</v>
      </c>
      <c r="N2606" s="158" t="s">
        <v>362</v>
      </c>
      <c r="O2606" s="162"/>
      <c r="P2606" s="161">
        <v>162000000</v>
      </c>
      <c r="Q2606" s="161"/>
      <c r="R2606" s="162"/>
      <c r="S2606" s="211"/>
      <c r="T2606" s="213">
        <v>0.35</v>
      </c>
      <c r="U2606" s="341">
        <v>46631</v>
      </c>
      <c r="V2606" s="345">
        <v>46996</v>
      </c>
      <c r="W2606" s="158" t="s">
        <v>17</v>
      </c>
      <c r="X2606" s="158"/>
      <c r="Y2606" s="164">
        <f t="shared" ca="1" si="180"/>
        <v>46290</v>
      </c>
      <c r="Z2606" s="207">
        <f t="shared" ca="1" si="178"/>
        <v>706</v>
      </c>
      <c r="AA2606" s="158">
        <f t="shared" si="179"/>
        <v>8</v>
      </c>
      <c r="AB2606" s="158">
        <f t="shared" si="177"/>
        <v>2028</v>
      </c>
      <c r="AC2606" s="159"/>
      <c r="AD2606" s="159"/>
      <c r="AE2606" s="158"/>
      <c r="AF2606" s="158" t="s">
        <v>356</v>
      </c>
      <c r="AG2606" s="231"/>
      <c r="AH2606" s="231"/>
      <c r="AI2606" s="158"/>
      <c r="AJ2606" s="158"/>
      <c r="AK2606" s="158"/>
      <c r="AL2606" s="158"/>
      <c r="AM2606" s="158"/>
      <c r="AN2606" s="158"/>
      <c r="AO2606" s="158"/>
      <c r="AP2606" s="158"/>
      <c r="AQ2606" s="158"/>
      <c r="AR2606" s="507"/>
      <c r="AS2606" s="475"/>
      <c r="AT2606" s="231"/>
    </row>
    <row r="2607" spans="1:46" ht="15" hidden="1" customHeight="1">
      <c r="A2607" s="331">
        <v>2606</v>
      </c>
      <c r="B2607" s="234" t="s">
        <v>8675</v>
      </c>
      <c r="C2607" s="222" t="s">
        <v>11584</v>
      </c>
      <c r="D2607" s="447" t="s">
        <v>8677</v>
      </c>
      <c r="E2607" s="361" t="str">
        <f t="shared" ca="1" si="175"/>
        <v>ON TRACK</v>
      </c>
      <c r="F2607" s="160"/>
      <c r="G2607" s="234" t="s">
        <v>8948</v>
      </c>
      <c r="H2607" s="160" t="s">
        <v>8588</v>
      </c>
      <c r="I2607" s="160" t="s">
        <v>511</v>
      </c>
      <c r="J2607" s="159"/>
      <c r="K2607" s="181" t="s">
        <v>8949</v>
      </c>
      <c r="L2607" s="158"/>
      <c r="M2607" s="208" t="s">
        <v>8709</v>
      </c>
      <c r="N2607" s="158" t="s">
        <v>11585</v>
      </c>
      <c r="O2607" s="162"/>
      <c r="P2607" s="161">
        <f>2450000*12</f>
        <v>29400000</v>
      </c>
      <c r="Q2607" s="161"/>
      <c r="R2607" s="162"/>
      <c r="S2607" s="211"/>
      <c r="T2607" s="213">
        <v>0.35</v>
      </c>
      <c r="U2607" s="341">
        <v>46631</v>
      </c>
      <c r="V2607" s="345">
        <v>46996</v>
      </c>
      <c r="W2607" s="158" t="s">
        <v>17</v>
      </c>
      <c r="X2607" s="158"/>
      <c r="Y2607" s="164">
        <f t="shared" ca="1" si="180"/>
        <v>46290</v>
      </c>
      <c r="Z2607" s="207">
        <f t="shared" ca="1" si="178"/>
        <v>706</v>
      </c>
      <c r="AA2607" s="158">
        <f t="shared" si="179"/>
        <v>8</v>
      </c>
      <c r="AB2607" s="158">
        <f t="shared" si="177"/>
        <v>2028</v>
      </c>
      <c r="AC2607" s="159"/>
      <c r="AD2607" s="159"/>
      <c r="AE2607" s="158"/>
      <c r="AF2607" s="158" t="s">
        <v>356</v>
      </c>
      <c r="AG2607" s="160"/>
      <c r="AH2607" s="160"/>
      <c r="AI2607" s="158"/>
      <c r="AJ2607" s="158"/>
      <c r="AK2607" s="158"/>
      <c r="AL2607" s="158"/>
      <c r="AM2607" s="158"/>
      <c r="AN2607" s="158"/>
      <c r="AO2607" s="158"/>
      <c r="AP2607" s="158"/>
      <c r="AQ2607" s="158"/>
      <c r="AR2607" s="507"/>
      <c r="AS2607" s="475"/>
      <c r="AT2607" s="160"/>
    </row>
    <row r="2608" spans="1:46" s="236" customFormat="1" ht="15" hidden="1" customHeight="1">
      <c r="A2608" s="331">
        <v>2607</v>
      </c>
      <c r="B2608" s="159" t="s">
        <v>10970</v>
      </c>
      <c r="C2608" s="238" t="s">
        <v>8711</v>
      </c>
      <c r="D2608" s="447" t="s">
        <v>8677</v>
      </c>
      <c r="E2608" s="361" t="str">
        <f t="shared" ca="1" si="175"/>
        <v>LOSS</v>
      </c>
      <c r="F2608" s="160"/>
      <c r="G2608" s="234" t="s">
        <v>8713</v>
      </c>
      <c r="H2608" s="160" t="s">
        <v>8588</v>
      </c>
      <c r="I2608" s="160" t="s">
        <v>511</v>
      </c>
      <c r="J2608" s="159"/>
      <c r="K2608" s="181" t="s">
        <v>8714</v>
      </c>
      <c r="L2608" s="158"/>
      <c r="M2608" s="208" t="s">
        <v>329</v>
      </c>
      <c r="N2608" s="158" t="s">
        <v>354</v>
      </c>
      <c r="O2608" s="162"/>
      <c r="P2608" s="161">
        <f>3000000*12</f>
        <v>36000000</v>
      </c>
      <c r="Q2608" s="161"/>
      <c r="R2608" s="162"/>
      <c r="S2608" s="211"/>
      <c r="T2608" s="213">
        <v>0.2</v>
      </c>
      <c r="U2608" s="341">
        <v>45778</v>
      </c>
      <c r="V2608" s="340">
        <v>46142</v>
      </c>
      <c r="W2608" s="158" t="s">
        <v>17</v>
      </c>
      <c r="X2608" s="158"/>
      <c r="Y2608" s="164">
        <f t="shared" ca="1" si="180"/>
        <v>46290</v>
      </c>
      <c r="Z2608" s="207">
        <f t="shared" ca="1" si="178"/>
        <v>-148</v>
      </c>
      <c r="AA2608" s="158">
        <f t="shared" si="179"/>
        <v>4</v>
      </c>
      <c r="AB2608" s="158">
        <f t="shared" si="177"/>
        <v>2026</v>
      </c>
      <c r="AC2608" s="159"/>
      <c r="AD2608" s="159"/>
      <c r="AE2608" s="158"/>
      <c r="AF2608" s="158" t="s">
        <v>356</v>
      </c>
      <c r="AG2608" s="231"/>
      <c r="AH2608" s="231"/>
      <c r="AI2608" s="158"/>
      <c r="AJ2608" s="158"/>
      <c r="AK2608" s="158"/>
      <c r="AL2608" s="158"/>
      <c r="AM2608" s="158"/>
      <c r="AN2608" s="158"/>
      <c r="AO2608" s="158"/>
      <c r="AP2608" s="158"/>
      <c r="AQ2608" s="158"/>
      <c r="AR2608" s="507"/>
      <c r="AS2608" s="475"/>
      <c r="AT2608" s="231"/>
    </row>
    <row r="2609" spans="1:46" ht="15" hidden="1" customHeight="1">
      <c r="A2609" s="331">
        <v>2608</v>
      </c>
      <c r="B2609" s="159" t="s">
        <v>10970</v>
      </c>
      <c r="C2609" s="238" t="s">
        <v>8711</v>
      </c>
      <c r="D2609" s="437" t="s">
        <v>11586</v>
      </c>
      <c r="E2609" s="361" t="str">
        <f t="shared" ca="1" si="175"/>
        <v>ON TRACK</v>
      </c>
      <c r="F2609" s="160"/>
      <c r="G2609" s="234" t="s">
        <v>8713</v>
      </c>
      <c r="H2609" s="160" t="s">
        <v>8588</v>
      </c>
      <c r="I2609" s="160" t="s">
        <v>511</v>
      </c>
      <c r="J2609" s="159"/>
      <c r="K2609" s="181" t="s">
        <v>8714</v>
      </c>
      <c r="L2609" s="158"/>
      <c r="M2609" s="208" t="s">
        <v>329</v>
      </c>
      <c r="N2609" s="158" t="s">
        <v>354</v>
      </c>
      <c r="O2609" s="162"/>
      <c r="P2609" s="161">
        <f>3000000*12</f>
        <v>36000000</v>
      </c>
      <c r="Q2609" s="161"/>
      <c r="R2609" s="162"/>
      <c r="S2609" s="211"/>
      <c r="T2609" s="213">
        <v>0.2</v>
      </c>
      <c r="U2609" s="341">
        <v>46143</v>
      </c>
      <c r="V2609" s="340">
        <v>46507</v>
      </c>
      <c r="W2609" s="158" t="s">
        <v>17</v>
      </c>
      <c r="X2609" s="158"/>
      <c r="Y2609" s="164">
        <f t="shared" ca="1" si="180"/>
        <v>46290</v>
      </c>
      <c r="Z2609" s="207">
        <f t="shared" ca="1" si="178"/>
        <v>217</v>
      </c>
      <c r="AA2609" s="158">
        <f t="shared" si="179"/>
        <v>4</v>
      </c>
      <c r="AB2609" s="158">
        <f t="shared" si="177"/>
        <v>2027</v>
      </c>
      <c r="AC2609" s="159"/>
      <c r="AD2609" s="159"/>
      <c r="AE2609" s="158"/>
      <c r="AF2609" s="158" t="s">
        <v>356</v>
      </c>
      <c r="AG2609" s="160"/>
      <c r="AH2609" s="160"/>
      <c r="AI2609" s="158"/>
      <c r="AJ2609" s="158"/>
      <c r="AK2609" s="158"/>
      <c r="AL2609" s="158"/>
      <c r="AM2609" s="158"/>
      <c r="AN2609" s="158"/>
      <c r="AO2609" s="158"/>
      <c r="AP2609" s="158"/>
      <c r="AQ2609" s="158"/>
      <c r="AR2609" s="507"/>
      <c r="AS2609" s="475"/>
      <c r="AT2609" s="160"/>
    </row>
    <row r="2610" spans="1:46" ht="15" hidden="1" customHeight="1">
      <c r="A2610" s="331">
        <v>2609</v>
      </c>
      <c r="B2610" s="234" t="s">
        <v>8736</v>
      </c>
      <c r="C2610" s="234" t="s">
        <v>8737</v>
      </c>
      <c r="D2610" s="438" t="s">
        <v>11586</v>
      </c>
      <c r="E2610" s="361" t="str">
        <f t="shared" ca="1" si="175"/>
        <v>LOSS</v>
      </c>
      <c r="F2610" s="160"/>
      <c r="G2610" s="241" t="s">
        <v>8739</v>
      </c>
      <c r="H2610" s="160" t="s">
        <v>8588</v>
      </c>
      <c r="I2610" s="160" t="s">
        <v>511</v>
      </c>
      <c r="J2610" s="159" t="s">
        <v>8740</v>
      </c>
      <c r="K2610" s="160"/>
      <c r="L2610" s="158"/>
      <c r="M2610" s="208" t="s">
        <v>329</v>
      </c>
      <c r="N2610" s="158"/>
      <c r="O2610" s="162"/>
      <c r="P2610" s="161">
        <v>36000000</v>
      </c>
      <c r="Q2610" s="161"/>
      <c r="R2610" s="162"/>
      <c r="S2610" s="211"/>
      <c r="T2610" s="213">
        <v>0.15</v>
      </c>
      <c r="U2610" s="341">
        <v>45092</v>
      </c>
      <c r="V2610" s="341">
        <v>45457</v>
      </c>
      <c r="W2610" s="158" t="s">
        <v>250</v>
      </c>
      <c r="X2610" s="158"/>
      <c r="Y2610" s="164">
        <f t="shared" ca="1" si="180"/>
        <v>46290</v>
      </c>
      <c r="Z2610" s="207">
        <f t="shared" ca="1" si="178"/>
        <v>-833</v>
      </c>
      <c r="AA2610" s="158">
        <f t="shared" si="179"/>
        <v>6</v>
      </c>
      <c r="AB2610" s="158">
        <f t="shared" si="177"/>
        <v>2024</v>
      </c>
      <c r="AC2610" s="159"/>
      <c r="AD2610" s="159"/>
      <c r="AE2610" s="158"/>
      <c r="AF2610" s="158" t="s">
        <v>356</v>
      </c>
      <c r="AG2610" s="160"/>
      <c r="AH2610" s="160"/>
      <c r="AI2610" s="158"/>
      <c r="AJ2610" s="158"/>
      <c r="AK2610" s="158"/>
      <c r="AL2610" s="158"/>
      <c r="AM2610" s="158"/>
      <c r="AN2610" s="158"/>
      <c r="AO2610" s="158"/>
      <c r="AP2610" s="158"/>
      <c r="AQ2610" s="158"/>
      <c r="AR2610" s="507"/>
      <c r="AS2610" s="475"/>
      <c r="AT2610" s="160"/>
    </row>
    <row r="2611" spans="1:46" ht="15" hidden="1" customHeight="1">
      <c r="A2611" s="331">
        <v>2610</v>
      </c>
      <c r="B2611" s="234" t="s">
        <v>8736</v>
      </c>
      <c r="C2611" s="234" t="s">
        <v>8742</v>
      </c>
      <c r="D2611" s="447" t="s">
        <v>8738</v>
      </c>
      <c r="E2611" s="361" t="str">
        <f t="shared" ca="1" si="175"/>
        <v>LOSS</v>
      </c>
      <c r="F2611" s="160"/>
      <c r="G2611" s="234" t="s">
        <v>8743</v>
      </c>
      <c r="H2611" s="160" t="s">
        <v>8588</v>
      </c>
      <c r="I2611" s="160" t="s">
        <v>511</v>
      </c>
      <c r="J2611" s="159" t="s">
        <v>8744</v>
      </c>
      <c r="K2611" s="160"/>
      <c r="L2611" s="158"/>
      <c r="M2611" s="208" t="s">
        <v>365</v>
      </c>
      <c r="N2611" s="158"/>
      <c r="O2611" s="162"/>
      <c r="P2611" s="161">
        <v>198000000</v>
      </c>
      <c r="Q2611" s="161"/>
      <c r="R2611" s="162"/>
      <c r="S2611" s="211"/>
      <c r="T2611" s="213">
        <v>0.15</v>
      </c>
      <c r="U2611" s="341">
        <v>45092</v>
      </c>
      <c r="V2611" s="341">
        <v>45457</v>
      </c>
      <c r="W2611" s="158" t="s">
        <v>250</v>
      </c>
      <c r="X2611" s="158"/>
      <c r="Y2611" s="164">
        <f t="shared" ca="1" si="180"/>
        <v>46290</v>
      </c>
      <c r="Z2611" s="207">
        <f t="shared" ca="1" si="178"/>
        <v>-833</v>
      </c>
      <c r="AA2611" s="158">
        <f t="shared" si="179"/>
        <v>6</v>
      </c>
      <c r="AB2611" s="158">
        <f t="shared" si="177"/>
        <v>2024</v>
      </c>
      <c r="AC2611" s="159"/>
      <c r="AD2611" s="159"/>
      <c r="AE2611" s="158"/>
      <c r="AF2611" s="158" t="s">
        <v>356</v>
      </c>
      <c r="AG2611" s="160"/>
      <c r="AH2611" s="160"/>
      <c r="AI2611" s="158"/>
      <c r="AJ2611" s="158"/>
      <c r="AK2611" s="158"/>
      <c r="AL2611" s="158"/>
      <c r="AM2611" s="158"/>
      <c r="AN2611" s="158"/>
      <c r="AO2611" s="158"/>
      <c r="AP2611" s="158"/>
      <c r="AQ2611" s="158"/>
      <c r="AR2611" s="507"/>
      <c r="AS2611" s="475"/>
      <c r="AT2611" s="160"/>
    </row>
    <row r="2612" spans="1:46" ht="15" hidden="1" customHeight="1">
      <c r="A2612" s="331">
        <v>2611</v>
      </c>
      <c r="B2612" s="234" t="s">
        <v>8736</v>
      </c>
      <c r="C2612" s="234" t="s">
        <v>8745</v>
      </c>
      <c r="D2612" s="447" t="s">
        <v>8738</v>
      </c>
      <c r="E2612" s="361" t="str">
        <f t="shared" ca="1" si="175"/>
        <v>LOSS</v>
      </c>
      <c r="F2612" s="160"/>
      <c r="G2612" s="242" t="s">
        <v>8746</v>
      </c>
      <c r="H2612" s="160" t="s">
        <v>8588</v>
      </c>
      <c r="I2612" s="160" t="s">
        <v>511</v>
      </c>
      <c r="J2612" s="159" t="s">
        <v>8747</v>
      </c>
      <c r="K2612" s="160"/>
      <c r="L2612" s="158"/>
      <c r="M2612" s="208" t="s">
        <v>365</v>
      </c>
      <c r="N2612" s="158"/>
      <c r="O2612" s="162"/>
      <c r="P2612" s="161">
        <v>180000000</v>
      </c>
      <c r="Q2612" s="161"/>
      <c r="R2612" s="162"/>
      <c r="S2612" s="211"/>
      <c r="T2612" s="213">
        <v>0.15</v>
      </c>
      <c r="U2612" s="341">
        <v>45092</v>
      </c>
      <c r="V2612" s="341">
        <v>45457</v>
      </c>
      <c r="W2612" s="158" t="s">
        <v>250</v>
      </c>
      <c r="X2612" s="158"/>
      <c r="Y2612" s="164">
        <f t="shared" ca="1" si="180"/>
        <v>46290</v>
      </c>
      <c r="Z2612" s="207">
        <f t="shared" ca="1" si="178"/>
        <v>-833</v>
      </c>
      <c r="AA2612" s="158">
        <f t="shared" si="179"/>
        <v>6</v>
      </c>
      <c r="AB2612" s="158">
        <f t="shared" si="177"/>
        <v>2024</v>
      </c>
      <c r="AC2612" s="159"/>
      <c r="AD2612" s="159"/>
      <c r="AE2612" s="158"/>
      <c r="AF2612" s="158" t="s">
        <v>356</v>
      </c>
      <c r="AG2612" s="160"/>
      <c r="AH2612" s="160"/>
      <c r="AI2612" s="158"/>
      <c r="AJ2612" s="158"/>
      <c r="AK2612" s="158"/>
      <c r="AL2612" s="158"/>
      <c r="AM2612" s="158"/>
      <c r="AN2612" s="158"/>
      <c r="AO2612" s="158"/>
      <c r="AP2612" s="158"/>
      <c r="AQ2612" s="158"/>
      <c r="AR2612" s="507"/>
      <c r="AS2612" s="475"/>
      <c r="AT2612" s="160"/>
    </row>
    <row r="2613" spans="1:46" ht="15" hidden="1" customHeight="1">
      <c r="A2613" s="331">
        <v>2612</v>
      </c>
      <c r="B2613" s="234" t="s">
        <v>8736</v>
      </c>
      <c r="C2613" s="234" t="s">
        <v>8748</v>
      </c>
      <c r="D2613" s="447" t="s">
        <v>8738</v>
      </c>
      <c r="E2613" s="361" t="str">
        <f t="shared" ca="1" si="175"/>
        <v>LOSS</v>
      </c>
      <c r="F2613" s="160"/>
      <c r="G2613" s="242" t="s">
        <v>8749</v>
      </c>
      <c r="H2613" s="160" t="s">
        <v>8588</v>
      </c>
      <c r="I2613" s="160" t="s">
        <v>511</v>
      </c>
      <c r="J2613" s="159" t="s">
        <v>8750</v>
      </c>
      <c r="K2613" s="160"/>
      <c r="L2613" s="158"/>
      <c r="M2613" s="208" t="s">
        <v>365</v>
      </c>
      <c r="N2613" s="158"/>
      <c r="O2613" s="162"/>
      <c r="P2613" s="161">
        <v>42000000</v>
      </c>
      <c r="Q2613" s="161"/>
      <c r="R2613" s="162"/>
      <c r="S2613" s="211"/>
      <c r="T2613" s="213">
        <v>0.15</v>
      </c>
      <c r="U2613" s="341">
        <v>45092</v>
      </c>
      <c r="V2613" s="341">
        <v>45457</v>
      </c>
      <c r="W2613" s="158" t="s">
        <v>250</v>
      </c>
      <c r="X2613" s="158"/>
      <c r="Y2613" s="164">
        <f t="shared" ca="1" si="180"/>
        <v>46290</v>
      </c>
      <c r="Z2613" s="207">
        <f t="shared" ca="1" si="178"/>
        <v>-833</v>
      </c>
      <c r="AA2613" s="158">
        <f t="shared" si="179"/>
        <v>6</v>
      </c>
      <c r="AB2613" s="158">
        <f t="shared" si="177"/>
        <v>2024</v>
      </c>
      <c r="AC2613" s="159"/>
      <c r="AD2613" s="159"/>
      <c r="AE2613" s="158"/>
      <c r="AF2613" s="158" t="s">
        <v>356</v>
      </c>
      <c r="AG2613" s="160"/>
      <c r="AH2613" s="160"/>
      <c r="AI2613" s="158"/>
      <c r="AJ2613" s="158"/>
      <c r="AK2613" s="158"/>
      <c r="AL2613" s="158"/>
      <c r="AM2613" s="158"/>
      <c r="AN2613" s="158"/>
      <c r="AO2613" s="158"/>
      <c r="AP2613" s="158"/>
      <c r="AQ2613" s="158"/>
      <c r="AR2613" s="507"/>
      <c r="AS2613" s="475"/>
      <c r="AT2613" s="160"/>
    </row>
    <row r="2614" spans="1:46" ht="15" hidden="1" customHeight="1">
      <c r="A2614" s="331">
        <v>2613</v>
      </c>
      <c r="B2614" s="238" t="s">
        <v>8736</v>
      </c>
      <c r="C2614" s="238" t="s">
        <v>8805</v>
      </c>
      <c r="D2614" s="447" t="s">
        <v>8738</v>
      </c>
      <c r="E2614" s="361" t="str">
        <f t="shared" ca="1" si="175"/>
        <v>LOSS</v>
      </c>
      <c r="F2614" s="160"/>
      <c r="G2614" s="234" t="s">
        <v>8806</v>
      </c>
      <c r="H2614" s="160" t="s">
        <v>8588</v>
      </c>
      <c r="I2614" s="160" t="s">
        <v>511</v>
      </c>
      <c r="J2614" s="159"/>
      <c r="K2614" s="181" t="s">
        <v>8807</v>
      </c>
      <c r="L2614" s="158"/>
      <c r="M2614" s="208" t="s">
        <v>365</v>
      </c>
      <c r="N2614" s="158" t="s">
        <v>8808</v>
      </c>
      <c r="O2614" s="162"/>
      <c r="P2614" s="161">
        <v>36216240</v>
      </c>
      <c r="Q2614" s="161"/>
      <c r="R2614" s="162"/>
      <c r="S2614" s="211"/>
      <c r="T2614" s="213">
        <v>0.15</v>
      </c>
      <c r="U2614" s="341">
        <v>45092</v>
      </c>
      <c r="V2614" s="341">
        <v>45457</v>
      </c>
      <c r="W2614" s="158" t="s">
        <v>250</v>
      </c>
      <c r="X2614" s="158"/>
      <c r="Y2614" s="164">
        <f t="shared" ca="1" si="180"/>
        <v>46290</v>
      </c>
      <c r="Z2614" s="207">
        <f t="shared" ca="1" si="178"/>
        <v>-833</v>
      </c>
      <c r="AA2614" s="158">
        <f t="shared" si="179"/>
        <v>6</v>
      </c>
      <c r="AB2614" s="158">
        <f t="shared" si="177"/>
        <v>2024</v>
      </c>
      <c r="AC2614" s="159"/>
      <c r="AD2614" s="159"/>
      <c r="AE2614" s="158"/>
      <c r="AF2614" s="158" t="s">
        <v>356</v>
      </c>
      <c r="AG2614" s="160"/>
      <c r="AH2614" s="160"/>
      <c r="AI2614" s="158"/>
      <c r="AJ2614" s="158"/>
      <c r="AK2614" s="158"/>
      <c r="AL2614" s="158"/>
      <c r="AM2614" s="158"/>
      <c r="AN2614" s="158"/>
      <c r="AO2614" s="158"/>
      <c r="AP2614" s="158"/>
      <c r="AQ2614" s="158"/>
      <c r="AR2614" s="507"/>
      <c r="AS2614" s="475"/>
      <c r="AT2614" s="160"/>
    </row>
    <row r="2615" spans="1:46" ht="15" hidden="1" customHeight="1">
      <c r="A2615" s="331">
        <v>2614</v>
      </c>
      <c r="B2615" s="238" t="s">
        <v>8736</v>
      </c>
      <c r="C2615" s="238" t="s">
        <v>8809</v>
      </c>
      <c r="D2615" s="437" t="s">
        <v>8738</v>
      </c>
      <c r="E2615" s="361" t="str">
        <f t="shared" ca="1" si="175"/>
        <v>LOSS</v>
      </c>
      <c r="F2615" s="240"/>
      <c r="G2615" s="234" t="s">
        <v>8806</v>
      </c>
      <c r="H2615" s="240" t="s">
        <v>8588</v>
      </c>
      <c r="I2615" s="240" t="s">
        <v>511</v>
      </c>
      <c r="J2615" s="192"/>
      <c r="K2615" s="244" t="s">
        <v>8810</v>
      </c>
      <c r="L2615" s="237"/>
      <c r="M2615" s="208" t="s">
        <v>365</v>
      </c>
      <c r="N2615" s="237"/>
      <c r="O2615" s="245"/>
      <c r="P2615" s="193">
        <v>75675672</v>
      </c>
      <c r="Q2615" s="193"/>
      <c r="R2615" s="245"/>
      <c r="S2615" s="249"/>
      <c r="T2615" s="213">
        <v>0.15</v>
      </c>
      <c r="U2615" s="341">
        <v>45092</v>
      </c>
      <c r="V2615" s="341">
        <v>45457</v>
      </c>
      <c r="W2615" s="237" t="s">
        <v>250</v>
      </c>
      <c r="X2615" s="237"/>
      <c r="Y2615" s="251">
        <f t="shared" ca="1" si="180"/>
        <v>46290</v>
      </c>
      <c r="Z2615" s="253">
        <f t="shared" ca="1" si="178"/>
        <v>-833</v>
      </c>
      <c r="AA2615" s="237">
        <f t="shared" si="179"/>
        <v>6</v>
      </c>
      <c r="AB2615" s="237">
        <f t="shared" si="177"/>
        <v>2024</v>
      </c>
      <c r="AC2615" s="192"/>
      <c r="AD2615" s="192"/>
      <c r="AE2615" s="237"/>
      <c r="AF2615" s="237" t="s">
        <v>356</v>
      </c>
      <c r="AG2615" s="160"/>
      <c r="AH2615" s="160"/>
      <c r="AI2615" s="237"/>
      <c r="AJ2615" s="237"/>
      <c r="AK2615" s="237"/>
      <c r="AL2615" s="237"/>
      <c r="AM2615" s="237"/>
      <c r="AN2615" s="237"/>
      <c r="AO2615" s="237"/>
      <c r="AP2615" s="237"/>
      <c r="AQ2615" s="237"/>
      <c r="AR2615" s="508"/>
      <c r="AS2615" s="492"/>
      <c r="AT2615" s="160"/>
    </row>
    <row r="2616" spans="1:46" ht="15" hidden="1" customHeight="1">
      <c r="A2616" s="331">
        <v>2615</v>
      </c>
      <c r="B2616" s="234" t="s">
        <v>8736</v>
      </c>
      <c r="C2616" s="234" t="s">
        <v>8737</v>
      </c>
      <c r="D2616" s="447" t="s">
        <v>8738</v>
      </c>
      <c r="E2616" s="361" t="str">
        <f t="shared" ca="1" si="175"/>
        <v>LOSS</v>
      </c>
      <c r="F2616" s="160"/>
      <c r="G2616" s="241" t="s">
        <v>8739</v>
      </c>
      <c r="H2616" s="160" t="s">
        <v>8588</v>
      </c>
      <c r="I2616" s="160" t="s">
        <v>511</v>
      </c>
      <c r="J2616" s="159" t="s">
        <v>8740</v>
      </c>
      <c r="K2616" s="160"/>
      <c r="L2616" s="158"/>
      <c r="M2616" s="208" t="s">
        <v>329</v>
      </c>
      <c r="N2616" s="158"/>
      <c r="O2616" s="162"/>
      <c r="P2616" s="161">
        <v>36000000</v>
      </c>
      <c r="Q2616" s="161"/>
      <c r="R2616" s="162"/>
      <c r="S2616" s="211"/>
      <c r="T2616" s="213">
        <v>0.15</v>
      </c>
      <c r="U2616" s="341">
        <v>45458</v>
      </c>
      <c r="V2616" s="341">
        <v>45822</v>
      </c>
      <c r="W2616" s="158" t="s">
        <v>250</v>
      </c>
      <c r="X2616" s="158"/>
      <c r="Y2616" s="164">
        <f t="shared" ca="1" si="180"/>
        <v>46290</v>
      </c>
      <c r="Z2616" s="207">
        <f t="shared" ca="1" si="178"/>
        <v>-468</v>
      </c>
      <c r="AA2616" s="158">
        <f t="shared" si="179"/>
        <v>6</v>
      </c>
      <c r="AB2616" s="158">
        <f t="shared" si="177"/>
        <v>2025</v>
      </c>
      <c r="AC2616" s="159"/>
      <c r="AD2616" s="159"/>
      <c r="AE2616" s="158"/>
      <c r="AF2616" s="158" t="s">
        <v>356</v>
      </c>
      <c r="AG2616" s="160"/>
      <c r="AH2616" s="160"/>
      <c r="AI2616" s="158"/>
      <c r="AJ2616" s="158"/>
      <c r="AK2616" s="158"/>
      <c r="AL2616" s="158"/>
      <c r="AM2616" s="158"/>
      <c r="AN2616" s="158"/>
      <c r="AO2616" s="158"/>
      <c r="AP2616" s="158"/>
      <c r="AQ2616" s="158"/>
      <c r="AR2616" s="507"/>
      <c r="AS2616" s="475"/>
      <c r="AT2616" s="160"/>
    </row>
    <row r="2617" spans="1:46" ht="15" hidden="1" customHeight="1">
      <c r="A2617" s="331">
        <v>2616</v>
      </c>
      <c r="B2617" s="234" t="s">
        <v>8736</v>
      </c>
      <c r="C2617" s="234" t="s">
        <v>8742</v>
      </c>
      <c r="D2617" s="447" t="s">
        <v>8738</v>
      </c>
      <c r="E2617" s="361" t="str">
        <f t="shared" ca="1" si="175"/>
        <v>LOSS</v>
      </c>
      <c r="F2617" s="160"/>
      <c r="G2617" s="234" t="s">
        <v>8743</v>
      </c>
      <c r="H2617" s="160" t="s">
        <v>8588</v>
      </c>
      <c r="I2617" s="160" t="s">
        <v>511</v>
      </c>
      <c r="J2617" s="159" t="s">
        <v>8744</v>
      </c>
      <c r="K2617" s="160"/>
      <c r="L2617" s="158"/>
      <c r="M2617" s="208" t="s">
        <v>365</v>
      </c>
      <c r="N2617" s="158"/>
      <c r="O2617" s="162"/>
      <c r="P2617" s="161">
        <v>198000000</v>
      </c>
      <c r="Q2617" s="161"/>
      <c r="R2617" s="162"/>
      <c r="S2617" s="211"/>
      <c r="T2617" s="213">
        <v>0.15</v>
      </c>
      <c r="U2617" s="341">
        <v>45458</v>
      </c>
      <c r="V2617" s="341">
        <v>45822</v>
      </c>
      <c r="W2617" s="158" t="s">
        <v>250</v>
      </c>
      <c r="X2617" s="158"/>
      <c r="Y2617" s="164">
        <f t="shared" ca="1" si="180"/>
        <v>46290</v>
      </c>
      <c r="Z2617" s="207">
        <f t="shared" ca="1" si="178"/>
        <v>-468</v>
      </c>
      <c r="AA2617" s="158">
        <f t="shared" si="179"/>
        <v>6</v>
      </c>
      <c r="AB2617" s="158">
        <f t="shared" si="177"/>
        <v>2025</v>
      </c>
      <c r="AC2617" s="159"/>
      <c r="AD2617" s="159"/>
      <c r="AE2617" s="158"/>
      <c r="AF2617" s="158" t="s">
        <v>356</v>
      </c>
      <c r="AG2617" s="160"/>
      <c r="AH2617" s="160"/>
      <c r="AI2617" s="158"/>
      <c r="AJ2617" s="158"/>
      <c r="AK2617" s="158"/>
      <c r="AL2617" s="158"/>
      <c r="AM2617" s="158"/>
      <c r="AN2617" s="158"/>
      <c r="AO2617" s="158"/>
      <c r="AP2617" s="158"/>
      <c r="AQ2617" s="158"/>
      <c r="AR2617" s="507"/>
      <c r="AS2617" s="475"/>
      <c r="AT2617" s="160"/>
    </row>
    <row r="2618" spans="1:46" ht="15" hidden="1" customHeight="1">
      <c r="A2618" s="331">
        <v>2617</v>
      </c>
      <c r="B2618" s="234" t="s">
        <v>8736</v>
      </c>
      <c r="C2618" s="234" t="s">
        <v>8745</v>
      </c>
      <c r="D2618" s="447" t="s">
        <v>8738</v>
      </c>
      <c r="E2618" s="361" t="str">
        <f t="shared" ca="1" si="175"/>
        <v>LOSS</v>
      </c>
      <c r="F2618" s="160"/>
      <c r="G2618" s="242" t="s">
        <v>8746</v>
      </c>
      <c r="H2618" s="160" t="s">
        <v>8588</v>
      </c>
      <c r="I2618" s="160" t="s">
        <v>511</v>
      </c>
      <c r="J2618" s="159" t="s">
        <v>8747</v>
      </c>
      <c r="K2618" s="160"/>
      <c r="L2618" s="158"/>
      <c r="M2618" s="208" t="s">
        <v>365</v>
      </c>
      <c r="N2618" s="158"/>
      <c r="O2618" s="162"/>
      <c r="P2618" s="161">
        <v>180000000</v>
      </c>
      <c r="Q2618" s="161"/>
      <c r="R2618" s="162"/>
      <c r="S2618" s="211"/>
      <c r="T2618" s="213">
        <v>0.15</v>
      </c>
      <c r="U2618" s="341">
        <v>45458</v>
      </c>
      <c r="V2618" s="341">
        <v>45822</v>
      </c>
      <c r="W2618" s="158" t="s">
        <v>250</v>
      </c>
      <c r="X2618" s="158"/>
      <c r="Y2618" s="164">
        <f t="shared" ca="1" si="180"/>
        <v>46290</v>
      </c>
      <c r="Z2618" s="207">
        <f t="shared" ca="1" si="178"/>
        <v>-468</v>
      </c>
      <c r="AA2618" s="158">
        <f t="shared" si="179"/>
        <v>6</v>
      </c>
      <c r="AB2618" s="158">
        <f t="shared" si="177"/>
        <v>2025</v>
      </c>
      <c r="AC2618" s="159"/>
      <c r="AD2618" s="159"/>
      <c r="AE2618" s="158"/>
      <c r="AF2618" s="158" t="s">
        <v>356</v>
      </c>
      <c r="AG2618" s="160"/>
      <c r="AH2618" s="160"/>
      <c r="AI2618" s="158"/>
      <c r="AJ2618" s="158"/>
      <c r="AK2618" s="158"/>
      <c r="AL2618" s="158"/>
      <c r="AM2618" s="158"/>
      <c r="AN2618" s="158"/>
      <c r="AO2618" s="158"/>
      <c r="AP2618" s="158"/>
      <c r="AQ2618" s="158"/>
      <c r="AR2618" s="507"/>
      <c r="AS2618" s="475"/>
      <c r="AT2618" s="160"/>
    </row>
    <row r="2619" spans="1:46" ht="15" hidden="1" customHeight="1">
      <c r="A2619" s="331">
        <v>2618</v>
      </c>
      <c r="B2619" s="234" t="s">
        <v>8736</v>
      </c>
      <c r="C2619" s="234" t="s">
        <v>8748</v>
      </c>
      <c r="D2619" s="447" t="s">
        <v>8738</v>
      </c>
      <c r="E2619" s="361" t="str">
        <f t="shared" ca="1" si="175"/>
        <v>LOSS</v>
      </c>
      <c r="F2619" s="160"/>
      <c r="G2619" s="242" t="s">
        <v>8749</v>
      </c>
      <c r="H2619" s="160" t="s">
        <v>8588</v>
      </c>
      <c r="I2619" s="160" t="s">
        <v>511</v>
      </c>
      <c r="J2619" s="159" t="s">
        <v>8750</v>
      </c>
      <c r="K2619" s="160"/>
      <c r="L2619" s="158"/>
      <c r="M2619" s="208" t="s">
        <v>365</v>
      </c>
      <c r="N2619" s="158"/>
      <c r="O2619" s="162"/>
      <c r="P2619" s="161">
        <v>42000000</v>
      </c>
      <c r="Q2619" s="161"/>
      <c r="R2619" s="162"/>
      <c r="S2619" s="211"/>
      <c r="T2619" s="213">
        <v>0.15</v>
      </c>
      <c r="U2619" s="341">
        <v>45458</v>
      </c>
      <c r="V2619" s="341">
        <v>45822</v>
      </c>
      <c r="W2619" s="158" t="s">
        <v>250</v>
      </c>
      <c r="X2619" s="158"/>
      <c r="Y2619" s="164">
        <f t="shared" ca="1" si="180"/>
        <v>46290</v>
      </c>
      <c r="Z2619" s="207">
        <f t="shared" ca="1" si="178"/>
        <v>-468</v>
      </c>
      <c r="AA2619" s="158">
        <f t="shared" si="179"/>
        <v>6</v>
      </c>
      <c r="AB2619" s="158">
        <f t="shared" si="177"/>
        <v>2025</v>
      </c>
      <c r="AC2619" s="159"/>
      <c r="AD2619" s="159"/>
      <c r="AE2619" s="158"/>
      <c r="AF2619" s="158" t="s">
        <v>356</v>
      </c>
      <c r="AG2619" s="160"/>
      <c r="AH2619" s="160"/>
      <c r="AI2619" s="158"/>
      <c r="AJ2619" s="158"/>
      <c r="AK2619" s="158"/>
      <c r="AL2619" s="158"/>
      <c r="AM2619" s="158"/>
      <c r="AN2619" s="158"/>
      <c r="AO2619" s="158"/>
      <c r="AP2619" s="158"/>
      <c r="AQ2619" s="158"/>
      <c r="AR2619" s="507"/>
      <c r="AS2619" s="475"/>
      <c r="AT2619" s="160"/>
    </row>
    <row r="2620" spans="1:46" ht="15" hidden="1" customHeight="1">
      <c r="A2620" s="331">
        <v>2619</v>
      </c>
      <c r="B2620" s="238" t="s">
        <v>8736</v>
      </c>
      <c r="C2620" s="238" t="s">
        <v>8805</v>
      </c>
      <c r="D2620" s="447" t="s">
        <v>8738</v>
      </c>
      <c r="E2620" s="361" t="str">
        <f t="shared" ca="1" si="175"/>
        <v>LOSS</v>
      </c>
      <c r="F2620" s="160"/>
      <c r="G2620" s="234" t="s">
        <v>8806</v>
      </c>
      <c r="H2620" s="160" t="s">
        <v>8588</v>
      </c>
      <c r="I2620" s="160" t="s">
        <v>511</v>
      </c>
      <c r="J2620" s="159"/>
      <c r="K2620" s="181" t="s">
        <v>8807</v>
      </c>
      <c r="L2620" s="158"/>
      <c r="M2620" s="208" t="s">
        <v>365</v>
      </c>
      <c r="N2620" s="158" t="s">
        <v>8808</v>
      </c>
      <c r="O2620" s="162"/>
      <c r="P2620" s="161">
        <v>36216240</v>
      </c>
      <c r="Q2620" s="161"/>
      <c r="R2620" s="162"/>
      <c r="S2620" s="211"/>
      <c r="T2620" s="213">
        <v>0.15</v>
      </c>
      <c r="U2620" s="341">
        <v>45458</v>
      </c>
      <c r="V2620" s="341">
        <v>45822</v>
      </c>
      <c r="W2620" s="158" t="s">
        <v>250</v>
      </c>
      <c r="X2620" s="158"/>
      <c r="Y2620" s="164">
        <f t="shared" ca="1" si="180"/>
        <v>46290</v>
      </c>
      <c r="Z2620" s="207">
        <f t="shared" ca="1" si="178"/>
        <v>-468</v>
      </c>
      <c r="AA2620" s="158">
        <f t="shared" si="179"/>
        <v>6</v>
      </c>
      <c r="AB2620" s="158">
        <f t="shared" si="177"/>
        <v>2025</v>
      </c>
      <c r="AC2620" s="159"/>
      <c r="AD2620" s="159"/>
      <c r="AE2620" s="158"/>
      <c r="AF2620" s="158" t="s">
        <v>356</v>
      </c>
      <c r="AG2620" s="160"/>
      <c r="AH2620" s="160"/>
      <c r="AI2620" s="158"/>
      <c r="AJ2620" s="158"/>
      <c r="AK2620" s="158"/>
      <c r="AL2620" s="158"/>
      <c r="AM2620" s="158"/>
      <c r="AN2620" s="158"/>
      <c r="AO2620" s="158"/>
      <c r="AP2620" s="158"/>
      <c r="AQ2620" s="158"/>
      <c r="AR2620" s="507"/>
      <c r="AS2620" s="475"/>
      <c r="AT2620" s="160"/>
    </row>
    <row r="2621" spans="1:46" ht="15" hidden="1" customHeight="1">
      <c r="A2621" s="331">
        <v>2620</v>
      </c>
      <c r="B2621" s="238" t="s">
        <v>8736</v>
      </c>
      <c r="C2621" s="238" t="s">
        <v>8809</v>
      </c>
      <c r="D2621" s="437" t="s">
        <v>8738</v>
      </c>
      <c r="E2621" s="361" t="str">
        <f t="shared" ca="1" si="175"/>
        <v>LOSS</v>
      </c>
      <c r="F2621" s="240"/>
      <c r="G2621" s="234" t="s">
        <v>8806</v>
      </c>
      <c r="H2621" s="240" t="s">
        <v>8588</v>
      </c>
      <c r="I2621" s="240" t="s">
        <v>511</v>
      </c>
      <c r="J2621" s="192"/>
      <c r="K2621" s="244" t="s">
        <v>8810</v>
      </c>
      <c r="L2621" s="237"/>
      <c r="M2621" s="208" t="s">
        <v>365</v>
      </c>
      <c r="N2621" s="240"/>
      <c r="O2621" s="245"/>
      <c r="P2621" s="193">
        <v>75675672</v>
      </c>
      <c r="Q2621" s="193"/>
      <c r="R2621" s="245"/>
      <c r="S2621" s="249"/>
      <c r="T2621" s="213">
        <v>0.15</v>
      </c>
      <c r="U2621" s="341">
        <v>45458</v>
      </c>
      <c r="V2621" s="341">
        <v>45822</v>
      </c>
      <c r="W2621" s="237" t="s">
        <v>250</v>
      </c>
      <c r="X2621" s="237"/>
      <c r="Y2621" s="251">
        <f t="shared" ca="1" si="180"/>
        <v>46290</v>
      </c>
      <c r="Z2621" s="253">
        <f t="shared" ca="1" si="178"/>
        <v>-468</v>
      </c>
      <c r="AA2621" s="237">
        <f t="shared" si="179"/>
        <v>6</v>
      </c>
      <c r="AB2621" s="237">
        <f t="shared" si="177"/>
        <v>2025</v>
      </c>
      <c r="AC2621" s="192"/>
      <c r="AD2621" s="192"/>
      <c r="AE2621" s="237"/>
      <c r="AF2621" s="237" t="s">
        <v>356</v>
      </c>
      <c r="AG2621" s="160"/>
      <c r="AH2621" s="160"/>
      <c r="AI2621" s="237"/>
      <c r="AJ2621" s="237"/>
      <c r="AK2621" s="237"/>
      <c r="AL2621" s="237"/>
      <c r="AM2621" s="237"/>
      <c r="AN2621" s="237"/>
      <c r="AO2621" s="237"/>
      <c r="AP2621" s="237"/>
      <c r="AQ2621" s="237"/>
      <c r="AR2621" s="508"/>
      <c r="AS2621" s="492"/>
      <c r="AT2621" s="160"/>
    </row>
    <row r="2622" spans="1:46" ht="15" hidden="1" customHeight="1">
      <c r="A2622" s="331">
        <v>2621</v>
      </c>
      <c r="B2622" s="234" t="s">
        <v>8736</v>
      </c>
      <c r="C2622" s="234" t="s">
        <v>8737</v>
      </c>
      <c r="D2622" s="447" t="s">
        <v>8738</v>
      </c>
      <c r="E2622" s="361" t="str">
        <f t="shared" ca="1" si="175"/>
        <v>LOSS</v>
      </c>
      <c r="F2622" s="160"/>
      <c r="G2622" s="241" t="s">
        <v>8739</v>
      </c>
      <c r="H2622" s="160" t="s">
        <v>8588</v>
      </c>
      <c r="I2622" s="160" t="s">
        <v>511</v>
      </c>
      <c r="J2622" s="159" t="s">
        <v>8740</v>
      </c>
      <c r="K2622" s="160"/>
      <c r="L2622" s="158"/>
      <c r="M2622" s="208" t="s">
        <v>329</v>
      </c>
      <c r="N2622" s="160"/>
      <c r="O2622" s="162"/>
      <c r="P2622" s="161">
        <v>36000000</v>
      </c>
      <c r="Q2622" s="161"/>
      <c r="R2622" s="162"/>
      <c r="S2622" s="211"/>
      <c r="T2622" s="213">
        <v>0.15</v>
      </c>
      <c r="U2622" s="341">
        <v>45823</v>
      </c>
      <c r="V2622" s="341">
        <v>46187</v>
      </c>
      <c r="W2622" s="158" t="s">
        <v>17</v>
      </c>
      <c r="X2622" s="158"/>
      <c r="Y2622" s="164">
        <f t="shared" ca="1" si="180"/>
        <v>46290</v>
      </c>
      <c r="Z2622" s="207">
        <f t="shared" ca="1" si="178"/>
        <v>-103</v>
      </c>
      <c r="AA2622" s="158">
        <f t="shared" si="179"/>
        <v>6</v>
      </c>
      <c r="AB2622" s="158">
        <f t="shared" si="177"/>
        <v>2026</v>
      </c>
      <c r="AC2622" s="159"/>
      <c r="AD2622" s="159"/>
      <c r="AE2622" s="158"/>
      <c r="AF2622" s="158" t="s">
        <v>356</v>
      </c>
      <c r="AG2622" s="160"/>
      <c r="AH2622" s="160"/>
      <c r="AI2622" s="158"/>
      <c r="AJ2622" s="158"/>
      <c r="AK2622" s="158"/>
      <c r="AL2622" s="158"/>
      <c r="AM2622" s="158"/>
      <c r="AN2622" s="158"/>
      <c r="AO2622" s="158"/>
      <c r="AP2622" s="158"/>
      <c r="AQ2622" s="158"/>
      <c r="AR2622" s="507"/>
      <c r="AS2622" s="475"/>
      <c r="AT2622" s="160"/>
    </row>
    <row r="2623" spans="1:46" ht="15" hidden="1" customHeight="1">
      <c r="A2623" s="331">
        <v>2622</v>
      </c>
      <c r="B2623" s="234" t="s">
        <v>8736</v>
      </c>
      <c r="C2623" s="234" t="s">
        <v>8742</v>
      </c>
      <c r="D2623" s="447" t="s">
        <v>8738</v>
      </c>
      <c r="E2623" s="361" t="str">
        <f t="shared" ca="1" si="175"/>
        <v>LOSS</v>
      </c>
      <c r="F2623" s="160"/>
      <c r="G2623" s="234" t="s">
        <v>8743</v>
      </c>
      <c r="H2623" s="160" t="s">
        <v>8588</v>
      </c>
      <c r="I2623" s="160" t="s">
        <v>511</v>
      </c>
      <c r="J2623" s="159" t="s">
        <v>8744</v>
      </c>
      <c r="K2623" s="160"/>
      <c r="L2623" s="158"/>
      <c r="M2623" s="208" t="s">
        <v>365</v>
      </c>
      <c r="N2623" s="160"/>
      <c r="O2623" s="162"/>
      <c r="P2623" s="161">
        <v>198000000</v>
      </c>
      <c r="Q2623" s="161"/>
      <c r="R2623" s="162"/>
      <c r="S2623" s="211"/>
      <c r="T2623" s="213">
        <v>0.15</v>
      </c>
      <c r="U2623" s="341">
        <v>45823</v>
      </c>
      <c r="V2623" s="341">
        <v>46187</v>
      </c>
      <c r="W2623" s="158" t="s">
        <v>17</v>
      </c>
      <c r="X2623" s="158"/>
      <c r="Y2623" s="164">
        <f t="shared" ca="1" si="180"/>
        <v>46290</v>
      </c>
      <c r="Z2623" s="207">
        <f t="shared" ca="1" si="178"/>
        <v>-103</v>
      </c>
      <c r="AA2623" s="158">
        <f t="shared" si="179"/>
        <v>6</v>
      </c>
      <c r="AB2623" s="158">
        <f t="shared" si="177"/>
        <v>2026</v>
      </c>
      <c r="AC2623" s="159"/>
      <c r="AD2623" s="159"/>
      <c r="AE2623" s="158"/>
      <c r="AF2623" s="158" t="s">
        <v>356</v>
      </c>
      <c r="AG2623" s="160"/>
      <c r="AH2623" s="160"/>
      <c r="AI2623" s="158"/>
      <c r="AJ2623" s="158"/>
      <c r="AK2623" s="158"/>
      <c r="AL2623" s="158"/>
      <c r="AM2623" s="158"/>
      <c r="AN2623" s="158"/>
      <c r="AO2623" s="158"/>
      <c r="AP2623" s="158"/>
      <c r="AQ2623" s="158"/>
      <c r="AR2623" s="507"/>
      <c r="AS2623" s="475"/>
      <c r="AT2623" s="160"/>
    </row>
    <row r="2624" spans="1:46" ht="15" hidden="1" customHeight="1">
      <c r="A2624" s="331">
        <v>2623</v>
      </c>
      <c r="B2624" s="234" t="s">
        <v>8736</v>
      </c>
      <c r="C2624" s="234" t="s">
        <v>8745</v>
      </c>
      <c r="D2624" s="447" t="s">
        <v>8738</v>
      </c>
      <c r="E2624" s="361" t="str">
        <f t="shared" ca="1" si="175"/>
        <v>LOSS</v>
      </c>
      <c r="F2624" s="160"/>
      <c r="G2624" s="242" t="s">
        <v>8746</v>
      </c>
      <c r="H2624" s="160" t="s">
        <v>8588</v>
      </c>
      <c r="I2624" s="160" t="s">
        <v>511</v>
      </c>
      <c r="J2624" s="159" t="s">
        <v>8747</v>
      </c>
      <c r="K2624" s="160"/>
      <c r="L2624" s="158"/>
      <c r="M2624" s="208" t="s">
        <v>365</v>
      </c>
      <c r="N2624" s="160"/>
      <c r="O2624" s="162"/>
      <c r="P2624" s="161">
        <v>180000000</v>
      </c>
      <c r="Q2624" s="161"/>
      <c r="R2624" s="162"/>
      <c r="S2624" s="211"/>
      <c r="T2624" s="213">
        <v>0.15</v>
      </c>
      <c r="U2624" s="341">
        <v>45823</v>
      </c>
      <c r="V2624" s="341">
        <v>46187</v>
      </c>
      <c r="W2624" s="158" t="s">
        <v>17</v>
      </c>
      <c r="X2624" s="158"/>
      <c r="Y2624" s="164">
        <f t="shared" ca="1" si="180"/>
        <v>46290</v>
      </c>
      <c r="Z2624" s="207">
        <f t="shared" ca="1" si="178"/>
        <v>-103</v>
      </c>
      <c r="AA2624" s="158">
        <f t="shared" si="179"/>
        <v>6</v>
      </c>
      <c r="AB2624" s="158">
        <f t="shared" si="177"/>
        <v>2026</v>
      </c>
      <c r="AC2624" s="159"/>
      <c r="AD2624" s="159"/>
      <c r="AE2624" s="158"/>
      <c r="AF2624" s="158" t="s">
        <v>356</v>
      </c>
      <c r="AG2624" s="160"/>
      <c r="AH2624" s="160"/>
      <c r="AI2624" s="158"/>
      <c r="AJ2624" s="158"/>
      <c r="AK2624" s="158"/>
      <c r="AL2624" s="158"/>
      <c r="AM2624" s="158"/>
      <c r="AN2624" s="158"/>
      <c r="AO2624" s="158"/>
      <c r="AP2624" s="158"/>
      <c r="AQ2624" s="158"/>
      <c r="AR2624" s="507"/>
      <c r="AS2624" s="475"/>
      <c r="AT2624" s="160"/>
    </row>
    <row r="2625" spans="1:46" ht="15" hidden="1" customHeight="1">
      <c r="A2625" s="331">
        <v>2624</v>
      </c>
      <c r="B2625" s="234" t="s">
        <v>8736</v>
      </c>
      <c r="C2625" s="234" t="s">
        <v>8748</v>
      </c>
      <c r="D2625" s="447" t="s">
        <v>8738</v>
      </c>
      <c r="E2625" s="361" t="str">
        <f t="shared" ca="1" si="175"/>
        <v>LOSS</v>
      </c>
      <c r="F2625" s="160"/>
      <c r="G2625" s="242" t="s">
        <v>8749</v>
      </c>
      <c r="H2625" s="160" t="s">
        <v>8588</v>
      </c>
      <c r="I2625" s="160" t="s">
        <v>511</v>
      </c>
      <c r="J2625" s="159" t="s">
        <v>8750</v>
      </c>
      <c r="K2625" s="160"/>
      <c r="L2625" s="158"/>
      <c r="M2625" s="208" t="s">
        <v>365</v>
      </c>
      <c r="N2625" s="158"/>
      <c r="O2625" s="162"/>
      <c r="P2625" s="161">
        <v>42000000</v>
      </c>
      <c r="Q2625" s="161"/>
      <c r="R2625" s="162"/>
      <c r="S2625" s="211"/>
      <c r="T2625" s="213">
        <v>0.15</v>
      </c>
      <c r="U2625" s="341">
        <v>45823</v>
      </c>
      <c r="V2625" s="341">
        <v>46187</v>
      </c>
      <c r="W2625" s="158" t="s">
        <v>17</v>
      </c>
      <c r="X2625" s="158"/>
      <c r="Y2625" s="164">
        <f t="shared" ca="1" si="180"/>
        <v>46290</v>
      </c>
      <c r="Z2625" s="207">
        <f t="shared" ca="1" si="178"/>
        <v>-103</v>
      </c>
      <c r="AA2625" s="158">
        <f t="shared" si="179"/>
        <v>6</v>
      </c>
      <c r="AB2625" s="158">
        <f t="shared" si="177"/>
        <v>2026</v>
      </c>
      <c r="AC2625" s="159"/>
      <c r="AD2625" s="159"/>
      <c r="AE2625" s="158"/>
      <c r="AF2625" s="158" t="s">
        <v>356</v>
      </c>
      <c r="AG2625" s="160"/>
      <c r="AH2625" s="160"/>
      <c r="AI2625" s="158"/>
      <c r="AJ2625" s="158"/>
      <c r="AK2625" s="158"/>
      <c r="AL2625" s="158"/>
      <c r="AM2625" s="158"/>
      <c r="AN2625" s="158"/>
      <c r="AO2625" s="158"/>
      <c r="AP2625" s="158"/>
      <c r="AQ2625" s="158"/>
      <c r="AR2625" s="507"/>
      <c r="AS2625" s="475"/>
      <c r="AT2625" s="160"/>
    </row>
    <row r="2626" spans="1:46" ht="15" hidden="1" customHeight="1">
      <c r="A2626" s="331">
        <v>2625</v>
      </c>
      <c r="B2626" s="238" t="s">
        <v>8736</v>
      </c>
      <c r="C2626" s="238" t="s">
        <v>8805</v>
      </c>
      <c r="D2626" s="447" t="s">
        <v>8738</v>
      </c>
      <c r="E2626" s="361" t="str">
        <f t="shared" ref="E2626:E2689" ca="1" si="181">IF(Z2626&lt;=0, "LOSS",IF(Z2626&lt;=15, "CRITICAL",IF(Z2626&lt;=30, "WARNING",IF(Z2626&lt;60, "ATTENTION", "ON TRACK"))))</f>
        <v>LOSS</v>
      </c>
      <c r="F2626" s="160"/>
      <c r="G2626" s="234" t="s">
        <v>8806</v>
      </c>
      <c r="H2626" s="160" t="s">
        <v>8588</v>
      </c>
      <c r="I2626" s="160" t="s">
        <v>511</v>
      </c>
      <c r="J2626" s="159"/>
      <c r="K2626" s="181" t="s">
        <v>8807</v>
      </c>
      <c r="L2626" s="158"/>
      <c r="M2626" s="208" t="s">
        <v>365</v>
      </c>
      <c r="N2626" s="158" t="s">
        <v>8808</v>
      </c>
      <c r="O2626" s="162"/>
      <c r="P2626" s="161">
        <v>36216240</v>
      </c>
      <c r="Q2626" s="161"/>
      <c r="R2626" s="162"/>
      <c r="S2626" s="211"/>
      <c r="T2626" s="213">
        <v>0.15</v>
      </c>
      <c r="U2626" s="341">
        <v>45823</v>
      </c>
      <c r="V2626" s="341">
        <v>46187</v>
      </c>
      <c r="W2626" s="158" t="s">
        <v>17</v>
      </c>
      <c r="X2626" s="158"/>
      <c r="Y2626" s="164">
        <f t="shared" ca="1" si="180"/>
        <v>46290</v>
      </c>
      <c r="Z2626" s="207">
        <f t="shared" ca="1" si="178"/>
        <v>-103</v>
      </c>
      <c r="AA2626" s="158">
        <f t="shared" si="179"/>
        <v>6</v>
      </c>
      <c r="AB2626" s="158">
        <f t="shared" si="177"/>
        <v>2026</v>
      </c>
      <c r="AC2626" s="159"/>
      <c r="AD2626" s="159"/>
      <c r="AE2626" s="158"/>
      <c r="AF2626" s="158" t="s">
        <v>356</v>
      </c>
      <c r="AG2626" s="160"/>
      <c r="AH2626" s="160"/>
      <c r="AI2626" s="158"/>
      <c r="AJ2626" s="158"/>
      <c r="AK2626" s="158"/>
      <c r="AL2626" s="158"/>
      <c r="AM2626" s="158"/>
      <c r="AN2626" s="158"/>
      <c r="AO2626" s="158"/>
      <c r="AP2626" s="158"/>
      <c r="AQ2626" s="158"/>
      <c r="AR2626" s="507"/>
      <c r="AS2626" s="475"/>
      <c r="AT2626" s="160"/>
    </row>
    <row r="2627" spans="1:46" ht="15" hidden="1" customHeight="1">
      <c r="A2627" s="331">
        <v>2626</v>
      </c>
      <c r="B2627" s="238" t="s">
        <v>8736</v>
      </c>
      <c r="C2627" s="238" t="s">
        <v>8809</v>
      </c>
      <c r="D2627" s="437" t="s">
        <v>8738</v>
      </c>
      <c r="E2627" s="361" t="str">
        <f t="shared" ca="1" si="181"/>
        <v>LOSS</v>
      </c>
      <c r="F2627" s="240"/>
      <c r="G2627" s="234" t="s">
        <v>8806</v>
      </c>
      <c r="H2627" s="240" t="s">
        <v>8588</v>
      </c>
      <c r="I2627" s="240" t="s">
        <v>511</v>
      </c>
      <c r="J2627" s="192"/>
      <c r="K2627" s="244" t="s">
        <v>8810</v>
      </c>
      <c r="L2627" s="237"/>
      <c r="M2627" s="208" t="s">
        <v>365</v>
      </c>
      <c r="N2627" s="237"/>
      <c r="O2627" s="245"/>
      <c r="P2627" s="193">
        <v>75675672</v>
      </c>
      <c r="Q2627" s="193"/>
      <c r="R2627" s="245"/>
      <c r="S2627" s="249"/>
      <c r="T2627" s="213">
        <v>0.15</v>
      </c>
      <c r="U2627" s="341">
        <v>45823</v>
      </c>
      <c r="V2627" s="341">
        <v>46187</v>
      </c>
      <c r="W2627" s="237" t="s">
        <v>17</v>
      </c>
      <c r="X2627" s="237"/>
      <c r="Y2627" s="251">
        <f t="shared" ca="1" si="180"/>
        <v>46290</v>
      </c>
      <c r="Z2627" s="253">
        <f t="shared" ca="1" si="178"/>
        <v>-103</v>
      </c>
      <c r="AA2627" s="237">
        <f t="shared" si="179"/>
        <v>6</v>
      </c>
      <c r="AB2627" s="237">
        <f t="shared" si="177"/>
        <v>2026</v>
      </c>
      <c r="AC2627" s="192"/>
      <c r="AD2627" s="192"/>
      <c r="AE2627" s="237"/>
      <c r="AF2627" s="237" t="s">
        <v>356</v>
      </c>
      <c r="AG2627" s="160"/>
      <c r="AH2627" s="160"/>
      <c r="AI2627" s="237"/>
      <c r="AJ2627" s="237"/>
      <c r="AK2627" s="237"/>
      <c r="AL2627" s="237"/>
      <c r="AM2627" s="237"/>
      <c r="AN2627" s="237"/>
      <c r="AO2627" s="237"/>
      <c r="AP2627" s="237"/>
      <c r="AQ2627" s="237"/>
      <c r="AR2627" s="508"/>
      <c r="AS2627" s="492"/>
      <c r="AT2627" s="160"/>
    </row>
    <row r="2628" spans="1:46" ht="15" hidden="1" customHeight="1">
      <c r="A2628" s="331">
        <v>2627</v>
      </c>
      <c r="B2628" s="234" t="s">
        <v>8736</v>
      </c>
      <c r="C2628" s="234" t="s">
        <v>8737</v>
      </c>
      <c r="D2628" s="447" t="s">
        <v>8738</v>
      </c>
      <c r="E2628" s="361" t="str">
        <f t="shared" ca="1" si="181"/>
        <v>ON TRACK</v>
      </c>
      <c r="F2628" s="160"/>
      <c r="G2628" s="241" t="s">
        <v>8739</v>
      </c>
      <c r="H2628" s="160" t="s">
        <v>8588</v>
      </c>
      <c r="I2628" s="160" t="s">
        <v>511</v>
      </c>
      <c r="J2628" s="159" t="s">
        <v>8740</v>
      </c>
      <c r="K2628" s="160"/>
      <c r="L2628" s="158"/>
      <c r="M2628" s="208" t="s">
        <v>329</v>
      </c>
      <c r="N2628" s="158"/>
      <c r="O2628" s="162"/>
      <c r="P2628" s="161">
        <v>36000000</v>
      </c>
      <c r="Q2628" s="161"/>
      <c r="R2628" s="162"/>
      <c r="S2628" s="211"/>
      <c r="T2628" s="213">
        <v>0.15</v>
      </c>
      <c r="U2628" s="341">
        <v>46188</v>
      </c>
      <c r="V2628" s="341">
        <v>46552</v>
      </c>
      <c r="W2628" s="158" t="s">
        <v>17</v>
      </c>
      <c r="X2628" s="158"/>
      <c r="Y2628" s="164">
        <f t="shared" ref="Y2628:Y2658" ca="1" si="182">TODAY()</f>
        <v>46290</v>
      </c>
      <c r="Z2628" s="207">
        <f t="shared" ca="1" si="178"/>
        <v>262</v>
      </c>
      <c r="AA2628" s="158">
        <f t="shared" si="179"/>
        <v>6</v>
      </c>
      <c r="AB2628" s="158">
        <f t="shared" si="177"/>
        <v>2027</v>
      </c>
      <c r="AC2628" s="159"/>
      <c r="AD2628" s="159"/>
      <c r="AE2628" s="158"/>
      <c r="AF2628" s="158" t="s">
        <v>356</v>
      </c>
      <c r="AG2628" s="160"/>
      <c r="AH2628" s="160"/>
      <c r="AI2628" s="158"/>
      <c r="AJ2628" s="158"/>
      <c r="AK2628" s="158"/>
      <c r="AL2628" s="158"/>
      <c r="AM2628" s="158"/>
      <c r="AN2628" s="158"/>
      <c r="AO2628" s="158"/>
      <c r="AP2628" s="158"/>
      <c r="AQ2628" s="158"/>
      <c r="AR2628" s="507"/>
      <c r="AS2628" s="475"/>
      <c r="AT2628" s="160"/>
    </row>
    <row r="2629" spans="1:46" ht="15" hidden="1" customHeight="1">
      <c r="A2629" s="331">
        <v>2628</v>
      </c>
      <c r="B2629" s="234" t="s">
        <v>8736</v>
      </c>
      <c r="C2629" s="234" t="s">
        <v>8742</v>
      </c>
      <c r="D2629" s="447" t="s">
        <v>8738</v>
      </c>
      <c r="E2629" s="361" t="str">
        <f t="shared" ca="1" si="181"/>
        <v>ON TRACK</v>
      </c>
      <c r="F2629" s="160"/>
      <c r="G2629" s="234" t="s">
        <v>8743</v>
      </c>
      <c r="H2629" s="160" t="s">
        <v>8588</v>
      </c>
      <c r="I2629" s="160" t="s">
        <v>511</v>
      </c>
      <c r="J2629" s="159" t="s">
        <v>8744</v>
      </c>
      <c r="K2629" s="160"/>
      <c r="L2629" s="158"/>
      <c r="M2629" s="208" t="s">
        <v>365</v>
      </c>
      <c r="N2629" s="158"/>
      <c r="O2629" s="162"/>
      <c r="P2629" s="161">
        <v>198000000</v>
      </c>
      <c r="Q2629" s="161"/>
      <c r="R2629" s="162"/>
      <c r="S2629" s="211"/>
      <c r="T2629" s="213">
        <v>0.15</v>
      </c>
      <c r="U2629" s="341">
        <v>46188</v>
      </c>
      <c r="V2629" s="341">
        <v>46552</v>
      </c>
      <c r="W2629" s="158" t="s">
        <v>17</v>
      </c>
      <c r="X2629" s="158"/>
      <c r="Y2629" s="164">
        <f t="shared" ca="1" si="182"/>
        <v>46290</v>
      </c>
      <c r="Z2629" s="207">
        <f t="shared" ca="1" si="178"/>
        <v>262</v>
      </c>
      <c r="AA2629" s="158">
        <f t="shared" si="179"/>
        <v>6</v>
      </c>
      <c r="AB2629" s="158">
        <f t="shared" si="177"/>
        <v>2027</v>
      </c>
      <c r="AC2629" s="159"/>
      <c r="AD2629" s="159"/>
      <c r="AE2629" s="158"/>
      <c r="AF2629" s="158" t="s">
        <v>356</v>
      </c>
      <c r="AG2629" s="160"/>
      <c r="AH2629" s="160"/>
      <c r="AI2629" s="158"/>
      <c r="AJ2629" s="158"/>
      <c r="AK2629" s="158"/>
      <c r="AL2629" s="158"/>
      <c r="AM2629" s="158"/>
      <c r="AN2629" s="158"/>
      <c r="AO2629" s="158"/>
      <c r="AP2629" s="158"/>
      <c r="AQ2629" s="158"/>
      <c r="AR2629" s="507"/>
      <c r="AS2629" s="475"/>
      <c r="AT2629" s="160"/>
    </row>
    <row r="2630" spans="1:46" ht="15" hidden="1" customHeight="1">
      <c r="A2630" s="331">
        <v>2629</v>
      </c>
      <c r="B2630" s="234" t="s">
        <v>8736</v>
      </c>
      <c r="C2630" s="234" t="s">
        <v>8745</v>
      </c>
      <c r="D2630" s="447" t="s">
        <v>8738</v>
      </c>
      <c r="E2630" s="361" t="str">
        <f t="shared" ca="1" si="181"/>
        <v>ON TRACK</v>
      </c>
      <c r="F2630" s="160"/>
      <c r="G2630" s="242" t="s">
        <v>8746</v>
      </c>
      <c r="H2630" s="160" t="s">
        <v>8588</v>
      </c>
      <c r="I2630" s="160" t="s">
        <v>511</v>
      </c>
      <c r="J2630" s="159" t="s">
        <v>8747</v>
      </c>
      <c r="K2630" s="160"/>
      <c r="L2630" s="158"/>
      <c r="M2630" s="208" t="s">
        <v>365</v>
      </c>
      <c r="N2630" s="158"/>
      <c r="O2630" s="162"/>
      <c r="P2630" s="161">
        <v>180000000</v>
      </c>
      <c r="Q2630" s="161"/>
      <c r="R2630" s="162"/>
      <c r="S2630" s="211"/>
      <c r="T2630" s="213">
        <v>0.15</v>
      </c>
      <c r="U2630" s="341">
        <v>46188</v>
      </c>
      <c r="V2630" s="341">
        <v>46552</v>
      </c>
      <c r="W2630" s="158" t="s">
        <v>17</v>
      </c>
      <c r="X2630" s="158"/>
      <c r="Y2630" s="164">
        <f t="shared" ca="1" si="182"/>
        <v>46290</v>
      </c>
      <c r="Z2630" s="207">
        <f t="shared" ca="1" si="178"/>
        <v>262</v>
      </c>
      <c r="AA2630" s="158">
        <f t="shared" si="179"/>
        <v>6</v>
      </c>
      <c r="AB2630" s="158">
        <f t="shared" si="177"/>
        <v>2027</v>
      </c>
      <c r="AC2630" s="159"/>
      <c r="AD2630" s="159"/>
      <c r="AE2630" s="158"/>
      <c r="AF2630" s="158" t="s">
        <v>356</v>
      </c>
      <c r="AG2630" s="160"/>
      <c r="AH2630" s="160"/>
      <c r="AI2630" s="158"/>
      <c r="AJ2630" s="158"/>
      <c r="AK2630" s="158"/>
      <c r="AL2630" s="158"/>
      <c r="AM2630" s="158"/>
      <c r="AN2630" s="158"/>
      <c r="AO2630" s="158"/>
      <c r="AP2630" s="158"/>
      <c r="AQ2630" s="158"/>
      <c r="AR2630" s="507"/>
      <c r="AS2630" s="475"/>
      <c r="AT2630" s="160"/>
    </row>
    <row r="2631" spans="1:46" ht="15" hidden="1" customHeight="1">
      <c r="A2631" s="331">
        <v>2630</v>
      </c>
      <c r="B2631" s="234" t="s">
        <v>8736</v>
      </c>
      <c r="C2631" s="234" t="s">
        <v>8748</v>
      </c>
      <c r="D2631" s="447" t="s">
        <v>8738</v>
      </c>
      <c r="E2631" s="361" t="str">
        <f t="shared" ca="1" si="181"/>
        <v>ON TRACK</v>
      </c>
      <c r="F2631" s="160"/>
      <c r="G2631" s="242" t="s">
        <v>8749</v>
      </c>
      <c r="H2631" s="160" t="s">
        <v>8588</v>
      </c>
      <c r="I2631" s="160" t="s">
        <v>511</v>
      </c>
      <c r="J2631" s="159" t="s">
        <v>8750</v>
      </c>
      <c r="K2631" s="160"/>
      <c r="L2631" s="158"/>
      <c r="M2631" s="208" t="s">
        <v>365</v>
      </c>
      <c r="N2631" s="158"/>
      <c r="O2631" s="162"/>
      <c r="P2631" s="161">
        <v>42000000</v>
      </c>
      <c r="Q2631" s="161"/>
      <c r="R2631" s="162"/>
      <c r="S2631" s="211"/>
      <c r="T2631" s="213">
        <v>0.15</v>
      </c>
      <c r="U2631" s="341">
        <v>46188</v>
      </c>
      <c r="V2631" s="341">
        <v>46552</v>
      </c>
      <c r="W2631" s="158" t="s">
        <v>17</v>
      </c>
      <c r="X2631" s="158"/>
      <c r="Y2631" s="164">
        <f t="shared" ca="1" si="182"/>
        <v>46290</v>
      </c>
      <c r="Z2631" s="207">
        <f t="shared" ca="1" si="178"/>
        <v>262</v>
      </c>
      <c r="AA2631" s="158">
        <f t="shared" si="179"/>
        <v>6</v>
      </c>
      <c r="AB2631" s="158">
        <f t="shared" si="177"/>
        <v>2027</v>
      </c>
      <c r="AC2631" s="159"/>
      <c r="AD2631" s="159"/>
      <c r="AE2631" s="158"/>
      <c r="AF2631" s="158" t="s">
        <v>356</v>
      </c>
      <c r="AG2631" s="160"/>
      <c r="AH2631" s="160"/>
      <c r="AI2631" s="158"/>
      <c r="AJ2631" s="158"/>
      <c r="AK2631" s="158"/>
      <c r="AL2631" s="158"/>
      <c r="AM2631" s="158"/>
      <c r="AN2631" s="158"/>
      <c r="AO2631" s="158"/>
      <c r="AP2631" s="158"/>
      <c r="AQ2631" s="158"/>
      <c r="AR2631" s="507"/>
      <c r="AS2631" s="475"/>
      <c r="AT2631" s="160"/>
    </row>
    <row r="2632" spans="1:46" ht="15" hidden="1" customHeight="1">
      <c r="A2632" s="331">
        <v>2631</v>
      </c>
      <c r="B2632" s="238" t="s">
        <v>8736</v>
      </c>
      <c r="C2632" s="238" t="s">
        <v>8805</v>
      </c>
      <c r="D2632" s="447" t="s">
        <v>8738</v>
      </c>
      <c r="E2632" s="361" t="str">
        <f t="shared" ca="1" si="181"/>
        <v>ON TRACK</v>
      </c>
      <c r="F2632" s="160"/>
      <c r="G2632" s="234" t="s">
        <v>8806</v>
      </c>
      <c r="H2632" s="160" t="s">
        <v>8588</v>
      </c>
      <c r="I2632" s="160" t="s">
        <v>511</v>
      </c>
      <c r="J2632" s="159"/>
      <c r="K2632" s="181" t="s">
        <v>8807</v>
      </c>
      <c r="L2632" s="158"/>
      <c r="M2632" s="208" t="s">
        <v>365</v>
      </c>
      <c r="N2632" s="158" t="s">
        <v>8808</v>
      </c>
      <c r="O2632" s="162"/>
      <c r="P2632" s="161">
        <v>36216240</v>
      </c>
      <c r="Q2632" s="161"/>
      <c r="R2632" s="162"/>
      <c r="S2632" s="211"/>
      <c r="T2632" s="213">
        <v>0.15</v>
      </c>
      <c r="U2632" s="341">
        <v>46188</v>
      </c>
      <c r="V2632" s="341">
        <v>46552</v>
      </c>
      <c r="W2632" s="158" t="s">
        <v>17</v>
      </c>
      <c r="X2632" s="158"/>
      <c r="Y2632" s="164">
        <f t="shared" ca="1" si="182"/>
        <v>46290</v>
      </c>
      <c r="Z2632" s="207">
        <f t="shared" ca="1" si="178"/>
        <v>262</v>
      </c>
      <c r="AA2632" s="158">
        <f t="shared" si="179"/>
        <v>6</v>
      </c>
      <c r="AB2632" s="158">
        <f t="shared" si="177"/>
        <v>2027</v>
      </c>
      <c r="AC2632" s="159"/>
      <c r="AD2632" s="159"/>
      <c r="AE2632" s="158"/>
      <c r="AF2632" s="158" t="s">
        <v>356</v>
      </c>
      <c r="AG2632" s="160"/>
      <c r="AH2632" s="160"/>
      <c r="AI2632" s="158"/>
      <c r="AJ2632" s="158"/>
      <c r="AK2632" s="158"/>
      <c r="AL2632" s="158"/>
      <c r="AM2632" s="158"/>
      <c r="AN2632" s="158"/>
      <c r="AO2632" s="158"/>
      <c r="AP2632" s="158"/>
      <c r="AQ2632" s="158"/>
      <c r="AR2632" s="507"/>
      <c r="AS2632" s="475"/>
      <c r="AT2632" s="160"/>
    </row>
    <row r="2633" spans="1:46" ht="15" hidden="1" customHeight="1">
      <c r="A2633" s="331">
        <v>2632</v>
      </c>
      <c r="B2633" s="238" t="s">
        <v>8736</v>
      </c>
      <c r="C2633" s="238" t="s">
        <v>8809</v>
      </c>
      <c r="D2633" s="437" t="s">
        <v>8738</v>
      </c>
      <c r="E2633" s="361" t="str">
        <f t="shared" ca="1" si="181"/>
        <v>ON TRACK</v>
      </c>
      <c r="F2633" s="240"/>
      <c r="G2633" s="234" t="s">
        <v>8806</v>
      </c>
      <c r="H2633" s="240" t="s">
        <v>8588</v>
      </c>
      <c r="I2633" s="240" t="s">
        <v>511</v>
      </c>
      <c r="J2633" s="192"/>
      <c r="K2633" s="244" t="s">
        <v>8810</v>
      </c>
      <c r="L2633" s="237"/>
      <c r="M2633" s="208" t="s">
        <v>365</v>
      </c>
      <c r="N2633" s="237"/>
      <c r="O2633" s="245"/>
      <c r="P2633" s="193">
        <v>75675672</v>
      </c>
      <c r="Q2633" s="193"/>
      <c r="R2633" s="245"/>
      <c r="S2633" s="249"/>
      <c r="T2633" s="213">
        <v>0.15</v>
      </c>
      <c r="U2633" s="341">
        <v>46188</v>
      </c>
      <c r="V2633" s="341">
        <v>46552</v>
      </c>
      <c r="W2633" s="237" t="s">
        <v>17</v>
      </c>
      <c r="X2633" s="237"/>
      <c r="Y2633" s="251">
        <f t="shared" ca="1" si="182"/>
        <v>46290</v>
      </c>
      <c r="Z2633" s="253">
        <f t="shared" ca="1" si="178"/>
        <v>262</v>
      </c>
      <c r="AA2633" s="237">
        <f t="shared" si="179"/>
        <v>6</v>
      </c>
      <c r="AB2633" s="237">
        <f t="shared" ref="AB2633:AB2655" si="183">YEAR(V2633)</f>
        <v>2027</v>
      </c>
      <c r="AC2633" s="192"/>
      <c r="AD2633" s="192"/>
      <c r="AE2633" s="237"/>
      <c r="AF2633" s="237" t="s">
        <v>356</v>
      </c>
      <c r="AG2633" s="160"/>
      <c r="AH2633" s="160"/>
      <c r="AI2633" s="237"/>
      <c r="AJ2633" s="237"/>
      <c r="AK2633" s="237"/>
      <c r="AL2633" s="237"/>
      <c r="AM2633" s="237"/>
      <c r="AN2633" s="237"/>
      <c r="AO2633" s="237"/>
      <c r="AP2633" s="237"/>
      <c r="AQ2633" s="237"/>
      <c r="AR2633" s="508"/>
      <c r="AS2633" s="492"/>
      <c r="AT2633" s="160"/>
    </row>
    <row r="2634" spans="1:46" ht="15" hidden="1" customHeight="1">
      <c r="A2634" s="331">
        <v>2633</v>
      </c>
      <c r="B2634" s="234" t="s">
        <v>8751</v>
      </c>
      <c r="C2634" s="234" t="s">
        <v>8756</v>
      </c>
      <c r="D2634" s="447" t="s">
        <v>8738</v>
      </c>
      <c r="E2634" s="361" t="str">
        <f t="shared" ca="1" si="181"/>
        <v>LOSS</v>
      </c>
      <c r="F2634" s="240"/>
      <c r="G2634" s="234" t="s">
        <v>8757</v>
      </c>
      <c r="H2634" s="240" t="s">
        <v>8588</v>
      </c>
      <c r="I2634" s="240" t="s">
        <v>511</v>
      </c>
      <c r="J2634" s="192"/>
      <c r="K2634" s="223" t="s">
        <v>8758</v>
      </c>
      <c r="L2634" s="237"/>
      <c r="M2634" s="208" t="s">
        <v>8759</v>
      </c>
      <c r="N2634" s="237" t="s">
        <v>494</v>
      </c>
      <c r="O2634" s="245"/>
      <c r="P2634" s="193">
        <v>54000000</v>
      </c>
      <c r="Q2634" s="193"/>
      <c r="R2634" s="245"/>
      <c r="S2634" s="249"/>
      <c r="T2634" s="213">
        <v>0.15</v>
      </c>
      <c r="U2634" s="341">
        <v>45597</v>
      </c>
      <c r="V2634" s="341">
        <v>45961</v>
      </c>
      <c r="W2634" s="237" t="s">
        <v>250</v>
      </c>
      <c r="X2634" s="237"/>
      <c r="Y2634" s="251">
        <f t="shared" ca="1" si="182"/>
        <v>46290</v>
      </c>
      <c r="Z2634" s="253">
        <f t="shared" ca="1" si="178"/>
        <v>-329</v>
      </c>
      <c r="AA2634" s="237">
        <f t="shared" si="179"/>
        <v>10</v>
      </c>
      <c r="AB2634" s="237">
        <f t="shared" si="183"/>
        <v>2025</v>
      </c>
      <c r="AC2634" s="192"/>
      <c r="AD2634" s="192"/>
      <c r="AE2634" s="237"/>
      <c r="AF2634" s="237" t="s">
        <v>356</v>
      </c>
      <c r="AG2634" s="160"/>
      <c r="AH2634" s="160"/>
      <c r="AI2634" s="237"/>
      <c r="AJ2634" s="237"/>
      <c r="AK2634" s="237"/>
      <c r="AL2634" s="237"/>
      <c r="AM2634" s="237"/>
      <c r="AN2634" s="237"/>
      <c r="AO2634" s="237"/>
      <c r="AP2634" s="237"/>
      <c r="AQ2634" s="237"/>
      <c r="AR2634" s="508"/>
      <c r="AS2634" s="492"/>
      <c r="AT2634" s="160"/>
    </row>
    <row r="2635" spans="1:46" ht="15" hidden="1" customHeight="1">
      <c r="A2635" s="331">
        <v>2634</v>
      </c>
      <c r="B2635" s="234" t="s">
        <v>8751</v>
      </c>
      <c r="C2635" s="234" t="s">
        <v>8756</v>
      </c>
      <c r="D2635" s="447" t="s">
        <v>8752</v>
      </c>
      <c r="E2635" s="361" t="str">
        <f t="shared" ca="1" si="181"/>
        <v>ATTENTION</v>
      </c>
      <c r="F2635" s="240"/>
      <c r="G2635" s="234" t="s">
        <v>8757</v>
      </c>
      <c r="H2635" s="240" t="s">
        <v>8588</v>
      </c>
      <c r="I2635" s="240" t="s">
        <v>511</v>
      </c>
      <c r="J2635" s="192"/>
      <c r="K2635" s="223" t="s">
        <v>8758</v>
      </c>
      <c r="L2635" s="237"/>
      <c r="M2635" s="208" t="s">
        <v>8759</v>
      </c>
      <c r="N2635" s="237" t="s">
        <v>494</v>
      </c>
      <c r="O2635" s="245"/>
      <c r="P2635" s="193">
        <v>54000000</v>
      </c>
      <c r="Q2635" s="193"/>
      <c r="R2635" s="245"/>
      <c r="S2635" s="249"/>
      <c r="T2635" s="213">
        <v>0.15</v>
      </c>
      <c r="U2635" s="341">
        <v>45962</v>
      </c>
      <c r="V2635" s="341">
        <v>46326</v>
      </c>
      <c r="W2635" s="237" t="s">
        <v>17</v>
      </c>
      <c r="X2635" s="237"/>
      <c r="Y2635" s="251">
        <f t="shared" ca="1" si="182"/>
        <v>46290</v>
      </c>
      <c r="Z2635" s="253">
        <f t="shared" ca="1" si="178"/>
        <v>36</v>
      </c>
      <c r="AA2635" s="237">
        <f t="shared" si="179"/>
        <v>10</v>
      </c>
      <c r="AB2635" s="237">
        <f t="shared" si="183"/>
        <v>2026</v>
      </c>
      <c r="AC2635" s="192"/>
      <c r="AD2635" s="192"/>
      <c r="AE2635" s="237"/>
      <c r="AF2635" s="237" t="s">
        <v>356</v>
      </c>
      <c r="AG2635" s="160"/>
      <c r="AH2635" s="160"/>
      <c r="AI2635" s="237"/>
      <c r="AJ2635" s="237"/>
      <c r="AK2635" s="237"/>
      <c r="AL2635" s="237"/>
      <c r="AM2635" s="237"/>
      <c r="AN2635" s="237"/>
      <c r="AO2635" s="237"/>
      <c r="AP2635" s="237"/>
      <c r="AQ2635" s="237"/>
      <c r="AR2635" s="508"/>
      <c r="AS2635" s="492"/>
      <c r="AT2635" s="160"/>
    </row>
    <row r="2636" spans="1:46" ht="15" hidden="1" customHeight="1">
      <c r="A2636" s="331">
        <v>2635</v>
      </c>
      <c r="B2636" s="239" t="s">
        <v>8760</v>
      </c>
      <c r="C2636" s="239" t="s">
        <v>8760</v>
      </c>
      <c r="D2636" s="447" t="s">
        <v>8752</v>
      </c>
      <c r="E2636" s="361" t="str">
        <f t="shared" ca="1" si="181"/>
        <v>LOSS</v>
      </c>
      <c r="F2636" s="231"/>
      <c r="G2636" s="243" t="s">
        <v>8762</v>
      </c>
      <c r="H2636" s="231" t="s">
        <v>8588</v>
      </c>
      <c r="I2636" s="231" t="s">
        <v>511</v>
      </c>
      <c r="J2636" s="229"/>
      <c r="K2636" s="230" t="s">
        <v>7695</v>
      </c>
      <c r="L2636" s="232"/>
      <c r="M2636" s="232" t="s">
        <v>353</v>
      </c>
      <c r="N2636" s="232" t="s">
        <v>406</v>
      </c>
      <c r="O2636" s="246"/>
      <c r="P2636" s="247">
        <v>114000000</v>
      </c>
      <c r="Q2636" s="247"/>
      <c r="R2636" s="246"/>
      <c r="S2636" s="250"/>
      <c r="T2636" s="213">
        <v>0.15</v>
      </c>
      <c r="U2636" s="346">
        <v>45902</v>
      </c>
      <c r="V2636" s="346">
        <v>46266</v>
      </c>
      <c r="W2636" s="232" t="s">
        <v>17</v>
      </c>
      <c r="X2636" s="232"/>
      <c r="Y2636" s="252">
        <f t="shared" ca="1" si="182"/>
        <v>46290</v>
      </c>
      <c r="Z2636" s="254">
        <f t="shared" ca="1" si="178"/>
        <v>-24</v>
      </c>
      <c r="AA2636" s="232">
        <f t="shared" si="179"/>
        <v>9</v>
      </c>
      <c r="AB2636" s="232">
        <f t="shared" si="183"/>
        <v>2026</v>
      </c>
      <c r="AC2636" s="229"/>
      <c r="AD2636" s="229"/>
      <c r="AE2636" s="232"/>
      <c r="AF2636" s="232" t="s">
        <v>356</v>
      </c>
      <c r="AG2636" s="160"/>
      <c r="AH2636" s="160"/>
      <c r="AI2636" s="232"/>
      <c r="AJ2636" s="232"/>
      <c r="AK2636" s="232"/>
      <c r="AL2636" s="232"/>
      <c r="AM2636" s="232"/>
      <c r="AN2636" s="232"/>
      <c r="AO2636" s="232"/>
      <c r="AP2636" s="232"/>
      <c r="AQ2636" s="232"/>
      <c r="AR2636" s="509"/>
      <c r="AS2636" s="493" t="s">
        <v>8764</v>
      </c>
      <c r="AT2636" s="160"/>
    </row>
    <row r="2637" spans="1:46" ht="15" hidden="1" customHeight="1">
      <c r="A2637" s="331">
        <v>2636</v>
      </c>
      <c r="B2637" s="238" t="s">
        <v>8760</v>
      </c>
      <c r="C2637" s="238" t="s">
        <v>8760</v>
      </c>
      <c r="D2637" s="438" t="s">
        <v>8761</v>
      </c>
      <c r="E2637" s="361" t="str">
        <f t="shared" ca="1" si="181"/>
        <v>ON TRACK</v>
      </c>
      <c r="F2637" s="160"/>
      <c r="G2637" s="234" t="s">
        <v>8762</v>
      </c>
      <c r="H2637" s="160" t="s">
        <v>8588</v>
      </c>
      <c r="I2637" s="160" t="s">
        <v>511</v>
      </c>
      <c r="J2637" s="159"/>
      <c r="K2637" s="181" t="s">
        <v>7695</v>
      </c>
      <c r="L2637" s="158"/>
      <c r="M2637" s="208" t="s">
        <v>353</v>
      </c>
      <c r="N2637" s="158" t="s">
        <v>406</v>
      </c>
      <c r="O2637" s="162"/>
      <c r="P2637" s="161">
        <v>114000000</v>
      </c>
      <c r="Q2637" s="161"/>
      <c r="R2637" s="162"/>
      <c r="S2637" s="211"/>
      <c r="T2637" s="213">
        <v>0.15</v>
      </c>
      <c r="U2637" s="341">
        <v>46267</v>
      </c>
      <c r="V2637" s="341">
        <v>46631</v>
      </c>
      <c r="W2637" s="158" t="s">
        <v>17</v>
      </c>
      <c r="X2637" s="158"/>
      <c r="Y2637" s="164">
        <f t="shared" ca="1" si="182"/>
        <v>46290</v>
      </c>
      <c r="Z2637" s="207">
        <f t="shared" ca="1" si="178"/>
        <v>341</v>
      </c>
      <c r="AA2637" s="237">
        <f t="shared" si="179"/>
        <v>9</v>
      </c>
      <c r="AB2637" s="158">
        <f t="shared" si="183"/>
        <v>2027</v>
      </c>
      <c r="AC2637" s="159"/>
      <c r="AD2637" s="159"/>
      <c r="AE2637" s="158"/>
      <c r="AF2637" s="158" t="s">
        <v>356</v>
      </c>
      <c r="AG2637" s="160"/>
      <c r="AH2637" s="160"/>
      <c r="AI2637" s="158"/>
      <c r="AJ2637" s="158"/>
      <c r="AK2637" s="158"/>
      <c r="AL2637" s="158"/>
      <c r="AM2637" s="158"/>
      <c r="AN2637" s="158"/>
      <c r="AO2637" s="158"/>
      <c r="AP2637" s="158"/>
      <c r="AQ2637" s="158"/>
      <c r="AR2637" s="507"/>
      <c r="AS2637" s="475" t="s">
        <v>8764</v>
      </c>
      <c r="AT2637" s="160"/>
    </row>
    <row r="2638" spans="1:46" ht="15" hidden="1" customHeight="1">
      <c r="A2638" s="331">
        <v>2637</v>
      </c>
      <c r="B2638" s="239" t="s">
        <v>8760</v>
      </c>
      <c r="C2638" s="239" t="s">
        <v>8760</v>
      </c>
      <c r="D2638" s="447" t="s">
        <v>8761</v>
      </c>
      <c r="E2638" s="361" t="str">
        <f t="shared" ca="1" si="181"/>
        <v>ON TRACK</v>
      </c>
      <c r="F2638" s="231"/>
      <c r="G2638" s="243" t="s">
        <v>8762</v>
      </c>
      <c r="H2638" s="231" t="s">
        <v>8588</v>
      </c>
      <c r="I2638" s="231" t="s">
        <v>511</v>
      </c>
      <c r="J2638" s="229"/>
      <c r="K2638" s="230" t="s">
        <v>7695</v>
      </c>
      <c r="L2638" s="232"/>
      <c r="M2638" s="232" t="s">
        <v>353</v>
      </c>
      <c r="N2638" s="232" t="s">
        <v>406</v>
      </c>
      <c r="O2638" s="246"/>
      <c r="P2638" s="247">
        <v>114000000</v>
      </c>
      <c r="Q2638" s="247"/>
      <c r="R2638" s="246"/>
      <c r="S2638" s="250"/>
      <c r="T2638" s="213">
        <v>0.15</v>
      </c>
      <c r="U2638" s="346">
        <v>46632</v>
      </c>
      <c r="V2638" s="346">
        <v>46997</v>
      </c>
      <c r="W2638" s="232" t="s">
        <v>17</v>
      </c>
      <c r="X2638" s="232"/>
      <c r="Y2638" s="252">
        <f t="shared" ca="1" si="182"/>
        <v>46290</v>
      </c>
      <c r="Z2638" s="254">
        <f t="shared" ca="1" si="178"/>
        <v>707</v>
      </c>
      <c r="AA2638" s="232">
        <f t="shared" si="179"/>
        <v>9</v>
      </c>
      <c r="AB2638" s="232">
        <f t="shared" si="183"/>
        <v>2028</v>
      </c>
      <c r="AC2638" s="229"/>
      <c r="AD2638" s="229"/>
      <c r="AE2638" s="232"/>
      <c r="AF2638" s="232" t="s">
        <v>356</v>
      </c>
      <c r="AG2638" s="160"/>
      <c r="AH2638" s="160"/>
      <c r="AI2638" s="232"/>
      <c r="AJ2638" s="232"/>
      <c r="AK2638" s="232"/>
      <c r="AL2638" s="232"/>
      <c r="AM2638" s="232"/>
      <c r="AN2638" s="232"/>
      <c r="AO2638" s="232"/>
      <c r="AP2638" s="232"/>
      <c r="AQ2638" s="232"/>
      <c r="AR2638" s="509"/>
      <c r="AS2638" s="493" t="s">
        <v>8764</v>
      </c>
      <c r="AT2638" s="160"/>
    </row>
    <row r="2639" spans="1:46" ht="15" hidden="1" customHeight="1">
      <c r="A2639" s="331">
        <v>2638</v>
      </c>
      <c r="B2639" s="238" t="s">
        <v>8760</v>
      </c>
      <c r="C2639" s="238" t="s">
        <v>8760</v>
      </c>
      <c r="D2639" s="438" t="s">
        <v>8761</v>
      </c>
      <c r="E2639" s="361" t="str">
        <f t="shared" ca="1" si="181"/>
        <v>ON TRACK</v>
      </c>
      <c r="F2639" s="160"/>
      <c r="G2639" s="234" t="s">
        <v>8762</v>
      </c>
      <c r="H2639" s="160" t="s">
        <v>8588</v>
      </c>
      <c r="I2639" s="160" t="s">
        <v>511</v>
      </c>
      <c r="J2639" s="159"/>
      <c r="K2639" s="181" t="s">
        <v>7695</v>
      </c>
      <c r="L2639" s="158"/>
      <c r="M2639" s="208" t="s">
        <v>353</v>
      </c>
      <c r="N2639" s="158" t="s">
        <v>406</v>
      </c>
      <c r="O2639" s="162"/>
      <c r="P2639" s="161">
        <v>114000000</v>
      </c>
      <c r="Q2639" s="161"/>
      <c r="R2639" s="162"/>
      <c r="S2639" s="211"/>
      <c r="T2639" s="213">
        <v>0.15</v>
      </c>
      <c r="U2639" s="341">
        <v>46998</v>
      </c>
      <c r="V2639" s="341">
        <v>47362</v>
      </c>
      <c r="W2639" s="158" t="s">
        <v>17</v>
      </c>
      <c r="X2639" s="158"/>
      <c r="Y2639" s="164">
        <f t="shared" ca="1" si="182"/>
        <v>46290</v>
      </c>
      <c r="Z2639" s="207">
        <f t="shared" ca="1" si="178"/>
        <v>1072</v>
      </c>
      <c r="AA2639" s="237">
        <f t="shared" si="179"/>
        <v>9</v>
      </c>
      <c r="AB2639" s="158">
        <f t="shared" si="183"/>
        <v>2029</v>
      </c>
      <c r="AC2639" s="159"/>
      <c r="AD2639" s="159"/>
      <c r="AE2639" s="158"/>
      <c r="AF2639" s="158" t="s">
        <v>356</v>
      </c>
      <c r="AG2639" s="160"/>
      <c r="AH2639" s="160"/>
      <c r="AI2639" s="158"/>
      <c r="AJ2639" s="158"/>
      <c r="AK2639" s="158"/>
      <c r="AL2639" s="158"/>
      <c r="AM2639" s="158"/>
      <c r="AN2639" s="158"/>
      <c r="AO2639" s="158"/>
      <c r="AP2639" s="158"/>
      <c r="AQ2639" s="158"/>
      <c r="AR2639" s="507"/>
      <c r="AS2639" s="475" t="s">
        <v>8764</v>
      </c>
      <c r="AT2639" s="160"/>
    </row>
    <row r="2640" spans="1:46" ht="15" hidden="1" customHeight="1">
      <c r="A2640" s="331">
        <v>2639</v>
      </c>
      <c r="B2640" s="243" t="s">
        <v>8765</v>
      </c>
      <c r="C2640" s="222" t="s">
        <v>8766</v>
      </c>
      <c r="D2640" s="447" t="s">
        <v>8761</v>
      </c>
      <c r="E2640" s="361" t="str">
        <f t="shared" ca="1" si="181"/>
        <v>LOSS</v>
      </c>
      <c r="F2640" s="231"/>
      <c r="G2640" s="243" t="s">
        <v>8768</v>
      </c>
      <c r="H2640" s="231" t="s">
        <v>8588</v>
      </c>
      <c r="I2640" s="231" t="s">
        <v>511</v>
      </c>
      <c r="J2640" s="229"/>
      <c r="K2640" s="223" t="s">
        <v>11587</v>
      </c>
      <c r="L2640" s="232"/>
      <c r="M2640" s="226" t="s">
        <v>11588</v>
      </c>
      <c r="N2640" s="232" t="s">
        <v>362</v>
      </c>
      <c r="O2640" s="246"/>
      <c r="P2640" s="248">
        <f>4954954*12</f>
        <v>59459448</v>
      </c>
      <c r="Q2640" s="247"/>
      <c r="R2640" s="246"/>
      <c r="S2640" s="250"/>
      <c r="T2640" s="213">
        <v>0.2</v>
      </c>
      <c r="U2640" s="341">
        <v>45717</v>
      </c>
      <c r="V2640" s="341">
        <v>46081</v>
      </c>
      <c r="W2640" s="232" t="s">
        <v>17</v>
      </c>
      <c r="X2640" s="232"/>
      <c r="Y2640" s="252">
        <f t="shared" ca="1" si="182"/>
        <v>46290</v>
      </c>
      <c r="Z2640" s="254">
        <f t="shared" ca="1" si="178"/>
        <v>-209</v>
      </c>
      <c r="AA2640" s="232">
        <f t="shared" si="179"/>
        <v>2</v>
      </c>
      <c r="AB2640" s="232">
        <f t="shared" si="183"/>
        <v>2026</v>
      </c>
      <c r="AC2640" s="229"/>
      <c r="AD2640" s="229"/>
      <c r="AE2640" s="232"/>
      <c r="AF2640" s="232" t="s">
        <v>356</v>
      </c>
      <c r="AG2640" s="160"/>
      <c r="AH2640" s="160"/>
      <c r="AI2640" s="232"/>
      <c r="AJ2640" s="232"/>
      <c r="AK2640" s="232"/>
      <c r="AL2640" s="232"/>
      <c r="AM2640" s="232"/>
      <c r="AN2640" s="232"/>
      <c r="AO2640" s="232"/>
      <c r="AP2640" s="232"/>
      <c r="AQ2640" s="232"/>
      <c r="AR2640" s="509"/>
      <c r="AS2640" s="493"/>
      <c r="AT2640" s="160"/>
    </row>
    <row r="2641" spans="1:46" ht="15" hidden="1" customHeight="1">
      <c r="A2641" s="331">
        <v>2640</v>
      </c>
      <c r="B2641" s="234" t="s">
        <v>8765</v>
      </c>
      <c r="C2641" s="222" t="s">
        <v>8766</v>
      </c>
      <c r="D2641" s="438" t="s">
        <v>8767</v>
      </c>
      <c r="E2641" s="361" t="str">
        <f t="shared" ca="1" si="181"/>
        <v>LOSS</v>
      </c>
      <c r="F2641" s="160"/>
      <c r="G2641" s="234" t="s">
        <v>8768</v>
      </c>
      <c r="H2641" s="160" t="s">
        <v>8588</v>
      </c>
      <c r="I2641" s="160" t="s">
        <v>511</v>
      </c>
      <c r="J2641" s="159"/>
      <c r="K2641" s="223" t="s">
        <v>11589</v>
      </c>
      <c r="L2641" s="158"/>
      <c r="M2641" s="226" t="s">
        <v>11590</v>
      </c>
      <c r="N2641" s="158" t="s">
        <v>362</v>
      </c>
      <c r="O2641" s="162"/>
      <c r="P2641" s="248">
        <f>1981982*12</f>
        <v>23783784</v>
      </c>
      <c r="Q2641" s="161"/>
      <c r="R2641" s="162"/>
      <c r="S2641" s="211"/>
      <c r="T2641" s="213">
        <v>0.2</v>
      </c>
      <c r="U2641" s="341">
        <v>45717</v>
      </c>
      <c r="V2641" s="341">
        <v>46081</v>
      </c>
      <c r="W2641" s="158" t="s">
        <v>17</v>
      </c>
      <c r="X2641" s="158"/>
      <c r="Y2641" s="164">
        <f t="shared" ca="1" si="182"/>
        <v>46290</v>
      </c>
      <c r="Z2641" s="207">
        <f t="shared" ca="1" si="178"/>
        <v>-209</v>
      </c>
      <c r="AA2641" s="158">
        <f t="shared" si="179"/>
        <v>2</v>
      </c>
      <c r="AB2641" s="158">
        <f t="shared" si="183"/>
        <v>2026</v>
      </c>
      <c r="AC2641" s="159"/>
      <c r="AD2641" s="159"/>
      <c r="AE2641" s="158"/>
      <c r="AF2641" s="158" t="s">
        <v>356</v>
      </c>
      <c r="AG2641" s="160"/>
      <c r="AH2641" s="160"/>
      <c r="AI2641" s="158"/>
      <c r="AJ2641" s="158"/>
      <c r="AK2641" s="158"/>
      <c r="AL2641" s="158"/>
      <c r="AM2641" s="158"/>
      <c r="AN2641" s="158"/>
      <c r="AO2641" s="158"/>
      <c r="AP2641" s="158"/>
      <c r="AQ2641" s="158"/>
      <c r="AR2641" s="507"/>
      <c r="AS2641" s="475"/>
      <c r="AT2641" s="160"/>
    </row>
    <row r="2642" spans="1:46" ht="15" hidden="1" customHeight="1">
      <c r="A2642" s="331">
        <v>2641</v>
      </c>
      <c r="B2642" s="243" t="s">
        <v>8765</v>
      </c>
      <c r="C2642" s="222" t="s">
        <v>8766</v>
      </c>
      <c r="D2642" s="447" t="s">
        <v>8767</v>
      </c>
      <c r="E2642" s="361" t="str">
        <f t="shared" ca="1" si="181"/>
        <v>LOSS</v>
      </c>
      <c r="F2642" s="231"/>
      <c r="G2642" s="243" t="s">
        <v>8768</v>
      </c>
      <c r="H2642" s="231" t="s">
        <v>8588</v>
      </c>
      <c r="I2642" s="231" t="s">
        <v>511</v>
      </c>
      <c r="J2642" s="229"/>
      <c r="K2642" s="223" t="s">
        <v>11591</v>
      </c>
      <c r="L2642" s="232"/>
      <c r="M2642" s="226" t="s">
        <v>11592</v>
      </c>
      <c r="N2642" s="232"/>
      <c r="O2642" s="246"/>
      <c r="P2642" s="248">
        <f>1036036*12</f>
        <v>12432432</v>
      </c>
      <c r="Q2642" s="247"/>
      <c r="R2642" s="246"/>
      <c r="S2642" s="250"/>
      <c r="T2642" s="213">
        <v>0.2</v>
      </c>
      <c r="U2642" s="341">
        <v>45717</v>
      </c>
      <c r="V2642" s="341">
        <v>46081</v>
      </c>
      <c r="W2642" s="232" t="s">
        <v>17</v>
      </c>
      <c r="X2642" s="232"/>
      <c r="Y2642" s="252">
        <f t="shared" ca="1" si="182"/>
        <v>46290</v>
      </c>
      <c r="Z2642" s="254">
        <f t="shared" ca="1" si="178"/>
        <v>-209</v>
      </c>
      <c r="AA2642" s="232">
        <f t="shared" si="179"/>
        <v>2</v>
      </c>
      <c r="AB2642" s="232">
        <f t="shared" si="183"/>
        <v>2026</v>
      </c>
      <c r="AC2642" s="229"/>
      <c r="AD2642" s="229"/>
      <c r="AE2642" s="232"/>
      <c r="AF2642" s="232" t="s">
        <v>356</v>
      </c>
      <c r="AG2642" s="160"/>
      <c r="AH2642" s="160"/>
      <c r="AI2642" s="232"/>
      <c r="AJ2642" s="232"/>
      <c r="AK2642" s="232"/>
      <c r="AL2642" s="232"/>
      <c r="AM2642" s="232"/>
      <c r="AN2642" s="232"/>
      <c r="AO2642" s="232"/>
      <c r="AP2642" s="232"/>
      <c r="AQ2642" s="232"/>
      <c r="AR2642" s="509"/>
      <c r="AS2642" s="493"/>
      <c r="AT2642" s="160"/>
    </row>
    <row r="2643" spans="1:46" ht="15" hidden="1" customHeight="1">
      <c r="A2643" s="331">
        <v>2642</v>
      </c>
      <c r="B2643" s="234" t="s">
        <v>8765</v>
      </c>
      <c r="C2643" s="222" t="s">
        <v>8766</v>
      </c>
      <c r="D2643" s="438" t="s">
        <v>8767</v>
      </c>
      <c r="E2643" s="361" t="str">
        <f t="shared" ca="1" si="181"/>
        <v>LOSS</v>
      </c>
      <c r="F2643" s="160"/>
      <c r="G2643" s="234" t="s">
        <v>8775</v>
      </c>
      <c r="H2643" s="160" t="s">
        <v>8588</v>
      </c>
      <c r="I2643" s="160" t="s">
        <v>511</v>
      </c>
      <c r="J2643" s="159"/>
      <c r="K2643" s="223" t="s">
        <v>11593</v>
      </c>
      <c r="L2643" s="158"/>
      <c r="M2643" s="226" t="s">
        <v>11592</v>
      </c>
      <c r="N2643" s="158"/>
      <c r="O2643" s="162"/>
      <c r="P2643" s="248">
        <f>1036036*12</f>
        <v>12432432</v>
      </c>
      <c r="Q2643" s="161"/>
      <c r="R2643" s="162"/>
      <c r="S2643" s="211"/>
      <c r="T2643" s="213">
        <v>0.2</v>
      </c>
      <c r="U2643" s="341">
        <v>45717</v>
      </c>
      <c r="V2643" s="341">
        <v>46081</v>
      </c>
      <c r="W2643" s="158" t="s">
        <v>17</v>
      </c>
      <c r="X2643" s="158"/>
      <c r="Y2643" s="164">
        <f t="shared" ca="1" si="182"/>
        <v>46290</v>
      </c>
      <c r="Z2643" s="207">
        <f t="shared" ca="1" si="178"/>
        <v>-209</v>
      </c>
      <c r="AA2643" s="158">
        <f t="shared" si="179"/>
        <v>2</v>
      </c>
      <c r="AB2643" s="158">
        <f t="shared" si="183"/>
        <v>2026</v>
      </c>
      <c r="AC2643" s="159"/>
      <c r="AD2643" s="159"/>
      <c r="AE2643" s="158"/>
      <c r="AF2643" s="158" t="s">
        <v>356</v>
      </c>
      <c r="AG2643" s="160"/>
      <c r="AH2643" s="160"/>
      <c r="AI2643" s="158"/>
      <c r="AJ2643" s="158"/>
      <c r="AK2643" s="158"/>
      <c r="AL2643" s="158"/>
      <c r="AM2643" s="158"/>
      <c r="AN2643" s="158"/>
      <c r="AO2643" s="158"/>
      <c r="AP2643" s="158"/>
      <c r="AQ2643" s="158"/>
      <c r="AR2643" s="507"/>
      <c r="AS2643" s="475"/>
      <c r="AT2643" s="160"/>
    </row>
    <row r="2644" spans="1:46" ht="15" hidden="1" customHeight="1">
      <c r="A2644" s="331">
        <v>2643</v>
      </c>
      <c r="B2644" s="243" t="s">
        <v>8765</v>
      </c>
      <c r="C2644" s="222" t="s">
        <v>11594</v>
      </c>
      <c r="D2644" s="447" t="s">
        <v>8767</v>
      </c>
      <c r="E2644" s="361" t="str">
        <f t="shared" ca="1" si="181"/>
        <v>LOSS</v>
      </c>
      <c r="F2644" s="231"/>
      <c r="G2644" s="243" t="s">
        <v>8778</v>
      </c>
      <c r="H2644" s="231" t="s">
        <v>8588</v>
      </c>
      <c r="I2644" s="231" t="s">
        <v>511</v>
      </c>
      <c r="J2644" s="229"/>
      <c r="K2644" s="223" t="s">
        <v>11595</v>
      </c>
      <c r="L2644" s="232"/>
      <c r="M2644" s="226" t="s">
        <v>11596</v>
      </c>
      <c r="N2644" s="232"/>
      <c r="O2644" s="246"/>
      <c r="P2644" s="248">
        <f>3500000*12</f>
        <v>42000000</v>
      </c>
      <c r="Q2644" s="247"/>
      <c r="R2644" s="246"/>
      <c r="S2644" s="250"/>
      <c r="T2644" s="213">
        <v>0.2</v>
      </c>
      <c r="U2644" s="341">
        <v>45717</v>
      </c>
      <c r="V2644" s="341">
        <v>46081</v>
      </c>
      <c r="W2644" s="232" t="s">
        <v>17</v>
      </c>
      <c r="X2644" s="232"/>
      <c r="Y2644" s="252">
        <f t="shared" ca="1" si="182"/>
        <v>46290</v>
      </c>
      <c r="Z2644" s="254">
        <f t="shared" ca="1" si="178"/>
        <v>-209</v>
      </c>
      <c r="AA2644" s="232">
        <f t="shared" si="179"/>
        <v>2</v>
      </c>
      <c r="AB2644" s="232">
        <f t="shared" si="183"/>
        <v>2026</v>
      </c>
      <c r="AC2644" s="229"/>
      <c r="AD2644" s="229"/>
      <c r="AE2644" s="232"/>
      <c r="AF2644" s="232" t="s">
        <v>356</v>
      </c>
      <c r="AG2644" s="160"/>
      <c r="AH2644" s="160"/>
      <c r="AI2644" s="232"/>
      <c r="AJ2644" s="232"/>
      <c r="AK2644" s="232"/>
      <c r="AL2644" s="232"/>
      <c r="AM2644" s="232"/>
      <c r="AN2644" s="232"/>
      <c r="AO2644" s="232"/>
      <c r="AP2644" s="232"/>
      <c r="AQ2644" s="232"/>
      <c r="AR2644" s="509"/>
      <c r="AS2644" s="493"/>
      <c r="AT2644" s="160"/>
    </row>
    <row r="2645" spans="1:46" ht="15" hidden="1" customHeight="1">
      <c r="A2645" s="331">
        <v>2644</v>
      </c>
      <c r="B2645" s="234" t="s">
        <v>8765</v>
      </c>
      <c r="C2645" s="222" t="s">
        <v>11597</v>
      </c>
      <c r="D2645" s="438" t="s">
        <v>8767</v>
      </c>
      <c r="E2645" s="361" t="str">
        <f t="shared" ca="1" si="181"/>
        <v>LOSS</v>
      </c>
      <c r="F2645" s="160"/>
      <c r="G2645" s="234" t="s">
        <v>8781</v>
      </c>
      <c r="H2645" s="160" t="s">
        <v>8588</v>
      </c>
      <c r="I2645" s="160" t="s">
        <v>511</v>
      </c>
      <c r="J2645" s="159"/>
      <c r="K2645" s="181" t="s">
        <v>11598</v>
      </c>
      <c r="L2645" s="158"/>
      <c r="M2645" s="226" t="s">
        <v>11599</v>
      </c>
      <c r="N2645" s="158" t="s">
        <v>406</v>
      </c>
      <c r="O2645" s="162"/>
      <c r="P2645" s="248">
        <f>500000*12</f>
        <v>6000000</v>
      </c>
      <c r="Q2645" s="161"/>
      <c r="R2645" s="162"/>
      <c r="S2645" s="211"/>
      <c r="T2645" s="213">
        <v>0.2</v>
      </c>
      <c r="U2645" s="341">
        <v>45717</v>
      </c>
      <c r="V2645" s="341">
        <v>46081</v>
      </c>
      <c r="W2645" s="158" t="s">
        <v>17</v>
      </c>
      <c r="X2645" s="158"/>
      <c r="Y2645" s="164">
        <f t="shared" ca="1" si="182"/>
        <v>46290</v>
      </c>
      <c r="Z2645" s="207">
        <f t="shared" ca="1" si="178"/>
        <v>-209</v>
      </c>
      <c r="AA2645" s="158">
        <f t="shared" si="179"/>
        <v>2</v>
      </c>
      <c r="AB2645" s="158">
        <f t="shared" si="183"/>
        <v>2026</v>
      </c>
      <c r="AC2645" s="159"/>
      <c r="AD2645" s="159"/>
      <c r="AE2645" s="158"/>
      <c r="AF2645" s="158" t="s">
        <v>356</v>
      </c>
      <c r="AG2645" s="160"/>
      <c r="AH2645" s="160"/>
      <c r="AI2645" s="158"/>
      <c r="AJ2645" s="158"/>
      <c r="AK2645" s="158"/>
      <c r="AL2645" s="158"/>
      <c r="AM2645" s="158"/>
      <c r="AN2645" s="158"/>
      <c r="AO2645" s="158"/>
      <c r="AP2645" s="158"/>
      <c r="AQ2645" s="158"/>
      <c r="AR2645" s="507"/>
      <c r="AS2645" s="475"/>
      <c r="AT2645" s="160"/>
    </row>
    <row r="2646" spans="1:46" ht="15" hidden="1" customHeight="1">
      <c r="A2646" s="331">
        <v>2645</v>
      </c>
      <c r="B2646" s="243" t="s">
        <v>8765</v>
      </c>
      <c r="C2646" s="222" t="s">
        <v>8766</v>
      </c>
      <c r="D2646" s="447" t="s">
        <v>8767</v>
      </c>
      <c r="E2646" s="361" t="str">
        <f t="shared" ca="1" si="181"/>
        <v>LOSS</v>
      </c>
      <c r="F2646" s="231"/>
      <c r="G2646" s="243" t="s">
        <v>8783</v>
      </c>
      <c r="H2646" s="231" t="s">
        <v>8588</v>
      </c>
      <c r="I2646" s="231" t="s">
        <v>511</v>
      </c>
      <c r="J2646" s="229"/>
      <c r="K2646" s="223" t="s">
        <v>11587</v>
      </c>
      <c r="L2646" s="232"/>
      <c r="M2646" s="226" t="s">
        <v>11588</v>
      </c>
      <c r="N2646" s="232" t="s">
        <v>362</v>
      </c>
      <c r="O2646" s="246"/>
      <c r="P2646" s="248">
        <f>4954954*12</f>
        <v>59459448</v>
      </c>
      <c r="Q2646" s="247"/>
      <c r="R2646" s="246"/>
      <c r="S2646" s="250"/>
      <c r="T2646" s="213">
        <v>0.2</v>
      </c>
      <c r="U2646" s="341">
        <v>45717</v>
      </c>
      <c r="V2646" s="341">
        <v>46081</v>
      </c>
      <c r="W2646" s="232" t="s">
        <v>17</v>
      </c>
      <c r="X2646" s="232"/>
      <c r="Y2646" s="252">
        <f t="shared" ca="1" si="182"/>
        <v>46290</v>
      </c>
      <c r="Z2646" s="254">
        <f t="shared" ca="1" si="178"/>
        <v>-209</v>
      </c>
      <c r="AA2646" s="232">
        <f t="shared" si="179"/>
        <v>2</v>
      </c>
      <c r="AB2646" s="232">
        <f t="shared" si="183"/>
        <v>2026</v>
      </c>
      <c r="AC2646" s="229"/>
      <c r="AD2646" s="229"/>
      <c r="AE2646" s="232"/>
      <c r="AF2646" s="232" t="s">
        <v>356</v>
      </c>
      <c r="AG2646" s="160"/>
      <c r="AH2646" s="160"/>
      <c r="AI2646" s="232"/>
      <c r="AJ2646" s="232"/>
      <c r="AK2646" s="232"/>
      <c r="AL2646" s="232"/>
      <c r="AM2646" s="232"/>
      <c r="AN2646" s="232"/>
      <c r="AO2646" s="232"/>
      <c r="AP2646" s="232"/>
      <c r="AQ2646" s="232"/>
      <c r="AR2646" s="509"/>
      <c r="AS2646" s="493"/>
      <c r="AT2646" s="160"/>
    </row>
    <row r="2647" spans="1:46" ht="15" hidden="1" customHeight="1">
      <c r="A2647" s="331">
        <v>2646</v>
      </c>
      <c r="B2647" s="234" t="s">
        <v>8765</v>
      </c>
      <c r="C2647" s="222" t="s">
        <v>8766</v>
      </c>
      <c r="D2647" s="438" t="s">
        <v>8767</v>
      </c>
      <c r="E2647" s="361" t="str">
        <f t="shared" ca="1" si="181"/>
        <v>LOSS</v>
      </c>
      <c r="F2647" s="160"/>
      <c r="G2647" s="234" t="s">
        <v>8786</v>
      </c>
      <c r="H2647" s="160" t="s">
        <v>8588</v>
      </c>
      <c r="I2647" s="160" t="s">
        <v>511</v>
      </c>
      <c r="J2647" s="159"/>
      <c r="K2647" s="223" t="s">
        <v>11589</v>
      </c>
      <c r="L2647" s="158"/>
      <c r="M2647" s="226" t="s">
        <v>11590</v>
      </c>
      <c r="N2647" s="158"/>
      <c r="O2647" s="162"/>
      <c r="P2647" s="248">
        <f>1981982*12</f>
        <v>23783784</v>
      </c>
      <c r="Q2647" s="161"/>
      <c r="R2647" s="162"/>
      <c r="S2647" s="211"/>
      <c r="T2647" s="213">
        <v>0.2</v>
      </c>
      <c r="U2647" s="341">
        <v>45717</v>
      </c>
      <c r="V2647" s="341">
        <v>46081</v>
      </c>
      <c r="W2647" s="158" t="s">
        <v>17</v>
      </c>
      <c r="X2647" s="158"/>
      <c r="Y2647" s="164">
        <f t="shared" ca="1" si="182"/>
        <v>46290</v>
      </c>
      <c r="Z2647" s="207">
        <f t="shared" ca="1" si="178"/>
        <v>-209</v>
      </c>
      <c r="AA2647" s="158">
        <f t="shared" si="179"/>
        <v>2</v>
      </c>
      <c r="AB2647" s="158">
        <f t="shared" si="183"/>
        <v>2026</v>
      </c>
      <c r="AC2647" s="159"/>
      <c r="AD2647" s="159"/>
      <c r="AE2647" s="158"/>
      <c r="AF2647" s="158" t="s">
        <v>356</v>
      </c>
      <c r="AG2647" s="160"/>
      <c r="AH2647" s="160"/>
      <c r="AI2647" s="158"/>
      <c r="AJ2647" s="158"/>
      <c r="AK2647" s="158"/>
      <c r="AL2647" s="158"/>
      <c r="AM2647" s="158"/>
      <c r="AN2647" s="158"/>
      <c r="AO2647" s="158"/>
      <c r="AP2647" s="158"/>
      <c r="AQ2647" s="158"/>
      <c r="AR2647" s="507"/>
      <c r="AS2647" s="475"/>
      <c r="AT2647" s="160"/>
    </row>
    <row r="2648" spans="1:46" ht="15" hidden="1" customHeight="1">
      <c r="A2648" s="331">
        <v>2647</v>
      </c>
      <c r="B2648" s="243" t="s">
        <v>8765</v>
      </c>
      <c r="C2648" s="222" t="s">
        <v>8766</v>
      </c>
      <c r="D2648" s="447" t="s">
        <v>8767</v>
      </c>
      <c r="E2648" s="361" t="str">
        <f t="shared" ca="1" si="181"/>
        <v>LOSS</v>
      </c>
      <c r="F2648" s="231"/>
      <c r="G2648" s="243" t="s">
        <v>8788</v>
      </c>
      <c r="H2648" s="231" t="s">
        <v>8588</v>
      </c>
      <c r="I2648" s="231" t="s">
        <v>511</v>
      </c>
      <c r="J2648" s="229"/>
      <c r="K2648" s="223" t="s">
        <v>11591</v>
      </c>
      <c r="L2648" s="232"/>
      <c r="M2648" s="226" t="s">
        <v>11592</v>
      </c>
      <c r="N2648" s="232"/>
      <c r="O2648" s="246"/>
      <c r="P2648" s="248">
        <f>1036036*12</f>
        <v>12432432</v>
      </c>
      <c r="Q2648" s="247"/>
      <c r="R2648" s="246"/>
      <c r="S2648" s="250"/>
      <c r="T2648" s="213">
        <v>0.2</v>
      </c>
      <c r="U2648" s="341">
        <v>45717</v>
      </c>
      <c r="V2648" s="341">
        <v>46081</v>
      </c>
      <c r="W2648" s="232" t="s">
        <v>17</v>
      </c>
      <c r="X2648" s="232"/>
      <c r="Y2648" s="252">
        <f t="shared" ca="1" si="182"/>
        <v>46290</v>
      </c>
      <c r="Z2648" s="254">
        <f t="shared" ca="1" si="178"/>
        <v>-209</v>
      </c>
      <c r="AA2648" s="232">
        <f t="shared" si="179"/>
        <v>2</v>
      </c>
      <c r="AB2648" s="232">
        <f t="shared" si="183"/>
        <v>2026</v>
      </c>
      <c r="AC2648" s="229"/>
      <c r="AD2648" s="229"/>
      <c r="AE2648" s="232"/>
      <c r="AF2648" s="232" t="s">
        <v>356</v>
      </c>
      <c r="AG2648" s="160"/>
      <c r="AH2648" s="160"/>
      <c r="AI2648" s="232"/>
      <c r="AJ2648" s="232"/>
      <c r="AK2648" s="232"/>
      <c r="AL2648" s="232"/>
      <c r="AM2648" s="232"/>
      <c r="AN2648" s="232"/>
      <c r="AO2648" s="232"/>
      <c r="AP2648" s="232"/>
      <c r="AQ2648" s="232"/>
      <c r="AR2648" s="509"/>
      <c r="AS2648" s="493"/>
      <c r="AT2648" s="160"/>
    </row>
    <row r="2649" spans="1:46" ht="15" hidden="1" customHeight="1">
      <c r="A2649" s="331">
        <v>2648</v>
      </c>
      <c r="B2649" s="243" t="s">
        <v>8765</v>
      </c>
      <c r="C2649" s="222" t="s">
        <v>8766</v>
      </c>
      <c r="D2649" s="438" t="s">
        <v>8767</v>
      </c>
      <c r="E2649" s="361" t="str">
        <f t="shared" ca="1" si="181"/>
        <v>ON TRACK</v>
      </c>
      <c r="F2649" s="231"/>
      <c r="G2649" s="243" t="s">
        <v>8768</v>
      </c>
      <c r="H2649" s="231" t="s">
        <v>8588</v>
      </c>
      <c r="I2649" s="231" t="s">
        <v>511</v>
      </c>
      <c r="J2649" s="229"/>
      <c r="K2649" s="223" t="s">
        <v>11593</v>
      </c>
      <c r="L2649" s="232"/>
      <c r="M2649" s="226" t="s">
        <v>11592</v>
      </c>
      <c r="N2649" s="232"/>
      <c r="O2649" s="246"/>
      <c r="P2649" s="248">
        <f>1036036*12</f>
        <v>12432432</v>
      </c>
      <c r="Q2649" s="247"/>
      <c r="R2649" s="246"/>
      <c r="S2649" s="250"/>
      <c r="T2649" s="213">
        <v>0.2</v>
      </c>
      <c r="U2649" s="341">
        <v>46082</v>
      </c>
      <c r="V2649" s="341">
        <v>46446</v>
      </c>
      <c r="W2649" s="232" t="s">
        <v>17</v>
      </c>
      <c r="X2649" s="232"/>
      <c r="Y2649" s="252">
        <f t="shared" ca="1" si="182"/>
        <v>46290</v>
      </c>
      <c r="Z2649" s="254">
        <f t="shared" ca="1" si="178"/>
        <v>156</v>
      </c>
      <c r="AA2649" s="232">
        <f t="shared" si="179"/>
        <v>2</v>
      </c>
      <c r="AB2649" s="232">
        <f t="shared" si="183"/>
        <v>2027</v>
      </c>
      <c r="AC2649" s="229"/>
      <c r="AD2649" s="229"/>
      <c r="AE2649" s="232"/>
      <c r="AF2649" s="232" t="s">
        <v>356</v>
      </c>
      <c r="AG2649" s="160"/>
      <c r="AH2649" s="160"/>
      <c r="AI2649" s="232"/>
      <c r="AJ2649" s="232"/>
      <c r="AK2649" s="232"/>
      <c r="AL2649" s="232"/>
      <c r="AM2649" s="232"/>
      <c r="AN2649" s="232"/>
      <c r="AO2649" s="232"/>
      <c r="AP2649" s="232"/>
      <c r="AQ2649" s="232"/>
      <c r="AR2649" s="509"/>
      <c r="AS2649" s="493"/>
      <c r="AT2649" s="160"/>
    </row>
    <row r="2650" spans="1:46" ht="15" hidden="1" customHeight="1">
      <c r="A2650" s="331">
        <v>2649</v>
      </c>
      <c r="B2650" s="234" t="s">
        <v>8765</v>
      </c>
      <c r="C2650" s="222" t="s">
        <v>11594</v>
      </c>
      <c r="D2650" s="438" t="s">
        <v>8767</v>
      </c>
      <c r="E2650" s="361" t="str">
        <f t="shared" ca="1" si="181"/>
        <v>ON TRACK</v>
      </c>
      <c r="F2650" s="160"/>
      <c r="G2650" s="234" t="s">
        <v>8768</v>
      </c>
      <c r="H2650" s="160" t="s">
        <v>8588</v>
      </c>
      <c r="I2650" s="160" t="s">
        <v>511</v>
      </c>
      <c r="J2650" s="159"/>
      <c r="K2650" s="223" t="s">
        <v>11595</v>
      </c>
      <c r="L2650" s="158"/>
      <c r="M2650" s="226" t="s">
        <v>11596</v>
      </c>
      <c r="N2650" s="158"/>
      <c r="O2650" s="162"/>
      <c r="P2650" s="248">
        <f>3500000*12</f>
        <v>42000000</v>
      </c>
      <c r="Q2650" s="161"/>
      <c r="R2650" s="162"/>
      <c r="S2650" s="211"/>
      <c r="T2650" s="213">
        <v>0.2</v>
      </c>
      <c r="U2650" s="341">
        <v>46082</v>
      </c>
      <c r="V2650" s="341">
        <v>46446</v>
      </c>
      <c r="W2650" s="158" t="s">
        <v>17</v>
      </c>
      <c r="X2650" s="158"/>
      <c r="Y2650" s="164">
        <f t="shared" ca="1" si="182"/>
        <v>46290</v>
      </c>
      <c r="Z2650" s="207">
        <f t="shared" ca="1" si="178"/>
        <v>156</v>
      </c>
      <c r="AA2650" s="158">
        <f t="shared" si="179"/>
        <v>2</v>
      </c>
      <c r="AB2650" s="158">
        <f t="shared" si="183"/>
        <v>2027</v>
      </c>
      <c r="AC2650" s="159"/>
      <c r="AD2650" s="159"/>
      <c r="AE2650" s="158"/>
      <c r="AF2650" s="158" t="s">
        <v>356</v>
      </c>
      <c r="AG2650" s="160"/>
      <c r="AH2650" s="160"/>
      <c r="AI2650" s="158"/>
      <c r="AJ2650" s="158"/>
      <c r="AK2650" s="158"/>
      <c r="AL2650" s="158"/>
      <c r="AM2650" s="158"/>
      <c r="AN2650" s="158"/>
      <c r="AO2650" s="158"/>
      <c r="AP2650" s="158"/>
      <c r="AQ2650" s="158"/>
      <c r="AR2650" s="507"/>
      <c r="AS2650" s="475"/>
      <c r="AT2650" s="160"/>
    </row>
    <row r="2651" spans="1:46" ht="15" hidden="1" customHeight="1">
      <c r="A2651" s="331">
        <v>2650</v>
      </c>
      <c r="B2651" s="243" t="s">
        <v>8765</v>
      </c>
      <c r="C2651" s="222" t="s">
        <v>742</v>
      </c>
      <c r="D2651" s="447" t="s">
        <v>8767</v>
      </c>
      <c r="E2651" s="361" t="str">
        <f t="shared" ca="1" si="181"/>
        <v>ON TRACK</v>
      </c>
      <c r="F2651" s="231"/>
      <c r="G2651" s="243" t="s">
        <v>8768</v>
      </c>
      <c r="H2651" s="231" t="s">
        <v>8588</v>
      </c>
      <c r="I2651" s="231" t="s">
        <v>511</v>
      </c>
      <c r="J2651" s="229"/>
      <c r="K2651" s="181" t="s">
        <v>11598</v>
      </c>
      <c r="L2651" s="232"/>
      <c r="M2651" s="226" t="s">
        <v>11599</v>
      </c>
      <c r="N2651" s="158" t="s">
        <v>406</v>
      </c>
      <c r="O2651" s="246"/>
      <c r="P2651" s="248">
        <f>500000*12</f>
        <v>6000000</v>
      </c>
      <c r="Q2651" s="247"/>
      <c r="R2651" s="246"/>
      <c r="S2651" s="250"/>
      <c r="T2651" s="213">
        <v>0.2</v>
      </c>
      <c r="U2651" s="341">
        <v>46082</v>
      </c>
      <c r="V2651" s="341">
        <v>46446</v>
      </c>
      <c r="W2651" s="232" t="s">
        <v>17</v>
      </c>
      <c r="X2651" s="232"/>
      <c r="Y2651" s="252">
        <f t="shared" ca="1" si="182"/>
        <v>46290</v>
      </c>
      <c r="Z2651" s="254">
        <f t="shared" ca="1" si="178"/>
        <v>156</v>
      </c>
      <c r="AA2651" s="232">
        <f t="shared" si="179"/>
        <v>2</v>
      </c>
      <c r="AB2651" s="232">
        <f t="shared" si="183"/>
        <v>2027</v>
      </c>
      <c r="AC2651" s="229"/>
      <c r="AD2651" s="229"/>
      <c r="AE2651" s="232"/>
      <c r="AF2651" s="232" t="s">
        <v>356</v>
      </c>
      <c r="AG2651" s="160"/>
      <c r="AH2651" s="160"/>
      <c r="AI2651" s="232"/>
      <c r="AJ2651" s="232"/>
      <c r="AK2651" s="232"/>
      <c r="AL2651" s="232"/>
      <c r="AM2651" s="232"/>
      <c r="AN2651" s="232"/>
      <c r="AO2651" s="232"/>
      <c r="AP2651" s="232"/>
      <c r="AQ2651" s="232"/>
      <c r="AR2651" s="509"/>
      <c r="AS2651" s="493"/>
      <c r="AT2651" s="160"/>
    </row>
    <row r="2652" spans="1:46" ht="15" hidden="1" customHeight="1">
      <c r="A2652" s="331">
        <v>2651</v>
      </c>
      <c r="B2652" s="159" t="s">
        <v>71</v>
      </c>
      <c r="C2652" s="159" t="s">
        <v>571</v>
      </c>
      <c r="D2652" s="437" t="s">
        <v>490</v>
      </c>
      <c r="E2652" s="361" t="str">
        <f t="shared" ca="1" si="181"/>
        <v>LOSS</v>
      </c>
      <c r="F2652" s="160" t="s">
        <v>11600</v>
      </c>
      <c r="G2652" s="28" t="s">
        <v>3725</v>
      </c>
      <c r="H2652" s="160" t="s">
        <v>2748</v>
      </c>
      <c r="I2652" s="160" t="s">
        <v>242</v>
      </c>
      <c r="J2652" s="28" t="s">
        <v>1101</v>
      </c>
      <c r="K2652" s="160"/>
      <c r="L2652" s="158"/>
      <c r="M2652" s="158" t="s">
        <v>329</v>
      </c>
      <c r="N2652" s="158" t="s">
        <v>4750</v>
      </c>
      <c r="O2652" s="162"/>
      <c r="P2652" s="161">
        <f>5500000*12</f>
        <v>66000000</v>
      </c>
      <c r="Q2652" s="161"/>
      <c r="R2652" s="162"/>
      <c r="S2652" s="163">
        <v>36000000</v>
      </c>
      <c r="T2652" s="164"/>
      <c r="U2652" s="334">
        <v>45885</v>
      </c>
      <c r="V2652" s="334">
        <v>46249</v>
      </c>
      <c r="W2652" s="27" t="s">
        <v>17</v>
      </c>
      <c r="X2652" s="158"/>
      <c r="Y2652" s="34">
        <f t="shared" ca="1" si="182"/>
        <v>46290</v>
      </c>
      <c r="Z2652" s="35">
        <f t="shared" ca="1" si="178"/>
        <v>-41</v>
      </c>
      <c r="AA2652" s="27">
        <f t="shared" si="179"/>
        <v>8</v>
      </c>
      <c r="AB2652" s="27">
        <f t="shared" si="183"/>
        <v>2026</v>
      </c>
      <c r="AC2652" s="28" t="s">
        <v>11601</v>
      </c>
      <c r="AD2652" s="159" t="s">
        <v>11602</v>
      </c>
      <c r="AE2652" s="184" t="s">
        <v>11603</v>
      </c>
      <c r="AF2652" s="201" t="s">
        <v>333</v>
      </c>
      <c r="AG2652" s="160"/>
      <c r="AH2652" s="160"/>
      <c r="AI2652" s="158"/>
      <c r="AJ2652" s="158"/>
      <c r="AK2652" s="158"/>
      <c r="AL2652" s="158"/>
      <c r="AM2652" s="158"/>
      <c r="AN2652" s="158"/>
      <c r="AO2652" s="158"/>
      <c r="AP2652" s="158"/>
      <c r="AQ2652" s="158">
        <v>272</v>
      </c>
      <c r="AR2652" s="507"/>
      <c r="AS2652" s="475"/>
      <c r="AT2652" s="160"/>
    </row>
    <row r="2653" spans="1:46" ht="15" hidden="1" customHeight="1">
      <c r="A2653" s="331">
        <v>2652</v>
      </c>
      <c r="B2653" s="159" t="s">
        <v>154</v>
      </c>
      <c r="C2653" s="159" t="s">
        <v>2203</v>
      </c>
      <c r="D2653" s="438" t="s">
        <v>9227</v>
      </c>
      <c r="E2653" s="361" t="str">
        <f t="shared" ca="1" si="181"/>
        <v>LOSS</v>
      </c>
      <c r="F2653" s="160"/>
      <c r="G2653" s="28" t="s">
        <v>8984</v>
      </c>
      <c r="H2653" s="29" t="s">
        <v>2748</v>
      </c>
      <c r="I2653" s="29" t="s">
        <v>346</v>
      </c>
      <c r="J2653" s="28" t="s">
        <v>156</v>
      </c>
      <c r="K2653" s="38" t="s">
        <v>8985</v>
      </c>
      <c r="L2653" s="158"/>
      <c r="M2653" s="27" t="s">
        <v>8986</v>
      </c>
      <c r="N2653" s="27" t="s">
        <v>362</v>
      </c>
      <c r="O2653" s="162"/>
      <c r="P2653" s="161">
        <f>9000000*12</f>
        <v>108000000</v>
      </c>
      <c r="Q2653" s="161"/>
      <c r="R2653" s="162"/>
      <c r="S2653" s="163">
        <v>78000000</v>
      </c>
      <c r="T2653" s="164"/>
      <c r="U2653" s="334">
        <v>45858</v>
      </c>
      <c r="V2653" s="334">
        <v>46222</v>
      </c>
      <c r="W2653" s="27" t="s">
        <v>17</v>
      </c>
      <c r="X2653" s="158"/>
      <c r="Y2653" s="34">
        <f t="shared" ca="1" si="182"/>
        <v>46290</v>
      </c>
      <c r="Z2653" s="35">
        <f t="shared" ca="1" si="178"/>
        <v>-68</v>
      </c>
      <c r="AA2653" s="27">
        <f>MONTH(Table1[[#This Row],[End]])</f>
        <v>7</v>
      </c>
      <c r="AB2653" s="27">
        <f t="shared" si="183"/>
        <v>2026</v>
      </c>
      <c r="AC2653" s="418" t="s">
        <v>11604</v>
      </c>
      <c r="AD2653" s="418" t="s">
        <v>11605</v>
      </c>
      <c r="AE2653" s="184" t="s">
        <v>11606</v>
      </c>
      <c r="AF2653" s="201" t="s">
        <v>333</v>
      </c>
      <c r="AG2653" s="160"/>
      <c r="AH2653" s="160"/>
      <c r="AI2653" s="158"/>
      <c r="AJ2653" s="158"/>
      <c r="AK2653" s="158"/>
      <c r="AL2653" s="158"/>
      <c r="AM2653" s="158"/>
      <c r="AN2653" s="158"/>
      <c r="AO2653" s="158"/>
      <c r="AP2653" s="158"/>
      <c r="AQ2653" s="158">
        <v>273</v>
      </c>
      <c r="AR2653" s="507"/>
      <c r="AS2653" s="475"/>
      <c r="AT2653" s="160"/>
    </row>
    <row r="2654" spans="1:46" ht="15" hidden="1" customHeight="1">
      <c r="A2654" s="331">
        <v>2653</v>
      </c>
      <c r="B2654" s="159" t="s">
        <v>129</v>
      </c>
      <c r="C2654" s="159" t="s">
        <v>5052</v>
      </c>
      <c r="D2654" s="438" t="s">
        <v>2447</v>
      </c>
      <c r="E2654" s="361" t="str">
        <f t="shared" ca="1" si="181"/>
        <v>LOSS</v>
      </c>
      <c r="F2654" s="160"/>
      <c r="G2654" s="159" t="s">
        <v>10001</v>
      </c>
      <c r="H2654" s="160" t="s">
        <v>2748</v>
      </c>
      <c r="I2654" s="160" t="s">
        <v>346</v>
      </c>
      <c r="J2654" s="219"/>
      <c r="K2654" s="219">
        <v>110120214842</v>
      </c>
      <c r="L2654" s="158"/>
      <c r="M2654" s="158" t="s">
        <v>9506</v>
      </c>
      <c r="N2654" s="158" t="s">
        <v>362</v>
      </c>
      <c r="O2654" s="162"/>
      <c r="P2654" s="161">
        <f>3562500*12</f>
        <v>42750000</v>
      </c>
      <c r="Q2654" s="161"/>
      <c r="R2654" s="162"/>
      <c r="S2654" s="163">
        <v>27720000</v>
      </c>
      <c r="T2654" s="164"/>
      <c r="U2654" s="340">
        <v>45926</v>
      </c>
      <c r="V2654" s="340">
        <v>46290</v>
      </c>
      <c r="W2654" s="158" t="s">
        <v>17</v>
      </c>
      <c r="X2654" s="158"/>
      <c r="Y2654" s="34">
        <f t="shared" ca="1" si="182"/>
        <v>46290</v>
      </c>
      <c r="Z2654" s="35">
        <f t="shared" ca="1" si="178"/>
        <v>0</v>
      </c>
      <c r="AA2654" s="158">
        <f>MONTH(V2654)</f>
        <v>9</v>
      </c>
      <c r="AB2654" s="158">
        <f t="shared" si="183"/>
        <v>2026</v>
      </c>
      <c r="AC2654" s="159" t="s">
        <v>11607</v>
      </c>
      <c r="AD2654" s="159" t="s">
        <v>11608</v>
      </c>
      <c r="AE2654" s="184" t="s">
        <v>11609</v>
      </c>
      <c r="AF2654" s="201" t="s">
        <v>333</v>
      </c>
      <c r="AG2654" s="160"/>
      <c r="AH2654" s="160"/>
      <c r="AI2654" s="158"/>
      <c r="AJ2654" s="158"/>
      <c r="AK2654" s="158"/>
      <c r="AL2654" s="158"/>
      <c r="AM2654" s="158"/>
      <c r="AN2654" s="158"/>
      <c r="AO2654" s="158"/>
      <c r="AP2654" s="158"/>
      <c r="AQ2654" s="158">
        <v>245</v>
      </c>
      <c r="AR2654" s="507"/>
      <c r="AS2654" s="475"/>
      <c r="AT2654" s="160"/>
    </row>
    <row r="2655" spans="1:46" ht="15" hidden="1" customHeight="1">
      <c r="A2655" s="331">
        <v>2654</v>
      </c>
      <c r="B2655" s="159" t="s">
        <v>11610</v>
      </c>
      <c r="C2655" s="159" t="s">
        <v>11611</v>
      </c>
      <c r="D2655" s="437" t="s">
        <v>11309</v>
      </c>
      <c r="E2655" s="361" t="str">
        <f t="shared" ca="1" si="181"/>
        <v>LOSS</v>
      </c>
      <c r="F2655" s="160"/>
      <c r="G2655" s="28" t="s">
        <v>7541</v>
      </c>
      <c r="H2655" s="29" t="s">
        <v>2748</v>
      </c>
      <c r="I2655" s="29" t="s">
        <v>346</v>
      </c>
      <c r="J2655" s="28" t="s">
        <v>214</v>
      </c>
      <c r="K2655" s="160"/>
      <c r="L2655" s="158"/>
      <c r="M2655" s="158"/>
      <c r="N2655" s="160"/>
      <c r="O2655" s="162"/>
      <c r="P2655" s="161">
        <f>45177000*12</f>
        <v>542124000</v>
      </c>
      <c r="Q2655" s="161"/>
      <c r="R2655" s="162"/>
      <c r="S2655" s="163">
        <v>167800000</v>
      </c>
      <c r="T2655" s="164"/>
      <c r="U2655" s="334">
        <v>45870</v>
      </c>
      <c r="V2655" s="334">
        <v>46234</v>
      </c>
      <c r="W2655" s="27" t="s">
        <v>17</v>
      </c>
      <c r="X2655" s="158"/>
      <c r="Y2655" s="34">
        <f t="shared" ca="1" si="182"/>
        <v>46290</v>
      </c>
      <c r="Z2655" s="35">
        <f t="shared" ref="Z2655:Z2673" ca="1" si="184">V2655-Y2655</f>
        <v>-56</v>
      </c>
      <c r="AA2655" s="27">
        <f>MONTH(V2655)</f>
        <v>7</v>
      </c>
      <c r="AB2655" s="27">
        <f t="shared" si="183"/>
        <v>2026</v>
      </c>
      <c r="AC2655" s="28" t="s">
        <v>11612</v>
      </c>
      <c r="AD2655" s="159" t="s">
        <v>11613</v>
      </c>
      <c r="AE2655" s="184" t="s">
        <v>11614</v>
      </c>
      <c r="AF2655" s="27" t="s">
        <v>339</v>
      </c>
      <c r="AG2655" s="160"/>
      <c r="AH2655" s="160"/>
      <c r="AI2655" s="158"/>
      <c r="AJ2655" s="158"/>
      <c r="AK2655" s="158"/>
      <c r="AL2655" s="158"/>
      <c r="AM2655" s="158"/>
      <c r="AN2655" s="158"/>
      <c r="AO2655" s="158"/>
      <c r="AP2655" s="158"/>
      <c r="AQ2655" s="158">
        <v>257</v>
      </c>
      <c r="AR2655" s="507"/>
      <c r="AS2655" s="475"/>
      <c r="AT2655" s="160"/>
    </row>
    <row r="2656" spans="1:46" ht="15" hidden="1" customHeight="1">
      <c r="A2656" s="331">
        <v>2655</v>
      </c>
      <c r="B2656" s="159" t="s">
        <v>1387</v>
      </c>
      <c r="C2656" s="159" t="s">
        <v>5989</v>
      </c>
      <c r="D2656" s="438" t="s">
        <v>7540</v>
      </c>
      <c r="E2656" s="361" t="str">
        <f t="shared" ca="1" si="181"/>
        <v>LOSS</v>
      </c>
      <c r="F2656" s="160"/>
      <c r="G2656" s="28" t="s">
        <v>11615</v>
      </c>
      <c r="H2656" s="160" t="s">
        <v>261</v>
      </c>
      <c r="I2656" s="361" t="s">
        <v>346</v>
      </c>
      <c r="J2656" s="28" t="s">
        <v>9430</v>
      </c>
      <c r="K2656" s="160"/>
      <c r="L2656" s="158"/>
      <c r="M2656" s="91" t="s">
        <v>9431</v>
      </c>
      <c r="N2656" s="160"/>
      <c r="O2656" s="162"/>
      <c r="P2656" s="161">
        <f>160211712*12</f>
        <v>1922540544</v>
      </c>
      <c r="Q2656" s="161"/>
      <c r="R2656" s="162"/>
      <c r="S2656" s="163">
        <v>64000000</v>
      </c>
      <c r="T2656" s="164"/>
      <c r="U2656" s="334">
        <v>45861</v>
      </c>
      <c r="V2656" s="334">
        <v>46225</v>
      </c>
      <c r="W2656" s="27" t="s">
        <v>17</v>
      </c>
      <c r="X2656" s="158"/>
      <c r="Y2656" s="34">
        <f t="shared" ca="1" si="182"/>
        <v>46290</v>
      </c>
      <c r="Z2656" s="35">
        <f t="shared" ca="1" si="184"/>
        <v>-65</v>
      </c>
      <c r="AA2656" s="27">
        <f>MONTH(V2656)</f>
        <v>7</v>
      </c>
      <c r="AB2656" s="27">
        <v>2025</v>
      </c>
      <c r="AC2656" s="28" t="s">
        <v>11616</v>
      </c>
      <c r="AD2656" s="28" t="s">
        <v>11617</v>
      </c>
      <c r="AE2656" s="184" t="s">
        <v>11618</v>
      </c>
      <c r="AF2656" s="52" t="s">
        <v>339</v>
      </c>
      <c r="AG2656" s="160"/>
      <c r="AH2656" s="160"/>
      <c r="AI2656" s="158"/>
      <c r="AJ2656" s="158"/>
      <c r="AK2656" s="158"/>
      <c r="AL2656" s="158"/>
      <c r="AM2656" s="158"/>
      <c r="AN2656" s="158"/>
      <c r="AO2656" s="158"/>
      <c r="AP2656" s="158"/>
      <c r="AQ2656" s="158">
        <v>258</v>
      </c>
      <c r="AR2656" s="507"/>
      <c r="AS2656" s="475"/>
      <c r="AT2656" s="160"/>
    </row>
    <row r="2657" spans="1:46" ht="15" hidden="1" customHeight="1">
      <c r="A2657" s="331">
        <v>2656</v>
      </c>
      <c r="B2657" s="159" t="s">
        <v>69</v>
      </c>
      <c r="C2657" s="159" t="s">
        <v>551</v>
      </c>
      <c r="D2657" s="437" t="s">
        <v>11619</v>
      </c>
      <c r="E2657" s="361" t="str">
        <f t="shared" ca="1" si="181"/>
        <v>LOSS</v>
      </c>
      <c r="F2657" s="28" t="s">
        <v>6767</v>
      </c>
      <c r="G2657" s="28" t="s">
        <v>6768</v>
      </c>
      <c r="H2657" s="29" t="s">
        <v>2748</v>
      </c>
      <c r="I2657" s="160" t="s">
        <v>346</v>
      </c>
      <c r="J2657" s="28" t="s">
        <v>70</v>
      </c>
      <c r="K2657" s="38" t="s">
        <v>6769</v>
      </c>
      <c r="L2657" s="158"/>
      <c r="M2657" s="27" t="s">
        <v>365</v>
      </c>
      <c r="N2657" s="27" t="s">
        <v>362</v>
      </c>
      <c r="O2657" s="162"/>
      <c r="P2657" s="161">
        <v>262500000</v>
      </c>
      <c r="Q2657" s="161"/>
      <c r="R2657" s="162"/>
      <c r="S2657" s="163">
        <v>5104850</v>
      </c>
      <c r="T2657" s="164"/>
      <c r="U2657" s="334">
        <v>45845</v>
      </c>
      <c r="V2657" s="334">
        <v>46053</v>
      </c>
      <c r="W2657" s="27" t="s">
        <v>17</v>
      </c>
      <c r="X2657" s="158"/>
      <c r="Y2657" s="34">
        <f t="shared" ca="1" si="182"/>
        <v>46290</v>
      </c>
      <c r="Z2657" s="35">
        <f t="shared" ca="1" si="184"/>
        <v>-237</v>
      </c>
      <c r="AA2657" s="27">
        <f>MONTH(V2657)</f>
        <v>1</v>
      </c>
      <c r="AB2657" s="27">
        <f>YEAR(V2657)</f>
        <v>2026</v>
      </c>
      <c r="AC2657" s="46" t="s">
        <v>11620</v>
      </c>
      <c r="AD2657" s="159" t="s">
        <v>11621</v>
      </c>
      <c r="AE2657" s="184" t="s">
        <v>11622</v>
      </c>
      <c r="AF2657" s="27" t="s">
        <v>339</v>
      </c>
      <c r="AG2657" s="160"/>
      <c r="AH2657" s="160"/>
      <c r="AI2657" s="158"/>
      <c r="AJ2657" s="158"/>
      <c r="AK2657" s="158"/>
      <c r="AL2657" s="158"/>
      <c r="AM2657" s="158"/>
      <c r="AN2657" s="158"/>
      <c r="AO2657" s="158"/>
      <c r="AP2657" s="158"/>
      <c r="AQ2657" s="158">
        <v>259</v>
      </c>
      <c r="AR2657" s="507"/>
      <c r="AS2657" s="475"/>
      <c r="AT2657" s="160"/>
    </row>
    <row r="2658" spans="1:46" ht="15" hidden="1" customHeight="1">
      <c r="A2658" s="331">
        <v>2657</v>
      </c>
      <c r="B2658" s="28" t="s">
        <v>114</v>
      </c>
      <c r="C2658" s="173" t="s">
        <v>11623</v>
      </c>
      <c r="D2658" s="444" t="s">
        <v>335</v>
      </c>
      <c r="E2658" s="361" t="str">
        <f t="shared" ca="1" si="181"/>
        <v>WARNING</v>
      </c>
      <c r="F2658" s="160"/>
      <c r="G2658" s="159" t="s">
        <v>336</v>
      </c>
      <c r="H2658" s="160" t="s">
        <v>2748</v>
      </c>
      <c r="I2658" s="160" t="s">
        <v>346</v>
      </c>
      <c r="J2658" s="159"/>
      <c r="K2658" s="160"/>
      <c r="L2658" s="158"/>
      <c r="M2658" s="158" t="s">
        <v>337</v>
      </c>
      <c r="N2658" s="160"/>
      <c r="O2658" s="162"/>
      <c r="P2658" s="161"/>
      <c r="Q2658" s="161"/>
      <c r="R2658" s="162"/>
      <c r="S2658" s="163">
        <v>142500000</v>
      </c>
      <c r="T2658" s="164"/>
      <c r="U2658" s="334">
        <v>45950</v>
      </c>
      <c r="V2658" s="334">
        <v>46314</v>
      </c>
      <c r="W2658" s="158" t="s">
        <v>17</v>
      </c>
      <c r="X2658" s="158"/>
      <c r="Y2658" s="34">
        <f t="shared" ca="1" si="182"/>
        <v>46290</v>
      </c>
      <c r="Z2658" s="35">
        <f t="shared" ca="1" si="184"/>
        <v>24</v>
      </c>
      <c r="AA2658" s="27">
        <f>MONTH(Table1[[#This Row],[End]])</f>
        <v>10</v>
      </c>
      <c r="AB2658" s="27">
        <f>YEAR(V2658)</f>
        <v>2026</v>
      </c>
      <c r="AC2658" s="159">
        <v>4500023668</v>
      </c>
      <c r="AD2658" s="159" t="s">
        <v>11624</v>
      </c>
      <c r="AE2658" s="184" t="s">
        <v>11625</v>
      </c>
      <c r="AF2658" s="201" t="s">
        <v>339</v>
      </c>
      <c r="AG2658" s="160"/>
      <c r="AH2658" s="160" t="s">
        <v>10677</v>
      </c>
      <c r="AI2658" s="158"/>
      <c r="AJ2658" s="158"/>
      <c r="AK2658" s="158"/>
      <c r="AL2658" s="158"/>
      <c r="AM2658" s="158"/>
      <c r="AN2658" s="158"/>
      <c r="AO2658" s="158"/>
      <c r="AP2658" s="158"/>
      <c r="AQ2658" s="158">
        <v>315</v>
      </c>
      <c r="AR2658" s="507"/>
      <c r="AS2658" s="475"/>
      <c r="AT2658" s="160"/>
    </row>
    <row r="2659" spans="1:46" ht="15" hidden="1" customHeight="1">
      <c r="A2659" s="331">
        <v>2658</v>
      </c>
      <c r="B2659" s="159" t="s">
        <v>348</v>
      </c>
      <c r="C2659" s="159" t="s">
        <v>344</v>
      </c>
      <c r="D2659" s="446"/>
      <c r="E2659" s="361" t="str">
        <f t="shared" si="181"/>
        <v>LOSS</v>
      </c>
      <c r="F2659" s="160"/>
      <c r="G2659" s="159"/>
      <c r="H2659" s="160"/>
      <c r="I2659" s="160"/>
      <c r="J2659" s="159"/>
      <c r="K2659" s="160"/>
      <c r="L2659" s="158"/>
      <c r="M2659" s="158"/>
      <c r="N2659" s="160"/>
      <c r="O2659" s="162"/>
      <c r="P2659" s="161"/>
      <c r="Q2659" s="161"/>
      <c r="R2659" s="162"/>
      <c r="S2659" s="163"/>
      <c r="T2659" s="164"/>
      <c r="U2659" s="350"/>
      <c r="V2659" s="350"/>
      <c r="W2659" s="158"/>
      <c r="X2659" s="158"/>
      <c r="Y2659" s="164"/>
      <c r="Z2659" s="35">
        <f t="shared" si="184"/>
        <v>0</v>
      </c>
      <c r="AA2659" s="27"/>
      <c r="AB2659" s="27"/>
      <c r="AC2659" s="159"/>
      <c r="AD2659" s="159"/>
      <c r="AE2659" s="184"/>
      <c r="AF2659" s="201"/>
      <c r="AG2659" s="160"/>
      <c r="AH2659" s="160"/>
      <c r="AI2659" s="158"/>
      <c r="AJ2659" s="158"/>
      <c r="AK2659" s="158"/>
      <c r="AL2659" s="158"/>
      <c r="AM2659" s="158"/>
      <c r="AN2659" s="158"/>
      <c r="AO2659" s="158"/>
      <c r="AP2659" s="158"/>
      <c r="AQ2659" s="158"/>
      <c r="AR2659" s="507"/>
      <c r="AS2659" s="475"/>
      <c r="AT2659" s="160"/>
    </row>
    <row r="2660" spans="1:46" ht="15" hidden="1" customHeight="1">
      <c r="A2660" s="331">
        <v>2659</v>
      </c>
      <c r="B2660" s="159" t="s">
        <v>37</v>
      </c>
      <c r="C2660" s="159" t="s">
        <v>2216</v>
      </c>
      <c r="D2660" s="438" t="s">
        <v>11045</v>
      </c>
      <c r="E2660" s="361" t="str">
        <f t="shared" ca="1" si="181"/>
        <v>LOSS</v>
      </c>
      <c r="F2660" s="160"/>
      <c r="G2660" s="159" t="s">
        <v>11626</v>
      </c>
      <c r="H2660" s="160" t="s">
        <v>2748</v>
      </c>
      <c r="I2660" s="160" t="s">
        <v>242</v>
      </c>
      <c r="J2660" s="159" t="s">
        <v>11627</v>
      </c>
      <c r="K2660" s="160"/>
      <c r="L2660" s="158"/>
      <c r="M2660" s="158" t="s">
        <v>365</v>
      </c>
      <c r="N2660" s="158" t="s">
        <v>396</v>
      </c>
      <c r="O2660" s="162"/>
      <c r="P2660" s="161">
        <v>218360000</v>
      </c>
      <c r="Q2660" s="161"/>
      <c r="R2660" s="162">
        <v>3000000</v>
      </c>
      <c r="S2660" s="163">
        <f>2500000*12</f>
        <v>30000000</v>
      </c>
      <c r="T2660" s="164"/>
      <c r="U2660" s="340">
        <v>45909</v>
      </c>
      <c r="V2660" s="340">
        <v>46273</v>
      </c>
      <c r="W2660" s="158" t="s">
        <v>17</v>
      </c>
      <c r="X2660" s="158"/>
      <c r="Y2660" s="164">
        <f t="shared" ref="Y2660:Y2691" ca="1" si="185">TODAY()</f>
        <v>46290</v>
      </c>
      <c r="Z2660" s="35">
        <f t="shared" ca="1" si="184"/>
        <v>-17</v>
      </c>
      <c r="AA2660" s="27">
        <f>MONTH(V2660)</f>
        <v>9</v>
      </c>
      <c r="AB2660" s="27">
        <f>YEAR(V2660)</f>
        <v>2026</v>
      </c>
      <c r="AC2660" s="194" t="s">
        <v>479</v>
      </c>
      <c r="AD2660" s="194" t="s">
        <v>11628</v>
      </c>
      <c r="AE2660" s="184" t="s">
        <v>11629</v>
      </c>
      <c r="AF2660" s="201" t="s">
        <v>356</v>
      </c>
      <c r="AG2660" s="160"/>
      <c r="AH2660" s="160"/>
      <c r="AI2660" s="158"/>
      <c r="AJ2660" s="158"/>
      <c r="AK2660" s="158"/>
      <c r="AL2660" s="158"/>
      <c r="AM2660" s="158"/>
      <c r="AN2660" s="158"/>
      <c r="AO2660" s="158"/>
      <c r="AP2660" s="158"/>
      <c r="AQ2660" s="158">
        <v>230</v>
      </c>
      <c r="AR2660" s="507"/>
      <c r="AS2660" s="475"/>
      <c r="AT2660" s="160"/>
    </row>
    <row r="2661" spans="1:46" ht="15" hidden="1" customHeight="1">
      <c r="A2661" s="331">
        <v>2660</v>
      </c>
      <c r="B2661" s="159" t="s">
        <v>2620</v>
      </c>
      <c r="C2661" s="159" t="s">
        <v>6881</v>
      </c>
      <c r="D2661" s="437" t="s">
        <v>11630</v>
      </c>
      <c r="E2661" s="361" t="str">
        <f t="shared" ca="1" si="181"/>
        <v>LOSS</v>
      </c>
      <c r="F2661" s="316" t="s">
        <v>11631</v>
      </c>
      <c r="G2661" s="316" t="s">
        <v>11632</v>
      </c>
      <c r="H2661" s="160" t="s">
        <v>261</v>
      </c>
      <c r="I2661" s="160" t="s">
        <v>243</v>
      </c>
      <c r="J2661" s="159" t="s">
        <v>2621</v>
      </c>
      <c r="K2661" s="160" t="s">
        <v>9126</v>
      </c>
      <c r="L2661" s="158" t="s">
        <v>4749</v>
      </c>
      <c r="M2661" s="158" t="s">
        <v>329</v>
      </c>
      <c r="N2661" s="158" t="s">
        <v>6885</v>
      </c>
      <c r="O2661" s="162"/>
      <c r="P2661" s="161">
        <f>12*4700000</f>
        <v>56400000</v>
      </c>
      <c r="Q2661" s="161"/>
      <c r="R2661" s="162"/>
      <c r="S2661" s="163">
        <f>12*3300000</f>
        <v>39600000</v>
      </c>
      <c r="T2661" s="164"/>
      <c r="U2661" s="340">
        <v>45871</v>
      </c>
      <c r="V2661" s="340">
        <v>46235</v>
      </c>
      <c r="W2661" s="158" t="s">
        <v>17</v>
      </c>
      <c r="X2661" s="158"/>
      <c r="Y2661" s="164">
        <f t="shared" ca="1" si="185"/>
        <v>46290</v>
      </c>
      <c r="Z2661" s="35">
        <f t="shared" ca="1" si="184"/>
        <v>-55</v>
      </c>
      <c r="AA2661" s="158">
        <f>MONTH(Table1[[#This Row],[End]])</f>
        <v>8</v>
      </c>
      <c r="AB2661" s="158">
        <f>YEAR(Table1[[#This Row],[End]])</f>
        <v>2026</v>
      </c>
      <c r="AC2661" s="194" t="s">
        <v>9128</v>
      </c>
      <c r="AD2661" s="194" t="s">
        <v>11633</v>
      </c>
      <c r="AE2661" s="184" t="s">
        <v>11634</v>
      </c>
      <c r="AF2661" s="201" t="s">
        <v>8995</v>
      </c>
      <c r="AG2661" s="160"/>
      <c r="AH2661" s="160"/>
      <c r="AI2661" s="158"/>
      <c r="AJ2661" s="158"/>
      <c r="AK2661" s="158"/>
      <c r="AL2661" s="158"/>
      <c r="AM2661" s="158"/>
      <c r="AN2661" s="158"/>
      <c r="AO2661" s="158"/>
      <c r="AP2661" s="158"/>
      <c r="AQ2661" s="158">
        <v>277</v>
      </c>
      <c r="AR2661" s="507"/>
      <c r="AS2661" s="475"/>
      <c r="AT2661" s="160"/>
    </row>
    <row r="2662" spans="1:46" ht="15" hidden="1" customHeight="1">
      <c r="A2662" s="331">
        <v>2661</v>
      </c>
      <c r="B2662" s="159" t="s">
        <v>1043</v>
      </c>
      <c r="C2662" s="159" t="s">
        <v>2610</v>
      </c>
      <c r="D2662" s="437" t="s">
        <v>6810</v>
      </c>
      <c r="E2662" s="361" t="str">
        <f t="shared" ca="1" si="181"/>
        <v>LOSS</v>
      </c>
      <c r="F2662" s="221"/>
      <c r="G2662" s="28" t="s">
        <v>9108</v>
      </c>
      <c r="H2662" s="160" t="s">
        <v>261</v>
      </c>
      <c r="I2662" s="160" t="s">
        <v>243</v>
      </c>
      <c r="J2662" s="159" t="s">
        <v>6861</v>
      </c>
      <c r="K2662" s="295">
        <v>990000320452408</v>
      </c>
      <c r="L2662" s="158" t="s">
        <v>4749</v>
      </c>
      <c r="M2662" s="158" t="s">
        <v>329</v>
      </c>
      <c r="N2662" s="158" t="s">
        <v>417</v>
      </c>
      <c r="O2662" s="162"/>
      <c r="P2662" s="161">
        <f>12*2545455</f>
        <v>30545460</v>
      </c>
      <c r="Q2662" s="161"/>
      <c r="R2662" s="162"/>
      <c r="S2662" s="163">
        <f>12*2500000</f>
        <v>30000000</v>
      </c>
      <c r="T2662" s="164"/>
      <c r="U2662" s="340">
        <v>45839</v>
      </c>
      <c r="V2662" s="340">
        <v>46203</v>
      </c>
      <c r="W2662" s="158" t="s">
        <v>17</v>
      </c>
      <c r="X2662" s="158"/>
      <c r="Y2662" s="164">
        <f t="shared" ca="1" si="185"/>
        <v>46290</v>
      </c>
      <c r="Z2662" s="35">
        <f t="shared" ca="1" si="184"/>
        <v>-87</v>
      </c>
      <c r="AA2662" s="158">
        <f>MONTH(Table1[[#This Row],[End]])</f>
        <v>6</v>
      </c>
      <c r="AB2662" s="158">
        <f>YEAR(Table1[[#This Row],[End]])</f>
        <v>2026</v>
      </c>
      <c r="AC2662" s="194" t="s">
        <v>9112</v>
      </c>
      <c r="AD2662" s="194" t="s">
        <v>11635</v>
      </c>
      <c r="AE2662" s="184" t="s">
        <v>11636</v>
      </c>
      <c r="AF2662" s="201" t="s">
        <v>8995</v>
      </c>
      <c r="AG2662" s="160"/>
      <c r="AH2662" s="160" t="s">
        <v>8922</v>
      </c>
      <c r="AI2662" s="158"/>
      <c r="AJ2662" s="158"/>
      <c r="AK2662" s="158"/>
      <c r="AL2662" s="158"/>
      <c r="AM2662" s="158"/>
      <c r="AN2662" s="158"/>
      <c r="AO2662" s="158"/>
      <c r="AP2662" s="158"/>
      <c r="AQ2662" s="158">
        <v>254</v>
      </c>
      <c r="AR2662" s="507"/>
      <c r="AS2662" s="475"/>
      <c r="AT2662" s="160"/>
    </row>
    <row r="2663" spans="1:46" ht="15" hidden="1" customHeight="1">
      <c r="A2663" s="331">
        <v>2662</v>
      </c>
      <c r="B2663" s="159" t="s">
        <v>628</v>
      </c>
      <c r="C2663" s="159" t="s">
        <v>11637</v>
      </c>
      <c r="D2663" s="437" t="s">
        <v>7640</v>
      </c>
      <c r="E2663" s="361" t="str">
        <f t="shared" ca="1" si="181"/>
        <v>LOSS</v>
      </c>
      <c r="F2663" s="160"/>
      <c r="G2663" s="159" t="s">
        <v>11638</v>
      </c>
      <c r="H2663" s="160" t="s">
        <v>261</v>
      </c>
      <c r="I2663" s="160" t="s">
        <v>243</v>
      </c>
      <c r="J2663" s="159" t="s">
        <v>11639</v>
      </c>
      <c r="K2663" s="160" t="s">
        <v>11640</v>
      </c>
      <c r="L2663" s="158" t="s">
        <v>4749</v>
      </c>
      <c r="M2663" s="158" t="s">
        <v>353</v>
      </c>
      <c r="N2663" s="158" t="s">
        <v>11641</v>
      </c>
      <c r="O2663" s="162">
        <v>12000000</v>
      </c>
      <c r="P2663" s="161">
        <f>12*3500000</f>
        <v>42000000</v>
      </c>
      <c r="Q2663" s="161"/>
      <c r="R2663" s="162">
        <v>6000000</v>
      </c>
      <c r="S2663" s="163">
        <f>12*4260000</f>
        <v>51120000</v>
      </c>
      <c r="T2663" s="164"/>
      <c r="U2663" s="340">
        <v>45847</v>
      </c>
      <c r="V2663" s="340">
        <v>46211</v>
      </c>
      <c r="W2663" s="158" t="s">
        <v>17</v>
      </c>
      <c r="X2663" s="158"/>
      <c r="Y2663" s="164">
        <f t="shared" ca="1" si="185"/>
        <v>46290</v>
      </c>
      <c r="Z2663" s="35">
        <f t="shared" ca="1" si="184"/>
        <v>-79</v>
      </c>
      <c r="AA2663" s="158">
        <f>MONTH(Table1[[#This Row],[End]])</f>
        <v>7</v>
      </c>
      <c r="AB2663" s="158">
        <f>YEAR(Table1[[#This Row],[End]])</f>
        <v>2026</v>
      </c>
      <c r="AC2663" s="159"/>
      <c r="AD2663" s="194" t="s">
        <v>11642</v>
      </c>
      <c r="AE2663" s="184" t="s">
        <v>11643</v>
      </c>
      <c r="AF2663" s="201" t="s">
        <v>8995</v>
      </c>
      <c r="AG2663" s="160"/>
      <c r="AH2663" s="174" t="s">
        <v>634</v>
      </c>
      <c r="AI2663" s="158"/>
      <c r="AJ2663" s="158"/>
      <c r="AK2663" s="158"/>
      <c r="AL2663" s="158"/>
      <c r="AM2663" s="158"/>
      <c r="AN2663" s="158"/>
      <c r="AO2663" s="158"/>
      <c r="AP2663" s="158"/>
      <c r="AQ2663" s="158">
        <v>177</v>
      </c>
      <c r="AR2663" s="507"/>
      <c r="AS2663" s="475"/>
      <c r="AT2663" s="160"/>
    </row>
    <row r="2664" spans="1:46" ht="15" hidden="1" customHeight="1">
      <c r="A2664" s="331">
        <v>2663</v>
      </c>
      <c r="B2664" s="159" t="s">
        <v>11644</v>
      </c>
      <c r="C2664" s="159" t="s">
        <v>2868</v>
      </c>
      <c r="D2664" s="438" t="s">
        <v>11645</v>
      </c>
      <c r="E2664" s="361" t="str">
        <f t="shared" ca="1" si="181"/>
        <v>LOSS</v>
      </c>
      <c r="F2664" s="160"/>
      <c r="G2664" s="221" t="s">
        <v>11646</v>
      </c>
      <c r="H2664" s="160" t="s">
        <v>261</v>
      </c>
      <c r="I2664" s="160" t="s">
        <v>243</v>
      </c>
      <c r="J2664" s="159" t="s">
        <v>1837</v>
      </c>
      <c r="K2664" s="294">
        <v>1000125261</v>
      </c>
      <c r="L2664" s="158" t="s">
        <v>4749</v>
      </c>
      <c r="M2664" s="158" t="s">
        <v>329</v>
      </c>
      <c r="N2664" s="158" t="s">
        <v>389</v>
      </c>
      <c r="O2664" s="162"/>
      <c r="P2664" s="161">
        <f>12*41000000</f>
        <v>492000000</v>
      </c>
      <c r="Q2664" s="161"/>
      <c r="R2664" s="162"/>
      <c r="S2664" s="163">
        <f>12*10000000</f>
        <v>120000000</v>
      </c>
      <c r="T2664" s="164"/>
      <c r="U2664" s="340">
        <v>45847</v>
      </c>
      <c r="V2664" s="340">
        <v>46211</v>
      </c>
      <c r="W2664" s="158" t="s">
        <v>17</v>
      </c>
      <c r="X2664" s="158"/>
      <c r="Y2664" s="164">
        <f t="shared" ca="1" si="185"/>
        <v>46290</v>
      </c>
      <c r="Z2664" s="35">
        <f t="shared" ca="1" si="184"/>
        <v>-79</v>
      </c>
      <c r="AA2664" s="158">
        <f>MONTH(Table1[[#This Row],[End]])</f>
        <v>7</v>
      </c>
      <c r="AB2664" s="158">
        <f>YEAR(Table1[[#This Row],[End]])</f>
        <v>2026</v>
      </c>
      <c r="AC2664" s="194" t="s">
        <v>9151</v>
      </c>
      <c r="AD2664" s="194" t="s">
        <v>11647</v>
      </c>
      <c r="AE2664" s="184" t="s">
        <v>11648</v>
      </c>
      <c r="AF2664" s="201" t="s">
        <v>8995</v>
      </c>
      <c r="AG2664" s="160"/>
      <c r="AH2664" s="160"/>
      <c r="AI2664" s="158"/>
      <c r="AJ2664" s="158"/>
      <c r="AK2664" s="158"/>
      <c r="AL2664" s="158"/>
      <c r="AM2664" s="158"/>
      <c r="AN2664" s="158"/>
      <c r="AO2664" s="158"/>
      <c r="AP2664" s="158"/>
      <c r="AQ2664" s="158">
        <v>281</v>
      </c>
      <c r="AR2664" s="507"/>
      <c r="AS2664" s="475"/>
      <c r="AT2664" s="160"/>
    </row>
    <row r="2665" spans="1:46" ht="15" hidden="1" customHeight="1">
      <c r="A2665" s="331">
        <v>2664</v>
      </c>
      <c r="B2665" s="173" t="s">
        <v>7295</v>
      </c>
      <c r="C2665" s="159" t="s">
        <v>11649</v>
      </c>
      <c r="D2665" s="437" t="s">
        <v>11650</v>
      </c>
      <c r="E2665" s="361" t="str">
        <f t="shared" ca="1" si="181"/>
        <v>LOSS</v>
      </c>
      <c r="F2665" s="160"/>
      <c r="G2665" s="221" t="s">
        <v>11651</v>
      </c>
      <c r="H2665" s="160" t="s">
        <v>261</v>
      </c>
      <c r="I2665" s="160" t="s">
        <v>243</v>
      </c>
      <c r="J2665" s="159" t="s">
        <v>11652</v>
      </c>
      <c r="K2665" s="160" t="s">
        <v>11653</v>
      </c>
      <c r="L2665" s="158" t="s">
        <v>11654</v>
      </c>
      <c r="M2665" s="158" t="s">
        <v>353</v>
      </c>
      <c r="N2665" s="158" t="s">
        <v>362</v>
      </c>
      <c r="O2665" s="162">
        <v>5000000</v>
      </c>
      <c r="P2665" s="161">
        <f>12*12548900</f>
        <v>150586800</v>
      </c>
      <c r="Q2665" s="161"/>
      <c r="R2665" s="162">
        <v>2500000</v>
      </c>
      <c r="S2665" s="293">
        <f>12*10000000</f>
        <v>120000000</v>
      </c>
      <c r="T2665" s="164"/>
      <c r="U2665" s="340">
        <v>45839</v>
      </c>
      <c r="V2665" s="340">
        <v>46203</v>
      </c>
      <c r="W2665" s="158" t="s">
        <v>250</v>
      </c>
      <c r="X2665" s="158"/>
      <c r="Y2665" s="164">
        <f t="shared" ca="1" si="185"/>
        <v>46290</v>
      </c>
      <c r="Z2665" s="35">
        <f t="shared" ca="1" si="184"/>
        <v>-87</v>
      </c>
      <c r="AA2665" s="158">
        <f>MONTH(Table1[[#This Row],[End]])</f>
        <v>6</v>
      </c>
      <c r="AB2665" s="158">
        <f>YEAR(Table1[[#This Row],[End]])</f>
        <v>2026</v>
      </c>
      <c r="AC2665" s="159" t="s">
        <v>3371</v>
      </c>
      <c r="AD2665" s="194" t="s">
        <v>11655</v>
      </c>
      <c r="AE2665" s="184" t="s">
        <v>11656</v>
      </c>
      <c r="AF2665" s="201" t="s">
        <v>8995</v>
      </c>
      <c r="AG2665" s="160"/>
      <c r="AH2665" s="160"/>
      <c r="AI2665" s="158"/>
      <c r="AJ2665" s="158"/>
      <c r="AK2665" s="158"/>
      <c r="AL2665" s="158"/>
      <c r="AM2665" s="158"/>
      <c r="AN2665" s="158"/>
      <c r="AO2665" s="158"/>
      <c r="AP2665" s="158"/>
      <c r="AQ2665" s="158">
        <v>175</v>
      </c>
      <c r="AR2665" s="507"/>
      <c r="AS2665" s="475"/>
      <c r="AT2665" s="160"/>
    </row>
    <row r="2666" spans="1:46" ht="15" hidden="1" customHeight="1">
      <c r="A2666" s="331">
        <v>2665</v>
      </c>
      <c r="B2666" s="173" t="s">
        <v>7295</v>
      </c>
      <c r="C2666" s="159" t="s">
        <v>7301</v>
      </c>
      <c r="D2666" s="438" t="s">
        <v>11657</v>
      </c>
      <c r="E2666" s="361" t="str">
        <f t="shared" ca="1" si="181"/>
        <v>LOSS</v>
      </c>
      <c r="F2666" s="160" t="s">
        <v>11658</v>
      </c>
      <c r="G2666" s="28" t="s">
        <v>11659</v>
      </c>
      <c r="H2666" s="28" t="s">
        <v>261</v>
      </c>
      <c r="I2666" s="264" t="s">
        <v>243</v>
      </c>
      <c r="J2666" s="28" t="s">
        <v>7304</v>
      </c>
      <c r="K2666" s="38" t="s">
        <v>7305</v>
      </c>
      <c r="L2666" s="51">
        <v>0.98</v>
      </c>
      <c r="M2666" s="27" t="s">
        <v>7306</v>
      </c>
      <c r="N2666" s="27" t="s">
        <v>6649</v>
      </c>
      <c r="O2666" s="162"/>
      <c r="P2666" s="161">
        <f>2100000*12</f>
        <v>25200000</v>
      </c>
      <c r="Q2666" s="161"/>
      <c r="R2666" s="162"/>
      <c r="S2666" s="163">
        <f>(1830000*2)*12</f>
        <v>43920000</v>
      </c>
      <c r="T2666" s="164"/>
      <c r="U2666" s="340">
        <v>45871</v>
      </c>
      <c r="V2666" s="340">
        <v>46235</v>
      </c>
      <c r="W2666" s="158" t="s">
        <v>17</v>
      </c>
      <c r="X2666" s="158"/>
      <c r="Y2666" s="164">
        <f t="shared" ca="1" si="185"/>
        <v>46290</v>
      </c>
      <c r="Z2666" s="35">
        <f t="shared" ca="1" si="184"/>
        <v>-55</v>
      </c>
      <c r="AA2666" s="158">
        <f>MONTH(Table1[[#This Row],[End]])</f>
        <v>8</v>
      </c>
      <c r="AB2666" s="158">
        <f>YEAR(Table1[[#This Row],[End]])</f>
        <v>2026</v>
      </c>
      <c r="AC2666" s="159" t="s">
        <v>11660</v>
      </c>
      <c r="AD2666" s="194" t="s">
        <v>11661</v>
      </c>
      <c r="AE2666" s="184" t="s">
        <v>11662</v>
      </c>
      <c r="AF2666" s="201" t="s">
        <v>471</v>
      </c>
      <c r="AG2666" s="160"/>
      <c r="AH2666" s="160" t="s">
        <v>7310</v>
      </c>
      <c r="AI2666" s="158"/>
      <c r="AJ2666" s="158"/>
      <c r="AK2666" s="158"/>
      <c r="AL2666" s="158"/>
      <c r="AM2666" s="158"/>
      <c r="AN2666" s="158"/>
      <c r="AO2666" s="158"/>
      <c r="AP2666" s="158"/>
      <c r="AQ2666" s="158">
        <v>248</v>
      </c>
      <c r="AR2666" s="507"/>
      <c r="AS2666" s="475"/>
      <c r="AT2666" s="160"/>
    </row>
    <row r="2667" spans="1:46" ht="15" hidden="1" customHeight="1">
      <c r="A2667" s="331">
        <v>2666</v>
      </c>
      <c r="B2667" s="159" t="s">
        <v>962</v>
      </c>
      <c r="C2667" s="159" t="s">
        <v>11663</v>
      </c>
      <c r="D2667" s="437" t="s">
        <v>7302</v>
      </c>
      <c r="E2667" s="361" t="str">
        <f t="shared" ca="1" si="181"/>
        <v>LOSS</v>
      </c>
      <c r="F2667" s="160"/>
      <c r="G2667" s="221" t="s">
        <v>11664</v>
      </c>
      <c r="H2667" s="28" t="s">
        <v>261</v>
      </c>
      <c r="I2667" s="160" t="s">
        <v>243</v>
      </c>
      <c r="J2667" s="159" t="s">
        <v>11665</v>
      </c>
      <c r="K2667" s="160" t="s">
        <v>11666</v>
      </c>
      <c r="L2667" s="158" t="s">
        <v>8488</v>
      </c>
      <c r="M2667" s="158" t="s">
        <v>353</v>
      </c>
      <c r="N2667" s="158" t="s">
        <v>494</v>
      </c>
      <c r="O2667" s="162">
        <v>5500000</v>
      </c>
      <c r="P2667" s="161">
        <f>12*900000</f>
        <v>10800000</v>
      </c>
      <c r="Q2667" s="161"/>
      <c r="R2667" s="162">
        <v>5000000</v>
      </c>
      <c r="S2667" s="163">
        <f>12*4000000</f>
        <v>48000000</v>
      </c>
      <c r="T2667" s="164"/>
      <c r="U2667" s="340">
        <v>45813</v>
      </c>
      <c r="V2667" s="340">
        <v>46177</v>
      </c>
      <c r="W2667" s="158" t="s">
        <v>17</v>
      </c>
      <c r="X2667" s="158"/>
      <c r="Y2667" s="164">
        <f t="shared" ca="1" si="185"/>
        <v>46290</v>
      </c>
      <c r="Z2667" s="35">
        <f t="shared" ca="1" si="184"/>
        <v>-113</v>
      </c>
      <c r="AA2667" s="158">
        <f>MONTH(Table1[[#This Row],[End]])</f>
        <v>6</v>
      </c>
      <c r="AB2667" s="158">
        <f>YEAR(Table1[[#This Row],[End]])</f>
        <v>2026</v>
      </c>
      <c r="AC2667" s="159"/>
      <c r="AD2667" s="194" t="s">
        <v>11667</v>
      </c>
      <c r="AE2667" s="184" t="s">
        <v>11668</v>
      </c>
      <c r="AF2667" s="201" t="s">
        <v>8995</v>
      </c>
      <c r="AG2667" s="160"/>
      <c r="AH2667" s="160"/>
      <c r="AI2667" s="158"/>
      <c r="AJ2667" s="158"/>
      <c r="AK2667" s="158"/>
      <c r="AL2667" s="158"/>
      <c r="AM2667" s="158"/>
      <c r="AN2667" s="158"/>
      <c r="AO2667" s="158"/>
      <c r="AP2667" s="158"/>
      <c r="AQ2667" s="158">
        <v>173</v>
      </c>
      <c r="AR2667" s="507"/>
      <c r="AS2667" s="475"/>
      <c r="AT2667" s="160"/>
    </row>
    <row r="2668" spans="1:46" ht="15" hidden="1" customHeight="1">
      <c r="A2668" s="331">
        <v>2667</v>
      </c>
      <c r="B2668" s="159" t="s">
        <v>628</v>
      </c>
      <c r="C2668" s="159" t="s">
        <v>938</v>
      </c>
      <c r="D2668" s="437" t="s">
        <v>7640</v>
      </c>
      <c r="E2668" s="361" t="str">
        <f t="shared" ca="1" si="181"/>
        <v>LOSS</v>
      </c>
      <c r="F2668" s="160"/>
      <c r="G2668" s="221" t="s">
        <v>11669</v>
      </c>
      <c r="H2668" s="28" t="s">
        <v>261</v>
      </c>
      <c r="I2668" s="160" t="s">
        <v>243</v>
      </c>
      <c r="J2668" s="159" t="s">
        <v>7095</v>
      </c>
      <c r="K2668" s="181" t="s">
        <v>7682</v>
      </c>
      <c r="L2668" s="158" t="s">
        <v>4749</v>
      </c>
      <c r="M2668" s="158" t="s">
        <v>365</v>
      </c>
      <c r="N2668" s="158" t="s">
        <v>494</v>
      </c>
      <c r="O2668" s="162"/>
      <c r="P2668" s="161">
        <f>12*20315000</f>
        <v>243780000</v>
      </c>
      <c r="Q2668" s="161"/>
      <c r="R2668" s="162"/>
      <c r="S2668" s="163">
        <f>12*5040000</f>
        <v>60480000</v>
      </c>
      <c r="T2668" s="164"/>
      <c r="U2668" s="340">
        <v>45878</v>
      </c>
      <c r="V2668" s="340">
        <v>46242</v>
      </c>
      <c r="W2668" s="158" t="s">
        <v>17</v>
      </c>
      <c r="X2668" s="158"/>
      <c r="Y2668" s="164">
        <f t="shared" ca="1" si="185"/>
        <v>46290</v>
      </c>
      <c r="Z2668" s="35">
        <f t="shared" ca="1" si="184"/>
        <v>-48</v>
      </c>
      <c r="AA2668" s="158">
        <f>MONTH(Table1[[#This Row],[End]])</f>
        <v>8</v>
      </c>
      <c r="AB2668" s="158">
        <f>YEAR(Table1[[#This Row],[End]])</f>
        <v>2026</v>
      </c>
      <c r="AC2668" s="194" t="s">
        <v>9143</v>
      </c>
      <c r="AD2668" s="194" t="s">
        <v>11670</v>
      </c>
      <c r="AE2668" s="184" t="s">
        <v>11671</v>
      </c>
      <c r="AF2668" s="201" t="s">
        <v>8995</v>
      </c>
      <c r="AG2668" s="160"/>
      <c r="AH2668" s="174" t="s">
        <v>634</v>
      </c>
      <c r="AI2668" s="158"/>
      <c r="AJ2668" s="158"/>
      <c r="AK2668" s="158"/>
      <c r="AL2668" s="158"/>
      <c r="AM2668" s="158"/>
      <c r="AN2668" s="158"/>
      <c r="AO2668" s="158"/>
      <c r="AP2668" s="158"/>
      <c r="AQ2668" s="158">
        <v>249</v>
      </c>
      <c r="AR2668" s="507"/>
      <c r="AS2668" s="475"/>
      <c r="AT2668" s="160"/>
    </row>
    <row r="2669" spans="1:46" ht="15" hidden="1" customHeight="1">
      <c r="A2669" s="331">
        <v>2668</v>
      </c>
      <c r="B2669" s="173" t="s">
        <v>7295</v>
      </c>
      <c r="C2669" s="28" t="s">
        <v>9316</v>
      </c>
      <c r="D2669" s="437" t="s">
        <v>11645</v>
      </c>
      <c r="E2669" s="361" t="str">
        <f t="shared" ca="1" si="181"/>
        <v>LOSS</v>
      </c>
      <c r="F2669" s="29"/>
      <c r="G2669" s="28" t="s">
        <v>9317</v>
      </c>
      <c r="H2669" s="29" t="s">
        <v>261</v>
      </c>
      <c r="I2669" s="29" t="s">
        <v>243</v>
      </c>
      <c r="J2669" s="28" t="s">
        <v>9193</v>
      </c>
      <c r="K2669" s="36" t="s">
        <v>9318</v>
      </c>
      <c r="L2669" s="70">
        <v>0.99</v>
      </c>
      <c r="M2669" s="27" t="s">
        <v>329</v>
      </c>
      <c r="N2669" s="27" t="s">
        <v>6649</v>
      </c>
      <c r="O2669" s="162"/>
      <c r="P2669" s="161">
        <f>2100000*12</f>
        <v>25200000</v>
      </c>
      <c r="Q2669" s="161"/>
      <c r="R2669" s="162"/>
      <c r="S2669" s="163">
        <f>(682200*2)*12</f>
        <v>16372800</v>
      </c>
      <c r="T2669" s="164"/>
      <c r="U2669" s="340">
        <v>45869</v>
      </c>
      <c r="V2669" s="340">
        <v>46233</v>
      </c>
      <c r="W2669" s="158" t="s">
        <v>250</v>
      </c>
      <c r="X2669" s="158"/>
      <c r="Y2669" s="164">
        <f t="shared" ca="1" si="185"/>
        <v>46290</v>
      </c>
      <c r="Z2669" s="35">
        <f t="shared" ca="1" si="184"/>
        <v>-57</v>
      </c>
      <c r="AA2669" s="158">
        <f>MONTH(Table1[[#This Row],[End]])</f>
        <v>7</v>
      </c>
      <c r="AB2669" s="158">
        <f>YEAR(Table1[[#This Row],[End]])</f>
        <v>2026</v>
      </c>
      <c r="AC2669" s="159" t="s">
        <v>11672</v>
      </c>
      <c r="AD2669" s="194" t="s">
        <v>11673</v>
      </c>
      <c r="AE2669" s="184" t="s">
        <v>11674</v>
      </c>
      <c r="AF2669" s="201" t="s">
        <v>471</v>
      </c>
      <c r="AG2669" s="160"/>
      <c r="AH2669" s="174" t="s">
        <v>9315</v>
      </c>
      <c r="AI2669" s="158"/>
      <c r="AJ2669" s="158"/>
      <c r="AK2669" s="158"/>
      <c r="AL2669" s="158"/>
      <c r="AM2669" s="158"/>
      <c r="AN2669" s="158"/>
      <c r="AO2669" s="158"/>
      <c r="AP2669" s="158"/>
      <c r="AQ2669" s="158">
        <v>228</v>
      </c>
      <c r="AR2669" s="507"/>
      <c r="AS2669" s="475"/>
      <c r="AT2669" s="160"/>
    </row>
    <row r="2670" spans="1:46" ht="15" hidden="1" customHeight="1">
      <c r="A2670" s="331">
        <v>2669</v>
      </c>
      <c r="B2670" s="173" t="s">
        <v>7295</v>
      </c>
      <c r="C2670" s="28" t="s">
        <v>7296</v>
      </c>
      <c r="D2670" s="438" t="s">
        <v>7322</v>
      </c>
      <c r="E2670" s="361" t="str">
        <f t="shared" ca="1" si="181"/>
        <v>LOSS</v>
      </c>
      <c r="F2670" s="29"/>
      <c r="G2670" s="28" t="s">
        <v>9177</v>
      </c>
      <c r="H2670" s="28" t="s">
        <v>261</v>
      </c>
      <c r="I2670" s="264" t="s">
        <v>243</v>
      </c>
      <c r="J2670" s="28" t="s">
        <v>2037</v>
      </c>
      <c r="K2670" s="38" t="s">
        <v>9178</v>
      </c>
      <c r="L2670" s="51">
        <v>0.99</v>
      </c>
      <c r="M2670" s="27" t="s">
        <v>467</v>
      </c>
      <c r="N2670" s="27" t="s">
        <v>494</v>
      </c>
      <c r="O2670" s="162"/>
      <c r="P2670" s="161">
        <f>2000000*12</f>
        <v>24000000</v>
      </c>
      <c r="Q2670" s="161"/>
      <c r="R2670" s="162"/>
      <c r="S2670" s="163">
        <f>1280000*12</f>
        <v>15360000</v>
      </c>
      <c r="T2670" s="164"/>
      <c r="U2670" s="340">
        <v>45884</v>
      </c>
      <c r="V2670" s="340">
        <v>46248</v>
      </c>
      <c r="W2670" s="158" t="s">
        <v>17</v>
      </c>
      <c r="X2670" s="158"/>
      <c r="Y2670" s="164">
        <f t="shared" ca="1" si="185"/>
        <v>46290</v>
      </c>
      <c r="Z2670" s="35">
        <f t="shared" ca="1" si="184"/>
        <v>-42</v>
      </c>
      <c r="AA2670" s="158">
        <f>MONTH(Table1[[#This Row],[End]])</f>
        <v>8</v>
      </c>
      <c r="AB2670" s="158">
        <f>YEAR(Table1[[#This Row],[End]])</f>
        <v>2026</v>
      </c>
      <c r="AC2670" s="159" t="s">
        <v>11675</v>
      </c>
      <c r="AD2670" s="194" t="s">
        <v>11676</v>
      </c>
      <c r="AE2670" s="184" t="s">
        <v>11677</v>
      </c>
      <c r="AF2670" s="201" t="s">
        <v>471</v>
      </c>
      <c r="AG2670" s="160"/>
      <c r="AH2670" s="160" t="s">
        <v>9182</v>
      </c>
      <c r="AI2670" s="158"/>
      <c r="AJ2670" s="158"/>
      <c r="AK2670" s="158"/>
      <c r="AL2670" s="158"/>
      <c r="AM2670" s="158"/>
      <c r="AN2670" s="158"/>
      <c r="AO2670" s="158"/>
      <c r="AP2670" s="158"/>
      <c r="AQ2670" s="158">
        <v>246</v>
      </c>
      <c r="AR2670" s="507"/>
      <c r="AS2670" s="475"/>
      <c r="AT2670" s="160"/>
    </row>
    <row r="2671" spans="1:46" ht="15" hidden="1" customHeight="1">
      <c r="A2671" s="331">
        <v>2670</v>
      </c>
      <c r="B2671" s="159" t="s">
        <v>962</v>
      </c>
      <c r="C2671" s="159" t="s">
        <v>11678</v>
      </c>
      <c r="D2671" s="437" t="s">
        <v>7297</v>
      </c>
      <c r="E2671" s="361" t="str">
        <f t="shared" ca="1" si="181"/>
        <v>LOSS</v>
      </c>
      <c r="F2671" s="160"/>
      <c r="G2671" s="221" t="s">
        <v>11679</v>
      </c>
      <c r="H2671" s="28" t="s">
        <v>261</v>
      </c>
      <c r="I2671" s="160" t="s">
        <v>243</v>
      </c>
      <c r="J2671" s="159" t="s">
        <v>11680</v>
      </c>
      <c r="K2671" s="160" t="s">
        <v>11681</v>
      </c>
      <c r="L2671" s="158" t="s">
        <v>8488</v>
      </c>
      <c r="M2671" s="158" t="s">
        <v>467</v>
      </c>
      <c r="N2671" s="158" t="s">
        <v>494</v>
      </c>
      <c r="O2671" s="162">
        <v>5500000</v>
      </c>
      <c r="P2671" s="161">
        <f>12*900000</f>
        <v>10800000</v>
      </c>
      <c r="Q2671" s="161"/>
      <c r="R2671" s="162">
        <v>5000000</v>
      </c>
      <c r="S2671" s="163">
        <f>12*4000000</f>
        <v>48000000</v>
      </c>
      <c r="T2671" s="164"/>
      <c r="U2671" s="340">
        <v>45813</v>
      </c>
      <c r="V2671" s="340">
        <v>46177</v>
      </c>
      <c r="W2671" s="158" t="s">
        <v>17</v>
      </c>
      <c r="X2671" s="158"/>
      <c r="Y2671" s="164">
        <f t="shared" ca="1" si="185"/>
        <v>46290</v>
      </c>
      <c r="Z2671" s="35">
        <f t="shared" ca="1" si="184"/>
        <v>-113</v>
      </c>
      <c r="AA2671" s="158">
        <f>MONTH(Table1[[#This Row],[End]])</f>
        <v>6</v>
      </c>
      <c r="AB2671" s="158">
        <f>YEAR(Table1[[#This Row],[End]])</f>
        <v>2026</v>
      </c>
      <c r="AC2671" s="194"/>
      <c r="AD2671" s="194" t="s">
        <v>11682</v>
      </c>
      <c r="AE2671" s="184" t="s">
        <v>11683</v>
      </c>
      <c r="AF2671" s="201" t="s">
        <v>8995</v>
      </c>
      <c r="AG2671" s="160"/>
      <c r="AH2671" s="160"/>
      <c r="AI2671" s="158"/>
      <c r="AJ2671" s="158"/>
      <c r="AK2671" s="158"/>
      <c r="AL2671" s="158"/>
      <c r="AM2671" s="158"/>
      <c r="AN2671" s="158"/>
      <c r="AO2671" s="158"/>
      <c r="AP2671" s="158"/>
      <c r="AQ2671" s="158">
        <v>174</v>
      </c>
      <c r="AR2671" s="507"/>
      <c r="AS2671" s="475"/>
      <c r="AT2671" s="160"/>
    </row>
    <row r="2672" spans="1:46" ht="15" hidden="1" customHeight="1">
      <c r="A2672" s="331">
        <v>2671</v>
      </c>
      <c r="B2672" s="159" t="s">
        <v>628</v>
      </c>
      <c r="C2672" s="28" t="s">
        <v>684</v>
      </c>
      <c r="D2672" s="437" t="s">
        <v>7640</v>
      </c>
      <c r="E2672" s="361" t="str">
        <f t="shared" ca="1" si="181"/>
        <v>LOSS</v>
      </c>
      <c r="F2672" s="29"/>
      <c r="G2672" s="28" t="s">
        <v>7684</v>
      </c>
      <c r="H2672" s="29" t="s">
        <v>261</v>
      </c>
      <c r="I2672" s="29" t="s">
        <v>243</v>
      </c>
      <c r="J2672" s="28" t="s">
        <v>2661</v>
      </c>
      <c r="K2672" s="38" t="s">
        <v>7685</v>
      </c>
      <c r="L2672" s="53" t="s">
        <v>4749</v>
      </c>
      <c r="M2672" s="27" t="s">
        <v>329</v>
      </c>
      <c r="N2672" s="27" t="s">
        <v>354</v>
      </c>
      <c r="O2672" s="162"/>
      <c r="P2672" s="161">
        <f>2500000*12</f>
        <v>30000000</v>
      </c>
      <c r="Q2672" s="161"/>
      <c r="R2672" s="162"/>
      <c r="S2672" s="163">
        <f>7200000*12</f>
        <v>86400000</v>
      </c>
      <c r="T2672" s="164"/>
      <c r="U2672" s="340">
        <v>45901</v>
      </c>
      <c r="V2672" s="340">
        <v>46265</v>
      </c>
      <c r="W2672" s="158" t="s">
        <v>250</v>
      </c>
      <c r="X2672" s="158"/>
      <c r="Y2672" s="164">
        <f t="shared" ca="1" si="185"/>
        <v>46290</v>
      </c>
      <c r="Z2672" s="35">
        <f t="shared" ca="1" si="184"/>
        <v>-25</v>
      </c>
      <c r="AA2672" s="158">
        <f>MONTH(Table1[[#This Row],[End]])</f>
        <v>8</v>
      </c>
      <c r="AB2672" s="158">
        <f>YEAR(Table1[[#This Row],[End]])</f>
        <v>2026</v>
      </c>
      <c r="AC2672" s="209" t="s">
        <v>11684</v>
      </c>
      <c r="AD2672" s="194" t="s">
        <v>11685</v>
      </c>
      <c r="AE2672" s="184" t="s">
        <v>11686</v>
      </c>
      <c r="AF2672" s="201" t="s">
        <v>471</v>
      </c>
      <c r="AG2672" s="160"/>
      <c r="AH2672" s="174" t="s">
        <v>634</v>
      </c>
      <c r="AI2672" s="158"/>
      <c r="AJ2672" s="158"/>
      <c r="AK2672" s="158"/>
      <c r="AL2672" s="158"/>
      <c r="AM2672" s="158"/>
      <c r="AN2672" s="158"/>
      <c r="AO2672" s="158"/>
      <c r="AP2672" s="158"/>
      <c r="AQ2672" s="158">
        <v>247</v>
      </c>
      <c r="AR2672" s="507"/>
      <c r="AS2672" s="475"/>
      <c r="AT2672" s="160"/>
    </row>
    <row r="2673" spans="1:46" ht="15" hidden="1" customHeight="1">
      <c r="A2673" s="331">
        <v>2672</v>
      </c>
      <c r="B2673" s="159" t="s">
        <v>628</v>
      </c>
      <c r="C2673" s="159" t="s">
        <v>9683</v>
      </c>
      <c r="D2673" s="437" t="s">
        <v>7640</v>
      </c>
      <c r="E2673" s="361" t="str">
        <f t="shared" ca="1" si="181"/>
        <v>LOSS</v>
      </c>
      <c r="F2673" s="160" t="s">
        <v>11687</v>
      </c>
      <c r="G2673" s="159" t="s">
        <v>9684</v>
      </c>
      <c r="H2673" s="160" t="s">
        <v>261</v>
      </c>
      <c r="I2673" s="160" t="s">
        <v>243</v>
      </c>
      <c r="J2673" s="159" t="s">
        <v>9685</v>
      </c>
      <c r="K2673" s="181" t="s">
        <v>9686</v>
      </c>
      <c r="L2673" s="53" t="s">
        <v>4749</v>
      </c>
      <c r="M2673" s="158" t="s">
        <v>6788</v>
      </c>
      <c r="N2673" s="158" t="s">
        <v>6885</v>
      </c>
      <c r="O2673" s="162"/>
      <c r="P2673" s="161">
        <f>1861644*12</f>
        <v>22339728</v>
      </c>
      <c r="Q2673" s="161"/>
      <c r="R2673" s="162"/>
      <c r="S2673" s="163">
        <f>1072800*12</f>
        <v>12873600</v>
      </c>
      <c r="T2673" s="164"/>
      <c r="U2673" s="340">
        <v>45871</v>
      </c>
      <c r="V2673" s="340">
        <v>46235</v>
      </c>
      <c r="W2673" s="158" t="s">
        <v>250</v>
      </c>
      <c r="X2673" s="158"/>
      <c r="Y2673" s="164">
        <f t="shared" ca="1" si="185"/>
        <v>46290</v>
      </c>
      <c r="Z2673" s="35">
        <f t="shared" ca="1" si="184"/>
        <v>-55</v>
      </c>
      <c r="AA2673" s="158">
        <f>MONTH(Table1[[#This Row],[End]])</f>
        <v>8</v>
      </c>
      <c r="AB2673" s="158">
        <f>YEAR(Table1[[#This Row],[End]])</f>
        <v>2026</v>
      </c>
      <c r="AC2673" s="159" t="s">
        <v>11688</v>
      </c>
      <c r="AD2673" s="194" t="s">
        <v>11689</v>
      </c>
      <c r="AE2673" s="184" t="s">
        <v>11690</v>
      </c>
      <c r="AF2673" s="201" t="s">
        <v>471</v>
      </c>
      <c r="AG2673" s="160" t="s">
        <v>9689</v>
      </c>
      <c r="AH2673" s="174" t="s">
        <v>634</v>
      </c>
      <c r="AI2673" s="158"/>
      <c r="AJ2673" s="158"/>
      <c r="AK2673" s="158"/>
      <c r="AL2673" s="158"/>
      <c r="AM2673" s="158"/>
      <c r="AN2673" s="158"/>
      <c r="AO2673" s="158"/>
      <c r="AP2673" s="158"/>
      <c r="AQ2673" s="158">
        <v>251</v>
      </c>
      <c r="AR2673" s="507"/>
      <c r="AS2673" s="475"/>
      <c r="AT2673" s="160"/>
    </row>
    <row r="2674" spans="1:46" ht="15" hidden="1" customHeight="1">
      <c r="A2674" s="331">
        <v>2673</v>
      </c>
      <c r="B2674" s="159" t="s">
        <v>165</v>
      </c>
      <c r="C2674" s="159" t="s">
        <v>7108</v>
      </c>
      <c r="D2674" s="437" t="s">
        <v>7149</v>
      </c>
      <c r="E2674" s="361" t="str">
        <f t="shared" ca="1" si="181"/>
        <v>LOSS</v>
      </c>
      <c r="F2674" s="160" t="s">
        <v>10280</v>
      </c>
      <c r="G2674" s="159" t="s">
        <v>10281</v>
      </c>
      <c r="H2674" s="160" t="s">
        <v>261</v>
      </c>
      <c r="I2674" s="160" t="s">
        <v>243</v>
      </c>
      <c r="J2674" s="159" t="s">
        <v>8916</v>
      </c>
      <c r="K2674" s="181" t="s">
        <v>11691</v>
      </c>
      <c r="L2674" s="287">
        <v>0.995</v>
      </c>
      <c r="M2674" s="158" t="s">
        <v>365</v>
      </c>
      <c r="N2674" s="158" t="s">
        <v>6727</v>
      </c>
      <c r="O2674" s="162"/>
      <c r="P2674" s="161">
        <f>85400000*6</f>
        <v>512400000</v>
      </c>
      <c r="Q2674" s="161"/>
      <c r="R2674" s="162"/>
      <c r="S2674" s="163">
        <f>78000000*6</f>
        <v>468000000</v>
      </c>
      <c r="T2674" s="164"/>
      <c r="U2674" s="340">
        <v>45839</v>
      </c>
      <c r="V2674" s="340">
        <v>46022</v>
      </c>
      <c r="W2674" s="158" t="s">
        <v>250</v>
      </c>
      <c r="X2674" s="158"/>
      <c r="Y2674" s="164">
        <f t="shared" ca="1" si="185"/>
        <v>46290</v>
      </c>
      <c r="Z2674" s="207">
        <f ca="1">Table1[[#This Row],[End]]-Table1[[#This Row],[Today]]</f>
        <v>-268</v>
      </c>
      <c r="AA2674" s="158">
        <f>MONTH(Table1[[#This Row],[End]])</f>
        <v>12</v>
      </c>
      <c r="AB2674" s="158">
        <f>YEAR(Table1[[#This Row],[End]])</f>
        <v>2025</v>
      </c>
      <c r="AC2674" s="159" t="s">
        <v>11692</v>
      </c>
      <c r="AD2674" s="159" t="s">
        <v>11693</v>
      </c>
      <c r="AE2674" s="184" t="s">
        <v>11694</v>
      </c>
      <c r="AF2674" s="201" t="s">
        <v>471</v>
      </c>
      <c r="AG2674" s="29" t="s">
        <v>9100</v>
      </c>
      <c r="AH2674" s="160" t="s">
        <v>7099</v>
      </c>
      <c r="AI2674" s="158"/>
      <c r="AJ2674" s="158"/>
      <c r="AK2674" s="158"/>
      <c r="AL2674" s="158"/>
      <c r="AM2674" s="158"/>
      <c r="AN2674" s="158"/>
      <c r="AO2674" s="158"/>
      <c r="AP2674" s="158"/>
      <c r="AQ2674" s="158">
        <v>252</v>
      </c>
      <c r="AR2674" s="507"/>
      <c r="AS2674" s="475"/>
      <c r="AT2674" s="160"/>
    </row>
    <row r="2675" spans="1:46" ht="15" hidden="1" customHeight="1">
      <c r="A2675" s="331">
        <v>2674</v>
      </c>
      <c r="B2675" s="159" t="s">
        <v>962</v>
      </c>
      <c r="C2675" s="159" t="s">
        <v>11695</v>
      </c>
      <c r="D2675" s="437" t="s">
        <v>7149</v>
      </c>
      <c r="E2675" s="361" t="str">
        <f t="shared" ca="1" si="181"/>
        <v>LOSS</v>
      </c>
      <c r="F2675" s="160"/>
      <c r="G2675" s="182" t="s">
        <v>11696</v>
      </c>
      <c r="H2675" s="160" t="s">
        <v>261</v>
      </c>
      <c r="I2675" s="160" t="s">
        <v>243</v>
      </c>
      <c r="J2675" s="159" t="s">
        <v>11697</v>
      </c>
      <c r="K2675" s="181" t="s">
        <v>11698</v>
      </c>
      <c r="L2675" s="158" t="s">
        <v>4749</v>
      </c>
      <c r="M2675" s="158" t="s">
        <v>467</v>
      </c>
      <c r="N2675" s="158" t="s">
        <v>494</v>
      </c>
      <c r="O2675" s="162">
        <v>5500000</v>
      </c>
      <c r="P2675" s="161">
        <f>12*900000</f>
        <v>10800000</v>
      </c>
      <c r="Q2675" s="161"/>
      <c r="R2675" s="162">
        <v>5000000</v>
      </c>
      <c r="S2675" s="163">
        <f>12*4000000</f>
        <v>48000000</v>
      </c>
      <c r="T2675" s="164"/>
      <c r="U2675" s="340">
        <v>45861</v>
      </c>
      <c r="V2675" s="340">
        <v>46225</v>
      </c>
      <c r="W2675" s="158" t="s">
        <v>17</v>
      </c>
      <c r="X2675" s="158"/>
      <c r="Y2675" s="164">
        <f t="shared" ca="1" si="185"/>
        <v>46290</v>
      </c>
      <c r="Z2675" s="207">
        <f ca="1">Table1[[#This Row],[End]]-Table1[[#This Row],[Today]]</f>
        <v>-65</v>
      </c>
      <c r="AA2675" s="158">
        <f>MONTH(Table1[[#This Row],[End]])</f>
        <v>7</v>
      </c>
      <c r="AB2675" s="158">
        <f>YEAR(Table1[[#This Row],[End]])</f>
        <v>2026</v>
      </c>
      <c r="AC2675" s="159"/>
      <c r="AD2675" s="194" t="s">
        <v>11699</v>
      </c>
      <c r="AE2675" s="184" t="s">
        <v>11700</v>
      </c>
      <c r="AF2675" s="201" t="s">
        <v>8995</v>
      </c>
      <c r="AG2675" s="160"/>
      <c r="AH2675" s="160" t="s">
        <v>11701</v>
      </c>
      <c r="AI2675" s="158"/>
      <c r="AJ2675" s="158"/>
      <c r="AK2675" s="158"/>
      <c r="AL2675" s="158"/>
      <c r="AM2675" s="158"/>
      <c r="AN2675" s="158"/>
      <c r="AO2675" s="158"/>
      <c r="AP2675" s="158"/>
      <c r="AQ2675" s="158">
        <v>179</v>
      </c>
      <c r="AR2675" s="507"/>
      <c r="AS2675" s="475"/>
      <c r="AT2675" s="160"/>
    </row>
    <row r="2676" spans="1:46" ht="15" hidden="1" customHeight="1">
      <c r="A2676" s="331">
        <v>2675</v>
      </c>
      <c r="B2676" s="159" t="s">
        <v>628</v>
      </c>
      <c r="C2676" s="28" t="s">
        <v>7652</v>
      </c>
      <c r="D2676" s="437" t="s">
        <v>7640</v>
      </c>
      <c r="E2676" s="361" t="str">
        <f t="shared" ca="1" si="181"/>
        <v>LOSS</v>
      </c>
      <c r="F2676" s="160" t="s">
        <v>115</v>
      </c>
      <c r="G2676" s="28" t="s">
        <v>7653</v>
      </c>
      <c r="H2676" s="28" t="s">
        <v>261</v>
      </c>
      <c r="I2676" s="160" t="s">
        <v>243</v>
      </c>
      <c r="J2676" s="28" t="s">
        <v>7654</v>
      </c>
      <c r="K2676" s="38" t="s">
        <v>11702</v>
      </c>
      <c r="L2676" s="53">
        <v>0.995</v>
      </c>
      <c r="M2676" s="27" t="s">
        <v>365</v>
      </c>
      <c r="N2676" s="27" t="s">
        <v>6885</v>
      </c>
      <c r="O2676" s="162"/>
      <c r="P2676" s="161">
        <f>2200000*12</f>
        <v>26400000</v>
      </c>
      <c r="Q2676" s="161"/>
      <c r="R2676" s="162"/>
      <c r="S2676" s="163">
        <f>1100000*12</f>
        <v>13200000</v>
      </c>
      <c r="T2676" s="164"/>
      <c r="U2676" s="340">
        <v>45839</v>
      </c>
      <c r="V2676" s="340">
        <v>46203</v>
      </c>
      <c r="W2676" s="158" t="s">
        <v>250</v>
      </c>
      <c r="X2676" s="27"/>
      <c r="Y2676" s="34">
        <f t="shared" ca="1" si="185"/>
        <v>46290</v>
      </c>
      <c r="Z2676" s="35">
        <f t="shared" ref="Z2676:Z2714" ca="1" si="186">V2676-Y2676</f>
        <v>-87</v>
      </c>
      <c r="AA2676" s="27">
        <f>MONTH(V2676)</f>
        <v>6</v>
      </c>
      <c r="AB2676" s="27">
        <f>YEAR(V2676)</f>
        <v>2026</v>
      </c>
      <c r="AC2676" s="159" t="s">
        <v>11703</v>
      </c>
      <c r="AD2676" s="159" t="s">
        <v>11704</v>
      </c>
      <c r="AE2676" s="184" t="s">
        <v>11705</v>
      </c>
      <c r="AF2676" s="201" t="s">
        <v>471</v>
      </c>
      <c r="AG2676" s="160"/>
      <c r="AH2676" s="174" t="s">
        <v>634</v>
      </c>
      <c r="AI2676" s="27"/>
      <c r="AJ2676" s="27"/>
      <c r="AK2676" s="27"/>
      <c r="AL2676" s="27"/>
      <c r="AM2676" s="27"/>
      <c r="AN2676" s="27"/>
      <c r="AO2676" s="27"/>
      <c r="AP2676" s="27"/>
      <c r="AQ2676" s="158">
        <v>214</v>
      </c>
      <c r="AR2676" s="507"/>
      <c r="AS2676" s="475"/>
      <c r="AT2676" s="160"/>
    </row>
    <row r="2677" spans="1:46" ht="15" hidden="1" customHeight="1">
      <c r="A2677" s="220"/>
      <c r="B2677" s="159" t="s">
        <v>628</v>
      </c>
      <c r="C2677" s="28" t="s">
        <v>7656</v>
      </c>
      <c r="D2677" s="437" t="s">
        <v>7640</v>
      </c>
      <c r="E2677" s="361" t="str">
        <f t="shared" ca="1" si="181"/>
        <v>LOSS</v>
      </c>
      <c r="F2677" s="28" t="s">
        <v>115</v>
      </c>
      <c r="G2677" s="28" t="s">
        <v>7657</v>
      </c>
      <c r="H2677" s="28" t="s">
        <v>261</v>
      </c>
      <c r="I2677" s="361" t="s">
        <v>243</v>
      </c>
      <c r="J2677" s="28" t="s">
        <v>7658</v>
      </c>
      <c r="K2677" s="38" t="s">
        <v>11706</v>
      </c>
      <c r="L2677" s="53">
        <v>0.995</v>
      </c>
      <c r="M2677" s="27" t="s">
        <v>6776</v>
      </c>
      <c r="N2677" s="27" t="s">
        <v>6897</v>
      </c>
      <c r="O2677" s="162"/>
      <c r="P2677" s="161">
        <f>9000000*12</f>
        <v>108000000</v>
      </c>
      <c r="Q2677" s="161"/>
      <c r="R2677" s="162"/>
      <c r="S2677" s="163">
        <f>4780000*12</f>
        <v>57360000</v>
      </c>
      <c r="T2677" s="164"/>
      <c r="U2677" s="340">
        <v>45839</v>
      </c>
      <c r="V2677" s="340">
        <v>46203</v>
      </c>
      <c r="W2677" s="158" t="s">
        <v>250</v>
      </c>
      <c r="X2677" s="158"/>
      <c r="Y2677" s="164">
        <f t="shared" ca="1" si="185"/>
        <v>46290</v>
      </c>
      <c r="Z2677" s="35">
        <f t="shared" ca="1" si="186"/>
        <v>-87</v>
      </c>
      <c r="AA2677" s="158">
        <f>MONTH(Table1[[#This Row],[End]])</f>
        <v>6</v>
      </c>
      <c r="AB2677" s="158">
        <f>YEAR(Table1[[#This Row],[End]])</f>
        <v>2026</v>
      </c>
      <c r="AC2677" s="159" t="s">
        <v>11703</v>
      </c>
      <c r="AD2677" s="159" t="s">
        <v>11704</v>
      </c>
      <c r="AE2677" s="184" t="s">
        <v>11705</v>
      </c>
      <c r="AF2677" s="201" t="s">
        <v>471</v>
      </c>
      <c r="AG2677" s="160"/>
      <c r="AH2677" s="174" t="s">
        <v>634</v>
      </c>
      <c r="AI2677" s="158"/>
      <c r="AJ2677" s="158"/>
      <c r="AK2677" s="158"/>
      <c r="AL2677" s="158"/>
      <c r="AM2677" s="158"/>
      <c r="AN2677" s="158"/>
      <c r="AO2677" s="158"/>
      <c r="AP2677" s="158"/>
      <c r="AQ2677" s="158">
        <v>214</v>
      </c>
      <c r="AR2677" s="507"/>
      <c r="AS2677" s="475"/>
      <c r="AT2677" s="160"/>
    </row>
    <row r="2678" spans="1:46" ht="15" hidden="1" customHeight="1">
      <c r="A2678" s="220"/>
      <c r="B2678" s="159" t="s">
        <v>628</v>
      </c>
      <c r="C2678" s="28" t="s">
        <v>7660</v>
      </c>
      <c r="D2678" s="438" t="s">
        <v>7640</v>
      </c>
      <c r="E2678" s="361" t="str">
        <f t="shared" ca="1" si="181"/>
        <v>LOSS</v>
      </c>
      <c r="F2678" s="28" t="s">
        <v>115</v>
      </c>
      <c r="G2678" s="28" t="s">
        <v>7661</v>
      </c>
      <c r="H2678" s="28" t="s">
        <v>261</v>
      </c>
      <c r="I2678" s="361" t="s">
        <v>243</v>
      </c>
      <c r="J2678" s="28" t="s">
        <v>7662</v>
      </c>
      <c r="K2678" s="38" t="s">
        <v>11707</v>
      </c>
      <c r="L2678" s="53">
        <v>0.995</v>
      </c>
      <c r="M2678" s="27" t="s">
        <v>329</v>
      </c>
      <c r="N2678" s="27" t="s">
        <v>417</v>
      </c>
      <c r="O2678" s="162"/>
      <c r="P2678" s="161">
        <f>4200000*12</f>
        <v>50400000</v>
      </c>
      <c r="Q2678" s="161"/>
      <c r="R2678" s="162"/>
      <c r="S2678" s="163">
        <f>2100000*12</f>
        <v>25200000</v>
      </c>
      <c r="T2678" s="164"/>
      <c r="U2678" s="340">
        <v>45839</v>
      </c>
      <c r="V2678" s="340">
        <v>46203</v>
      </c>
      <c r="W2678" s="158" t="s">
        <v>250</v>
      </c>
      <c r="X2678" s="158"/>
      <c r="Y2678" s="164">
        <f t="shared" ca="1" si="185"/>
        <v>46290</v>
      </c>
      <c r="Z2678" s="35">
        <f t="shared" ca="1" si="186"/>
        <v>-87</v>
      </c>
      <c r="AA2678" s="158">
        <f>MONTH(Table1[[#This Row],[End]])</f>
        <v>6</v>
      </c>
      <c r="AB2678" s="158">
        <f>YEAR(Table1[[#This Row],[End]])</f>
        <v>2026</v>
      </c>
      <c r="AC2678" s="159" t="s">
        <v>11703</v>
      </c>
      <c r="AD2678" s="159" t="s">
        <v>11704</v>
      </c>
      <c r="AE2678" s="184" t="s">
        <v>11705</v>
      </c>
      <c r="AF2678" s="201" t="s">
        <v>471</v>
      </c>
      <c r="AG2678" s="160"/>
      <c r="AH2678" s="174" t="s">
        <v>634</v>
      </c>
      <c r="AI2678" s="158"/>
      <c r="AJ2678" s="158"/>
      <c r="AK2678" s="158"/>
      <c r="AL2678" s="158"/>
      <c r="AM2678" s="158"/>
      <c r="AN2678" s="158"/>
      <c r="AO2678" s="158"/>
      <c r="AP2678" s="158"/>
      <c r="AQ2678" s="158">
        <v>214</v>
      </c>
      <c r="AR2678" s="507"/>
      <c r="AS2678" s="475"/>
      <c r="AT2678" s="160"/>
    </row>
    <row r="2679" spans="1:46" ht="15" hidden="1" customHeight="1">
      <c r="A2679" s="220"/>
      <c r="B2679" s="159" t="s">
        <v>628</v>
      </c>
      <c r="C2679" s="28" t="s">
        <v>7664</v>
      </c>
      <c r="D2679" s="437" t="s">
        <v>7640</v>
      </c>
      <c r="E2679" s="361" t="str">
        <f t="shared" ca="1" si="181"/>
        <v>LOSS</v>
      </c>
      <c r="F2679" s="28" t="s">
        <v>115</v>
      </c>
      <c r="G2679" s="28" t="s">
        <v>7665</v>
      </c>
      <c r="H2679" s="28" t="s">
        <v>261</v>
      </c>
      <c r="I2679" s="361" t="s">
        <v>243</v>
      </c>
      <c r="J2679" s="28" t="s">
        <v>7666</v>
      </c>
      <c r="K2679" s="38" t="s">
        <v>11708</v>
      </c>
      <c r="L2679" s="53">
        <v>0.995</v>
      </c>
      <c r="M2679" s="27" t="s">
        <v>365</v>
      </c>
      <c r="N2679" s="27" t="s">
        <v>6885</v>
      </c>
      <c r="O2679" s="162"/>
      <c r="P2679" s="161">
        <f>1300000*12</f>
        <v>15600000</v>
      </c>
      <c r="Q2679" s="161"/>
      <c r="R2679" s="162"/>
      <c r="S2679" s="163">
        <f>1100000*12</f>
        <v>13200000</v>
      </c>
      <c r="T2679" s="164"/>
      <c r="U2679" s="340">
        <v>45839</v>
      </c>
      <c r="V2679" s="340">
        <v>46203</v>
      </c>
      <c r="W2679" s="158" t="s">
        <v>250</v>
      </c>
      <c r="X2679" s="158"/>
      <c r="Y2679" s="164">
        <f t="shared" ca="1" si="185"/>
        <v>46290</v>
      </c>
      <c r="Z2679" s="35">
        <f t="shared" ca="1" si="186"/>
        <v>-87</v>
      </c>
      <c r="AA2679" s="158">
        <f>MONTH(Table1[[#This Row],[End]])</f>
        <v>6</v>
      </c>
      <c r="AB2679" s="158">
        <f>YEAR(Table1[[#This Row],[End]])</f>
        <v>2026</v>
      </c>
      <c r="AC2679" s="159" t="s">
        <v>11703</v>
      </c>
      <c r="AD2679" s="159" t="s">
        <v>11704</v>
      </c>
      <c r="AE2679" s="184" t="s">
        <v>11705</v>
      </c>
      <c r="AF2679" s="201" t="s">
        <v>471</v>
      </c>
      <c r="AG2679" s="160"/>
      <c r="AH2679" s="174" t="s">
        <v>634</v>
      </c>
      <c r="AI2679" s="158"/>
      <c r="AJ2679" s="158"/>
      <c r="AK2679" s="158"/>
      <c r="AL2679" s="158"/>
      <c r="AM2679" s="158"/>
      <c r="AN2679" s="158"/>
      <c r="AO2679" s="158"/>
      <c r="AP2679" s="158"/>
      <c r="AQ2679" s="158">
        <v>214</v>
      </c>
      <c r="AR2679" s="507"/>
      <c r="AS2679" s="475"/>
      <c r="AT2679" s="160"/>
    </row>
    <row r="2680" spans="1:46" ht="15" hidden="1" customHeight="1">
      <c r="A2680" s="220"/>
      <c r="B2680" s="159" t="s">
        <v>628</v>
      </c>
      <c r="C2680" s="28" t="s">
        <v>997</v>
      </c>
      <c r="D2680" s="438" t="s">
        <v>7640</v>
      </c>
      <c r="E2680" s="361" t="str">
        <f t="shared" ca="1" si="181"/>
        <v>LOSS</v>
      </c>
      <c r="F2680" s="28" t="s">
        <v>115</v>
      </c>
      <c r="G2680" s="28" t="s">
        <v>7668</v>
      </c>
      <c r="H2680" s="28" t="s">
        <v>261</v>
      </c>
      <c r="I2680" s="361" t="s">
        <v>243</v>
      </c>
      <c r="J2680" s="28" t="s">
        <v>7669</v>
      </c>
      <c r="K2680" s="38" t="s">
        <v>11709</v>
      </c>
      <c r="L2680" s="53">
        <v>0.995</v>
      </c>
      <c r="M2680" s="27" t="s">
        <v>365</v>
      </c>
      <c r="N2680" s="27" t="s">
        <v>417</v>
      </c>
      <c r="O2680" s="162"/>
      <c r="P2680" s="161">
        <f>2800000*12</f>
        <v>33600000</v>
      </c>
      <c r="Q2680" s="161"/>
      <c r="R2680" s="162"/>
      <c r="S2680" s="163">
        <f>2100000*12</f>
        <v>25200000</v>
      </c>
      <c r="T2680" s="164"/>
      <c r="U2680" s="340">
        <v>45839</v>
      </c>
      <c r="V2680" s="340">
        <v>46203</v>
      </c>
      <c r="W2680" s="158" t="s">
        <v>250</v>
      </c>
      <c r="X2680" s="158"/>
      <c r="Y2680" s="164">
        <f t="shared" ca="1" si="185"/>
        <v>46290</v>
      </c>
      <c r="Z2680" s="35">
        <f t="shared" ca="1" si="186"/>
        <v>-87</v>
      </c>
      <c r="AA2680" s="158">
        <f>MONTH(Table1[[#This Row],[End]])</f>
        <v>6</v>
      </c>
      <c r="AB2680" s="158">
        <f>YEAR(Table1[[#This Row],[End]])</f>
        <v>2026</v>
      </c>
      <c r="AC2680" s="159" t="s">
        <v>11703</v>
      </c>
      <c r="AD2680" s="159" t="s">
        <v>11704</v>
      </c>
      <c r="AE2680" s="184" t="s">
        <v>11705</v>
      </c>
      <c r="AF2680" s="201" t="s">
        <v>471</v>
      </c>
      <c r="AG2680" s="160"/>
      <c r="AH2680" s="174" t="s">
        <v>634</v>
      </c>
      <c r="AI2680" s="158"/>
      <c r="AJ2680" s="158"/>
      <c r="AK2680" s="158"/>
      <c r="AL2680" s="158"/>
      <c r="AM2680" s="158"/>
      <c r="AN2680" s="158"/>
      <c r="AO2680" s="158"/>
      <c r="AP2680" s="158"/>
      <c r="AQ2680" s="158">
        <v>214</v>
      </c>
      <c r="AR2680" s="507"/>
      <c r="AS2680" s="475"/>
      <c r="AT2680" s="160"/>
    </row>
    <row r="2681" spans="1:46" ht="15" hidden="1" customHeight="1">
      <c r="A2681" s="220"/>
      <c r="B2681" s="159" t="s">
        <v>628</v>
      </c>
      <c r="C2681" s="28" t="s">
        <v>7671</v>
      </c>
      <c r="D2681" s="437" t="s">
        <v>7640</v>
      </c>
      <c r="E2681" s="361" t="str">
        <f t="shared" ca="1" si="181"/>
        <v>LOSS</v>
      </c>
      <c r="F2681" s="28" t="s">
        <v>115</v>
      </c>
      <c r="G2681" s="28" t="s">
        <v>7672</v>
      </c>
      <c r="H2681" s="28" t="s">
        <v>261</v>
      </c>
      <c r="I2681" s="361" t="s">
        <v>243</v>
      </c>
      <c r="J2681" s="28" t="s">
        <v>7673</v>
      </c>
      <c r="K2681" s="38" t="s">
        <v>11710</v>
      </c>
      <c r="L2681" s="53">
        <v>0.995</v>
      </c>
      <c r="M2681" s="27" t="s">
        <v>6788</v>
      </c>
      <c r="N2681" s="27" t="s">
        <v>417</v>
      </c>
      <c r="O2681" s="162"/>
      <c r="P2681" s="161">
        <f>5800000*12</f>
        <v>69600000</v>
      </c>
      <c r="Q2681" s="161"/>
      <c r="R2681" s="162"/>
      <c r="S2681" s="163">
        <f>2100000*12</f>
        <v>25200000</v>
      </c>
      <c r="T2681" s="164"/>
      <c r="U2681" s="340">
        <v>45839</v>
      </c>
      <c r="V2681" s="340">
        <v>46203</v>
      </c>
      <c r="W2681" s="158" t="s">
        <v>250</v>
      </c>
      <c r="X2681" s="158"/>
      <c r="Y2681" s="164">
        <f t="shared" ca="1" si="185"/>
        <v>46290</v>
      </c>
      <c r="Z2681" s="35">
        <f t="shared" ca="1" si="186"/>
        <v>-87</v>
      </c>
      <c r="AA2681" s="158">
        <f>MONTH(Table1[[#This Row],[End]])</f>
        <v>6</v>
      </c>
      <c r="AB2681" s="158">
        <f>YEAR(Table1[[#This Row],[End]])</f>
        <v>2026</v>
      </c>
      <c r="AC2681" s="159" t="s">
        <v>11703</v>
      </c>
      <c r="AD2681" s="159" t="s">
        <v>11704</v>
      </c>
      <c r="AE2681" s="184" t="s">
        <v>11705</v>
      </c>
      <c r="AF2681" s="201" t="s">
        <v>471</v>
      </c>
      <c r="AG2681" s="160"/>
      <c r="AH2681" s="174" t="s">
        <v>634</v>
      </c>
      <c r="AI2681" s="158"/>
      <c r="AJ2681" s="158"/>
      <c r="AK2681" s="158"/>
      <c r="AL2681" s="158"/>
      <c r="AM2681" s="158"/>
      <c r="AN2681" s="158"/>
      <c r="AO2681" s="158"/>
      <c r="AP2681" s="158"/>
      <c r="AQ2681" s="158">
        <v>214</v>
      </c>
      <c r="AR2681" s="507"/>
      <c r="AS2681" s="475"/>
      <c r="AT2681" s="160"/>
    </row>
    <row r="2682" spans="1:46" ht="15" hidden="1" customHeight="1">
      <c r="A2682" s="220">
        <v>2676</v>
      </c>
      <c r="B2682" s="159" t="s">
        <v>614</v>
      </c>
      <c r="C2682" s="159" t="s">
        <v>1206</v>
      </c>
      <c r="D2682" s="443" t="s">
        <v>9294</v>
      </c>
      <c r="E2682" s="361" t="str">
        <f t="shared" ca="1" si="181"/>
        <v>LOSS</v>
      </c>
      <c r="F2682" s="160"/>
      <c r="G2682" s="221" t="s">
        <v>11711</v>
      </c>
      <c r="H2682" s="160" t="s">
        <v>261</v>
      </c>
      <c r="I2682" s="160" t="s">
        <v>243</v>
      </c>
      <c r="J2682" s="159" t="s">
        <v>2647</v>
      </c>
      <c r="K2682" s="181" t="s">
        <v>6793</v>
      </c>
      <c r="L2682" s="213">
        <v>0.99</v>
      </c>
      <c r="M2682" s="158" t="s">
        <v>353</v>
      </c>
      <c r="N2682" s="158" t="s">
        <v>406</v>
      </c>
      <c r="O2682" s="162"/>
      <c r="P2682" s="161">
        <f>12*13000000</f>
        <v>156000000</v>
      </c>
      <c r="Q2682" s="161"/>
      <c r="R2682" s="162"/>
      <c r="S2682" s="163">
        <f>12*14000000</f>
        <v>168000000</v>
      </c>
      <c r="T2682" s="164"/>
      <c r="U2682" s="340">
        <v>45839</v>
      </c>
      <c r="V2682" s="340">
        <v>46203</v>
      </c>
      <c r="W2682" s="158" t="s">
        <v>250</v>
      </c>
      <c r="X2682" s="158"/>
      <c r="Y2682" s="164">
        <f t="shared" ca="1" si="185"/>
        <v>46290</v>
      </c>
      <c r="Z2682" s="35">
        <f t="shared" ca="1" si="186"/>
        <v>-87</v>
      </c>
      <c r="AA2682" s="158">
        <f>MONTH(Table1[[#This Row],[End]])</f>
        <v>6</v>
      </c>
      <c r="AB2682" s="158">
        <f>YEAR(Table1[[#This Row],[End]])</f>
        <v>2026</v>
      </c>
      <c r="AC2682" s="194" t="s">
        <v>11712</v>
      </c>
      <c r="AD2682" s="194" t="s">
        <v>11713</v>
      </c>
      <c r="AE2682" s="184" t="s">
        <v>11714</v>
      </c>
      <c r="AF2682" s="201" t="s">
        <v>11715</v>
      </c>
      <c r="AG2682" s="160"/>
      <c r="AH2682" s="160" t="s">
        <v>6803</v>
      </c>
      <c r="AI2682" s="158"/>
      <c r="AJ2682" s="158"/>
      <c r="AK2682" s="158"/>
      <c r="AL2682" s="158"/>
      <c r="AM2682" s="158"/>
      <c r="AN2682" s="158"/>
      <c r="AO2682" s="158"/>
      <c r="AP2682" s="158"/>
      <c r="AQ2682" s="158">
        <v>176</v>
      </c>
      <c r="AR2682" s="507"/>
      <c r="AS2682" s="475"/>
      <c r="AT2682" s="160"/>
    </row>
    <row r="2683" spans="1:46" ht="15" hidden="1" customHeight="1">
      <c r="A2683" s="220">
        <v>2677</v>
      </c>
      <c r="B2683" s="159" t="s">
        <v>10898</v>
      </c>
      <c r="C2683" s="159" t="s">
        <v>10899</v>
      </c>
      <c r="D2683" s="437" t="s">
        <v>11716</v>
      </c>
      <c r="E2683" s="361" t="str">
        <f t="shared" ca="1" si="181"/>
        <v>LOSS</v>
      </c>
      <c r="F2683" s="160" t="s">
        <v>10900</v>
      </c>
      <c r="G2683" s="159" t="s">
        <v>10901</v>
      </c>
      <c r="H2683" s="160" t="s">
        <v>261</v>
      </c>
      <c r="I2683" s="160" t="s">
        <v>243</v>
      </c>
      <c r="J2683" s="159" t="s">
        <v>10902</v>
      </c>
      <c r="K2683" s="181" t="s">
        <v>10903</v>
      </c>
      <c r="L2683" s="158" t="s">
        <v>4749</v>
      </c>
      <c r="M2683" s="158" t="s">
        <v>353</v>
      </c>
      <c r="N2683" s="158" t="s">
        <v>6824</v>
      </c>
      <c r="O2683" s="162"/>
      <c r="P2683" s="161">
        <f>91247500*6</f>
        <v>547485000</v>
      </c>
      <c r="Q2683" s="161"/>
      <c r="R2683" s="162"/>
      <c r="S2683" s="163">
        <f>79000000*6</f>
        <v>474000000</v>
      </c>
      <c r="T2683" s="164"/>
      <c r="U2683" s="340">
        <v>45931</v>
      </c>
      <c r="V2683" s="340">
        <v>46112</v>
      </c>
      <c r="W2683" s="158" t="s">
        <v>250</v>
      </c>
      <c r="X2683" s="158"/>
      <c r="Y2683" s="34">
        <f t="shared" ca="1" si="185"/>
        <v>46290</v>
      </c>
      <c r="Z2683" s="35">
        <f t="shared" ca="1" si="186"/>
        <v>-178</v>
      </c>
      <c r="AA2683" s="27">
        <f>MONTH(V2683)</f>
        <v>3</v>
      </c>
      <c r="AB2683" s="27">
        <f>YEAR(V2683)</f>
        <v>2026</v>
      </c>
      <c r="AC2683" s="159" t="s">
        <v>11717</v>
      </c>
      <c r="AD2683" s="159" t="s">
        <v>11718</v>
      </c>
      <c r="AE2683" s="184" t="s">
        <v>11719</v>
      </c>
      <c r="AF2683" s="201" t="s">
        <v>471</v>
      </c>
      <c r="AG2683" s="160"/>
      <c r="AH2683" s="160" t="s">
        <v>10906</v>
      </c>
      <c r="AI2683" s="158"/>
      <c r="AJ2683" s="158"/>
      <c r="AK2683" s="158"/>
      <c r="AL2683" s="158"/>
      <c r="AM2683" s="158"/>
      <c r="AN2683" s="158"/>
      <c r="AO2683" s="158"/>
      <c r="AP2683" s="158"/>
      <c r="AQ2683" s="158">
        <v>300</v>
      </c>
      <c r="AR2683" s="507"/>
      <c r="AS2683" s="475"/>
      <c r="AT2683" s="160"/>
    </row>
    <row r="2684" spans="1:46" ht="15" hidden="1" customHeight="1">
      <c r="A2684" s="220">
        <v>2678</v>
      </c>
      <c r="B2684" s="159" t="s">
        <v>9349</v>
      </c>
      <c r="C2684" s="28" t="s">
        <v>8460</v>
      </c>
      <c r="D2684" s="438" t="s">
        <v>1620</v>
      </c>
      <c r="E2684" s="361" t="str">
        <f t="shared" ca="1" si="181"/>
        <v>LOSS</v>
      </c>
      <c r="F2684" s="29" t="s">
        <v>115</v>
      </c>
      <c r="G2684" s="28" t="s">
        <v>8462</v>
      </c>
      <c r="H2684" s="29" t="s">
        <v>261</v>
      </c>
      <c r="I2684" s="29" t="s">
        <v>243</v>
      </c>
      <c r="J2684" s="28" t="s">
        <v>11720</v>
      </c>
      <c r="K2684" s="36" t="s">
        <v>8464</v>
      </c>
      <c r="L2684" s="27" t="s">
        <v>4749</v>
      </c>
      <c r="M2684" s="27" t="s">
        <v>353</v>
      </c>
      <c r="N2684" s="27" t="s">
        <v>468</v>
      </c>
      <c r="O2684" s="162"/>
      <c r="P2684" s="161">
        <f>6200000*12</f>
        <v>74400000</v>
      </c>
      <c r="Q2684" s="161"/>
      <c r="R2684" s="162"/>
      <c r="S2684" s="163">
        <f>4000000*12</f>
        <v>48000000</v>
      </c>
      <c r="T2684" s="164"/>
      <c r="U2684" s="340">
        <v>45870</v>
      </c>
      <c r="V2684" s="340">
        <v>46234</v>
      </c>
      <c r="W2684" s="158" t="s">
        <v>250</v>
      </c>
      <c r="X2684" s="158"/>
      <c r="Y2684" s="34">
        <f t="shared" ca="1" si="185"/>
        <v>46290</v>
      </c>
      <c r="Z2684" s="35">
        <f t="shared" ca="1" si="186"/>
        <v>-56</v>
      </c>
      <c r="AA2684" s="27">
        <f>MONTH(V2684)</f>
        <v>7</v>
      </c>
      <c r="AB2684" s="27">
        <f>YEAR(V2684)</f>
        <v>2026</v>
      </c>
      <c r="AC2684" s="159" t="s">
        <v>11721</v>
      </c>
      <c r="AD2684" s="28" t="s">
        <v>11722</v>
      </c>
      <c r="AE2684" s="184" t="s">
        <v>11723</v>
      </c>
      <c r="AF2684" s="27" t="s">
        <v>471</v>
      </c>
      <c r="AG2684" s="160"/>
      <c r="AH2684" s="160" t="s">
        <v>10952</v>
      </c>
      <c r="AI2684" s="158"/>
      <c r="AJ2684" s="158"/>
      <c r="AK2684" s="158"/>
      <c r="AL2684" s="158"/>
      <c r="AM2684" s="158"/>
      <c r="AN2684" s="158"/>
      <c r="AO2684" s="158"/>
      <c r="AP2684" s="158"/>
      <c r="AQ2684" s="158">
        <v>302</v>
      </c>
      <c r="AR2684" s="507"/>
      <c r="AS2684" s="475" t="s">
        <v>11724</v>
      </c>
      <c r="AT2684" s="160"/>
    </row>
    <row r="2685" spans="1:46" ht="15" hidden="1" customHeight="1">
      <c r="A2685" s="220">
        <v>2679</v>
      </c>
      <c r="B2685" s="159" t="s">
        <v>9136</v>
      </c>
      <c r="C2685" s="28" t="s">
        <v>670</v>
      </c>
      <c r="D2685" s="437" t="s">
        <v>11725</v>
      </c>
      <c r="E2685" s="361" t="str">
        <f t="shared" ca="1" si="181"/>
        <v>LOSS</v>
      </c>
      <c r="F2685" s="28" t="s">
        <v>6934</v>
      </c>
      <c r="G2685" s="28" t="s">
        <v>6935</v>
      </c>
      <c r="H2685" s="28" t="s">
        <v>261</v>
      </c>
      <c r="I2685" s="361" t="s">
        <v>243</v>
      </c>
      <c r="J2685" s="28" t="s">
        <v>6936</v>
      </c>
      <c r="K2685" s="38" t="s">
        <v>9137</v>
      </c>
      <c r="L2685" s="53" t="s">
        <v>4749</v>
      </c>
      <c r="M2685" s="27" t="s">
        <v>365</v>
      </c>
      <c r="N2685" s="27" t="s">
        <v>362</v>
      </c>
      <c r="O2685" s="162"/>
      <c r="P2685" s="161">
        <f>18500000*12</f>
        <v>222000000</v>
      </c>
      <c r="Q2685" s="161"/>
      <c r="R2685" s="162"/>
      <c r="S2685" s="163">
        <f>10500000*12</f>
        <v>126000000</v>
      </c>
      <c r="T2685" s="164"/>
      <c r="U2685" s="340">
        <v>45909</v>
      </c>
      <c r="V2685" s="340">
        <v>46273</v>
      </c>
      <c r="W2685" s="158" t="s">
        <v>17</v>
      </c>
      <c r="X2685" s="158"/>
      <c r="Y2685" s="34">
        <f t="shared" ca="1" si="185"/>
        <v>46290</v>
      </c>
      <c r="Z2685" s="35">
        <f t="shared" ca="1" si="186"/>
        <v>-17</v>
      </c>
      <c r="AA2685" s="27">
        <f>MONTH(V2685)</f>
        <v>9</v>
      </c>
      <c r="AB2685" s="27">
        <f>YEAR(V2685)</f>
        <v>2026</v>
      </c>
      <c r="AC2685" s="28" t="s">
        <v>11726</v>
      </c>
      <c r="AD2685" s="28" t="s">
        <v>11727</v>
      </c>
      <c r="AE2685" s="184" t="s">
        <v>11728</v>
      </c>
      <c r="AF2685" s="27" t="s">
        <v>471</v>
      </c>
      <c r="AG2685" s="160"/>
      <c r="AH2685" s="160"/>
      <c r="AI2685" s="158"/>
      <c r="AJ2685" s="158"/>
      <c r="AK2685" s="158"/>
      <c r="AL2685" s="158"/>
      <c r="AM2685" s="158"/>
      <c r="AN2685" s="158"/>
      <c r="AO2685" s="158"/>
      <c r="AP2685" s="158"/>
      <c r="AQ2685" s="158">
        <v>304</v>
      </c>
      <c r="AR2685" s="507"/>
      <c r="AS2685" s="475"/>
      <c r="AT2685" s="160"/>
    </row>
    <row r="2686" spans="1:46" ht="15" hidden="1" customHeight="1">
      <c r="A2686" s="220">
        <v>2680</v>
      </c>
      <c r="B2686" s="159" t="s">
        <v>542</v>
      </c>
      <c r="C2686" s="159" t="s">
        <v>2702</v>
      </c>
      <c r="D2686" s="437" t="s">
        <v>413</v>
      </c>
      <c r="E2686" s="361" t="str">
        <f t="shared" ca="1" si="181"/>
        <v>LOSS</v>
      </c>
      <c r="F2686" s="160" t="s">
        <v>11729</v>
      </c>
      <c r="G2686" s="159" t="s">
        <v>11730</v>
      </c>
      <c r="H2686" s="160" t="s">
        <v>2748</v>
      </c>
      <c r="I2686" s="160" t="s">
        <v>242</v>
      </c>
      <c r="J2686" s="205" t="s">
        <v>11731</v>
      </c>
      <c r="K2686" s="160"/>
      <c r="L2686" s="158"/>
      <c r="M2686" s="158" t="s">
        <v>365</v>
      </c>
      <c r="N2686" s="158" t="s">
        <v>7088</v>
      </c>
      <c r="O2686" s="162">
        <v>5000000</v>
      </c>
      <c r="P2686" s="161">
        <f>4400000*12</f>
        <v>52800000</v>
      </c>
      <c r="Q2686" s="161"/>
      <c r="R2686" s="162">
        <v>4000000</v>
      </c>
      <c r="S2686" s="163">
        <v>8000000</v>
      </c>
      <c r="T2686" s="164"/>
      <c r="U2686" s="340">
        <v>45849</v>
      </c>
      <c r="V2686" s="340">
        <v>46213</v>
      </c>
      <c r="W2686" s="27" t="s">
        <v>245</v>
      </c>
      <c r="X2686" s="158"/>
      <c r="Y2686" s="164">
        <f t="shared" ca="1" si="185"/>
        <v>46290</v>
      </c>
      <c r="Z2686" s="35">
        <f t="shared" ca="1" si="186"/>
        <v>-77</v>
      </c>
      <c r="AA2686" s="158">
        <f>MONTH(Table1[[#This Row],[End]])</f>
        <v>7</v>
      </c>
      <c r="AB2686" s="158">
        <f>YEAR(Table1[[#This Row],[End]])</f>
        <v>2026</v>
      </c>
      <c r="AC2686" s="159" t="s">
        <v>3371</v>
      </c>
      <c r="AD2686" s="159" t="s">
        <v>11732</v>
      </c>
      <c r="AE2686" s="184" t="s">
        <v>11733</v>
      </c>
      <c r="AF2686" s="158" t="s">
        <v>333</v>
      </c>
      <c r="AG2686" s="160"/>
      <c r="AH2686" s="160"/>
      <c r="AI2686" s="158"/>
      <c r="AJ2686" s="158"/>
      <c r="AK2686" s="158"/>
      <c r="AL2686" s="158"/>
      <c r="AM2686" s="158"/>
      <c r="AN2686" s="158"/>
      <c r="AO2686" s="158"/>
      <c r="AP2686" s="158"/>
      <c r="AQ2686" s="158">
        <v>193</v>
      </c>
      <c r="AR2686" s="507"/>
      <c r="AS2686" s="475"/>
      <c r="AT2686" s="160"/>
    </row>
    <row r="2687" spans="1:46" ht="15" hidden="1" customHeight="1">
      <c r="A2687" s="220">
        <v>2681</v>
      </c>
      <c r="B2687" s="159" t="s">
        <v>542</v>
      </c>
      <c r="C2687" s="159" t="s">
        <v>9534</v>
      </c>
      <c r="D2687" s="437" t="s">
        <v>413</v>
      </c>
      <c r="E2687" s="361" t="str">
        <f t="shared" ca="1" si="181"/>
        <v>CRITICAL</v>
      </c>
      <c r="F2687" s="160" t="s">
        <v>11734</v>
      </c>
      <c r="G2687" s="159" t="s">
        <v>11735</v>
      </c>
      <c r="H2687" s="160" t="s">
        <v>2748</v>
      </c>
      <c r="I2687" s="160" t="s">
        <v>242</v>
      </c>
      <c r="J2687" s="205" t="s">
        <v>9536</v>
      </c>
      <c r="K2687" s="205" t="s">
        <v>11736</v>
      </c>
      <c r="L2687" s="158"/>
      <c r="M2687" s="158" t="s">
        <v>365</v>
      </c>
      <c r="N2687" s="158" t="s">
        <v>389</v>
      </c>
      <c r="O2687" s="162"/>
      <c r="P2687" s="161">
        <f>12000000*12</f>
        <v>144000000</v>
      </c>
      <c r="Q2687" s="161"/>
      <c r="R2687" s="162"/>
      <c r="S2687" s="163">
        <v>8000000</v>
      </c>
      <c r="T2687" s="164"/>
      <c r="U2687" s="340">
        <v>45937</v>
      </c>
      <c r="V2687" s="340">
        <v>46301</v>
      </c>
      <c r="W2687" s="27" t="s">
        <v>17</v>
      </c>
      <c r="X2687" s="158"/>
      <c r="Y2687" s="164">
        <f t="shared" ca="1" si="185"/>
        <v>46290</v>
      </c>
      <c r="Z2687" s="35">
        <f t="shared" ca="1" si="186"/>
        <v>11</v>
      </c>
      <c r="AA2687" s="158">
        <f>MONTH(Table1[[#This Row],[End]])</f>
        <v>10</v>
      </c>
      <c r="AB2687" s="158">
        <f>YEAR(Table1[[#This Row],[End]])</f>
        <v>2026</v>
      </c>
      <c r="AC2687" s="159" t="s">
        <v>11737</v>
      </c>
      <c r="AD2687" s="159" t="s">
        <v>11738</v>
      </c>
      <c r="AE2687" s="184" t="s">
        <v>11739</v>
      </c>
      <c r="AF2687" s="158" t="s">
        <v>333</v>
      </c>
      <c r="AG2687" s="160"/>
      <c r="AH2687" s="160"/>
      <c r="AI2687" s="158"/>
      <c r="AJ2687" s="158"/>
      <c r="AK2687" s="158"/>
      <c r="AL2687" s="158"/>
      <c r="AM2687" s="158"/>
      <c r="AN2687" s="158"/>
      <c r="AO2687" s="158"/>
      <c r="AP2687" s="158"/>
      <c r="AQ2687" s="158">
        <v>299</v>
      </c>
      <c r="AR2687" s="507"/>
      <c r="AS2687" s="475"/>
      <c r="AT2687" s="160"/>
    </row>
    <row r="2688" spans="1:46" ht="15" hidden="1" customHeight="1">
      <c r="A2688" s="220">
        <v>2682</v>
      </c>
      <c r="B2688" s="159" t="s">
        <v>37</v>
      </c>
      <c r="C2688" s="159" t="s">
        <v>1020</v>
      </c>
      <c r="D2688" s="438" t="s">
        <v>11045</v>
      </c>
      <c r="E2688" s="361" t="str">
        <f t="shared" ca="1" si="181"/>
        <v>LOSS</v>
      </c>
      <c r="F2688" s="160" t="s">
        <v>11740</v>
      </c>
      <c r="G2688" s="182" t="s">
        <v>11741</v>
      </c>
      <c r="H2688" s="160" t="s">
        <v>2748</v>
      </c>
      <c r="I2688" s="160" t="s">
        <v>242</v>
      </c>
      <c r="J2688" s="159"/>
      <c r="K2688" s="218" t="s">
        <v>11742</v>
      </c>
      <c r="L2688" s="158"/>
      <c r="M2688" s="190" t="s">
        <v>11743</v>
      </c>
      <c r="N2688" s="190" t="s">
        <v>11744</v>
      </c>
      <c r="O2688" s="162"/>
      <c r="P2688" s="161">
        <f>18000000*12</f>
        <v>216000000</v>
      </c>
      <c r="Q2688" s="161"/>
      <c r="R2688" s="162"/>
      <c r="S2688" s="163">
        <v>24000000</v>
      </c>
      <c r="T2688" s="164"/>
      <c r="U2688" s="340">
        <v>45912</v>
      </c>
      <c r="V2688" s="340">
        <v>46276</v>
      </c>
      <c r="W2688" s="158" t="s">
        <v>17</v>
      </c>
      <c r="X2688" s="158"/>
      <c r="Y2688" s="164">
        <f t="shared" ca="1" si="185"/>
        <v>46290</v>
      </c>
      <c r="Z2688" s="35">
        <f t="shared" ca="1" si="186"/>
        <v>-14</v>
      </c>
      <c r="AA2688" s="27">
        <f>MONTH(V2688)</f>
        <v>9</v>
      </c>
      <c r="AB2688" s="27">
        <f>YEAR(V2688)</f>
        <v>2026</v>
      </c>
      <c r="AC2688" s="194" t="s">
        <v>11745</v>
      </c>
      <c r="AD2688" s="194" t="s">
        <v>11746</v>
      </c>
      <c r="AE2688" s="184" t="s">
        <v>11747</v>
      </c>
      <c r="AF2688" s="158" t="s">
        <v>333</v>
      </c>
      <c r="AG2688" s="160"/>
      <c r="AH2688" s="160"/>
      <c r="AI2688" s="158"/>
      <c r="AJ2688" s="158"/>
      <c r="AK2688" s="158"/>
      <c r="AL2688" s="158"/>
      <c r="AM2688" s="158"/>
      <c r="AN2688" s="158"/>
      <c r="AO2688" s="158"/>
      <c r="AP2688" s="158"/>
      <c r="AQ2688" s="158">
        <v>290</v>
      </c>
      <c r="AR2688" s="507"/>
      <c r="AS2688" s="475"/>
      <c r="AT2688" s="160"/>
    </row>
    <row r="2689" spans="1:46" ht="15" hidden="1" customHeight="1">
      <c r="A2689" s="220">
        <v>2683</v>
      </c>
      <c r="B2689" s="159" t="s">
        <v>593</v>
      </c>
      <c r="C2689" s="159" t="s">
        <v>2612</v>
      </c>
      <c r="D2689" s="437" t="s">
        <v>11748</v>
      </c>
      <c r="E2689" s="361" t="str">
        <f t="shared" ca="1" si="181"/>
        <v>CRITICAL</v>
      </c>
      <c r="F2689" s="160"/>
      <c r="G2689" s="159" t="s">
        <v>9801</v>
      </c>
      <c r="H2689" s="160" t="s">
        <v>2748</v>
      </c>
      <c r="I2689" s="160" t="s">
        <v>346</v>
      </c>
      <c r="J2689" s="159"/>
      <c r="K2689" s="181" t="s">
        <v>9802</v>
      </c>
      <c r="L2689" s="158"/>
      <c r="M2689" s="158" t="s">
        <v>365</v>
      </c>
      <c r="N2689" s="160"/>
      <c r="O2689" s="162"/>
      <c r="P2689" s="161">
        <f>6500000*12</f>
        <v>78000000</v>
      </c>
      <c r="Q2689" s="161"/>
      <c r="R2689" s="162"/>
      <c r="S2689" s="163">
        <v>25832400</v>
      </c>
      <c r="T2689" s="164"/>
      <c r="U2689" s="340">
        <v>45931</v>
      </c>
      <c r="V2689" s="340">
        <v>46295</v>
      </c>
      <c r="W2689" s="158" t="s">
        <v>17</v>
      </c>
      <c r="X2689" s="158"/>
      <c r="Y2689" s="34">
        <f t="shared" ca="1" si="185"/>
        <v>46290</v>
      </c>
      <c r="Z2689" s="35">
        <f t="shared" ca="1" si="186"/>
        <v>5</v>
      </c>
      <c r="AA2689" s="158">
        <f>MONTH(V2689)</f>
        <v>9</v>
      </c>
      <c r="AB2689" s="158">
        <f>YEAR(V2689)</f>
        <v>2026</v>
      </c>
      <c r="AC2689" s="159" t="s">
        <v>11749</v>
      </c>
      <c r="AD2689" s="182" t="s">
        <v>11750</v>
      </c>
      <c r="AE2689" s="184" t="s">
        <v>11751</v>
      </c>
      <c r="AF2689" s="201" t="s">
        <v>333</v>
      </c>
      <c r="AG2689" s="160"/>
      <c r="AH2689" s="160"/>
      <c r="AI2689" s="158"/>
      <c r="AJ2689" s="158"/>
      <c r="AK2689" s="158"/>
      <c r="AL2689" s="158"/>
      <c r="AM2689" s="158"/>
      <c r="AN2689" s="158"/>
      <c r="AO2689" s="158"/>
      <c r="AP2689" s="158"/>
      <c r="AQ2689" s="158">
        <v>298</v>
      </c>
      <c r="AR2689" s="507"/>
      <c r="AS2689" s="475"/>
      <c r="AT2689" s="160"/>
    </row>
    <row r="2690" spans="1:46" ht="15" hidden="1" customHeight="1">
      <c r="A2690" s="220">
        <v>2684</v>
      </c>
      <c r="B2690" s="159" t="s">
        <v>2391</v>
      </c>
      <c r="C2690" s="159" t="s">
        <v>1274</v>
      </c>
      <c r="D2690" s="437" t="s">
        <v>3035</v>
      </c>
      <c r="E2690" s="361" t="str">
        <f t="shared" ref="E2690:E2750" ca="1" si="187">IF(Z2690&lt;=0, "LOSS",IF(Z2690&lt;=15, "CRITICAL",IF(Z2690&lt;=30, "WARNING",IF(Z2690&lt;60, "ATTENTION", "ON TRACK"))))</f>
        <v>LOSS</v>
      </c>
      <c r="F2690" s="160"/>
      <c r="G2690" s="159" t="s">
        <v>9576</v>
      </c>
      <c r="H2690" s="160" t="s">
        <v>2748</v>
      </c>
      <c r="I2690" s="160" t="s">
        <v>346</v>
      </c>
      <c r="J2690" s="159"/>
      <c r="K2690" s="160"/>
      <c r="L2690" s="158"/>
      <c r="M2690" s="158" t="s">
        <v>329</v>
      </c>
      <c r="N2690" s="160"/>
      <c r="O2690" s="162"/>
      <c r="P2690" s="161"/>
      <c r="Q2690" s="161"/>
      <c r="R2690" s="162"/>
      <c r="S2690" s="163">
        <v>5000000</v>
      </c>
      <c r="T2690" s="164"/>
      <c r="U2690" s="334">
        <v>45926</v>
      </c>
      <c r="V2690" s="334">
        <v>46290</v>
      </c>
      <c r="W2690" s="27" t="s">
        <v>17</v>
      </c>
      <c r="X2690" s="158"/>
      <c r="Y2690" s="164">
        <f t="shared" ca="1" si="185"/>
        <v>46290</v>
      </c>
      <c r="Z2690" s="35">
        <f t="shared" ca="1" si="186"/>
        <v>0</v>
      </c>
      <c r="AA2690" s="158">
        <f>MONTH(Table1[[#This Row],[End]])</f>
        <v>9</v>
      </c>
      <c r="AB2690" s="158">
        <f>YEAR(Table1[[#This Row],[End]])</f>
        <v>2026</v>
      </c>
      <c r="AC2690" s="28" t="s">
        <v>11752</v>
      </c>
      <c r="AD2690" s="159" t="s">
        <v>11753</v>
      </c>
      <c r="AE2690" s="184" t="s">
        <v>11754</v>
      </c>
      <c r="AF2690" s="158" t="s">
        <v>333</v>
      </c>
      <c r="AG2690" s="160"/>
      <c r="AH2690" s="160"/>
      <c r="AI2690" s="158"/>
      <c r="AJ2690" s="158"/>
      <c r="AK2690" s="158"/>
      <c r="AL2690" s="158"/>
      <c r="AM2690" s="158"/>
      <c r="AN2690" s="158"/>
      <c r="AO2690" s="158"/>
      <c r="AP2690" s="158"/>
      <c r="AQ2690" s="158">
        <v>284</v>
      </c>
      <c r="AR2690" s="507"/>
      <c r="AS2690" s="475"/>
      <c r="AT2690" s="160"/>
    </row>
    <row r="2691" spans="1:46" ht="15" hidden="1" customHeight="1">
      <c r="A2691" s="220">
        <v>2685</v>
      </c>
      <c r="B2691" s="159" t="s">
        <v>2391</v>
      </c>
      <c r="C2691" s="159" t="s">
        <v>1274</v>
      </c>
      <c r="D2691" s="437" t="s">
        <v>3035</v>
      </c>
      <c r="E2691" s="361" t="str">
        <f t="shared" ca="1" si="187"/>
        <v>ATTENTION</v>
      </c>
      <c r="F2691" s="160"/>
      <c r="G2691" s="159" t="s">
        <v>9576</v>
      </c>
      <c r="H2691" s="160" t="s">
        <v>2748</v>
      </c>
      <c r="I2691" s="160" t="s">
        <v>346</v>
      </c>
      <c r="J2691" s="159"/>
      <c r="K2691" s="160"/>
      <c r="L2691" s="158"/>
      <c r="M2691" s="158" t="s">
        <v>329</v>
      </c>
      <c r="N2691" s="160"/>
      <c r="O2691" s="162"/>
      <c r="P2691" s="161"/>
      <c r="Q2691" s="161"/>
      <c r="R2691" s="162"/>
      <c r="S2691" s="163">
        <v>10000000</v>
      </c>
      <c r="T2691" s="164"/>
      <c r="U2691" s="334">
        <v>45960</v>
      </c>
      <c r="V2691" s="334">
        <v>46324</v>
      </c>
      <c r="W2691" s="27" t="s">
        <v>17</v>
      </c>
      <c r="X2691" s="158"/>
      <c r="Y2691" s="164">
        <f t="shared" ca="1" si="185"/>
        <v>46290</v>
      </c>
      <c r="Z2691" s="35">
        <f t="shared" ca="1" si="186"/>
        <v>34</v>
      </c>
      <c r="AA2691" s="158">
        <f>MONTH(Table1[[#This Row],[End]])</f>
        <v>10</v>
      </c>
      <c r="AB2691" s="158">
        <f>YEAR(Table1[[#This Row],[End]])</f>
        <v>2026</v>
      </c>
      <c r="AC2691" s="28" t="s">
        <v>11755</v>
      </c>
      <c r="AD2691" s="159" t="s">
        <v>11756</v>
      </c>
      <c r="AE2691" s="184" t="s">
        <v>11757</v>
      </c>
      <c r="AF2691" s="158" t="s">
        <v>333</v>
      </c>
      <c r="AG2691" s="160"/>
      <c r="AH2691" s="160"/>
      <c r="AI2691" s="158"/>
      <c r="AJ2691" s="158"/>
      <c r="AK2691" s="158"/>
      <c r="AL2691" s="158"/>
      <c r="AM2691" s="158"/>
      <c r="AN2691" s="158"/>
      <c r="AO2691" s="158"/>
      <c r="AP2691" s="158"/>
      <c r="AQ2691" s="158">
        <v>285</v>
      </c>
      <c r="AR2691" s="507"/>
      <c r="AS2691" s="475"/>
      <c r="AT2691" s="160"/>
    </row>
    <row r="2692" spans="1:46" ht="15" hidden="1" customHeight="1">
      <c r="A2692" s="220">
        <v>2686</v>
      </c>
      <c r="B2692" s="159" t="s">
        <v>440</v>
      </c>
      <c r="C2692" s="182" t="s">
        <v>11758</v>
      </c>
      <c r="D2692" s="437" t="s">
        <v>442</v>
      </c>
      <c r="E2692" s="361" t="str">
        <f t="shared" ca="1" si="187"/>
        <v>ATTENTION</v>
      </c>
      <c r="F2692" s="160"/>
      <c r="G2692" s="159" t="s">
        <v>9514</v>
      </c>
      <c r="H2692" s="160" t="s">
        <v>2748</v>
      </c>
      <c r="I2692" s="160" t="s">
        <v>346</v>
      </c>
      <c r="J2692" s="216" t="s">
        <v>11759</v>
      </c>
      <c r="K2692" s="160"/>
      <c r="L2692" s="158"/>
      <c r="M2692" s="158" t="s">
        <v>365</v>
      </c>
      <c r="N2692" s="160"/>
      <c r="O2692" s="162"/>
      <c r="P2692" s="161">
        <f>39335000*12</f>
        <v>472020000</v>
      </c>
      <c r="Q2692" s="161"/>
      <c r="R2692" s="162"/>
      <c r="S2692" s="163">
        <v>120000000</v>
      </c>
      <c r="T2692" s="164"/>
      <c r="U2692" s="334">
        <v>45972</v>
      </c>
      <c r="V2692" s="334">
        <v>46336</v>
      </c>
      <c r="W2692" s="27" t="s">
        <v>17</v>
      </c>
      <c r="X2692" s="158"/>
      <c r="Y2692" s="34">
        <f t="shared" ref="Y2692:Y2723" ca="1" si="188">TODAY()</f>
        <v>46290</v>
      </c>
      <c r="Z2692" s="35">
        <f t="shared" ca="1" si="186"/>
        <v>46</v>
      </c>
      <c r="AA2692" s="27">
        <f>MONTH(V2692)</f>
        <v>11</v>
      </c>
      <c r="AB2692" s="27">
        <f>YEAR(V2692)</f>
        <v>2026</v>
      </c>
      <c r="AC2692" s="159" t="s">
        <v>11760</v>
      </c>
      <c r="AD2692" s="159" t="s">
        <v>11761</v>
      </c>
      <c r="AE2692" s="184" t="s">
        <v>11762</v>
      </c>
      <c r="AF2692" s="201" t="s">
        <v>333</v>
      </c>
      <c r="AG2692" s="160"/>
      <c r="AH2692" s="160" t="s">
        <v>449</v>
      </c>
      <c r="AI2692" s="158"/>
      <c r="AJ2692" s="158"/>
      <c r="AK2692" s="158"/>
      <c r="AL2692" s="158"/>
      <c r="AM2692" s="158"/>
      <c r="AN2692" s="158"/>
      <c r="AO2692" s="158"/>
      <c r="AP2692" s="158"/>
      <c r="AQ2692" s="158">
        <v>286</v>
      </c>
      <c r="AR2692" s="507"/>
      <c r="AS2692" s="475"/>
      <c r="AT2692" s="160"/>
    </row>
    <row r="2693" spans="1:46" ht="15" hidden="1" customHeight="1">
      <c r="A2693" s="220">
        <v>2687</v>
      </c>
      <c r="B2693" s="159" t="s">
        <v>440</v>
      </c>
      <c r="C2693" s="182" t="s">
        <v>11758</v>
      </c>
      <c r="D2693" s="437" t="s">
        <v>442</v>
      </c>
      <c r="E2693" s="361" t="str">
        <f t="shared" ca="1" si="187"/>
        <v>ATTENTION</v>
      </c>
      <c r="F2693" s="160"/>
      <c r="G2693" s="159" t="s">
        <v>9514</v>
      </c>
      <c r="H2693" s="160" t="s">
        <v>2748</v>
      </c>
      <c r="I2693" s="160" t="s">
        <v>346</v>
      </c>
      <c r="J2693" s="216" t="s">
        <v>11759</v>
      </c>
      <c r="K2693" s="160"/>
      <c r="L2693" s="158"/>
      <c r="M2693" s="158" t="s">
        <v>365</v>
      </c>
      <c r="N2693" s="160"/>
      <c r="O2693" s="162"/>
      <c r="P2693" s="161">
        <f>39335000*12</f>
        <v>472020000</v>
      </c>
      <c r="Q2693" s="161"/>
      <c r="R2693" s="162"/>
      <c r="S2693" s="163">
        <v>12000000</v>
      </c>
      <c r="T2693" s="164"/>
      <c r="U2693" s="334">
        <v>45959</v>
      </c>
      <c r="V2693" s="334">
        <v>46323</v>
      </c>
      <c r="W2693" s="27" t="s">
        <v>17</v>
      </c>
      <c r="X2693" s="158"/>
      <c r="Y2693" s="34">
        <f t="shared" ca="1" si="188"/>
        <v>46290</v>
      </c>
      <c r="Z2693" s="35">
        <f t="shared" ca="1" si="186"/>
        <v>33</v>
      </c>
      <c r="AA2693" s="27">
        <f>MONTH(V2693)</f>
        <v>10</v>
      </c>
      <c r="AB2693" s="27">
        <f>YEAR(V2693)</f>
        <v>2026</v>
      </c>
      <c r="AC2693" s="159" t="s">
        <v>11763</v>
      </c>
      <c r="AD2693" s="159" t="s">
        <v>11764</v>
      </c>
      <c r="AE2693" s="184" t="s">
        <v>11765</v>
      </c>
      <c r="AF2693" s="201" t="s">
        <v>333</v>
      </c>
      <c r="AG2693" s="160"/>
      <c r="AH2693" s="160" t="s">
        <v>449</v>
      </c>
      <c r="AI2693" s="158"/>
      <c r="AJ2693" s="158"/>
      <c r="AK2693" s="158"/>
      <c r="AL2693" s="158"/>
      <c r="AM2693" s="158"/>
      <c r="AN2693" s="158"/>
      <c r="AO2693" s="158"/>
      <c r="AP2693" s="158"/>
      <c r="AQ2693" s="158">
        <v>287</v>
      </c>
      <c r="AR2693" s="507"/>
      <c r="AS2693" s="475"/>
      <c r="AT2693" s="160"/>
    </row>
    <row r="2694" spans="1:46" ht="15" hidden="1" customHeight="1">
      <c r="A2694" s="220">
        <v>2688</v>
      </c>
      <c r="B2694" s="159" t="s">
        <v>645</v>
      </c>
      <c r="C2694" s="159" t="s">
        <v>9849</v>
      </c>
      <c r="D2694" s="434" t="s">
        <v>10435</v>
      </c>
      <c r="E2694" s="361" t="str">
        <f t="shared" ca="1" si="187"/>
        <v>LOSS</v>
      </c>
      <c r="F2694" s="160"/>
      <c r="G2694" s="28" t="s">
        <v>6493</v>
      </c>
      <c r="H2694" s="29" t="s">
        <v>2748</v>
      </c>
      <c r="I2694" s="160" t="s">
        <v>346</v>
      </c>
      <c r="J2694" s="28" t="s">
        <v>6494</v>
      </c>
      <c r="K2694" s="160"/>
      <c r="L2694" s="158"/>
      <c r="M2694" s="158" t="s">
        <v>353</v>
      </c>
      <c r="N2694" s="158" t="s">
        <v>6802</v>
      </c>
      <c r="O2694" s="162"/>
      <c r="P2694" s="31">
        <f>12*2750000</f>
        <v>33000000</v>
      </c>
      <c r="Q2694" s="161"/>
      <c r="R2694" s="162"/>
      <c r="S2694" s="163">
        <v>26460000</v>
      </c>
      <c r="T2694" s="164"/>
      <c r="U2694" s="334">
        <v>45901</v>
      </c>
      <c r="V2694" s="334">
        <v>46265</v>
      </c>
      <c r="W2694" s="27" t="s">
        <v>17</v>
      </c>
      <c r="X2694" s="158"/>
      <c r="Y2694" s="34">
        <f t="shared" ca="1" si="188"/>
        <v>46290</v>
      </c>
      <c r="Z2694" s="35">
        <f t="shared" ca="1" si="186"/>
        <v>-25</v>
      </c>
      <c r="AA2694" s="27">
        <f>MONTH(V2694)</f>
        <v>8</v>
      </c>
      <c r="AB2694" s="27">
        <f>YEAR(V2694)</f>
        <v>2026</v>
      </c>
      <c r="AC2694" s="28" t="s">
        <v>11766</v>
      </c>
      <c r="AD2694" s="159" t="s">
        <v>11767</v>
      </c>
      <c r="AE2694" s="184" t="s">
        <v>11768</v>
      </c>
      <c r="AF2694" s="27" t="s">
        <v>333</v>
      </c>
      <c r="AG2694" s="160"/>
      <c r="AH2694" s="160" t="s">
        <v>6497</v>
      </c>
      <c r="AI2694" s="158"/>
      <c r="AJ2694" s="158"/>
      <c r="AK2694" s="158"/>
      <c r="AL2694" s="158"/>
      <c r="AM2694" s="158"/>
      <c r="AN2694" s="158"/>
      <c r="AO2694" s="158"/>
      <c r="AP2694" s="158"/>
      <c r="AQ2694" s="158">
        <v>297</v>
      </c>
      <c r="AR2694" s="507"/>
      <c r="AS2694" s="475"/>
      <c r="AT2694" s="160"/>
    </row>
    <row r="2695" spans="1:46" ht="15" hidden="1" customHeight="1">
      <c r="A2695" s="220">
        <v>2689</v>
      </c>
      <c r="B2695" s="159" t="s">
        <v>2724</v>
      </c>
      <c r="C2695" s="159" t="s">
        <v>2725</v>
      </c>
      <c r="D2695" s="438" t="s">
        <v>5130</v>
      </c>
      <c r="E2695" s="361" t="str">
        <f t="shared" ca="1" si="187"/>
        <v>LOSS</v>
      </c>
      <c r="F2695" s="181" t="s">
        <v>11769</v>
      </c>
      <c r="G2695" s="159" t="s">
        <v>11770</v>
      </c>
      <c r="H2695" s="160" t="s">
        <v>2748</v>
      </c>
      <c r="I2695" s="160" t="s">
        <v>346</v>
      </c>
      <c r="J2695" s="159" t="s">
        <v>11771</v>
      </c>
      <c r="K2695" s="160"/>
      <c r="L2695" s="158"/>
      <c r="M2695" s="158" t="s">
        <v>9506</v>
      </c>
      <c r="N2695" s="158" t="s">
        <v>7088</v>
      </c>
      <c r="O2695" s="162">
        <v>10000000</v>
      </c>
      <c r="P2695" s="161">
        <f>27500000*12</f>
        <v>330000000</v>
      </c>
      <c r="Q2695" s="161"/>
      <c r="R2695" s="162"/>
      <c r="S2695" s="163">
        <v>35000000</v>
      </c>
      <c r="T2695" s="164"/>
      <c r="U2695" s="334">
        <v>45901</v>
      </c>
      <c r="V2695" s="334">
        <v>46265</v>
      </c>
      <c r="W2695" s="27" t="s">
        <v>17</v>
      </c>
      <c r="X2695" s="158"/>
      <c r="Y2695" s="34">
        <f t="shared" ca="1" si="188"/>
        <v>46290</v>
      </c>
      <c r="Z2695" s="35">
        <f t="shared" ca="1" si="186"/>
        <v>-25</v>
      </c>
      <c r="AA2695" s="27">
        <f>MONTH(V2695)</f>
        <v>8</v>
      </c>
      <c r="AB2695" s="27">
        <f>YEAR(V2695)</f>
        <v>2026</v>
      </c>
      <c r="AC2695" s="159" t="s">
        <v>479</v>
      </c>
      <c r="AD2695" s="159" t="s">
        <v>11772</v>
      </c>
      <c r="AE2695" s="184" t="s">
        <v>11773</v>
      </c>
      <c r="AF2695" s="201" t="s">
        <v>333</v>
      </c>
      <c r="AG2695" s="160"/>
      <c r="AH2695" s="160" t="s">
        <v>11774</v>
      </c>
      <c r="AI2695" s="158"/>
      <c r="AJ2695" s="158"/>
      <c r="AK2695" s="158"/>
      <c r="AL2695" s="158"/>
      <c r="AM2695" s="158"/>
      <c r="AN2695" s="158"/>
      <c r="AO2695" s="158"/>
      <c r="AP2695" s="158"/>
      <c r="AQ2695" s="158">
        <v>283</v>
      </c>
      <c r="AR2695" s="507"/>
      <c r="AS2695" s="475"/>
      <c r="AT2695" s="160"/>
    </row>
    <row r="2696" spans="1:46" ht="15" hidden="1" customHeight="1">
      <c r="A2696" s="220">
        <v>2690</v>
      </c>
      <c r="B2696" s="159" t="s">
        <v>382</v>
      </c>
      <c r="C2696" s="159" t="s">
        <v>8951</v>
      </c>
      <c r="D2696" s="437" t="s">
        <v>384</v>
      </c>
      <c r="E2696" s="361" t="str">
        <f t="shared" ca="1" si="187"/>
        <v>WARNING</v>
      </c>
      <c r="F2696" s="160" t="s">
        <v>11190</v>
      </c>
      <c r="G2696" s="159" t="s">
        <v>11191</v>
      </c>
      <c r="H2696" s="160" t="s">
        <v>2748</v>
      </c>
      <c r="I2696" s="160" t="s">
        <v>242</v>
      </c>
      <c r="J2696" s="205" t="s">
        <v>6089</v>
      </c>
      <c r="K2696" s="160"/>
      <c r="L2696" s="158"/>
      <c r="M2696" s="158" t="s">
        <v>329</v>
      </c>
      <c r="N2696" s="158" t="s">
        <v>417</v>
      </c>
      <c r="O2696" s="162"/>
      <c r="P2696" s="161">
        <f>2750000*12</f>
        <v>33000000</v>
      </c>
      <c r="Q2696" s="161"/>
      <c r="R2696" s="162"/>
      <c r="S2696" s="163">
        <v>12000000</v>
      </c>
      <c r="T2696" s="164"/>
      <c r="U2696" s="340">
        <v>45956</v>
      </c>
      <c r="V2696" s="340">
        <v>46320</v>
      </c>
      <c r="W2696" s="27" t="s">
        <v>17</v>
      </c>
      <c r="X2696" s="158"/>
      <c r="Y2696" s="164">
        <f t="shared" ca="1" si="188"/>
        <v>46290</v>
      </c>
      <c r="Z2696" s="35">
        <f t="shared" ca="1" si="186"/>
        <v>30</v>
      </c>
      <c r="AA2696" s="158">
        <f>MONTH(Table1[[#This Row],[End]])</f>
        <v>10</v>
      </c>
      <c r="AB2696" s="158">
        <f>YEAR(Table1[[#This Row],[End]])</f>
        <v>2026</v>
      </c>
      <c r="AC2696" s="159" t="s">
        <v>11775</v>
      </c>
      <c r="AD2696" s="159" t="s">
        <v>11776</v>
      </c>
      <c r="AE2696" s="184" t="s">
        <v>11777</v>
      </c>
      <c r="AF2696" s="158" t="s">
        <v>333</v>
      </c>
      <c r="AG2696" s="160"/>
      <c r="AH2696" s="160"/>
      <c r="AI2696" s="158"/>
      <c r="AJ2696" s="158"/>
      <c r="AK2696" s="158"/>
      <c r="AL2696" s="158"/>
      <c r="AM2696" s="158"/>
      <c r="AN2696" s="158"/>
      <c r="AO2696" s="158"/>
      <c r="AP2696" s="158"/>
      <c r="AQ2696" s="158">
        <v>291</v>
      </c>
      <c r="AR2696" s="507"/>
      <c r="AS2696" s="475"/>
      <c r="AT2696" s="160"/>
    </row>
    <row r="2697" spans="1:46" ht="15" hidden="1" customHeight="1">
      <c r="A2697" s="220">
        <v>2691</v>
      </c>
      <c r="B2697" s="159" t="s">
        <v>382</v>
      </c>
      <c r="C2697" s="159" t="s">
        <v>383</v>
      </c>
      <c r="D2697" s="437" t="s">
        <v>384</v>
      </c>
      <c r="E2697" s="361" t="str">
        <f t="shared" ca="1" si="187"/>
        <v>LOSS</v>
      </c>
      <c r="F2697" s="160"/>
      <c r="G2697" s="28" t="s">
        <v>385</v>
      </c>
      <c r="H2697" s="29" t="s">
        <v>2748</v>
      </c>
      <c r="I2697" s="29" t="s">
        <v>242</v>
      </c>
      <c r="J2697" s="28" t="s">
        <v>386</v>
      </c>
      <c r="K2697" s="181" t="s">
        <v>387</v>
      </c>
      <c r="L2697" s="158"/>
      <c r="M2697" s="158" t="s">
        <v>388</v>
      </c>
      <c r="N2697" s="158" t="s">
        <v>389</v>
      </c>
      <c r="O2697" s="162"/>
      <c r="P2697" s="31">
        <f>12*10000000</f>
        <v>120000000</v>
      </c>
      <c r="Q2697" s="161"/>
      <c r="R2697" s="162"/>
      <c r="S2697" s="32">
        <v>12000000</v>
      </c>
      <c r="T2697" s="164"/>
      <c r="U2697" s="334">
        <v>45315</v>
      </c>
      <c r="V2697" s="334">
        <v>46040</v>
      </c>
      <c r="W2697" s="27" t="s">
        <v>250</v>
      </c>
      <c r="X2697" s="158"/>
      <c r="Y2697" s="34">
        <f t="shared" ca="1" si="188"/>
        <v>46290</v>
      </c>
      <c r="Z2697" s="35">
        <f t="shared" ca="1" si="186"/>
        <v>-250</v>
      </c>
      <c r="AA2697" s="27">
        <f>MONTH(V2697)</f>
        <v>1</v>
      </c>
      <c r="AB2697" s="27">
        <f>YEAR(V2697)</f>
        <v>2026</v>
      </c>
      <c r="AC2697" s="159" t="s">
        <v>390</v>
      </c>
      <c r="AD2697" s="159" t="s">
        <v>391</v>
      </c>
      <c r="AE2697" s="27">
        <v>4500026202</v>
      </c>
      <c r="AF2697" s="27" t="s">
        <v>333</v>
      </c>
      <c r="AG2697" s="160"/>
      <c r="AH2697" s="160"/>
      <c r="AI2697" s="158"/>
      <c r="AJ2697" s="158"/>
      <c r="AK2697" s="158"/>
      <c r="AL2697" s="158"/>
      <c r="AM2697" s="158"/>
      <c r="AN2697" s="158"/>
      <c r="AO2697" s="158"/>
      <c r="AP2697" s="158"/>
      <c r="AQ2697" s="158">
        <v>292</v>
      </c>
      <c r="AR2697" s="507"/>
      <c r="AS2697" s="475"/>
      <c r="AT2697" s="160"/>
    </row>
    <row r="2698" spans="1:46" ht="15" hidden="1" customHeight="1">
      <c r="A2698" s="220">
        <v>2692</v>
      </c>
      <c r="B2698" s="159" t="s">
        <v>382</v>
      </c>
      <c r="C2698" s="159" t="s">
        <v>10754</v>
      </c>
      <c r="D2698" s="438" t="s">
        <v>384</v>
      </c>
      <c r="E2698" s="361" t="str">
        <f t="shared" ca="1" si="187"/>
        <v>LOSS</v>
      </c>
      <c r="F2698" s="160" t="s">
        <v>10755</v>
      </c>
      <c r="G2698" s="159" t="s">
        <v>10756</v>
      </c>
      <c r="H2698" s="160" t="s">
        <v>2748</v>
      </c>
      <c r="I2698" s="160" t="s">
        <v>242</v>
      </c>
      <c r="J2698" s="205" t="s">
        <v>10757</v>
      </c>
      <c r="K2698" s="160"/>
      <c r="L2698" s="158"/>
      <c r="M2698" s="158" t="s">
        <v>10654</v>
      </c>
      <c r="N2698" s="158" t="s">
        <v>6885</v>
      </c>
      <c r="O2698" s="162"/>
      <c r="P2698" s="161">
        <f>3500000*12</f>
        <v>42000000</v>
      </c>
      <c r="Q2698" s="161"/>
      <c r="R2698" s="162"/>
      <c r="S2698" s="163">
        <v>12000000</v>
      </c>
      <c r="T2698" s="164"/>
      <c r="U2698" s="340">
        <v>45923</v>
      </c>
      <c r="V2698" s="340">
        <v>46287</v>
      </c>
      <c r="W2698" s="158" t="s">
        <v>17</v>
      </c>
      <c r="X2698" s="158"/>
      <c r="Y2698" s="34">
        <f t="shared" ca="1" si="188"/>
        <v>46290</v>
      </c>
      <c r="Z2698" s="35">
        <f t="shared" ca="1" si="186"/>
        <v>-3</v>
      </c>
      <c r="AA2698" s="27">
        <f>MONTH(Table1[[#This Row],[End]])</f>
        <v>9</v>
      </c>
      <c r="AB2698" s="27">
        <f>YEAR(V2698)</f>
        <v>2026</v>
      </c>
      <c r="AC2698" s="159" t="s">
        <v>11778</v>
      </c>
      <c r="AD2698" s="159" t="s">
        <v>11779</v>
      </c>
      <c r="AE2698" s="184" t="s">
        <v>11780</v>
      </c>
      <c r="AF2698" s="201" t="s">
        <v>399</v>
      </c>
      <c r="AG2698" s="160"/>
      <c r="AH2698" s="160"/>
      <c r="AI2698" s="158"/>
      <c r="AJ2698" s="158"/>
      <c r="AK2698" s="158"/>
      <c r="AL2698" s="158"/>
      <c r="AM2698" s="158"/>
      <c r="AN2698" s="158"/>
      <c r="AO2698" s="158"/>
      <c r="AP2698" s="158"/>
      <c r="AQ2698" s="158">
        <v>293</v>
      </c>
      <c r="AR2698" s="507"/>
      <c r="AS2698" s="475"/>
      <c r="AT2698" s="160"/>
    </row>
    <row r="2699" spans="1:46" ht="15" hidden="1" customHeight="1">
      <c r="A2699" s="220">
        <v>2693</v>
      </c>
      <c r="B2699" s="159" t="s">
        <v>382</v>
      </c>
      <c r="C2699" s="159" t="s">
        <v>11781</v>
      </c>
      <c r="D2699" s="437" t="s">
        <v>384</v>
      </c>
      <c r="E2699" s="361" t="str">
        <f t="shared" ca="1" si="187"/>
        <v>LOSS</v>
      </c>
      <c r="F2699" s="160" t="s">
        <v>11782</v>
      </c>
      <c r="G2699" s="159" t="s">
        <v>11783</v>
      </c>
      <c r="H2699" s="29" t="s">
        <v>2748</v>
      </c>
      <c r="I2699" s="160" t="s">
        <v>242</v>
      </c>
      <c r="J2699" s="205" t="s">
        <v>11784</v>
      </c>
      <c r="K2699" s="160"/>
      <c r="L2699" s="158"/>
      <c r="M2699" s="158"/>
      <c r="N2699" s="160"/>
      <c r="O2699" s="162"/>
      <c r="P2699" s="161">
        <f>7550000*12</f>
        <v>90600000</v>
      </c>
      <c r="Q2699" s="161"/>
      <c r="R2699" s="162"/>
      <c r="S2699" s="163">
        <v>12000000</v>
      </c>
      <c r="T2699" s="164"/>
      <c r="U2699" s="334">
        <v>44588</v>
      </c>
      <c r="V2699" s="334">
        <v>46048</v>
      </c>
      <c r="W2699" s="27" t="s">
        <v>250</v>
      </c>
      <c r="X2699" s="158"/>
      <c r="Y2699" s="34">
        <f t="shared" ca="1" si="188"/>
        <v>46290</v>
      </c>
      <c r="Z2699" s="35">
        <f t="shared" ca="1" si="186"/>
        <v>-242</v>
      </c>
      <c r="AA2699" s="27">
        <f>MONTH(V2699)</f>
        <v>1</v>
      </c>
      <c r="AB2699" s="27">
        <f>YEAR(V2699)</f>
        <v>2026</v>
      </c>
      <c r="AC2699" s="159" t="s">
        <v>479</v>
      </c>
      <c r="AD2699" s="159" t="s">
        <v>11785</v>
      </c>
      <c r="AE2699" s="27">
        <v>4500026199</v>
      </c>
      <c r="AF2699" s="201" t="s">
        <v>333</v>
      </c>
      <c r="AG2699" s="160"/>
      <c r="AH2699" s="160"/>
      <c r="AI2699" s="158"/>
      <c r="AJ2699" s="158"/>
      <c r="AK2699" s="158"/>
      <c r="AL2699" s="158"/>
      <c r="AM2699" s="158"/>
      <c r="AN2699" s="158"/>
      <c r="AO2699" s="158"/>
      <c r="AP2699" s="158"/>
      <c r="AQ2699" s="158">
        <v>294</v>
      </c>
      <c r="AR2699" s="507"/>
      <c r="AS2699" s="475"/>
      <c r="AT2699" s="160"/>
    </row>
    <row r="2700" spans="1:46" ht="15" hidden="1" customHeight="1">
      <c r="A2700" s="220">
        <v>2694</v>
      </c>
      <c r="B2700" s="159" t="s">
        <v>382</v>
      </c>
      <c r="C2700" s="159" t="s">
        <v>11786</v>
      </c>
      <c r="D2700" s="438" t="s">
        <v>384</v>
      </c>
      <c r="E2700" s="361" t="str">
        <f t="shared" ca="1" si="187"/>
        <v>LOSS</v>
      </c>
      <c r="F2700" s="160" t="s">
        <v>11787</v>
      </c>
      <c r="G2700" s="159" t="s">
        <v>11788</v>
      </c>
      <c r="H2700" s="29" t="s">
        <v>2748</v>
      </c>
      <c r="I2700" s="29" t="s">
        <v>242</v>
      </c>
      <c r="J2700" s="28" t="s">
        <v>6106</v>
      </c>
      <c r="K2700" s="160"/>
      <c r="L2700" s="158"/>
      <c r="M2700" s="158"/>
      <c r="N2700" s="160"/>
      <c r="O2700" s="162"/>
      <c r="P2700" s="31">
        <f>12*2800000</f>
        <v>33600000</v>
      </c>
      <c r="Q2700" s="161"/>
      <c r="R2700" s="162"/>
      <c r="S2700" s="32">
        <v>12000000</v>
      </c>
      <c r="T2700" s="164"/>
      <c r="U2700" s="334">
        <v>45190</v>
      </c>
      <c r="V2700" s="334">
        <v>46285</v>
      </c>
      <c r="W2700" s="27" t="s">
        <v>17</v>
      </c>
      <c r="X2700" s="158"/>
      <c r="Y2700" s="34">
        <f t="shared" ca="1" si="188"/>
        <v>46290</v>
      </c>
      <c r="Z2700" s="35">
        <f t="shared" ca="1" si="186"/>
        <v>-5</v>
      </c>
      <c r="AA2700" s="27">
        <f>MONTH(V2700)</f>
        <v>9</v>
      </c>
      <c r="AB2700" s="27">
        <f>YEAR(V2700)</f>
        <v>2026</v>
      </c>
      <c r="AC2700" s="159" t="s">
        <v>11789</v>
      </c>
      <c r="AD2700" s="159" t="s">
        <v>11790</v>
      </c>
      <c r="AE2700" s="27">
        <v>4500026203</v>
      </c>
      <c r="AF2700" s="201" t="s">
        <v>333</v>
      </c>
      <c r="AG2700" s="160"/>
      <c r="AH2700" s="160"/>
      <c r="AI2700" s="158"/>
      <c r="AJ2700" s="158"/>
      <c r="AK2700" s="158"/>
      <c r="AL2700" s="158"/>
      <c r="AM2700" s="158"/>
      <c r="AN2700" s="158"/>
      <c r="AO2700" s="158"/>
      <c r="AP2700" s="158"/>
      <c r="AQ2700" s="158">
        <v>295</v>
      </c>
      <c r="AR2700" s="507"/>
      <c r="AS2700" s="475"/>
      <c r="AT2700" s="160"/>
    </row>
    <row r="2701" spans="1:46" ht="15" hidden="1" customHeight="1">
      <c r="A2701" s="220">
        <v>2695</v>
      </c>
      <c r="B2701" s="159" t="s">
        <v>382</v>
      </c>
      <c r="C2701" s="159" t="s">
        <v>1299</v>
      </c>
      <c r="D2701" s="437" t="s">
        <v>384</v>
      </c>
      <c r="E2701" s="361" t="str">
        <f t="shared" ca="1" si="187"/>
        <v>LOSS</v>
      </c>
      <c r="F2701" s="160" t="s">
        <v>11185</v>
      </c>
      <c r="G2701" s="159" t="s">
        <v>11186</v>
      </c>
      <c r="H2701" s="160" t="s">
        <v>2748</v>
      </c>
      <c r="I2701" s="160" t="s">
        <v>242</v>
      </c>
      <c r="J2701" s="159" t="s">
        <v>6251</v>
      </c>
      <c r="K2701" s="160"/>
      <c r="L2701" s="158"/>
      <c r="M2701" s="158" t="s">
        <v>329</v>
      </c>
      <c r="N2701" s="158" t="s">
        <v>389</v>
      </c>
      <c r="O2701" s="162"/>
      <c r="P2701" s="161">
        <f>41500000*12</f>
        <v>498000000</v>
      </c>
      <c r="Q2701" s="161"/>
      <c r="R2701" s="162"/>
      <c r="S2701" s="163">
        <v>12000000</v>
      </c>
      <c r="T2701" s="164"/>
      <c r="U2701" s="340">
        <v>45898</v>
      </c>
      <c r="V2701" s="340">
        <v>46262</v>
      </c>
      <c r="W2701" s="27" t="s">
        <v>17</v>
      </c>
      <c r="X2701" s="158"/>
      <c r="Y2701" s="164">
        <f t="shared" ca="1" si="188"/>
        <v>46290</v>
      </c>
      <c r="Z2701" s="35">
        <f t="shared" ca="1" si="186"/>
        <v>-28</v>
      </c>
      <c r="AA2701" s="158">
        <f>MONTH(Table1[[#This Row],[End]])</f>
        <v>8</v>
      </c>
      <c r="AB2701" s="158">
        <f>YEAR(Table1[[#This Row],[End]])</f>
        <v>2026</v>
      </c>
      <c r="AC2701" s="159" t="s">
        <v>11791</v>
      </c>
      <c r="AD2701" s="159" t="s">
        <v>11792</v>
      </c>
      <c r="AE2701" s="184" t="s">
        <v>11793</v>
      </c>
      <c r="AF2701" s="158" t="s">
        <v>333</v>
      </c>
      <c r="AG2701" s="160"/>
      <c r="AH2701" s="160"/>
      <c r="AI2701" s="158"/>
      <c r="AJ2701" s="158"/>
      <c r="AK2701" s="158"/>
      <c r="AL2701" s="158"/>
      <c r="AM2701" s="158"/>
      <c r="AN2701" s="158"/>
      <c r="AO2701" s="158"/>
      <c r="AP2701" s="158"/>
      <c r="AQ2701" s="158">
        <v>296</v>
      </c>
      <c r="AR2701" s="507"/>
      <c r="AS2701" s="475"/>
      <c r="AT2701" s="160"/>
    </row>
    <row r="2702" spans="1:46" ht="15" hidden="1" customHeight="1">
      <c r="A2702" s="220">
        <v>2696</v>
      </c>
      <c r="B2702" s="159" t="s">
        <v>169</v>
      </c>
      <c r="C2702" s="159" t="s">
        <v>344</v>
      </c>
      <c r="D2702" s="438" t="s">
        <v>377</v>
      </c>
      <c r="E2702" s="361" t="str">
        <f t="shared" ca="1" si="187"/>
        <v>LOSS</v>
      </c>
      <c r="F2702" s="160"/>
      <c r="G2702" s="159" t="s">
        <v>378</v>
      </c>
      <c r="H2702" s="160" t="s">
        <v>2748</v>
      </c>
      <c r="I2702" s="160" t="s">
        <v>346</v>
      </c>
      <c r="J2702" s="159"/>
      <c r="K2702" s="160"/>
      <c r="L2702" s="158"/>
      <c r="M2702" s="158"/>
      <c r="N2702" s="160"/>
      <c r="O2702" s="162"/>
      <c r="P2702" s="163">
        <v>328550000</v>
      </c>
      <c r="Q2702" s="161"/>
      <c r="R2702" s="162"/>
      <c r="S2702" s="163">
        <v>453000000</v>
      </c>
      <c r="T2702" s="164"/>
      <c r="U2702" s="340">
        <v>45849</v>
      </c>
      <c r="V2702" s="340">
        <v>46032</v>
      </c>
      <c r="W2702" s="158" t="s">
        <v>17</v>
      </c>
      <c r="X2702" s="158"/>
      <c r="Y2702" s="164">
        <f t="shared" ca="1" si="188"/>
        <v>46290</v>
      </c>
      <c r="Z2702" s="35">
        <f t="shared" ca="1" si="186"/>
        <v>-258</v>
      </c>
      <c r="AA2702" s="158">
        <f>MONTH(Table1[[#This Row],[End]])</f>
        <v>1</v>
      </c>
      <c r="AB2702" s="158">
        <f>YEAR(Table1[[#This Row],[End]])</f>
        <v>2026</v>
      </c>
      <c r="AC2702" s="159">
        <v>4500024448</v>
      </c>
      <c r="AD2702" s="159" t="s">
        <v>379</v>
      </c>
      <c r="AE2702" s="184" t="s">
        <v>380</v>
      </c>
      <c r="AF2702" s="158" t="s">
        <v>339</v>
      </c>
      <c r="AG2702" s="160"/>
      <c r="AH2702" s="160"/>
      <c r="AI2702" s="158"/>
      <c r="AJ2702" s="158"/>
      <c r="AK2702" s="158"/>
      <c r="AL2702" s="158"/>
      <c r="AM2702" s="158"/>
      <c r="AN2702" s="158"/>
      <c r="AO2702" s="158"/>
      <c r="AP2702" s="158"/>
      <c r="AQ2702" s="158">
        <v>288</v>
      </c>
      <c r="AR2702" s="507"/>
      <c r="AS2702" s="475"/>
      <c r="AT2702" s="160"/>
    </row>
    <row r="2703" spans="1:46" ht="15" hidden="1" customHeight="1">
      <c r="A2703" s="220">
        <v>2697</v>
      </c>
      <c r="B2703" s="159" t="s">
        <v>169</v>
      </c>
      <c r="C2703" s="159" t="s">
        <v>344</v>
      </c>
      <c r="D2703" s="437" t="s">
        <v>862</v>
      </c>
      <c r="E2703" s="361" t="str">
        <f t="shared" ca="1" si="187"/>
        <v>LOSS</v>
      </c>
      <c r="F2703" s="160"/>
      <c r="G2703" s="159" t="s">
        <v>378</v>
      </c>
      <c r="H2703" s="160" t="s">
        <v>2748</v>
      </c>
      <c r="I2703" s="160" t="s">
        <v>242</v>
      </c>
      <c r="J2703" s="159"/>
      <c r="K2703" s="160"/>
      <c r="L2703" s="158"/>
      <c r="M2703" s="158"/>
      <c r="N2703" s="160"/>
      <c r="O2703" s="162"/>
      <c r="P2703" s="163">
        <v>328550000</v>
      </c>
      <c r="Q2703" s="161"/>
      <c r="R2703" s="162"/>
      <c r="S2703" s="163">
        <v>18000000</v>
      </c>
      <c r="T2703" s="164"/>
      <c r="U2703" s="340">
        <v>45579</v>
      </c>
      <c r="V2703" s="340">
        <v>45943</v>
      </c>
      <c r="W2703" s="158" t="s">
        <v>250</v>
      </c>
      <c r="X2703" s="158"/>
      <c r="Y2703" s="164">
        <f t="shared" ca="1" si="188"/>
        <v>46290</v>
      </c>
      <c r="Z2703" s="35">
        <f t="shared" ca="1" si="186"/>
        <v>-347</v>
      </c>
      <c r="AA2703" s="158">
        <f>MONTH(Table1[[#This Row],[End]])</f>
        <v>10</v>
      </c>
      <c r="AB2703" s="158">
        <f>YEAR(Table1[[#This Row],[End]])</f>
        <v>2025</v>
      </c>
      <c r="AC2703" s="159">
        <v>4500021815</v>
      </c>
      <c r="AD2703" s="159" t="s">
        <v>11794</v>
      </c>
      <c r="AE2703" s="184" t="s">
        <v>11795</v>
      </c>
      <c r="AF2703" s="158" t="s">
        <v>339</v>
      </c>
      <c r="AG2703" s="160"/>
      <c r="AH2703" s="160"/>
      <c r="AI2703" s="158"/>
      <c r="AJ2703" s="158"/>
      <c r="AK2703" s="158"/>
      <c r="AL2703" s="158"/>
      <c r="AM2703" s="158"/>
      <c r="AN2703" s="158"/>
      <c r="AO2703" s="158"/>
      <c r="AP2703" s="158"/>
      <c r="AQ2703" s="158">
        <v>289</v>
      </c>
      <c r="AR2703" s="507"/>
      <c r="AS2703" s="475"/>
      <c r="AT2703" s="160"/>
    </row>
    <row r="2704" spans="1:46" ht="15" hidden="1" customHeight="1">
      <c r="A2704" s="220">
        <v>2698</v>
      </c>
      <c r="B2704" s="159" t="s">
        <v>129</v>
      </c>
      <c r="C2704" s="159" t="s">
        <v>2203</v>
      </c>
      <c r="D2704" s="437" t="s">
        <v>11309</v>
      </c>
      <c r="E2704" s="361" t="str">
        <f t="shared" ca="1" si="187"/>
        <v>LOSS</v>
      </c>
      <c r="F2704" s="160"/>
      <c r="G2704" s="159" t="s">
        <v>364</v>
      </c>
      <c r="H2704" s="160" t="s">
        <v>2748</v>
      </c>
      <c r="I2704" s="160" t="s">
        <v>346</v>
      </c>
      <c r="J2704" s="159"/>
      <c r="K2704" s="181" t="s">
        <v>11796</v>
      </c>
      <c r="L2704" s="158"/>
      <c r="M2704" s="158" t="s">
        <v>7091</v>
      </c>
      <c r="N2704" s="160"/>
      <c r="O2704" s="162"/>
      <c r="P2704" s="161">
        <f>4350000*12</f>
        <v>52200000</v>
      </c>
      <c r="Q2704" s="161"/>
      <c r="R2704" s="162"/>
      <c r="S2704" s="163">
        <v>122757000</v>
      </c>
      <c r="T2704" s="164"/>
      <c r="U2704" s="340">
        <v>45364</v>
      </c>
      <c r="V2704" s="340">
        <v>46022</v>
      </c>
      <c r="W2704" s="27" t="s">
        <v>250</v>
      </c>
      <c r="X2704" s="158"/>
      <c r="Y2704" s="34">
        <f t="shared" ca="1" si="188"/>
        <v>46290</v>
      </c>
      <c r="Z2704" s="35">
        <f t="shared" ca="1" si="186"/>
        <v>-268</v>
      </c>
      <c r="AA2704" s="158">
        <f>MONTH(V2704)</f>
        <v>12</v>
      </c>
      <c r="AB2704" s="158">
        <f>YEAR(V2704)</f>
        <v>2025</v>
      </c>
      <c r="AC2704" s="159">
        <v>4500021242</v>
      </c>
      <c r="AD2704" s="159" t="s">
        <v>11797</v>
      </c>
      <c r="AE2704" s="184" t="s">
        <v>11798</v>
      </c>
      <c r="AF2704" s="201" t="s">
        <v>333</v>
      </c>
      <c r="AG2704" s="160"/>
      <c r="AH2704" s="160"/>
      <c r="AI2704" s="158"/>
      <c r="AJ2704" s="158"/>
      <c r="AK2704" s="158"/>
      <c r="AL2704" s="158"/>
      <c r="AM2704" s="158"/>
      <c r="AN2704" s="158"/>
      <c r="AO2704" s="158"/>
      <c r="AP2704" s="158"/>
      <c r="AQ2704" s="158">
        <v>308</v>
      </c>
      <c r="AR2704" s="507"/>
      <c r="AS2704" s="475"/>
      <c r="AT2704" s="160"/>
    </row>
    <row r="2705" spans="1:46" ht="15" hidden="1" customHeight="1">
      <c r="A2705" s="220">
        <v>2699</v>
      </c>
      <c r="B2705" s="159" t="s">
        <v>129</v>
      </c>
      <c r="C2705" s="159" t="s">
        <v>11799</v>
      </c>
      <c r="D2705" s="437" t="s">
        <v>11309</v>
      </c>
      <c r="E2705" s="361" t="str">
        <f t="shared" ca="1" si="187"/>
        <v>LOSS</v>
      </c>
      <c r="F2705" s="160" t="s">
        <v>11800</v>
      </c>
      <c r="G2705" s="159" t="s">
        <v>9605</v>
      </c>
      <c r="H2705" s="160" t="s">
        <v>2748</v>
      </c>
      <c r="I2705" s="160" t="s">
        <v>346</v>
      </c>
      <c r="J2705" s="159"/>
      <c r="K2705" s="181" t="s">
        <v>9606</v>
      </c>
      <c r="L2705" s="158"/>
      <c r="M2705" s="158" t="s">
        <v>365</v>
      </c>
      <c r="N2705" s="158" t="s">
        <v>406</v>
      </c>
      <c r="O2705" s="162"/>
      <c r="P2705" s="161">
        <f>6500000*12</f>
        <v>78000000</v>
      </c>
      <c r="Q2705" s="161"/>
      <c r="R2705" s="162"/>
      <c r="S2705" s="163">
        <v>32235000</v>
      </c>
      <c r="T2705" s="164"/>
      <c r="U2705" s="340">
        <v>45894</v>
      </c>
      <c r="V2705" s="340">
        <v>46258</v>
      </c>
      <c r="W2705" s="158" t="s">
        <v>250</v>
      </c>
      <c r="X2705" s="158"/>
      <c r="Y2705" s="34">
        <f t="shared" ca="1" si="188"/>
        <v>46290</v>
      </c>
      <c r="Z2705" s="35">
        <f t="shared" ca="1" si="186"/>
        <v>-32</v>
      </c>
      <c r="AA2705" s="158">
        <f>MONTH(V2705)</f>
        <v>8</v>
      </c>
      <c r="AB2705" s="158">
        <f>YEAR(V2705)</f>
        <v>2026</v>
      </c>
      <c r="AC2705" s="159" t="s">
        <v>11801</v>
      </c>
      <c r="AD2705" s="159" t="s">
        <v>11802</v>
      </c>
      <c r="AE2705" s="184" t="s">
        <v>11803</v>
      </c>
      <c r="AF2705" s="201" t="s">
        <v>333</v>
      </c>
      <c r="AG2705" s="160"/>
      <c r="AH2705" s="160"/>
      <c r="AI2705" s="158"/>
      <c r="AJ2705" s="158"/>
      <c r="AK2705" s="158"/>
      <c r="AL2705" s="158"/>
      <c r="AM2705" s="158"/>
      <c r="AN2705" s="158"/>
      <c r="AO2705" s="158"/>
      <c r="AP2705" s="158"/>
      <c r="AQ2705" s="158">
        <v>309</v>
      </c>
      <c r="AR2705" s="507"/>
      <c r="AS2705" s="475"/>
      <c r="AT2705" s="160"/>
    </row>
    <row r="2706" spans="1:46" ht="15" hidden="1" customHeight="1">
      <c r="A2706" s="220">
        <v>2700</v>
      </c>
      <c r="B2706" s="159" t="s">
        <v>129</v>
      </c>
      <c r="C2706" s="159" t="s">
        <v>11804</v>
      </c>
      <c r="D2706" s="438" t="s">
        <v>11309</v>
      </c>
      <c r="E2706" s="361" t="str">
        <f t="shared" ca="1" si="187"/>
        <v>LOSS</v>
      </c>
      <c r="F2706" s="160"/>
      <c r="G2706" s="159" t="s">
        <v>364</v>
      </c>
      <c r="H2706" s="160" t="s">
        <v>2748</v>
      </c>
      <c r="I2706" s="160" t="s">
        <v>346</v>
      </c>
      <c r="J2706" s="159"/>
      <c r="K2706" s="181" t="s">
        <v>11805</v>
      </c>
      <c r="L2706" s="158"/>
      <c r="M2706" s="158" t="s">
        <v>7091</v>
      </c>
      <c r="N2706" s="160"/>
      <c r="O2706" s="162"/>
      <c r="P2706" s="161">
        <v>15000000</v>
      </c>
      <c r="Q2706" s="161"/>
      <c r="R2706" s="162"/>
      <c r="S2706" s="163">
        <v>32743125</v>
      </c>
      <c r="T2706" s="164"/>
      <c r="U2706" s="340">
        <v>45218</v>
      </c>
      <c r="V2706" s="340">
        <v>46022</v>
      </c>
      <c r="W2706" s="158" t="s">
        <v>250</v>
      </c>
      <c r="X2706" s="158"/>
      <c r="Y2706" s="34">
        <f t="shared" ca="1" si="188"/>
        <v>46290</v>
      </c>
      <c r="Z2706" s="35">
        <f t="shared" ca="1" si="186"/>
        <v>-268</v>
      </c>
      <c r="AA2706" s="158">
        <f>MONTH(V2706)</f>
        <v>12</v>
      </c>
      <c r="AB2706" s="158">
        <f>YEAR(V2706)</f>
        <v>2025</v>
      </c>
      <c r="AC2706" s="159" t="s">
        <v>11806</v>
      </c>
      <c r="AD2706" s="159" t="s">
        <v>11807</v>
      </c>
      <c r="AE2706" s="184" t="s">
        <v>11808</v>
      </c>
      <c r="AF2706" s="201" t="s">
        <v>333</v>
      </c>
      <c r="AG2706" s="160"/>
      <c r="AH2706" s="160"/>
      <c r="AI2706" s="158"/>
      <c r="AJ2706" s="158"/>
      <c r="AK2706" s="158"/>
      <c r="AL2706" s="158"/>
      <c r="AM2706" s="158"/>
      <c r="AN2706" s="158"/>
      <c r="AO2706" s="158"/>
      <c r="AP2706" s="158"/>
      <c r="AQ2706" s="158">
        <v>310</v>
      </c>
      <c r="AR2706" s="507"/>
      <c r="AS2706" s="475"/>
      <c r="AT2706" s="160"/>
    </row>
    <row r="2707" spans="1:46" ht="15" hidden="1" customHeight="1">
      <c r="A2707" s="220">
        <v>2701</v>
      </c>
      <c r="B2707" s="159" t="s">
        <v>1043</v>
      </c>
      <c r="C2707" s="28" t="s">
        <v>2689</v>
      </c>
      <c r="D2707" s="437" t="s">
        <v>6810</v>
      </c>
      <c r="E2707" s="361" t="str">
        <f t="shared" ca="1" si="187"/>
        <v>LOSS</v>
      </c>
      <c r="F2707" s="29" t="s">
        <v>11809</v>
      </c>
      <c r="G2707" s="28" t="s">
        <v>9104</v>
      </c>
      <c r="H2707" s="29" t="s">
        <v>261</v>
      </c>
      <c r="I2707" s="264" t="s">
        <v>243</v>
      </c>
      <c r="J2707" s="28" t="s">
        <v>6850</v>
      </c>
      <c r="K2707" s="38" t="s">
        <v>6851</v>
      </c>
      <c r="L2707" s="258" t="s">
        <v>4749</v>
      </c>
      <c r="M2707" s="27" t="s">
        <v>365</v>
      </c>
      <c r="N2707" s="27" t="s">
        <v>417</v>
      </c>
      <c r="O2707" s="162"/>
      <c r="P2707" s="31">
        <f>3000000*12</f>
        <v>36000000</v>
      </c>
      <c r="Q2707" s="31"/>
      <c r="R2707" s="56"/>
      <c r="S2707" s="103">
        <f>1500000*12</f>
        <v>18000000</v>
      </c>
      <c r="T2707" s="164"/>
      <c r="U2707" s="334">
        <v>45891</v>
      </c>
      <c r="V2707" s="334">
        <v>46255</v>
      </c>
      <c r="W2707" s="27" t="s">
        <v>17</v>
      </c>
      <c r="X2707" s="27"/>
      <c r="Y2707" s="34">
        <f t="shared" ca="1" si="188"/>
        <v>46290</v>
      </c>
      <c r="Z2707" s="35">
        <f t="shared" ca="1" si="186"/>
        <v>-35</v>
      </c>
      <c r="AA2707" s="27">
        <v>8</v>
      </c>
      <c r="AB2707" s="27">
        <v>2025</v>
      </c>
      <c r="AC2707" s="28" t="s">
        <v>11810</v>
      </c>
      <c r="AD2707" s="28" t="s">
        <v>11811</v>
      </c>
      <c r="AE2707" s="268" t="s">
        <v>11812</v>
      </c>
      <c r="AF2707" s="201" t="s">
        <v>8995</v>
      </c>
      <c r="AG2707" s="160"/>
      <c r="AH2707" s="29" t="s">
        <v>11813</v>
      </c>
      <c r="AI2707" s="158"/>
      <c r="AJ2707" s="158"/>
      <c r="AK2707" s="158"/>
      <c r="AL2707" s="158"/>
      <c r="AM2707" s="158"/>
      <c r="AN2707" s="158"/>
      <c r="AO2707" s="158"/>
      <c r="AP2707" s="158"/>
      <c r="AQ2707" s="158">
        <v>311</v>
      </c>
      <c r="AR2707" s="507"/>
      <c r="AS2707" s="475"/>
      <c r="AT2707" s="160"/>
    </row>
    <row r="2708" spans="1:46" ht="15" hidden="1" customHeight="1">
      <c r="A2708" s="220">
        <v>2702</v>
      </c>
      <c r="B2708" s="159" t="s">
        <v>165</v>
      </c>
      <c r="C2708" s="159" t="s">
        <v>7093</v>
      </c>
      <c r="D2708" s="437" t="s">
        <v>7149</v>
      </c>
      <c r="E2708" s="361" t="str">
        <f t="shared" ca="1" si="187"/>
        <v>LOSS</v>
      </c>
      <c r="F2708" s="28" t="s">
        <v>115</v>
      </c>
      <c r="G2708" s="28" t="s">
        <v>7094</v>
      </c>
      <c r="H2708" s="28" t="s">
        <v>261</v>
      </c>
      <c r="I2708" s="361" t="s">
        <v>243</v>
      </c>
      <c r="J2708" s="28" t="s">
        <v>7095</v>
      </c>
      <c r="K2708" s="38" t="s">
        <v>7096</v>
      </c>
      <c r="L2708" s="53">
        <v>0.995</v>
      </c>
      <c r="M2708" s="27" t="s">
        <v>365</v>
      </c>
      <c r="N2708" s="27" t="s">
        <v>494</v>
      </c>
      <c r="O2708" s="162"/>
      <c r="P2708" s="52">
        <f>10500000*12</f>
        <v>126000000</v>
      </c>
      <c r="Q2708" s="161"/>
      <c r="R2708" s="162"/>
      <c r="S2708" s="32">
        <f>7700000*12</f>
        <v>92400000</v>
      </c>
      <c r="T2708" s="164"/>
      <c r="U2708" s="334">
        <v>45828</v>
      </c>
      <c r="V2708" s="334">
        <v>46192</v>
      </c>
      <c r="W2708" s="27" t="s">
        <v>17</v>
      </c>
      <c r="X2708" s="158"/>
      <c r="Y2708" s="34">
        <f t="shared" ca="1" si="188"/>
        <v>46290</v>
      </c>
      <c r="Z2708" s="35">
        <f t="shared" ca="1" si="186"/>
        <v>-98</v>
      </c>
      <c r="AA2708" s="27">
        <f t="shared" ref="AA2708:AA2714" si="189">MONTH(V2708)</f>
        <v>6</v>
      </c>
      <c r="AB2708" s="27">
        <f t="shared" ref="AB2708:AB2714" si="190">YEAR(V2708)</f>
        <v>2026</v>
      </c>
      <c r="AC2708" s="28" t="s">
        <v>11814</v>
      </c>
      <c r="AD2708" s="28" t="s">
        <v>11815</v>
      </c>
      <c r="AE2708" s="27">
        <v>4500022572</v>
      </c>
      <c r="AF2708" s="201" t="s">
        <v>8995</v>
      </c>
      <c r="AG2708" s="29" t="s">
        <v>9100</v>
      </c>
      <c r="AH2708" s="160" t="s">
        <v>7099</v>
      </c>
      <c r="AI2708" s="158"/>
      <c r="AJ2708" s="158"/>
      <c r="AK2708" s="158"/>
      <c r="AL2708" s="158"/>
      <c r="AM2708" s="158"/>
      <c r="AN2708" s="158"/>
      <c r="AO2708" s="158"/>
      <c r="AP2708" s="158"/>
      <c r="AQ2708" s="158">
        <v>312</v>
      </c>
      <c r="AR2708" s="507"/>
      <c r="AS2708" s="475"/>
      <c r="AT2708" s="160"/>
    </row>
    <row r="2709" spans="1:46" ht="15" hidden="1" customHeight="1">
      <c r="A2709" s="220">
        <v>2703</v>
      </c>
      <c r="B2709" s="159" t="s">
        <v>1043</v>
      </c>
      <c r="C2709" s="28" t="s">
        <v>6825</v>
      </c>
      <c r="D2709" s="437" t="s">
        <v>6810</v>
      </c>
      <c r="E2709" s="361" t="str">
        <f t="shared" ca="1" si="187"/>
        <v>LOSS</v>
      </c>
      <c r="F2709" s="29" t="s">
        <v>11816</v>
      </c>
      <c r="G2709" s="28" t="s">
        <v>9325</v>
      </c>
      <c r="H2709" s="29" t="s">
        <v>261</v>
      </c>
      <c r="I2709" s="29" t="s">
        <v>243</v>
      </c>
      <c r="J2709" s="28" t="s">
        <v>6827</v>
      </c>
      <c r="K2709" s="36" t="s">
        <v>9326</v>
      </c>
      <c r="L2709" s="27" t="s">
        <v>4749</v>
      </c>
      <c r="M2709" s="27" t="s">
        <v>365</v>
      </c>
      <c r="N2709" s="27" t="s">
        <v>6802</v>
      </c>
      <c r="O2709" s="162"/>
      <c r="P2709" s="31">
        <f>2700000*12</f>
        <v>32400000</v>
      </c>
      <c r="Q2709" s="161"/>
      <c r="R2709" s="162"/>
      <c r="S2709" s="56">
        <f>3500000*12</f>
        <v>42000000</v>
      </c>
      <c r="T2709" s="164"/>
      <c r="U2709" s="334">
        <v>45881</v>
      </c>
      <c r="V2709" s="340">
        <v>46245</v>
      </c>
      <c r="W2709" s="158" t="s">
        <v>17</v>
      </c>
      <c r="X2709" s="158"/>
      <c r="Y2709" s="34">
        <f t="shared" ca="1" si="188"/>
        <v>46290</v>
      </c>
      <c r="Z2709" s="35">
        <f t="shared" ca="1" si="186"/>
        <v>-45</v>
      </c>
      <c r="AA2709" s="27">
        <f t="shared" si="189"/>
        <v>8</v>
      </c>
      <c r="AB2709" s="27">
        <f t="shared" si="190"/>
        <v>2026</v>
      </c>
      <c r="AC2709" s="28" t="s">
        <v>11817</v>
      </c>
      <c r="AD2709" s="194" t="s">
        <v>11818</v>
      </c>
      <c r="AE2709" s="47" t="s">
        <v>11819</v>
      </c>
      <c r="AF2709" s="201" t="s">
        <v>8995</v>
      </c>
      <c r="AG2709" s="160"/>
      <c r="AH2709" s="29" t="s">
        <v>11813</v>
      </c>
      <c r="AI2709" s="158"/>
      <c r="AJ2709" s="158"/>
      <c r="AK2709" s="158"/>
      <c r="AL2709" s="158"/>
      <c r="AM2709" s="158"/>
      <c r="AN2709" s="158"/>
      <c r="AO2709" s="158"/>
      <c r="AP2709" s="158"/>
      <c r="AQ2709" s="158">
        <v>279</v>
      </c>
      <c r="AR2709" s="507"/>
      <c r="AS2709" s="475"/>
      <c r="AT2709" s="160"/>
    </row>
    <row r="2710" spans="1:46" ht="15" hidden="1" customHeight="1">
      <c r="A2710" s="220">
        <v>2704</v>
      </c>
      <c r="B2710" s="159" t="s">
        <v>400</v>
      </c>
      <c r="C2710" s="159" t="s">
        <v>344</v>
      </c>
      <c r="D2710" s="438" t="s">
        <v>6810</v>
      </c>
      <c r="E2710" s="361" t="str">
        <f t="shared" ca="1" si="187"/>
        <v>LOSS</v>
      </c>
      <c r="F2710" s="160"/>
      <c r="G2710" s="159" t="s">
        <v>11820</v>
      </c>
      <c r="H2710" s="160" t="s">
        <v>2748</v>
      </c>
      <c r="I2710" s="160" t="s">
        <v>346</v>
      </c>
      <c r="J2710" s="159"/>
      <c r="K2710" s="160"/>
      <c r="L2710" s="158"/>
      <c r="M2710" s="158" t="s">
        <v>365</v>
      </c>
      <c r="N2710" s="160"/>
      <c r="O2710" s="162"/>
      <c r="P2710" s="161">
        <v>252000000</v>
      </c>
      <c r="Q2710" s="161"/>
      <c r="R2710" s="162"/>
      <c r="S2710" s="163">
        <v>95500000</v>
      </c>
      <c r="T2710" s="164"/>
      <c r="U2710" s="340">
        <v>45828</v>
      </c>
      <c r="V2710" s="340">
        <v>46192</v>
      </c>
      <c r="W2710" s="158" t="s">
        <v>17</v>
      </c>
      <c r="X2710" s="158"/>
      <c r="Y2710" s="34">
        <f t="shared" ca="1" si="188"/>
        <v>46290</v>
      </c>
      <c r="Z2710" s="35">
        <f t="shared" ca="1" si="186"/>
        <v>-98</v>
      </c>
      <c r="AA2710" s="27">
        <f t="shared" si="189"/>
        <v>6</v>
      </c>
      <c r="AB2710" s="27">
        <f t="shared" si="190"/>
        <v>2026</v>
      </c>
      <c r="AC2710" s="159" t="s">
        <v>3371</v>
      </c>
      <c r="AD2710" s="159" t="s">
        <v>11821</v>
      </c>
      <c r="AE2710" s="184" t="s">
        <v>11822</v>
      </c>
      <c r="AF2710" s="201" t="s">
        <v>356</v>
      </c>
      <c r="AG2710" s="160"/>
      <c r="AH2710" s="160"/>
      <c r="AI2710" s="158"/>
      <c r="AJ2710" s="158"/>
      <c r="AK2710" s="158"/>
      <c r="AL2710" s="158"/>
      <c r="AM2710" s="158"/>
      <c r="AN2710" s="158"/>
      <c r="AO2710" s="158"/>
      <c r="AP2710" s="158"/>
      <c r="AQ2710" s="158">
        <v>102</v>
      </c>
      <c r="AR2710" s="507"/>
      <c r="AS2710" s="475"/>
      <c r="AT2710" s="160"/>
    </row>
    <row r="2711" spans="1:46" ht="15" hidden="1" customHeight="1">
      <c r="A2711" s="220">
        <v>2705</v>
      </c>
      <c r="B2711" s="159" t="s">
        <v>348</v>
      </c>
      <c r="C2711" s="159" t="s">
        <v>2612</v>
      </c>
      <c r="D2711" s="437" t="s">
        <v>11420</v>
      </c>
      <c r="E2711" s="361" t="str">
        <f t="shared" ca="1" si="187"/>
        <v>LOSS</v>
      </c>
      <c r="F2711" s="160"/>
      <c r="G2711" s="194" t="s">
        <v>11823</v>
      </c>
      <c r="H2711" s="160" t="s">
        <v>2748</v>
      </c>
      <c r="I2711" s="160" t="s">
        <v>242</v>
      </c>
      <c r="J2711" s="194" t="s">
        <v>11824</v>
      </c>
      <c r="K2711" s="292" t="s">
        <v>11825</v>
      </c>
      <c r="L2711" s="158"/>
      <c r="M2711" s="158" t="s">
        <v>365</v>
      </c>
      <c r="N2711" s="160" t="s">
        <v>406</v>
      </c>
      <c r="O2711" s="162"/>
      <c r="P2711" s="161">
        <v>19690000</v>
      </c>
      <c r="Q2711" s="161"/>
      <c r="R2711" s="162"/>
      <c r="S2711" s="163">
        <v>5369986</v>
      </c>
      <c r="T2711" s="164"/>
      <c r="U2711" s="340">
        <v>45925</v>
      </c>
      <c r="V2711" s="340">
        <v>46022</v>
      </c>
      <c r="W2711" s="158" t="s">
        <v>17</v>
      </c>
      <c r="X2711" s="158"/>
      <c r="Y2711" s="34">
        <f t="shared" ca="1" si="188"/>
        <v>46290</v>
      </c>
      <c r="Z2711" s="35">
        <f t="shared" ca="1" si="186"/>
        <v>-268</v>
      </c>
      <c r="AA2711" s="27">
        <f t="shared" si="189"/>
        <v>12</v>
      </c>
      <c r="AB2711" s="27">
        <f t="shared" si="190"/>
        <v>2025</v>
      </c>
      <c r="AC2711" s="159"/>
      <c r="AD2711" s="194" t="s">
        <v>11826</v>
      </c>
      <c r="AE2711" s="184" t="s">
        <v>11827</v>
      </c>
      <c r="AF2711" s="201" t="s">
        <v>356</v>
      </c>
      <c r="AG2711" s="160"/>
      <c r="AH2711" s="160" t="s">
        <v>357</v>
      </c>
      <c r="AI2711" s="158"/>
      <c r="AJ2711" s="158"/>
      <c r="AK2711" s="158"/>
      <c r="AL2711" s="158"/>
      <c r="AM2711" s="158"/>
      <c r="AN2711" s="158"/>
      <c r="AO2711" s="158"/>
      <c r="AP2711" s="158"/>
      <c r="AQ2711" s="158">
        <v>255</v>
      </c>
      <c r="AR2711" s="507"/>
      <c r="AS2711" s="475"/>
      <c r="AT2711" s="160"/>
    </row>
    <row r="2712" spans="1:46" ht="15" hidden="1" customHeight="1">
      <c r="A2712" s="220">
        <v>2706</v>
      </c>
      <c r="B2712" s="159" t="s">
        <v>2615</v>
      </c>
      <c r="C2712" s="159" t="s">
        <v>10191</v>
      </c>
      <c r="D2712" s="438" t="s">
        <v>6750</v>
      </c>
      <c r="E2712" s="361" t="str">
        <f t="shared" ca="1" si="187"/>
        <v>CRITICAL</v>
      </c>
      <c r="F2712" s="203" t="s">
        <v>10192</v>
      </c>
      <c r="G2712" s="205" t="s">
        <v>10192</v>
      </c>
      <c r="H2712" s="160" t="s">
        <v>261</v>
      </c>
      <c r="I2712" s="160" t="s">
        <v>243</v>
      </c>
      <c r="J2712" s="159" t="s">
        <v>10193</v>
      </c>
      <c r="K2712" s="181" t="s">
        <v>10194</v>
      </c>
      <c r="L2712" s="51">
        <v>0.995</v>
      </c>
      <c r="M2712" s="158" t="s">
        <v>353</v>
      </c>
      <c r="N2712" s="158" t="s">
        <v>389</v>
      </c>
      <c r="O2712" s="162"/>
      <c r="P2712" s="161">
        <f>4250000*12</f>
        <v>51000000</v>
      </c>
      <c r="Q2712" s="161"/>
      <c r="R2712" s="162"/>
      <c r="S2712" s="163">
        <f>3500000*12</f>
        <v>42000000</v>
      </c>
      <c r="T2712" s="164"/>
      <c r="U2712" s="340">
        <v>45931</v>
      </c>
      <c r="V2712" s="340">
        <v>46295</v>
      </c>
      <c r="W2712" s="158" t="s">
        <v>250</v>
      </c>
      <c r="X2712" s="158"/>
      <c r="Y2712" s="34">
        <f t="shared" ca="1" si="188"/>
        <v>46290</v>
      </c>
      <c r="Z2712" s="35">
        <f t="shared" ca="1" si="186"/>
        <v>5</v>
      </c>
      <c r="AA2712" s="27">
        <f t="shared" si="189"/>
        <v>9</v>
      </c>
      <c r="AB2712" s="27">
        <f t="shared" si="190"/>
        <v>2026</v>
      </c>
      <c r="AC2712" s="159" t="s">
        <v>11828</v>
      </c>
      <c r="AD2712" s="28" t="s">
        <v>11829</v>
      </c>
      <c r="AE2712" s="184" t="s">
        <v>11830</v>
      </c>
      <c r="AF2712" s="27" t="s">
        <v>471</v>
      </c>
      <c r="AG2712" s="160"/>
      <c r="AH2712" s="174" t="s">
        <v>6757</v>
      </c>
      <c r="AI2712" s="158"/>
      <c r="AJ2712" s="158"/>
      <c r="AK2712" s="158"/>
      <c r="AL2712" s="158"/>
      <c r="AM2712" s="158"/>
      <c r="AN2712" s="158"/>
      <c r="AO2712" s="158"/>
      <c r="AP2712" s="158"/>
      <c r="AQ2712" s="158">
        <v>337</v>
      </c>
      <c r="AR2712" s="507"/>
      <c r="AS2712" s="475"/>
      <c r="AT2712" s="160"/>
    </row>
    <row r="2713" spans="1:46" ht="15" hidden="1" customHeight="1">
      <c r="A2713" s="220">
        <v>2707</v>
      </c>
      <c r="B2713" s="28" t="s">
        <v>9333</v>
      </c>
      <c r="C2713" s="28" t="s">
        <v>8333</v>
      </c>
      <c r="D2713" s="438" t="s">
        <v>8367</v>
      </c>
      <c r="E2713" s="361" t="str">
        <f t="shared" ca="1" si="187"/>
        <v>LOSS</v>
      </c>
      <c r="F2713" s="29"/>
      <c r="G2713" s="28" t="s">
        <v>8368</v>
      </c>
      <c r="H2713" s="29" t="s">
        <v>261</v>
      </c>
      <c r="I2713" s="29" t="s">
        <v>243</v>
      </c>
      <c r="J2713" s="28" t="s">
        <v>8369</v>
      </c>
      <c r="K2713" s="36" t="s">
        <v>8370</v>
      </c>
      <c r="L2713" s="51">
        <v>0.995</v>
      </c>
      <c r="M2713" s="27" t="s">
        <v>7153</v>
      </c>
      <c r="N2713" s="27" t="s">
        <v>8363</v>
      </c>
      <c r="O2713" s="162"/>
      <c r="P2713" s="161">
        <f>25000000*12</f>
        <v>300000000</v>
      </c>
      <c r="Q2713" s="161"/>
      <c r="R2713" s="162"/>
      <c r="S2713" s="163">
        <f>25000000*12</f>
        <v>300000000</v>
      </c>
      <c r="T2713" s="164"/>
      <c r="U2713" s="334">
        <v>45862</v>
      </c>
      <c r="V2713" s="334">
        <v>46226</v>
      </c>
      <c r="W2713" s="27" t="s">
        <v>250</v>
      </c>
      <c r="X2713" s="27"/>
      <c r="Y2713" s="34">
        <f t="shared" ca="1" si="188"/>
        <v>46290</v>
      </c>
      <c r="Z2713" s="35">
        <f t="shared" ca="1" si="186"/>
        <v>-64</v>
      </c>
      <c r="AA2713" s="27">
        <f t="shared" si="189"/>
        <v>7</v>
      </c>
      <c r="AB2713" s="27">
        <f t="shared" si="190"/>
        <v>2026</v>
      </c>
      <c r="AC2713" s="28" t="s">
        <v>11831</v>
      </c>
      <c r="AD2713" s="171" t="s">
        <v>11832</v>
      </c>
      <c r="AE2713" s="47" t="s">
        <v>11833</v>
      </c>
      <c r="AF2713" s="52" t="s">
        <v>471</v>
      </c>
      <c r="AG2713" s="160"/>
      <c r="AH2713" s="29" t="s">
        <v>11834</v>
      </c>
      <c r="AI2713" s="158"/>
      <c r="AJ2713" s="158"/>
      <c r="AK2713" s="158"/>
      <c r="AL2713" s="158"/>
      <c r="AM2713" s="158"/>
      <c r="AN2713" s="158"/>
      <c r="AO2713" s="158"/>
      <c r="AP2713" s="158"/>
      <c r="AQ2713" s="158">
        <v>301</v>
      </c>
      <c r="AR2713" s="507"/>
      <c r="AS2713" s="475"/>
      <c r="AT2713" s="160"/>
    </row>
    <row r="2714" spans="1:46" ht="15" hidden="1" customHeight="1">
      <c r="A2714" s="220">
        <v>2708</v>
      </c>
      <c r="B2714" s="159" t="s">
        <v>956</v>
      </c>
      <c r="C2714" s="28" t="s">
        <v>6629</v>
      </c>
      <c r="D2714" s="28"/>
      <c r="E2714" s="361" t="str">
        <f t="shared" ca="1" si="187"/>
        <v>CRITICAL</v>
      </c>
      <c r="F2714" s="203" t="s">
        <v>11835</v>
      </c>
      <c r="G2714" s="216" t="s">
        <v>11836</v>
      </c>
      <c r="H2714" s="160" t="s">
        <v>261</v>
      </c>
      <c r="I2714" s="160" t="s">
        <v>243</v>
      </c>
      <c r="J2714" s="205" t="s">
        <v>9703</v>
      </c>
      <c r="K2714" s="160" t="s">
        <v>11837</v>
      </c>
      <c r="L2714" s="53" t="s">
        <v>6895</v>
      </c>
      <c r="M2714" s="27" t="s">
        <v>329</v>
      </c>
      <c r="N2714" s="27" t="s">
        <v>354</v>
      </c>
      <c r="O2714" s="162"/>
      <c r="P2714" s="161">
        <f>3272727*12</f>
        <v>39272724</v>
      </c>
      <c r="Q2714" s="161"/>
      <c r="R2714" s="162"/>
      <c r="S2714" s="163">
        <f>2337500*12</f>
        <v>28050000</v>
      </c>
      <c r="T2714" s="164"/>
      <c r="U2714" s="340">
        <v>45931</v>
      </c>
      <c r="V2714" s="340">
        <v>46295</v>
      </c>
      <c r="W2714" s="158" t="s">
        <v>17</v>
      </c>
      <c r="X2714" s="158"/>
      <c r="Y2714" s="34">
        <f t="shared" ca="1" si="188"/>
        <v>46290</v>
      </c>
      <c r="Z2714" s="35">
        <f t="shared" ca="1" si="186"/>
        <v>5</v>
      </c>
      <c r="AA2714" s="27">
        <f t="shared" si="189"/>
        <v>9</v>
      </c>
      <c r="AB2714" s="27">
        <f t="shared" si="190"/>
        <v>2026</v>
      </c>
      <c r="AC2714" s="159" t="s">
        <v>11838</v>
      </c>
      <c r="AD2714" s="159" t="s">
        <v>11839</v>
      </c>
      <c r="AE2714" s="184" t="s">
        <v>9707</v>
      </c>
      <c r="AF2714" s="201" t="s">
        <v>471</v>
      </c>
      <c r="AG2714" s="160"/>
      <c r="AH2714" s="160" t="s">
        <v>11840</v>
      </c>
      <c r="AI2714" s="158"/>
      <c r="AJ2714" s="158"/>
      <c r="AK2714" s="158"/>
      <c r="AL2714" s="158"/>
      <c r="AM2714" s="158"/>
      <c r="AN2714" s="158"/>
      <c r="AO2714" s="158"/>
      <c r="AP2714" s="158"/>
      <c r="AQ2714" s="158">
        <v>336</v>
      </c>
      <c r="AR2714" s="507"/>
      <c r="AS2714" s="475"/>
      <c r="AT2714" s="160"/>
    </row>
    <row r="2715" spans="1:46" ht="15" hidden="1" customHeight="1">
      <c r="A2715" s="220">
        <v>2709</v>
      </c>
      <c r="B2715" s="159" t="s">
        <v>10216</v>
      </c>
      <c r="C2715" s="159" t="s">
        <v>11841</v>
      </c>
      <c r="D2715" s="460" t="s">
        <v>10310</v>
      </c>
      <c r="E2715" s="361" t="str">
        <f t="shared" ca="1" si="187"/>
        <v>LOSS</v>
      </c>
      <c r="F2715" s="160"/>
      <c r="G2715" s="159" t="s">
        <v>11842</v>
      </c>
      <c r="H2715" s="160" t="s">
        <v>261</v>
      </c>
      <c r="I2715" s="160" t="s">
        <v>243</v>
      </c>
      <c r="J2715" s="159" t="s">
        <v>11843</v>
      </c>
      <c r="K2715" s="181" t="s">
        <v>11844</v>
      </c>
      <c r="L2715" s="158" t="s">
        <v>4749</v>
      </c>
      <c r="M2715" s="158" t="s">
        <v>365</v>
      </c>
      <c r="N2715" s="158" t="s">
        <v>6885</v>
      </c>
      <c r="O2715" s="162">
        <v>2500000</v>
      </c>
      <c r="P2715" s="161">
        <f>3500000*12</f>
        <v>42000000</v>
      </c>
      <c r="Q2715" s="161"/>
      <c r="R2715" s="162">
        <v>5000000</v>
      </c>
      <c r="S2715" s="163">
        <f>800000*12</f>
        <v>9600000</v>
      </c>
      <c r="T2715" s="164"/>
      <c r="U2715" s="340">
        <v>45875</v>
      </c>
      <c r="V2715" s="340">
        <v>46239</v>
      </c>
      <c r="W2715" s="158" t="s">
        <v>250</v>
      </c>
      <c r="X2715" s="158"/>
      <c r="Y2715" s="164">
        <f t="shared" ca="1" si="188"/>
        <v>46290</v>
      </c>
      <c r="Z2715" s="207">
        <f ca="1">Table1[[#This Row],[End]]-Table1[[#This Row],[Today]]</f>
        <v>-51</v>
      </c>
      <c r="AA2715" s="158">
        <f>MONTH(Table1[[#This Row],[End]])</f>
        <v>8</v>
      </c>
      <c r="AB2715" s="158">
        <f>YEAR(Table1[[#This Row],[End]])</f>
        <v>2026</v>
      </c>
      <c r="AC2715" s="159" t="s">
        <v>3371</v>
      </c>
      <c r="AD2715" s="159" t="s">
        <v>11845</v>
      </c>
      <c r="AE2715" s="184" t="s">
        <v>11846</v>
      </c>
      <c r="AF2715" s="201" t="s">
        <v>471</v>
      </c>
      <c r="AG2715" s="160"/>
      <c r="AH2715" s="160" t="s">
        <v>11847</v>
      </c>
      <c r="AI2715" s="158"/>
      <c r="AJ2715" s="158"/>
      <c r="AK2715" s="158"/>
      <c r="AL2715" s="158"/>
      <c r="AM2715" s="158"/>
      <c r="AN2715" s="158"/>
      <c r="AO2715" s="158"/>
      <c r="AP2715" s="158"/>
      <c r="AQ2715" s="158">
        <v>253</v>
      </c>
      <c r="AR2715" s="507"/>
      <c r="AS2715" s="475"/>
      <c r="AT2715" s="160"/>
    </row>
    <row r="2716" spans="1:46" ht="15" hidden="1" customHeight="1">
      <c r="A2716" s="220">
        <v>2710</v>
      </c>
      <c r="B2716" s="159" t="s">
        <v>1043</v>
      </c>
      <c r="C2716" s="28" t="s">
        <v>543</v>
      </c>
      <c r="D2716" s="437" t="s">
        <v>6810</v>
      </c>
      <c r="E2716" s="361" t="str">
        <f t="shared" ca="1" si="187"/>
        <v>LOSS</v>
      </c>
      <c r="F2716" s="29"/>
      <c r="G2716" s="29" t="s">
        <v>9274</v>
      </c>
      <c r="H2716" s="29" t="s">
        <v>261</v>
      </c>
      <c r="I2716" s="29" t="s">
        <v>243</v>
      </c>
      <c r="J2716" s="28" t="s">
        <v>6865</v>
      </c>
      <c r="K2716" s="28" t="s">
        <v>9275</v>
      </c>
      <c r="L2716" s="258">
        <v>0.995</v>
      </c>
      <c r="M2716" s="27" t="s">
        <v>353</v>
      </c>
      <c r="N2716" s="27" t="s">
        <v>362</v>
      </c>
      <c r="O2716" s="162"/>
      <c r="P2716" s="161">
        <f>9600000*12</f>
        <v>115200000</v>
      </c>
      <c r="Q2716" s="161"/>
      <c r="R2716" s="162"/>
      <c r="S2716" s="163">
        <f>10166000*12</f>
        <v>121992000</v>
      </c>
      <c r="T2716" s="164"/>
      <c r="U2716" s="340">
        <v>45847</v>
      </c>
      <c r="V2716" s="340">
        <v>46211</v>
      </c>
      <c r="W2716" s="158" t="s">
        <v>17</v>
      </c>
      <c r="X2716" s="158"/>
      <c r="Y2716" s="34">
        <f t="shared" ca="1" si="188"/>
        <v>46290</v>
      </c>
      <c r="Z2716" s="35">
        <f t="shared" ref="Z2716:Z2747" ca="1" si="191">V2716-Y2716</f>
        <v>-79</v>
      </c>
      <c r="AA2716" s="27">
        <f t="shared" ref="AA2716:AA2723" si="192">MONTH(V2716)</f>
        <v>7</v>
      </c>
      <c r="AB2716" s="27">
        <f t="shared" ref="AB2716:AB2723" si="193">YEAR(V2716)</f>
        <v>2026</v>
      </c>
      <c r="AC2716" s="28" t="s">
        <v>11848</v>
      </c>
      <c r="AD2716" s="29" t="s">
        <v>11849</v>
      </c>
      <c r="AE2716" s="47" t="s">
        <v>11850</v>
      </c>
      <c r="AF2716" s="201" t="s">
        <v>8995</v>
      </c>
      <c r="AG2716" s="160"/>
      <c r="AH2716" s="29" t="s">
        <v>11851</v>
      </c>
      <c r="AI2716" s="158"/>
      <c r="AJ2716" s="158"/>
      <c r="AK2716" s="158"/>
      <c r="AL2716" s="158"/>
      <c r="AM2716" s="158"/>
      <c r="AN2716" s="158"/>
      <c r="AO2716" s="158"/>
      <c r="AP2716" s="158"/>
      <c r="AQ2716" s="158">
        <v>278</v>
      </c>
      <c r="AR2716" s="507"/>
      <c r="AS2716" s="475"/>
      <c r="AT2716" s="160"/>
    </row>
    <row r="2717" spans="1:46" ht="15" hidden="1" customHeight="1">
      <c r="A2717" s="220">
        <v>2711</v>
      </c>
      <c r="B2717" s="159" t="s">
        <v>1043</v>
      </c>
      <c r="C2717" s="159" t="s">
        <v>9690</v>
      </c>
      <c r="D2717" s="437" t="s">
        <v>6810</v>
      </c>
      <c r="E2717" s="361" t="str">
        <f t="shared" ca="1" si="187"/>
        <v>LOSS</v>
      </c>
      <c r="F2717" s="160"/>
      <c r="G2717" s="159" t="s">
        <v>9691</v>
      </c>
      <c r="H2717" s="160" t="s">
        <v>9692</v>
      </c>
      <c r="I2717" s="160" t="s">
        <v>243</v>
      </c>
      <c r="J2717" s="159" t="s">
        <v>9693</v>
      </c>
      <c r="K2717" s="181" t="s">
        <v>9694</v>
      </c>
      <c r="L2717" s="27" t="s">
        <v>4749</v>
      </c>
      <c r="M2717" s="158" t="s">
        <v>353</v>
      </c>
      <c r="N2717" s="158" t="s">
        <v>396</v>
      </c>
      <c r="O2717" s="162"/>
      <c r="P2717" s="161">
        <f>9972800*12</f>
        <v>119673600</v>
      </c>
      <c r="Q2717" s="161"/>
      <c r="R2717" s="162"/>
      <c r="S2717" s="163">
        <f>8000000*12</f>
        <v>96000000</v>
      </c>
      <c r="T2717" s="164"/>
      <c r="U2717" s="340">
        <v>45924</v>
      </c>
      <c r="V2717" s="340">
        <v>46288</v>
      </c>
      <c r="W2717" s="158" t="s">
        <v>17</v>
      </c>
      <c r="X2717" s="158"/>
      <c r="Y2717" s="34">
        <f t="shared" ca="1" si="188"/>
        <v>46290</v>
      </c>
      <c r="Z2717" s="35">
        <f t="shared" ca="1" si="191"/>
        <v>-2</v>
      </c>
      <c r="AA2717" s="27">
        <f t="shared" si="192"/>
        <v>9</v>
      </c>
      <c r="AB2717" s="27">
        <f t="shared" si="193"/>
        <v>2026</v>
      </c>
      <c r="AC2717" s="159" t="s">
        <v>11852</v>
      </c>
      <c r="AD2717" s="171" t="s">
        <v>11853</v>
      </c>
      <c r="AE2717" s="184" t="s">
        <v>11854</v>
      </c>
      <c r="AF2717" s="201" t="s">
        <v>471</v>
      </c>
      <c r="AG2717" s="160"/>
      <c r="AH2717" s="29" t="s">
        <v>11851</v>
      </c>
      <c r="AI2717" s="158"/>
      <c r="AJ2717" s="158"/>
      <c r="AK2717" s="158"/>
      <c r="AL2717" s="158"/>
      <c r="AM2717" s="158"/>
      <c r="AN2717" s="158"/>
      <c r="AO2717" s="158"/>
      <c r="AP2717" s="158"/>
      <c r="AQ2717" s="158">
        <v>342</v>
      </c>
      <c r="AR2717" s="507"/>
      <c r="AS2717" s="475"/>
      <c r="AT2717" s="160"/>
    </row>
    <row r="2718" spans="1:46" ht="15" hidden="1" customHeight="1">
      <c r="A2718" s="220">
        <v>2712</v>
      </c>
      <c r="B2718" s="159" t="s">
        <v>1043</v>
      </c>
      <c r="C2718" s="159" t="s">
        <v>2331</v>
      </c>
      <c r="D2718" s="437" t="s">
        <v>6810</v>
      </c>
      <c r="E2718" s="361" t="str">
        <f t="shared" ca="1" si="187"/>
        <v>CRITICAL</v>
      </c>
      <c r="F2718" s="160"/>
      <c r="G2718" s="159" t="s">
        <v>9744</v>
      </c>
      <c r="H2718" s="160" t="s">
        <v>261</v>
      </c>
      <c r="I2718" s="160" t="s">
        <v>243</v>
      </c>
      <c r="J2718" s="159" t="s">
        <v>11855</v>
      </c>
      <c r="K2718" s="160" t="s">
        <v>11856</v>
      </c>
      <c r="L2718" s="158" t="s">
        <v>4749</v>
      </c>
      <c r="M2718" s="158" t="s">
        <v>11857</v>
      </c>
      <c r="N2718" s="158" t="s">
        <v>11858</v>
      </c>
      <c r="O2718" s="162"/>
      <c r="P2718" s="161">
        <f>39500000*12</f>
        <v>474000000</v>
      </c>
      <c r="Q2718" s="161"/>
      <c r="R2718" s="162"/>
      <c r="S2718" s="163">
        <f>12500000*12</f>
        <v>150000000</v>
      </c>
      <c r="T2718" s="164"/>
      <c r="U2718" s="340">
        <v>45931</v>
      </c>
      <c r="V2718" s="340">
        <v>46295</v>
      </c>
      <c r="W2718" s="158" t="s">
        <v>17</v>
      </c>
      <c r="X2718" s="158"/>
      <c r="Y2718" s="34">
        <f t="shared" ca="1" si="188"/>
        <v>46290</v>
      </c>
      <c r="Z2718" s="35">
        <f t="shared" ca="1" si="191"/>
        <v>5</v>
      </c>
      <c r="AA2718" s="158">
        <f t="shared" si="192"/>
        <v>9</v>
      </c>
      <c r="AB2718" s="158">
        <f t="shared" si="193"/>
        <v>2026</v>
      </c>
      <c r="AC2718" s="159" t="s">
        <v>11859</v>
      </c>
      <c r="AD2718" s="159" t="s">
        <v>11860</v>
      </c>
      <c r="AE2718" s="184" t="s">
        <v>11861</v>
      </c>
      <c r="AF2718" s="201" t="s">
        <v>471</v>
      </c>
      <c r="AG2718" s="160"/>
      <c r="AH2718" s="29" t="s">
        <v>11851</v>
      </c>
      <c r="AI2718" s="158"/>
      <c r="AJ2718" s="158"/>
      <c r="AK2718" s="158"/>
      <c r="AL2718" s="158"/>
      <c r="AM2718" s="158"/>
      <c r="AN2718" s="158"/>
      <c r="AO2718" s="158"/>
      <c r="AP2718" s="158"/>
      <c r="AQ2718" s="158">
        <v>303</v>
      </c>
      <c r="AR2718" s="507"/>
      <c r="AS2718" s="475"/>
      <c r="AT2718" s="160"/>
    </row>
    <row r="2719" spans="1:46" ht="15" hidden="1" customHeight="1">
      <c r="A2719" s="220">
        <v>2713</v>
      </c>
      <c r="B2719" s="159" t="s">
        <v>1043</v>
      </c>
      <c r="C2719" s="159" t="s">
        <v>11862</v>
      </c>
      <c r="D2719" s="437" t="s">
        <v>6810</v>
      </c>
      <c r="E2719" s="361" t="str">
        <f t="shared" ca="1" si="187"/>
        <v>LOSS</v>
      </c>
      <c r="F2719" s="160"/>
      <c r="G2719" s="159" t="s">
        <v>11863</v>
      </c>
      <c r="H2719" s="160" t="s">
        <v>261</v>
      </c>
      <c r="I2719" s="160" t="s">
        <v>243</v>
      </c>
      <c r="J2719" s="159" t="s">
        <v>11864</v>
      </c>
      <c r="K2719" s="181" t="s">
        <v>11865</v>
      </c>
      <c r="L2719" s="158" t="s">
        <v>4749</v>
      </c>
      <c r="M2719" s="158" t="s">
        <v>353</v>
      </c>
      <c r="N2719" s="158" t="s">
        <v>354</v>
      </c>
      <c r="O2719" s="162">
        <v>5500000</v>
      </c>
      <c r="P2719" s="161">
        <f>900000*12</f>
        <v>10800000</v>
      </c>
      <c r="Q2719" s="161"/>
      <c r="R2719" s="162">
        <v>3000000</v>
      </c>
      <c r="S2719" s="163">
        <f>2300000*12</f>
        <v>27600000</v>
      </c>
      <c r="T2719" s="164"/>
      <c r="U2719" s="340">
        <v>45910</v>
      </c>
      <c r="V2719" s="340">
        <v>46274</v>
      </c>
      <c r="W2719" s="158" t="s">
        <v>17</v>
      </c>
      <c r="X2719" s="158"/>
      <c r="Y2719" s="34">
        <f t="shared" ca="1" si="188"/>
        <v>46290</v>
      </c>
      <c r="Z2719" s="35">
        <f t="shared" ca="1" si="191"/>
        <v>-16</v>
      </c>
      <c r="AA2719" s="158">
        <f t="shared" si="192"/>
        <v>9</v>
      </c>
      <c r="AB2719" s="158">
        <f t="shared" si="193"/>
        <v>2026</v>
      </c>
      <c r="AC2719" s="159" t="s">
        <v>479</v>
      </c>
      <c r="AD2719" s="159" t="s">
        <v>11866</v>
      </c>
      <c r="AE2719" s="184" t="s">
        <v>11867</v>
      </c>
      <c r="AF2719" s="201" t="s">
        <v>471</v>
      </c>
      <c r="AG2719" s="160"/>
      <c r="AH2719" s="29" t="s">
        <v>11851</v>
      </c>
      <c r="AI2719" s="158"/>
      <c r="AJ2719" s="158"/>
      <c r="AK2719" s="158"/>
      <c r="AL2719" s="158"/>
      <c r="AM2719" s="158"/>
      <c r="AN2719" s="158"/>
      <c r="AO2719" s="158"/>
      <c r="AP2719" s="158"/>
      <c r="AQ2719" s="158">
        <v>341</v>
      </c>
      <c r="AR2719" s="507"/>
      <c r="AS2719" s="475"/>
      <c r="AT2719" s="160"/>
    </row>
    <row r="2720" spans="1:46" ht="15" hidden="1" customHeight="1">
      <c r="A2720" s="220">
        <v>2714</v>
      </c>
      <c r="B2720" s="159" t="s">
        <v>9045</v>
      </c>
      <c r="C2720" s="28" t="s">
        <v>6722</v>
      </c>
      <c r="D2720" s="437" t="s">
        <v>6723</v>
      </c>
      <c r="E2720" s="361" t="str">
        <f t="shared" ca="1" si="187"/>
        <v>LOSS</v>
      </c>
      <c r="F2720" s="28" t="s">
        <v>9170</v>
      </c>
      <c r="G2720" s="28" t="s">
        <v>11868</v>
      </c>
      <c r="H2720" s="28" t="s">
        <v>261</v>
      </c>
      <c r="I2720" s="361" t="s">
        <v>243</v>
      </c>
      <c r="J2720" s="28" t="s">
        <v>2569</v>
      </c>
      <c r="K2720" s="38" t="s">
        <v>9172</v>
      </c>
      <c r="L2720" s="53">
        <v>0.995</v>
      </c>
      <c r="M2720" s="27" t="s">
        <v>365</v>
      </c>
      <c r="N2720" s="27" t="s">
        <v>6727</v>
      </c>
      <c r="O2720" s="162"/>
      <c r="P2720" s="161">
        <f>46400000*12</f>
        <v>556800000</v>
      </c>
      <c r="Q2720" s="161"/>
      <c r="R2720" s="162"/>
      <c r="S2720" s="163">
        <f>29400000*12</f>
        <v>352800000</v>
      </c>
      <c r="T2720" s="164"/>
      <c r="U2720" s="334">
        <v>45860</v>
      </c>
      <c r="V2720" s="334">
        <v>46224</v>
      </c>
      <c r="W2720" s="27" t="s">
        <v>250</v>
      </c>
      <c r="X2720" s="27"/>
      <c r="Y2720" s="34">
        <f t="shared" ca="1" si="188"/>
        <v>46290</v>
      </c>
      <c r="Z2720" s="35">
        <f t="shared" ca="1" si="191"/>
        <v>-66</v>
      </c>
      <c r="AA2720" s="27">
        <f t="shared" si="192"/>
        <v>7</v>
      </c>
      <c r="AB2720" s="27">
        <f t="shared" si="193"/>
        <v>2026</v>
      </c>
      <c r="AC2720" s="28" t="s">
        <v>11869</v>
      </c>
      <c r="AD2720" s="28" t="s">
        <v>11870</v>
      </c>
      <c r="AE2720" s="27">
        <v>4500026242</v>
      </c>
      <c r="AF2720" s="27" t="s">
        <v>471</v>
      </c>
      <c r="AG2720" s="160"/>
      <c r="AH2720" s="29" t="s">
        <v>11851</v>
      </c>
      <c r="AI2720" s="158"/>
      <c r="AJ2720" s="158"/>
      <c r="AK2720" s="158"/>
      <c r="AL2720" s="158"/>
      <c r="AM2720" s="158"/>
      <c r="AN2720" s="158"/>
      <c r="AO2720" s="158"/>
      <c r="AP2720" s="158"/>
      <c r="AQ2720" s="158">
        <v>305</v>
      </c>
      <c r="AR2720" s="507"/>
      <c r="AS2720" s="475"/>
      <c r="AT2720" s="160"/>
    </row>
    <row r="2721" spans="1:46" ht="15" hidden="1" customHeight="1">
      <c r="A2721" s="220">
        <v>2715</v>
      </c>
      <c r="B2721" s="159" t="s">
        <v>9045</v>
      </c>
      <c r="C2721" s="28" t="s">
        <v>6729</v>
      </c>
      <c r="D2721" s="437" t="s">
        <v>6723</v>
      </c>
      <c r="E2721" s="361" t="str">
        <f t="shared" ca="1" si="187"/>
        <v>LOSS</v>
      </c>
      <c r="F2721" s="28" t="s">
        <v>9170</v>
      </c>
      <c r="G2721" s="28" t="s">
        <v>11868</v>
      </c>
      <c r="H2721" s="28" t="s">
        <v>261</v>
      </c>
      <c r="I2721" s="361" t="s">
        <v>243</v>
      </c>
      <c r="J2721" s="28" t="s">
        <v>2569</v>
      </c>
      <c r="K2721" s="38" t="s">
        <v>9172</v>
      </c>
      <c r="L2721" s="53">
        <v>0.995</v>
      </c>
      <c r="M2721" s="27" t="s">
        <v>365</v>
      </c>
      <c r="N2721" s="27" t="s">
        <v>6727</v>
      </c>
      <c r="O2721" s="162"/>
      <c r="P2721" s="161"/>
      <c r="Q2721" s="161"/>
      <c r="R2721" s="162"/>
      <c r="S2721" s="163">
        <f>10000000*12</f>
        <v>120000000</v>
      </c>
      <c r="T2721" s="164"/>
      <c r="U2721" s="334">
        <v>45860</v>
      </c>
      <c r="V2721" s="334">
        <v>46224</v>
      </c>
      <c r="W2721" s="27" t="s">
        <v>250</v>
      </c>
      <c r="X2721" s="27"/>
      <c r="Y2721" s="34">
        <f t="shared" ca="1" si="188"/>
        <v>46290</v>
      </c>
      <c r="Z2721" s="35">
        <f t="shared" ca="1" si="191"/>
        <v>-66</v>
      </c>
      <c r="AA2721" s="27">
        <f t="shared" si="192"/>
        <v>7</v>
      </c>
      <c r="AB2721" s="27">
        <f t="shared" si="193"/>
        <v>2026</v>
      </c>
      <c r="AC2721" s="28" t="s">
        <v>11871</v>
      </c>
      <c r="AD2721" s="28" t="s">
        <v>11872</v>
      </c>
      <c r="AE2721" s="27">
        <v>4500025966</v>
      </c>
      <c r="AF2721" s="27" t="s">
        <v>471</v>
      </c>
      <c r="AG2721" s="160"/>
      <c r="AH2721" s="29" t="s">
        <v>11851</v>
      </c>
      <c r="AI2721" s="158"/>
      <c r="AJ2721" s="158"/>
      <c r="AK2721" s="158"/>
      <c r="AL2721" s="158"/>
      <c r="AM2721" s="158"/>
      <c r="AN2721" s="158"/>
      <c r="AO2721" s="158"/>
      <c r="AP2721" s="158"/>
      <c r="AQ2721" s="158">
        <v>307</v>
      </c>
      <c r="AR2721" s="507"/>
      <c r="AS2721" s="475"/>
      <c r="AT2721" s="160"/>
    </row>
    <row r="2722" spans="1:46" ht="15" hidden="1" customHeight="1">
      <c r="A2722" s="220">
        <v>2716</v>
      </c>
      <c r="B2722" s="159" t="s">
        <v>9045</v>
      </c>
      <c r="C2722" s="28" t="s">
        <v>6731</v>
      </c>
      <c r="D2722" s="437" t="s">
        <v>6723</v>
      </c>
      <c r="E2722" s="361" t="str">
        <f t="shared" ca="1" si="187"/>
        <v>ON TRACK</v>
      </c>
      <c r="F2722" s="27" t="s">
        <v>11873</v>
      </c>
      <c r="G2722" s="28" t="s">
        <v>11874</v>
      </c>
      <c r="H2722" s="28" t="s">
        <v>261</v>
      </c>
      <c r="I2722" s="361" t="s">
        <v>243</v>
      </c>
      <c r="J2722" s="28" t="s">
        <v>6738</v>
      </c>
      <c r="K2722" s="38" t="s">
        <v>11875</v>
      </c>
      <c r="L2722" s="53">
        <v>0.995</v>
      </c>
      <c r="M2722" s="27" t="s">
        <v>329</v>
      </c>
      <c r="N2722" s="27" t="s">
        <v>6739</v>
      </c>
      <c r="O2722" s="162"/>
      <c r="P2722" s="161">
        <f>31000000*24</f>
        <v>744000000</v>
      </c>
      <c r="Q2722" s="161"/>
      <c r="R2722" s="162"/>
      <c r="S2722" s="163">
        <f>6125000*24</f>
        <v>147000000</v>
      </c>
      <c r="T2722" s="164"/>
      <c r="U2722" s="334">
        <v>45881</v>
      </c>
      <c r="V2722" s="334">
        <v>46610</v>
      </c>
      <c r="W2722" s="27" t="s">
        <v>17</v>
      </c>
      <c r="X2722" s="27"/>
      <c r="Y2722" s="34">
        <f t="shared" ca="1" si="188"/>
        <v>46290</v>
      </c>
      <c r="Z2722" s="35">
        <f t="shared" ca="1" si="191"/>
        <v>320</v>
      </c>
      <c r="AA2722" s="27">
        <f t="shared" si="192"/>
        <v>8</v>
      </c>
      <c r="AB2722" s="27">
        <f t="shared" si="193"/>
        <v>2027</v>
      </c>
      <c r="AC2722" s="28" t="s">
        <v>11876</v>
      </c>
      <c r="AD2722" s="28" t="s">
        <v>11877</v>
      </c>
      <c r="AE2722" s="27">
        <v>4500025965</v>
      </c>
      <c r="AF2722" s="27" t="s">
        <v>471</v>
      </c>
      <c r="AG2722" s="160"/>
      <c r="AH2722" s="160"/>
      <c r="AI2722" s="158"/>
      <c r="AJ2722" s="158"/>
      <c r="AK2722" s="158"/>
      <c r="AL2722" s="158"/>
      <c r="AM2722" s="158"/>
      <c r="AN2722" s="158"/>
      <c r="AO2722" s="158"/>
      <c r="AP2722" s="158"/>
      <c r="AQ2722" s="158">
        <v>250</v>
      </c>
      <c r="AR2722" s="507"/>
      <c r="AS2722" s="475"/>
      <c r="AT2722" s="160"/>
    </row>
    <row r="2723" spans="1:46" ht="15" hidden="1" customHeight="1">
      <c r="A2723" s="220">
        <v>2717</v>
      </c>
      <c r="B2723" s="159" t="s">
        <v>9045</v>
      </c>
      <c r="C2723" s="28" t="s">
        <v>6741</v>
      </c>
      <c r="D2723" s="437" t="s">
        <v>6723</v>
      </c>
      <c r="E2723" s="361" t="str">
        <f t="shared" ca="1" si="187"/>
        <v>ON TRACK</v>
      </c>
      <c r="F2723" s="27" t="s">
        <v>11873</v>
      </c>
      <c r="G2723" s="28" t="s">
        <v>11874</v>
      </c>
      <c r="H2723" s="28" t="s">
        <v>261</v>
      </c>
      <c r="I2723" s="361" t="s">
        <v>243</v>
      </c>
      <c r="J2723" s="28" t="s">
        <v>6738</v>
      </c>
      <c r="K2723" s="38" t="s">
        <v>11875</v>
      </c>
      <c r="L2723" s="53">
        <v>0.995</v>
      </c>
      <c r="M2723" s="27" t="s">
        <v>329</v>
      </c>
      <c r="N2723" s="27" t="s">
        <v>6739</v>
      </c>
      <c r="O2723" s="162"/>
      <c r="P2723" s="161"/>
      <c r="Q2723" s="161"/>
      <c r="R2723" s="162"/>
      <c r="S2723" s="163">
        <f>6000000*24</f>
        <v>144000000</v>
      </c>
      <c r="T2723" s="164"/>
      <c r="U2723" s="334">
        <v>45881</v>
      </c>
      <c r="V2723" s="334">
        <v>46610</v>
      </c>
      <c r="W2723" s="27" t="s">
        <v>17</v>
      </c>
      <c r="X2723" s="27"/>
      <c r="Y2723" s="34">
        <f t="shared" ca="1" si="188"/>
        <v>46290</v>
      </c>
      <c r="Z2723" s="35">
        <f t="shared" ca="1" si="191"/>
        <v>320</v>
      </c>
      <c r="AA2723" s="27">
        <f t="shared" si="192"/>
        <v>8</v>
      </c>
      <c r="AB2723" s="27">
        <f t="shared" si="193"/>
        <v>2027</v>
      </c>
      <c r="AC2723" s="28" t="s">
        <v>11878</v>
      </c>
      <c r="AD2723" s="28" t="s">
        <v>11879</v>
      </c>
      <c r="AE2723" s="27">
        <v>4500026070</v>
      </c>
      <c r="AF2723" s="27" t="s">
        <v>471</v>
      </c>
      <c r="AG2723" s="160"/>
      <c r="AH2723" s="160"/>
      <c r="AI2723" s="158"/>
      <c r="AJ2723" s="158"/>
      <c r="AK2723" s="158"/>
      <c r="AL2723" s="158"/>
      <c r="AM2723" s="158"/>
      <c r="AN2723" s="158"/>
      <c r="AO2723" s="158"/>
      <c r="AP2723" s="158"/>
      <c r="AQ2723" s="158">
        <v>306</v>
      </c>
      <c r="AR2723" s="507"/>
      <c r="AS2723" s="475"/>
      <c r="AT2723" s="160"/>
    </row>
    <row r="2724" spans="1:46" ht="15" hidden="1" customHeight="1">
      <c r="A2724" s="220">
        <v>2718</v>
      </c>
      <c r="B2724" s="159" t="s">
        <v>9045</v>
      </c>
      <c r="C2724" s="28" t="s">
        <v>11880</v>
      </c>
      <c r="D2724" s="437" t="s">
        <v>6723</v>
      </c>
      <c r="E2724" s="361" t="str">
        <f t="shared" ca="1" si="187"/>
        <v>CRITICAL</v>
      </c>
      <c r="F2724" s="29" t="s">
        <v>9047</v>
      </c>
      <c r="G2724" s="28" t="s">
        <v>9048</v>
      </c>
      <c r="H2724" s="29" t="s">
        <v>261</v>
      </c>
      <c r="I2724" s="361" t="s">
        <v>243</v>
      </c>
      <c r="J2724" s="28" t="s">
        <v>6704</v>
      </c>
      <c r="K2724" s="36" t="s">
        <v>11881</v>
      </c>
      <c r="L2724" s="27" t="s">
        <v>4749</v>
      </c>
      <c r="M2724" s="27" t="s">
        <v>365</v>
      </c>
      <c r="N2724" s="27" t="s">
        <v>4750</v>
      </c>
      <c r="O2724" s="162"/>
      <c r="P2724" s="161">
        <f>4800000*12</f>
        <v>57600000</v>
      </c>
      <c r="Q2724" s="161"/>
      <c r="R2724" s="162"/>
      <c r="S2724" s="163">
        <f>385000*12</f>
        <v>4620000</v>
      </c>
      <c r="T2724" s="164"/>
      <c r="U2724" s="334">
        <v>45940</v>
      </c>
      <c r="V2724" s="334">
        <v>46304</v>
      </c>
      <c r="W2724" s="27" t="s">
        <v>245</v>
      </c>
      <c r="X2724" s="27"/>
      <c r="Y2724" s="34">
        <f t="shared" ref="Y2724:Y2745" ca="1" si="194">TODAY()</f>
        <v>46290</v>
      </c>
      <c r="Z2724" s="35">
        <f t="shared" ca="1" si="191"/>
        <v>14</v>
      </c>
      <c r="AA2724" s="27">
        <v>10</v>
      </c>
      <c r="AB2724" s="27">
        <v>2025</v>
      </c>
      <c r="AC2724" s="28" t="s">
        <v>11882</v>
      </c>
      <c r="AD2724" s="28" t="s">
        <v>11883</v>
      </c>
      <c r="AE2724" s="48">
        <v>4500026338</v>
      </c>
      <c r="AF2724" s="52" t="s">
        <v>471</v>
      </c>
      <c r="AG2724" s="160"/>
      <c r="AH2724" s="160"/>
      <c r="AI2724" s="158"/>
      <c r="AJ2724" s="158"/>
      <c r="AK2724" s="158"/>
      <c r="AL2724" s="158"/>
      <c r="AM2724" s="158"/>
      <c r="AN2724" s="158"/>
      <c r="AO2724" s="158"/>
      <c r="AP2724" s="158"/>
      <c r="AQ2724" s="158">
        <v>340</v>
      </c>
      <c r="AR2724" s="507"/>
      <c r="AS2724" s="475"/>
      <c r="AT2724" s="160"/>
    </row>
    <row r="2725" spans="1:46" ht="15" hidden="1" customHeight="1">
      <c r="A2725" s="220">
        <v>2719</v>
      </c>
      <c r="B2725" s="159" t="s">
        <v>9045</v>
      </c>
      <c r="C2725" s="28" t="s">
        <v>11884</v>
      </c>
      <c r="D2725" s="437" t="s">
        <v>6723</v>
      </c>
      <c r="E2725" s="361" t="str">
        <f t="shared" ca="1" si="187"/>
        <v>CRITICAL</v>
      </c>
      <c r="F2725" s="29" t="s">
        <v>9052</v>
      </c>
      <c r="G2725" s="28" t="s">
        <v>9053</v>
      </c>
      <c r="H2725" s="29" t="s">
        <v>261</v>
      </c>
      <c r="I2725" s="361" t="s">
        <v>243</v>
      </c>
      <c r="J2725" s="28" t="s">
        <v>6704</v>
      </c>
      <c r="K2725" s="36" t="s">
        <v>11881</v>
      </c>
      <c r="L2725" s="27" t="s">
        <v>4749</v>
      </c>
      <c r="M2725" s="27" t="s">
        <v>365</v>
      </c>
      <c r="N2725" s="27" t="s">
        <v>4750</v>
      </c>
      <c r="O2725" s="162"/>
      <c r="P2725" s="161"/>
      <c r="Q2725" s="161"/>
      <c r="R2725" s="162"/>
      <c r="S2725" s="163">
        <f>945000*12</f>
        <v>11340000</v>
      </c>
      <c r="T2725" s="164"/>
      <c r="U2725" s="334">
        <v>45931</v>
      </c>
      <c r="V2725" s="334">
        <v>46295</v>
      </c>
      <c r="W2725" s="27" t="s">
        <v>245</v>
      </c>
      <c r="X2725" s="27"/>
      <c r="Y2725" s="34">
        <f t="shared" ca="1" si="194"/>
        <v>46290</v>
      </c>
      <c r="Z2725" s="35">
        <f t="shared" ca="1" si="191"/>
        <v>5</v>
      </c>
      <c r="AA2725" s="27">
        <v>9</v>
      </c>
      <c r="AB2725" s="27">
        <v>2025</v>
      </c>
      <c r="AC2725" s="28" t="s">
        <v>11885</v>
      </c>
      <c r="AD2725" s="28" t="s">
        <v>9054</v>
      </c>
      <c r="AE2725" s="48">
        <v>4500026339</v>
      </c>
      <c r="AF2725" s="52" t="s">
        <v>471</v>
      </c>
      <c r="AG2725" s="160"/>
      <c r="AH2725" s="160"/>
      <c r="AI2725" s="158"/>
      <c r="AJ2725" s="158"/>
      <c r="AK2725" s="158"/>
      <c r="AL2725" s="158"/>
      <c r="AM2725" s="158"/>
      <c r="AN2725" s="158"/>
      <c r="AO2725" s="158"/>
      <c r="AP2725" s="158"/>
      <c r="AQ2725" s="158">
        <v>343</v>
      </c>
      <c r="AR2725" s="507"/>
      <c r="AS2725" s="475"/>
      <c r="AT2725" s="160"/>
    </row>
    <row r="2726" spans="1:46" ht="15" hidden="1" customHeight="1">
      <c r="A2726" s="220">
        <v>2720</v>
      </c>
      <c r="B2726" s="159" t="s">
        <v>221</v>
      </c>
      <c r="C2726" s="159" t="s">
        <v>11886</v>
      </c>
      <c r="D2726" s="438" t="s">
        <v>369</v>
      </c>
      <c r="E2726" s="361" t="str">
        <f t="shared" ca="1" si="187"/>
        <v>CRITICAL</v>
      </c>
      <c r="F2726" s="160"/>
      <c r="G2726" s="159" t="s">
        <v>11887</v>
      </c>
      <c r="H2726" s="160" t="s">
        <v>2748</v>
      </c>
      <c r="I2726" s="160" t="s">
        <v>242</v>
      </c>
      <c r="J2726" s="159" t="s">
        <v>11888</v>
      </c>
      <c r="K2726" s="160"/>
      <c r="L2726" s="158"/>
      <c r="M2726" s="158" t="s">
        <v>329</v>
      </c>
      <c r="N2726" s="158" t="s">
        <v>6885</v>
      </c>
      <c r="O2726" s="162">
        <v>4000000</v>
      </c>
      <c r="P2726" s="161">
        <v>128200000</v>
      </c>
      <c r="Q2726" s="161"/>
      <c r="R2726" s="162">
        <v>6000000</v>
      </c>
      <c r="S2726" s="163">
        <v>27600000</v>
      </c>
      <c r="T2726" s="164"/>
      <c r="U2726" s="340">
        <v>45929</v>
      </c>
      <c r="V2726" s="340">
        <v>46293</v>
      </c>
      <c r="W2726" s="158" t="s">
        <v>17</v>
      </c>
      <c r="X2726" s="158"/>
      <c r="Y2726" s="164">
        <f t="shared" ca="1" si="194"/>
        <v>46290</v>
      </c>
      <c r="Z2726" s="35">
        <f t="shared" ca="1" si="191"/>
        <v>3</v>
      </c>
      <c r="AA2726" s="27">
        <v>9</v>
      </c>
      <c r="AB2726" s="158">
        <f>YEAR(Table1[[#This Row],[End]])</f>
        <v>2026</v>
      </c>
      <c r="AC2726" s="159"/>
      <c r="AD2726" s="159" t="s">
        <v>11889</v>
      </c>
      <c r="AE2726" s="158">
        <v>4500026317</v>
      </c>
      <c r="AF2726" s="201" t="s">
        <v>356</v>
      </c>
      <c r="AG2726" s="160"/>
      <c r="AH2726" s="160" t="s">
        <v>376</v>
      </c>
      <c r="AI2726" s="158"/>
      <c r="AJ2726" s="158"/>
      <c r="AK2726" s="158"/>
      <c r="AL2726" s="158"/>
      <c r="AM2726" s="158"/>
      <c r="AN2726" s="158"/>
      <c r="AO2726" s="158"/>
      <c r="AP2726" s="158"/>
      <c r="AQ2726" s="158">
        <v>275</v>
      </c>
      <c r="AR2726" s="507"/>
      <c r="AS2726" s="475"/>
      <c r="AT2726" s="160"/>
    </row>
    <row r="2727" spans="1:46" ht="15" hidden="1" customHeight="1">
      <c r="A2727" s="220">
        <v>2721</v>
      </c>
      <c r="B2727" s="159" t="s">
        <v>348</v>
      </c>
      <c r="C2727" s="159" t="s">
        <v>483</v>
      </c>
      <c r="D2727" s="437" t="s">
        <v>11420</v>
      </c>
      <c r="E2727" s="361" t="str">
        <f t="shared" ca="1" si="187"/>
        <v>LOSS</v>
      </c>
      <c r="F2727" s="160"/>
      <c r="G2727" s="159" t="s">
        <v>11890</v>
      </c>
      <c r="H2727" s="160" t="s">
        <v>2748</v>
      </c>
      <c r="I2727" s="160" t="s">
        <v>242</v>
      </c>
      <c r="J2727" s="159" t="s">
        <v>360</v>
      </c>
      <c r="K2727" s="181" t="s">
        <v>361</v>
      </c>
      <c r="L2727" s="158"/>
      <c r="M2727" s="158" t="s">
        <v>353</v>
      </c>
      <c r="N2727" s="158" t="s">
        <v>362</v>
      </c>
      <c r="O2727" s="162"/>
      <c r="P2727" s="161">
        <v>27810000</v>
      </c>
      <c r="Q2727" s="161"/>
      <c r="R2727" s="162"/>
      <c r="S2727" s="163">
        <v>6239580</v>
      </c>
      <c r="T2727" s="164"/>
      <c r="U2727" s="340">
        <v>45948</v>
      </c>
      <c r="V2727" s="340">
        <v>46022</v>
      </c>
      <c r="W2727" s="158" t="s">
        <v>17</v>
      </c>
      <c r="X2727" s="158"/>
      <c r="Y2727" s="34">
        <f t="shared" ca="1" si="194"/>
        <v>46290</v>
      </c>
      <c r="Z2727" s="35">
        <f t="shared" ca="1" si="191"/>
        <v>-268</v>
      </c>
      <c r="AA2727" s="27">
        <v>9</v>
      </c>
      <c r="AB2727" s="27">
        <v>2025</v>
      </c>
      <c r="AC2727" s="159"/>
      <c r="AD2727" s="159" t="s">
        <v>11891</v>
      </c>
      <c r="AE2727" s="158">
        <v>4500026316</v>
      </c>
      <c r="AF2727" s="201" t="s">
        <v>356</v>
      </c>
      <c r="AG2727" s="160"/>
      <c r="AH2727" s="160"/>
      <c r="AI2727" s="158"/>
      <c r="AJ2727" s="158"/>
      <c r="AK2727" s="158"/>
      <c r="AL2727" s="158"/>
      <c r="AM2727" s="158"/>
      <c r="AN2727" s="158"/>
      <c r="AO2727" s="158"/>
      <c r="AP2727" s="158"/>
      <c r="AQ2727" s="158">
        <v>276</v>
      </c>
      <c r="AR2727" s="507"/>
      <c r="AS2727" s="475"/>
      <c r="AT2727" s="160"/>
    </row>
    <row r="2728" spans="1:46" ht="15" hidden="1" customHeight="1">
      <c r="A2728" s="220">
        <v>2722</v>
      </c>
      <c r="B2728" s="159" t="s">
        <v>71</v>
      </c>
      <c r="C2728" s="159" t="s">
        <v>11892</v>
      </c>
      <c r="D2728" s="437" t="s">
        <v>490</v>
      </c>
      <c r="E2728" s="361" t="str">
        <f t="shared" ca="1" si="187"/>
        <v>LOSS</v>
      </c>
      <c r="F2728" s="160" t="s">
        <v>3856</v>
      </c>
      <c r="G2728" s="159" t="s">
        <v>11893</v>
      </c>
      <c r="H2728" s="160" t="s">
        <v>2748</v>
      </c>
      <c r="I2728" s="160" t="s">
        <v>242</v>
      </c>
      <c r="J2728" s="159" t="s">
        <v>2672</v>
      </c>
      <c r="K2728" s="205" t="s">
        <v>11894</v>
      </c>
      <c r="L2728" s="158"/>
      <c r="M2728" s="158" t="s">
        <v>329</v>
      </c>
      <c r="N2728" s="158" t="s">
        <v>468</v>
      </c>
      <c r="O2728" s="162"/>
      <c r="P2728" s="161">
        <f>20000000*12</f>
        <v>240000000</v>
      </c>
      <c r="Q2728" s="161"/>
      <c r="R2728" s="162"/>
      <c r="S2728" s="163">
        <v>36000000</v>
      </c>
      <c r="T2728" s="164"/>
      <c r="U2728" s="334">
        <v>45901</v>
      </c>
      <c r="V2728" s="334">
        <v>46265</v>
      </c>
      <c r="W2728" s="27" t="s">
        <v>17</v>
      </c>
      <c r="X2728" s="158"/>
      <c r="Y2728" s="34">
        <f t="shared" ca="1" si="194"/>
        <v>46290</v>
      </c>
      <c r="Z2728" s="35">
        <f t="shared" ca="1" si="191"/>
        <v>-25</v>
      </c>
      <c r="AA2728" s="27">
        <f>MONTH(V2728)</f>
        <v>8</v>
      </c>
      <c r="AB2728" s="27">
        <f>YEAR(V2728)</f>
        <v>2026</v>
      </c>
      <c r="AC2728" s="159" t="s">
        <v>11895</v>
      </c>
      <c r="AD2728" s="159" t="s">
        <v>11896</v>
      </c>
      <c r="AE2728" s="184" t="s">
        <v>11897</v>
      </c>
      <c r="AF2728" s="201" t="s">
        <v>333</v>
      </c>
      <c r="AG2728" s="160"/>
      <c r="AH2728" s="160" t="s">
        <v>11898</v>
      </c>
      <c r="AI2728" s="158"/>
      <c r="AJ2728" s="158"/>
      <c r="AK2728" s="158"/>
      <c r="AL2728" s="158"/>
      <c r="AM2728" s="158"/>
      <c r="AN2728" s="158"/>
      <c r="AO2728" s="158"/>
      <c r="AP2728" s="158"/>
      <c r="AQ2728" s="158">
        <v>328</v>
      </c>
      <c r="AR2728" s="507"/>
      <c r="AS2728" s="475"/>
      <c r="AT2728" s="160"/>
    </row>
    <row r="2729" spans="1:46" ht="15" hidden="1" customHeight="1">
      <c r="A2729" s="220">
        <v>2723</v>
      </c>
      <c r="B2729" s="159" t="s">
        <v>71</v>
      </c>
      <c r="C2729" s="159" t="s">
        <v>11899</v>
      </c>
      <c r="D2729" s="437" t="s">
        <v>490</v>
      </c>
      <c r="E2729" s="361" t="str">
        <f t="shared" ca="1" si="187"/>
        <v>CRITICAL</v>
      </c>
      <c r="F2729" s="160" t="s">
        <v>3862</v>
      </c>
      <c r="G2729" s="159" t="s">
        <v>3863</v>
      </c>
      <c r="H2729" s="160" t="s">
        <v>2748</v>
      </c>
      <c r="I2729" s="160" t="s">
        <v>242</v>
      </c>
      <c r="J2729" s="205" t="s">
        <v>11900</v>
      </c>
      <c r="K2729" s="160"/>
      <c r="L2729" s="158"/>
      <c r="M2729" s="158" t="s">
        <v>329</v>
      </c>
      <c r="N2729" s="158" t="s">
        <v>417</v>
      </c>
      <c r="O2729" s="162"/>
      <c r="P2729" s="161">
        <f>4500000*12</f>
        <v>54000000</v>
      </c>
      <c r="Q2729" s="161"/>
      <c r="R2729" s="162"/>
      <c r="S2729" s="163">
        <v>36000000</v>
      </c>
      <c r="T2729" s="164"/>
      <c r="U2729" s="334">
        <v>45936</v>
      </c>
      <c r="V2729" s="334">
        <v>46300</v>
      </c>
      <c r="W2729" s="27" t="s">
        <v>17</v>
      </c>
      <c r="X2729" s="158"/>
      <c r="Y2729" s="34">
        <f t="shared" ca="1" si="194"/>
        <v>46290</v>
      </c>
      <c r="Z2729" s="35">
        <f t="shared" ca="1" si="191"/>
        <v>10</v>
      </c>
      <c r="AA2729" s="27">
        <f>MONTH(V2729)</f>
        <v>10</v>
      </c>
      <c r="AB2729" s="27">
        <f>YEAR(V2729)</f>
        <v>2026</v>
      </c>
      <c r="AC2729" s="159" t="s">
        <v>11901</v>
      </c>
      <c r="AD2729" s="159" t="s">
        <v>11902</v>
      </c>
      <c r="AE2729" s="184" t="s">
        <v>11903</v>
      </c>
      <c r="AF2729" s="201" t="s">
        <v>333</v>
      </c>
      <c r="AG2729" s="160"/>
      <c r="AH2729" s="160" t="s">
        <v>11898</v>
      </c>
      <c r="AI2729" s="158"/>
      <c r="AJ2729" s="158"/>
      <c r="AK2729" s="158"/>
      <c r="AL2729" s="158"/>
      <c r="AM2729" s="158"/>
      <c r="AN2729" s="158"/>
      <c r="AO2729" s="158"/>
      <c r="AP2729" s="158"/>
      <c r="AQ2729" s="158">
        <v>329</v>
      </c>
      <c r="AR2729" s="507"/>
      <c r="AS2729" s="475"/>
      <c r="AT2729" s="160"/>
    </row>
    <row r="2730" spans="1:46" ht="15" hidden="1" customHeight="1">
      <c r="A2730" s="220">
        <v>2724</v>
      </c>
      <c r="B2730" s="159" t="s">
        <v>71</v>
      </c>
      <c r="C2730" s="159" t="s">
        <v>2285</v>
      </c>
      <c r="D2730" s="437" t="s">
        <v>490</v>
      </c>
      <c r="E2730" s="361" t="str">
        <f t="shared" ca="1" si="187"/>
        <v>WARNING</v>
      </c>
      <c r="F2730" s="160" t="s">
        <v>9496</v>
      </c>
      <c r="G2730" s="159" t="s">
        <v>11904</v>
      </c>
      <c r="H2730" s="160" t="s">
        <v>2748</v>
      </c>
      <c r="I2730" s="160" t="s">
        <v>242</v>
      </c>
      <c r="J2730" s="159"/>
      <c r="K2730" s="218" t="s">
        <v>11905</v>
      </c>
      <c r="L2730" s="158"/>
      <c r="M2730" s="158" t="s">
        <v>365</v>
      </c>
      <c r="N2730" s="158" t="s">
        <v>354</v>
      </c>
      <c r="O2730" s="162"/>
      <c r="P2730" s="161">
        <f>10000000*12</f>
        <v>120000000</v>
      </c>
      <c r="Q2730" s="161"/>
      <c r="R2730" s="162"/>
      <c r="S2730" s="163">
        <v>18000000</v>
      </c>
      <c r="T2730" s="164"/>
      <c r="U2730" s="334">
        <v>45950</v>
      </c>
      <c r="V2730" s="334">
        <v>46314</v>
      </c>
      <c r="W2730" s="27" t="s">
        <v>17</v>
      </c>
      <c r="X2730" s="158"/>
      <c r="Y2730" s="34">
        <f t="shared" ca="1" si="194"/>
        <v>46290</v>
      </c>
      <c r="Z2730" s="35">
        <f t="shared" ca="1" si="191"/>
        <v>24</v>
      </c>
      <c r="AA2730" s="27">
        <f>MONTH(V2730)</f>
        <v>10</v>
      </c>
      <c r="AB2730" s="27">
        <f>YEAR(V2730)</f>
        <v>2026</v>
      </c>
      <c r="AC2730" s="159" t="s">
        <v>11906</v>
      </c>
      <c r="AD2730" s="159" t="s">
        <v>11907</v>
      </c>
      <c r="AE2730" s="184" t="s">
        <v>11908</v>
      </c>
      <c r="AF2730" s="201" t="s">
        <v>333</v>
      </c>
      <c r="AG2730" s="160"/>
      <c r="AH2730" s="160" t="s">
        <v>11898</v>
      </c>
      <c r="AI2730" s="158"/>
      <c r="AJ2730" s="158"/>
      <c r="AK2730" s="158"/>
      <c r="AL2730" s="158"/>
      <c r="AM2730" s="158"/>
      <c r="AN2730" s="158"/>
      <c r="AO2730" s="158"/>
      <c r="AP2730" s="158"/>
      <c r="AQ2730" s="158">
        <v>330</v>
      </c>
      <c r="AR2730" s="507"/>
      <c r="AS2730" s="475"/>
      <c r="AT2730" s="160"/>
    </row>
    <row r="2731" spans="1:46" ht="15" hidden="1" customHeight="1">
      <c r="A2731" s="220">
        <v>2725</v>
      </c>
      <c r="B2731" s="159" t="s">
        <v>71</v>
      </c>
      <c r="C2731" s="159" t="s">
        <v>1020</v>
      </c>
      <c r="D2731" s="437" t="s">
        <v>490</v>
      </c>
      <c r="E2731" s="361" t="str">
        <f t="shared" ca="1" si="187"/>
        <v>ATTENTION</v>
      </c>
      <c r="F2731" s="160" t="s">
        <v>11909</v>
      </c>
      <c r="G2731" s="159" t="s">
        <v>11910</v>
      </c>
      <c r="H2731" s="160" t="s">
        <v>2748</v>
      </c>
      <c r="I2731" s="160" t="s">
        <v>242</v>
      </c>
      <c r="J2731" s="159"/>
      <c r="K2731" s="181" t="s">
        <v>11911</v>
      </c>
      <c r="L2731" s="158"/>
      <c r="M2731" s="158" t="s">
        <v>365</v>
      </c>
      <c r="N2731" s="158" t="s">
        <v>389</v>
      </c>
      <c r="O2731" s="162"/>
      <c r="P2731" s="161">
        <f>10000000*12</f>
        <v>120000000</v>
      </c>
      <c r="Q2731" s="161"/>
      <c r="R2731" s="162"/>
      <c r="S2731" s="163">
        <v>18000000</v>
      </c>
      <c r="T2731" s="164"/>
      <c r="U2731" s="334">
        <v>45973</v>
      </c>
      <c r="V2731" s="334">
        <v>46337</v>
      </c>
      <c r="W2731" s="27" t="s">
        <v>17</v>
      </c>
      <c r="X2731" s="158"/>
      <c r="Y2731" s="34">
        <f t="shared" ca="1" si="194"/>
        <v>46290</v>
      </c>
      <c r="Z2731" s="35">
        <f t="shared" ca="1" si="191"/>
        <v>47</v>
      </c>
      <c r="AA2731" s="27">
        <f>MONTH(V2731)</f>
        <v>11</v>
      </c>
      <c r="AB2731" s="27">
        <f>YEAR(V2731)</f>
        <v>2026</v>
      </c>
      <c r="AC2731" s="159" t="s">
        <v>11912</v>
      </c>
      <c r="AD2731" s="159" t="s">
        <v>11913</v>
      </c>
      <c r="AE2731" s="158">
        <v>4500026518</v>
      </c>
      <c r="AF2731" s="201" t="s">
        <v>333</v>
      </c>
      <c r="AG2731" s="160"/>
      <c r="AH2731" s="160" t="s">
        <v>11898</v>
      </c>
      <c r="AI2731" s="158"/>
      <c r="AJ2731" s="158"/>
      <c r="AK2731" s="158"/>
      <c r="AL2731" s="158"/>
      <c r="AM2731" s="158"/>
      <c r="AN2731" s="158"/>
      <c r="AO2731" s="158"/>
      <c r="AP2731" s="158"/>
      <c r="AQ2731" s="158">
        <v>354</v>
      </c>
      <c r="AR2731" s="507"/>
      <c r="AS2731" s="475"/>
      <c r="AT2731" s="160"/>
    </row>
    <row r="2732" spans="1:46" ht="15" hidden="1" customHeight="1">
      <c r="A2732" s="220">
        <v>2726</v>
      </c>
      <c r="B2732" s="159" t="s">
        <v>71</v>
      </c>
      <c r="C2732" s="159" t="s">
        <v>344</v>
      </c>
      <c r="D2732" s="437" t="s">
        <v>490</v>
      </c>
      <c r="E2732" s="361" t="str">
        <f t="shared" ca="1" si="187"/>
        <v>LOSS</v>
      </c>
      <c r="F2732" s="160"/>
      <c r="G2732" s="159" t="s">
        <v>9482</v>
      </c>
      <c r="H2732" s="160" t="s">
        <v>2748</v>
      </c>
      <c r="I2732" s="160" t="s">
        <v>242</v>
      </c>
      <c r="J2732" s="216" t="s">
        <v>11914</v>
      </c>
      <c r="K2732" s="218" t="s">
        <v>11915</v>
      </c>
      <c r="L2732" s="158"/>
      <c r="M2732" s="158" t="s">
        <v>329</v>
      </c>
      <c r="N2732" s="158" t="s">
        <v>417</v>
      </c>
      <c r="O2732" s="162"/>
      <c r="P2732" s="161">
        <f>133800000*12</f>
        <v>1605600000</v>
      </c>
      <c r="Q2732" s="161"/>
      <c r="R2732" s="162"/>
      <c r="S2732" s="163">
        <v>156000000</v>
      </c>
      <c r="T2732" s="164"/>
      <c r="U2732" s="334">
        <v>45907</v>
      </c>
      <c r="V2732" s="334">
        <v>46271</v>
      </c>
      <c r="W2732" s="27" t="s">
        <v>17</v>
      </c>
      <c r="X2732" s="158"/>
      <c r="Y2732" s="34">
        <f t="shared" ca="1" si="194"/>
        <v>46290</v>
      </c>
      <c r="Z2732" s="35">
        <f t="shared" ca="1" si="191"/>
        <v>-19</v>
      </c>
      <c r="AA2732" s="27">
        <f>MONTH(V2732)</f>
        <v>9</v>
      </c>
      <c r="AB2732" s="27">
        <f>YEAR(V2732)</f>
        <v>2026</v>
      </c>
      <c r="AC2732" s="159" t="s">
        <v>11916</v>
      </c>
      <c r="AD2732" s="159" t="s">
        <v>11917</v>
      </c>
      <c r="AE2732" s="158">
        <v>4500026520</v>
      </c>
      <c r="AF2732" s="201" t="s">
        <v>333</v>
      </c>
      <c r="AG2732" s="160"/>
      <c r="AH2732" s="160" t="s">
        <v>11898</v>
      </c>
      <c r="AI2732" s="158"/>
      <c r="AJ2732" s="158"/>
      <c r="AK2732" s="158"/>
      <c r="AL2732" s="158"/>
      <c r="AM2732" s="158"/>
      <c r="AN2732" s="158"/>
      <c r="AO2732" s="158"/>
      <c r="AP2732" s="158"/>
      <c r="AQ2732" s="158">
        <v>353</v>
      </c>
      <c r="AR2732" s="507"/>
      <c r="AS2732" s="475"/>
      <c r="AT2732" s="160"/>
    </row>
    <row r="2733" spans="1:46" ht="15" hidden="1" customHeight="1">
      <c r="A2733" s="220">
        <v>2727</v>
      </c>
      <c r="B2733" s="159" t="s">
        <v>450</v>
      </c>
      <c r="C2733" s="159" t="s">
        <v>9889</v>
      </c>
      <c r="D2733" s="437" t="s">
        <v>452</v>
      </c>
      <c r="E2733" s="361" t="str">
        <f t="shared" ca="1" si="187"/>
        <v>CRITICAL</v>
      </c>
      <c r="F2733" s="160" t="s">
        <v>11918</v>
      </c>
      <c r="G2733" s="159" t="s">
        <v>9894</v>
      </c>
      <c r="H2733" s="160" t="s">
        <v>2748</v>
      </c>
      <c r="I2733" s="160" t="s">
        <v>242</v>
      </c>
      <c r="J2733" s="159"/>
      <c r="K2733" s="181" t="s">
        <v>11919</v>
      </c>
      <c r="L2733" s="158"/>
      <c r="M2733" s="158" t="s">
        <v>329</v>
      </c>
      <c r="N2733" s="158" t="s">
        <v>6802</v>
      </c>
      <c r="O2733" s="162"/>
      <c r="P2733" s="161">
        <f>12*5200000</f>
        <v>62400000</v>
      </c>
      <c r="Q2733" s="161"/>
      <c r="R2733" s="162"/>
      <c r="S2733" s="163">
        <v>12000000</v>
      </c>
      <c r="T2733" s="164"/>
      <c r="U2733" s="340">
        <v>45937</v>
      </c>
      <c r="V2733" s="340">
        <v>46301</v>
      </c>
      <c r="W2733" s="27" t="s">
        <v>17</v>
      </c>
      <c r="X2733" s="158"/>
      <c r="Y2733" s="164">
        <f t="shared" ca="1" si="194"/>
        <v>46290</v>
      </c>
      <c r="Z2733" s="35">
        <f t="shared" ca="1" si="191"/>
        <v>11</v>
      </c>
      <c r="AA2733" s="158">
        <f>MONTH(Table1[[#This Row],[End]])</f>
        <v>10</v>
      </c>
      <c r="AB2733" s="158">
        <f>YEAR(Table1[[#This Row],[End]])</f>
        <v>2026</v>
      </c>
      <c r="AC2733" s="159" t="s">
        <v>11920</v>
      </c>
      <c r="AD2733" s="159" t="s">
        <v>11921</v>
      </c>
      <c r="AE2733" s="158">
        <v>4500026364</v>
      </c>
      <c r="AF2733" s="158" t="s">
        <v>333</v>
      </c>
      <c r="AG2733" s="160"/>
      <c r="AH2733" s="160"/>
      <c r="AI2733" s="158"/>
      <c r="AJ2733" s="158"/>
      <c r="AK2733" s="158"/>
      <c r="AL2733" s="158"/>
      <c r="AM2733" s="158"/>
      <c r="AN2733" s="158"/>
      <c r="AO2733" s="158"/>
      <c r="AP2733" s="158"/>
      <c r="AQ2733" s="158">
        <v>327</v>
      </c>
      <c r="AR2733" s="507"/>
      <c r="AS2733" s="475"/>
      <c r="AT2733" s="160"/>
    </row>
    <row r="2734" spans="1:46" ht="15" hidden="1" customHeight="1">
      <c r="A2734" s="220">
        <v>2728</v>
      </c>
      <c r="B2734" s="159" t="s">
        <v>450</v>
      </c>
      <c r="C2734" s="159" t="s">
        <v>9889</v>
      </c>
      <c r="D2734" s="437" t="s">
        <v>452</v>
      </c>
      <c r="E2734" s="361" t="str">
        <f t="shared" ca="1" si="187"/>
        <v>WARNING</v>
      </c>
      <c r="F2734" s="160" t="s">
        <v>11922</v>
      </c>
      <c r="G2734" s="159" t="s">
        <v>9884</v>
      </c>
      <c r="H2734" s="160" t="s">
        <v>2748</v>
      </c>
      <c r="I2734" s="160" t="s">
        <v>242</v>
      </c>
      <c r="J2734" s="205" t="s">
        <v>9890</v>
      </c>
      <c r="K2734" s="160"/>
      <c r="L2734" s="158"/>
      <c r="M2734" s="158" t="s">
        <v>329</v>
      </c>
      <c r="N2734" s="158" t="s">
        <v>406</v>
      </c>
      <c r="O2734" s="162"/>
      <c r="P2734" s="161">
        <v>0</v>
      </c>
      <c r="Q2734" s="161"/>
      <c r="R2734" s="162"/>
      <c r="S2734" s="163">
        <v>12000000</v>
      </c>
      <c r="T2734" s="164"/>
      <c r="U2734" s="340">
        <v>45947</v>
      </c>
      <c r="V2734" s="340">
        <v>46311</v>
      </c>
      <c r="W2734" s="27" t="s">
        <v>17</v>
      </c>
      <c r="X2734" s="158"/>
      <c r="Y2734" s="164">
        <f t="shared" ca="1" si="194"/>
        <v>46290</v>
      </c>
      <c r="Z2734" s="35">
        <f t="shared" ca="1" si="191"/>
        <v>21</v>
      </c>
      <c r="AA2734" s="158">
        <f>MONTH(Table1[[#This Row],[End]])</f>
        <v>10</v>
      </c>
      <c r="AB2734" s="158">
        <f>YEAR(Table1[[#This Row],[End]])</f>
        <v>2026</v>
      </c>
      <c r="AC2734" s="159" t="s">
        <v>11923</v>
      </c>
      <c r="AD2734" s="159" t="s">
        <v>11924</v>
      </c>
      <c r="AE2734" s="158">
        <v>4500026365</v>
      </c>
      <c r="AF2734" s="158" t="s">
        <v>333</v>
      </c>
      <c r="AG2734" s="160"/>
      <c r="AH2734" s="160"/>
      <c r="AI2734" s="158"/>
      <c r="AJ2734" s="158"/>
      <c r="AK2734" s="158"/>
      <c r="AL2734" s="158"/>
      <c r="AM2734" s="158"/>
      <c r="AN2734" s="158"/>
      <c r="AO2734" s="158"/>
      <c r="AP2734" s="158"/>
      <c r="AQ2734" s="158">
        <v>326</v>
      </c>
      <c r="AR2734" s="507"/>
      <c r="AS2734" s="475"/>
      <c r="AT2734" s="160"/>
    </row>
    <row r="2735" spans="1:46" ht="15" hidden="1" customHeight="1">
      <c r="A2735" s="220">
        <v>2729</v>
      </c>
      <c r="B2735" s="159" t="s">
        <v>221</v>
      </c>
      <c r="C2735" s="159" t="s">
        <v>889</v>
      </c>
      <c r="D2735" s="438" t="s">
        <v>369</v>
      </c>
      <c r="E2735" s="361" t="str">
        <f t="shared" ca="1" si="187"/>
        <v>LOSS</v>
      </c>
      <c r="F2735" s="160" t="s">
        <v>11925</v>
      </c>
      <c r="G2735" s="159" t="s">
        <v>11926</v>
      </c>
      <c r="H2735" s="160" t="s">
        <v>2748</v>
      </c>
      <c r="I2735" s="160" t="s">
        <v>242</v>
      </c>
      <c r="J2735" s="205" t="s">
        <v>7888</v>
      </c>
      <c r="K2735" s="160"/>
      <c r="L2735" s="158"/>
      <c r="M2735" s="158" t="s">
        <v>365</v>
      </c>
      <c r="N2735" s="158" t="s">
        <v>389</v>
      </c>
      <c r="O2735" s="162"/>
      <c r="P2735" s="161">
        <f>25000000*12</f>
        <v>300000000</v>
      </c>
      <c r="Q2735" s="161"/>
      <c r="R2735" s="162"/>
      <c r="S2735" s="163">
        <v>12000000</v>
      </c>
      <c r="T2735" s="164"/>
      <c r="U2735" s="340">
        <v>45436</v>
      </c>
      <c r="V2735" s="340">
        <v>46165</v>
      </c>
      <c r="W2735" s="158" t="s">
        <v>250</v>
      </c>
      <c r="X2735" s="158"/>
      <c r="Y2735" s="164">
        <f t="shared" ca="1" si="194"/>
        <v>46290</v>
      </c>
      <c r="Z2735" s="35">
        <f t="shared" ca="1" si="191"/>
        <v>-125</v>
      </c>
      <c r="AA2735" s="27">
        <v>9</v>
      </c>
      <c r="AB2735" s="158">
        <f>YEAR(Table1[[#This Row],[End]])</f>
        <v>2026</v>
      </c>
      <c r="AC2735" s="159" t="s">
        <v>11927</v>
      </c>
      <c r="AD2735" s="159" t="s">
        <v>11928</v>
      </c>
      <c r="AE2735" s="158">
        <v>4500026292</v>
      </c>
      <c r="AF2735" s="158" t="s">
        <v>333</v>
      </c>
      <c r="AG2735" s="160"/>
      <c r="AH2735" s="160" t="s">
        <v>376</v>
      </c>
      <c r="AI2735" s="158"/>
      <c r="AJ2735" s="158"/>
      <c r="AK2735" s="158"/>
      <c r="AL2735" s="158"/>
      <c r="AM2735" s="158"/>
      <c r="AN2735" s="158"/>
      <c r="AO2735" s="158"/>
      <c r="AP2735" s="158"/>
      <c r="AQ2735" s="158">
        <v>332</v>
      </c>
      <c r="AR2735" s="507"/>
      <c r="AS2735" s="475"/>
      <c r="AT2735" s="160"/>
    </row>
    <row r="2736" spans="1:46" ht="15" hidden="1" customHeight="1">
      <c r="A2736" s="220">
        <v>2730</v>
      </c>
      <c r="B2736" s="159" t="s">
        <v>221</v>
      </c>
      <c r="C2736" s="159" t="s">
        <v>368</v>
      </c>
      <c r="D2736" s="438" t="s">
        <v>369</v>
      </c>
      <c r="E2736" s="361" t="str">
        <f t="shared" ca="1" si="187"/>
        <v>LOSS</v>
      </c>
      <c r="F2736" s="160" t="s">
        <v>370</v>
      </c>
      <c r="G2736" s="159" t="s">
        <v>371</v>
      </c>
      <c r="H2736" s="160" t="s">
        <v>2748</v>
      </c>
      <c r="I2736" s="160" t="s">
        <v>242</v>
      </c>
      <c r="J2736" s="205" t="s">
        <v>372</v>
      </c>
      <c r="K2736" s="160"/>
      <c r="L2736" s="158"/>
      <c r="M2736" s="158" t="s">
        <v>365</v>
      </c>
      <c r="N2736" s="158" t="s">
        <v>373</v>
      </c>
      <c r="O2736" s="162"/>
      <c r="P2736" s="161">
        <f>45000000*12</f>
        <v>540000000</v>
      </c>
      <c r="Q2736" s="161"/>
      <c r="R2736" s="162"/>
      <c r="S2736" s="163">
        <f>1200000*12</f>
        <v>14400000</v>
      </c>
      <c r="T2736" s="164"/>
      <c r="U2736" s="340">
        <v>45244</v>
      </c>
      <c r="V2736" s="340">
        <v>45974</v>
      </c>
      <c r="W2736" s="158" t="s">
        <v>250</v>
      </c>
      <c r="X2736" s="158"/>
      <c r="Y2736" s="164">
        <f t="shared" ca="1" si="194"/>
        <v>46290</v>
      </c>
      <c r="Z2736" s="35">
        <f t="shared" ca="1" si="191"/>
        <v>-316</v>
      </c>
      <c r="AA2736" s="27">
        <v>9</v>
      </c>
      <c r="AB2736" s="158">
        <f>YEAR(Table1[[#This Row],[End]])</f>
        <v>2025</v>
      </c>
      <c r="AC2736" s="159" t="s">
        <v>374</v>
      </c>
      <c r="AD2736" s="159" t="s">
        <v>375</v>
      </c>
      <c r="AE2736" s="158">
        <v>4500026291</v>
      </c>
      <c r="AF2736" s="158" t="s">
        <v>333</v>
      </c>
      <c r="AG2736" s="160"/>
      <c r="AH2736" s="160" t="s">
        <v>376</v>
      </c>
      <c r="AI2736" s="158"/>
      <c r="AJ2736" s="158"/>
      <c r="AK2736" s="158"/>
      <c r="AL2736" s="158"/>
      <c r="AM2736" s="158"/>
      <c r="AN2736" s="158"/>
      <c r="AO2736" s="158"/>
      <c r="AP2736" s="158"/>
      <c r="AQ2736" s="158">
        <v>333</v>
      </c>
      <c r="AR2736" s="507"/>
      <c r="AS2736" s="475"/>
      <c r="AT2736" s="160"/>
    </row>
    <row r="2737" spans="1:46" ht="15" hidden="1" customHeight="1">
      <c r="A2737" s="220">
        <v>2731</v>
      </c>
      <c r="B2737" s="159" t="s">
        <v>221</v>
      </c>
      <c r="C2737" s="159" t="s">
        <v>11929</v>
      </c>
      <c r="D2737" s="438" t="s">
        <v>369</v>
      </c>
      <c r="E2737" s="361" t="str">
        <f t="shared" ca="1" si="187"/>
        <v>CRITICAL</v>
      </c>
      <c r="F2737" s="160"/>
      <c r="G2737" s="159" t="s">
        <v>11930</v>
      </c>
      <c r="H2737" s="160" t="s">
        <v>2748</v>
      </c>
      <c r="I2737" s="160" t="s">
        <v>242</v>
      </c>
      <c r="J2737" s="205" t="s">
        <v>11931</v>
      </c>
      <c r="K2737" s="160"/>
      <c r="L2737" s="158"/>
      <c r="M2737" s="158" t="s">
        <v>8854</v>
      </c>
      <c r="N2737" s="158" t="s">
        <v>7088</v>
      </c>
      <c r="O2737" s="162"/>
      <c r="P2737" s="161">
        <f>18750000*12</f>
        <v>225000000</v>
      </c>
      <c r="Q2737" s="161"/>
      <c r="R2737" s="162"/>
      <c r="S2737" s="163">
        <v>6000000</v>
      </c>
      <c r="T2737" s="164"/>
      <c r="U2737" s="340">
        <v>45940</v>
      </c>
      <c r="V2737" s="340">
        <v>46304</v>
      </c>
      <c r="W2737" s="158" t="s">
        <v>17</v>
      </c>
      <c r="X2737" s="158"/>
      <c r="Y2737" s="164">
        <f t="shared" ca="1" si="194"/>
        <v>46290</v>
      </c>
      <c r="Z2737" s="35">
        <f t="shared" ca="1" si="191"/>
        <v>14</v>
      </c>
      <c r="AA2737" s="27">
        <v>9</v>
      </c>
      <c r="AB2737" s="158">
        <f>YEAR(Table1[[#This Row],[End]])</f>
        <v>2026</v>
      </c>
      <c r="AC2737" s="159" t="s">
        <v>11932</v>
      </c>
      <c r="AD2737" s="159" t="s">
        <v>11933</v>
      </c>
      <c r="AE2737" s="158">
        <v>4500026290</v>
      </c>
      <c r="AF2737" s="158" t="s">
        <v>333</v>
      </c>
      <c r="AG2737" s="160"/>
      <c r="AH2737" s="160" t="s">
        <v>376</v>
      </c>
      <c r="AI2737" s="158"/>
      <c r="AJ2737" s="158"/>
      <c r="AK2737" s="158"/>
      <c r="AL2737" s="158"/>
      <c r="AM2737" s="158"/>
      <c r="AN2737" s="158"/>
      <c r="AO2737" s="158"/>
      <c r="AP2737" s="158"/>
      <c r="AQ2737" s="158">
        <v>334</v>
      </c>
      <c r="AR2737" s="507"/>
      <c r="AS2737" s="475"/>
      <c r="AT2737" s="160"/>
    </row>
    <row r="2738" spans="1:46" ht="15" hidden="1" customHeight="1">
      <c r="A2738" s="220">
        <v>2732</v>
      </c>
      <c r="B2738" s="159" t="s">
        <v>221</v>
      </c>
      <c r="C2738" s="159" t="s">
        <v>8923</v>
      </c>
      <c r="D2738" s="438" t="s">
        <v>369</v>
      </c>
      <c r="E2738" s="361" t="str">
        <f t="shared" ca="1" si="187"/>
        <v>WARNING</v>
      </c>
      <c r="F2738" s="160"/>
      <c r="G2738" s="159" t="s">
        <v>11934</v>
      </c>
      <c r="H2738" s="160" t="s">
        <v>2748</v>
      </c>
      <c r="I2738" s="160" t="s">
        <v>242</v>
      </c>
      <c r="J2738" s="205" t="s">
        <v>9977</v>
      </c>
      <c r="K2738" s="160"/>
      <c r="L2738" s="158"/>
      <c r="M2738" s="158" t="s">
        <v>365</v>
      </c>
      <c r="N2738" s="158" t="s">
        <v>11935</v>
      </c>
      <c r="O2738" s="162"/>
      <c r="P2738" s="161">
        <f>12400000*12</f>
        <v>148800000</v>
      </c>
      <c r="Q2738" s="161"/>
      <c r="R2738" s="162"/>
      <c r="S2738" s="163">
        <v>18000000</v>
      </c>
      <c r="T2738" s="164"/>
      <c r="U2738" s="340">
        <v>45947</v>
      </c>
      <c r="V2738" s="340">
        <v>46311</v>
      </c>
      <c r="W2738" s="158" t="s">
        <v>17</v>
      </c>
      <c r="X2738" s="158"/>
      <c r="Y2738" s="164">
        <f t="shared" ca="1" si="194"/>
        <v>46290</v>
      </c>
      <c r="Z2738" s="35">
        <f t="shared" ca="1" si="191"/>
        <v>21</v>
      </c>
      <c r="AA2738" s="27">
        <v>9</v>
      </c>
      <c r="AB2738" s="158">
        <f>YEAR(Table1[[#This Row],[End]])</f>
        <v>2026</v>
      </c>
      <c r="AC2738" s="159" t="s">
        <v>11936</v>
      </c>
      <c r="AD2738" s="159" t="s">
        <v>11937</v>
      </c>
      <c r="AE2738" s="158">
        <v>4500026289</v>
      </c>
      <c r="AF2738" s="158" t="s">
        <v>333</v>
      </c>
      <c r="AG2738" s="160"/>
      <c r="AH2738" s="160" t="s">
        <v>376</v>
      </c>
      <c r="AI2738" s="158"/>
      <c r="AJ2738" s="158"/>
      <c r="AK2738" s="158"/>
      <c r="AL2738" s="158"/>
      <c r="AM2738" s="158"/>
      <c r="AN2738" s="158"/>
      <c r="AO2738" s="158"/>
      <c r="AP2738" s="158"/>
      <c r="AQ2738" s="158">
        <v>335</v>
      </c>
      <c r="AR2738" s="507"/>
      <c r="AS2738" s="475"/>
      <c r="AT2738" s="160"/>
    </row>
    <row r="2739" spans="1:46" ht="15" hidden="1" customHeight="1">
      <c r="A2739" s="220">
        <v>2733</v>
      </c>
      <c r="B2739" s="159" t="s">
        <v>9590</v>
      </c>
      <c r="C2739" s="159" t="s">
        <v>9591</v>
      </c>
      <c r="D2739" s="159"/>
      <c r="E2739" s="361" t="str">
        <f t="shared" ca="1" si="187"/>
        <v>LOSS</v>
      </c>
      <c r="F2739" s="160"/>
      <c r="G2739" s="182" t="s">
        <v>9593</v>
      </c>
      <c r="H2739" s="160" t="s">
        <v>2748</v>
      </c>
      <c r="I2739" s="160" t="s">
        <v>346</v>
      </c>
      <c r="J2739" s="182" t="s">
        <v>9594</v>
      </c>
      <c r="K2739" s="160"/>
      <c r="L2739" s="158"/>
      <c r="M2739" s="158" t="s">
        <v>365</v>
      </c>
      <c r="N2739" s="158" t="s">
        <v>6739</v>
      </c>
      <c r="O2739" s="162"/>
      <c r="P2739" s="161">
        <f>10600000*12</f>
        <v>127200000</v>
      </c>
      <c r="Q2739" s="161"/>
      <c r="R2739" s="162"/>
      <c r="S2739" s="163">
        <v>24000000</v>
      </c>
      <c r="T2739" s="164"/>
      <c r="U2739" s="340">
        <v>45884</v>
      </c>
      <c r="V2739" s="340">
        <v>46248</v>
      </c>
      <c r="W2739" s="158" t="s">
        <v>17</v>
      </c>
      <c r="X2739" s="158"/>
      <c r="Y2739" s="164">
        <f t="shared" ca="1" si="194"/>
        <v>46290</v>
      </c>
      <c r="Z2739" s="35">
        <f t="shared" ca="1" si="191"/>
        <v>-42</v>
      </c>
      <c r="AA2739" s="27">
        <v>9</v>
      </c>
      <c r="AB2739" s="158">
        <f>YEAR(Table1[[#This Row],[End]])</f>
        <v>2026</v>
      </c>
      <c r="AC2739" s="159" t="s">
        <v>11938</v>
      </c>
      <c r="AD2739" s="159" t="s">
        <v>11939</v>
      </c>
      <c r="AE2739" s="158">
        <v>4500026260</v>
      </c>
      <c r="AF2739" s="158" t="s">
        <v>333</v>
      </c>
      <c r="AG2739" s="160"/>
      <c r="AH2739" s="160"/>
      <c r="AI2739" s="158"/>
      <c r="AJ2739" s="158"/>
      <c r="AK2739" s="158"/>
      <c r="AL2739" s="158"/>
      <c r="AM2739" s="158"/>
      <c r="AN2739" s="158"/>
      <c r="AO2739" s="158"/>
      <c r="AP2739" s="158"/>
      <c r="AQ2739" s="158">
        <v>320</v>
      </c>
      <c r="AR2739" s="507"/>
      <c r="AS2739" s="475"/>
      <c r="AT2739" s="160"/>
    </row>
    <row r="2740" spans="1:46" ht="15" hidden="1" customHeight="1">
      <c r="A2740" s="220">
        <v>2734</v>
      </c>
      <c r="B2740" s="159" t="s">
        <v>903</v>
      </c>
      <c r="C2740" s="159" t="s">
        <v>8923</v>
      </c>
      <c r="D2740" s="159"/>
      <c r="E2740" s="361" t="str">
        <f t="shared" ca="1" si="187"/>
        <v>LOSS</v>
      </c>
      <c r="F2740" s="160" t="s">
        <v>10415</v>
      </c>
      <c r="G2740" s="159" t="s">
        <v>10416</v>
      </c>
      <c r="H2740" s="160" t="s">
        <v>2748</v>
      </c>
      <c r="I2740" s="160" t="s">
        <v>346</v>
      </c>
      <c r="J2740" s="205" t="s">
        <v>10417</v>
      </c>
      <c r="K2740" s="160"/>
      <c r="L2740" s="158"/>
      <c r="M2740" s="158" t="s">
        <v>353</v>
      </c>
      <c r="N2740" s="158" t="s">
        <v>6897</v>
      </c>
      <c r="O2740" s="162"/>
      <c r="P2740" s="161">
        <f>2422000*12</f>
        <v>29064000</v>
      </c>
      <c r="Q2740" s="161"/>
      <c r="R2740" s="162"/>
      <c r="S2740" s="163">
        <v>25200000</v>
      </c>
      <c r="T2740" s="164"/>
      <c r="U2740" s="334">
        <v>45839</v>
      </c>
      <c r="V2740" s="334">
        <v>46265</v>
      </c>
      <c r="W2740" s="27" t="s">
        <v>17</v>
      </c>
      <c r="X2740" s="158"/>
      <c r="Y2740" s="34">
        <f t="shared" ca="1" si="194"/>
        <v>46290</v>
      </c>
      <c r="Z2740" s="35">
        <f t="shared" ca="1" si="191"/>
        <v>-25</v>
      </c>
      <c r="AA2740" s="27">
        <f>MONTH(V2740)</f>
        <v>8</v>
      </c>
      <c r="AB2740" s="27">
        <f>YEAR(V2740)</f>
        <v>2026</v>
      </c>
      <c r="AC2740" s="46" t="s">
        <v>11940</v>
      </c>
      <c r="AD2740" s="159" t="s">
        <v>11941</v>
      </c>
      <c r="AE2740" s="184" t="s">
        <v>11942</v>
      </c>
      <c r="AF2740" s="52" t="s">
        <v>339</v>
      </c>
      <c r="AG2740" s="160"/>
      <c r="AH2740" s="160"/>
      <c r="AI2740" s="158"/>
      <c r="AJ2740" s="158"/>
      <c r="AK2740" s="158"/>
      <c r="AL2740" s="158"/>
      <c r="AM2740" s="158"/>
      <c r="AN2740" s="158"/>
      <c r="AO2740" s="158"/>
      <c r="AP2740" s="158"/>
      <c r="AQ2740" s="158">
        <v>317</v>
      </c>
      <c r="AR2740" s="507"/>
      <c r="AS2740" s="475"/>
      <c r="AT2740" s="160"/>
    </row>
    <row r="2741" spans="1:46" ht="15" hidden="1" customHeight="1">
      <c r="A2741" s="220">
        <v>2735</v>
      </c>
      <c r="B2741" s="159" t="s">
        <v>382</v>
      </c>
      <c r="C2741" s="159" t="s">
        <v>11943</v>
      </c>
      <c r="D2741" s="437" t="s">
        <v>384</v>
      </c>
      <c r="E2741" s="361" t="str">
        <f t="shared" ca="1" si="187"/>
        <v>LOSS</v>
      </c>
      <c r="F2741" s="160" t="s">
        <v>11944</v>
      </c>
      <c r="G2741" s="159" t="s">
        <v>11945</v>
      </c>
      <c r="H2741" s="160" t="s">
        <v>2748</v>
      </c>
      <c r="I2741" s="160" t="s">
        <v>242</v>
      </c>
      <c r="J2741" s="205" t="s">
        <v>1575</v>
      </c>
      <c r="K2741" s="160"/>
      <c r="L2741" s="158"/>
      <c r="M2741" s="158" t="s">
        <v>329</v>
      </c>
      <c r="N2741" s="158" t="s">
        <v>354</v>
      </c>
      <c r="O2741" s="162"/>
      <c r="P2741" s="161">
        <f>5000000*12</f>
        <v>60000000</v>
      </c>
      <c r="Q2741" s="161"/>
      <c r="R2741" s="162"/>
      <c r="S2741" s="163">
        <v>12000000</v>
      </c>
      <c r="T2741" s="164"/>
      <c r="U2741" s="340">
        <v>44807</v>
      </c>
      <c r="V2741" s="340">
        <v>45932</v>
      </c>
      <c r="W2741" s="27" t="s">
        <v>245</v>
      </c>
      <c r="X2741" s="158"/>
      <c r="Y2741" s="164">
        <f t="shared" ca="1" si="194"/>
        <v>46290</v>
      </c>
      <c r="Z2741" s="35">
        <f t="shared" ca="1" si="191"/>
        <v>-358</v>
      </c>
      <c r="AA2741" s="158">
        <f>MONTH(Table1[[#This Row],[End]])</f>
        <v>10</v>
      </c>
      <c r="AB2741" s="158">
        <f>YEAR(Table1[[#This Row],[End]])</f>
        <v>2025</v>
      </c>
      <c r="AC2741" s="159" t="s">
        <v>11946</v>
      </c>
      <c r="AD2741" s="159" t="s">
        <v>11947</v>
      </c>
      <c r="AE2741" s="184" t="s">
        <v>11948</v>
      </c>
      <c r="AF2741" s="158" t="s">
        <v>333</v>
      </c>
      <c r="AG2741" s="160"/>
      <c r="AH2741" s="160" t="s">
        <v>392</v>
      </c>
      <c r="AI2741" s="158"/>
      <c r="AJ2741" s="158"/>
      <c r="AK2741" s="158"/>
      <c r="AL2741" s="158"/>
      <c r="AM2741" s="158"/>
      <c r="AN2741" s="158"/>
      <c r="AO2741" s="158"/>
      <c r="AP2741" s="158"/>
      <c r="AQ2741" s="158"/>
      <c r="AR2741" s="507"/>
      <c r="AS2741" s="475"/>
      <c r="AT2741" s="160"/>
    </row>
    <row r="2742" spans="1:46" ht="15" hidden="1" customHeight="1">
      <c r="A2742" s="220">
        <v>2736</v>
      </c>
      <c r="B2742" s="159" t="s">
        <v>11949</v>
      </c>
      <c r="C2742" s="159" t="s">
        <v>7892</v>
      </c>
      <c r="D2742" s="159"/>
      <c r="E2742" s="361" t="str">
        <f t="shared" ca="1" si="187"/>
        <v>LOSS</v>
      </c>
      <c r="F2742" s="160"/>
      <c r="G2742" s="28" t="s">
        <v>4114</v>
      </c>
      <c r="H2742" s="29" t="s">
        <v>2748</v>
      </c>
      <c r="I2742" s="160" t="s">
        <v>346</v>
      </c>
      <c r="J2742" s="28" t="s">
        <v>4115</v>
      </c>
      <c r="K2742" s="181" t="s">
        <v>11950</v>
      </c>
      <c r="L2742" s="158"/>
      <c r="M2742" s="158" t="s">
        <v>365</v>
      </c>
      <c r="N2742" s="160" t="s">
        <v>354</v>
      </c>
      <c r="O2742" s="162"/>
      <c r="P2742" s="31">
        <v>60000000</v>
      </c>
      <c r="Q2742" s="161"/>
      <c r="R2742" s="162"/>
      <c r="S2742" s="163">
        <v>30000000</v>
      </c>
      <c r="T2742" s="164"/>
      <c r="U2742" s="334">
        <v>45915</v>
      </c>
      <c r="V2742" s="334">
        <v>46279</v>
      </c>
      <c r="W2742" s="27" t="s">
        <v>17</v>
      </c>
      <c r="X2742" s="158"/>
      <c r="Y2742" s="34">
        <f t="shared" ca="1" si="194"/>
        <v>46290</v>
      </c>
      <c r="Z2742" s="35">
        <f t="shared" ca="1" si="191"/>
        <v>-11</v>
      </c>
      <c r="AA2742" s="27">
        <f>MONTH(V2742)</f>
        <v>9</v>
      </c>
      <c r="AB2742" s="27">
        <f>YEAR(V2742)</f>
        <v>2026</v>
      </c>
      <c r="AC2742" s="28" t="s">
        <v>11951</v>
      </c>
      <c r="AD2742" s="159" t="s">
        <v>11952</v>
      </c>
      <c r="AE2742" s="27">
        <v>4500026318</v>
      </c>
      <c r="AF2742" s="27" t="s">
        <v>333</v>
      </c>
      <c r="AG2742" s="160"/>
      <c r="AH2742" s="160"/>
      <c r="AI2742" s="158"/>
      <c r="AJ2742" s="158"/>
      <c r="AK2742" s="158"/>
      <c r="AL2742" s="158"/>
      <c r="AM2742" s="158"/>
      <c r="AN2742" s="158"/>
      <c r="AO2742" s="158"/>
      <c r="AP2742" s="158"/>
      <c r="AQ2742" s="158">
        <v>324</v>
      </c>
      <c r="AR2742" s="507"/>
      <c r="AS2742" s="475"/>
      <c r="AT2742" s="160"/>
    </row>
    <row r="2743" spans="1:46" ht="15" hidden="1" customHeight="1">
      <c r="A2743" s="220">
        <v>2737</v>
      </c>
      <c r="B2743" s="159" t="s">
        <v>2300</v>
      </c>
      <c r="C2743" s="159" t="s">
        <v>624</v>
      </c>
      <c r="D2743" s="159"/>
      <c r="E2743" s="361" t="str">
        <f t="shared" ca="1" si="187"/>
        <v>ON TRACK</v>
      </c>
      <c r="F2743" s="160"/>
      <c r="G2743" s="28" t="s">
        <v>5537</v>
      </c>
      <c r="H2743" s="160" t="s">
        <v>2748</v>
      </c>
      <c r="I2743" s="160" t="s">
        <v>346</v>
      </c>
      <c r="J2743" s="205" t="s">
        <v>11953</v>
      </c>
      <c r="K2743" s="160"/>
      <c r="L2743" s="158"/>
      <c r="M2743" s="158" t="s">
        <v>329</v>
      </c>
      <c r="N2743" s="158" t="s">
        <v>6802</v>
      </c>
      <c r="O2743" s="162"/>
      <c r="P2743" s="161">
        <f>4000000*12</f>
        <v>48000000</v>
      </c>
      <c r="Q2743" s="161"/>
      <c r="R2743" s="162"/>
      <c r="S2743" s="163">
        <v>11000000</v>
      </c>
      <c r="T2743" s="164"/>
      <c r="U2743" s="340">
        <v>45992</v>
      </c>
      <c r="V2743" s="340">
        <v>46356</v>
      </c>
      <c r="W2743" s="158" t="s">
        <v>17</v>
      </c>
      <c r="X2743" s="158"/>
      <c r="Y2743" s="34">
        <f t="shared" ca="1" si="194"/>
        <v>46290</v>
      </c>
      <c r="Z2743" s="35">
        <f t="shared" ca="1" si="191"/>
        <v>66</v>
      </c>
      <c r="AA2743" s="158">
        <f>MONTH(V2743)</f>
        <v>11</v>
      </c>
      <c r="AB2743" s="158">
        <f>YEAR(V2743)</f>
        <v>2026</v>
      </c>
      <c r="AC2743" s="159" t="s">
        <v>11954</v>
      </c>
      <c r="AD2743" s="159" t="s">
        <v>11955</v>
      </c>
      <c r="AE2743" s="184" t="s">
        <v>11956</v>
      </c>
      <c r="AF2743" s="201" t="s">
        <v>333</v>
      </c>
      <c r="AG2743" s="160"/>
      <c r="AH2743" s="160"/>
      <c r="AI2743" s="158"/>
      <c r="AJ2743" s="158"/>
      <c r="AK2743" s="158"/>
      <c r="AL2743" s="158"/>
      <c r="AM2743" s="158"/>
      <c r="AN2743" s="158"/>
      <c r="AO2743" s="158"/>
      <c r="AP2743" s="158"/>
      <c r="AQ2743" s="158">
        <v>331</v>
      </c>
      <c r="AR2743" s="507"/>
      <c r="AS2743" s="475"/>
      <c r="AT2743" s="160"/>
    </row>
    <row r="2744" spans="1:46" ht="15" hidden="1" customHeight="1">
      <c r="A2744" s="220">
        <v>2738</v>
      </c>
      <c r="B2744" s="159" t="s">
        <v>614</v>
      </c>
      <c r="C2744" s="28" t="s">
        <v>322</v>
      </c>
      <c r="D2744" s="443" t="s">
        <v>9294</v>
      </c>
      <c r="E2744" s="361" t="str">
        <f t="shared" ca="1" si="187"/>
        <v>CRITICAL</v>
      </c>
      <c r="F2744" s="29" t="s">
        <v>9242</v>
      </c>
      <c r="G2744" s="28" t="s">
        <v>9243</v>
      </c>
      <c r="H2744" s="29" t="s">
        <v>2748</v>
      </c>
      <c r="I2744" s="29" t="s">
        <v>346</v>
      </c>
      <c r="J2744" s="271" t="s">
        <v>2418</v>
      </c>
      <c r="K2744" s="57">
        <v>111205023555</v>
      </c>
      <c r="L2744" s="158"/>
      <c r="M2744" s="158"/>
      <c r="N2744" s="160"/>
      <c r="O2744" s="162"/>
      <c r="P2744" s="31">
        <f>5000000*12</f>
        <v>60000000</v>
      </c>
      <c r="Q2744" s="161"/>
      <c r="R2744" s="162"/>
      <c r="S2744" s="100">
        <v>14400000</v>
      </c>
      <c r="T2744" s="164"/>
      <c r="U2744" s="334">
        <v>45941</v>
      </c>
      <c r="V2744" s="334">
        <v>46305</v>
      </c>
      <c r="W2744" s="158" t="s">
        <v>17</v>
      </c>
      <c r="X2744" s="158"/>
      <c r="Y2744" s="164">
        <f t="shared" ca="1" si="194"/>
        <v>46290</v>
      </c>
      <c r="Z2744" s="35">
        <f t="shared" ca="1" si="191"/>
        <v>15</v>
      </c>
      <c r="AA2744" s="158">
        <f>MONTH(Table1[[#This Row],[End]])</f>
        <v>10</v>
      </c>
      <c r="AB2744" s="158">
        <f>YEAR(Table1[[#This Row],[End]])</f>
        <v>2026</v>
      </c>
      <c r="AC2744" s="28" t="s">
        <v>11957</v>
      </c>
      <c r="AD2744" s="159" t="s">
        <v>11958</v>
      </c>
      <c r="AE2744" s="158">
        <v>4500026360</v>
      </c>
      <c r="AF2744" s="148" t="s">
        <v>333</v>
      </c>
      <c r="AG2744" s="160"/>
      <c r="AH2744" s="160" t="s">
        <v>6790</v>
      </c>
      <c r="AI2744" s="158"/>
      <c r="AJ2744" s="158"/>
      <c r="AK2744" s="158"/>
      <c r="AL2744" s="158"/>
      <c r="AM2744" s="158"/>
      <c r="AN2744" s="158"/>
      <c r="AO2744" s="158"/>
      <c r="AP2744" s="158"/>
      <c r="AQ2744" s="158">
        <v>323</v>
      </c>
      <c r="AR2744" s="507"/>
      <c r="AS2744" s="475"/>
      <c r="AT2744" s="160"/>
    </row>
    <row r="2745" spans="1:46" ht="15" hidden="1" customHeight="1">
      <c r="A2745" s="220">
        <v>2739</v>
      </c>
      <c r="B2745" s="159" t="s">
        <v>2593</v>
      </c>
      <c r="C2745" s="159" t="s">
        <v>8333</v>
      </c>
      <c r="D2745" s="437" t="s">
        <v>5505</v>
      </c>
      <c r="E2745" s="361" t="str">
        <f t="shared" ca="1" si="187"/>
        <v>LOSS</v>
      </c>
      <c r="F2745" s="160"/>
      <c r="G2745" s="159" t="s">
        <v>10500</v>
      </c>
      <c r="H2745" s="160" t="s">
        <v>2748</v>
      </c>
      <c r="I2745" s="160" t="s">
        <v>346</v>
      </c>
      <c r="J2745" s="159" t="s">
        <v>8416</v>
      </c>
      <c r="K2745" s="160"/>
      <c r="L2745" s="158"/>
      <c r="M2745" s="158" t="s">
        <v>6776</v>
      </c>
      <c r="N2745" s="158" t="s">
        <v>494</v>
      </c>
      <c r="O2745" s="162"/>
      <c r="P2745" s="161">
        <f>4829300*12</f>
        <v>57951600</v>
      </c>
      <c r="Q2745" s="161"/>
      <c r="R2745" s="162"/>
      <c r="S2745" s="163">
        <f>3445313*12</f>
        <v>41343756</v>
      </c>
      <c r="T2745" s="164"/>
      <c r="U2745" s="334">
        <v>45859</v>
      </c>
      <c r="V2745" s="334">
        <v>46225</v>
      </c>
      <c r="W2745" s="158" t="s">
        <v>17</v>
      </c>
      <c r="X2745" s="158"/>
      <c r="Y2745" s="34">
        <f t="shared" ca="1" si="194"/>
        <v>46290</v>
      </c>
      <c r="Z2745" s="35">
        <f t="shared" ca="1" si="191"/>
        <v>-65</v>
      </c>
      <c r="AA2745" s="27">
        <f t="shared" ref="AA2745:AA2756" si="195">MONTH(V2745)</f>
        <v>7</v>
      </c>
      <c r="AB2745" s="27">
        <f t="shared" ref="AB2745:AB2752" si="196">YEAR(V2745)</f>
        <v>2026</v>
      </c>
      <c r="AC2745" s="159" t="s">
        <v>11959</v>
      </c>
      <c r="AD2745" s="159" t="s">
        <v>11960</v>
      </c>
      <c r="AE2745" s="184" t="s">
        <v>11961</v>
      </c>
      <c r="AF2745" s="201" t="s">
        <v>333</v>
      </c>
      <c r="AG2745" s="160"/>
      <c r="AH2745" s="160" t="s">
        <v>6391</v>
      </c>
      <c r="AI2745" s="158"/>
      <c r="AJ2745" s="158"/>
      <c r="AK2745" s="158"/>
      <c r="AL2745" s="158"/>
      <c r="AM2745" s="158"/>
      <c r="AN2745" s="158"/>
      <c r="AO2745" s="158"/>
      <c r="AP2745" s="158"/>
      <c r="AQ2745" s="158">
        <v>321</v>
      </c>
      <c r="AR2745" s="507"/>
      <c r="AS2745" s="475"/>
      <c r="AT2745" s="160"/>
    </row>
    <row r="2746" spans="1:46" ht="15" hidden="1" customHeight="1">
      <c r="A2746" s="220">
        <v>2740</v>
      </c>
      <c r="B2746" s="159" t="s">
        <v>8618</v>
      </c>
      <c r="C2746" s="159" t="s">
        <v>344</v>
      </c>
      <c r="D2746" s="159"/>
      <c r="E2746" s="361" t="str">
        <f t="shared" si="187"/>
        <v>ON TRACK</v>
      </c>
      <c r="F2746" s="160"/>
      <c r="G2746" s="317" t="s">
        <v>11962</v>
      </c>
      <c r="H2746" s="160" t="s">
        <v>8588</v>
      </c>
      <c r="I2746" s="160" t="s">
        <v>511</v>
      </c>
      <c r="J2746" s="159"/>
      <c r="K2746" s="160"/>
      <c r="L2746" s="158"/>
      <c r="M2746" s="158"/>
      <c r="N2746" s="160"/>
      <c r="O2746" s="162"/>
      <c r="P2746" s="161"/>
      <c r="Q2746" s="161"/>
      <c r="R2746" s="162"/>
      <c r="S2746" s="163"/>
      <c r="T2746" s="213">
        <v>0.2</v>
      </c>
      <c r="U2746" s="340">
        <v>45946</v>
      </c>
      <c r="V2746" s="340">
        <v>46310</v>
      </c>
      <c r="W2746" s="27" t="s">
        <v>17</v>
      </c>
      <c r="X2746" s="158"/>
      <c r="Y2746" s="164">
        <v>45971</v>
      </c>
      <c r="Z2746" s="35">
        <f t="shared" si="191"/>
        <v>339</v>
      </c>
      <c r="AA2746" s="27">
        <f t="shared" si="195"/>
        <v>10</v>
      </c>
      <c r="AB2746" s="27">
        <f t="shared" si="196"/>
        <v>2026</v>
      </c>
      <c r="AC2746" s="159"/>
      <c r="AD2746" s="159"/>
      <c r="AE2746" s="158"/>
      <c r="AF2746" s="27" t="s">
        <v>356</v>
      </c>
      <c r="AG2746" s="160"/>
      <c r="AH2746" s="160" t="s">
        <v>6873</v>
      </c>
      <c r="AI2746" s="158"/>
      <c r="AJ2746" s="158"/>
      <c r="AK2746" s="158"/>
      <c r="AL2746" s="158"/>
      <c r="AM2746" s="158"/>
      <c r="AN2746" s="158"/>
      <c r="AO2746" s="158"/>
      <c r="AP2746" s="158"/>
      <c r="AQ2746" s="158"/>
      <c r="AR2746" s="507"/>
      <c r="AS2746" s="475"/>
      <c r="AT2746" s="160"/>
    </row>
    <row r="2747" spans="1:46" ht="15" hidden="1" customHeight="1">
      <c r="A2747" s="220">
        <v>2741</v>
      </c>
      <c r="B2747" s="159" t="s">
        <v>8618</v>
      </c>
      <c r="C2747" s="159" t="s">
        <v>344</v>
      </c>
      <c r="D2747" s="159"/>
      <c r="E2747" s="361" t="str">
        <f t="shared" si="187"/>
        <v>ON TRACK</v>
      </c>
      <c r="F2747" s="160"/>
      <c r="G2747" s="317" t="s">
        <v>11962</v>
      </c>
      <c r="H2747" s="160" t="s">
        <v>8588</v>
      </c>
      <c r="I2747" s="160" t="s">
        <v>511</v>
      </c>
      <c r="J2747" s="159"/>
      <c r="K2747" s="160"/>
      <c r="L2747" s="158"/>
      <c r="M2747" s="158"/>
      <c r="N2747" s="160"/>
      <c r="O2747" s="162"/>
      <c r="P2747" s="161"/>
      <c r="Q2747" s="161"/>
      <c r="R2747" s="162"/>
      <c r="S2747" s="163"/>
      <c r="T2747" s="213">
        <v>0.2</v>
      </c>
      <c r="U2747" s="340">
        <v>46311</v>
      </c>
      <c r="V2747" s="340">
        <v>46675</v>
      </c>
      <c r="W2747" s="27" t="s">
        <v>17</v>
      </c>
      <c r="X2747" s="158"/>
      <c r="Y2747" s="164">
        <v>45971</v>
      </c>
      <c r="Z2747" s="35">
        <f t="shared" si="191"/>
        <v>704</v>
      </c>
      <c r="AA2747" s="27">
        <f t="shared" si="195"/>
        <v>10</v>
      </c>
      <c r="AB2747" s="27">
        <f t="shared" si="196"/>
        <v>2027</v>
      </c>
      <c r="AC2747" s="159"/>
      <c r="AD2747" s="159"/>
      <c r="AE2747" s="158"/>
      <c r="AF2747" s="27" t="s">
        <v>356</v>
      </c>
      <c r="AG2747" s="160"/>
      <c r="AH2747" s="160" t="s">
        <v>6873</v>
      </c>
      <c r="AI2747" s="158"/>
      <c r="AJ2747" s="158"/>
      <c r="AK2747" s="158"/>
      <c r="AL2747" s="158"/>
      <c r="AM2747" s="158"/>
      <c r="AN2747" s="158"/>
      <c r="AO2747" s="158"/>
      <c r="AP2747" s="158"/>
      <c r="AQ2747" s="158"/>
      <c r="AR2747" s="507"/>
      <c r="AS2747" s="475"/>
      <c r="AT2747" s="160"/>
    </row>
    <row r="2748" spans="1:46" ht="15" hidden="1" customHeight="1">
      <c r="A2748" s="220">
        <v>2742</v>
      </c>
      <c r="B2748" s="159" t="s">
        <v>8618</v>
      </c>
      <c r="C2748" s="159" t="s">
        <v>344</v>
      </c>
      <c r="D2748" s="159"/>
      <c r="E2748" s="361" t="str">
        <f t="shared" si="187"/>
        <v>ON TRACK</v>
      </c>
      <c r="F2748" s="160"/>
      <c r="G2748" s="317" t="s">
        <v>11962</v>
      </c>
      <c r="H2748" s="160" t="s">
        <v>8588</v>
      </c>
      <c r="I2748" s="160" t="s">
        <v>511</v>
      </c>
      <c r="J2748" s="159"/>
      <c r="K2748" s="160"/>
      <c r="L2748" s="158"/>
      <c r="M2748" s="158"/>
      <c r="N2748" s="160"/>
      <c r="O2748" s="162"/>
      <c r="P2748" s="161"/>
      <c r="Q2748" s="161"/>
      <c r="R2748" s="162"/>
      <c r="S2748" s="163"/>
      <c r="T2748" s="213">
        <v>0.2</v>
      </c>
      <c r="U2748" s="340">
        <v>46676</v>
      </c>
      <c r="V2748" s="340">
        <v>47041</v>
      </c>
      <c r="W2748" s="27" t="s">
        <v>17</v>
      </c>
      <c r="X2748" s="158"/>
      <c r="Y2748" s="164">
        <v>45971</v>
      </c>
      <c r="Z2748" s="35">
        <f t="shared" ref="Z2748:Z2778" si="197">V2748-Y2748</f>
        <v>1070</v>
      </c>
      <c r="AA2748" s="27">
        <f t="shared" si="195"/>
        <v>10</v>
      </c>
      <c r="AB2748" s="27">
        <f t="shared" si="196"/>
        <v>2028</v>
      </c>
      <c r="AC2748" s="159"/>
      <c r="AD2748" s="159"/>
      <c r="AE2748" s="158"/>
      <c r="AF2748" s="27" t="s">
        <v>356</v>
      </c>
      <c r="AG2748" s="160"/>
      <c r="AH2748" s="160" t="s">
        <v>6873</v>
      </c>
      <c r="AI2748" s="158"/>
      <c r="AJ2748" s="158"/>
      <c r="AK2748" s="158"/>
      <c r="AL2748" s="158"/>
      <c r="AM2748" s="158"/>
      <c r="AN2748" s="158"/>
      <c r="AO2748" s="158"/>
      <c r="AP2748" s="158"/>
      <c r="AQ2748" s="158"/>
      <c r="AR2748" s="507"/>
      <c r="AS2748" s="475"/>
      <c r="AT2748" s="160"/>
    </row>
    <row r="2749" spans="1:46" ht="15" hidden="1" customHeight="1">
      <c r="A2749" s="220">
        <v>2743</v>
      </c>
      <c r="B2749" s="159" t="s">
        <v>348</v>
      </c>
      <c r="C2749" s="159" t="s">
        <v>11963</v>
      </c>
      <c r="D2749" s="437" t="s">
        <v>11420</v>
      </c>
      <c r="E2749" s="361" t="str">
        <f t="shared" ca="1" si="187"/>
        <v>LOSS</v>
      </c>
      <c r="F2749" s="160"/>
      <c r="G2749" s="307" t="s">
        <v>11964</v>
      </c>
      <c r="H2749" s="160" t="s">
        <v>2748</v>
      </c>
      <c r="I2749" s="160" t="s">
        <v>242</v>
      </c>
      <c r="J2749" s="318" t="s">
        <v>11965</v>
      </c>
      <c r="K2749" s="181" t="s">
        <v>11966</v>
      </c>
      <c r="L2749" s="158"/>
      <c r="M2749" s="158" t="s">
        <v>353</v>
      </c>
      <c r="N2749" s="158" t="s">
        <v>362</v>
      </c>
      <c r="O2749" s="162"/>
      <c r="P2749" s="161">
        <v>29677419</v>
      </c>
      <c r="Q2749" s="161"/>
      <c r="R2749" s="162"/>
      <c r="S2749" s="163">
        <v>5417645</v>
      </c>
      <c r="T2749" s="164"/>
      <c r="U2749" s="340">
        <v>45958</v>
      </c>
      <c r="V2749" s="340">
        <v>46022</v>
      </c>
      <c r="W2749" s="158" t="s">
        <v>17</v>
      </c>
      <c r="X2749" s="158"/>
      <c r="Y2749" s="34">
        <f t="shared" ref="Y2749:Y2786" ca="1" si="198">TODAY()</f>
        <v>46290</v>
      </c>
      <c r="Z2749" s="35">
        <f t="shared" ca="1" si="197"/>
        <v>-268</v>
      </c>
      <c r="AA2749" s="27">
        <f t="shared" si="195"/>
        <v>12</v>
      </c>
      <c r="AB2749" s="27">
        <f t="shared" si="196"/>
        <v>2025</v>
      </c>
      <c r="AC2749" s="159" t="s">
        <v>3371</v>
      </c>
      <c r="AD2749" s="159" t="s">
        <v>11967</v>
      </c>
      <c r="AE2749" s="158">
        <v>4500026598</v>
      </c>
      <c r="AF2749" s="201" t="s">
        <v>356</v>
      </c>
      <c r="AG2749" s="160"/>
      <c r="AH2749" s="160" t="s">
        <v>357</v>
      </c>
      <c r="AI2749" s="158"/>
      <c r="AJ2749" s="158"/>
      <c r="AK2749" s="158"/>
      <c r="AL2749" s="158"/>
      <c r="AM2749" s="158"/>
      <c r="AN2749" s="158"/>
      <c r="AO2749" s="158"/>
      <c r="AP2749" s="158"/>
      <c r="AQ2749" s="158">
        <v>345</v>
      </c>
      <c r="AR2749" s="507"/>
      <c r="AS2749" s="475"/>
      <c r="AT2749" s="160"/>
    </row>
    <row r="2750" spans="1:46" ht="15" hidden="1" customHeight="1">
      <c r="A2750" s="220">
        <v>2744</v>
      </c>
      <c r="B2750" s="159" t="s">
        <v>11968</v>
      </c>
      <c r="C2750" s="159" t="s">
        <v>11969</v>
      </c>
      <c r="D2750" s="159"/>
      <c r="E2750" s="361" t="str">
        <f t="shared" ca="1" si="187"/>
        <v>LOSS</v>
      </c>
      <c r="F2750" s="160"/>
      <c r="G2750" s="221" t="s">
        <v>11970</v>
      </c>
      <c r="H2750" s="160" t="s">
        <v>9692</v>
      </c>
      <c r="I2750" s="160" t="s">
        <v>243</v>
      </c>
      <c r="J2750" s="159" t="s">
        <v>11971</v>
      </c>
      <c r="K2750" s="319" t="s">
        <v>11972</v>
      </c>
      <c r="L2750" s="158"/>
      <c r="M2750" s="158" t="s">
        <v>353</v>
      </c>
      <c r="N2750" s="158" t="s">
        <v>6802</v>
      </c>
      <c r="O2750" s="162">
        <v>3500000</v>
      </c>
      <c r="P2750" s="161">
        <v>3500000</v>
      </c>
      <c r="Q2750" s="161"/>
      <c r="R2750" s="162">
        <v>5000000</v>
      </c>
      <c r="S2750" s="163">
        <v>2500000</v>
      </c>
      <c r="T2750" s="164"/>
      <c r="U2750" s="340">
        <v>45845</v>
      </c>
      <c r="V2750" s="340">
        <v>46209</v>
      </c>
      <c r="W2750" s="158" t="s">
        <v>17</v>
      </c>
      <c r="X2750" s="158"/>
      <c r="Y2750" s="164">
        <f t="shared" ca="1" si="198"/>
        <v>46290</v>
      </c>
      <c r="Z2750" s="35">
        <f t="shared" ca="1" si="197"/>
        <v>-81</v>
      </c>
      <c r="AA2750" s="158">
        <f t="shared" si="195"/>
        <v>7</v>
      </c>
      <c r="AB2750" s="158">
        <f t="shared" si="196"/>
        <v>2026</v>
      </c>
      <c r="AC2750" s="159" t="s">
        <v>3371</v>
      </c>
      <c r="AD2750" s="159" t="s">
        <v>11973</v>
      </c>
      <c r="AE2750" s="158">
        <v>4500025333</v>
      </c>
      <c r="AF2750" s="201" t="s">
        <v>8995</v>
      </c>
      <c r="AG2750" s="160"/>
      <c r="AH2750" s="160" t="s">
        <v>11974</v>
      </c>
      <c r="AI2750" s="158"/>
      <c r="AJ2750" s="158"/>
      <c r="AK2750" s="158"/>
      <c r="AL2750" s="158"/>
      <c r="AM2750" s="158"/>
      <c r="AN2750" s="158"/>
      <c r="AO2750" s="158"/>
      <c r="AP2750" s="158"/>
      <c r="AQ2750" s="158">
        <v>344</v>
      </c>
      <c r="AR2750" s="507"/>
      <c r="AS2750" s="475"/>
      <c r="AT2750" s="160"/>
    </row>
    <row r="2751" spans="1:46" ht="15" hidden="1" customHeight="1">
      <c r="A2751" s="220">
        <v>2745</v>
      </c>
      <c r="B2751" s="159" t="s">
        <v>11975</v>
      </c>
      <c r="C2751" s="159" t="s">
        <v>7290</v>
      </c>
      <c r="D2751" s="159"/>
      <c r="E2751" s="28" t="str">
        <f ca="1">IF(AND(Z2751&gt;=60, Z2751&lt;=3000), "ON TRACK",IF(AND(Z2751&gt;=36, Z2751&lt;=59), "ATTENTION",IF(AND(Z2751&gt;=1, Z2751&lt;=35), "WARNING",IF(AND(Z2751&gt;=-3000, Z2751&lt;=0), "CRITICAL", ""))))</f>
        <v>CRITICAL</v>
      </c>
      <c r="F2751" s="300" t="s">
        <v>10265</v>
      </c>
      <c r="G2751" s="71" t="s">
        <v>7292</v>
      </c>
      <c r="H2751" s="160" t="s">
        <v>261</v>
      </c>
      <c r="I2751" s="160" t="s">
        <v>243</v>
      </c>
      <c r="J2751" s="159" t="s">
        <v>11976</v>
      </c>
      <c r="K2751" s="159">
        <v>1000189276</v>
      </c>
      <c r="L2751" s="158" t="s">
        <v>4749</v>
      </c>
      <c r="M2751" s="158" t="s">
        <v>365</v>
      </c>
      <c r="N2751" s="158" t="s">
        <v>468</v>
      </c>
      <c r="O2751" s="162"/>
      <c r="P2751" s="161">
        <f>6400000*12</f>
        <v>76800000</v>
      </c>
      <c r="Q2751" s="161"/>
      <c r="R2751" s="162"/>
      <c r="S2751" s="163">
        <f>12*8250000</f>
        <v>99000000</v>
      </c>
      <c r="T2751" s="164"/>
      <c r="U2751" s="340">
        <v>45818</v>
      </c>
      <c r="V2751" s="340">
        <v>46182</v>
      </c>
      <c r="W2751" s="158" t="s">
        <v>17</v>
      </c>
      <c r="X2751" s="158"/>
      <c r="Y2751" s="164">
        <f t="shared" ca="1" si="198"/>
        <v>46290</v>
      </c>
      <c r="Z2751" s="35">
        <f t="shared" ca="1" si="197"/>
        <v>-108</v>
      </c>
      <c r="AA2751" s="158">
        <f t="shared" si="195"/>
        <v>6</v>
      </c>
      <c r="AB2751" s="158">
        <f t="shared" si="196"/>
        <v>2026</v>
      </c>
      <c r="AC2751" s="257" t="s">
        <v>11977</v>
      </c>
      <c r="AD2751" s="194" t="s">
        <v>11978</v>
      </c>
      <c r="AE2751" s="158">
        <v>4500026379</v>
      </c>
      <c r="AF2751" s="201" t="s">
        <v>8995</v>
      </c>
      <c r="AG2751" s="160"/>
      <c r="AH2751" s="160" t="s">
        <v>11979</v>
      </c>
      <c r="AI2751" s="158"/>
      <c r="AJ2751" s="158"/>
      <c r="AK2751" s="158"/>
      <c r="AL2751" s="158"/>
      <c r="AM2751" s="158"/>
      <c r="AN2751" s="158"/>
      <c r="AO2751" s="158"/>
      <c r="AP2751" s="158"/>
      <c r="AQ2751" s="158">
        <v>347</v>
      </c>
      <c r="AR2751" s="507"/>
      <c r="AS2751" s="475"/>
      <c r="AT2751" s="160"/>
    </row>
    <row r="2752" spans="1:46" ht="15" hidden="1" customHeight="1">
      <c r="A2752" s="220">
        <v>2746</v>
      </c>
      <c r="B2752" s="159" t="s">
        <v>1909</v>
      </c>
      <c r="C2752" s="159" t="s">
        <v>6629</v>
      </c>
      <c r="D2752" s="159"/>
      <c r="E2752" s="28"/>
      <c r="F2752" s="71" t="s">
        <v>9354</v>
      </c>
      <c r="G2752" s="71" t="s">
        <v>6631</v>
      </c>
      <c r="H2752" s="160" t="s">
        <v>261</v>
      </c>
      <c r="I2752" s="160" t="s">
        <v>243</v>
      </c>
      <c r="J2752" s="159" t="s">
        <v>6632</v>
      </c>
      <c r="K2752" s="38" t="s">
        <v>6633</v>
      </c>
      <c r="L2752" s="213">
        <v>0.99</v>
      </c>
      <c r="M2752" s="158" t="s">
        <v>329</v>
      </c>
      <c r="N2752" s="158" t="s">
        <v>494</v>
      </c>
      <c r="O2752" s="162"/>
      <c r="P2752" s="161">
        <f>11318182*12</f>
        <v>135818184</v>
      </c>
      <c r="Q2752" s="161"/>
      <c r="R2752" s="162"/>
      <c r="S2752" s="163">
        <f>12*7500000</f>
        <v>90000000</v>
      </c>
      <c r="T2752" s="164"/>
      <c r="U2752" s="340">
        <v>45887</v>
      </c>
      <c r="V2752" s="340">
        <v>46251</v>
      </c>
      <c r="W2752" s="158" t="s">
        <v>17</v>
      </c>
      <c r="X2752" s="158"/>
      <c r="Y2752" s="164">
        <f t="shared" ca="1" si="198"/>
        <v>46290</v>
      </c>
      <c r="Z2752" s="35">
        <f t="shared" ca="1" si="197"/>
        <v>-39</v>
      </c>
      <c r="AA2752" s="158">
        <f t="shared" si="195"/>
        <v>8</v>
      </c>
      <c r="AB2752" s="158">
        <f t="shared" si="196"/>
        <v>2026</v>
      </c>
      <c r="AC2752" s="159" t="s">
        <v>11980</v>
      </c>
      <c r="AD2752" s="462" t="s">
        <v>11981</v>
      </c>
      <c r="AE2752" s="158">
        <v>4500026570</v>
      </c>
      <c r="AF2752" s="201" t="s">
        <v>8995</v>
      </c>
      <c r="AG2752" s="160"/>
      <c r="AH2752" s="160"/>
      <c r="AI2752" s="158"/>
      <c r="AJ2752" s="158"/>
      <c r="AK2752" s="158"/>
      <c r="AL2752" s="158"/>
      <c r="AM2752" s="158"/>
      <c r="AN2752" s="158"/>
      <c r="AO2752" s="158"/>
      <c r="AP2752" s="158"/>
      <c r="AQ2752" s="158">
        <v>349</v>
      </c>
      <c r="AR2752" s="507"/>
      <c r="AS2752" s="475"/>
      <c r="AT2752" s="160"/>
    </row>
    <row r="2753" spans="1:46" ht="15" hidden="1" customHeight="1">
      <c r="A2753" s="220">
        <v>2747</v>
      </c>
      <c r="B2753" s="159" t="s">
        <v>9583</v>
      </c>
      <c r="C2753" s="159" t="s">
        <v>11982</v>
      </c>
      <c r="D2753" s="159"/>
      <c r="E2753" s="28" t="str">
        <f t="shared" ref="E2753:E2784" ca="1" si="199">IF(AND(Z2753&gt;=60, Z2753&lt;=3000), "ON TRACK",IF(AND(Z2753&gt;=36, Z2753&lt;=59), "ATTENTION",IF(AND(Z2753&gt;=1, Z2753&lt;=35), "WARNING",IF(AND(Z2753&gt;=-3000, Z2753&lt;=0), "CRITICAL", ""))))</f>
        <v>WARNING</v>
      </c>
      <c r="F2753" s="160"/>
      <c r="G2753" s="159" t="s">
        <v>9586</v>
      </c>
      <c r="H2753" s="160" t="s">
        <v>2748</v>
      </c>
      <c r="I2753" s="160" t="s">
        <v>346</v>
      </c>
      <c r="J2753" s="159" t="s">
        <v>9587</v>
      </c>
      <c r="K2753" s="160"/>
      <c r="L2753" s="158"/>
      <c r="M2753" s="158" t="s">
        <v>353</v>
      </c>
      <c r="N2753" s="158" t="s">
        <v>354</v>
      </c>
      <c r="O2753" s="162"/>
      <c r="P2753" s="161">
        <f>8500000*12</f>
        <v>102000000</v>
      </c>
      <c r="Q2753" s="161"/>
      <c r="R2753" s="162"/>
      <c r="S2753" s="163">
        <v>8600000</v>
      </c>
      <c r="T2753" s="164"/>
      <c r="U2753" s="334">
        <v>45946</v>
      </c>
      <c r="V2753" s="334">
        <v>46310</v>
      </c>
      <c r="W2753" s="158" t="s">
        <v>17</v>
      </c>
      <c r="X2753" s="158"/>
      <c r="Y2753" s="34">
        <f t="shared" ca="1" si="198"/>
        <v>46290</v>
      </c>
      <c r="Z2753" s="35">
        <f t="shared" ca="1" si="197"/>
        <v>20</v>
      </c>
      <c r="AA2753" s="27">
        <f t="shared" si="195"/>
        <v>10</v>
      </c>
      <c r="AB2753" s="158">
        <v>2025</v>
      </c>
      <c r="AC2753" s="159" t="s">
        <v>11983</v>
      </c>
      <c r="AD2753" s="159" t="s">
        <v>11984</v>
      </c>
      <c r="AE2753" s="158">
        <v>4500026642</v>
      </c>
      <c r="AF2753" s="201" t="s">
        <v>333</v>
      </c>
      <c r="AG2753" s="160"/>
      <c r="AH2753" s="160" t="s">
        <v>5997</v>
      </c>
      <c r="AI2753" s="158"/>
      <c r="AJ2753" s="158"/>
      <c r="AK2753" s="158"/>
      <c r="AL2753" s="158"/>
      <c r="AM2753" s="158"/>
      <c r="AN2753" s="158"/>
      <c r="AO2753" s="158"/>
      <c r="AP2753" s="158"/>
      <c r="AQ2753" s="158" t="s">
        <v>11985</v>
      </c>
      <c r="AR2753" s="507"/>
      <c r="AS2753" s="475"/>
      <c r="AT2753" s="160"/>
    </row>
    <row r="2754" spans="1:46" ht="15" hidden="1" customHeight="1">
      <c r="A2754" s="220">
        <v>2748</v>
      </c>
      <c r="B2754" s="159" t="s">
        <v>2413</v>
      </c>
      <c r="C2754" s="159" t="s">
        <v>9826</v>
      </c>
      <c r="D2754" s="159"/>
      <c r="E2754" s="28" t="str">
        <f t="shared" ca="1" si="199"/>
        <v>ON TRACK</v>
      </c>
      <c r="F2754" s="160" t="s">
        <v>11986</v>
      </c>
      <c r="G2754" s="205" t="s">
        <v>11987</v>
      </c>
      <c r="H2754" s="160" t="s">
        <v>2748</v>
      </c>
      <c r="I2754" s="160" t="s">
        <v>346</v>
      </c>
      <c r="J2754" s="159"/>
      <c r="K2754" s="218" t="s">
        <v>11988</v>
      </c>
      <c r="L2754" s="158"/>
      <c r="M2754" s="158" t="s">
        <v>365</v>
      </c>
      <c r="N2754" s="158" t="s">
        <v>6885</v>
      </c>
      <c r="O2754" s="162"/>
      <c r="P2754" s="161">
        <f>6463964*12</f>
        <v>77567568</v>
      </c>
      <c r="Q2754" s="161"/>
      <c r="R2754" s="162"/>
      <c r="S2754" s="163">
        <v>59850000</v>
      </c>
      <c r="T2754" s="164"/>
      <c r="U2754" s="340">
        <v>46023</v>
      </c>
      <c r="V2754" s="340">
        <v>46752</v>
      </c>
      <c r="W2754" s="158" t="s">
        <v>17</v>
      </c>
      <c r="X2754" s="158"/>
      <c r="Y2754" s="34">
        <f t="shared" ca="1" si="198"/>
        <v>46290</v>
      </c>
      <c r="Z2754" s="35">
        <f t="shared" ca="1" si="197"/>
        <v>462</v>
      </c>
      <c r="AA2754" s="158">
        <f t="shared" si="195"/>
        <v>12</v>
      </c>
      <c r="AB2754" s="158">
        <f>YEAR(V2754)</f>
        <v>2027</v>
      </c>
      <c r="AC2754" s="159" t="s">
        <v>11989</v>
      </c>
      <c r="AD2754" s="159" t="s">
        <v>11990</v>
      </c>
      <c r="AE2754" s="184" t="s">
        <v>11991</v>
      </c>
      <c r="AF2754" s="201" t="s">
        <v>333</v>
      </c>
      <c r="AG2754" s="160"/>
      <c r="AH2754" s="160" t="s">
        <v>11992</v>
      </c>
      <c r="AI2754" s="158"/>
      <c r="AJ2754" s="158"/>
      <c r="AK2754" s="158"/>
      <c r="AL2754" s="158"/>
      <c r="AM2754" s="158"/>
      <c r="AN2754" s="158"/>
      <c r="AO2754" s="158"/>
      <c r="AP2754" s="158"/>
      <c r="AQ2754" s="158">
        <v>383</v>
      </c>
      <c r="AR2754" s="507"/>
      <c r="AS2754" s="475"/>
      <c r="AT2754" s="160"/>
    </row>
    <row r="2755" spans="1:46" ht="15" hidden="1" customHeight="1">
      <c r="A2755" s="220">
        <v>2749</v>
      </c>
      <c r="B2755" s="159" t="s">
        <v>1160</v>
      </c>
      <c r="C2755" s="159" t="s">
        <v>2714</v>
      </c>
      <c r="D2755" s="159"/>
      <c r="E2755" s="28" t="str">
        <f t="shared" ca="1" si="199"/>
        <v>WARNING</v>
      </c>
      <c r="F2755" s="160"/>
      <c r="G2755" s="159" t="s">
        <v>10223</v>
      </c>
      <c r="H2755" s="160" t="s">
        <v>2748</v>
      </c>
      <c r="I2755" s="160" t="s">
        <v>242</v>
      </c>
      <c r="J2755" s="159"/>
      <c r="K2755" s="181" t="s">
        <v>10224</v>
      </c>
      <c r="L2755" s="158"/>
      <c r="M2755" s="158" t="s">
        <v>353</v>
      </c>
      <c r="N2755" s="158" t="s">
        <v>354</v>
      </c>
      <c r="O2755" s="162"/>
      <c r="P2755" s="161">
        <f>4500000*12</f>
        <v>54000000</v>
      </c>
      <c r="Q2755" s="161"/>
      <c r="R2755" s="162"/>
      <c r="S2755" s="163">
        <v>18150000</v>
      </c>
      <c r="T2755" s="164"/>
      <c r="U2755" s="334">
        <v>45958</v>
      </c>
      <c r="V2755" s="334">
        <v>46322</v>
      </c>
      <c r="W2755" s="27" t="s">
        <v>17</v>
      </c>
      <c r="X2755" s="158"/>
      <c r="Y2755" s="34">
        <f t="shared" ca="1" si="198"/>
        <v>46290</v>
      </c>
      <c r="Z2755" s="35">
        <f t="shared" ca="1" si="197"/>
        <v>32</v>
      </c>
      <c r="AA2755" s="237">
        <f t="shared" si="195"/>
        <v>10</v>
      </c>
      <c r="AB2755" s="27">
        <f>YEAR(V2755)</f>
        <v>2026</v>
      </c>
      <c r="AC2755" s="159" t="s">
        <v>11993</v>
      </c>
      <c r="AD2755" s="159" t="s">
        <v>11994</v>
      </c>
      <c r="AE2755" s="184" t="s">
        <v>11995</v>
      </c>
      <c r="AF2755" s="201" t="s">
        <v>333</v>
      </c>
      <c r="AG2755" s="160"/>
      <c r="AH2755" s="160" t="s">
        <v>9149</v>
      </c>
      <c r="AI2755" s="158"/>
      <c r="AJ2755" s="158"/>
      <c r="AK2755" s="158"/>
      <c r="AL2755" s="158"/>
      <c r="AM2755" s="158"/>
      <c r="AN2755" s="158"/>
      <c r="AO2755" s="158"/>
      <c r="AP2755" s="158"/>
      <c r="AQ2755" s="158">
        <v>380</v>
      </c>
      <c r="AR2755" s="507"/>
      <c r="AS2755" s="475"/>
      <c r="AT2755" s="160"/>
    </row>
    <row r="2756" spans="1:46" ht="15" hidden="1" customHeight="1">
      <c r="A2756" s="220">
        <v>2750</v>
      </c>
      <c r="B2756" s="159" t="s">
        <v>4202</v>
      </c>
      <c r="C2756" s="159" t="s">
        <v>571</v>
      </c>
      <c r="D2756" s="435" t="s">
        <v>9212</v>
      </c>
      <c r="E2756" s="28" t="str">
        <f t="shared" ca="1" si="199"/>
        <v>ON TRACK</v>
      </c>
      <c r="F2756" s="160" t="s">
        <v>9834</v>
      </c>
      <c r="G2756" s="159" t="s">
        <v>9835</v>
      </c>
      <c r="H2756" s="160" t="s">
        <v>2748</v>
      </c>
      <c r="I2756" s="160" t="s">
        <v>242</v>
      </c>
      <c r="J2756" s="159" t="s">
        <v>4205</v>
      </c>
      <c r="K2756" s="160"/>
      <c r="L2756" s="158"/>
      <c r="M2756" s="158" t="s">
        <v>329</v>
      </c>
      <c r="N2756" s="158" t="s">
        <v>11996</v>
      </c>
      <c r="O2756" s="162"/>
      <c r="P2756" s="161">
        <f>7500000*12</f>
        <v>90000000</v>
      </c>
      <c r="Q2756" s="161"/>
      <c r="R2756" s="162"/>
      <c r="S2756" s="163">
        <v>24000000</v>
      </c>
      <c r="T2756" s="164"/>
      <c r="U2756" s="340">
        <v>46021</v>
      </c>
      <c r="V2756" s="340">
        <v>46385</v>
      </c>
      <c r="W2756" s="27" t="s">
        <v>17</v>
      </c>
      <c r="X2756" s="158"/>
      <c r="Y2756" s="34">
        <f t="shared" ca="1" si="198"/>
        <v>46290</v>
      </c>
      <c r="Z2756" s="35">
        <f t="shared" ca="1" si="197"/>
        <v>95</v>
      </c>
      <c r="AA2756" s="237">
        <f t="shared" si="195"/>
        <v>12</v>
      </c>
      <c r="AB2756" s="27">
        <f>YEAR(V2756)</f>
        <v>2026</v>
      </c>
      <c r="AC2756" s="159" t="s">
        <v>11997</v>
      </c>
      <c r="AD2756" s="159" t="s">
        <v>11998</v>
      </c>
      <c r="AE2756" s="158">
        <v>4500026651</v>
      </c>
      <c r="AF2756" s="201" t="s">
        <v>333</v>
      </c>
      <c r="AG2756" s="160"/>
      <c r="AH2756" s="29" t="s">
        <v>4340</v>
      </c>
      <c r="AI2756" s="158"/>
      <c r="AJ2756" s="158"/>
      <c r="AK2756" s="158"/>
      <c r="AL2756" s="158"/>
      <c r="AM2756" s="158"/>
      <c r="AN2756" s="158"/>
      <c r="AO2756" s="158"/>
      <c r="AP2756" s="158"/>
      <c r="AQ2756" s="158">
        <v>379</v>
      </c>
      <c r="AR2756" s="507"/>
      <c r="AS2756" s="475"/>
      <c r="AT2756" s="160"/>
    </row>
    <row r="2757" spans="1:46" ht="15" hidden="1" customHeight="1">
      <c r="A2757" s="220">
        <v>2751</v>
      </c>
      <c r="B2757" s="159" t="s">
        <v>2391</v>
      </c>
      <c r="C2757" s="159" t="s">
        <v>2392</v>
      </c>
      <c r="D2757" s="468" t="s">
        <v>3035</v>
      </c>
      <c r="E2757" s="28" t="str">
        <f t="shared" ca="1" si="199"/>
        <v>ON TRACK</v>
      </c>
      <c r="F2757" s="160" t="s">
        <v>11999</v>
      </c>
      <c r="G2757" s="159" t="s">
        <v>12000</v>
      </c>
      <c r="H2757" s="160" t="s">
        <v>2748</v>
      </c>
      <c r="I2757" s="160" t="s">
        <v>346</v>
      </c>
      <c r="J2757" s="159"/>
      <c r="K2757" s="181" t="s">
        <v>12001</v>
      </c>
      <c r="L2757" s="158"/>
      <c r="M2757" s="158" t="s">
        <v>329</v>
      </c>
      <c r="N2757" s="158" t="s">
        <v>417</v>
      </c>
      <c r="O2757" s="162"/>
      <c r="P2757" s="161"/>
      <c r="Q2757" s="161"/>
      <c r="R2757" s="162"/>
      <c r="S2757" s="163">
        <v>8000000</v>
      </c>
      <c r="T2757" s="164"/>
      <c r="U2757" s="340">
        <v>45992</v>
      </c>
      <c r="V2757" s="340">
        <v>46356</v>
      </c>
      <c r="W2757" s="27" t="s">
        <v>17</v>
      </c>
      <c r="X2757" s="158"/>
      <c r="Y2757" s="164">
        <f t="shared" ca="1" si="198"/>
        <v>46290</v>
      </c>
      <c r="Z2757" s="35">
        <f t="shared" ca="1" si="197"/>
        <v>66</v>
      </c>
      <c r="AA2757" s="158">
        <f>MONTH(Table1[[#This Row],[End]])</f>
        <v>11</v>
      </c>
      <c r="AB2757" s="158">
        <f>YEAR(Table1[[#This Row],[End]])</f>
        <v>2026</v>
      </c>
      <c r="AC2757" s="159" t="s">
        <v>12002</v>
      </c>
      <c r="AD2757" s="159" t="s">
        <v>12003</v>
      </c>
      <c r="AE2757" s="158">
        <v>4500026684</v>
      </c>
      <c r="AF2757" s="158" t="s">
        <v>333</v>
      </c>
      <c r="AG2757" s="160"/>
      <c r="AH2757" s="160" t="s">
        <v>3039</v>
      </c>
      <c r="AI2757" s="158"/>
      <c r="AJ2757" s="158"/>
      <c r="AK2757" s="158"/>
      <c r="AL2757" s="158"/>
      <c r="AM2757" s="158"/>
      <c r="AN2757" s="158"/>
      <c r="AO2757" s="158"/>
      <c r="AP2757" s="158"/>
      <c r="AQ2757" s="158">
        <v>382</v>
      </c>
      <c r="AR2757" s="507"/>
      <c r="AS2757" s="475"/>
      <c r="AT2757" s="160"/>
    </row>
    <row r="2758" spans="1:46" ht="15" hidden="1" customHeight="1">
      <c r="A2758" s="220">
        <v>2752</v>
      </c>
      <c r="B2758" s="159" t="s">
        <v>2391</v>
      </c>
      <c r="C2758" s="159" t="s">
        <v>2392</v>
      </c>
      <c r="D2758" s="468" t="s">
        <v>3035</v>
      </c>
      <c r="E2758" s="28" t="str">
        <f t="shared" ca="1" si="199"/>
        <v>ON TRACK</v>
      </c>
      <c r="F2758" s="160" t="s">
        <v>11999</v>
      </c>
      <c r="G2758" s="159" t="s">
        <v>12000</v>
      </c>
      <c r="H2758" s="160" t="s">
        <v>2748</v>
      </c>
      <c r="I2758" s="160" t="s">
        <v>346</v>
      </c>
      <c r="J2758" s="159"/>
      <c r="K2758" s="181" t="s">
        <v>12001</v>
      </c>
      <c r="L2758" s="158"/>
      <c r="M2758" s="158" t="s">
        <v>329</v>
      </c>
      <c r="N2758" s="158" t="s">
        <v>417</v>
      </c>
      <c r="O2758" s="162"/>
      <c r="P2758" s="161"/>
      <c r="Q2758" s="161"/>
      <c r="R2758" s="162"/>
      <c r="S2758" s="163">
        <v>5000000</v>
      </c>
      <c r="T2758" s="164"/>
      <c r="U2758" s="340">
        <v>45992</v>
      </c>
      <c r="V2758" s="340">
        <v>46356</v>
      </c>
      <c r="W2758" s="27" t="s">
        <v>17</v>
      </c>
      <c r="X2758" s="158"/>
      <c r="Y2758" s="164">
        <f t="shared" ca="1" si="198"/>
        <v>46290</v>
      </c>
      <c r="Z2758" s="35">
        <f t="shared" ca="1" si="197"/>
        <v>66</v>
      </c>
      <c r="AA2758" s="158">
        <f>MONTH(Table1[[#This Row],[End]])</f>
        <v>11</v>
      </c>
      <c r="AB2758" s="158">
        <f>YEAR(Table1[[#This Row],[End]])</f>
        <v>2026</v>
      </c>
      <c r="AC2758" s="159" t="s">
        <v>12004</v>
      </c>
      <c r="AD2758" s="159" t="s">
        <v>12005</v>
      </c>
      <c r="AE2758" s="158">
        <v>4500026683</v>
      </c>
      <c r="AF2758" s="158" t="s">
        <v>333</v>
      </c>
      <c r="AG2758" s="160"/>
      <c r="AH2758" s="160" t="s">
        <v>3039</v>
      </c>
      <c r="AI2758" s="158"/>
      <c r="AJ2758" s="158"/>
      <c r="AK2758" s="158"/>
      <c r="AL2758" s="158"/>
      <c r="AM2758" s="158"/>
      <c r="AN2758" s="158"/>
      <c r="AO2758" s="158"/>
      <c r="AP2758" s="158"/>
      <c r="AQ2758" s="158">
        <v>372</v>
      </c>
      <c r="AR2758" s="507"/>
      <c r="AS2758" s="475"/>
      <c r="AT2758" s="160"/>
    </row>
    <row r="2759" spans="1:46" ht="15" hidden="1" customHeight="1">
      <c r="A2759" s="220">
        <v>2753</v>
      </c>
      <c r="B2759" s="159" t="s">
        <v>4069</v>
      </c>
      <c r="C2759" s="159" t="s">
        <v>2610</v>
      </c>
      <c r="D2759" s="159" t="s">
        <v>4071</v>
      </c>
      <c r="E2759" s="28" t="str">
        <f t="shared" ca="1" si="199"/>
        <v>WARNING</v>
      </c>
      <c r="F2759" s="160"/>
      <c r="G2759" s="159" t="s">
        <v>10236</v>
      </c>
      <c r="H2759" s="160" t="s">
        <v>2748</v>
      </c>
      <c r="I2759" s="160" t="s">
        <v>242</v>
      </c>
      <c r="J2759" s="205"/>
      <c r="K2759" s="205" t="s">
        <v>10237</v>
      </c>
      <c r="L2759" s="158"/>
      <c r="M2759" s="190" t="s">
        <v>329</v>
      </c>
      <c r="N2759" s="158" t="s">
        <v>417</v>
      </c>
      <c r="O2759" s="162"/>
      <c r="P2759" s="161">
        <f>2545455*12</f>
        <v>30545460</v>
      </c>
      <c r="Q2759" s="161"/>
      <c r="R2759" s="162"/>
      <c r="S2759" s="163">
        <v>5040000</v>
      </c>
      <c r="T2759" s="164"/>
      <c r="U2759" s="334">
        <v>45961</v>
      </c>
      <c r="V2759" s="334">
        <v>46325</v>
      </c>
      <c r="W2759" s="158" t="s">
        <v>17</v>
      </c>
      <c r="X2759" s="158"/>
      <c r="Y2759" s="34">
        <f t="shared" ca="1" si="198"/>
        <v>46290</v>
      </c>
      <c r="Z2759" s="35">
        <f t="shared" ca="1" si="197"/>
        <v>35</v>
      </c>
      <c r="AA2759" s="27">
        <f>MONTH(Table1[[#This Row],[End]])</f>
        <v>10</v>
      </c>
      <c r="AB2759" s="27">
        <f>YEAR(V2759)</f>
        <v>2026</v>
      </c>
      <c r="AC2759" s="182" t="s">
        <v>12006</v>
      </c>
      <c r="AD2759" s="159" t="s">
        <v>12007</v>
      </c>
      <c r="AE2759" s="158">
        <v>4500026530</v>
      </c>
      <c r="AF2759" s="201" t="s">
        <v>333</v>
      </c>
      <c r="AG2759" s="160"/>
      <c r="AH2759" s="160" t="s">
        <v>12008</v>
      </c>
      <c r="AI2759" s="158"/>
      <c r="AJ2759" s="158"/>
      <c r="AK2759" s="158"/>
      <c r="AL2759" s="158"/>
      <c r="AM2759" s="158"/>
      <c r="AN2759" s="158"/>
      <c r="AO2759" s="158"/>
      <c r="AP2759" s="158"/>
      <c r="AQ2759" s="158">
        <v>371</v>
      </c>
      <c r="AR2759" s="507"/>
      <c r="AS2759" s="475"/>
      <c r="AT2759" s="160"/>
    </row>
    <row r="2760" spans="1:46" ht="15" hidden="1" customHeight="1">
      <c r="A2760" s="220">
        <v>2754</v>
      </c>
      <c r="B2760" s="159" t="s">
        <v>4069</v>
      </c>
      <c r="C2760" s="182" t="s">
        <v>12009</v>
      </c>
      <c r="D2760" s="159" t="s">
        <v>4071</v>
      </c>
      <c r="E2760" s="28" t="str">
        <f t="shared" ca="1" si="199"/>
        <v>ATTENTION</v>
      </c>
      <c r="F2760" s="203" t="s">
        <v>12010</v>
      </c>
      <c r="G2760" s="159" t="s">
        <v>10236</v>
      </c>
      <c r="H2760" s="160" t="s">
        <v>2748</v>
      </c>
      <c r="I2760" s="160" t="s">
        <v>346</v>
      </c>
      <c r="J2760" s="216"/>
      <c r="K2760" s="216" t="s">
        <v>12011</v>
      </c>
      <c r="L2760" s="158"/>
      <c r="M2760" s="190" t="s">
        <v>7267</v>
      </c>
      <c r="N2760" s="158" t="s">
        <v>6885</v>
      </c>
      <c r="O2760" s="162"/>
      <c r="P2760" s="161">
        <f>9245455*12</f>
        <v>110945460</v>
      </c>
      <c r="Q2760" s="161"/>
      <c r="R2760" s="162"/>
      <c r="S2760" s="163">
        <v>8000000</v>
      </c>
      <c r="T2760" s="164"/>
      <c r="U2760" s="340">
        <v>45962</v>
      </c>
      <c r="V2760" s="340">
        <v>46326</v>
      </c>
      <c r="W2760" s="158" t="s">
        <v>17</v>
      </c>
      <c r="X2760" s="158"/>
      <c r="Y2760" s="34">
        <f t="shared" ca="1" si="198"/>
        <v>46290</v>
      </c>
      <c r="Z2760" s="35">
        <f t="shared" ca="1" si="197"/>
        <v>36</v>
      </c>
      <c r="AA2760" s="27">
        <f>MONTH(Table1[[#This Row],[End]])</f>
        <v>10</v>
      </c>
      <c r="AB2760" s="27">
        <f>YEAR(V2760)</f>
        <v>2026</v>
      </c>
      <c r="AC2760" s="159" t="s">
        <v>12012</v>
      </c>
      <c r="AD2760" s="159" t="s">
        <v>12013</v>
      </c>
      <c r="AE2760" s="158">
        <v>4500026521</v>
      </c>
      <c r="AF2760" s="201" t="s">
        <v>333</v>
      </c>
      <c r="AG2760" s="160"/>
      <c r="AH2760" s="160" t="s">
        <v>12008</v>
      </c>
      <c r="AI2760" s="158"/>
      <c r="AJ2760" s="158"/>
      <c r="AK2760" s="158"/>
      <c r="AL2760" s="158"/>
      <c r="AM2760" s="158"/>
      <c r="AN2760" s="158"/>
      <c r="AO2760" s="158"/>
      <c r="AP2760" s="158"/>
      <c r="AQ2760" s="158">
        <v>370</v>
      </c>
      <c r="AR2760" s="507"/>
      <c r="AS2760" s="475"/>
      <c r="AT2760" s="160"/>
    </row>
    <row r="2761" spans="1:46" ht="15" hidden="1" customHeight="1">
      <c r="A2761" s="220">
        <v>2755</v>
      </c>
      <c r="B2761" s="159" t="s">
        <v>9548</v>
      </c>
      <c r="C2761" s="159" t="s">
        <v>9549</v>
      </c>
      <c r="D2761" s="159"/>
      <c r="E2761" s="28" t="str">
        <f t="shared" ca="1" si="199"/>
        <v>WARNING</v>
      </c>
      <c r="F2761" s="160"/>
      <c r="G2761" s="159" t="s">
        <v>9551</v>
      </c>
      <c r="H2761" s="160" t="s">
        <v>2748</v>
      </c>
      <c r="I2761" s="160" t="s">
        <v>346</v>
      </c>
      <c r="J2761" s="159" t="s">
        <v>9552</v>
      </c>
      <c r="K2761" s="160"/>
      <c r="L2761" s="158"/>
      <c r="M2761" s="158" t="s">
        <v>365</v>
      </c>
      <c r="N2761" s="160"/>
      <c r="O2761" s="162"/>
      <c r="P2761" s="161">
        <f>7070945*12</f>
        <v>84851340</v>
      </c>
      <c r="Q2761" s="161"/>
      <c r="R2761" s="162"/>
      <c r="S2761" s="163">
        <f>13500000</f>
        <v>13500000</v>
      </c>
      <c r="T2761" s="164"/>
      <c r="U2761" s="334">
        <v>45954</v>
      </c>
      <c r="V2761" s="334">
        <v>46318</v>
      </c>
      <c r="W2761" s="158" t="s">
        <v>17</v>
      </c>
      <c r="X2761" s="158"/>
      <c r="Y2761" s="34">
        <f t="shared" ca="1" si="198"/>
        <v>46290</v>
      </c>
      <c r="Z2761" s="35">
        <f t="shared" ca="1" si="197"/>
        <v>28</v>
      </c>
      <c r="AA2761" s="27">
        <f>MONTH(V2761)</f>
        <v>10</v>
      </c>
      <c r="AB2761" s="158">
        <v>2025</v>
      </c>
      <c r="AC2761" s="159" t="s">
        <v>12014</v>
      </c>
      <c r="AD2761" s="159" t="s">
        <v>12015</v>
      </c>
      <c r="AE2761" s="184" t="s">
        <v>12016</v>
      </c>
      <c r="AF2761" s="201" t="s">
        <v>333</v>
      </c>
      <c r="AG2761" s="160"/>
      <c r="AH2761" s="160" t="s">
        <v>12017</v>
      </c>
      <c r="AI2761" s="158"/>
      <c r="AJ2761" s="158"/>
      <c r="AK2761" s="158"/>
      <c r="AL2761" s="158"/>
      <c r="AM2761" s="158"/>
      <c r="AN2761" s="158"/>
      <c r="AO2761" s="158"/>
      <c r="AP2761" s="158"/>
      <c r="AQ2761" s="158">
        <v>369</v>
      </c>
      <c r="AR2761" s="507"/>
      <c r="AS2761" s="475"/>
      <c r="AT2761" s="160"/>
    </row>
    <row r="2762" spans="1:46" ht="15" hidden="1" customHeight="1">
      <c r="A2762" s="220">
        <v>2756</v>
      </c>
      <c r="B2762" s="159" t="s">
        <v>71</v>
      </c>
      <c r="C2762" s="159" t="s">
        <v>6643</v>
      </c>
      <c r="D2762" s="437" t="s">
        <v>490</v>
      </c>
      <c r="E2762" s="28" t="str">
        <f t="shared" ca="1" si="199"/>
        <v>ATTENTION</v>
      </c>
      <c r="F2762" s="160"/>
      <c r="G2762" s="159" t="s">
        <v>10542</v>
      </c>
      <c r="H2762" s="160" t="s">
        <v>2748</v>
      </c>
      <c r="I2762" s="160" t="s">
        <v>242</v>
      </c>
      <c r="J2762" s="205" t="s">
        <v>9904</v>
      </c>
      <c r="K2762" s="160"/>
      <c r="L2762" s="158"/>
      <c r="M2762" s="158" t="s">
        <v>365</v>
      </c>
      <c r="N2762" s="158" t="s">
        <v>389</v>
      </c>
      <c r="O2762" s="162"/>
      <c r="P2762" s="161">
        <f>16000000*12</f>
        <v>192000000</v>
      </c>
      <c r="Q2762" s="161"/>
      <c r="R2762" s="162"/>
      <c r="S2762" s="163">
        <f>8500000*12</f>
        <v>102000000</v>
      </c>
      <c r="T2762" s="164"/>
      <c r="U2762" s="340">
        <v>45962</v>
      </c>
      <c r="V2762" s="340">
        <v>46326</v>
      </c>
      <c r="W2762" s="158" t="s">
        <v>17</v>
      </c>
      <c r="X2762" s="158"/>
      <c r="Y2762" s="34">
        <f t="shared" ca="1" si="198"/>
        <v>46290</v>
      </c>
      <c r="Z2762" s="35">
        <f t="shared" ca="1" si="197"/>
        <v>36</v>
      </c>
      <c r="AA2762" s="27">
        <f>MONTH(Table1[[#This Row],[End]])</f>
        <v>10</v>
      </c>
      <c r="AB2762" s="27">
        <f>YEAR(V2762)</f>
        <v>2026</v>
      </c>
      <c r="AC2762" s="159" t="s">
        <v>12018</v>
      </c>
      <c r="AD2762" s="159" t="s">
        <v>12019</v>
      </c>
      <c r="AE2762" s="184" t="s">
        <v>12020</v>
      </c>
      <c r="AF2762" s="201" t="s">
        <v>333</v>
      </c>
      <c r="AG2762" s="160"/>
      <c r="AH2762" s="160" t="s">
        <v>12021</v>
      </c>
      <c r="AI2762" s="158"/>
      <c r="AJ2762" s="158"/>
      <c r="AK2762" s="158"/>
      <c r="AL2762" s="158"/>
      <c r="AM2762" s="158"/>
      <c r="AN2762" s="158"/>
      <c r="AO2762" s="158"/>
      <c r="AP2762" s="158"/>
      <c r="AQ2762" s="158">
        <v>362</v>
      </c>
      <c r="AR2762" s="507"/>
      <c r="AS2762" s="475"/>
      <c r="AT2762" s="160"/>
    </row>
    <row r="2763" spans="1:46" ht="15" hidden="1" customHeight="1">
      <c r="A2763" s="220">
        <v>2757</v>
      </c>
      <c r="B2763" s="159" t="s">
        <v>71</v>
      </c>
      <c r="C2763" s="159" t="s">
        <v>6643</v>
      </c>
      <c r="D2763" s="437" t="s">
        <v>490</v>
      </c>
      <c r="E2763" s="28" t="str">
        <f t="shared" ca="1" si="199"/>
        <v>WARNING</v>
      </c>
      <c r="F2763" s="160"/>
      <c r="G2763" s="159" t="s">
        <v>10542</v>
      </c>
      <c r="H2763" s="160" t="s">
        <v>2748</v>
      </c>
      <c r="I2763" s="160" t="s">
        <v>242</v>
      </c>
      <c r="J2763" s="205" t="s">
        <v>9904</v>
      </c>
      <c r="K2763" s="160"/>
      <c r="L2763" s="158"/>
      <c r="M2763" s="158" t="s">
        <v>365</v>
      </c>
      <c r="N2763" s="158" t="s">
        <v>389</v>
      </c>
      <c r="O2763" s="162"/>
      <c r="P2763" s="161">
        <f>16000000*12</f>
        <v>192000000</v>
      </c>
      <c r="Q2763" s="161"/>
      <c r="R2763" s="162"/>
      <c r="S2763" s="163">
        <f>2000000*12</f>
        <v>24000000</v>
      </c>
      <c r="T2763" s="164"/>
      <c r="U2763" s="340">
        <v>45960</v>
      </c>
      <c r="V2763" s="340">
        <v>46324</v>
      </c>
      <c r="W2763" s="158" t="s">
        <v>17</v>
      </c>
      <c r="X2763" s="158"/>
      <c r="Y2763" s="34">
        <f t="shared" ca="1" si="198"/>
        <v>46290</v>
      </c>
      <c r="Z2763" s="35">
        <f t="shared" ca="1" si="197"/>
        <v>34</v>
      </c>
      <c r="AA2763" s="27">
        <f>MONTH(Table1[[#This Row],[End]])</f>
        <v>10</v>
      </c>
      <c r="AB2763" s="27">
        <f>YEAR(V2763)</f>
        <v>2026</v>
      </c>
      <c r="AC2763" s="159" t="s">
        <v>12022</v>
      </c>
      <c r="AD2763" s="182" t="s">
        <v>12023</v>
      </c>
      <c r="AE2763" s="184" t="s">
        <v>12024</v>
      </c>
      <c r="AF2763" s="201" t="s">
        <v>333</v>
      </c>
      <c r="AG2763" s="160"/>
      <c r="AH2763" s="160" t="s">
        <v>12021</v>
      </c>
      <c r="AI2763" s="158"/>
      <c r="AJ2763" s="158"/>
      <c r="AK2763" s="158"/>
      <c r="AL2763" s="158"/>
      <c r="AM2763" s="158"/>
      <c r="AN2763" s="158"/>
      <c r="AO2763" s="158"/>
      <c r="AP2763" s="158"/>
      <c r="AQ2763" s="158">
        <v>361</v>
      </c>
      <c r="AR2763" s="507"/>
      <c r="AS2763" s="475"/>
      <c r="AT2763" s="160"/>
    </row>
    <row r="2764" spans="1:46" ht="15" hidden="1" customHeight="1">
      <c r="A2764" s="220">
        <v>2758</v>
      </c>
      <c r="B2764" s="159" t="s">
        <v>71</v>
      </c>
      <c r="C2764" s="159" t="s">
        <v>1045</v>
      </c>
      <c r="D2764" s="437" t="s">
        <v>490</v>
      </c>
      <c r="E2764" s="28" t="str">
        <f t="shared" ca="1" si="199"/>
        <v>CRITICAL</v>
      </c>
      <c r="F2764" s="160"/>
      <c r="G2764" s="28" t="s">
        <v>8829</v>
      </c>
      <c r="H2764" s="29" t="s">
        <v>2748</v>
      </c>
      <c r="I2764" s="160" t="s">
        <v>346</v>
      </c>
      <c r="J2764" s="159"/>
      <c r="K2764" s="160"/>
      <c r="L2764" s="158"/>
      <c r="M2764" s="158"/>
      <c r="N2764" s="160"/>
      <c r="O2764" s="162"/>
      <c r="P2764" s="161">
        <f>133800000*12</f>
        <v>1605600000</v>
      </c>
      <c r="Q2764" s="161"/>
      <c r="R2764" s="162"/>
      <c r="S2764" s="163">
        <v>312000000</v>
      </c>
      <c r="T2764" s="164"/>
      <c r="U2764" s="334">
        <v>45895</v>
      </c>
      <c r="V2764" s="334">
        <v>46259</v>
      </c>
      <c r="W2764" s="27" t="s">
        <v>17</v>
      </c>
      <c r="X2764" s="158"/>
      <c r="Y2764" s="34">
        <f t="shared" ca="1" si="198"/>
        <v>46290</v>
      </c>
      <c r="Z2764" s="35">
        <f t="shared" ca="1" si="197"/>
        <v>-31</v>
      </c>
      <c r="AA2764" s="27">
        <f t="shared" ref="AA2764:AA2778" si="200">MONTH(V2764)</f>
        <v>8</v>
      </c>
      <c r="AB2764" s="27">
        <v>2025</v>
      </c>
      <c r="AC2764" s="28" t="s">
        <v>12025</v>
      </c>
      <c r="AD2764" s="159" t="s">
        <v>12026</v>
      </c>
      <c r="AE2764" s="158">
        <v>4500026680</v>
      </c>
      <c r="AF2764" s="52" t="s">
        <v>333</v>
      </c>
      <c r="AG2764" s="160"/>
      <c r="AH2764" s="160" t="s">
        <v>12021</v>
      </c>
      <c r="AI2764" s="158"/>
      <c r="AJ2764" s="158"/>
      <c r="AK2764" s="158"/>
      <c r="AL2764" s="158"/>
      <c r="AM2764" s="158"/>
      <c r="AN2764" s="158"/>
      <c r="AO2764" s="158"/>
      <c r="AP2764" s="158"/>
      <c r="AQ2764" s="158">
        <v>363</v>
      </c>
      <c r="AR2764" s="507"/>
      <c r="AS2764" s="475"/>
      <c r="AT2764" s="160"/>
    </row>
    <row r="2765" spans="1:46" ht="15" hidden="1" customHeight="1">
      <c r="A2765" s="220">
        <v>2759</v>
      </c>
      <c r="B2765" s="159" t="s">
        <v>71</v>
      </c>
      <c r="C2765" s="159" t="s">
        <v>2387</v>
      </c>
      <c r="D2765" s="437" t="s">
        <v>490</v>
      </c>
      <c r="E2765" s="28" t="str">
        <f t="shared" ca="1" si="199"/>
        <v>WARNING</v>
      </c>
      <c r="F2765" s="160"/>
      <c r="G2765" s="159" t="s">
        <v>3696</v>
      </c>
      <c r="H2765" s="160" t="s">
        <v>2748</v>
      </c>
      <c r="I2765" s="160" t="s">
        <v>242</v>
      </c>
      <c r="J2765" s="159" t="s">
        <v>2388</v>
      </c>
      <c r="K2765" s="160"/>
      <c r="L2765" s="158"/>
      <c r="M2765" s="158" t="s">
        <v>6776</v>
      </c>
      <c r="N2765" s="158" t="s">
        <v>396</v>
      </c>
      <c r="O2765" s="162"/>
      <c r="P2765" s="161">
        <f>27000000*12</f>
        <v>324000000</v>
      </c>
      <c r="Q2765" s="161"/>
      <c r="R2765" s="162"/>
      <c r="S2765" s="163">
        <v>36000000</v>
      </c>
      <c r="T2765" s="164"/>
      <c r="U2765" s="334">
        <v>45956</v>
      </c>
      <c r="V2765" s="334">
        <v>46320</v>
      </c>
      <c r="W2765" s="158" t="s">
        <v>17</v>
      </c>
      <c r="X2765" s="158"/>
      <c r="Y2765" s="34">
        <f t="shared" ca="1" si="198"/>
        <v>46290</v>
      </c>
      <c r="Z2765" s="35">
        <f t="shared" ca="1" si="197"/>
        <v>30</v>
      </c>
      <c r="AA2765" s="27">
        <f t="shared" si="200"/>
        <v>10</v>
      </c>
      <c r="AB2765" s="158">
        <v>2025</v>
      </c>
      <c r="AC2765" s="28" t="s">
        <v>12027</v>
      </c>
      <c r="AD2765" s="159" t="s">
        <v>12028</v>
      </c>
      <c r="AE2765" s="158">
        <v>4500026519</v>
      </c>
      <c r="AF2765" s="201" t="s">
        <v>333</v>
      </c>
      <c r="AG2765" s="160"/>
      <c r="AH2765" s="160" t="s">
        <v>12021</v>
      </c>
      <c r="AI2765" s="158"/>
      <c r="AJ2765" s="158"/>
      <c r="AK2765" s="158"/>
      <c r="AL2765" s="158"/>
      <c r="AM2765" s="158"/>
      <c r="AN2765" s="158"/>
      <c r="AO2765" s="158"/>
      <c r="AP2765" s="158"/>
      <c r="AQ2765" s="158">
        <v>364</v>
      </c>
      <c r="AR2765" s="507"/>
      <c r="AS2765" s="475"/>
      <c r="AT2765" s="160"/>
    </row>
    <row r="2766" spans="1:46" ht="15" hidden="1" customHeight="1">
      <c r="A2766" s="220">
        <v>2760</v>
      </c>
      <c r="B2766" s="159" t="s">
        <v>129</v>
      </c>
      <c r="C2766" s="159" t="s">
        <v>12029</v>
      </c>
      <c r="D2766" s="438" t="s">
        <v>2447</v>
      </c>
      <c r="E2766" s="28" t="str">
        <f t="shared" ca="1" si="199"/>
        <v>CRITICAL</v>
      </c>
      <c r="F2766" s="160"/>
      <c r="G2766" s="159" t="s">
        <v>364</v>
      </c>
      <c r="H2766" s="160" t="s">
        <v>2748</v>
      </c>
      <c r="I2766" s="160" t="s">
        <v>346</v>
      </c>
      <c r="J2766" s="159" t="s">
        <v>5030</v>
      </c>
      <c r="K2766" s="181" t="s">
        <v>12030</v>
      </c>
      <c r="L2766" s="158"/>
      <c r="M2766" s="158" t="s">
        <v>9612</v>
      </c>
      <c r="N2766" s="158" t="s">
        <v>417</v>
      </c>
      <c r="O2766" s="162"/>
      <c r="P2766" s="161">
        <f>1691700*12</f>
        <v>20300400</v>
      </c>
      <c r="Q2766" s="161"/>
      <c r="R2766" s="162"/>
      <c r="S2766" s="163">
        <v>630000</v>
      </c>
      <c r="T2766" s="164"/>
      <c r="U2766" s="340">
        <v>45813</v>
      </c>
      <c r="V2766" s="340">
        <v>46177</v>
      </c>
      <c r="W2766" s="158" t="s">
        <v>250</v>
      </c>
      <c r="X2766" s="158"/>
      <c r="Y2766" s="34">
        <f t="shared" ca="1" si="198"/>
        <v>46290</v>
      </c>
      <c r="Z2766" s="35">
        <f t="shared" ca="1" si="197"/>
        <v>-113</v>
      </c>
      <c r="AA2766" s="158">
        <f t="shared" si="200"/>
        <v>6</v>
      </c>
      <c r="AB2766" s="158">
        <f t="shared" ref="AB2766:AB2778" si="201">YEAR(V2766)</f>
        <v>2026</v>
      </c>
      <c r="AC2766" s="159" t="s">
        <v>12031</v>
      </c>
      <c r="AD2766" s="159" t="s">
        <v>12032</v>
      </c>
      <c r="AE2766" s="158">
        <v>4500026681</v>
      </c>
      <c r="AF2766" s="201" t="s">
        <v>333</v>
      </c>
      <c r="AG2766" s="160"/>
      <c r="AH2766" s="160" t="s">
        <v>367</v>
      </c>
      <c r="AI2766" s="158"/>
      <c r="AJ2766" s="158"/>
      <c r="AK2766" s="158"/>
      <c r="AL2766" s="158"/>
      <c r="AM2766" s="158"/>
      <c r="AN2766" s="158"/>
      <c r="AO2766" s="158"/>
      <c r="AP2766" s="158"/>
      <c r="AQ2766" s="158">
        <v>365</v>
      </c>
      <c r="AR2766" s="507"/>
      <c r="AS2766" s="475"/>
      <c r="AT2766" s="160"/>
    </row>
    <row r="2767" spans="1:46" ht="15" hidden="1" customHeight="1">
      <c r="A2767" s="220">
        <v>2761</v>
      </c>
      <c r="B2767" s="159" t="s">
        <v>129</v>
      </c>
      <c r="C2767" s="159" t="s">
        <v>12033</v>
      </c>
      <c r="D2767" s="438" t="s">
        <v>2447</v>
      </c>
      <c r="E2767" s="28" t="str">
        <f t="shared" ca="1" si="199"/>
        <v>CRITICAL</v>
      </c>
      <c r="F2767" s="160"/>
      <c r="G2767" s="159" t="s">
        <v>364</v>
      </c>
      <c r="H2767" s="160" t="s">
        <v>2748</v>
      </c>
      <c r="I2767" s="160" t="s">
        <v>346</v>
      </c>
      <c r="J2767" s="159" t="s">
        <v>5023</v>
      </c>
      <c r="K2767" s="181" t="s">
        <v>12034</v>
      </c>
      <c r="L2767" s="158"/>
      <c r="M2767" s="158" t="s">
        <v>9612</v>
      </c>
      <c r="N2767" s="158" t="s">
        <v>417</v>
      </c>
      <c r="O2767" s="162"/>
      <c r="P2767" s="161">
        <f>1691700*12</f>
        <v>20300400</v>
      </c>
      <c r="Q2767" s="161"/>
      <c r="R2767" s="162"/>
      <c r="S2767" s="163">
        <v>16485000</v>
      </c>
      <c r="T2767" s="164"/>
      <c r="U2767" s="340">
        <v>45753</v>
      </c>
      <c r="V2767" s="340">
        <v>46117</v>
      </c>
      <c r="W2767" s="158" t="s">
        <v>250</v>
      </c>
      <c r="X2767" s="158"/>
      <c r="Y2767" s="34">
        <f t="shared" ca="1" si="198"/>
        <v>46290</v>
      </c>
      <c r="Z2767" s="35">
        <f t="shared" ca="1" si="197"/>
        <v>-173</v>
      </c>
      <c r="AA2767" s="158">
        <f t="shared" si="200"/>
        <v>4</v>
      </c>
      <c r="AB2767" s="158">
        <f t="shared" si="201"/>
        <v>2026</v>
      </c>
      <c r="AC2767" s="159" t="s">
        <v>12035</v>
      </c>
      <c r="AD2767" s="159" t="s">
        <v>12036</v>
      </c>
      <c r="AE2767" s="158">
        <v>4500026682</v>
      </c>
      <c r="AF2767" s="201" t="s">
        <v>333</v>
      </c>
      <c r="AG2767" s="160"/>
      <c r="AH2767" s="160" t="s">
        <v>367</v>
      </c>
      <c r="AI2767" s="158"/>
      <c r="AJ2767" s="158"/>
      <c r="AK2767" s="158"/>
      <c r="AL2767" s="158"/>
      <c r="AM2767" s="158"/>
      <c r="AN2767" s="158"/>
      <c r="AO2767" s="158"/>
      <c r="AP2767" s="158"/>
      <c r="AQ2767" s="158"/>
      <c r="AR2767" s="507"/>
      <c r="AS2767" s="475"/>
      <c r="AT2767" s="160"/>
    </row>
    <row r="2768" spans="1:46" ht="15" hidden="1" customHeight="1">
      <c r="A2768" s="220">
        <v>2762</v>
      </c>
      <c r="B2768" s="159" t="s">
        <v>129</v>
      </c>
      <c r="C2768" s="159" t="s">
        <v>344</v>
      </c>
      <c r="D2768" s="438" t="s">
        <v>2447</v>
      </c>
      <c r="E2768" s="28" t="str">
        <f t="shared" ca="1" si="199"/>
        <v>CRITICAL</v>
      </c>
      <c r="F2768" s="160"/>
      <c r="G2768" s="159" t="s">
        <v>364</v>
      </c>
      <c r="H2768" s="160" t="s">
        <v>2748</v>
      </c>
      <c r="I2768" s="160" t="s">
        <v>346</v>
      </c>
      <c r="J2768" s="159"/>
      <c r="K2768" s="160"/>
      <c r="L2768" s="158"/>
      <c r="M2768" s="158" t="s">
        <v>365</v>
      </c>
      <c r="N2768" s="160"/>
      <c r="O2768" s="162"/>
      <c r="P2768" s="161">
        <f>174858537*12</f>
        <v>2098302444</v>
      </c>
      <c r="Q2768" s="161"/>
      <c r="R2768" s="162"/>
      <c r="S2768" s="163">
        <v>309750000</v>
      </c>
      <c r="T2768" s="164"/>
      <c r="U2768" s="340">
        <v>45658</v>
      </c>
      <c r="V2768" s="340">
        <v>46022</v>
      </c>
      <c r="W2768" s="158" t="s">
        <v>250</v>
      </c>
      <c r="X2768" s="158"/>
      <c r="Y2768" s="34">
        <f t="shared" ca="1" si="198"/>
        <v>46290</v>
      </c>
      <c r="Z2768" s="35">
        <f t="shared" ca="1" si="197"/>
        <v>-268</v>
      </c>
      <c r="AA2768" s="158">
        <f t="shared" si="200"/>
        <v>12</v>
      </c>
      <c r="AB2768" s="158">
        <f t="shared" si="201"/>
        <v>2025</v>
      </c>
      <c r="AC2768" s="159">
        <v>4500022093</v>
      </c>
      <c r="AD2768" s="182" t="s">
        <v>366</v>
      </c>
      <c r="AE2768" s="158">
        <v>4500026692</v>
      </c>
      <c r="AF2768" s="201" t="s">
        <v>333</v>
      </c>
      <c r="AG2768" s="160"/>
      <c r="AH2768" s="160" t="s">
        <v>367</v>
      </c>
      <c r="AI2768" s="158"/>
      <c r="AJ2768" s="158"/>
      <c r="AK2768" s="158"/>
      <c r="AL2768" s="158"/>
      <c r="AM2768" s="158"/>
      <c r="AN2768" s="158"/>
      <c r="AO2768" s="158"/>
      <c r="AP2768" s="158"/>
      <c r="AQ2768" s="158"/>
      <c r="AR2768" s="507"/>
      <c r="AS2768" s="475"/>
      <c r="AT2768" s="160"/>
    </row>
    <row r="2769" spans="1:46" ht="15" hidden="1" customHeight="1">
      <c r="A2769" s="220">
        <v>2763</v>
      </c>
      <c r="B2769" s="159" t="s">
        <v>2615</v>
      </c>
      <c r="C2769" s="159" t="s">
        <v>8333</v>
      </c>
      <c r="D2769" s="438" t="s">
        <v>6750</v>
      </c>
      <c r="E2769" s="28" t="str">
        <f t="shared" ca="1" si="199"/>
        <v>ATTENTION</v>
      </c>
      <c r="F2769" s="160"/>
      <c r="G2769" s="160" t="s">
        <v>9790</v>
      </c>
      <c r="H2769" s="160" t="s">
        <v>2748</v>
      </c>
      <c r="I2769" s="160" t="s">
        <v>346</v>
      </c>
      <c r="J2769" s="159" t="s">
        <v>9041</v>
      </c>
      <c r="K2769" s="160"/>
      <c r="L2769" s="158"/>
      <c r="M2769" s="158" t="s">
        <v>353</v>
      </c>
      <c r="N2769" s="158" t="s">
        <v>9791</v>
      </c>
      <c r="O2769" s="162"/>
      <c r="P2769" s="161">
        <f>10864800*12</f>
        <v>130377600</v>
      </c>
      <c r="Q2769" s="161"/>
      <c r="R2769" s="162"/>
      <c r="S2769" s="163">
        <v>36000000</v>
      </c>
      <c r="T2769" s="164"/>
      <c r="U2769" s="340">
        <v>45964</v>
      </c>
      <c r="V2769" s="340">
        <v>46328</v>
      </c>
      <c r="W2769" s="158" t="s">
        <v>17</v>
      </c>
      <c r="X2769" s="158"/>
      <c r="Y2769" s="34">
        <f t="shared" ca="1" si="198"/>
        <v>46290</v>
      </c>
      <c r="Z2769" s="35">
        <f t="shared" ca="1" si="197"/>
        <v>38</v>
      </c>
      <c r="AA2769" s="27">
        <f t="shared" si="200"/>
        <v>11</v>
      </c>
      <c r="AB2769" s="158">
        <f t="shared" si="201"/>
        <v>2026</v>
      </c>
      <c r="AC2769" s="159" t="s">
        <v>12037</v>
      </c>
      <c r="AD2769" s="159" t="s">
        <v>12038</v>
      </c>
      <c r="AE2769" s="158">
        <v>4500026635</v>
      </c>
      <c r="AF2769" s="201" t="s">
        <v>333</v>
      </c>
      <c r="AG2769" s="160"/>
      <c r="AH2769" s="160" t="s">
        <v>8837</v>
      </c>
      <c r="AI2769" s="158"/>
      <c r="AJ2769" s="158"/>
      <c r="AK2769" s="158"/>
      <c r="AL2769" s="158"/>
      <c r="AM2769" s="158"/>
      <c r="AN2769" s="158"/>
      <c r="AO2769" s="158"/>
      <c r="AP2769" s="158"/>
      <c r="AQ2769" s="158">
        <v>368</v>
      </c>
      <c r="AR2769" s="507"/>
      <c r="AS2769" s="475"/>
      <c r="AT2769" s="160"/>
    </row>
    <row r="2770" spans="1:46" ht="15" hidden="1" customHeight="1">
      <c r="A2770" s="220">
        <v>2764</v>
      </c>
      <c r="B2770" s="159" t="s">
        <v>400</v>
      </c>
      <c r="C2770" s="182" t="s">
        <v>12039</v>
      </c>
      <c r="D2770" s="438" t="s">
        <v>6810</v>
      </c>
      <c r="E2770" s="28" t="str">
        <f t="shared" ca="1" si="199"/>
        <v>CRITICAL</v>
      </c>
      <c r="F2770" s="160" t="s">
        <v>12040</v>
      </c>
      <c r="G2770" s="159" t="s">
        <v>12041</v>
      </c>
      <c r="H2770" s="160" t="s">
        <v>2748</v>
      </c>
      <c r="I2770" s="160" t="s">
        <v>346</v>
      </c>
      <c r="J2770" s="159"/>
      <c r="K2770" s="218" t="s">
        <v>12042</v>
      </c>
      <c r="L2770" s="158"/>
      <c r="M2770" s="158" t="s">
        <v>365</v>
      </c>
      <c r="N2770" s="158" t="s">
        <v>7088</v>
      </c>
      <c r="O2770" s="162"/>
      <c r="P2770" s="161">
        <f>10000000*12</f>
        <v>120000000</v>
      </c>
      <c r="Q2770" s="161"/>
      <c r="R2770" s="162"/>
      <c r="S2770" s="163">
        <v>3500000</v>
      </c>
      <c r="T2770" s="164"/>
      <c r="U2770" s="340">
        <v>45718</v>
      </c>
      <c r="V2770" s="340">
        <v>46082</v>
      </c>
      <c r="W2770" s="158" t="s">
        <v>17</v>
      </c>
      <c r="X2770" s="158"/>
      <c r="Y2770" s="34">
        <f t="shared" ca="1" si="198"/>
        <v>46290</v>
      </c>
      <c r="Z2770" s="35">
        <f t="shared" ca="1" si="197"/>
        <v>-208</v>
      </c>
      <c r="AA2770" s="27">
        <f t="shared" si="200"/>
        <v>3</v>
      </c>
      <c r="AB2770" s="27">
        <f t="shared" si="201"/>
        <v>2026</v>
      </c>
      <c r="AC2770" s="159" t="s">
        <v>12043</v>
      </c>
      <c r="AD2770" s="159" t="s">
        <v>12044</v>
      </c>
      <c r="AE2770" s="158">
        <v>4500026639</v>
      </c>
      <c r="AF2770" s="201" t="s">
        <v>399</v>
      </c>
      <c r="AG2770" s="160"/>
      <c r="AH2770" s="160" t="s">
        <v>410</v>
      </c>
      <c r="AI2770" s="158"/>
      <c r="AJ2770" s="158"/>
      <c r="AK2770" s="158"/>
      <c r="AL2770" s="158"/>
      <c r="AM2770" s="158"/>
      <c r="AN2770" s="158"/>
      <c r="AO2770" s="158"/>
      <c r="AP2770" s="158"/>
      <c r="AQ2770" s="158">
        <v>377</v>
      </c>
      <c r="AR2770" s="507"/>
      <c r="AS2770" s="475"/>
      <c r="AT2770" s="160"/>
    </row>
    <row r="2771" spans="1:46" ht="15" hidden="1" customHeight="1">
      <c r="A2771" s="220">
        <v>2765</v>
      </c>
      <c r="B2771" s="159" t="s">
        <v>400</v>
      </c>
      <c r="C2771" s="182" t="s">
        <v>12039</v>
      </c>
      <c r="D2771" s="438" t="s">
        <v>6810</v>
      </c>
      <c r="E2771" s="28" t="str">
        <f t="shared" ca="1" si="199"/>
        <v>CRITICAL</v>
      </c>
      <c r="F2771" s="160" t="s">
        <v>12040</v>
      </c>
      <c r="G2771" s="159" t="s">
        <v>12041</v>
      </c>
      <c r="H2771" s="160" t="s">
        <v>2748</v>
      </c>
      <c r="I2771" s="160" t="s">
        <v>346</v>
      </c>
      <c r="J2771" s="159"/>
      <c r="K2771" s="218" t="s">
        <v>12042</v>
      </c>
      <c r="L2771" s="158"/>
      <c r="M2771" s="158" t="s">
        <v>365</v>
      </c>
      <c r="N2771" s="158" t="s">
        <v>7088</v>
      </c>
      <c r="O2771" s="162"/>
      <c r="P2771" s="161">
        <f>17500000*12</f>
        <v>210000000</v>
      </c>
      <c r="Q2771" s="161"/>
      <c r="R2771" s="162"/>
      <c r="S2771" s="163">
        <v>35000000</v>
      </c>
      <c r="T2771" s="164"/>
      <c r="U2771" s="340">
        <v>45892</v>
      </c>
      <c r="V2771" s="340">
        <v>46256</v>
      </c>
      <c r="W2771" s="158" t="s">
        <v>17</v>
      </c>
      <c r="X2771" s="158"/>
      <c r="Y2771" s="34">
        <f t="shared" ca="1" si="198"/>
        <v>46290</v>
      </c>
      <c r="Z2771" s="35">
        <f t="shared" ca="1" si="197"/>
        <v>-34</v>
      </c>
      <c r="AA2771" s="27">
        <f t="shared" si="200"/>
        <v>8</v>
      </c>
      <c r="AB2771" s="27">
        <f t="shared" si="201"/>
        <v>2026</v>
      </c>
      <c r="AC2771" s="159" t="s">
        <v>12045</v>
      </c>
      <c r="AD2771" s="159" t="s">
        <v>12046</v>
      </c>
      <c r="AE2771" s="158">
        <v>4500026640</v>
      </c>
      <c r="AF2771" s="201" t="s">
        <v>399</v>
      </c>
      <c r="AG2771" s="160"/>
      <c r="AH2771" s="160" t="s">
        <v>410</v>
      </c>
      <c r="AI2771" s="158"/>
      <c r="AJ2771" s="158"/>
      <c r="AK2771" s="158"/>
      <c r="AL2771" s="158"/>
      <c r="AM2771" s="158"/>
      <c r="AN2771" s="158"/>
      <c r="AO2771" s="158"/>
      <c r="AP2771" s="158"/>
      <c r="AQ2771" s="158">
        <v>378</v>
      </c>
      <c r="AR2771" s="507"/>
      <c r="AS2771" s="475"/>
      <c r="AT2771" s="160"/>
    </row>
    <row r="2772" spans="1:46" ht="15" hidden="1" customHeight="1">
      <c r="A2772" s="220">
        <v>2766</v>
      </c>
      <c r="B2772" s="159" t="s">
        <v>400</v>
      </c>
      <c r="C2772" s="182" t="s">
        <v>12039</v>
      </c>
      <c r="D2772" s="438" t="s">
        <v>6810</v>
      </c>
      <c r="E2772" s="28" t="str">
        <f t="shared" ca="1" si="199"/>
        <v>CRITICAL</v>
      </c>
      <c r="F2772" s="160" t="s">
        <v>12040</v>
      </c>
      <c r="G2772" s="159" t="s">
        <v>12041</v>
      </c>
      <c r="H2772" s="160" t="s">
        <v>2748</v>
      </c>
      <c r="I2772" s="160" t="s">
        <v>346</v>
      </c>
      <c r="J2772" s="159"/>
      <c r="K2772" s="218" t="s">
        <v>12042</v>
      </c>
      <c r="L2772" s="158"/>
      <c r="M2772" s="158" t="s">
        <v>365</v>
      </c>
      <c r="N2772" s="158" t="s">
        <v>7088</v>
      </c>
      <c r="O2772" s="162"/>
      <c r="P2772" s="161">
        <f>13000000*12</f>
        <v>156000000</v>
      </c>
      <c r="Q2772" s="161"/>
      <c r="R2772" s="162"/>
      <c r="S2772" s="163">
        <v>7000000</v>
      </c>
      <c r="T2772" s="164"/>
      <c r="U2772" s="340">
        <v>45810</v>
      </c>
      <c r="V2772" s="340">
        <v>46174</v>
      </c>
      <c r="W2772" s="158" t="s">
        <v>17</v>
      </c>
      <c r="X2772" s="158"/>
      <c r="Y2772" s="34">
        <f t="shared" ca="1" si="198"/>
        <v>46290</v>
      </c>
      <c r="Z2772" s="35">
        <f t="shared" ca="1" si="197"/>
        <v>-116</v>
      </c>
      <c r="AA2772" s="27">
        <f t="shared" si="200"/>
        <v>6</v>
      </c>
      <c r="AB2772" s="27">
        <f t="shared" si="201"/>
        <v>2026</v>
      </c>
      <c r="AC2772" s="159" t="s">
        <v>12047</v>
      </c>
      <c r="AD2772" s="159" t="s">
        <v>12048</v>
      </c>
      <c r="AE2772" s="158">
        <v>4500026641</v>
      </c>
      <c r="AF2772" s="201" t="s">
        <v>399</v>
      </c>
      <c r="AG2772" s="160"/>
      <c r="AH2772" s="160" t="s">
        <v>410</v>
      </c>
      <c r="AI2772" s="158"/>
      <c r="AJ2772" s="158"/>
      <c r="AK2772" s="158"/>
      <c r="AL2772" s="158"/>
      <c r="AM2772" s="158"/>
      <c r="AN2772" s="158"/>
      <c r="AO2772" s="158"/>
      <c r="AP2772" s="158"/>
      <c r="AQ2772" s="158">
        <v>373</v>
      </c>
      <c r="AR2772" s="507"/>
      <c r="AS2772" s="475"/>
      <c r="AT2772" s="160"/>
    </row>
    <row r="2773" spans="1:46" ht="15" hidden="1" customHeight="1">
      <c r="A2773" s="220">
        <v>2767</v>
      </c>
      <c r="B2773" s="159" t="s">
        <v>400</v>
      </c>
      <c r="C2773" s="182" t="s">
        <v>12039</v>
      </c>
      <c r="D2773" s="438" t="s">
        <v>6810</v>
      </c>
      <c r="E2773" s="28" t="str">
        <f t="shared" ca="1" si="199"/>
        <v>CRITICAL</v>
      </c>
      <c r="F2773" s="160" t="s">
        <v>12040</v>
      </c>
      <c r="G2773" s="159" t="s">
        <v>12041</v>
      </c>
      <c r="H2773" s="160" t="s">
        <v>2748</v>
      </c>
      <c r="I2773" s="160" t="s">
        <v>346</v>
      </c>
      <c r="J2773" s="159"/>
      <c r="K2773" s="218" t="s">
        <v>12042</v>
      </c>
      <c r="L2773" s="158"/>
      <c r="M2773" s="158" t="s">
        <v>365</v>
      </c>
      <c r="N2773" s="158" t="s">
        <v>7088</v>
      </c>
      <c r="O2773" s="162"/>
      <c r="P2773" s="161">
        <f>10000000*12</f>
        <v>120000000</v>
      </c>
      <c r="Q2773" s="161"/>
      <c r="R2773" s="162"/>
      <c r="S2773" s="163">
        <v>7000000</v>
      </c>
      <c r="T2773" s="164"/>
      <c r="U2773" s="340">
        <v>45781</v>
      </c>
      <c r="V2773" s="340">
        <v>46145</v>
      </c>
      <c r="W2773" s="158" t="s">
        <v>17</v>
      </c>
      <c r="X2773" s="158"/>
      <c r="Y2773" s="34">
        <f t="shared" ca="1" si="198"/>
        <v>46290</v>
      </c>
      <c r="Z2773" s="35">
        <f t="shared" ca="1" si="197"/>
        <v>-145</v>
      </c>
      <c r="AA2773" s="27">
        <f t="shared" si="200"/>
        <v>5</v>
      </c>
      <c r="AB2773" s="27">
        <f t="shared" si="201"/>
        <v>2026</v>
      </c>
      <c r="AC2773" s="159" t="s">
        <v>12049</v>
      </c>
      <c r="AD2773" s="159" t="s">
        <v>12050</v>
      </c>
      <c r="AE2773" s="158">
        <v>4500026638</v>
      </c>
      <c r="AF2773" s="201" t="s">
        <v>399</v>
      </c>
      <c r="AG2773" s="160"/>
      <c r="AH2773" s="160" t="s">
        <v>410</v>
      </c>
      <c r="AI2773" s="158"/>
      <c r="AJ2773" s="158"/>
      <c r="AK2773" s="158"/>
      <c r="AL2773" s="158"/>
      <c r="AM2773" s="158"/>
      <c r="AN2773" s="158"/>
      <c r="AO2773" s="158"/>
      <c r="AP2773" s="158"/>
      <c r="AQ2773" s="158">
        <v>374</v>
      </c>
      <c r="AR2773" s="507"/>
      <c r="AS2773" s="475"/>
      <c r="AT2773" s="160"/>
    </row>
    <row r="2774" spans="1:46" ht="15" hidden="1" customHeight="1">
      <c r="A2774" s="220">
        <v>2768</v>
      </c>
      <c r="B2774" s="159" t="s">
        <v>400</v>
      </c>
      <c r="C2774" s="182" t="s">
        <v>12039</v>
      </c>
      <c r="D2774" s="438" t="s">
        <v>6810</v>
      </c>
      <c r="E2774" s="28" t="str">
        <f t="shared" ca="1" si="199"/>
        <v>CRITICAL</v>
      </c>
      <c r="F2774" s="160" t="s">
        <v>12040</v>
      </c>
      <c r="G2774" s="159" t="s">
        <v>12041</v>
      </c>
      <c r="H2774" s="160" t="s">
        <v>2748</v>
      </c>
      <c r="I2774" s="160" t="s">
        <v>346</v>
      </c>
      <c r="J2774" s="159"/>
      <c r="K2774" s="218" t="s">
        <v>12042</v>
      </c>
      <c r="L2774" s="158"/>
      <c r="M2774" s="158" t="s">
        <v>365</v>
      </c>
      <c r="N2774" s="158" t="s">
        <v>7088</v>
      </c>
      <c r="O2774" s="162"/>
      <c r="P2774" s="161">
        <f>17500000*12</f>
        <v>210000000</v>
      </c>
      <c r="Q2774" s="161"/>
      <c r="R2774" s="162"/>
      <c r="S2774" s="163">
        <v>17000000</v>
      </c>
      <c r="T2774" s="164"/>
      <c r="U2774" s="340">
        <v>45838</v>
      </c>
      <c r="V2774" s="340">
        <v>46202</v>
      </c>
      <c r="W2774" s="158" t="s">
        <v>17</v>
      </c>
      <c r="X2774" s="158"/>
      <c r="Y2774" s="34">
        <f t="shared" ca="1" si="198"/>
        <v>46290</v>
      </c>
      <c r="Z2774" s="35">
        <f t="shared" ca="1" si="197"/>
        <v>-88</v>
      </c>
      <c r="AA2774" s="27">
        <f t="shared" si="200"/>
        <v>6</v>
      </c>
      <c r="AB2774" s="27">
        <f t="shared" si="201"/>
        <v>2026</v>
      </c>
      <c r="AC2774" s="159" t="s">
        <v>12051</v>
      </c>
      <c r="AD2774" s="159" t="s">
        <v>12052</v>
      </c>
      <c r="AE2774" s="158">
        <v>4500026637</v>
      </c>
      <c r="AF2774" s="201" t="s">
        <v>399</v>
      </c>
      <c r="AG2774" s="160"/>
      <c r="AH2774" s="160" t="s">
        <v>410</v>
      </c>
      <c r="AI2774" s="158"/>
      <c r="AJ2774" s="158"/>
      <c r="AK2774" s="158"/>
      <c r="AL2774" s="158"/>
      <c r="AM2774" s="158"/>
      <c r="AN2774" s="158"/>
      <c r="AO2774" s="158"/>
      <c r="AP2774" s="158"/>
      <c r="AQ2774" s="158">
        <v>375</v>
      </c>
      <c r="AR2774" s="507"/>
      <c r="AS2774" s="475"/>
      <c r="AT2774" s="160"/>
    </row>
    <row r="2775" spans="1:46" ht="15" hidden="1" customHeight="1">
      <c r="A2775" s="220">
        <v>2769</v>
      </c>
      <c r="B2775" s="159" t="s">
        <v>400</v>
      </c>
      <c r="C2775" s="182" t="s">
        <v>12039</v>
      </c>
      <c r="D2775" s="438" t="s">
        <v>6810</v>
      </c>
      <c r="E2775" s="28" t="str">
        <f t="shared" ca="1" si="199"/>
        <v>CRITICAL</v>
      </c>
      <c r="F2775" s="160" t="s">
        <v>12040</v>
      </c>
      <c r="G2775" s="159" t="s">
        <v>12041</v>
      </c>
      <c r="H2775" s="160" t="s">
        <v>2748</v>
      </c>
      <c r="I2775" s="160" t="s">
        <v>346</v>
      </c>
      <c r="J2775" s="159"/>
      <c r="K2775" s="218" t="s">
        <v>12042</v>
      </c>
      <c r="L2775" s="158"/>
      <c r="M2775" s="158" t="s">
        <v>365</v>
      </c>
      <c r="N2775" s="158" t="s">
        <v>7088</v>
      </c>
      <c r="O2775" s="162"/>
      <c r="P2775" s="161">
        <f>13000000*12</f>
        <v>156000000</v>
      </c>
      <c r="Q2775" s="161"/>
      <c r="R2775" s="162"/>
      <c r="S2775" s="163">
        <v>42500000</v>
      </c>
      <c r="T2775" s="164"/>
      <c r="U2775" s="340">
        <v>45787</v>
      </c>
      <c r="V2775" s="340">
        <v>46151</v>
      </c>
      <c r="W2775" s="158" t="s">
        <v>17</v>
      </c>
      <c r="X2775" s="158"/>
      <c r="Y2775" s="34">
        <f t="shared" ca="1" si="198"/>
        <v>46290</v>
      </c>
      <c r="Z2775" s="35">
        <f t="shared" ca="1" si="197"/>
        <v>-139</v>
      </c>
      <c r="AA2775" s="27">
        <f t="shared" si="200"/>
        <v>5</v>
      </c>
      <c r="AB2775" s="27">
        <f t="shared" si="201"/>
        <v>2026</v>
      </c>
      <c r="AC2775" s="159" t="s">
        <v>12053</v>
      </c>
      <c r="AD2775" s="159" t="s">
        <v>12054</v>
      </c>
      <c r="AE2775" s="158">
        <v>4500026636</v>
      </c>
      <c r="AF2775" s="201" t="s">
        <v>399</v>
      </c>
      <c r="AG2775" s="160"/>
      <c r="AH2775" s="160" t="s">
        <v>410</v>
      </c>
      <c r="AI2775" s="158"/>
      <c r="AJ2775" s="158"/>
      <c r="AK2775" s="158"/>
      <c r="AL2775" s="158"/>
      <c r="AM2775" s="158"/>
      <c r="AN2775" s="158"/>
      <c r="AO2775" s="158"/>
      <c r="AP2775" s="158"/>
      <c r="AQ2775" s="158">
        <v>376</v>
      </c>
      <c r="AR2775" s="507"/>
      <c r="AS2775" s="475"/>
      <c r="AT2775" s="160"/>
    </row>
    <row r="2776" spans="1:46" ht="15" hidden="1" customHeight="1">
      <c r="A2776" s="220">
        <v>2770</v>
      </c>
      <c r="B2776" s="159" t="s">
        <v>1043</v>
      </c>
      <c r="C2776" s="28" t="s">
        <v>1497</v>
      </c>
      <c r="D2776" s="437" t="s">
        <v>6810</v>
      </c>
      <c r="E2776" s="28" t="str">
        <f t="shared" ca="1" si="199"/>
        <v>CRITICAL</v>
      </c>
      <c r="F2776" s="29"/>
      <c r="G2776" s="28" t="s">
        <v>10292</v>
      </c>
      <c r="H2776" s="29" t="s">
        <v>261</v>
      </c>
      <c r="I2776" s="264" t="s">
        <v>243</v>
      </c>
      <c r="J2776" s="28" t="s">
        <v>8919</v>
      </c>
      <c r="K2776" s="36" t="s">
        <v>8920</v>
      </c>
      <c r="L2776" s="51">
        <v>0.995</v>
      </c>
      <c r="M2776" s="158" t="s">
        <v>353</v>
      </c>
      <c r="N2776" s="27" t="s">
        <v>494</v>
      </c>
      <c r="O2776" s="162"/>
      <c r="P2776" s="161">
        <f>2300000*9</f>
        <v>20700000</v>
      </c>
      <c r="Q2776" s="161"/>
      <c r="R2776" s="162"/>
      <c r="S2776" s="163">
        <f>2300000*9</f>
        <v>20700000</v>
      </c>
      <c r="T2776" s="164"/>
      <c r="U2776" s="340">
        <v>45931</v>
      </c>
      <c r="V2776" s="340">
        <v>46203</v>
      </c>
      <c r="W2776" s="158" t="s">
        <v>17</v>
      </c>
      <c r="X2776" s="158"/>
      <c r="Y2776" s="34">
        <f t="shared" ca="1" si="198"/>
        <v>46290</v>
      </c>
      <c r="Z2776" s="35">
        <f t="shared" ca="1" si="197"/>
        <v>-87</v>
      </c>
      <c r="AA2776" s="158">
        <f t="shared" si="200"/>
        <v>6</v>
      </c>
      <c r="AB2776" s="158">
        <f t="shared" si="201"/>
        <v>2026</v>
      </c>
      <c r="AC2776" s="28" t="s">
        <v>12055</v>
      </c>
      <c r="AD2776" s="28" t="s">
        <v>12056</v>
      </c>
      <c r="AE2776" s="47" t="s">
        <v>12057</v>
      </c>
      <c r="AF2776" s="27" t="s">
        <v>471</v>
      </c>
      <c r="AG2776" s="160"/>
      <c r="AH2776" s="29" t="s">
        <v>11851</v>
      </c>
      <c r="AI2776" s="158"/>
      <c r="AJ2776" s="158"/>
      <c r="AK2776" s="158"/>
      <c r="AL2776" s="158"/>
      <c r="AM2776" s="158"/>
      <c r="AN2776" s="158"/>
      <c r="AO2776" s="158"/>
      <c r="AP2776" s="158"/>
      <c r="AQ2776" s="158">
        <v>338</v>
      </c>
      <c r="AR2776" s="507"/>
      <c r="AS2776" s="475"/>
      <c r="AT2776" s="160"/>
    </row>
    <row r="2777" spans="1:46" ht="15" hidden="1" customHeight="1">
      <c r="A2777" s="220">
        <v>2771</v>
      </c>
      <c r="B2777" s="159" t="s">
        <v>614</v>
      </c>
      <c r="C2777" s="159" t="s">
        <v>9293</v>
      </c>
      <c r="D2777" s="443" t="s">
        <v>9294</v>
      </c>
      <c r="E2777" s="159" t="str">
        <f t="shared" ca="1" si="199"/>
        <v>WARNING</v>
      </c>
      <c r="F2777" s="29" t="s">
        <v>9242</v>
      </c>
      <c r="G2777" s="38" t="s">
        <v>9259</v>
      </c>
      <c r="H2777" s="29" t="s">
        <v>261</v>
      </c>
      <c r="I2777" s="29" t="s">
        <v>243</v>
      </c>
      <c r="J2777" s="28" t="s">
        <v>9260</v>
      </c>
      <c r="K2777" s="38" t="s">
        <v>6801</v>
      </c>
      <c r="L2777" s="274">
        <v>0.99</v>
      </c>
      <c r="M2777" s="27" t="s">
        <v>365</v>
      </c>
      <c r="N2777" s="27" t="s">
        <v>6802</v>
      </c>
      <c r="O2777" s="162"/>
      <c r="P2777" s="161">
        <f>2700000*12</f>
        <v>32400000</v>
      </c>
      <c r="Q2777" s="161"/>
      <c r="R2777" s="162"/>
      <c r="S2777" s="163">
        <f>3500000*12</f>
        <v>42000000</v>
      </c>
      <c r="T2777" s="164"/>
      <c r="U2777" s="340">
        <v>45940</v>
      </c>
      <c r="V2777" s="340">
        <v>46304</v>
      </c>
      <c r="W2777" s="158" t="s">
        <v>17</v>
      </c>
      <c r="X2777" s="158"/>
      <c r="Y2777" s="34">
        <f t="shared" ca="1" si="198"/>
        <v>46290</v>
      </c>
      <c r="Z2777" s="35">
        <f t="shared" ca="1" si="197"/>
        <v>14</v>
      </c>
      <c r="AA2777" s="27">
        <f t="shared" si="200"/>
        <v>10</v>
      </c>
      <c r="AB2777" s="27">
        <f t="shared" si="201"/>
        <v>2026</v>
      </c>
      <c r="AC2777" s="194" t="s">
        <v>12058</v>
      </c>
      <c r="AD2777" s="194" t="s">
        <v>12059</v>
      </c>
      <c r="AE2777" s="47" t="s">
        <v>12060</v>
      </c>
      <c r="AF2777" s="52" t="s">
        <v>471</v>
      </c>
      <c r="AG2777" s="160"/>
      <c r="AH2777" s="160" t="s">
        <v>6790</v>
      </c>
      <c r="AI2777" s="158"/>
      <c r="AJ2777" s="158"/>
      <c r="AK2777" s="158"/>
      <c r="AL2777" s="158"/>
      <c r="AM2777" s="158"/>
      <c r="AN2777" s="158"/>
      <c r="AO2777" s="158"/>
      <c r="AP2777" s="158"/>
      <c r="AQ2777" s="158">
        <v>355</v>
      </c>
      <c r="AR2777" s="507"/>
      <c r="AS2777" s="475"/>
      <c r="AT2777" s="160"/>
    </row>
    <row r="2778" spans="1:46" ht="15" hidden="1" customHeight="1">
      <c r="A2778" s="220">
        <v>2772</v>
      </c>
      <c r="B2778" s="159" t="s">
        <v>614</v>
      </c>
      <c r="C2778" s="159" t="s">
        <v>322</v>
      </c>
      <c r="D2778" s="443" t="s">
        <v>9294</v>
      </c>
      <c r="E2778" s="28" t="str">
        <f t="shared" ca="1" si="199"/>
        <v>WARNING</v>
      </c>
      <c r="F2778" s="29" t="s">
        <v>12061</v>
      </c>
      <c r="G2778" s="28" t="s">
        <v>6806</v>
      </c>
      <c r="H2778" s="29" t="s">
        <v>261</v>
      </c>
      <c r="I2778" s="29" t="s">
        <v>243</v>
      </c>
      <c r="J2778" s="28" t="s">
        <v>6807</v>
      </c>
      <c r="K2778" s="38" t="s">
        <v>6808</v>
      </c>
      <c r="L2778" s="274">
        <v>0.99</v>
      </c>
      <c r="M2778" s="27" t="s">
        <v>365</v>
      </c>
      <c r="N2778" s="27" t="s">
        <v>6802</v>
      </c>
      <c r="O2778" s="162"/>
      <c r="P2778" s="161">
        <f>2700000*12</f>
        <v>32400000</v>
      </c>
      <c r="Q2778" s="161"/>
      <c r="R2778" s="162"/>
      <c r="S2778" s="163">
        <f>6000000*12</f>
        <v>72000000</v>
      </c>
      <c r="T2778" s="164"/>
      <c r="U2778" s="334">
        <v>45946</v>
      </c>
      <c r="V2778" s="334">
        <v>46310</v>
      </c>
      <c r="W2778" s="27" t="s">
        <v>17</v>
      </c>
      <c r="X2778" s="27"/>
      <c r="Y2778" s="34">
        <f t="shared" ca="1" si="198"/>
        <v>46290</v>
      </c>
      <c r="Z2778" s="35">
        <f t="shared" ca="1" si="197"/>
        <v>20</v>
      </c>
      <c r="AA2778" s="27">
        <f t="shared" si="200"/>
        <v>10</v>
      </c>
      <c r="AB2778" s="27">
        <f t="shared" si="201"/>
        <v>2026</v>
      </c>
      <c r="AC2778" s="28" t="s">
        <v>12062</v>
      </c>
      <c r="AD2778" s="28" t="s">
        <v>12063</v>
      </c>
      <c r="AE2778" s="158">
        <v>4500026473</v>
      </c>
      <c r="AF2778" s="52" t="s">
        <v>471</v>
      </c>
      <c r="AG2778" s="160"/>
      <c r="AH2778" s="160" t="s">
        <v>6790</v>
      </c>
      <c r="AI2778" s="158"/>
      <c r="AJ2778" s="158"/>
      <c r="AK2778" s="158"/>
      <c r="AL2778" s="158"/>
      <c r="AM2778" s="158"/>
      <c r="AN2778" s="158"/>
      <c r="AO2778" s="158"/>
      <c r="AP2778" s="158"/>
      <c r="AQ2778" s="158">
        <v>356</v>
      </c>
      <c r="AR2778" s="507"/>
      <c r="AS2778" s="475"/>
      <c r="AT2778" s="160"/>
    </row>
    <row r="2779" spans="1:46" ht="15" hidden="1" customHeight="1">
      <c r="A2779" s="220">
        <v>2773</v>
      </c>
      <c r="B2779" s="159" t="s">
        <v>962</v>
      </c>
      <c r="C2779" s="159" t="s">
        <v>7188</v>
      </c>
      <c r="D2779" s="159"/>
      <c r="E2779" s="28" t="str">
        <f t="shared" ca="1" si="199"/>
        <v>WARNING</v>
      </c>
      <c r="F2779" s="28" t="s">
        <v>12064</v>
      </c>
      <c r="G2779" s="159" t="s">
        <v>9697</v>
      </c>
      <c r="H2779" s="160" t="s">
        <v>261</v>
      </c>
      <c r="I2779" s="160" t="s">
        <v>243</v>
      </c>
      <c r="J2779" s="28" t="s">
        <v>7191</v>
      </c>
      <c r="K2779" s="63" t="s">
        <v>7192</v>
      </c>
      <c r="L2779" s="53">
        <v>0.995</v>
      </c>
      <c r="M2779" s="27" t="s">
        <v>6788</v>
      </c>
      <c r="N2779" s="27" t="s">
        <v>7193</v>
      </c>
      <c r="O2779" s="162"/>
      <c r="P2779" s="161">
        <f>14000000*12</f>
        <v>168000000</v>
      </c>
      <c r="Q2779" s="161"/>
      <c r="R2779" s="162"/>
      <c r="S2779" s="162">
        <f>9500000*12</f>
        <v>114000000</v>
      </c>
      <c r="T2779" s="164"/>
      <c r="U2779" s="340">
        <v>45960</v>
      </c>
      <c r="V2779" s="340">
        <v>46324</v>
      </c>
      <c r="W2779" s="158" t="s">
        <v>17</v>
      </c>
      <c r="X2779" s="158"/>
      <c r="Y2779" s="164">
        <f t="shared" ca="1" si="198"/>
        <v>46290</v>
      </c>
      <c r="Z2779" s="207">
        <f ca="1">Table1[[#This Row],[End]]-Table1[[#This Row],[Today]]</f>
        <v>34</v>
      </c>
      <c r="AA2779" s="158">
        <f>MONTH(Table1[[#This Row],[End]])</f>
        <v>10</v>
      </c>
      <c r="AB2779" s="158">
        <f>YEAR(Table1[[#This Row],[End]])</f>
        <v>2026</v>
      </c>
      <c r="AC2779" s="159" t="s">
        <v>12065</v>
      </c>
      <c r="AD2779" s="159" t="s">
        <v>12066</v>
      </c>
      <c r="AE2779" s="184" t="s">
        <v>12067</v>
      </c>
      <c r="AF2779" s="201" t="s">
        <v>471</v>
      </c>
      <c r="AG2779" s="160"/>
      <c r="AH2779" s="29" t="s">
        <v>12068</v>
      </c>
      <c r="AI2779" s="158"/>
      <c r="AJ2779" s="158"/>
      <c r="AK2779" s="158"/>
      <c r="AL2779" s="158"/>
      <c r="AM2779" s="158"/>
      <c r="AN2779" s="158"/>
      <c r="AO2779" s="158"/>
      <c r="AP2779" s="158"/>
      <c r="AQ2779" s="158">
        <v>357</v>
      </c>
      <c r="AR2779" s="507"/>
      <c r="AS2779" s="475"/>
      <c r="AT2779" s="160"/>
    </row>
    <row r="2780" spans="1:46" ht="15" hidden="1" customHeight="1">
      <c r="A2780" s="220">
        <v>2774</v>
      </c>
      <c r="B2780" s="159" t="s">
        <v>1659</v>
      </c>
      <c r="C2780" s="159" t="s">
        <v>322</v>
      </c>
      <c r="D2780" s="159"/>
      <c r="E2780" s="169" t="str">
        <f t="shared" ca="1" si="199"/>
        <v>WARNING</v>
      </c>
      <c r="F2780" s="29" t="s">
        <v>12069</v>
      </c>
      <c r="G2780" s="28" t="s">
        <v>9300</v>
      </c>
      <c r="H2780" s="29" t="s">
        <v>261</v>
      </c>
      <c r="I2780" s="29" t="s">
        <v>243</v>
      </c>
      <c r="J2780" s="281" t="s">
        <v>9301</v>
      </c>
      <c r="K2780" s="38" t="s">
        <v>12070</v>
      </c>
      <c r="L2780" s="280">
        <v>0.995</v>
      </c>
      <c r="M2780" s="27" t="s">
        <v>329</v>
      </c>
      <c r="N2780" s="27" t="s">
        <v>6802</v>
      </c>
      <c r="O2780" s="162"/>
      <c r="P2780" s="161">
        <f>4000000*12</f>
        <v>48000000</v>
      </c>
      <c r="Q2780" s="161"/>
      <c r="R2780" s="162"/>
      <c r="S2780" s="163">
        <f>4000000*12</f>
        <v>48000000</v>
      </c>
      <c r="T2780" s="164"/>
      <c r="U2780" s="334">
        <v>45940</v>
      </c>
      <c r="V2780" s="334">
        <v>46304</v>
      </c>
      <c r="W2780" s="27" t="s">
        <v>17</v>
      </c>
      <c r="X2780" s="27"/>
      <c r="Y2780" s="34">
        <f t="shared" ca="1" si="198"/>
        <v>46290</v>
      </c>
      <c r="Z2780" s="35">
        <f t="shared" ref="Z2780:Z2811" ca="1" si="202">V2780-Y2780</f>
        <v>14</v>
      </c>
      <c r="AA2780" s="27">
        <f t="shared" ref="AA2780:AA2786" si="203">MONTH(V2780)</f>
        <v>10</v>
      </c>
      <c r="AB2780" s="27">
        <f t="shared" ref="AB2780:AB2786" si="204">YEAR(V2780)</f>
        <v>2026</v>
      </c>
      <c r="AC2780" s="194" t="s">
        <v>12071</v>
      </c>
      <c r="AD2780" s="194" t="s">
        <v>12072</v>
      </c>
      <c r="AE2780" s="47" t="s">
        <v>12073</v>
      </c>
      <c r="AF2780" s="52" t="s">
        <v>471</v>
      </c>
      <c r="AG2780" s="160"/>
      <c r="AH2780" s="160" t="s">
        <v>12074</v>
      </c>
      <c r="AI2780" s="158"/>
      <c r="AJ2780" s="158"/>
      <c r="AK2780" s="158"/>
      <c r="AL2780" s="158"/>
      <c r="AM2780" s="158"/>
      <c r="AN2780" s="158"/>
      <c r="AO2780" s="158"/>
      <c r="AP2780" s="158"/>
      <c r="AQ2780" s="158">
        <v>358</v>
      </c>
      <c r="AR2780" s="507"/>
      <c r="AS2780" s="475"/>
      <c r="AT2780" s="160"/>
    </row>
    <row r="2781" spans="1:46" ht="15" hidden="1" customHeight="1">
      <c r="A2781" s="220">
        <v>2775</v>
      </c>
      <c r="B2781" s="159" t="s">
        <v>37</v>
      </c>
      <c r="C2781" s="159" t="s">
        <v>6650</v>
      </c>
      <c r="D2781" s="438" t="s">
        <v>11045</v>
      </c>
      <c r="E2781" s="28" t="str">
        <f t="shared" ca="1" si="199"/>
        <v>WARNING</v>
      </c>
      <c r="F2781" s="160"/>
      <c r="G2781" s="159" t="s">
        <v>10106</v>
      </c>
      <c r="H2781" s="160" t="s">
        <v>261</v>
      </c>
      <c r="I2781" s="160" t="s">
        <v>243</v>
      </c>
      <c r="J2781" s="159" t="s">
        <v>10107</v>
      </c>
      <c r="K2781" s="181" t="s">
        <v>12075</v>
      </c>
      <c r="L2781" s="287">
        <v>0.995</v>
      </c>
      <c r="M2781" s="158" t="s">
        <v>353</v>
      </c>
      <c r="N2781" s="158" t="s">
        <v>468</v>
      </c>
      <c r="O2781" s="162"/>
      <c r="P2781" s="161">
        <f>4250000*12</f>
        <v>51000000</v>
      </c>
      <c r="Q2781" s="161"/>
      <c r="R2781" s="162"/>
      <c r="S2781" s="163">
        <f>3500000*12</f>
        <v>42000000</v>
      </c>
      <c r="T2781" s="164"/>
      <c r="U2781" s="340">
        <v>45940</v>
      </c>
      <c r="V2781" s="340">
        <v>46304</v>
      </c>
      <c r="W2781" s="158" t="s">
        <v>17</v>
      </c>
      <c r="X2781" s="158"/>
      <c r="Y2781" s="34">
        <f t="shared" ca="1" si="198"/>
        <v>46290</v>
      </c>
      <c r="Z2781" s="35">
        <f t="shared" ca="1" si="202"/>
        <v>14</v>
      </c>
      <c r="AA2781" s="27">
        <f t="shared" si="203"/>
        <v>10</v>
      </c>
      <c r="AB2781" s="27">
        <f t="shared" si="204"/>
        <v>2026</v>
      </c>
      <c r="AC2781" s="159" t="s">
        <v>12076</v>
      </c>
      <c r="AD2781" s="159" t="s">
        <v>12077</v>
      </c>
      <c r="AE2781" s="184" t="s">
        <v>12078</v>
      </c>
      <c r="AF2781" s="201" t="s">
        <v>471</v>
      </c>
      <c r="AG2781" s="160"/>
      <c r="AH2781" s="29" t="s">
        <v>6656</v>
      </c>
      <c r="AI2781" s="158"/>
      <c r="AJ2781" s="158"/>
      <c r="AK2781" s="158"/>
      <c r="AL2781" s="158"/>
      <c r="AM2781" s="158"/>
      <c r="AN2781" s="158"/>
      <c r="AO2781" s="158"/>
      <c r="AP2781" s="158"/>
      <c r="AQ2781" s="158">
        <v>385</v>
      </c>
      <c r="AR2781" s="507"/>
      <c r="AS2781" s="475"/>
      <c r="AT2781" s="160"/>
    </row>
    <row r="2782" spans="1:46" ht="15" hidden="1" customHeight="1">
      <c r="A2782" s="220">
        <v>2776</v>
      </c>
      <c r="B2782" s="159" t="s">
        <v>37</v>
      </c>
      <c r="C2782" s="159" t="s">
        <v>7188</v>
      </c>
      <c r="D2782" s="438" t="s">
        <v>11045</v>
      </c>
      <c r="E2782" s="28" t="str">
        <f t="shared" ca="1" si="199"/>
        <v>CRITICAL</v>
      </c>
      <c r="F2782" s="160"/>
      <c r="G2782" s="159" t="s">
        <v>12079</v>
      </c>
      <c r="H2782" s="160" t="s">
        <v>261</v>
      </c>
      <c r="I2782" s="160" t="s">
        <v>243</v>
      </c>
      <c r="J2782" s="159" t="s">
        <v>12080</v>
      </c>
      <c r="K2782" s="181" t="s">
        <v>12081</v>
      </c>
      <c r="L2782" s="287">
        <v>0.995</v>
      </c>
      <c r="M2782" s="158" t="s">
        <v>353</v>
      </c>
      <c r="N2782" s="158" t="s">
        <v>389</v>
      </c>
      <c r="O2782" s="162"/>
      <c r="P2782" s="161">
        <f>14500000*12</f>
        <v>174000000</v>
      </c>
      <c r="Q2782" s="161"/>
      <c r="R2782" s="161">
        <v>5000000</v>
      </c>
      <c r="S2782" s="162">
        <f>10500000*12</f>
        <v>126000000</v>
      </c>
      <c r="T2782" s="164"/>
      <c r="U2782" s="340">
        <v>45880</v>
      </c>
      <c r="V2782" s="340">
        <v>46244</v>
      </c>
      <c r="W2782" s="158" t="s">
        <v>250</v>
      </c>
      <c r="X2782" s="158"/>
      <c r="Y2782" s="34">
        <f t="shared" ca="1" si="198"/>
        <v>46290</v>
      </c>
      <c r="Z2782" s="35">
        <f t="shared" ca="1" si="202"/>
        <v>-46</v>
      </c>
      <c r="AA2782" s="27">
        <f t="shared" si="203"/>
        <v>8</v>
      </c>
      <c r="AB2782" s="27">
        <f t="shared" si="204"/>
        <v>2026</v>
      </c>
      <c r="AC2782" s="159" t="s">
        <v>479</v>
      </c>
      <c r="AD2782" s="159" t="s">
        <v>12082</v>
      </c>
      <c r="AE2782" s="158">
        <v>4500025346</v>
      </c>
      <c r="AF2782" s="201" t="s">
        <v>471</v>
      </c>
      <c r="AG2782" s="160"/>
      <c r="AH2782" s="29" t="s">
        <v>6656</v>
      </c>
      <c r="AI2782" s="158"/>
      <c r="AJ2782" s="158"/>
      <c r="AK2782" s="158"/>
      <c r="AL2782" s="158"/>
      <c r="AM2782" s="158"/>
      <c r="AN2782" s="158"/>
      <c r="AO2782" s="158"/>
      <c r="AP2782" s="158"/>
      <c r="AQ2782" s="158">
        <v>227</v>
      </c>
      <c r="AR2782" s="507"/>
      <c r="AS2782" s="475"/>
      <c r="AT2782" s="160"/>
    </row>
    <row r="2783" spans="1:46" ht="15" hidden="1" customHeight="1">
      <c r="A2783" s="220">
        <v>2777</v>
      </c>
      <c r="B2783" s="159" t="s">
        <v>37</v>
      </c>
      <c r="C2783" s="159" t="s">
        <v>7188</v>
      </c>
      <c r="D2783" s="438" t="s">
        <v>11045</v>
      </c>
      <c r="E2783" s="28" t="str">
        <f t="shared" ca="1" si="199"/>
        <v>CRITICAL</v>
      </c>
      <c r="F2783" s="160"/>
      <c r="G2783" s="159" t="s">
        <v>12083</v>
      </c>
      <c r="H2783" s="160" t="s">
        <v>261</v>
      </c>
      <c r="I2783" s="160" t="s">
        <v>243</v>
      </c>
      <c r="J2783" s="159" t="s">
        <v>12084</v>
      </c>
      <c r="K2783" s="181" t="s">
        <v>12085</v>
      </c>
      <c r="L2783" s="287">
        <v>0.995</v>
      </c>
      <c r="M2783" s="158" t="s">
        <v>329</v>
      </c>
      <c r="N2783" s="158" t="s">
        <v>7066</v>
      </c>
      <c r="O2783" s="162">
        <v>5000000</v>
      </c>
      <c r="P2783" s="161">
        <f>13500000*12</f>
        <v>162000000</v>
      </c>
      <c r="Q2783" s="161"/>
      <c r="R2783" s="161">
        <v>5000000</v>
      </c>
      <c r="S2783" s="162">
        <f>7000000*12</f>
        <v>84000000</v>
      </c>
      <c r="T2783" s="164"/>
      <c r="U2783" s="340">
        <v>45880</v>
      </c>
      <c r="V2783" s="340">
        <v>46244</v>
      </c>
      <c r="W2783" s="158" t="s">
        <v>250</v>
      </c>
      <c r="X2783" s="158"/>
      <c r="Y2783" s="34">
        <f t="shared" ca="1" si="198"/>
        <v>46290</v>
      </c>
      <c r="Z2783" s="35">
        <f t="shared" ca="1" si="202"/>
        <v>-46</v>
      </c>
      <c r="AA2783" s="27">
        <f t="shared" si="203"/>
        <v>8</v>
      </c>
      <c r="AB2783" s="27">
        <f t="shared" si="204"/>
        <v>2026</v>
      </c>
      <c r="AC2783" s="159" t="s">
        <v>479</v>
      </c>
      <c r="AD2783" s="159" t="s">
        <v>12086</v>
      </c>
      <c r="AE2783" s="158">
        <v>4500026163</v>
      </c>
      <c r="AF2783" s="201" t="s">
        <v>471</v>
      </c>
      <c r="AG2783" s="160"/>
      <c r="AH2783" s="29" t="s">
        <v>6656</v>
      </c>
      <c r="AI2783" s="158"/>
      <c r="AJ2783" s="158"/>
      <c r="AK2783" s="158"/>
      <c r="AL2783" s="158"/>
      <c r="AM2783" s="158"/>
      <c r="AN2783" s="158"/>
      <c r="AO2783" s="158"/>
      <c r="AP2783" s="158"/>
      <c r="AQ2783" s="158">
        <v>229</v>
      </c>
      <c r="AR2783" s="507"/>
      <c r="AS2783" s="475"/>
      <c r="AT2783" s="160"/>
    </row>
    <row r="2784" spans="1:46" ht="15" customHeight="1">
      <c r="A2784" s="220">
        <v>2778</v>
      </c>
      <c r="B2784" s="159" t="s">
        <v>37</v>
      </c>
      <c r="C2784" s="159" t="s">
        <v>12087</v>
      </c>
      <c r="D2784" s="438" t="s">
        <v>11045</v>
      </c>
      <c r="E2784" s="28" t="str">
        <f t="shared" ca="1" si="199"/>
        <v>WARNING</v>
      </c>
      <c r="F2784" s="160"/>
      <c r="G2784" s="159" t="s">
        <v>12088</v>
      </c>
      <c r="H2784" s="160" t="s">
        <v>261</v>
      </c>
      <c r="I2784" s="160" t="s">
        <v>243</v>
      </c>
      <c r="J2784" s="159" t="s">
        <v>12089</v>
      </c>
      <c r="K2784" s="181" t="s">
        <v>12090</v>
      </c>
      <c r="L2784" s="287">
        <v>0.995</v>
      </c>
      <c r="M2784" s="158" t="s">
        <v>353</v>
      </c>
      <c r="N2784" s="158" t="s">
        <v>494</v>
      </c>
      <c r="O2784" s="162">
        <v>19000000</v>
      </c>
      <c r="P2784" s="161">
        <f>4279000*12</f>
        <v>51348000</v>
      </c>
      <c r="Q2784" s="161"/>
      <c r="R2784" s="162">
        <v>10000000</v>
      </c>
      <c r="S2784" s="163">
        <f>14000000*12</f>
        <v>168000000</v>
      </c>
      <c r="T2784" s="164"/>
      <c r="U2784" s="340">
        <v>45937</v>
      </c>
      <c r="V2784" s="340">
        <v>46301</v>
      </c>
      <c r="W2784" s="158" t="s">
        <v>17</v>
      </c>
      <c r="X2784" s="158"/>
      <c r="Y2784" s="34">
        <f t="shared" ca="1" si="198"/>
        <v>46290</v>
      </c>
      <c r="Z2784" s="35">
        <f t="shared" ca="1" si="202"/>
        <v>11</v>
      </c>
      <c r="AA2784" s="27">
        <f t="shared" si="203"/>
        <v>10</v>
      </c>
      <c r="AB2784" s="27">
        <f t="shared" si="204"/>
        <v>2026</v>
      </c>
      <c r="AC2784" s="159" t="s">
        <v>479</v>
      </c>
      <c r="AD2784" s="159" t="s">
        <v>12091</v>
      </c>
      <c r="AE2784" s="158">
        <v>4500025158</v>
      </c>
      <c r="AF2784" s="201" t="s">
        <v>471</v>
      </c>
      <c r="AG2784" s="160"/>
      <c r="AH2784" s="29" t="s">
        <v>6656</v>
      </c>
      <c r="AI2784" s="158"/>
      <c r="AJ2784" s="158"/>
      <c r="AK2784" s="158"/>
      <c r="AL2784" s="158"/>
      <c r="AM2784" s="158"/>
      <c r="AN2784" s="158"/>
      <c r="AO2784" s="158"/>
      <c r="AP2784" s="158"/>
      <c r="AQ2784" s="158">
        <v>387</v>
      </c>
      <c r="AR2784" s="507"/>
      <c r="AS2784" s="475"/>
      <c r="AT2784" s="160"/>
    </row>
    <row r="2785" spans="1:46" ht="15" customHeight="1">
      <c r="A2785" s="220">
        <v>2779</v>
      </c>
      <c r="B2785" s="159" t="s">
        <v>37</v>
      </c>
      <c r="C2785" s="159" t="s">
        <v>12087</v>
      </c>
      <c r="D2785" s="438" t="s">
        <v>11045</v>
      </c>
      <c r="E2785" s="28" t="str">
        <f t="shared" ref="E2785:E2816" ca="1" si="205">IF(AND(Z2785&gt;=60, Z2785&lt;=3000), "ON TRACK",IF(AND(Z2785&gt;=36, Z2785&lt;=59), "ATTENTION",IF(AND(Z2785&gt;=1, Z2785&lt;=35), "WARNING",IF(AND(Z2785&gt;=-3000, Z2785&lt;=0), "CRITICAL", ""))))</f>
        <v>WARNING</v>
      </c>
      <c r="F2785" s="160"/>
      <c r="G2785" s="159" t="s">
        <v>12092</v>
      </c>
      <c r="H2785" s="160" t="s">
        <v>261</v>
      </c>
      <c r="I2785" s="160" t="s">
        <v>243</v>
      </c>
      <c r="J2785" s="159" t="s">
        <v>12093</v>
      </c>
      <c r="K2785" s="181" t="s">
        <v>12094</v>
      </c>
      <c r="L2785" s="287">
        <v>0.995</v>
      </c>
      <c r="M2785" s="158" t="s">
        <v>329</v>
      </c>
      <c r="N2785" s="158" t="s">
        <v>354</v>
      </c>
      <c r="O2785" s="162">
        <v>19000000</v>
      </c>
      <c r="P2785" s="161">
        <f>2200000*12</f>
        <v>26400000</v>
      </c>
      <c r="Q2785" s="161"/>
      <c r="R2785" s="162">
        <v>10000000</v>
      </c>
      <c r="S2785" s="163">
        <f>11000000*12</f>
        <v>132000000</v>
      </c>
      <c r="T2785" s="164"/>
      <c r="U2785" s="340">
        <v>45946</v>
      </c>
      <c r="V2785" s="340">
        <v>46310</v>
      </c>
      <c r="W2785" s="158" t="s">
        <v>17</v>
      </c>
      <c r="X2785" s="158"/>
      <c r="Y2785" s="34">
        <f t="shared" ca="1" si="198"/>
        <v>46290</v>
      </c>
      <c r="Z2785" s="35">
        <f t="shared" ca="1" si="202"/>
        <v>20</v>
      </c>
      <c r="AA2785" s="27">
        <f t="shared" si="203"/>
        <v>10</v>
      </c>
      <c r="AB2785" s="27">
        <f t="shared" si="204"/>
        <v>2026</v>
      </c>
      <c r="AC2785" s="159" t="s">
        <v>479</v>
      </c>
      <c r="AD2785" s="159" t="s">
        <v>12095</v>
      </c>
      <c r="AE2785" s="158">
        <v>4500026283</v>
      </c>
      <c r="AF2785" s="201" t="s">
        <v>471</v>
      </c>
      <c r="AG2785" s="160"/>
      <c r="AH2785" s="29" t="s">
        <v>6656</v>
      </c>
      <c r="AI2785" s="158"/>
      <c r="AJ2785" s="158"/>
      <c r="AK2785" s="158"/>
      <c r="AL2785" s="158"/>
      <c r="AM2785" s="158"/>
      <c r="AN2785" s="158"/>
      <c r="AO2785" s="158"/>
      <c r="AP2785" s="158"/>
      <c r="AQ2785" s="158">
        <v>384</v>
      </c>
      <c r="AR2785" s="507"/>
      <c r="AS2785" s="475"/>
      <c r="AT2785" s="160"/>
    </row>
    <row r="2786" spans="1:46" ht="15" customHeight="1">
      <c r="A2786" s="220">
        <v>2780</v>
      </c>
      <c r="B2786" s="173" t="s">
        <v>37</v>
      </c>
      <c r="C2786" s="173" t="s">
        <v>12087</v>
      </c>
      <c r="D2786" s="486" t="s">
        <v>11045</v>
      </c>
      <c r="E2786" s="113" t="str">
        <f t="shared" ca="1" si="205"/>
        <v>WARNING</v>
      </c>
      <c r="F2786" s="174"/>
      <c r="G2786" s="173" t="s">
        <v>12092</v>
      </c>
      <c r="H2786" s="174" t="s">
        <v>261</v>
      </c>
      <c r="I2786" s="174" t="s">
        <v>243</v>
      </c>
      <c r="J2786" s="173" t="s">
        <v>12096</v>
      </c>
      <c r="K2786" s="180" t="s">
        <v>12097</v>
      </c>
      <c r="L2786" s="191">
        <v>0.995</v>
      </c>
      <c r="M2786" s="172" t="s">
        <v>353</v>
      </c>
      <c r="N2786" s="172" t="s">
        <v>4750</v>
      </c>
      <c r="O2786" s="176"/>
      <c r="P2786" s="175">
        <f>1283700*12</f>
        <v>15404400</v>
      </c>
      <c r="Q2786" s="175"/>
      <c r="R2786" s="176">
        <v>10000000</v>
      </c>
      <c r="S2786" s="177">
        <f>8000000*12</f>
        <v>96000000</v>
      </c>
      <c r="T2786" s="178"/>
      <c r="U2786" s="347">
        <v>45946</v>
      </c>
      <c r="V2786" s="347">
        <v>46310</v>
      </c>
      <c r="W2786" s="172" t="s">
        <v>17</v>
      </c>
      <c r="X2786" s="172"/>
      <c r="Y2786" s="115">
        <f t="shared" ca="1" si="198"/>
        <v>46290</v>
      </c>
      <c r="Z2786" s="116">
        <f t="shared" ca="1" si="202"/>
        <v>20</v>
      </c>
      <c r="AA2786" s="112">
        <f t="shared" si="203"/>
        <v>10</v>
      </c>
      <c r="AB2786" s="112">
        <f t="shared" si="204"/>
        <v>2026</v>
      </c>
      <c r="AC2786" s="173" t="s">
        <v>479</v>
      </c>
      <c r="AD2786" s="173" t="s">
        <v>12098</v>
      </c>
      <c r="AE2786" s="172">
        <v>4500026284</v>
      </c>
      <c r="AF2786" s="179" t="s">
        <v>471</v>
      </c>
      <c r="AG2786" s="160"/>
      <c r="AH2786" s="114" t="s">
        <v>6656</v>
      </c>
      <c r="AI2786" s="172"/>
      <c r="AJ2786" s="172"/>
      <c r="AK2786" s="172"/>
      <c r="AL2786" s="172"/>
      <c r="AM2786" s="172"/>
      <c r="AN2786" s="172"/>
      <c r="AO2786" s="172"/>
      <c r="AP2786" s="172"/>
      <c r="AQ2786" s="172">
        <v>386</v>
      </c>
      <c r="AR2786" s="479"/>
      <c r="AS2786" s="461"/>
      <c r="AT2786" s="160"/>
    </row>
    <row r="2787" spans="1:46" ht="15" hidden="1" customHeight="1">
      <c r="A2787" s="220">
        <v>2781</v>
      </c>
      <c r="B2787" s="173" t="s">
        <v>12099</v>
      </c>
      <c r="C2787" s="461" t="s">
        <v>8844</v>
      </c>
      <c r="D2787" s="159"/>
      <c r="E2787" s="476" t="str">
        <f t="shared" si="205"/>
        <v>ON TRACK</v>
      </c>
      <c r="F2787" s="174"/>
      <c r="G2787" s="421" t="s">
        <v>12100</v>
      </c>
      <c r="H2787" s="174" t="s">
        <v>2748</v>
      </c>
      <c r="I2787" s="174" t="s">
        <v>242</v>
      </c>
      <c r="J2787" s="173" t="s">
        <v>12101</v>
      </c>
      <c r="K2787" s="174"/>
      <c r="L2787" s="172"/>
      <c r="M2787" s="172" t="s">
        <v>365</v>
      </c>
      <c r="N2787" s="172" t="s">
        <v>373</v>
      </c>
      <c r="O2787" s="176">
        <v>3500000</v>
      </c>
      <c r="P2787" s="175">
        <v>75500000</v>
      </c>
      <c r="Q2787" s="175"/>
      <c r="R2787" s="176">
        <v>1500000</v>
      </c>
      <c r="S2787" s="177">
        <v>30000000</v>
      </c>
      <c r="T2787" s="178"/>
      <c r="U2787" s="347">
        <v>45988</v>
      </c>
      <c r="V2787" s="347">
        <v>46352</v>
      </c>
      <c r="W2787" s="172" t="s">
        <v>17</v>
      </c>
      <c r="X2787" s="172"/>
      <c r="Y2787" s="178">
        <v>46000</v>
      </c>
      <c r="Z2787" s="35">
        <f t="shared" si="202"/>
        <v>352</v>
      </c>
      <c r="AA2787" s="158">
        <f>MONTH(Table1[[#This Row],[End]])</f>
        <v>11</v>
      </c>
      <c r="AB2787" s="422">
        <f>YEAR(Table1[[#This Row],[End]])</f>
        <v>2026</v>
      </c>
      <c r="AC2787" s="423"/>
      <c r="AD2787" s="423" t="s">
        <v>12102</v>
      </c>
      <c r="AE2787" s="424">
        <v>4500026804</v>
      </c>
      <c r="AF2787" s="179" t="s">
        <v>356</v>
      </c>
      <c r="AG2787" s="160"/>
      <c r="AH2787" s="174" t="s">
        <v>12103</v>
      </c>
      <c r="AI2787" s="172"/>
      <c r="AJ2787" s="172"/>
      <c r="AK2787" s="172"/>
      <c r="AL2787" s="172"/>
      <c r="AM2787" s="172"/>
      <c r="AN2787" s="172"/>
      <c r="AO2787" s="172"/>
      <c r="AP2787" s="172"/>
      <c r="AQ2787" s="172">
        <v>352</v>
      </c>
      <c r="AR2787" s="479"/>
      <c r="AS2787" s="461"/>
      <c r="AT2787" s="160"/>
    </row>
    <row r="2788" spans="1:46" ht="15" hidden="1" customHeight="1">
      <c r="A2788" s="220">
        <v>2782</v>
      </c>
      <c r="B2788" s="173" t="s">
        <v>348</v>
      </c>
      <c r="C2788" s="461" t="s">
        <v>358</v>
      </c>
      <c r="D2788" s="485" t="s">
        <v>11420</v>
      </c>
      <c r="E2788" s="476" t="str">
        <f t="shared" ca="1" si="205"/>
        <v>CRITICAL</v>
      </c>
      <c r="F2788" s="174"/>
      <c r="G2788" s="174" t="s">
        <v>359</v>
      </c>
      <c r="H2788" s="174" t="s">
        <v>2748</v>
      </c>
      <c r="I2788" s="174" t="s">
        <v>242</v>
      </c>
      <c r="J2788" s="173" t="s">
        <v>360</v>
      </c>
      <c r="K2788" s="427" t="s">
        <v>361</v>
      </c>
      <c r="L2788" s="172"/>
      <c r="M2788" s="172" t="s">
        <v>353</v>
      </c>
      <c r="N2788" s="172" t="s">
        <v>362</v>
      </c>
      <c r="O2788" s="176"/>
      <c r="P2788" s="175">
        <v>27810000</v>
      </c>
      <c r="Q2788" s="175"/>
      <c r="R2788" s="176"/>
      <c r="S2788" s="177">
        <v>6239580</v>
      </c>
      <c r="T2788" s="178"/>
      <c r="U2788" s="347">
        <v>45948</v>
      </c>
      <c r="V2788" s="347">
        <v>46022</v>
      </c>
      <c r="W2788" s="172" t="s">
        <v>17</v>
      </c>
      <c r="X2788" s="172"/>
      <c r="Y2788" s="34">
        <f t="shared" ref="Y2788:Y2830" ca="1" si="206">TODAY()</f>
        <v>46290</v>
      </c>
      <c r="Z2788" s="35">
        <f t="shared" ca="1" si="202"/>
        <v>-268</v>
      </c>
      <c r="AA2788" s="158">
        <f>MONTH(Table1[[#This Row],[End]])</f>
        <v>12</v>
      </c>
      <c r="AB2788" s="422">
        <f>YEAR(Table1[[#This Row],[End]])</f>
        <v>2025</v>
      </c>
      <c r="AC2788" s="173"/>
      <c r="AD2788" s="173" t="s">
        <v>363</v>
      </c>
      <c r="AE2788" s="172">
        <v>4500026316</v>
      </c>
      <c r="AF2788" s="179" t="s">
        <v>356</v>
      </c>
      <c r="AG2788" s="160"/>
      <c r="AH2788" s="174" t="s">
        <v>357</v>
      </c>
      <c r="AI2788" s="172"/>
      <c r="AJ2788" s="172"/>
      <c r="AK2788" s="172"/>
      <c r="AL2788" s="172"/>
      <c r="AM2788" s="172"/>
      <c r="AN2788" s="172"/>
      <c r="AO2788" s="172"/>
      <c r="AP2788" s="172"/>
      <c r="AQ2788" s="172">
        <v>276</v>
      </c>
      <c r="AR2788" s="479"/>
      <c r="AS2788" s="461"/>
      <c r="AT2788" s="160"/>
    </row>
    <row r="2789" spans="1:46" ht="15" hidden="1" customHeight="1">
      <c r="A2789" s="220">
        <v>2783</v>
      </c>
      <c r="B2789" s="173" t="s">
        <v>348</v>
      </c>
      <c r="C2789" s="461" t="s">
        <v>349</v>
      </c>
      <c r="D2789" s="485" t="s">
        <v>11420</v>
      </c>
      <c r="E2789" s="476" t="str">
        <f t="shared" ca="1" si="205"/>
        <v>CRITICAL</v>
      </c>
      <c r="F2789" s="174"/>
      <c r="G2789" s="173" t="s">
        <v>350</v>
      </c>
      <c r="H2789" s="174" t="s">
        <v>2748</v>
      </c>
      <c r="I2789" s="174" t="s">
        <v>242</v>
      </c>
      <c r="J2789" s="173" t="s">
        <v>351</v>
      </c>
      <c r="K2789" s="180" t="s">
        <v>352</v>
      </c>
      <c r="L2789" s="172"/>
      <c r="M2789" s="172" t="s">
        <v>353</v>
      </c>
      <c r="N2789" s="172" t="s">
        <v>354</v>
      </c>
      <c r="O2789" s="176"/>
      <c r="P2789" s="175">
        <v>10031613</v>
      </c>
      <c r="Q2789" s="175"/>
      <c r="R2789" s="176"/>
      <c r="S2789" s="177">
        <v>2428775</v>
      </c>
      <c r="T2789" s="178"/>
      <c r="U2789" s="347">
        <v>45951</v>
      </c>
      <c r="V2789" s="347">
        <v>46022</v>
      </c>
      <c r="W2789" s="172" t="s">
        <v>17</v>
      </c>
      <c r="X2789" s="172"/>
      <c r="Y2789" s="34">
        <f t="shared" ca="1" si="206"/>
        <v>46290</v>
      </c>
      <c r="Z2789" s="35">
        <f t="shared" ca="1" si="202"/>
        <v>-268</v>
      </c>
      <c r="AA2789" s="158">
        <f>MONTH(Table1[[#This Row],[End]])</f>
        <v>12</v>
      </c>
      <c r="AB2789" s="422">
        <f>YEAR(Table1[[#This Row],[End]])</f>
        <v>2025</v>
      </c>
      <c r="AC2789" s="173"/>
      <c r="AD2789" s="173" t="s">
        <v>355</v>
      </c>
      <c r="AE2789" s="172">
        <v>4500026858</v>
      </c>
      <c r="AF2789" s="179" t="s">
        <v>356</v>
      </c>
      <c r="AG2789" s="160"/>
      <c r="AH2789" s="174" t="s">
        <v>357</v>
      </c>
      <c r="AI2789" s="172"/>
      <c r="AJ2789" s="172"/>
      <c r="AK2789" s="172"/>
      <c r="AL2789" s="172"/>
      <c r="AM2789" s="172"/>
      <c r="AN2789" s="172"/>
      <c r="AO2789" s="172"/>
      <c r="AP2789" s="172"/>
      <c r="AQ2789" s="172">
        <v>346</v>
      </c>
      <c r="AR2789" s="479"/>
      <c r="AS2789" s="461"/>
      <c r="AT2789" s="160"/>
    </row>
    <row r="2790" spans="1:46" ht="15" hidden="1" customHeight="1">
      <c r="A2790" s="220">
        <v>2784</v>
      </c>
      <c r="B2790" s="28" t="s">
        <v>114</v>
      </c>
      <c r="C2790" s="173" t="s">
        <v>12104</v>
      </c>
      <c r="D2790" s="497" t="s">
        <v>335</v>
      </c>
      <c r="E2790" s="113" t="str">
        <f t="shared" ca="1" si="205"/>
        <v>ATTENTION</v>
      </c>
      <c r="F2790" s="174"/>
      <c r="G2790" s="173" t="s">
        <v>336</v>
      </c>
      <c r="H2790" s="160" t="s">
        <v>2748</v>
      </c>
      <c r="I2790" s="174" t="s">
        <v>346</v>
      </c>
      <c r="J2790" s="173"/>
      <c r="K2790" s="174"/>
      <c r="L2790" s="172"/>
      <c r="M2790" s="172" t="s">
        <v>337</v>
      </c>
      <c r="N2790" s="172"/>
      <c r="O2790" s="176"/>
      <c r="P2790" s="175"/>
      <c r="Q2790" s="175"/>
      <c r="R2790" s="176"/>
      <c r="S2790" s="177">
        <v>119700000</v>
      </c>
      <c r="T2790" s="178"/>
      <c r="U2790" s="340">
        <v>45962</v>
      </c>
      <c r="V2790" s="340">
        <v>46326</v>
      </c>
      <c r="W2790" s="158" t="s">
        <v>17</v>
      </c>
      <c r="X2790" s="172"/>
      <c r="Y2790" s="34">
        <f t="shared" ca="1" si="206"/>
        <v>46290</v>
      </c>
      <c r="Z2790" s="35">
        <f t="shared" ca="1" si="202"/>
        <v>36</v>
      </c>
      <c r="AA2790" s="27">
        <f>MONTH(Table1[[#This Row],[End]])</f>
        <v>10</v>
      </c>
      <c r="AB2790" s="27">
        <f t="shared" ref="AB2790:AB2795" si="207">YEAR(V2790)</f>
        <v>2026</v>
      </c>
      <c r="AC2790" s="173">
        <v>4500023874</v>
      </c>
      <c r="AD2790" s="159" t="s">
        <v>12105</v>
      </c>
      <c r="AE2790" s="172">
        <v>4500026383</v>
      </c>
      <c r="AF2790" s="179" t="s">
        <v>339</v>
      </c>
      <c r="AG2790" s="160"/>
      <c r="AH2790" s="160" t="s">
        <v>12106</v>
      </c>
      <c r="AI2790" s="172"/>
      <c r="AJ2790" s="172"/>
      <c r="AK2790" s="172"/>
      <c r="AL2790" s="172"/>
      <c r="AM2790" s="172"/>
      <c r="AN2790" s="172"/>
      <c r="AO2790" s="172"/>
      <c r="AP2790" s="172"/>
      <c r="AQ2790" s="172">
        <v>319</v>
      </c>
      <c r="AR2790" s="479"/>
      <c r="AS2790" s="461"/>
      <c r="AT2790" s="160"/>
    </row>
    <row r="2791" spans="1:46" ht="15" hidden="1" customHeight="1">
      <c r="A2791" s="220">
        <v>2785</v>
      </c>
      <c r="B2791" s="28" t="s">
        <v>114</v>
      </c>
      <c r="C2791" s="173" t="s">
        <v>344</v>
      </c>
      <c r="D2791" s="495" t="s">
        <v>335</v>
      </c>
      <c r="E2791" s="113" t="str">
        <f t="shared" ca="1" si="205"/>
        <v>CRITICAL</v>
      </c>
      <c r="F2791" s="174"/>
      <c r="G2791" s="173" t="s">
        <v>345</v>
      </c>
      <c r="H2791" s="160" t="s">
        <v>2748</v>
      </c>
      <c r="I2791" s="174" t="s">
        <v>346</v>
      </c>
      <c r="J2791" s="173"/>
      <c r="K2791" s="174"/>
      <c r="L2791" s="172"/>
      <c r="M2791" s="172" t="s">
        <v>337</v>
      </c>
      <c r="N2791" s="172"/>
      <c r="O2791" s="176"/>
      <c r="P2791" s="175"/>
      <c r="Q2791" s="175"/>
      <c r="R2791" s="176"/>
      <c r="S2791" s="177">
        <v>168000000</v>
      </c>
      <c r="T2791" s="178"/>
      <c r="U2791" s="340">
        <v>45661</v>
      </c>
      <c r="V2791" s="340">
        <v>46025</v>
      </c>
      <c r="W2791" s="158" t="s">
        <v>17</v>
      </c>
      <c r="X2791" s="172"/>
      <c r="Y2791" s="34">
        <f t="shared" ca="1" si="206"/>
        <v>46290</v>
      </c>
      <c r="Z2791" s="35">
        <f t="shared" ca="1" si="202"/>
        <v>-265</v>
      </c>
      <c r="AA2791" s="27">
        <f>MONTH(Table1[[#This Row],[End]])</f>
        <v>1</v>
      </c>
      <c r="AB2791" s="27">
        <f t="shared" si="207"/>
        <v>2026</v>
      </c>
      <c r="AC2791" s="173">
        <v>4500023421</v>
      </c>
      <c r="AD2791" s="173" t="s">
        <v>347</v>
      </c>
      <c r="AE2791" s="172">
        <v>4500025630</v>
      </c>
      <c r="AF2791" s="179" t="s">
        <v>339</v>
      </c>
      <c r="AG2791" s="160"/>
      <c r="AH2791" s="160" t="s">
        <v>12106</v>
      </c>
      <c r="AI2791" s="172"/>
      <c r="AJ2791" s="172"/>
      <c r="AK2791" s="172"/>
      <c r="AL2791" s="172"/>
      <c r="AM2791" s="172"/>
      <c r="AN2791" s="172"/>
      <c r="AO2791" s="172"/>
      <c r="AP2791" s="172"/>
      <c r="AQ2791" s="172">
        <v>260</v>
      </c>
      <c r="AR2791" s="479"/>
      <c r="AS2791" s="461"/>
      <c r="AT2791" s="160"/>
    </row>
    <row r="2792" spans="1:46" ht="15" hidden="1" customHeight="1">
      <c r="A2792" s="220">
        <v>2786</v>
      </c>
      <c r="B2792" s="173" t="s">
        <v>12107</v>
      </c>
      <c r="C2792" s="461" t="s">
        <v>10899</v>
      </c>
      <c r="D2792" s="159"/>
      <c r="E2792" s="476" t="str">
        <f t="shared" ca="1" si="205"/>
        <v>WARNING</v>
      </c>
      <c r="F2792" s="174"/>
      <c r="G2792" s="173" t="s">
        <v>12108</v>
      </c>
      <c r="H2792" s="174" t="s">
        <v>2748</v>
      </c>
      <c r="I2792" s="174" t="s">
        <v>242</v>
      </c>
      <c r="J2792" s="173" t="s">
        <v>12109</v>
      </c>
      <c r="K2792" s="174"/>
      <c r="L2792" s="172"/>
      <c r="M2792" s="172" t="s">
        <v>365</v>
      </c>
      <c r="N2792" s="174"/>
      <c r="O2792" s="176">
        <v>18000000</v>
      </c>
      <c r="P2792" s="175">
        <f>5000000*12</f>
        <v>60000000</v>
      </c>
      <c r="Q2792" s="175"/>
      <c r="R2792" s="176"/>
      <c r="S2792" s="177">
        <v>108000000</v>
      </c>
      <c r="T2792" s="178"/>
      <c r="U2792" s="340">
        <v>45929</v>
      </c>
      <c r="V2792" s="340">
        <v>46293</v>
      </c>
      <c r="W2792" s="158" t="s">
        <v>17</v>
      </c>
      <c r="X2792" s="172"/>
      <c r="Y2792" s="34">
        <f t="shared" ca="1" si="206"/>
        <v>46290</v>
      </c>
      <c r="Z2792" s="35">
        <f t="shared" ca="1" si="202"/>
        <v>3</v>
      </c>
      <c r="AA2792" s="27">
        <f>MONTH(Table1[[#This Row],[End]])</f>
        <v>9</v>
      </c>
      <c r="AB2792" s="27">
        <f t="shared" si="207"/>
        <v>2026</v>
      </c>
      <c r="AC2792" s="173" t="s">
        <v>479</v>
      </c>
      <c r="AD2792" s="173" t="s">
        <v>12110</v>
      </c>
      <c r="AE2792" s="172">
        <v>4500026502</v>
      </c>
      <c r="AF2792" s="179" t="s">
        <v>339</v>
      </c>
      <c r="AG2792" s="160"/>
      <c r="AH2792" s="174"/>
      <c r="AI2792" s="172"/>
      <c r="AJ2792" s="172"/>
      <c r="AK2792" s="172"/>
      <c r="AL2792" s="172"/>
      <c r="AM2792" s="172"/>
      <c r="AN2792" s="172"/>
      <c r="AO2792" s="172"/>
      <c r="AP2792" s="172"/>
      <c r="AQ2792" s="172">
        <v>359</v>
      </c>
      <c r="AR2792" s="479"/>
      <c r="AS2792" s="461"/>
      <c r="AT2792" s="160"/>
    </row>
    <row r="2793" spans="1:46" ht="15" hidden="1" customHeight="1">
      <c r="A2793" s="220">
        <v>2787</v>
      </c>
      <c r="B2793" s="28" t="s">
        <v>114</v>
      </c>
      <c r="C2793" s="173" t="s">
        <v>12111</v>
      </c>
      <c r="D2793" s="497" t="s">
        <v>335</v>
      </c>
      <c r="E2793" s="113" t="str">
        <f t="shared" ca="1" si="205"/>
        <v>ON TRACK</v>
      </c>
      <c r="F2793" s="174"/>
      <c r="G2793" s="173" t="s">
        <v>336</v>
      </c>
      <c r="H2793" s="160" t="s">
        <v>2748</v>
      </c>
      <c r="I2793" s="174" t="s">
        <v>346</v>
      </c>
      <c r="J2793" s="173"/>
      <c r="K2793" s="174"/>
      <c r="L2793" s="172"/>
      <c r="M2793" s="172" t="s">
        <v>337</v>
      </c>
      <c r="N2793" s="174"/>
      <c r="O2793" s="176"/>
      <c r="P2793" s="175"/>
      <c r="Q2793" s="175"/>
      <c r="R2793" s="176"/>
      <c r="S2793" s="177">
        <v>119700000</v>
      </c>
      <c r="T2793" s="178"/>
      <c r="U2793" s="334">
        <v>46005</v>
      </c>
      <c r="V2793" s="334">
        <v>46369</v>
      </c>
      <c r="W2793" s="158" t="s">
        <v>17</v>
      </c>
      <c r="X2793" s="172"/>
      <c r="Y2793" s="34">
        <f t="shared" ca="1" si="206"/>
        <v>46290</v>
      </c>
      <c r="Z2793" s="35">
        <f t="shared" ca="1" si="202"/>
        <v>79</v>
      </c>
      <c r="AA2793" s="27">
        <f>MONTH(Table1[[#This Row],[End]])</f>
        <v>12</v>
      </c>
      <c r="AB2793" s="27">
        <f t="shared" si="207"/>
        <v>2026</v>
      </c>
      <c r="AC2793" s="173">
        <v>4500023667</v>
      </c>
      <c r="AD2793" s="159" t="s">
        <v>12112</v>
      </c>
      <c r="AE2793" s="172">
        <v>4500026384</v>
      </c>
      <c r="AF2793" s="179" t="s">
        <v>339</v>
      </c>
      <c r="AG2793" s="160"/>
      <c r="AH2793" s="160" t="s">
        <v>12106</v>
      </c>
      <c r="AI2793" s="172"/>
      <c r="AJ2793" s="172"/>
      <c r="AK2793" s="172"/>
      <c r="AL2793" s="172"/>
      <c r="AM2793" s="172"/>
      <c r="AN2793" s="172"/>
      <c r="AO2793" s="172"/>
      <c r="AP2793" s="172"/>
      <c r="AQ2793" s="172">
        <v>318</v>
      </c>
      <c r="AR2793" s="479"/>
      <c r="AS2793" s="461"/>
      <c r="AT2793" s="160"/>
    </row>
    <row r="2794" spans="1:46" ht="15" hidden="1" customHeight="1">
      <c r="A2794" s="220">
        <v>2788</v>
      </c>
      <c r="B2794" s="173" t="s">
        <v>966</v>
      </c>
      <c r="C2794" s="159" t="s">
        <v>10021</v>
      </c>
      <c r="D2794" s="173"/>
      <c r="E2794" s="113" t="str">
        <f t="shared" ca="1" si="205"/>
        <v>ATTENTION</v>
      </c>
      <c r="F2794" s="174"/>
      <c r="G2794" s="159" t="s">
        <v>10022</v>
      </c>
      <c r="H2794" s="160" t="s">
        <v>2748</v>
      </c>
      <c r="I2794" s="160" t="s">
        <v>346</v>
      </c>
      <c r="J2794" s="173"/>
      <c r="K2794" s="219" t="s">
        <v>12113</v>
      </c>
      <c r="L2794" s="172"/>
      <c r="M2794" s="158" t="s">
        <v>353</v>
      </c>
      <c r="N2794" s="158" t="s">
        <v>6735</v>
      </c>
      <c r="O2794" s="176"/>
      <c r="P2794" s="161">
        <f>4000000*12</f>
        <v>48000000</v>
      </c>
      <c r="Q2794" s="175"/>
      <c r="R2794" s="176"/>
      <c r="S2794" s="163">
        <v>15000000</v>
      </c>
      <c r="T2794" s="178"/>
      <c r="U2794" s="340">
        <v>45963</v>
      </c>
      <c r="V2794" s="340">
        <v>46327</v>
      </c>
      <c r="W2794" s="158" t="s">
        <v>17</v>
      </c>
      <c r="X2794" s="172"/>
      <c r="Y2794" s="34">
        <f t="shared" ca="1" si="206"/>
        <v>46290</v>
      </c>
      <c r="Z2794" s="35">
        <f t="shared" ca="1" si="202"/>
        <v>37</v>
      </c>
      <c r="AA2794" s="158">
        <f>MONTH(V2794)</f>
        <v>11</v>
      </c>
      <c r="AB2794" s="158">
        <f t="shared" si="207"/>
        <v>2026</v>
      </c>
      <c r="AC2794" s="159" t="s">
        <v>12114</v>
      </c>
      <c r="AD2794" s="159" t="s">
        <v>12115</v>
      </c>
      <c r="AE2794" s="172">
        <v>4500026332</v>
      </c>
      <c r="AF2794" s="201" t="s">
        <v>339</v>
      </c>
      <c r="AG2794" s="160"/>
      <c r="AH2794" s="174"/>
      <c r="AI2794" s="172"/>
      <c r="AJ2794" s="172"/>
      <c r="AK2794" s="172"/>
      <c r="AL2794" s="172"/>
      <c r="AM2794" s="172"/>
      <c r="AN2794" s="172"/>
      <c r="AO2794" s="172"/>
      <c r="AP2794" s="172"/>
      <c r="AQ2794" s="172">
        <v>399</v>
      </c>
      <c r="AR2794" s="479"/>
      <c r="AS2794" s="461"/>
      <c r="AT2794" s="160"/>
    </row>
    <row r="2795" spans="1:46" ht="15" hidden="1" customHeight="1">
      <c r="A2795" s="220">
        <v>2789</v>
      </c>
      <c r="B2795" s="173" t="s">
        <v>2593</v>
      </c>
      <c r="C2795" s="173" t="s">
        <v>12116</v>
      </c>
      <c r="D2795" s="496" t="s">
        <v>12117</v>
      </c>
      <c r="E2795" s="113" t="str">
        <f t="shared" ca="1" si="205"/>
        <v>CRITICAL</v>
      </c>
      <c r="F2795" s="174"/>
      <c r="G2795" s="173" t="s">
        <v>12118</v>
      </c>
      <c r="H2795" s="160" t="s">
        <v>2748</v>
      </c>
      <c r="I2795" s="160" t="s">
        <v>346</v>
      </c>
      <c r="J2795" s="173"/>
      <c r="K2795" s="174"/>
      <c r="L2795" s="172"/>
      <c r="M2795" s="172"/>
      <c r="N2795" s="174"/>
      <c r="O2795" s="176"/>
      <c r="P2795" s="175"/>
      <c r="Q2795" s="175"/>
      <c r="R2795" s="176"/>
      <c r="S2795" s="177">
        <f>13500000*12</f>
        <v>162000000</v>
      </c>
      <c r="T2795" s="178"/>
      <c r="U2795" s="340">
        <v>45353</v>
      </c>
      <c r="V2795" s="340">
        <v>46082</v>
      </c>
      <c r="W2795" s="158" t="s">
        <v>17</v>
      </c>
      <c r="X2795" s="172"/>
      <c r="Y2795" s="34">
        <f t="shared" ca="1" si="206"/>
        <v>46290</v>
      </c>
      <c r="Z2795" s="35">
        <f t="shared" ca="1" si="202"/>
        <v>-208</v>
      </c>
      <c r="AA2795" s="158">
        <f>MONTH(V2795)</f>
        <v>3</v>
      </c>
      <c r="AB2795" s="158">
        <f t="shared" si="207"/>
        <v>2026</v>
      </c>
      <c r="AC2795" s="173">
        <v>4500018679</v>
      </c>
      <c r="AD2795" s="159" t="s">
        <v>12119</v>
      </c>
      <c r="AE2795" s="172">
        <v>4500026272</v>
      </c>
      <c r="AF2795" s="201" t="s">
        <v>339</v>
      </c>
      <c r="AG2795" s="160"/>
      <c r="AH2795" s="174"/>
      <c r="AI2795" s="172"/>
      <c r="AJ2795" s="172"/>
      <c r="AK2795" s="172"/>
      <c r="AL2795" s="172"/>
      <c r="AM2795" s="172"/>
      <c r="AN2795" s="172"/>
      <c r="AO2795" s="172"/>
      <c r="AP2795" s="172"/>
      <c r="AQ2795" s="172">
        <v>400</v>
      </c>
      <c r="AR2795" s="479"/>
      <c r="AS2795" s="461"/>
      <c r="AT2795" s="160"/>
    </row>
    <row r="2796" spans="1:46" ht="15" hidden="1" customHeight="1">
      <c r="A2796" s="220">
        <v>2790</v>
      </c>
      <c r="B2796" s="173" t="s">
        <v>169</v>
      </c>
      <c r="C2796" s="461" t="s">
        <v>12120</v>
      </c>
      <c r="D2796" s="494" t="s">
        <v>377</v>
      </c>
      <c r="E2796" s="476" t="str">
        <f t="shared" ca="1" si="205"/>
        <v>CRITICAL</v>
      </c>
      <c r="F2796" s="174"/>
      <c r="G2796" s="173" t="s">
        <v>12121</v>
      </c>
      <c r="H2796" s="174" t="s">
        <v>2748</v>
      </c>
      <c r="I2796" s="174" t="s">
        <v>242</v>
      </c>
      <c r="J2796" s="173"/>
      <c r="K2796" s="174"/>
      <c r="L2796" s="172"/>
      <c r="M2796" s="172" t="s">
        <v>7091</v>
      </c>
      <c r="N2796" s="172" t="s">
        <v>6727</v>
      </c>
      <c r="O2796" s="176"/>
      <c r="P2796" s="175">
        <f>22850000*12</f>
        <v>274200000</v>
      </c>
      <c r="Q2796" s="175"/>
      <c r="R2796" s="176"/>
      <c r="S2796" s="177">
        <v>18000000</v>
      </c>
      <c r="T2796" s="178"/>
      <c r="U2796" s="340">
        <v>45837</v>
      </c>
      <c r="V2796" s="340">
        <v>46201</v>
      </c>
      <c r="W2796" s="158" t="s">
        <v>17</v>
      </c>
      <c r="X2796" s="172"/>
      <c r="Y2796" s="164">
        <f t="shared" ca="1" si="206"/>
        <v>46290</v>
      </c>
      <c r="Z2796" s="35">
        <f t="shared" ca="1" si="202"/>
        <v>-89</v>
      </c>
      <c r="AA2796" s="158">
        <f>MONTH(Table1[[#This Row],[End]])</f>
        <v>6</v>
      </c>
      <c r="AB2796" s="158">
        <f>YEAR(Table1[[#This Row],[End]])</f>
        <v>2026</v>
      </c>
      <c r="AC2796" s="173">
        <v>4500023616</v>
      </c>
      <c r="AD2796" s="173" t="s">
        <v>12122</v>
      </c>
      <c r="AE2796" s="172">
        <v>4500025440</v>
      </c>
      <c r="AF2796" s="179" t="s">
        <v>339</v>
      </c>
      <c r="AG2796" s="160"/>
      <c r="AH2796" s="160" t="s">
        <v>381</v>
      </c>
      <c r="AI2796" s="172"/>
      <c r="AJ2796" s="172"/>
      <c r="AK2796" s="172"/>
      <c r="AL2796" s="172"/>
      <c r="AM2796" s="172"/>
      <c r="AN2796" s="172"/>
      <c r="AO2796" s="172"/>
      <c r="AP2796" s="172"/>
      <c r="AQ2796" s="172">
        <v>401</v>
      </c>
      <c r="AR2796" s="479"/>
      <c r="AS2796" s="461"/>
      <c r="AT2796" s="160"/>
    </row>
    <row r="2797" spans="1:46" ht="15" hidden="1" customHeight="1">
      <c r="A2797" s="220">
        <v>2791</v>
      </c>
      <c r="B2797" s="173" t="s">
        <v>169</v>
      </c>
      <c r="C2797" s="173" t="s">
        <v>6914</v>
      </c>
      <c r="D2797" s="487" t="s">
        <v>377</v>
      </c>
      <c r="E2797" s="113" t="str">
        <f t="shared" ca="1" si="205"/>
        <v>CRITICAL</v>
      </c>
      <c r="F2797" s="174"/>
      <c r="G2797" s="173" t="s">
        <v>12123</v>
      </c>
      <c r="H2797" s="174" t="s">
        <v>2748</v>
      </c>
      <c r="I2797" s="174" t="s">
        <v>242</v>
      </c>
      <c r="J2797" s="173"/>
      <c r="K2797" s="174" t="s">
        <v>12124</v>
      </c>
      <c r="L2797" s="172"/>
      <c r="M2797" s="172" t="s">
        <v>365</v>
      </c>
      <c r="N2797" s="172" t="s">
        <v>12125</v>
      </c>
      <c r="O2797" s="176"/>
      <c r="P2797" s="175">
        <f>123000000*12</f>
        <v>1476000000</v>
      </c>
      <c r="Q2797" s="175"/>
      <c r="R2797" s="176"/>
      <c r="S2797" s="177">
        <v>2500000</v>
      </c>
      <c r="T2797" s="178"/>
      <c r="U2797" s="340">
        <v>45811</v>
      </c>
      <c r="V2797" s="340">
        <v>46175</v>
      </c>
      <c r="W2797" s="158" t="s">
        <v>17</v>
      </c>
      <c r="X2797" s="172"/>
      <c r="Y2797" s="164">
        <f t="shared" ca="1" si="206"/>
        <v>46290</v>
      </c>
      <c r="Z2797" s="35">
        <f t="shared" ca="1" si="202"/>
        <v>-115</v>
      </c>
      <c r="AA2797" s="158">
        <f>MONTH(Table1[[#This Row],[End]])</f>
        <v>6</v>
      </c>
      <c r="AB2797" s="158">
        <f>YEAR(Table1[[#This Row],[End]])</f>
        <v>2026</v>
      </c>
      <c r="AC2797" s="173">
        <v>4500022995</v>
      </c>
      <c r="AD2797" s="173" t="s">
        <v>12126</v>
      </c>
      <c r="AE2797" s="172">
        <v>4500025439</v>
      </c>
      <c r="AF2797" s="179" t="s">
        <v>339</v>
      </c>
      <c r="AG2797" s="160"/>
      <c r="AH2797" s="160" t="s">
        <v>381</v>
      </c>
      <c r="AI2797" s="172"/>
      <c r="AJ2797" s="172"/>
      <c r="AK2797" s="172"/>
      <c r="AL2797" s="172"/>
      <c r="AM2797" s="172"/>
      <c r="AN2797" s="172"/>
      <c r="AO2797" s="172"/>
      <c r="AP2797" s="172"/>
      <c r="AQ2797" s="172">
        <v>402</v>
      </c>
      <c r="AR2797" s="479"/>
      <c r="AS2797" s="461"/>
      <c r="AT2797" s="160"/>
    </row>
    <row r="2798" spans="1:46" ht="15" hidden="1" customHeight="1">
      <c r="A2798" s="220">
        <v>2792</v>
      </c>
      <c r="B2798" s="173" t="s">
        <v>6688</v>
      </c>
      <c r="C2798" s="173" t="s">
        <v>461</v>
      </c>
      <c r="D2798" s="173"/>
      <c r="E2798" s="113" t="str">
        <f t="shared" ca="1" si="205"/>
        <v>ATTENTION</v>
      </c>
      <c r="F2798" s="174"/>
      <c r="G2798" s="221" t="s">
        <v>10158</v>
      </c>
      <c r="H2798" s="160" t="s">
        <v>261</v>
      </c>
      <c r="I2798" s="174" t="s">
        <v>243</v>
      </c>
      <c r="J2798" s="194" t="s">
        <v>6691</v>
      </c>
      <c r="K2798" s="428" t="s">
        <v>6692</v>
      </c>
      <c r="L2798" s="191">
        <v>0.995</v>
      </c>
      <c r="M2798" s="172" t="s">
        <v>467</v>
      </c>
      <c r="N2798" s="172" t="s">
        <v>362</v>
      </c>
      <c r="O2798" s="176"/>
      <c r="P2798" s="175" t="e">
        <f>12*'[1]Interkoneksi 2026'!$E$27</f>
        <v>#VALUE!</v>
      </c>
      <c r="Q2798" s="175"/>
      <c r="R2798" s="176"/>
      <c r="S2798" s="177">
        <f>12*1000000</f>
        <v>12000000</v>
      </c>
      <c r="T2798" s="178"/>
      <c r="U2798" s="347">
        <v>45962</v>
      </c>
      <c r="V2798" s="347">
        <v>46326</v>
      </c>
      <c r="W2798" s="172" t="s">
        <v>17</v>
      </c>
      <c r="X2798" s="172"/>
      <c r="Y2798" s="178">
        <f t="shared" ca="1" si="206"/>
        <v>46290</v>
      </c>
      <c r="Z2798" s="35">
        <f t="shared" ca="1" si="202"/>
        <v>36</v>
      </c>
      <c r="AA2798" s="172">
        <f t="shared" ref="AA2798:AA2838" si="208">MONTH(V2798)</f>
        <v>10</v>
      </c>
      <c r="AB2798" s="172">
        <f>YEAR(V2798)</f>
        <v>2026</v>
      </c>
      <c r="AC2798" s="429" t="s">
        <v>10159</v>
      </c>
      <c r="AD2798" s="430" t="s">
        <v>12127</v>
      </c>
      <c r="AE2798" s="172">
        <v>4500026802</v>
      </c>
      <c r="AF2798" s="179" t="s">
        <v>8995</v>
      </c>
      <c r="AG2798" s="160"/>
      <c r="AH2798" s="174" t="s">
        <v>12128</v>
      </c>
      <c r="AI2798" s="172"/>
      <c r="AJ2798" s="172"/>
      <c r="AK2798" s="172"/>
      <c r="AL2798" s="172"/>
      <c r="AM2798" s="172"/>
      <c r="AN2798" s="172"/>
      <c r="AO2798" s="172"/>
      <c r="AP2798" s="172"/>
      <c r="AQ2798" s="172">
        <v>398</v>
      </c>
      <c r="AR2798" s="479"/>
      <c r="AS2798" s="461"/>
      <c r="AT2798" s="160"/>
    </row>
    <row r="2799" spans="1:46" ht="15" hidden="1" customHeight="1">
      <c r="A2799" s="220">
        <v>2793</v>
      </c>
      <c r="B2799" s="173" t="s">
        <v>450</v>
      </c>
      <c r="C2799" s="173" t="s">
        <v>6989</v>
      </c>
      <c r="D2799" s="437" t="s">
        <v>452</v>
      </c>
      <c r="E2799" s="113" t="str">
        <f t="shared" ca="1" si="205"/>
        <v>ON TRACK</v>
      </c>
      <c r="F2799" s="431" t="s">
        <v>6990</v>
      </c>
      <c r="G2799" s="431" t="s">
        <v>6991</v>
      </c>
      <c r="H2799" s="174" t="s">
        <v>12129</v>
      </c>
      <c r="I2799" s="174" t="s">
        <v>243</v>
      </c>
      <c r="J2799" s="159" t="s">
        <v>1654</v>
      </c>
      <c r="K2799" s="181" t="s">
        <v>6992</v>
      </c>
      <c r="L2799" s="280">
        <v>0.995</v>
      </c>
      <c r="M2799" s="158" t="s">
        <v>365</v>
      </c>
      <c r="N2799" s="158" t="s">
        <v>406</v>
      </c>
      <c r="O2799" s="176"/>
      <c r="P2799" s="175">
        <f>12*10000000</f>
        <v>120000000</v>
      </c>
      <c r="Q2799" s="175"/>
      <c r="R2799" s="176"/>
      <c r="S2799" s="177">
        <f>12*12000000</f>
        <v>144000000</v>
      </c>
      <c r="T2799" s="178"/>
      <c r="U2799" s="347">
        <v>45997</v>
      </c>
      <c r="V2799" s="347">
        <v>46361</v>
      </c>
      <c r="W2799" s="172" t="s">
        <v>17</v>
      </c>
      <c r="X2799" s="172"/>
      <c r="Y2799" s="178">
        <f t="shared" ca="1" si="206"/>
        <v>46290</v>
      </c>
      <c r="Z2799" s="35">
        <f t="shared" ca="1" si="202"/>
        <v>71</v>
      </c>
      <c r="AA2799" s="172">
        <f t="shared" si="208"/>
        <v>12</v>
      </c>
      <c r="AB2799" s="172">
        <f>YEAR(V2799)</f>
        <v>2026</v>
      </c>
      <c r="AC2799" s="159" t="s">
        <v>12130</v>
      </c>
      <c r="AD2799" s="173" t="s">
        <v>12131</v>
      </c>
      <c r="AE2799" s="172">
        <v>4500026623</v>
      </c>
      <c r="AF2799" s="179" t="s">
        <v>8995</v>
      </c>
      <c r="AG2799" s="160"/>
      <c r="AH2799" s="174" t="s">
        <v>6994</v>
      </c>
      <c r="AI2799" s="172"/>
      <c r="AJ2799" s="172"/>
      <c r="AK2799" s="172"/>
      <c r="AL2799" s="172"/>
      <c r="AM2799" s="172"/>
      <c r="AN2799" s="172"/>
      <c r="AO2799" s="172"/>
      <c r="AP2799" s="172"/>
      <c r="AQ2799" s="172">
        <v>411</v>
      </c>
      <c r="AR2799" s="479"/>
      <c r="AS2799" s="461"/>
      <c r="AT2799" s="160"/>
    </row>
    <row r="2800" spans="1:46" ht="15" hidden="1" customHeight="1">
      <c r="A2800" s="220">
        <v>2794</v>
      </c>
      <c r="B2800" s="173" t="s">
        <v>1462</v>
      </c>
      <c r="C2800" s="173" t="s">
        <v>684</v>
      </c>
      <c r="D2800" s="435" t="s">
        <v>1464</v>
      </c>
      <c r="E2800" s="113" t="str">
        <f t="shared" ca="1" si="205"/>
        <v>ATTENTION</v>
      </c>
      <c r="F2800" s="174"/>
      <c r="G2800" s="71" t="s">
        <v>9290</v>
      </c>
      <c r="H2800" s="174" t="s">
        <v>261</v>
      </c>
      <c r="I2800" s="29" t="s">
        <v>243</v>
      </c>
      <c r="J2800" s="28" t="s">
        <v>2329</v>
      </c>
      <c r="K2800" s="38" t="s">
        <v>6975</v>
      </c>
      <c r="L2800" s="280">
        <v>0.995</v>
      </c>
      <c r="M2800" s="172" t="s">
        <v>329</v>
      </c>
      <c r="N2800" s="172" t="s">
        <v>354</v>
      </c>
      <c r="O2800" s="176"/>
      <c r="P2800" s="175">
        <f>12*2500000</f>
        <v>30000000</v>
      </c>
      <c r="Q2800" s="175"/>
      <c r="R2800" s="176"/>
      <c r="S2800" s="177">
        <f>12*6500000</f>
        <v>78000000</v>
      </c>
      <c r="T2800" s="178"/>
      <c r="U2800" s="347">
        <v>45962</v>
      </c>
      <c r="V2800" s="347">
        <v>46326</v>
      </c>
      <c r="W2800" s="172" t="s">
        <v>17</v>
      </c>
      <c r="X2800" s="172"/>
      <c r="Y2800" s="178">
        <f t="shared" ca="1" si="206"/>
        <v>46290</v>
      </c>
      <c r="Z2800" s="35">
        <f t="shared" ca="1" si="202"/>
        <v>36</v>
      </c>
      <c r="AA2800" s="172">
        <f t="shared" si="208"/>
        <v>10</v>
      </c>
      <c r="AB2800" s="172">
        <f>YEAR(V2800)</f>
        <v>2026</v>
      </c>
      <c r="AC2800" s="194" t="s">
        <v>12132</v>
      </c>
      <c r="AD2800" s="429" t="s">
        <v>12133</v>
      </c>
      <c r="AE2800" s="172">
        <v>4500026450</v>
      </c>
      <c r="AF2800" s="179" t="s">
        <v>8995</v>
      </c>
      <c r="AG2800" s="160"/>
      <c r="AH2800" s="81" t="s">
        <v>6977</v>
      </c>
      <c r="AI2800" s="172"/>
      <c r="AJ2800" s="172"/>
      <c r="AK2800" s="172"/>
      <c r="AL2800" s="172"/>
      <c r="AM2800" s="172"/>
      <c r="AN2800" s="172"/>
      <c r="AO2800" s="172"/>
      <c r="AP2800" s="172"/>
      <c r="AQ2800" s="172">
        <v>350</v>
      </c>
      <c r="AR2800" s="479"/>
      <c r="AS2800" s="461"/>
      <c r="AT2800" s="160"/>
    </row>
    <row r="2801" spans="1:46" ht="15" hidden="1" customHeight="1">
      <c r="A2801" s="220">
        <v>2795</v>
      </c>
      <c r="B2801" s="173" t="s">
        <v>1043</v>
      </c>
      <c r="C2801" s="173" t="s">
        <v>2689</v>
      </c>
      <c r="D2801" s="437" t="s">
        <v>6810</v>
      </c>
      <c r="E2801" s="28" t="str">
        <f t="shared" ca="1" si="205"/>
        <v>ATTENTION</v>
      </c>
      <c r="F2801" s="174"/>
      <c r="G2801" s="425" t="s">
        <v>12134</v>
      </c>
      <c r="H2801" s="174" t="s">
        <v>261</v>
      </c>
      <c r="I2801" s="174" t="s">
        <v>243</v>
      </c>
      <c r="J2801" s="173" t="s">
        <v>12135</v>
      </c>
      <c r="K2801" s="174" t="s">
        <v>12136</v>
      </c>
      <c r="L2801" s="191">
        <v>0.995</v>
      </c>
      <c r="M2801" s="172" t="s">
        <v>6987</v>
      </c>
      <c r="N2801" s="172" t="s">
        <v>389</v>
      </c>
      <c r="O2801" s="176">
        <v>5000000</v>
      </c>
      <c r="P2801" s="175">
        <f>12*6800000</f>
        <v>81600000</v>
      </c>
      <c r="Q2801" s="175"/>
      <c r="R2801" s="176">
        <v>3000000</v>
      </c>
      <c r="S2801" s="177">
        <f>12*4700000</f>
        <v>56400000</v>
      </c>
      <c r="T2801" s="178"/>
      <c r="U2801" s="347">
        <v>45971</v>
      </c>
      <c r="V2801" s="347">
        <v>46335</v>
      </c>
      <c r="W2801" s="172" t="s">
        <v>17</v>
      </c>
      <c r="X2801" s="172"/>
      <c r="Y2801" s="178">
        <f t="shared" ca="1" si="206"/>
        <v>46290</v>
      </c>
      <c r="Z2801" s="35">
        <f t="shared" ca="1" si="202"/>
        <v>45</v>
      </c>
      <c r="AA2801" s="172">
        <f t="shared" si="208"/>
        <v>11</v>
      </c>
      <c r="AB2801" s="172">
        <f>YEAR(V2801)</f>
        <v>2026</v>
      </c>
      <c r="AC2801" s="173" t="s">
        <v>479</v>
      </c>
      <c r="AD2801" s="173" t="s">
        <v>12137</v>
      </c>
      <c r="AE2801" s="172">
        <v>4500026669</v>
      </c>
      <c r="AF2801" s="179" t="s">
        <v>8995</v>
      </c>
      <c r="AG2801" s="160"/>
      <c r="AH2801" s="174" t="s">
        <v>11851</v>
      </c>
      <c r="AI2801" s="172"/>
      <c r="AJ2801" s="172"/>
      <c r="AK2801" s="172"/>
      <c r="AL2801" s="172"/>
      <c r="AM2801" s="172"/>
      <c r="AN2801" s="172"/>
      <c r="AO2801" s="172"/>
      <c r="AP2801" s="172"/>
      <c r="AQ2801" s="172">
        <v>396</v>
      </c>
      <c r="AR2801" s="479"/>
      <c r="AS2801" s="461"/>
      <c r="AT2801" s="160"/>
    </row>
    <row r="2802" spans="1:46" ht="15" hidden="1" customHeight="1">
      <c r="A2802" s="220">
        <v>2796</v>
      </c>
      <c r="B2802" s="173" t="s">
        <v>37</v>
      </c>
      <c r="C2802" s="173" t="s">
        <v>8923</v>
      </c>
      <c r="D2802" s="438" t="s">
        <v>11045</v>
      </c>
      <c r="E2802" s="113" t="str">
        <f t="shared" ca="1" si="205"/>
        <v>ON TRACK</v>
      </c>
      <c r="F2802" s="431" t="s">
        <v>10304</v>
      </c>
      <c r="G2802" s="431" t="s">
        <v>10305</v>
      </c>
      <c r="H2802" s="174" t="s">
        <v>261</v>
      </c>
      <c r="I2802" s="174" t="s">
        <v>243</v>
      </c>
      <c r="J2802" s="173" t="s">
        <v>8926</v>
      </c>
      <c r="K2802" s="180" t="s">
        <v>8927</v>
      </c>
      <c r="L2802" s="426">
        <v>0.99</v>
      </c>
      <c r="M2802" s="172" t="s">
        <v>365</v>
      </c>
      <c r="N2802" s="172" t="s">
        <v>362</v>
      </c>
      <c r="O2802" s="176"/>
      <c r="P2802" s="175">
        <f>12*27900000</f>
        <v>334800000</v>
      </c>
      <c r="Q2802" s="175"/>
      <c r="R2802" s="176"/>
      <c r="S2802" s="177">
        <f>12*16380000</f>
        <v>196560000</v>
      </c>
      <c r="T2802" s="178"/>
      <c r="U2802" s="347">
        <v>46028</v>
      </c>
      <c r="V2802" s="347">
        <v>46392</v>
      </c>
      <c r="W2802" s="172" t="s">
        <v>17</v>
      </c>
      <c r="X2802" s="172"/>
      <c r="Y2802" s="178">
        <f t="shared" ca="1" si="206"/>
        <v>46290</v>
      </c>
      <c r="Z2802" s="207">
        <f t="shared" ca="1" si="202"/>
        <v>102</v>
      </c>
      <c r="AA2802" s="27">
        <f t="shared" si="208"/>
        <v>1</v>
      </c>
      <c r="AB2802" s="158">
        <f>YEAR(V2802)</f>
        <v>2027</v>
      </c>
      <c r="AC2802" s="159" t="s">
        <v>10306</v>
      </c>
      <c r="AD2802" s="429" t="s">
        <v>12138</v>
      </c>
      <c r="AE2802" s="172">
        <v>4500026952</v>
      </c>
      <c r="AF2802" s="179" t="s">
        <v>8995</v>
      </c>
      <c r="AG2802" s="160"/>
      <c r="AH2802" s="174" t="s">
        <v>6656</v>
      </c>
      <c r="AI2802" s="172"/>
      <c r="AJ2802" s="172"/>
      <c r="AK2802" s="172"/>
      <c r="AL2802" s="172"/>
      <c r="AM2802" s="172"/>
      <c r="AN2802" s="172"/>
      <c r="AO2802" s="172"/>
      <c r="AP2802" s="172"/>
      <c r="AQ2802" s="172"/>
      <c r="AR2802" s="479">
        <v>118</v>
      </c>
      <c r="AS2802" s="461"/>
      <c r="AT2802" s="160"/>
    </row>
    <row r="2803" spans="1:46" ht="15" hidden="1" customHeight="1">
      <c r="A2803" s="220">
        <v>2797</v>
      </c>
      <c r="B2803" s="173" t="s">
        <v>628</v>
      </c>
      <c r="C2803" s="173" t="s">
        <v>2598</v>
      </c>
      <c r="D2803" s="437" t="s">
        <v>7640</v>
      </c>
      <c r="E2803" s="113" t="str">
        <f t="shared" ca="1" si="205"/>
        <v>WARNING</v>
      </c>
      <c r="F2803" s="29" t="s">
        <v>7688</v>
      </c>
      <c r="G2803" s="431" t="s">
        <v>8990</v>
      </c>
      <c r="H2803" s="29" t="s">
        <v>261</v>
      </c>
      <c r="I2803" s="361" t="s">
        <v>243</v>
      </c>
      <c r="J2803" s="28" t="s">
        <v>8991</v>
      </c>
      <c r="K2803" s="36" t="s">
        <v>7690</v>
      </c>
      <c r="L2803" s="27" t="s">
        <v>4749</v>
      </c>
      <c r="M2803" s="27" t="s">
        <v>353</v>
      </c>
      <c r="N2803" s="27" t="s">
        <v>362</v>
      </c>
      <c r="O2803" s="176"/>
      <c r="P2803" s="175">
        <f>12*12548900</f>
        <v>150586800</v>
      </c>
      <c r="Q2803" s="175"/>
      <c r="R2803" s="176"/>
      <c r="S2803" s="177">
        <f>12*12250000</f>
        <v>147000000</v>
      </c>
      <c r="T2803" s="178"/>
      <c r="U2803" s="347">
        <v>45929</v>
      </c>
      <c r="V2803" s="347">
        <v>46293</v>
      </c>
      <c r="W2803" s="158" t="s">
        <v>17</v>
      </c>
      <c r="X2803" s="172"/>
      <c r="Y2803" s="178">
        <f t="shared" ca="1" si="206"/>
        <v>46290</v>
      </c>
      <c r="Z2803" s="35">
        <f t="shared" ca="1" si="202"/>
        <v>3</v>
      </c>
      <c r="AA2803" s="27">
        <f t="shared" si="208"/>
        <v>9</v>
      </c>
      <c r="AB2803" s="27">
        <v>2025</v>
      </c>
      <c r="AC2803" s="28" t="s">
        <v>12139</v>
      </c>
      <c r="AD2803" s="173" t="s">
        <v>12140</v>
      </c>
      <c r="AE2803" s="172">
        <v>4500026727</v>
      </c>
      <c r="AF2803" s="179" t="s">
        <v>8995</v>
      </c>
      <c r="AG2803" s="160"/>
      <c r="AH2803" s="174" t="s">
        <v>633</v>
      </c>
      <c r="AI2803" s="172"/>
      <c r="AJ2803" s="172"/>
      <c r="AK2803" s="172"/>
      <c r="AL2803" s="172"/>
      <c r="AM2803" s="172"/>
      <c r="AN2803" s="172"/>
      <c r="AO2803" s="172"/>
      <c r="AP2803" s="172"/>
      <c r="AQ2803" s="172">
        <v>413</v>
      </c>
      <c r="AR2803" s="479"/>
      <c r="AS2803" s="461"/>
      <c r="AT2803" s="160"/>
    </row>
    <row r="2804" spans="1:46" ht="15" hidden="1" customHeight="1">
      <c r="A2804" s="220">
        <v>2798</v>
      </c>
      <c r="B2804" s="173" t="s">
        <v>628</v>
      </c>
      <c r="C2804" s="173" t="s">
        <v>10316</v>
      </c>
      <c r="D2804" s="437" t="s">
        <v>7640</v>
      </c>
      <c r="E2804" s="159" t="str">
        <f t="shared" ca="1" si="205"/>
        <v>ON TRACK</v>
      </c>
      <c r="F2804" s="174"/>
      <c r="G2804" s="432" t="s">
        <v>10317</v>
      </c>
      <c r="H2804" s="160" t="s">
        <v>261</v>
      </c>
      <c r="I2804" s="160" t="s">
        <v>243</v>
      </c>
      <c r="J2804" s="159" t="s">
        <v>10318</v>
      </c>
      <c r="K2804" s="181" t="s">
        <v>10319</v>
      </c>
      <c r="L2804" s="158" t="s">
        <v>4749</v>
      </c>
      <c r="M2804" s="158" t="s">
        <v>353</v>
      </c>
      <c r="N2804" s="158" t="s">
        <v>362</v>
      </c>
      <c r="O2804" s="176"/>
      <c r="P2804" s="175">
        <f>12*23500000</f>
        <v>282000000</v>
      </c>
      <c r="Q2804" s="175"/>
      <c r="R2804" s="176"/>
      <c r="S2804" s="177">
        <f>10500000*12</f>
        <v>126000000</v>
      </c>
      <c r="T2804" s="178"/>
      <c r="U2804" s="340">
        <v>46021</v>
      </c>
      <c r="V2804" s="340">
        <v>46385</v>
      </c>
      <c r="W2804" s="158" t="s">
        <v>17</v>
      </c>
      <c r="X2804" s="172"/>
      <c r="Y2804" s="178">
        <f t="shared" ca="1" si="206"/>
        <v>46290</v>
      </c>
      <c r="Z2804" s="207">
        <f t="shared" ca="1" si="202"/>
        <v>95</v>
      </c>
      <c r="AA2804" s="158">
        <f t="shared" si="208"/>
        <v>12</v>
      </c>
      <c r="AB2804" s="158">
        <f t="shared" ref="AB2804:AB2838" si="209">YEAR(V2804)</f>
        <v>2026</v>
      </c>
      <c r="AC2804" s="159" t="s">
        <v>12141</v>
      </c>
      <c r="AD2804" s="159" t="s">
        <v>12142</v>
      </c>
      <c r="AE2804" s="172">
        <v>4500026800</v>
      </c>
      <c r="AF2804" s="201" t="s">
        <v>8995</v>
      </c>
      <c r="AG2804" s="160"/>
      <c r="AH2804" s="160" t="s">
        <v>633</v>
      </c>
      <c r="AI2804" s="172"/>
      <c r="AJ2804" s="172"/>
      <c r="AK2804" s="172"/>
      <c r="AL2804" s="172"/>
      <c r="AM2804" s="172"/>
      <c r="AN2804" s="172"/>
      <c r="AO2804" s="172"/>
      <c r="AP2804" s="172"/>
      <c r="AQ2804" s="172">
        <v>414</v>
      </c>
      <c r="AR2804" s="479"/>
      <c r="AS2804" s="461"/>
      <c r="AT2804" s="160"/>
    </row>
    <row r="2805" spans="1:46" ht="15" hidden="1" customHeight="1">
      <c r="A2805" s="220">
        <v>2799</v>
      </c>
      <c r="B2805" s="173" t="s">
        <v>10285</v>
      </c>
      <c r="C2805" s="173" t="s">
        <v>12143</v>
      </c>
      <c r="D2805" s="438" t="s">
        <v>8484</v>
      </c>
      <c r="E2805" s="113" t="str">
        <f t="shared" ca="1" si="205"/>
        <v>ATTENTION</v>
      </c>
      <c r="F2805" s="174"/>
      <c r="G2805" s="425" t="s">
        <v>12144</v>
      </c>
      <c r="H2805" s="174" t="s">
        <v>261</v>
      </c>
      <c r="I2805" s="174" t="s">
        <v>243</v>
      </c>
      <c r="J2805" s="173" t="s">
        <v>12145</v>
      </c>
      <c r="K2805" s="433">
        <v>11130301567</v>
      </c>
      <c r="L2805" s="426">
        <v>0.99</v>
      </c>
      <c r="M2805" s="172" t="s">
        <v>353</v>
      </c>
      <c r="N2805" s="172" t="s">
        <v>362</v>
      </c>
      <c r="O2805" s="176">
        <v>3000000</v>
      </c>
      <c r="P2805" s="175">
        <v>3500000</v>
      </c>
      <c r="Q2805" s="175"/>
      <c r="R2805" s="176">
        <v>2500000</v>
      </c>
      <c r="S2805" s="177">
        <v>2000000</v>
      </c>
      <c r="T2805" s="178"/>
      <c r="U2805" s="347">
        <v>45965</v>
      </c>
      <c r="V2805" s="347">
        <v>46329</v>
      </c>
      <c r="W2805" s="172" t="s">
        <v>17</v>
      </c>
      <c r="X2805" s="172"/>
      <c r="Y2805" s="178">
        <f t="shared" ca="1" si="206"/>
        <v>46290</v>
      </c>
      <c r="Z2805" s="207">
        <f t="shared" ca="1" si="202"/>
        <v>39</v>
      </c>
      <c r="AA2805" s="158">
        <f t="shared" si="208"/>
        <v>11</v>
      </c>
      <c r="AB2805" s="158">
        <f t="shared" si="209"/>
        <v>2026</v>
      </c>
      <c r="AC2805" s="173" t="s">
        <v>479</v>
      </c>
      <c r="AD2805" s="173" t="s">
        <v>12146</v>
      </c>
      <c r="AE2805" s="172">
        <v>4500026393</v>
      </c>
      <c r="AF2805" s="179" t="s">
        <v>8995</v>
      </c>
      <c r="AG2805" s="160"/>
      <c r="AH2805" s="174" t="s">
        <v>12147</v>
      </c>
      <c r="AI2805" s="172"/>
      <c r="AJ2805" s="172"/>
      <c r="AK2805" s="172"/>
      <c r="AL2805" s="172"/>
      <c r="AM2805" s="172"/>
      <c r="AN2805" s="172"/>
      <c r="AO2805" s="172"/>
      <c r="AP2805" s="172"/>
      <c r="AQ2805" s="172">
        <v>348</v>
      </c>
      <c r="AR2805" s="479"/>
      <c r="AS2805" s="461"/>
      <c r="AT2805" s="160"/>
    </row>
    <row r="2806" spans="1:46" ht="15" customHeight="1">
      <c r="A2806" s="220">
        <v>2800</v>
      </c>
      <c r="B2806" s="88" t="s">
        <v>8717</v>
      </c>
      <c r="C2806" s="88" t="s">
        <v>8718</v>
      </c>
      <c r="D2806" s="434"/>
      <c r="E2806" s="113" t="str">
        <f t="shared" ca="1" si="205"/>
        <v>CRITICAL</v>
      </c>
      <c r="F2806" s="174"/>
      <c r="G2806" s="80" t="s">
        <v>8720</v>
      </c>
      <c r="H2806" s="29" t="s">
        <v>8588</v>
      </c>
      <c r="I2806" s="29" t="s">
        <v>511</v>
      </c>
      <c r="J2806" s="86" t="s">
        <v>8721</v>
      </c>
      <c r="K2806" s="29"/>
      <c r="L2806" s="27"/>
      <c r="M2806" s="76" t="s">
        <v>329</v>
      </c>
      <c r="N2806" s="29"/>
      <c r="O2806" s="56"/>
      <c r="P2806" s="31">
        <v>65454540</v>
      </c>
      <c r="Q2806" s="31"/>
      <c r="R2806" s="27"/>
      <c r="S2806" s="32"/>
      <c r="T2806" s="79">
        <v>0.2</v>
      </c>
      <c r="U2806" s="338">
        <v>44624</v>
      </c>
      <c r="V2806" s="334">
        <v>44989</v>
      </c>
      <c r="W2806" s="27" t="s">
        <v>17</v>
      </c>
      <c r="X2806" s="27"/>
      <c r="Y2806" s="34">
        <f t="shared" ca="1" si="206"/>
        <v>46290</v>
      </c>
      <c r="Z2806" s="35">
        <f t="shared" ca="1" si="202"/>
        <v>-1301</v>
      </c>
      <c r="AA2806" s="27">
        <f t="shared" si="208"/>
        <v>3</v>
      </c>
      <c r="AB2806" s="27">
        <f t="shared" si="209"/>
        <v>2023</v>
      </c>
      <c r="AC2806" s="28"/>
      <c r="AD2806" s="28"/>
      <c r="AE2806" s="27"/>
      <c r="AF2806" s="27" t="s">
        <v>356</v>
      </c>
      <c r="AG2806" s="160"/>
      <c r="AH2806" s="29" t="s">
        <v>8722</v>
      </c>
      <c r="AI2806" s="172"/>
      <c r="AJ2806" s="172"/>
      <c r="AK2806" s="172"/>
      <c r="AL2806" s="172"/>
      <c r="AM2806" s="172"/>
      <c r="AN2806" s="172"/>
      <c r="AO2806" s="172"/>
      <c r="AP2806" s="172"/>
      <c r="AQ2806" s="172"/>
      <c r="AR2806" s="479"/>
      <c r="AS2806" s="461"/>
      <c r="AT2806" s="160"/>
    </row>
    <row r="2807" spans="1:46" ht="15" customHeight="1">
      <c r="A2807" s="220">
        <v>2801</v>
      </c>
      <c r="B2807" s="88" t="s">
        <v>8717</v>
      </c>
      <c r="C2807" s="88" t="s">
        <v>8723</v>
      </c>
      <c r="D2807" s="434"/>
      <c r="E2807" s="113" t="str">
        <f t="shared" ca="1" si="205"/>
        <v>CRITICAL</v>
      </c>
      <c r="F2807" s="174"/>
      <c r="G2807" s="80" t="s">
        <v>8724</v>
      </c>
      <c r="H2807" s="29" t="s">
        <v>8588</v>
      </c>
      <c r="I2807" s="29" t="s">
        <v>511</v>
      </c>
      <c r="J2807" s="86" t="s">
        <v>8725</v>
      </c>
      <c r="K2807" s="29"/>
      <c r="L2807" s="27"/>
      <c r="M2807" s="76" t="s">
        <v>365</v>
      </c>
      <c r="N2807" s="29"/>
      <c r="O2807" s="56"/>
      <c r="P2807" s="31">
        <v>240000000</v>
      </c>
      <c r="Q2807" s="31"/>
      <c r="R2807" s="27"/>
      <c r="S2807" s="32"/>
      <c r="T2807" s="79">
        <v>0.2</v>
      </c>
      <c r="U2807" s="338">
        <v>44624</v>
      </c>
      <c r="V2807" s="334">
        <v>44989</v>
      </c>
      <c r="W2807" s="27" t="s">
        <v>17</v>
      </c>
      <c r="X2807" s="27"/>
      <c r="Y2807" s="34">
        <f t="shared" ca="1" si="206"/>
        <v>46290</v>
      </c>
      <c r="Z2807" s="35">
        <f t="shared" ca="1" si="202"/>
        <v>-1301</v>
      </c>
      <c r="AA2807" s="27">
        <f t="shared" si="208"/>
        <v>3</v>
      </c>
      <c r="AB2807" s="27">
        <f t="shared" si="209"/>
        <v>2023</v>
      </c>
      <c r="AC2807" s="28"/>
      <c r="AD2807" s="28"/>
      <c r="AE2807" s="27"/>
      <c r="AF2807" s="27" t="s">
        <v>356</v>
      </c>
      <c r="AG2807" s="160"/>
      <c r="AH2807" s="29" t="s">
        <v>8722</v>
      </c>
      <c r="AI2807" s="172"/>
      <c r="AJ2807" s="172"/>
      <c r="AK2807" s="172"/>
      <c r="AL2807" s="172"/>
      <c r="AM2807" s="172"/>
      <c r="AN2807" s="172"/>
      <c r="AO2807" s="172"/>
      <c r="AP2807" s="172"/>
      <c r="AQ2807" s="172"/>
      <c r="AR2807" s="479"/>
      <c r="AS2807" s="461"/>
      <c r="AT2807" s="160"/>
    </row>
    <row r="2808" spans="1:46" ht="15" customHeight="1">
      <c r="A2808" s="220">
        <v>2802</v>
      </c>
      <c r="B2808" s="88" t="s">
        <v>8717</v>
      </c>
      <c r="C2808" s="88" t="s">
        <v>8723</v>
      </c>
      <c r="D2808" s="434"/>
      <c r="E2808" s="113" t="str">
        <f t="shared" ca="1" si="205"/>
        <v>CRITICAL</v>
      </c>
      <c r="F2808" s="174"/>
      <c r="G2808" s="80" t="s">
        <v>8724</v>
      </c>
      <c r="H2808" s="29" t="s">
        <v>8588</v>
      </c>
      <c r="I2808" s="29" t="s">
        <v>511</v>
      </c>
      <c r="J2808" s="86" t="s">
        <v>8726</v>
      </c>
      <c r="K2808" s="29"/>
      <c r="L2808" s="27"/>
      <c r="M2808" s="76" t="s">
        <v>365</v>
      </c>
      <c r="N2808" s="29"/>
      <c r="O2808" s="56"/>
      <c r="P2808" s="31">
        <v>240000000</v>
      </c>
      <c r="Q2808" s="31"/>
      <c r="R2808" s="27"/>
      <c r="S2808" s="32"/>
      <c r="T2808" s="79">
        <v>0.2</v>
      </c>
      <c r="U2808" s="338">
        <v>44624</v>
      </c>
      <c r="V2808" s="334">
        <v>44989</v>
      </c>
      <c r="W2808" s="27" t="s">
        <v>17</v>
      </c>
      <c r="X2808" s="27"/>
      <c r="Y2808" s="34">
        <f t="shared" ca="1" si="206"/>
        <v>46290</v>
      </c>
      <c r="Z2808" s="35">
        <f t="shared" ca="1" si="202"/>
        <v>-1301</v>
      </c>
      <c r="AA2808" s="27">
        <f t="shared" si="208"/>
        <v>3</v>
      </c>
      <c r="AB2808" s="27">
        <f t="shared" si="209"/>
        <v>2023</v>
      </c>
      <c r="AC2808" s="28"/>
      <c r="AD2808" s="28"/>
      <c r="AE2808" s="27"/>
      <c r="AF2808" s="27" t="s">
        <v>356</v>
      </c>
      <c r="AG2808" s="160"/>
      <c r="AH2808" s="29" t="s">
        <v>8722</v>
      </c>
      <c r="AI2808" s="172"/>
      <c r="AJ2808" s="172"/>
      <c r="AK2808" s="172"/>
      <c r="AL2808" s="172"/>
      <c r="AM2808" s="172"/>
      <c r="AN2808" s="172"/>
      <c r="AO2808" s="172"/>
      <c r="AP2808" s="172"/>
      <c r="AQ2808" s="172"/>
      <c r="AR2808" s="479"/>
      <c r="AS2808" s="461"/>
      <c r="AT2808" s="160"/>
    </row>
    <row r="2809" spans="1:46" ht="15" customHeight="1">
      <c r="A2809" s="220">
        <v>2803</v>
      </c>
      <c r="B2809" s="88" t="s">
        <v>8717</v>
      </c>
      <c r="C2809" s="88" t="s">
        <v>8727</v>
      </c>
      <c r="D2809" s="434"/>
      <c r="E2809" s="113" t="str">
        <f t="shared" ca="1" si="205"/>
        <v>CRITICAL</v>
      </c>
      <c r="F2809" s="174"/>
      <c r="G2809" s="80" t="s">
        <v>8728</v>
      </c>
      <c r="H2809" s="29" t="s">
        <v>8588</v>
      </c>
      <c r="I2809" s="29" t="s">
        <v>511</v>
      </c>
      <c r="J2809" s="86" t="s">
        <v>8729</v>
      </c>
      <c r="K2809" s="29"/>
      <c r="L2809" s="27"/>
      <c r="M2809" s="76" t="s">
        <v>329</v>
      </c>
      <c r="N2809" s="29"/>
      <c r="O2809" s="56"/>
      <c r="P2809" s="31">
        <v>450000000</v>
      </c>
      <c r="Q2809" s="31"/>
      <c r="R2809" s="27"/>
      <c r="S2809" s="32"/>
      <c r="T2809" s="79">
        <v>0.2</v>
      </c>
      <c r="U2809" s="338">
        <v>44624</v>
      </c>
      <c r="V2809" s="334">
        <v>44989</v>
      </c>
      <c r="W2809" s="27" t="s">
        <v>17</v>
      </c>
      <c r="X2809" s="27"/>
      <c r="Y2809" s="34">
        <f t="shared" ca="1" si="206"/>
        <v>46290</v>
      </c>
      <c r="Z2809" s="35">
        <f t="shared" ca="1" si="202"/>
        <v>-1301</v>
      </c>
      <c r="AA2809" s="27">
        <f t="shared" si="208"/>
        <v>3</v>
      </c>
      <c r="AB2809" s="27">
        <f t="shared" si="209"/>
        <v>2023</v>
      </c>
      <c r="AC2809" s="28"/>
      <c r="AD2809" s="28"/>
      <c r="AE2809" s="27"/>
      <c r="AF2809" s="27" t="s">
        <v>356</v>
      </c>
      <c r="AG2809" s="160"/>
      <c r="AH2809" s="29" t="s">
        <v>8722</v>
      </c>
      <c r="AI2809" s="172"/>
      <c r="AJ2809" s="172"/>
      <c r="AK2809" s="172"/>
      <c r="AL2809" s="172"/>
      <c r="AM2809" s="172"/>
      <c r="AN2809" s="172"/>
      <c r="AO2809" s="172"/>
      <c r="AP2809" s="172"/>
      <c r="AQ2809" s="172"/>
      <c r="AR2809" s="479"/>
      <c r="AS2809" s="461"/>
      <c r="AT2809" s="160"/>
    </row>
    <row r="2810" spans="1:46" ht="15" customHeight="1">
      <c r="A2810" s="220">
        <v>2804</v>
      </c>
      <c r="B2810" s="88" t="s">
        <v>8717</v>
      </c>
      <c r="C2810" s="88" t="s">
        <v>8727</v>
      </c>
      <c r="D2810" s="434"/>
      <c r="E2810" s="113" t="str">
        <f t="shared" ca="1" si="205"/>
        <v>CRITICAL</v>
      </c>
      <c r="F2810" s="174"/>
      <c r="G2810" s="80" t="s">
        <v>8728</v>
      </c>
      <c r="H2810" s="29" t="s">
        <v>8588</v>
      </c>
      <c r="I2810" s="29" t="s">
        <v>511</v>
      </c>
      <c r="J2810" s="89" t="s">
        <v>8730</v>
      </c>
      <c r="K2810" s="29"/>
      <c r="L2810" s="27"/>
      <c r="M2810" s="76" t="s">
        <v>365</v>
      </c>
      <c r="N2810" s="29"/>
      <c r="O2810" s="56"/>
      <c r="P2810" s="31">
        <v>172200000</v>
      </c>
      <c r="Q2810" s="31"/>
      <c r="R2810" s="27"/>
      <c r="S2810" s="32"/>
      <c r="T2810" s="79">
        <v>0.2</v>
      </c>
      <c r="U2810" s="338">
        <v>44624</v>
      </c>
      <c r="V2810" s="334">
        <v>44989</v>
      </c>
      <c r="W2810" s="27" t="s">
        <v>17</v>
      </c>
      <c r="X2810" s="27"/>
      <c r="Y2810" s="34">
        <f t="shared" ca="1" si="206"/>
        <v>46290</v>
      </c>
      <c r="Z2810" s="35">
        <f t="shared" ca="1" si="202"/>
        <v>-1301</v>
      </c>
      <c r="AA2810" s="27">
        <f t="shared" si="208"/>
        <v>3</v>
      </c>
      <c r="AB2810" s="27">
        <f t="shared" si="209"/>
        <v>2023</v>
      </c>
      <c r="AC2810" s="28"/>
      <c r="AD2810" s="28"/>
      <c r="AE2810" s="27"/>
      <c r="AF2810" s="27" t="s">
        <v>356</v>
      </c>
      <c r="AG2810" s="160"/>
      <c r="AH2810" s="29" t="s">
        <v>8722</v>
      </c>
      <c r="AI2810" s="172"/>
      <c r="AJ2810" s="172"/>
      <c r="AK2810" s="172"/>
      <c r="AL2810" s="172"/>
      <c r="AM2810" s="172"/>
      <c r="AN2810" s="172"/>
      <c r="AO2810" s="172"/>
      <c r="AP2810" s="172"/>
      <c r="AQ2810" s="172"/>
      <c r="AR2810" s="479"/>
      <c r="AS2810" s="461"/>
      <c r="AT2810" s="160"/>
    </row>
    <row r="2811" spans="1:46" ht="15" customHeight="1">
      <c r="A2811" s="220">
        <v>2805</v>
      </c>
      <c r="B2811" s="88" t="s">
        <v>8717</v>
      </c>
      <c r="C2811" s="88" t="s">
        <v>8731</v>
      </c>
      <c r="D2811" s="434"/>
      <c r="E2811" s="113" t="str">
        <f t="shared" ca="1" si="205"/>
        <v>CRITICAL</v>
      </c>
      <c r="F2811" s="174"/>
      <c r="G2811" s="80" t="s">
        <v>8728</v>
      </c>
      <c r="H2811" s="29" t="s">
        <v>8588</v>
      </c>
      <c r="I2811" s="29" t="s">
        <v>511</v>
      </c>
      <c r="J2811" s="86" t="s">
        <v>8732</v>
      </c>
      <c r="K2811" s="29"/>
      <c r="L2811" s="27"/>
      <c r="M2811" s="76" t="s">
        <v>8733</v>
      </c>
      <c r="N2811" s="29"/>
      <c r="O2811" s="56"/>
      <c r="P2811" s="31">
        <v>307200000</v>
      </c>
      <c r="Q2811" s="31"/>
      <c r="R2811" s="27"/>
      <c r="S2811" s="32"/>
      <c r="T2811" s="79">
        <v>0.2</v>
      </c>
      <c r="U2811" s="338">
        <v>44624</v>
      </c>
      <c r="V2811" s="334">
        <v>44989</v>
      </c>
      <c r="W2811" s="27" t="s">
        <v>17</v>
      </c>
      <c r="X2811" s="27"/>
      <c r="Y2811" s="34">
        <f t="shared" ca="1" si="206"/>
        <v>46290</v>
      </c>
      <c r="Z2811" s="35">
        <f t="shared" ca="1" si="202"/>
        <v>-1301</v>
      </c>
      <c r="AA2811" s="27">
        <f t="shared" si="208"/>
        <v>3</v>
      </c>
      <c r="AB2811" s="27">
        <f t="shared" si="209"/>
        <v>2023</v>
      </c>
      <c r="AC2811" s="28"/>
      <c r="AD2811" s="28"/>
      <c r="AE2811" s="27"/>
      <c r="AF2811" s="27" t="s">
        <v>356</v>
      </c>
      <c r="AG2811" s="160"/>
      <c r="AH2811" s="29" t="s">
        <v>8722</v>
      </c>
      <c r="AI2811" s="172"/>
      <c r="AJ2811" s="172"/>
      <c r="AK2811" s="172"/>
      <c r="AL2811" s="172"/>
      <c r="AM2811" s="172"/>
      <c r="AN2811" s="172"/>
      <c r="AO2811" s="172"/>
      <c r="AP2811" s="172"/>
      <c r="AQ2811" s="172"/>
      <c r="AR2811" s="479"/>
      <c r="AS2811" s="461"/>
      <c r="AT2811" s="160"/>
    </row>
    <row r="2812" spans="1:46" ht="15" customHeight="1">
      <c r="A2812" s="220">
        <v>2806</v>
      </c>
      <c r="B2812" s="88" t="s">
        <v>8717</v>
      </c>
      <c r="C2812" s="88" t="s">
        <v>8734</v>
      </c>
      <c r="D2812" s="434"/>
      <c r="E2812" s="113" t="str">
        <f t="shared" ca="1" si="205"/>
        <v>CRITICAL</v>
      </c>
      <c r="F2812" s="174"/>
      <c r="G2812" s="80" t="s">
        <v>8728</v>
      </c>
      <c r="H2812" s="29" t="s">
        <v>8588</v>
      </c>
      <c r="I2812" s="29" t="s">
        <v>511</v>
      </c>
      <c r="J2812" s="86" t="s">
        <v>8735</v>
      </c>
      <c r="K2812" s="29"/>
      <c r="L2812" s="27"/>
      <c r="M2812" s="76" t="s">
        <v>329</v>
      </c>
      <c r="N2812" s="29"/>
      <c r="O2812" s="56"/>
      <c r="P2812" s="31">
        <v>120000000</v>
      </c>
      <c r="Q2812" s="31"/>
      <c r="R2812" s="27"/>
      <c r="S2812" s="32"/>
      <c r="T2812" s="79">
        <v>0.2</v>
      </c>
      <c r="U2812" s="338">
        <v>44624</v>
      </c>
      <c r="V2812" s="334">
        <v>44989</v>
      </c>
      <c r="W2812" s="27" t="s">
        <v>17</v>
      </c>
      <c r="X2812" s="27"/>
      <c r="Y2812" s="34">
        <f t="shared" ca="1" si="206"/>
        <v>46290</v>
      </c>
      <c r="Z2812" s="35">
        <f t="shared" ref="Z2812:Z2843" ca="1" si="210">V2812-Y2812</f>
        <v>-1301</v>
      </c>
      <c r="AA2812" s="27">
        <f t="shared" si="208"/>
        <v>3</v>
      </c>
      <c r="AB2812" s="27">
        <f t="shared" si="209"/>
        <v>2023</v>
      </c>
      <c r="AC2812" s="28"/>
      <c r="AD2812" s="28"/>
      <c r="AE2812" s="27"/>
      <c r="AF2812" s="27" t="s">
        <v>356</v>
      </c>
      <c r="AG2812" s="160"/>
      <c r="AH2812" s="29" t="s">
        <v>8722</v>
      </c>
      <c r="AI2812" s="172"/>
      <c r="AJ2812" s="172"/>
      <c r="AK2812" s="172"/>
      <c r="AL2812" s="172"/>
      <c r="AM2812" s="172"/>
      <c r="AN2812" s="172"/>
      <c r="AO2812" s="172"/>
      <c r="AP2812" s="172"/>
      <c r="AQ2812" s="172"/>
      <c r="AR2812" s="479"/>
      <c r="AS2812" s="461"/>
      <c r="AT2812" s="160"/>
    </row>
    <row r="2813" spans="1:46" ht="15" customHeight="1">
      <c r="A2813" s="220">
        <v>2807</v>
      </c>
      <c r="B2813" s="88" t="s">
        <v>8717</v>
      </c>
      <c r="C2813" s="88" t="s">
        <v>8718</v>
      </c>
      <c r="D2813" s="434"/>
      <c r="E2813" s="113" t="str">
        <f t="shared" ca="1" si="205"/>
        <v>CRITICAL</v>
      </c>
      <c r="F2813" s="174"/>
      <c r="G2813" s="80" t="s">
        <v>8720</v>
      </c>
      <c r="H2813" s="29" t="s">
        <v>8588</v>
      </c>
      <c r="I2813" s="29" t="s">
        <v>511</v>
      </c>
      <c r="J2813" s="86" t="s">
        <v>8721</v>
      </c>
      <c r="K2813" s="29"/>
      <c r="L2813" s="27"/>
      <c r="M2813" s="76" t="s">
        <v>329</v>
      </c>
      <c r="N2813" s="29"/>
      <c r="O2813" s="56"/>
      <c r="P2813" s="31">
        <v>65454540</v>
      </c>
      <c r="Q2813" s="31"/>
      <c r="R2813" s="27"/>
      <c r="S2813" s="32"/>
      <c r="T2813" s="79">
        <v>0.2</v>
      </c>
      <c r="U2813" s="338">
        <v>44989</v>
      </c>
      <c r="V2813" s="334">
        <v>45355</v>
      </c>
      <c r="W2813" s="27" t="s">
        <v>17</v>
      </c>
      <c r="X2813" s="27"/>
      <c r="Y2813" s="34">
        <f t="shared" ca="1" si="206"/>
        <v>46290</v>
      </c>
      <c r="Z2813" s="35">
        <f t="shared" ca="1" si="210"/>
        <v>-935</v>
      </c>
      <c r="AA2813" s="27">
        <f t="shared" si="208"/>
        <v>3</v>
      </c>
      <c r="AB2813" s="27">
        <f t="shared" si="209"/>
        <v>2024</v>
      </c>
      <c r="AC2813" s="28"/>
      <c r="AD2813" s="28"/>
      <c r="AE2813" s="27"/>
      <c r="AF2813" s="27" t="s">
        <v>356</v>
      </c>
      <c r="AG2813" s="160"/>
      <c r="AH2813" s="29" t="s">
        <v>12148</v>
      </c>
      <c r="AI2813" s="172"/>
      <c r="AJ2813" s="172"/>
      <c r="AK2813" s="172"/>
      <c r="AL2813" s="172"/>
      <c r="AM2813" s="172"/>
      <c r="AN2813" s="172"/>
      <c r="AO2813" s="172"/>
      <c r="AP2813" s="172"/>
      <c r="AQ2813" s="172"/>
      <c r="AR2813" s="479"/>
      <c r="AS2813" s="461"/>
      <c r="AT2813" s="160"/>
    </row>
    <row r="2814" spans="1:46" ht="15" customHeight="1">
      <c r="A2814" s="220">
        <v>2808</v>
      </c>
      <c r="B2814" s="88" t="s">
        <v>8717</v>
      </c>
      <c r="C2814" s="88" t="s">
        <v>8723</v>
      </c>
      <c r="D2814" s="434"/>
      <c r="E2814" s="113" t="str">
        <f t="shared" ca="1" si="205"/>
        <v>CRITICAL</v>
      </c>
      <c r="F2814" s="174"/>
      <c r="G2814" s="80" t="s">
        <v>8724</v>
      </c>
      <c r="H2814" s="29" t="s">
        <v>8588</v>
      </c>
      <c r="I2814" s="29" t="s">
        <v>511</v>
      </c>
      <c r="J2814" s="86" t="s">
        <v>8725</v>
      </c>
      <c r="K2814" s="29"/>
      <c r="L2814" s="27"/>
      <c r="M2814" s="76" t="s">
        <v>365</v>
      </c>
      <c r="N2814" s="29"/>
      <c r="O2814" s="56"/>
      <c r="P2814" s="31">
        <v>240000000</v>
      </c>
      <c r="Q2814" s="31"/>
      <c r="R2814" s="27"/>
      <c r="S2814" s="32"/>
      <c r="T2814" s="79">
        <v>0.2</v>
      </c>
      <c r="U2814" s="338">
        <v>44989</v>
      </c>
      <c r="V2814" s="334">
        <v>45355</v>
      </c>
      <c r="W2814" s="27" t="s">
        <v>17</v>
      </c>
      <c r="X2814" s="27"/>
      <c r="Y2814" s="34">
        <f t="shared" ca="1" si="206"/>
        <v>46290</v>
      </c>
      <c r="Z2814" s="35">
        <f t="shared" ca="1" si="210"/>
        <v>-935</v>
      </c>
      <c r="AA2814" s="27">
        <f t="shared" si="208"/>
        <v>3</v>
      </c>
      <c r="AB2814" s="27">
        <f t="shared" si="209"/>
        <v>2024</v>
      </c>
      <c r="AC2814" s="28"/>
      <c r="AD2814" s="28"/>
      <c r="AE2814" s="27"/>
      <c r="AF2814" s="27" t="s">
        <v>356</v>
      </c>
      <c r="AG2814" s="160"/>
      <c r="AH2814" s="29" t="s">
        <v>12148</v>
      </c>
      <c r="AI2814" s="172"/>
      <c r="AJ2814" s="172"/>
      <c r="AK2814" s="172"/>
      <c r="AL2814" s="172"/>
      <c r="AM2814" s="172"/>
      <c r="AN2814" s="172"/>
      <c r="AO2814" s="172"/>
      <c r="AP2814" s="172"/>
      <c r="AQ2814" s="172"/>
      <c r="AR2814" s="479"/>
      <c r="AS2814" s="461"/>
      <c r="AT2814" s="160"/>
    </row>
    <row r="2815" spans="1:46" ht="15" customHeight="1">
      <c r="A2815" s="220">
        <v>2809</v>
      </c>
      <c r="B2815" s="88" t="s">
        <v>8717</v>
      </c>
      <c r="C2815" s="88" t="s">
        <v>8723</v>
      </c>
      <c r="D2815" s="434"/>
      <c r="E2815" s="113" t="str">
        <f t="shared" ca="1" si="205"/>
        <v>CRITICAL</v>
      </c>
      <c r="F2815" s="174"/>
      <c r="G2815" s="80" t="s">
        <v>8724</v>
      </c>
      <c r="H2815" s="29" t="s">
        <v>8588</v>
      </c>
      <c r="I2815" s="29" t="s">
        <v>511</v>
      </c>
      <c r="J2815" s="86" t="s">
        <v>8726</v>
      </c>
      <c r="K2815" s="29"/>
      <c r="L2815" s="27"/>
      <c r="M2815" s="76" t="s">
        <v>365</v>
      </c>
      <c r="N2815" s="29"/>
      <c r="O2815" s="56"/>
      <c r="P2815" s="31">
        <v>240000000</v>
      </c>
      <c r="Q2815" s="31"/>
      <c r="R2815" s="27"/>
      <c r="S2815" s="32"/>
      <c r="T2815" s="79">
        <v>0.2</v>
      </c>
      <c r="U2815" s="338">
        <v>44989</v>
      </c>
      <c r="V2815" s="334">
        <v>45355</v>
      </c>
      <c r="W2815" s="27" t="s">
        <v>17</v>
      </c>
      <c r="X2815" s="27"/>
      <c r="Y2815" s="34">
        <f t="shared" ca="1" si="206"/>
        <v>46290</v>
      </c>
      <c r="Z2815" s="35">
        <f t="shared" ca="1" si="210"/>
        <v>-935</v>
      </c>
      <c r="AA2815" s="27">
        <f t="shared" si="208"/>
        <v>3</v>
      </c>
      <c r="AB2815" s="27">
        <f t="shared" si="209"/>
        <v>2024</v>
      </c>
      <c r="AC2815" s="28"/>
      <c r="AD2815" s="28"/>
      <c r="AE2815" s="27"/>
      <c r="AF2815" s="27" t="s">
        <v>356</v>
      </c>
      <c r="AG2815" s="160"/>
      <c r="AH2815" s="29" t="s">
        <v>12148</v>
      </c>
      <c r="AI2815" s="172"/>
      <c r="AJ2815" s="172"/>
      <c r="AK2815" s="172"/>
      <c r="AL2815" s="172"/>
      <c r="AM2815" s="172"/>
      <c r="AN2815" s="172"/>
      <c r="AO2815" s="172"/>
      <c r="AP2815" s="172"/>
      <c r="AQ2815" s="172"/>
      <c r="AR2815" s="479"/>
      <c r="AS2815" s="461"/>
      <c r="AT2815" s="160"/>
    </row>
    <row r="2816" spans="1:46" ht="15" customHeight="1">
      <c r="A2816" s="220">
        <v>2810</v>
      </c>
      <c r="B2816" s="88" t="s">
        <v>8717</v>
      </c>
      <c r="C2816" s="88" t="s">
        <v>8727</v>
      </c>
      <c r="D2816" s="434"/>
      <c r="E2816" s="113" t="str">
        <f t="shared" ca="1" si="205"/>
        <v>CRITICAL</v>
      </c>
      <c r="F2816" s="174"/>
      <c r="G2816" s="80" t="s">
        <v>8728</v>
      </c>
      <c r="H2816" s="29" t="s">
        <v>8588</v>
      </c>
      <c r="I2816" s="29" t="s">
        <v>511</v>
      </c>
      <c r="J2816" s="86" t="s">
        <v>8729</v>
      </c>
      <c r="K2816" s="29"/>
      <c r="L2816" s="27"/>
      <c r="M2816" s="76" t="s">
        <v>329</v>
      </c>
      <c r="N2816" s="29"/>
      <c r="O2816" s="56"/>
      <c r="P2816" s="31">
        <v>450000000</v>
      </c>
      <c r="Q2816" s="31"/>
      <c r="R2816" s="27"/>
      <c r="S2816" s="32"/>
      <c r="T2816" s="79">
        <v>0.2</v>
      </c>
      <c r="U2816" s="338">
        <v>44989</v>
      </c>
      <c r="V2816" s="334">
        <v>45355</v>
      </c>
      <c r="W2816" s="27" t="s">
        <v>17</v>
      </c>
      <c r="X2816" s="27"/>
      <c r="Y2816" s="34">
        <f t="shared" ca="1" si="206"/>
        <v>46290</v>
      </c>
      <c r="Z2816" s="35">
        <f t="shared" ca="1" si="210"/>
        <v>-935</v>
      </c>
      <c r="AA2816" s="27">
        <f t="shared" si="208"/>
        <v>3</v>
      </c>
      <c r="AB2816" s="27">
        <f t="shared" si="209"/>
        <v>2024</v>
      </c>
      <c r="AC2816" s="28"/>
      <c r="AD2816" s="28"/>
      <c r="AE2816" s="27"/>
      <c r="AF2816" s="27" t="s">
        <v>356</v>
      </c>
      <c r="AG2816" s="160"/>
      <c r="AH2816" s="29" t="s">
        <v>12148</v>
      </c>
      <c r="AI2816" s="172"/>
      <c r="AJ2816" s="172"/>
      <c r="AK2816" s="172"/>
      <c r="AL2816" s="172"/>
      <c r="AM2816" s="172"/>
      <c r="AN2816" s="172"/>
      <c r="AO2816" s="172"/>
      <c r="AP2816" s="172"/>
      <c r="AQ2816" s="172"/>
      <c r="AR2816" s="479"/>
      <c r="AS2816" s="461"/>
      <c r="AT2816" s="160"/>
    </row>
    <row r="2817" spans="1:46" ht="15" customHeight="1">
      <c r="A2817" s="220">
        <v>2811</v>
      </c>
      <c r="B2817" s="88" t="s">
        <v>8717</v>
      </c>
      <c r="C2817" s="88" t="s">
        <v>8727</v>
      </c>
      <c r="D2817" s="434"/>
      <c r="E2817" s="113" t="str">
        <f t="shared" ref="E2817:E2842" ca="1" si="211">IF(AND(Z2817&gt;=60, Z2817&lt;=3000), "ON TRACK",IF(AND(Z2817&gt;=36, Z2817&lt;=59), "ATTENTION",IF(AND(Z2817&gt;=1, Z2817&lt;=35), "WARNING",IF(AND(Z2817&gt;=-3000, Z2817&lt;=0), "CRITICAL", ""))))</f>
        <v>CRITICAL</v>
      </c>
      <c r="F2817" s="174"/>
      <c r="G2817" s="80" t="s">
        <v>8728</v>
      </c>
      <c r="H2817" s="29" t="s">
        <v>8588</v>
      </c>
      <c r="I2817" s="29" t="s">
        <v>511</v>
      </c>
      <c r="J2817" s="89" t="s">
        <v>8730</v>
      </c>
      <c r="K2817" s="29"/>
      <c r="L2817" s="27"/>
      <c r="M2817" s="76" t="s">
        <v>365</v>
      </c>
      <c r="N2817" s="29"/>
      <c r="O2817" s="56"/>
      <c r="P2817" s="31">
        <v>172200000</v>
      </c>
      <c r="Q2817" s="31"/>
      <c r="R2817" s="27"/>
      <c r="S2817" s="32"/>
      <c r="T2817" s="79">
        <v>0.2</v>
      </c>
      <c r="U2817" s="338">
        <v>44989</v>
      </c>
      <c r="V2817" s="334">
        <v>45355</v>
      </c>
      <c r="W2817" s="27" t="s">
        <v>17</v>
      </c>
      <c r="X2817" s="27"/>
      <c r="Y2817" s="34">
        <f t="shared" ca="1" si="206"/>
        <v>46290</v>
      </c>
      <c r="Z2817" s="35">
        <f t="shared" ca="1" si="210"/>
        <v>-935</v>
      </c>
      <c r="AA2817" s="27">
        <f t="shared" si="208"/>
        <v>3</v>
      </c>
      <c r="AB2817" s="27">
        <f t="shared" si="209"/>
        <v>2024</v>
      </c>
      <c r="AC2817" s="28"/>
      <c r="AD2817" s="28"/>
      <c r="AE2817" s="27"/>
      <c r="AF2817" s="27" t="s">
        <v>356</v>
      </c>
      <c r="AG2817" s="160"/>
      <c r="AH2817" s="29" t="s">
        <v>12148</v>
      </c>
      <c r="AI2817" s="172"/>
      <c r="AJ2817" s="172"/>
      <c r="AK2817" s="172"/>
      <c r="AL2817" s="172"/>
      <c r="AM2817" s="172"/>
      <c r="AN2817" s="172"/>
      <c r="AO2817" s="172"/>
      <c r="AP2817" s="172"/>
      <c r="AQ2817" s="172"/>
      <c r="AR2817" s="479"/>
      <c r="AS2817" s="461"/>
      <c r="AT2817" s="160"/>
    </row>
    <row r="2818" spans="1:46" ht="15" customHeight="1">
      <c r="A2818" s="220">
        <v>2812</v>
      </c>
      <c r="B2818" s="88" t="s">
        <v>8717</v>
      </c>
      <c r="C2818" s="88" t="s">
        <v>8731</v>
      </c>
      <c r="D2818" s="434"/>
      <c r="E2818" s="113" t="str">
        <f t="shared" ca="1" si="211"/>
        <v>CRITICAL</v>
      </c>
      <c r="F2818" s="174"/>
      <c r="G2818" s="80" t="s">
        <v>8728</v>
      </c>
      <c r="H2818" s="29" t="s">
        <v>8588</v>
      </c>
      <c r="I2818" s="29" t="s">
        <v>511</v>
      </c>
      <c r="J2818" s="86" t="s">
        <v>8732</v>
      </c>
      <c r="K2818" s="29"/>
      <c r="L2818" s="27"/>
      <c r="M2818" s="76" t="s">
        <v>8733</v>
      </c>
      <c r="N2818" s="29"/>
      <c r="O2818" s="56"/>
      <c r="P2818" s="31">
        <v>307200000</v>
      </c>
      <c r="Q2818" s="31"/>
      <c r="R2818" s="27"/>
      <c r="S2818" s="32"/>
      <c r="T2818" s="79">
        <v>0.2</v>
      </c>
      <c r="U2818" s="338">
        <v>44989</v>
      </c>
      <c r="V2818" s="334">
        <v>45355</v>
      </c>
      <c r="W2818" s="27" t="s">
        <v>17</v>
      </c>
      <c r="X2818" s="27"/>
      <c r="Y2818" s="34">
        <f t="shared" ca="1" si="206"/>
        <v>46290</v>
      </c>
      <c r="Z2818" s="35">
        <f t="shared" ca="1" si="210"/>
        <v>-935</v>
      </c>
      <c r="AA2818" s="27">
        <f t="shared" si="208"/>
        <v>3</v>
      </c>
      <c r="AB2818" s="27">
        <f t="shared" si="209"/>
        <v>2024</v>
      </c>
      <c r="AC2818" s="28"/>
      <c r="AD2818" s="28"/>
      <c r="AE2818" s="27"/>
      <c r="AF2818" s="27" t="s">
        <v>356</v>
      </c>
      <c r="AG2818" s="160"/>
      <c r="AH2818" s="29" t="s">
        <v>12148</v>
      </c>
      <c r="AI2818" s="172"/>
      <c r="AJ2818" s="172"/>
      <c r="AK2818" s="172"/>
      <c r="AL2818" s="172"/>
      <c r="AM2818" s="172"/>
      <c r="AN2818" s="172"/>
      <c r="AO2818" s="172"/>
      <c r="AP2818" s="172"/>
      <c r="AQ2818" s="172"/>
      <c r="AR2818" s="479"/>
      <c r="AS2818" s="461"/>
      <c r="AT2818" s="160"/>
    </row>
    <row r="2819" spans="1:46" ht="15" customHeight="1">
      <c r="A2819" s="220">
        <v>2813</v>
      </c>
      <c r="B2819" s="88" t="s">
        <v>8717</v>
      </c>
      <c r="C2819" s="88" t="s">
        <v>8734</v>
      </c>
      <c r="D2819" s="434"/>
      <c r="E2819" s="113" t="str">
        <f t="shared" ca="1" si="211"/>
        <v>CRITICAL</v>
      </c>
      <c r="F2819" s="174"/>
      <c r="G2819" s="80" t="s">
        <v>8728</v>
      </c>
      <c r="H2819" s="29" t="s">
        <v>8588</v>
      </c>
      <c r="I2819" s="29" t="s">
        <v>511</v>
      </c>
      <c r="J2819" s="86" t="s">
        <v>8735</v>
      </c>
      <c r="K2819" s="29"/>
      <c r="L2819" s="27"/>
      <c r="M2819" s="76" t="s">
        <v>329</v>
      </c>
      <c r="N2819" s="29"/>
      <c r="O2819" s="56"/>
      <c r="P2819" s="31">
        <v>120000000</v>
      </c>
      <c r="Q2819" s="31"/>
      <c r="R2819" s="27"/>
      <c r="S2819" s="32"/>
      <c r="T2819" s="79">
        <v>0.2</v>
      </c>
      <c r="U2819" s="338">
        <v>44989</v>
      </c>
      <c r="V2819" s="334">
        <v>45355</v>
      </c>
      <c r="W2819" s="27" t="s">
        <v>17</v>
      </c>
      <c r="X2819" s="27"/>
      <c r="Y2819" s="34">
        <f t="shared" ca="1" si="206"/>
        <v>46290</v>
      </c>
      <c r="Z2819" s="35">
        <f t="shared" ca="1" si="210"/>
        <v>-935</v>
      </c>
      <c r="AA2819" s="27">
        <f t="shared" si="208"/>
        <v>3</v>
      </c>
      <c r="AB2819" s="27">
        <f t="shared" si="209"/>
        <v>2024</v>
      </c>
      <c r="AC2819" s="28"/>
      <c r="AD2819" s="28"/>
      <c r="AE2819" s="27"/>
      <c r="AF2819" s="27" t="s">
        <v>356</v>
      </c>
      <c r="AG2819" s="160"/>
      <c r="AH2819" s="29" t="s">
        <v>12148</v>
      </c>
      <c r="AI2819" s="172"/>
      <c r="AJ2819" s="172"/>
      <c r="AK2819" s="172"/>
      <c r="AL2819" s="172"/>
      <c r="AM2819" s="172"/>
      <c r="AN2819" s="172"/>
      <c r="AO2819" s="172"/>
      <c r="AP2819" s="172"/>
      <c r="AQ2819" s="172"/>
      <c r="AR2819" s="479"/>
      <c r="AS2819" s="461"/>
      <c r="AT2819" s="160"/>
    </row>
    <row r="2820" spans="1:46" ht="15" customHeight="1">
      <c r="A2820" s="220">
        <v>2814</v>
      </c>
      <c r="B2820" s="88" t="s">
        <v>8717</v>
      </c>
      <c r="C2820" s="88" t="s">
        <v>8718</v>
      </c>
      <c r="D2820" s="434"/>
      <c r="E2820" s="113" t="str">
        <f t="shared" ca="1" si="211"/>
        <v>CRITICAL</v>
      </c>
      <c r="F2820" s="174"/>
      <c r="G2820" s="80" t="s">
        <v>8720</v>
      </c>
      <c r="H2820" s="29" t="s">
        <v>8588</v>
      </c>
      <c r="I2820" s="29" t="s">
        <v>511</v>
      </c>
      <c r="J2820" s="86" t="s">
        <v>8721</v>
      </c>
      <c r="K2820" s="29"/>
      <c r="L2820" s="27"/>
      <c r="M2820" s="76" t="s">
        <v>329</v>
      </c>
      <c r="N2820" s="29"/>
      <c r="O2820" s="56"/>
      <c r="P2820" s="31">
        <v>65454540</v>
      </c>
      <c r="Q2820" s="31"/>
      <c r="R2820" s="27"/>
      <c r="S2820" s="32"/>
      <c r="T2820" s="79">
        <v>0.2</v>
      </c>
      <c r="U2820" s="338">
        <v>45355</v>
      </c>
      <c r="V2820" s="334">
        <v>45720</v>
      </c>
      <c r="W2820" s="27" t="s">
        <v>17</v>
      </c>
      <c r="X2820" s="27"/>
      <c r="Y2820" s="34">
        <f t="shared" ca="1" si="206"/>
        <v>46290</v>
      </c>
      <c r="Z2820" s="35">
        <f t="shared" ca="1" si="210"/>
        <v>-570</v>
      </c>
      <c r="AA2820" s="27">
        <f t="shared" si="208"/>
        <v>3</v>
      </c>
      <c r="AB2820" s="27">
        <f t="shared" si="209"/>
        <v>2025</v>
      </c>
      <c r="AC2820" s="28"/>
      <c r="AD2820" s="28"/>
      <c r="AE2820" s="27"/>
      <c r="AF2820" s="27" t="s">
        <v>356</v>
      </c>
      <c r="AG2820" s="160"/>
      <c r="AH2820" s="29" t="s">
        <v>12148</v>
      </c>
      <c r="AI2820" s="172"/>
      <c r="AJ2820" s="172"/>
      <c r="AK2820" s="172"/>
      <c r="AL2820" s="172"/>
      <c r="AM2820" s="172"/>
      <c r="AN2820" s="172"/>
      <c r="AO2820" s="172"/>
      <c r="AP2820" s="172"/>
      <c r="AQ2820" s="172"/>
      <c r="AR2820" s="479"/>
      <c r="AS2820" s="461"/>
      <c r="AT2820" s="160"/>
    </row>
    <row r="2821" spans="1:46" ht="15" customHeight="1">
      <c r="A2821" s="220">
        <v>2815</v>
      </c>
      <c r="B2821" s="88" t="s">
        <v>8717</v>
      </c>
      <c r="C2821" s="88" t="s">
        <v>8723</v>
      </c>
      <c r="D2821" s="434"/>
      <c r="E2821" s="113" t="str">
        <f t="shared" ca="1" si="211"/>
        <v>CRITICAL</v>
      </c>
      <c r="F2821" s="174"/>
      <c r="G2821" s="80" t="s">
        <v>8724</v>
      </c>
      <c r="H2821" s="29" t="s">
        <v>8588</v>
      </c>
      <c r="I2821" s="29" t="s">
        <v>511</v>
      </c>
      <c r="J2821" s="86" t="s">
        <v>8725</v>
      </c>
      <c r="K2821" s="29"/>
      <c r="L2821" s="27"/>
      <c r="M2821" s="76" t="s">
        <v>365</v>
      </c>
      <c r="N2821" s="29"/>
      <c r="O2821" s="56"/>
      <c r="P2821" s="31">
        <v>240000000</v>
      </c>
      <c r="Q2821" s="31"/>
      <c r="R2821" s="27"/>
      <c r="S2821" s="32"/>
      <c r="T2821" s="79">
        <v>0.2</v>
      </c>
      <c r="U2821" s="338">
        <v>45355</v>
      </c>
      <c r="V2821" s="334">
        <v>45720</v>
      </c>
      <c r="W2821" s="27" t="s">
        <v>17</v>
      </c>
      <c r="X2821" s="27"/>
      <c r="Y2821" s="34">
        <f t="shared" ca="1" si="206"/>
        <v>46290</v>
      </c>
      <c r="Z2821" s="35">
        <f t="shared" ca="1" si="210"/>
        <v>-570</v>
      </c>
      <c r="AA2821" s="27">
        <f t="shared" si="208"/>
        <v>3</v>
      </c>
      <c r="AB2821" s="27">
        <f t="shared" si="209"/>
        <v>2025</v>
      </c>
      <c r="AC2821" s="28"/>
      <c r="AD2821" s="28"/>
      <c r="AE2821" s="27"/>
      <c r="AF2821" s="27" t="s">
        <v>356</v>
      </c>
      <c r="AG2821" s="160"/>
      <c r="AH2821" s="29" t="s">
        <v>12148</v>
      </c>
      <c r="AI2821" s="172"/>
      <c r="AJ2821" s="172"/>
      <c r="AK2821" s="172"/>
      <c r="AL2821" s="172"/>
      <c r="AM2821" s="172"/>
      <c r="AN2821" s="172"/>
      <c r="AO2821" s="172"/>
      <c r="AP2821" s="172"/>
      <c r="AQ2821" s="172"/>
      <c r="AR2821" s="479"/>
      <c r="AS2821" s="461"/>
      <c r="AT2821" s="160"/>
    </row>
    <row r="2822" spans="1:46" ht="15" customHeight="1">
      <c r="A2822" s="220">
        <v>2816</v>
      </c>
      <c r="B2822" s="88" t="s">
        <v>8717</v>
      </c>
      <c r="C2822" s="88" t="s">
        <v>8723</v>
      </c>
      <c r="D2822" s="434"/>
      <c r="E2822" s="113" t="str">
        <f t="shared" ca="1" si="211"/>
        <v>CRITICAL</v>
      </c>
      <c r="F2822" s="174"/>
      <c r="G2822" s="80" t="s">
        <v>8724</v>
      </c>
      <c r="H2822" s="29" t="s">
        <v>8588</v>
      </c>
      <c r="I2822" s="29" t="s">
        <v>511</v>
      </c>
      <c r="J2822" s="86" t="s">
        <v>8726</v>
      </c>
      <c r="K2822" s="29"/>
      <c r="L2822" s="27"/>
      <c r="M2822" s="76" t="s">
        <v>365</v>
      </c>
      <c r="N2822" s="29"/>
      <c r="O2822" s="56"/>
      <c r="P2822" s="31">
        <v>240000000</v>
      </c>
      <c r="Q2822" s="31"/>
      <c r="R2822" s="27"/>
      <c r="S2822" s="32"/>
      <c r="T2822" s="79">
        <v>0.2</v>
      </c>
      <c r="U2822" s="338">
        <v>45355</v>
      </c>
      <c r="V2822" s="334">
        <v>45720</v>
      </c>
      <c r="W2822" s="27" t="s">
        <v>17</v>
      </c>
      <c r="X2822" s="27"/>
      <c r="Y2822" s="34">
        <f t="shared" ca="1" si="206"/>
        <v>46290</v>
      </c>
      <c r="Z2822" s="35">
        <f t="shared" ca="1" si="210"/>
        <v>-570</v>
      </c>
      <c r="AA2822" s="27">
        <f t="shared" si="208"/>
        <v>3</v>
      </c>
      <c r="AB2822" s="27">
        <f t="shared" si="209"/>
        <v>2025</v>
      </c>
      <c r="AC2822" s="28"/>
      <c r="AD2822" s="28"/>
      <c r="AE2822" s="27"/>
      <c r="AF2822" s="27" t="s">
        <v>356</v>
      </c>
      <c r="AG2822" s="160"/>
      <c r="AH2822" s="29" t="s">
        <v>12148</v>
      </c>
      <c r="AI2822" s="172"/>
      <c r="AJ2822" s="172"/>
      <c r="AK2822" s="172"/>
      <c r="AL2822" s="172"/>
      <c r="AM2822" s="172"/>
      <c r="AN2822" s="172"/>
      <c r="AO2822" s="172"/>
      <c r="AP2822" s="172"/>
      <c r="AQ2822" s="172"/>
      <c r="AR2822" s="479"/>
      <c r="AS2822" s="461"/>
      <c r="AT2822" s="160"/>
    </row>
    <row r="2823" spans="1:46" ht="15" customHeight="1">
      <c r="A2823" s="220">
        <v>2817</v>
      </c>
      <c r="B2823" s="88" t="s">
        <v>8717</v>
      </c>
      <c r="C2823" s="88" t="s">
        <v>8727</v>
      </c>
      <c r="D2823" s="434"/>
      <c r="E2823" s="113" t="str">
        <f t="shared" ca="1" si="211"/>
        <v>CRITICAL</v>
      </c>
      <c r="F2823" s="174"/>
      <c r="G2823" s="80" t="s">
        <v>8728</v>
      </c>
      <c r="H2823" s="29" t="s">
        <v>8588</v>
      </c>
      <c r="I2823" s="29" t="s">
        <v>511</v>
      </c>
      <c r="J2823" s="86" t="s">
        <v>8729</v>
      </c>
      <c r="K2823" s="29"/>
      <c r="L2823" s="27"/>
      <c r="M2823" s="76" t="s">
        <v>329</v>
      </c>
      <c r="N2823" s="29"/>
      <c r="O2823" s="56"/>
      <c r="P2823" s="31">
        <v>450000000</v>
      </c>
      <c r="Q2823" s="31"/>
      <c r="R2823" s="27"/>
      <c r="S2823" s="32"/>
      <c r="T2823" s="79">
        <v>0.2</v>
      </c>
      <c r="U2823" s="338">
        <v>45355</v>
      </c>
      <c r="V2823" s="334">
        <v>45720</v>
      </c>
      <c r="W2823" s="27" t="s">
        <v>17</v>
      </c>
      <c r="X2823" s="27"/>
      <c r="Y2823" s="34">
        <f t="shared" ca="1" si="206"/>
        <v>46290</v>
      </c>
      <c r="Z2823" s="35">
        <f t="shared" ca="1" si="210"/>
        <v>-570</v>
      </c>
      <c r="AA2823" s="27">
        <f t="shared" si="208"/>
        <v>3</v>
      </c>
      <c r="AB2823" s="27">
        <f t="shared" si="209"/>
        <v>2025</v>
      </c>
      <c r="AC2823" s="28"/>
      <c r="AD2823" s="28"/>
      <c r="AE2823" s="27"/>
      <c r="AF2823" s="27" t="s">
        <v>356</v>
      </c>
      <c r="AG2823" s="160"/>
      <c r="AH2823" s="29" t="s">
        <v>12148</v>
      </c>
      <c r="AI2823" s="172"/>
      <c r="AJ2823" s="172"/>
      <c r="AK2823" s="172"/>
      <c r="AL2823" s="172"/>
      <c r="AM2823" s="172"/>
      <c r="AN2823" s="172"/>
      <c r="AO2823" s="172"/>
      <c r="AP2823" s="172"/>
      <c r="AQ2823" s="172"/>
      <c r="AR2823" s="479"/>
      <c r="AS2823" s="461"/>
      <c r="AT2823" s="160"/>
    </row>
    <row r="2824" spans="1:46" ht="15" customHeight="1">
      <c r="A2824" s="220">
        <v>2818</v>
      </c>
      <c r="B2824" s="88" t="s">
        <v>8717</v>
      </c>
      <c r="C2824" s="88" t="s">
        <v>8727</v>
      </c>
      <c r="D2824" s="434"/>
      <c r="E2824" s="113" t="str">
        <f t="shared" ca="1" si="211"/>
        <v>CRITICAL</v>
      </c>
      <c r="F2824" s="174"/>
      <c r="G2824" s="80" t="s">
        <v>8728</v>
      </c>
      <c r="H2824" s="29" t="s">
        <v>8588</v>
      </c>
      <c r="I2824" s="29" t="s">
        <v>511</v>
      </c>
      <c r="J2824" s="89" t="s">
        <v>8730</v>
      </c>
      <c r="K2824" s="29"/>
      <c r="L2824" s="27"/>
      <c r="M2824" s="76" t="s">
        <v>365</v>
      </c>
      <c r="N2824" s="29"/>
      <c r="O2824" s="56"/>
      <c r="P2824" s="31">
        <v>172200000</v>
      </c>
      <c r="Q2824" s="31"/>
      <c r="R2824" s="27"/>
      <c r="S2824" s="32"/>
      <c r="T2824" s="79">
        <v>0.2</v>
      </c>
      <c r="U2824" s="338">
        <v>45355</v>
      </c>
      <c r="V2824" s="334">
        <v>45720</v>
      </c>
      <c r="W2824" s="27" t="s">
        <v>17</v>
      </c>
      <c r="X2824" s="27"/>
      <c r="Y2824" s="34">
        <f t="shared" ca="1" si="206"/>
        <v>46290</v>
      </c>
      <c r="Z2824" s="35">
        <f t="shared" ca="1" si="210"/>
        <v>-570</v>
      </c>
      <c r="AA2824" s="27">
        <f t="shared" si="208"/>
        <v>3</v>
      </c>
      <c r="AB2824" s="27">
        <f t="shared" si="209"/>
        <v>2025</v>
      </c>
      <c r="AC2824" s="28"/>
      <c r="AD2824" s="28"/>
      <c r="AE2824" s="27"/>
      <c r="AF2824" s="27" t="s">
        <v>356</v>
      </c>
      <c r="AG2824" s="160"/>
      <c r="AH2824" s="29" t="s">
        <v>12148</v>
      </c>
      <c r="AI2824" s="172"/>
      <c r="AJ2824" s="172"/>
      <c r="AK2824" s="172"/>
      <c r="AL2824" s="172"/>
      <c r="AM2824" s="172"/>
      <c r="AN2824" s="172"/>
      <c r="AO2824" s="172"/>
      <c r="AP2824" s="172"/>
      <c r="AQ2824" s="172"/>
      <c r="AR2824" s="479"/>
      <c r="AS2824" s="461"/>
      <c r="AT2824" s="160"/>
    </row>
    <row r="2825" spans="1:46" ht="15" customHeight="1">
      <c r="A2825" s="220">
        <v>2819</v>
      </c>
      <c r="B2825" s="88" t="s">
        <v>8717</v>
      </c>
      <c r="C2825" s="88" t="s">
        <v>8731</v>
      </c>
      <c r="D2825" s="434"/>
      <c r="E2825" s="113" t="str">
        <f t="shared" ca="1" si="211"/>
        <v>CRITICAL</v>
      </c>
      <c r="F2825" s="174"/>
      <c r="G2825" s="80" t="s">
        <v>8728</v>
      </c>
      <c r="H2825" s="29" t="s">
        <v>8588</v>
      </c>
      <c r="I2825" s="29" t="s">
        <v>511</v>
      </c>
      <c r="J2825" s="86" t="s">
        <v>8732</v>
      </c>
      <c r="K2825" s="29"/>
      <c r="L2825" s="27"/>
      <c r="M2825" s="76" t="s">
        <v>8733</v>
      </c>
      <c r="N2825" s="29"/>
      <c r="O2825" s="56"/>
      <c r="P2825" s="31">
        <v>307200000</v>
      </c>
      <c r="Q2825" s="31"/>
      <c r="R2825" s="27"/>
      <c r="S2825" s="32"/>
      <c r="T2825" s="79">
        <v>0.2</v>
      </c>
      <c r="U2825" s="338">
        <v>45355</v>
      </c>
      <c r="V2825" s="334">
        <v>45720</v>
      </c>
      <c r="W2825" s="27" t="s">
        <v>17</v>
      </c>
      <c r="X2825" s="27"/>
      <c r="Y2825" s="34">
        <f t="shared" ca="1" si="206"/>
        <v>46290</v>
      </c>
      <c r="Z2825" s="35">
        <f t="shared" ca="1" si="210"/>
        <v>-570</v>
      </c>
      <c r="AA2825" s="27">
        <f t="shared" si="208"/>
        <v>3</v>
      </c>
      <c r="AB2825" s="27">
        <f t="shared" si="209"/>
        <v>2025</v>
      </c>
      <c r="AC2825" s="28"/>
      <c r="AD2825" s="28"/>
      <c r="AE2825" s="27"/>
      <c r="AF2825" s="27" t="s">
        <v>356</v>
      </c>
      <c r="AG2825" s="160"/>
      <c r="AH2825" s="29" t="s">
        <v>12148</v>
      </c>
      <c r="AI2825" s="172"/>
      <c r="AJ2825" s="172"/>
      <c r="AK2825" s="172"/>
      <c r="AL2825" s="172"/>
      <c r="AM2825" s="172"/>
      <c r="AN2825" s="172"/>
      <c r="AO2825" s="172"/>
      <c r="AP2825" s="172"/>
      <c r="AQ2825" s="172"/>
      <c r="AR2825" s="479"/>
      <c r="AS2825" s="461"/>
      <c r="AT2825" s="160"/>
    </row>
    <row r="2826" spans="1:46" ht="15" customHeight="1">
      <c r="A2826" s="220">
        <v>2820</v>
      </c>
      <c r="B2826" s="88" t="s">
        <v>8717</v>
      </c>
      <c r="C2826" s="88" t="s">
        <v>8734</v>
      </c>
      <c r="D2826" s="434"/>
      <c r="E2826" s="113" t="str">
        <f t="shared" ca="1" si="211"/>
        <v>CRITICAL</v>
      </c>
      <c r="F2826" s="174"/>
      <c r="G2826" s="80" t="s">
        <v>8728</v>
      </c>
      <c r="H2826" s="29" t="s">
        <v>8588</v>
      </c>
      <c r="I2826" s="29" t="s">
        <v>511</v>
      </c>
      <c r="J2826" s="86" t="s">
        <v>8735</v>
      </c>
      <c r="K2826" s="29"/>
      <c r="L2826" s="27"/>
      <c r="M2826" s="76" t="s">
        <v>329</v>
      </c>
      <c r="N2826" s="29"/>
      <c r="O2826" s="56"/>
      <c r="P2826" s="31">
        <v>120000000</v>
      </c>
      <c r="Q2826" s="31"/>
      <c r="R2826" s="27"/>
      <c r="S2826" s="32"/>
      <c r="T2826" s="79">
        <v>0.2</v>
      </c>
      <c r="U2826" s="338">
        <v>45355</v>
      </c>
      <c r="V2826" s="334">
        <v>45720</v>
      </c>
      <c r="W2826" s="27" t="s">
        <v>17</v>
      </c>
      <c r="X2826" s="27"/>
      <c r="Y2826" s="34">
        <f t="shared" ca="1" si="206"/>
        <v>46290</v>
      </c>
      <c r="Z2826" s="35">
        <f t="shared" ca="1" si="210"/>
        <v>-570</v>
      </c>
      <c r="AA2826" s="27">
        <f t="shared" si="208"/>
        <v>3</v>
      </c>
      <c r="AB2826" s="27">
        <f t="shared" si="209"/>
        <v>2025</v>
      </c>
      <c r="AC2826" s="28"/>
      <c r="AD2826" s="28"/>
      <c r="AE2826" s="27"/>
      <c r="AF2826" s="27" t="s">
        <v>356</v>
      </c>
      <c r="AG2826" s="160"/>
      <c r="AH2826" s="29" t="s">
        <v>12148</v>
      </c>
      <c r="AI2826" s="172"/>
      <c r="AJ2826" s="172"/>
      <c r="AK2826" s="172"/>
      <c r="AL2826" s="172"/>
      <c r="AM2826" s="172"/>
      <c r="AN2826" s="172"/>
      <c r="AO2826" s="172"/>
      <c r="AP2826" s="172"/>
      <c r="AQ2826" s="172"/>
      <c r="AR2826" s="479"/>
      <c r="AS2826" s="461"/>
      <c r="AT2826" s="160"/>
    </row>
    <row r="2827" spans="1:46" ht="15" customHeight="1">
      <c r="A2827" s="220">
        <v>2821</v>
      </c>
      <c r="B2827" s="88" t="s">
        <v>8717</v>
      </c>
      <c r="C2827" s="88" t="s">
        <v>8718</v>
      </c>
      <c r="D2827" s="434"/>
      <c r="E2827" s="113" t="str">
        <f t="shared" ca="1" si="211"/>
        <v>CRITICAL</v>
      </c>
      <c r="F2827" s="174"/>
      <c r="G2827" s="80" t="s">
        <v>8720</v>
      </c>
      <c r="H2827" s="29" t="s">
        <v>8588</v>
      </c>
      <c r="I2827" s="29" t="s">
        <v>511</v>
      </c>
      <c r="J2827" s="86" t="s">
        <v>8721</v>
      </c>
      <c r="K2827" s="36" t="s">
        <v>12149</v>
      </c>
      <c r="L2827" s="27"/>
      <c r="M2827" s="76" t="s">
        <v>329</v>
      </c>
      <c r="N2827" s="29"/>
      <c r="O2827" s="56"/>
      <c r="P2827" s="31">
        <v>65454540</v>
      </c>
      <c r="Q2827" s="31"/>
      <c r="R2827" s="27"/>
      <c r="S2827" s="32"/>
      <c r="T2827" s="79">
        <v>0.2</v>
      </c>
      <c r="U2827" s="338">
        <v>45720</v>
      </c>
      <c r="V2827" s="334">
        <v>46085</v>
      </c>
      <c r="W2827" s="27" t="s">
        <v>17</v>
      </c>
      <c r="X2827" s="27"/>
      <c r="Y2827" s="34">
        <f t="shared" ca="1" si="206"/>
        <v>46290</v>
      </c>
      <c r="Z2827" s="35">
        <f t="shared" ca="1" si="210"/>
        <v>-205</v>
      </c>
      <c r="AA2827" s="27">
        <f t="shared" si="208"/>
        <v>3</v>
      </c>
      <c r="AB2827" s="27">
        <f t="shared" si="209"/>
        <v>2026</v>
      </c>
      <c r="AC2827" s="28"/>
      <c r="AD2827" s="28"/>
      <c r="AE2827" s="27"/>
      <c r="AF2827" s="27" t="s">
        <v>356</v>
      </c>
      <c r="AG2827" s="160"/>
      <c r="AH2827" s="29" t="s">
        <v>12148</v>
      </c>
      <c r="AI2827" s="172"/>
      <c r="AJ2827" s="172"/>
      <c r="AK2827" s="172"/>
      <c r="AL2827" s="172"/>
      <c r="AM2827" s="172"/>
      <c r="AN2827" s="172"/>
      <c r="AO2827" s="172"/>
      <c r="AP2827" s="172"/>
      <c r="AQ2827" s="172"/>
      <c r="AR2827" s="479"/>
      <c r="AS2827" s="461" t="s">
        <v>12150</v>
      </c>
      <c r="AT2827" s="160"/>
    </row>
    <row r="2828" spans="1:46" ht="15" customHeight="1">
      <c r="A2828" s="220">
        <v>2822</v>
      </c>
      <c r="B2828" s="88" t="s">
        <v>8717</v>
      </c>
      <c r="C2828" s="88" t="s">
        <v>8723</v>
      </c>
      <c r="D2828" s="434"/>
      <c r="E2828" s="113" t="str">
        <f t="shared" ca="1" si="211"/>
        <v>CRITICAL</v>
      </c>
      <c r="F2828" s="174"/>
      <c r="G2828" s="80" t="s">
        <v>8724</v>
      </c>
      <c r="H2828" s="29" t="s">
        <v>8588</v>
      </c>
      <c r="I2828" s="29" t="s">
        <v>511</v>
      </c>
      <c r="J2828" s="86" t="s">
        <v>8725</v>
      </c>
      <c r="K2828" s="36" t="s">
        <v>12151</v>
      </c>
      <c r="L2828" s="27"/>
      <c r="M2828" s="76" t="s">
        <v>365</v>
      </c>
      <c r="N2828" s="29"/>
      <c r="O2828" s="56"/>
      <c r="P2828" s="31">
        <v>240000000</v>
      </c>
      <c r="Q2828" s="31"/>
      <c r="R2828" s="27"/>
      <c r="S2828" s="32"/>
      <c r="T2828" s="79">
        <v>0.2</v>
      </c>
      <c r="U2828" s="338">
        <v>45720</v>
      </c>
      <c r="V2828" s="334">
        <v>46085</v>
      </c>
      <c r="W2828" s="27" t="s">
        <v>17</v>
      </c>
      <c r="X2828" s="27"/>
      <c r="Y2828" s="34">
        <f t="shared" ca="1" si="206"/>
        <v>46290</v>
      </c>
      <c r="Z2828" s="35">
        <f t="shared" ca="1" si="210"/>
        <v>-205</v>
      </c>
      <c r="AA2828" s="27">
        <f t="shared" si="208"/>
        <v>3</v>
      </c>
      <c r="AB2828" s="27">
        <f t="shared" si="209"/>
        <v>2026</v>
      </c>
      <c r="AC2828" s="28"/>
      <c r="AD2828" s="28"/>
      <c r="AE2828" s="27"/>
      <c r="AF2828" s="27" t="s">
        <v>356</v>
      </c>
      <c r="AG2828" s="160"/>
      <c r="AH2828" s="29" t="s">
        <v>12148</v>
      </c>
      <c r="AI2828" s="172"/>
      <c r="AJ2828" s="172"/>
      <c r="AK2828" s="172"/>
      <c r="AL2828" s="172"/>
      <c r="AM2828" s="172"/>
      <c r="AN2828" s="172"/>
      <c r="AO2828" s="172"/>
      <c r="AP2828" s="172"/>
      <c r="AQ2828" s="172"/>
      <c r="AR2828" s="479"/>
      <c r="AS2828" s="461"/>
      <c r="AT2828" s="160"/>
    </row>
    <row r="2829" spans="1:46" ht="15" customHeight="1">
      <c r="A2829" s="220">
        <v>2823</v>
      </c>
      <c r="B2829" s="88" t="s">
        <v>8717</v>
      </c>
      <c r="C2829" s="88" t="s">
        <v>8723</v>
      </c>
      <c r="D2829" s="434"/>
      <c r="E2829" s="113" t="str">
        <f t="shared" ca="1" si="211"/>
        <v>CRITICAL</v>
      </c>
      <c r="F2829" s="174"/>
      <c r="G2829" s="80" t="s">
        <v>8724</v>
      </c>
      <c r="H2829" s="29" t="s">
        <v>8588</v>
      </c>
      <c r="I2829" s="29" t="s">
        <v>511</v>
      </c>
      <c r="J2829" s="86" t="s">
        <v>8726</v>
      </c>
      <c r="K2829" s="36" t="s">
        <v>12152</v>
      </c>
      <c r="L2829" s="27"/>
      <c r="M2829" s="76" t="s">
        <v>365</v>
      </c>
      <c r="N2829" s="29"/>
      <c r="O2829" s="56"/>
      <c r="P2829" s="31">
        <v>240000000</v>
      </c>
      <c r="Q2829" s="31"/>
      <c r="R2829" s="27"/>
      <c r="S2829" s="32"/>
      <c r="T2829" s="79">
        <v>0.2</v>
      </c>
      <c r="U2829" s="338">
        <v>45720</v>
      </c>
      <c r="V2829" s="334">
        <v>46085</v>
      </c>
      <c r="W2829" s="27" t="s">
        <v>17</v>
      </c>
      <c r="X2829" s="27"/>
      <c r="Y2829" s="34">
        <f t="shared" ca="1" si="206"/>
        <v>46290</v>
      </c>
      <c r="Z2829" s="35">
        <f t="shared" ca="1" si="210"/>
        <v>-205</v>
      </c>
      <c r="AA2829" s="27">
        <f t="shared" si="208"/>
        <v>3</v>
      </c>
      <c r="AB2829" s="27">
        <f t="shared" si="209"/>
        <v>2026</v>
      </c>
      <c r="AC2829" s="28"/>
      <c r="AD2829" s="28"/>
      <c r="AE2829" s="27"/>
      <c r="AF2829" s="27" t="s">
        <v>356</v>
      </c>
      <c r="AG2829" s="160"/>
      <c r="AH2829" s="29" t="s">
        <v>12148</v>
      </c>
      <c r="AI2829" s="172"/>
      <c r="AJ2829" s="172"/>
      <c r="AK2829" s="172"/>
      <c r="AL2829" s="172"/>
      <c r="AM2829" s="172"/>
      <c r="AN2829" s="172"/>
      <c r="AO2829" s="172"/>
      <c r="AP2829" s="172"/>
      <c r="AQ2829" s="172"/>
      <c r="AR2829" s="479"/>
      <c r="AS2829" s="461"/>
      <c r="AT2829" s="160"/>
    </row>
    <row r="2830" spans="1:46" ht="15" customHeight="1">
      <c r="A2830" s="220">
        <v>2824</v>
      </c>
      <c r="B2830" s="88" t="s">
        <v>8717</v>
      </c>
      <c r="C2830" s="88" t="s">
        <v>8727</v>
      </c>
      <c r="D2830" s="434"/>
      <c r="E2830" s="113" t="str">
        <f t="shared" ca="1" si="211"/>
        <v>CRITICAL</v>
      </c>
      <c r="F2830" s="174"/>
      <c r="G2830" s="80" t="s">
        <v>8728</v>
      </c>
      <c r="H2830" s="29" t="s">
        <v>8588</v>
      </c>
      <c r="I2830" s="29" t="s">
        <v>511</v>
      </c>
      <c r="J2830" s="86" t="s">
        <v>8729</v>
      </c>
      <c r="K2830" s="36" t="s">
        <v>12153</v>
      </c>
      <c r="L2830" s="27"/>
      <c r="M2830" s="76" t="s">
        <v>12154</v>
      </c>
      <c r="N2830" s="29"/>
      <c r="O2830" s="56"/>
      <c r="P2830" s="31">
        <f>46900000*12</f>
        <v>562800000</v>
      </c>
      <c r="Q2830" s="31"/>
      <c r="R2830" s="27"/>
      <c r="S2830" s="32"/>
      <c r="T2830" s="79">
        <v>0.2</v>
      </c>
      <c r="U2830" s="338">
        <v>45720</v>
      </c>
      <c r="V2830" s="334">
        <v>46085</v>
      </c>
      <c r="W2830" s="27" t="s">
        <v>17</v>
      </c>
      <c r="X2830" s="27"/>
      <c r="Y2830" s="34">
        <f t="shared" ca="1" si="206"/>
        <v>46290</v>
      </c>
      <c r="Z2830" s="35">
        <f t="shared" ca="1" si="210"/>
        <v>-205</v>
      </c>
      <c r="AA2830" s="27">
        <f t="shared" si="208"/>
        <v>3</v>
      </c>
      <c r="AB2830" s="27">
        <f t="shared" si="209"/>
        <v>2026</v>
      </c>
      <c r="AC2830" s="28"/>
      <c r="AD2830" s="28"/>
      <c r="AE2830" s="27"/>
      <c r="AF2830" s="27" t="s">
        <v>356</v>
      </c>
      <c r="AG2830" s="160"/>
      <c r="AH2830" s="29" t="s">
        <v>12148</v>
      </c>
      <c r="AI2830" s="172"/>
      <c r="AJ2830" s="172"/>
      <c r="AK2830" s="172"/>
      <c r="AL2830" s="172"/>
      <c r="AM2830" s="172"/>
      <c r="AN2830" s="172"/>
      <c r="AO2830" s="172"/>
      <c r="AP2830" s="172"/>
      <c r="AQ2830" s="172"/>
      <c r="AR2830" s="479"/>
      <c r="AS2830" s="461"/>
      <c r="AT2830" s="160"/>
    </row>
    <row r="2831" spans="1:46" ht="15" customHeight="1">
      <c r="A2831" s="220">
        <v>2825</v>
      </c>
      <c r="B2831" s="88" t="s">
        <v>8717</v>
      </c>
      <c r="C2831" s="88" t="s">
        <v>8727</v>
      </c>
      <c r="D2831" s="434"/>
      <c r="E2831" s="113" t="str">
        <f t="shared" si="211"/>
        <v>ON TRACK</v>
      </c>
      <c r="F2831" s="174"/>
      <c r="G2831" s="80" t="s">
        <v>8728</v>
      </c>
      <c r="H2831" s="29" t="s">
        <v>8588</v>
      </c>
      <c r="I2831" s="29" t="s">
        <v>511</v>
      </c>
      <c r="J2831" s="173"/>
      <c r="K2831" s="180" t="s">
        <v>12155</v>
      </c>
      <c r="L2831" s="172"/>
      <c r="M2831" s="172" t="s">
        <v>12156</v>
      </c>
      <c r="N2831" s="174"/>
      <c r="O2831" s="176"/>
      <c r="P2831" s="175">
        <f>46900000*12</f>
        <v>562800000</v>
      </c>
      <c r="Q2831" s="175"/>
      <c r="R2831" s="176"/>
      <c r="S2831" s="177"/>
      <c r="T2831" s="79">
        <v>0.2</v>
      </c>
      <c r="U2831" s="338">
        <v>45720</v>
      </c>
      <c r="V2831" s="334">
        <v>46085</v>
      </c>
      <c r="W2831" s="27" t="s">
        <v>17</v>
      </c>
      <c r="X2831" s="172"/>
      <c r="Y2831" s="178">
        <v>46009</v>
      </c>
      <c r="Z2831" s="35">
        <f t="shared" si="210"/>
        <v>76</v>
      </c>
      <c r="AA2831" s="27">
        <f t="shared" si="208"/>
        <v>3</v>
      </c>
      <c r="AB2831" s="27">
        <f t="shared" si="209"/>
        <v>2026</v>
      </c>
      <c r="AC2831" s="173"/>
      <c r="AD2831" s="173"/>
      <c r="AE2831" s="172"/>
      <c r="AF2831" s="27" t="s">
        <v>356</v>
      </c>
      <c r="AG2831" s="160"/>
      <c r="AH2831" s="29" t="s">
        <v>12148</v>
      </c>
      <c r="AI2831" s="172"/>
      <c r="AJ2831" s="172"/>
      <c r="AK2831" s="172"/>
      <c r="AL2831" s="172"/>
      <c r="AM2831" s="172"/>
      <c r="AN2831" s="172"/>
      <c r="AO2831" s="172"/>
      <c r="AP2831" s="172"/>
      <c r="AQ2831" s="172"/>
      <c r="AR2831" s="479"/>
      <c r="AS2831" s="461"/>
      <c r="AT2831" s="160"/>
    </row>
    <row r="2832" spans="1:46" ht="15" customHeight="1">
      <c r="A2832" s="220">
        <v>2826</v>
      </c>
      <c r="B2832" s="88" t="s">
        <v>8717</v>
      </c>
      <c r="C2832" s="88" t="s">
        <v>8727</v>
      </c>
      <c r="D2832" s="434"/>
      <c r="E2832" s="113" t="str">
        <f t="shared" ca="1" si="211"/>
        <v>CRITICAL</v>
      </c>
      <c r="F2832" s="174"/>
      <c r="G2832" s="80" t="s">
        <v>8728</v>
      </c>
      <c r="H2832" s="29" t="s">
        <v>8588</v>
      </c>
      <c r="I2832" s="29" t="s">
        <v>511</v>
      </c>
      <c r="J2832" s="89" t="s">
        <v>8730</v>
      </c>
      <c r="K2832" s="36" t="s">
        <v>12157</v>
      </c>
      <c r="L2832" s="27"/>
      <c r="M2832" s="76" t="s">
        <v>12158</v>
      </c>
      <c r="N2832" s="29"/>
      <c r="O2832" s="56"/>
      <c r="P2832" s="31">
        <f>63000000*12</f>
        <v>756000000</v>
      </c>
      <c r="Q2832" s="31"/>
      <c r="R2832" s="27"/>
      <c r="S2832" s="32"/>
      <c r="T2832" s="79">
        <v>0.2</v>
      </c>
      <c r="U2832" s="338">
        <v>45720</v>
      </c>
      <c r="V2832" s="334">
        <v>46085</v>
      </c>
      <c r="W2832" s="27" t="s">
        <v>17</v>
      </c>
      <c r="X2832" s="27"/>
      <c r="Y2832" s="34">
        <f ca="1">TODAY()</f>
        <v>46290</v>
      </c>
      <c r="Z2832" s="35">
        <f t="shared" ca="1" si="210"/>
        <v>-205</v>
      </c>
      <c r="AA2832" s="27">
        <f t="shared" si="208"/>
        <v>3</v>
      </c>
      <c r="AB2832" s="27">
        <f t="shared" si="209"/>
        <v>2026</v>
      </c>
      <c r="AC2832" s="28"/>
      <c r="AD2832" s="28"/>
      <c r="AE2832" s="27"/>
      <c r="AF2832" s="27" t="s">
        <v>356</v>
      </c>
      <c r="AG2832" s="160"/>
      <c r="AH2832" s="29" t="s">
        <v>12148</v>
      </c>
      <c r="AI2832" s="172"/>
      <c r="AJ2832" s="172"/>
      <c r="AK2832" s="172"/>
      <c r="AL2832" s="172"/>
      <c r="AM2832" s="172"/>
      <c r="AN2832" s="172"/>
      <c r="AO2832" s="172"/>
      <c r="AP2832" s="172"/>
      <c r="AQ2832" s="172"/>
      <c r="AR2832" s="479"/>
      <c r="AS2832" s="461"/>
      <c r="AT2832" s="160"/>
    </row>
    <row r="2833" spans="1:46" ht="15" customHeight="1">
      <c r="A2833" s="220">
        <v>2827</v>
      </c>
      <c r="B2833" s="88" t="s">
        <v>8717</v>
      </c>
      <c r="C2833" s="88" t="s">
        <v>8727</v>
      </c>
      <c r="D2833" s="434"/>
      <c r="E2833" s="113" t="str">
        <f t="shared" si="211"/>
        <v>ON TRACK</v>
      </c>
      <c r="F2833" s="174"/>
      <c r="G2833" s="80" t="s">
        <v>8728</v>
      </c>
      <c r="H2833" s="29" t="s">
        <v>8588</v>
      </c>
      <c r="I2833" s="29" t="s">
        <v>511</v>
      </c>
      <c r="J2833" s="173"/>
      <c r="K2833" s="180" t="s">
        <v>12159</v>
      </c>
      <c r="L2833" s="172"/>
      <c r="M2833" s="172" t="s">
        <v>12160</v>
      </c>
      <c r="N2833" s="174"/>
      <c r="O2833" s="176"/>
      <c r="P2833" s="175">
        <f>63000000*12</f>
        <v>756000000</v>
      </c>
      <c r="Q2833" s="175"/>
      <c r="R2833" s="176"/>
      <c r="S2833" s="177"/>
      <c r="T2833" s="79">
        <v>0.2</v>
      </c>
      <c r="U2833" s="338">
        <v>45720</v>
      </c>
      <c r="V2833" s="334">
        <v>46085</v>
      </c>
      <c r="W2833" s="27" t="s">
        <v>17</v>
      </c>
      <c r="X2833" s="172"/>
      <c r="Y2833" s="178">
        <v>46009</v>
      </c>
      <c r="Z2833" s="35">
        <f t="shared" si="210"/>
        <v>76</v>
      </c>
      <c r="AA2833" s="27">
        <f t="shared" si="208"/>
        <v>3</v>
      </c>
      <c r="AB2833" s="27">
        <f t="shared" si="209"/>
        <v>2026</v>
      </c>
      <c r="AC2833" s="173"/>
      <c r="AD2833" s="173"/>
      <c r="AE2833" s="172"/>
      <c r="AF2833" s="27" t="s">
        <v>356</v>
      </c>
      <c r="AG2833" s="160"/>
      <c r="AH2833" s="29" t="s">
        <v>12148</v>
      </c>
      <c r="AI2833" s="172"/>
      <c r="AJ2833" s="172"/>
      <c r="AK2833" s="172"/>
      <c r="AL2833" s="172"/>
      <c r="AM2833" s="172"/>
      <c r="AN2833" s="172"/>
      <c r="AO2833" s="172"/>
      <c r="AP2833" s="172"/>
      <c r="AQ2833" s="172"/>
      <c r="AR2833" s="479"/>
      <c r="AS2833" s="461"/>
      <c r="AT2833" s="160"/>
    </row>
    <row r="2834" spans="1:46" ht="15" customHeight="1">
      <c r="A2834" s="220">
        <v>2828</v>
      </c>
      <c r="B2834" s="88" t="s">
        <v>8717</v>
      </c>
      <c r="C2834" s="88" t="s">
        <v>8731</v>
      </c>
      <c r="D2834" s="434"/>
      <c r="E2834" s="113" t="str">
        <f t="shared" ca="1" si="211"/>
        <v>CRITICAL</v>
      </c>
      <c r="F2834" s="174"/>
      <c r="G2834" s="80" t="s">
        <v>8728</v>
      </c>
      <c r="H2834" s="29" t="s">
        <v>8588</v>
      </c>
      <c r="I2834" s="29" t="s">
        <v>511</v>
      </c>
      <c r="J2834" s="86" t="s">
        <v>8732</v>
      </c>
      <c r="K2834" s="36" t="s">
        <v>12161</v>
      </c>
      <c r="L2834" s="27"/>
      <c r="M2834" s="76" t="s">
        <v>8733</v>
      </c>
      <c r="N2834" s="29"/>
      <c r="O2834" s="56"/>
      <c r="P2834" s="31">
        <f>89600000*12</f>
        <v>1075200000</v>
      </c>
      <c r="Q2834" s="31"/>
      <c r="R2834" s="27"/>
      <c r="S2834" s="32"/>
      <c r="T2834" s="79">
        <v>0.2</v>
      </c>
      <c r="U2834" s="338">
        <v>45720</v>
      </c>
      <c r="V2834" s="334">
        <v>46085</v>
      </c>
      <c r="W2834" s="27" t="s">
        <v>17</v>
      </c>
      <c r="X2834" s="27"/>
      <c r="Y2834" s="34">
        <f t="shared" ref="Y2834:Y2865" ca="1" si="212">TODAY()</f>
        <v>46290</v>
      </c>
      <c r="Z2834" s="35">
        <f t="shared" ca="1" si="210"/>
        <v>-205</v>
      </c>
      <c r="AA2834" s="27">
        <f t="shared" si="208"/>
        <v>3</v>
      </c>
      <c r="AB2834" s="27">
        <f t="shared" si="209"/>
        <v>2026</v>
      </c>
      <c r="AC2834" s="28"/>
      <c r="AD2834" s="28"/>
      <c r="AE2834" s="27"/>
      <c r="AF2834" s="27" t="s">
        <v>356</v>
      </c>
      <c r="AG2834" s="160"/>
      <c r="AH2834" s="29" t="s">
        <v>12148</v>
      </c>
      <c r="AI2834" s="172"/>
      <c r="AJ2834" s="172"/>
      <c r="AK2834" s="172"/>
      <c r="AL2834" s="172"/>
      <c r="AM2834" s="172"/>
      <c r="AN2834" s="172"/>
      <c r="AO2834" s="172"/>
      <c r="AP2834" s="172"/>
      <c r="AQ2834" s="172"/>
      <c r="AR2834" s="479"/>
      <c r="AS2834" s="461"/>
      <c r="AT2834" s="160"/>
    </row>
    <row r="2835" spans="1:46" ht="15" customHeight="1">
      <c r="A2835" s="220">
        <v>2829</v>
      </c>
      <c r="B2835" s="88" t="s">
        <v>8717</v>
      </c>
      <c r="C2835" s="88" t="s">
        <v>8734</v>
      </c>
      <c r="D2835" s="434"/>
      <c r="E2835" s="113" t="str">
        <f t="shared" ca="1" si="211"/>
        <v>CRITICAL</v>
      </c>
      <c r="F2835" s="174"/>
      <c r="G2835" s="80" t="s">
        <v>8728</v>
      </c>
      <c r="H2835" s="29" t="s">
        <v>8588</v>
      </c>
      <c r="I2835" s="29" t="s">
        <v>511</v>
      </c>
      <c r="J2835" s="86" t="s">
        <v>8735</v>
      </c>
      <c r="K2835" s="36" t="s">
        <v>12162</v>
      </c>
      <c r="L2835" s="27"/>
      <c r="M2835" s="76" t="s">
        <v>329</v>
      </c>
      <c r="N2835" s="29"/>
      <c r="O2835" s="56"/>
      <c r="P2835" s="31">
        <v>120000000</v>
      </c>
      <c r="Q2835" s="31"/>
      <c r="R2835" s="27"/>
      <c r="S2835" s="32"/>
      <c r="T2835" s="79">
        <v>0.2</v>
      </c>
      <c r="U2835" s="338">
        <v>45720</v>
      </c>
      <c r="V2835" s="334">
        <v>46085</v>
      </c>
      <c r="W2835" s="27" t="s">
        <v>17</v>
      </c>
      <c r="X2835" s="27"/>
      <c r="Y2835" s="34">
        <f t="shared" ca="1" si="212"/>
        <v>46290</v>
      </c>
      <c r="Z2835" s="35">
        <f t="shared" ca="1" si="210"/>
        <v>-205</v>
      </c>
      <c r="AA2835" s="27">
        <f t="shared" si="208"/>
        <v>3</v>
      </c>
      <c r="AB2835" s="27">
        <f t="shared" si="209"/>
        <v>2026</v>
      </c>
      <c r="AC2835" s="28"/>
      <c r="AD2835" s="28"/>
      <c r="AE2835" s="27"/>
      <c r="AF2835" s="27" t="s">
        <v>356</v>
      </c>
      <c r="AG2835" s="160"/>
      <c r="AH2835" s="29" t="s">
        <v>12148</v>
      </c>
      <c r="AI2835" s="172"/>
      <c r="AJ2835" s="172"/>
      <c r="AK2835" s="172"/>
      <c r="AL2835" s="172"/>
      <c r="AM2835" s="172"/>
      <c r="AN2835" s="172"/>
      <c r="AO2835" s="172"/>
      <c r="AP2835" s="172"/>
      <c r="AQ2835" s="172"/>
      <c r="AR2835" s="479"/>
      <c r="AS2835" s="461"/>
      <c r="AT2835" s="160"/>
    </row>
    <row r="2836" spans="1:46" ht="15" hidden="1" customHeight="1">
      <c r="A2836" s="220">
        <v>2830</v>
      </c>
      <c r="B2836" s="173" t="s">
        <v>37</v>
      </c>
      <c r="C2836" s="173" t="s">
        <v>10731</v>
      </c>
      <c r="D2836" s="438" t="s">
        <v>11045</v>
      </c>
      <c r="E2836" s="113" t="str">
        <f t="shared" ca="1" si="211"/>
        <v>CRITICAL</v>
      </c>
      <c r="F2836" s="174"/>
      <c r="G2836" s="421" t="s">
        <v>12163</v>
      </c>
      <c r="H2836" s="174" t="s">
        <v>261</v>
      </c>
      <c r="I2836" s="174" t="s">
        <v>243</v>
      </c>
      <c r="J2836" s="173" t="s">
        <v>12164</v>
      </c>
      <c r="K2836" s="174" t="s">
        <v>12165</v>
      </c>
      <c r="L2836" s="191">
        <v>0.995</v>
      </c>
      <c r="M2836" s="172" t="s">
        <v>6776</v>
      </c>
      <c r="N2836" s="172" t="s">
        <v>12166</v>
      </c>
      <c r="O2836" s="176"/>
      <c r="P2836" s="175">
        <f>12*30000000</f>
        <v>360000000</v>
      </c>
      <c r="Q2836" s="175"/>
      <c r="R2836" s="176"/>
      <c r="S2836" s="177">
        <f>12*15000000</f>
        <v>180000000</v>
      </c>
      <c r="T2836" s="178"/>
      <c r="U2836" s="347">
        <v>45810</v>
      </c>
      <c r="V2836" s="347">
        <v>46174</v>
      </c>
      <c r="W2836" s="172" t="s">
        <v>17</v>
      </c>
      <c r="X2836" s="172"/>
      <c r="Y2836" s="178">
        <f t="shared" ca="1" si="212"/>
        <v>46290</v>
      </c>
      <c r="Z2836" s="207">
        <f t="shared" ca="1" si="210"/>
        <v>-116</v>
      </c>
      <c r="AA2836" s="27">
        <f t="shared" si="208"/>
        <v>6</v>
      </c>
      <c r="AB2836" s="158">
        <f t="shared" si="209"/>
        <v>2026</v>
      </c>
      <c r="AC2836" s="173"/>
      <c r="AD2836" s="429" t="s">
        <v>12167</v>
      </c>
      <c r="AE2836" s="172">
        <v>4500026876</v>
      </c>
      <c r="AF2836" s="179" t="s">
        <v>8995</v>
      </c>
      <c r="AG2836" s="160"/>
      <c r="AH2836" s="174" t="s">
        <v>6656</v>
      </c>
      <c r="AI2836" s="172"/>
      <c r="AJ2836" s="172"/>
      <c r="AK2836" s="172"/>
      <c r="AL2836" s="172"/>
      <c r="AM2836" s="172"/>
      <c r="AN2836" s="172"/>
      <c r="AO2836" s="172"/>
      <c r="AP2836" s="172"/>
      <c r="AQ2836" s="172">
        <v>178</v>
      </c>
      <c r="AR2836" s="479"/>
      <c r="AS2836" s="461"/>
      <c r="AT2836" s="160"/>
    </row>
    <row r="2837" spans="1:46" ht="15" hidden="1" customHeight="1">
      <c r="A2837" s="220">
        <v>2831</v>
      </c>
      <c r="B2837" s="173" t="s">
        <v>2593</v>
      </c>
      <c r="C2837" s="159" t="s">
        <v>10007</v>
      </c>
      <c r="D2837" s="437" t="s">
        <v>5505</v>
      </c>
      <c r="E2837" s="113" t="str">
        <f t="shared" ca="1" si="211"/>
        <v>CRITICAL</v>
      </c>
      <c r="F2837" s="174"/>
      <c r="G2837" s="159" t="s">
        <v>10008</v>
      </c>
      <c r="H2837" s="160" t="s">
        <v>2748</v>
      </c>
      <c r="I2837" s="160" t="s">
        <v>346</v>
      </c>
      <c r="J2837" s="159" t="s">
        <v>10009</v>
      </c>
      <c r="K2837" s="174"/>
      <c r="L2837" s="172"/>
      <c r="M2837" s="158" t="s">
        <v>353</v>
      </c>
      <c r="N2837" s="158" t="s">
        <v>389</v>
      </c>
      <c r="O2837" s="176"/>
      <c r="P2837" s="161">
        <f>13750000*12</f>
        <v>165000000</v>
      </c>
      <c r="Q2837" s="175"/>
      <c r="R2837" s="176"/>
      <c r="S2837" s="177"/>
      <c r="T2837" s="178"/>
      <c r="U2837" s="340">
        <v>45874</v>
      </c>
      <c r="V2837" s="340">
        <v>46238</v>
      </c>
      <c r="W2837" s="158" t="s">
        <v>17</v>
      </c>
      <c r="X2837" s="172"/>
      <c r="Y2837" s="34">
        <f t="shared" ca="1" si="212"/>
        <v>46290</v>
      </c>
      <c r="Z2837" s="35">
        <f t="shared" ca="1" si="210"/>
        <v>-52</v>
      </c>
      <c r="AA2837" s="158">
        <f t="shared" si="208"/>
        <v>8</v>
      </c>
      <c r="AB2837" s="158">
        <f t="shared" si="209"/>
        <v>2026</v>
      </c>
      <c r="AC2837" s="159" t="s">
        <v>12168</v>
      </c>
      <c r="AD2837" s="173" t="s">
        <v>12169</v>
      </c>
      <c r="AE2837" s="172">
        <v>4500026941</v>
      </c>
      <c r="AF2837" s="179" t="s">
        <v>339</v>
      </c>
      <c r="AG2837" s="160"/>
      <c r="AH2837" s="174"/>
      <c r="AI2837" s="172"/>
      <c r="AJ2837" s="172"/>
      <c r="AK2837" s="172"/>
      <c r="AL2837" s="172"/>
      <c r="AM2837" s="172"/>
      <c r="AN2837" s="172"/>
      <c r="AO2837" s="172"/>
      <c r="AP2837" s="172"/>
      <c r="AQ2837" s="172">
        <v>430</v>
      </c>
      <c r="AR2837" s="479"/>
      <c r="AS2837" s="461"/>
      <c r="AT2837" s="160"/>
    </row>
    <row r="2838" spans="1:46" ht="15" hidden="1" customHeight="1">
      <c r="A2838" s="220">
        <v>2832</v>
      </c>
      <c r="B2838" s="173" t="s">
        <v>2593</v>
      </c>
      <c r="C2838" s="159" t="s">
        <v>10007</v>
      </c>
      <c r="D2838" s="437" t="s">
        <v>5505</v>
      </c>
      <c r="E2838" s="113" t="str">
        <f t="shared" ca="1" si="211"/>
        <v>CRITICAL</v>
      </c>
      <c r="F2838" s="174"/>
      <c r="G2838" s="159" t="s">
        <v>10013</v>
      </c>
      <c r="H2838" s="160" t="s">
        <v>2748</v>
      </c>
      <c r="I2838" s="160" t="s">
        <v>346</v>
      </c>
      <c r="J2838" s="159">
        <v>1000295933</v>
      </c>
      <c r="K2838" s="174"/>
      <c r="L2838" s="172"/>
      <c r="M2838" s="158" t="s">
        <v>365</v>
      </c>
      <c r="N2838" s="158" t="s">
        <v>389</v>
      </c>
      <c r="O2838" s="176"/>
      <c r="P2838" s="161">
        <f>13750000*12</f>
        <v>165000000</v>
      </c>
      <c r="Q2838" s="175"/>
      <c r="R2838" s="176"/>
      <c r="S2838" s="177"/>
      <c r="T2838" s="178"/>
      <c r="U2838" s="340">
        <v>45867</v>
      </c>
      <c r="V2838" s="340">
        <v>46231</v>
      </c>
      <c r="W2838" s="158" t="s">
        <v>17</v>
      </c>
      <c r="X2838" s="172"/>
      <c r="Y2838" s="34">
        <f t="shared" ca="1" si="212"/>
        <v>46290</v>
      </c>
      <c r="Z2838" s="35">
        <f t="shared" ca="1" si="210"/>
        <v>-59</v>
      </c>
      <c r="AA2838" s="158">
        <f t="shared" si="208"/>
        <v>7</v>
      </c>
      <c r="AB2838" s="158">
        <f t="shared" si="209"/>
        <v>2026</v>
      </c>
      <c r="AC2838" s="159" t="s">
        <v>12170</v>
      </c>
      <c r="AD2838" s="173" t="s">
        <v>12171</v>
      </c>
      <c r="AE2838" s="172">
        <v>4500026940</v>
      </c>
      <c r="AF2838" s="179" t="s">
        <v>339</v>
      </c>
      <c r="AG2838" s="160"/>
      <c r="AH2838" s="174"/>
      <c r="AI2838" s="172"/>
      <c r="AJ2838" s="172"/>
      <c r="AK2838" s="172"/>
      <c r="AL2838" s="172"/>
      <c r="AM2838" s="172"/>
      <c r="AN2838" s="172"/>
      <c r="AO2838" s="172"/>
      <c r="AP2838" s="172"/>
      <c r="AQ2838" s="172">
        <v>432</v>
      </c>
      <c r="AR2838" s="479"/>
      <c r="AS2838" s="461"/>
      <c r="AT2838" s="160"/>
    </row>
    <row r="2839" spans="1:46" ht="15" hidden="1" customHeight="1">
      <c r="A2839" s="220">
        <v>2833</v>
      </c>
      <c r="B2839" s="173" t="s">
        <v>11178</v>
      </c>
      <c r="C2839" s="173" t="s">
        <v>2689</v>
      </c>
      <c r="D2839" s="434" t="s">
        <v>11179</v>
      </c>
      <c r="E2839" s="113" t="str">
        <f t="shared" ca="1" si="211"/>
        <v>WARNING</v>
      </c>
      <c r="F2839" s="174"/>
      <c r="G2839" s="159" t="s">
        <v>11179</v>
      </c>
      <c r="H2839" s="160" t="s">
        <v>2748</v>
      </c>
      <c r="I2839" s="160" t="s">
        <v>346</v>
      </c>
      <c r="J2839" s="173"/>
      <c r="K2839" s="181" t="s">
        <v>11180</v>
      </c>
      <c r="L2839" s="172"/>
      <c r="M2839" s="158" t="s">
        <v>11181</v>
      </c>
      <c r="N2839" s="174"/>
      <c r="O2839" s="176"/>
      <c r="P2839" s="161">
        <f>11239500*12</f>
        <v>134874000</v>
      </c>
      <c r="Q2839" s="175"/>
      <c r="R2839" s="176"/>
      <c r="S2839" s="177">
        <v>59199000</v>
      </c>
      <c r="T2839" s="178"/>
      <c r="U2839" s="340">
        <v>45930</v>
      </c>
      <c r="V2839" s="340">
        <v>46296</v>
      </c>
      <c r="W2839" s="27" t="s">
        <v>17</v>
      </c>
      <c r="X2839" s="172"/>
      <c r="Y2839" s="164">
        <f t="shared" ca="1" si="212"/>
        <v>46290</v>
      </c>
      <c r="Z2839" s="35">
        <f t="shared" ca="1" si="210"/>
        <v>6</v>
      </c>
      <c r="AA2839" s="158">
        <f>MONTH(Table1[[#This Row],[End]])</f>
        <v>10</v>
      </c>
      <c r="AB2839" s="158">
        <f>YEAR(Table1[[#This Row],[End]])</f>
        <v>2026</v>
      </c>
      <c r="AC2839" s="159" t="s">
        <v>12172</v>
      </c>
      <c r="AD2839" s="173" t="s">
        <v>12173</v>
      </c>
      <c r="AE2839" s="172">
        <v>4500026707</v>
      </c>
      <c r="AF2839" s="179" t="s">
        <v>339</v>
      </c>
      <c r="AG2839" s="160"/>
      <c r="AH2839" s="174"/>
      <c r="AI2839" s="172"/>
      <c r="AJ2839" s="172"/>
      <c r="AK2839" s="172"/>
      <c r="AL2839" s="172"/>
      <c r="AM2839" s="172"/>
      <c r="AN2839" s="172"/>
      <c r="AO2839" s="172"/>
      <c r="AP2839" s="172"/>
      <c r="AQ2839" s="172">
        <v>429</v>
      </c>
      <c r="AR2839" s="479"/>
      <c r="AS2839" s="461"/>
      <c r="AT2839" s="160"/>
    </row>
    <row r="2840" spans="1:46" ht="15" hidden="1" customHeight="1">
      <c r="A2840" s="220">
        <v>2834</v>
      </c>
      <c r="B2840" s="173" t="s">
        <v>1035</v>
      </c>
      <c r="C2840" s="173" t="s">
        <v>12174</v>
      </c>
      <c r="D2840" s="438" t="s">
        <v>7567</v>
      </c>
      <c r="E2840" s="113" t="str">
        <f t="shared" ca="1" si="211"/>
        <v>CRITICAL</v>
      </c>
      <c r="F2840" s="29" t="s">
        <v>8391</v>
      </c>
      <c r="G2840" s="28" t="s">
        <v>12175</v>
      </c>
      <c r="H2840" s="29" t="s">
        <v>2748</v>
      </c>
      <c r="I2840" s="29" t="s">
        <v>346</v>
      </c>
      <c r="J2840" s="173"/>
      <c r="K2840" s="455" t="s">
        <v>12176</v>
      </c>
      <c r="L2840" s="172"/>
      <c r="M2840" s="172"/>
      <c r="N2840" s="174"/>
      <c r="O2840" s="176"/>
      <c r="P2840" s="175">
        <f>2950200*12</f>
        <v>35402400</v>
      </c>
      <c r="Q2840" s="175"/>
      <c r="R2840" s="176"/>
      <c r="S2840" s="177">
        <v>7344000</v>
      </c>
      <c r="T2840" s="178"/>
      <c r="U2840" s="334">
        <v>45559</v>
      </c>
      <c r="V2840" s="334">
        <v>46288</v>
      </c>
      <c r="W2840" s="27" t="s">
        <v>17</v>
      </c>
      <c r="X2840" s="172"/>
      <c r="Y2840" s="34">
        <f t="shared" ca="1" si="212"/>
        <v>46290</v>
      </c>
      <c r="Z2840" s="35">
        <f t="shared" ca="1" si="210"/>
        <v>-2</v>
      </c>
      <c r="AA2840" s="27">
        <f>MONTH(V2840)</f>
        <v>9</v>
      </c>
      <c r="AB2840" s="27">
        <f>YEAR(V2840)</f>
        <v>2026</v>
      </c>
      <c r="AC2840" s="173">
        <v>4500026777</v>
      </c>
      <c r="AD2840" s="173" t="s">
        <v>12177</v>
      </c>
      <c r="AE2840" s="172">
        <v>4500026982</v>
      </c>
      <c r="AF2840" s="179" t="s">
        <v>339</v>
      </c>
      <c r="AG2840" s="160"/>
      <c r="AH2840" s="174"/>
      <c r="AI2840" s="172"/>
      <c r="AJ2840" s="172"/>
      <c r="AK2840" s="172"/>
      <c r="AL2840" s="172"/>
      <c r="AM2840" s="172"/>
      <c r="AN2840" s="172"/>
      <c r="AO2840" s="172"/>
      <c r="AP2840" s="172"/>
      <c r="AQ2840" s="172">
        <v>409</v>
      </c>
      <c r="AR2840" s="479"/>
      <c r="AS2840" s="461"/>
      <c r="AT2840" s="160"/>
    </row>
    <row r="2841" spans="1:46" ht="15" hidden="1" customHeight="1">
      <c r="A2841" s="220">
        <v>2835</v>
      </c>
      <c r="B2841" s="173" t="s">
        <v>1035</v>
      </c>
      <c r="C2841" s="173" t="s">
        <v>11082</v>
      </c>
      <c r="D2841" s="438" t="s">
        <v>7567</v>
      </c>
      <c r="E2841" s="113" t="str">
        <f t="shared" ca="1" si="211"/>
        <v>CRITICAL</v>
      </c>
      <c r="F2841" s="29" t="s">
        <v>8391</v>
      </c>
      <c r="G2841" s="28" t="s">
        <v>8392</v>
      </c>
      <c r="H2841" s="29" t="s">
        <v>2748</v>
      </c>
      <c r="I2841" s="29" t="s">
        <v>346</v>
      </c>
      <c r="J2841" s="173"/>
      <c r="K2841" s="455" t="s">
        <v>12176</v>
      </c>
      <c r="L2841" s="172"/>
      <c r="M2841" s="172"/>
      <c r="N2841" s="174"/>
      <c r="O2841" s="176"/>
      <c r="P2841" s="175">
        <f>2950200*12</f>
        <v>35402400</v>
      </c>
      <c r="Q2841" s="175"/>
      <c r="R2841" s="176"/>
      <c r="S2841" s="177">
        <v>109080000</v>
      </c>
      <c r="T2841" s="178"/>
      <c r="U2841" s="334">
        <v>45488</v>
      </c>
      <c r="V2841" s="334">
        <v>46217</v>
      </c>
      <c r="W2841" s="27" t="s">
        <v>17</v>
      </c>
      <c r="X2841" s="172"/>
      <c r="Y2841" s="34">
        <f t="shared" ca="1" si="212"/>
        <v>46290</v>
      </c>
      <c r="Z2841" s="35">
        <f t="shared" ca="1" si="210"/>
        <v>-73</v>
      </c>
      <c r="AA2841" s="27">
        <f>MONTH(V2841)</f>
        <v>7</v>
      </c>
      <c r="AB2841" s="27">
        <f>YEAR(V2841)</f>
        <v>2026</v>
      </c>
      <c r="AC2841" s="173">
        <v>4500022195</v>
      </c>
      <c r="AD2841" s="173" t="s">
        <v>12178</v>
      </c>
      <c r="AE2841" s="172">
        <v>4500026984</v>
      </c>
      <c r="AF2841" s="179" t="s">
        <v>339</v>
      </c>
      <c r="AG2841" s="160"/>
      <c r="AH2841" s="174"/>
      <c r="AI2841" s="172"/>
      <c r="AJ2841" s="172"/>
      <c r="AK2841" s="172"/>
      <c r="AL2841" s="172"/>
      <c r="AM2841" s="172"/>
      <c r="AN2841" s="172"/>
      <c r="AO2841" s="172"/>
      <c r="AP2841" s="172"/>
      <c r="AQ2841" s="172">
        <v>410</v>
      </c>
      <c r="AR2841" s="479"/>
      <c r="AS2841" s="461"/>
      <c r="AT2841" s="160"/>
    </row>
    <row r="2842" spans="1:46" ht="15" hidden="1" customHeight="1">
      <c r="A2842" s="220">
        <v>2836</v>
      </c>
      <c r="B2842" s="173" t="s">
        <v>180</v>
      </c>
      <c r="C2842" s="173" t="s">
        <v>12179</v>
      </c>
      <c r="D2842" s="438" t="s">
        <v>2469</v>
      </c>
      <c r="E2842" s="113" t="str">
        <f t="shared" ca="1" si="211"/>
        <v>CRITICAL</v>
      </c>
      <c r="F2842" s="29" t="s">
        <v>5979</v>
      </c>
      <c r="G2842" s="28" t="s">
        <v>5980</v>
      </c>
      <c r="H2842" s="174" t="s">
        <v>327</v>
      </c>
      <c r="I2842" s="174" t="s">
        <v>346</v>
      </c>
      <c r="J2842" s="454" t="s">
        <v>12180</v>
      </c>
      <c r="K2842" s="174"/>
      <c r="L2842" s="172"/>
      <c r="M2842" s="172"/>
      <c r="N2842" s="174"/>
      <c r="O2842" s="176"/>
      <c r="P2842" s="175">
        <f>23288900*12</f>
        <v>279466800</v>
      </c>
      <c r="Q2842" s="175"/>
      <c r="R2842" s="176"/>
      <c r="S2842" s="32">
        <v>12000000</v>
      </c>
      <c r="T2842" s="178"/>
      <c r="U2842" s="334">
        <v>45677</v>
      </c>
      <c r="V2842" s="334">
        <v>46041</v>
      </c>
      <c r="W2842" s="27" t="s">
        <v>17</v>
      </c>
      <c r="X2842" s="172"/>
      <c r="Y2842" s="34">
        <f t="shared" ca="1" si="212"/>
        <v>46290</v>
      </c>
      <c r="Z2842" s="35">
        <f t="shared" ca="1" si="210"/>
        <v>-249</v>
      </c>
      <c r="AA2842" s="27">
        <f>MONTH(V2842)</f>
        <v>1</v>
      </c>
      <c r="AB2842" s="27">
        <f>YEAR(V2842)</f>
        <v>2026</v>
      </c>
      <c r="AC2842" s="173">
        <v>4500022521</v>
      </c>
      <c r="AD2842" s="173" t="s">
        <v>12181</v>
      </c>
      <c r="AE2842" s="172">
        <v>4500025057</v>
      </c>
      <c r="AF2842" s="179" t="s">
        <v>339</v>
      </c>
      <c r="AG2842" s="160"/>
      <c r="AH2842" s="174"/>
      <c r="AI2842" s="172"/>
      <c r="AJ2842" s="172"/>
      <c r="AK2842" s="172"/>
      <c r="AL2842" s="172"/>
      <c r="AM2842" s="172"/>
      <c r="AN2842" s="172"/>
      <c r="AO2842" s="172"/>
      <c r="AP2842" s="172"/>
      <c r="AQ2842" s="172">
        <v>431</v>
      </c>
      <c r="AR2842" s="479"/>
      <c r="AS2842" s="461"/>
      <c r="AT2842" s="160"/>
    </row>
    <row r="2843" spans="1:46" ht="15" hidden="1" customHeight="1">
      <c r="A2843" s="220">
        <v>2837</v>
      </c>
      <c r="B2843" s="173" t="s">
        <v>450</v>
      </c>
      <c r="C2843" s="159" t="s">
        <v>1000</v>
      </c>
      <c r="D2843" s="437" t="s">
        <v>452</v>
      </c>
      <c r="E2843" s="361" t="str">
        <f ca="1">IF(Z2843&lt;=0, "LOSS",IF(Z2843&lt;=15, "CRITICAL",IF(Z2843&lt;=30, "WARNING",IF(Z2843&lt;60, "ATTENTION", "ON TRACK"))))</f>
        <v>ON TRACK</v>
      </c>
      <c r="F2843" s="160"/>
      <c r="G2843" s="159" t="s">
        <v>10564</v>
      </c>
      <c r="H2843" s="160" t="s">
        <v>2748</v>
      </c>
      <c r="I2843" s="160" t="s">
        <v>242</v>
      </c>
      <c r="J2843" s="159"/>
      <c r="K2843" s="181" t="s">
        <v>10565</v>
      </c>
      <c r="L2843" s="158"/>
      <c r="M2843" s="158" t="s">
        <v>329</v>
      </c>
      <c r="N2843" s="158" t="s">
        <v>9995</v>
      </c>
      <c r="O2843" s="176"/>
      <c r="P2843" s="161">
        <f>2293202*12</f>
        <v>27518424</v>
      </c>
      <c r="Q2843" s="161"/>
      <c r="R2843" s="162"/>
      <c r="S2843" s="163">
        <v>12000000</v>
      </c>
      <c r="T2843" s="164"/>
      <c r="U2843" s="340">
        <v>46104</v>
      </c>
      <c r="V2843" s="340">
        <v>46468</v>
      </c>
      <c r="W2843" s="158" t="s">
        <v>17</v>
      </c>
      <c r="X2843" s="158"/>
      <c r="Y2843" s="34">
        <f t="shared" ca="1" si="212"/>
        <v>46290</v>
      </c>
      <c r="Z2843" s="35">
        <f t="shared" ca="1" si="210"/>
        <v>178</v>
      </c>
      <c r="AA2843" s="27">
        <f>MONTH(Table1[[#This Row],[End]])</f>
        <v>3</v>
      </c>
      <c r="AB2843" s="27">
        <f>YEAR(V2843)</f>
        <v>2027</v>
      </c>
      <c r="AC2843" s="159" t="s">
        <v>12182</v>
      </c>
      <c r="AD2843" s="159" t="s">
        <v>12183</v>
      </c>
      <c r="AE2843" s="469" t="s">
        <v>12184</v>
      </c>
      <c r="AF2843" s="27" t="s">
        <v>339</v>
      </c>
      <c r="AG2843" s="160"/>
      <c r="AH2843" s="160" t="s">
        <v>459</v>
      </c>
      <c r="AI2843" s="172"/>
      <c r="AJ2843" s="172"/>
      <c r="AK2843" s="172"/>
      <c r="AL2843" s="172"/>
      <c r="AM2843" s="172"/>
      <c r="AN2843" s="172"/>
      <c r="AO2843" s="172"/>
      <c r="AP2843" s="172"/>
      <c r="AQ2843" s="172"/>
      <c r="AR2843" s="479"/>
      <c r="AS2843" s="461">
        <v>14</v>
      </c>
      <c r="AT2843" s="160"/>
    </row>
    <row r="2844" spans="1:46" ht="15" hidden="1" customHeight="1">
      <c r="A2844" s="220">
        <v>2838</v>
      </c>
      <c r="B2844" s="173" t="s">
        <v>1592</v>
      </c>
      <c r="C2844" s="173" t="s">
        <v>2702</v>
      </c>
      <c r="D2844" s="437" t="s">
        <v>2186</v>
      </c>
      <c r="E2844" s="113" t="str">
        <f t="shared" ref="E2844:E2874" ca="1" si="213">IF(AND(Z2844&gt;=60, Z2844&lt;=3000), "ON TRACK",IF(AND(Z2844&gt;=36, Z2844&lt;=59), "ATTENTION",IF(AND(Z2844&gt;=1, Z2844&lt;=35), "WARNING",IF(AND(Z2844&gt;=-3000, Z2844&lt;=0), "CRITICAL", ""))))</f>
        <v>CRITICAL</v>
      </c>
      <c r="F2844" s="174" t="s">
        <v>12185</v>
      </c>
      <c r="G2844" s="173" t="s">
        <v>12186</v>
      </c>
      <c r="H2844" s="29" t="s">
        <v>2748</v>
      </c>
      <c r="I2844" s="160" t="s">
        <v>346</v>
      </c>
      <c r="J2844" s="173" t="s">
        <v>12187</v>
      </c>
      <c r="K2844" s="174"/>
      <c r="L2844" s="172"/>
      <c r="M2844" s="172" t="s">
        <v>365</v>
      </c>
      <c r="N2844" s="172" t="s">
        <v>406</v>
      </c>
      <c r="O2844" s="176"/>
      <c r="P2844" s="176">
        <f>6687500*12</f>
        <v>80250000</v>
      </c>
      <c r="Q2844" s="175"/>
      <c r="R2844" s="176"/>
      <c r="S2844" s="100">
        <v>40000000</v>
      </c>
      <c r="T2844" s="178"/>
      <c r="U2844" s="334">
        <v>45925</v>
      </c>
      <c r="V2844" s="334">
        <v>46289</v>
      </c>
      <c r="W2844" s="27" t="s">
        <v>17</v>
      </c>
      <c r="X2844" s="172"/>
      <c r="Y2844" s="34">
        <f t="shared" ca="1" si="212"/>
        <v>46290</v>
      </c>
      <c r="Z2844" s="35">
        <f t="shared" ref="Z2844:Z2875" ca="1" si="214">V2844-Y2844</f>
        <v>-1</v>
      </c>
      <c r="AA2844" s="27">
        <f>MONTH(V2844)</f>
        <v>9</v>
      </c>
      <c r="AB2844" s="27">
        <f>YEAR(V2844)</f>
        <v>2026</v>
      </c>
      <c r="AC2844" s="173">
        <v>4500023666</v>
      </c>
      <c r="AD2844" s="173" t="s">
        <v>12188</v>
      </c>
      <c r="AE2844" s="172">
        <v>4500026942</v>
      </c>
      <c r="AF2844" s="179" t="s">
        <v>339</v>
      </c>
      <c r="AG2844" s="160"/>
      <c r="AH2844" s="174"/>
      <c r="AI2844" s="172"/>
      <c r="AJ2844" s="172"/>
      <c r="AK2844" s="172"/>
      <c r="AL2844" s="172"/>
      <c r="AM2844" s="172"/>
      <c r="AN2844" s="172"/>
      <c r="AO2844" s="172"/>
      <c r="AP2844" s="172"/>
      <c r="AQ2844" s="172">
        <v>428</v>
      </c>
      <c r="AR2844" s="479"/>
      <c r="AS2844" s="461"/>
      <c r="AT2844" s="160"/>
    </row>
    <row r="2845" spans="1:46" ht="15" hidden="1" customHeight="1">
      <c r="A2845" s="220">
        <v>2839</v>
      </c>
      <c r="B2845" s="173" t="s">
        <v>169</v>
      </c>
      <c r="C2845" s="173" t="s">
        <v>2665</v>
      </c>
      <c r="D2845" s="438" t="s">
        <v>377</v>
      </c>
      <c r="E2845" s="113" t="str">
        <f t="shared" ca="1" si="213"/>
        <v>ON TRACK</v>
      </c>
      <c r="F2845" s="174"/>
      <c r="G2845" s="173" t="s">
        <v>12123</v>
      </c>
      <c r="H2845" s="174" t="s">
        <v>2748</v>
      </c>
      <c r="I2845" s="174" t="s">
        <v>242</v>
      </c>
      <c r="J2845" s="173"/>
      <c r="K2845" s="466">
        <v>110120522287</v>
      </c>
      <c r="L2845" s="172"/>
      <c r="M2845" s="172" t="s">
        <v>329</v>
      </c>
      <c r="N2845" s="174"/>
      <c r="O2845" s="176"/>
      <c r="P2845" s="175">
        <f>3200000*12</f>
        <v>38400000</v>
      </c>
      <c r="Q2845" s="175"/>
      <c r="R2845" s="176"/>
      <c r="S2845" s="177">
        <v>18000000</v>
      </c>
      <c r="T2845" s="178"/>
      <c r="U2845" s="340">
        <v>45986</v>
      </c>
      <c r="V2845" s="340">
        <v>46350</v>
      </c>
      <c r="W2845" s="158" t="s">
        <v>17</v>
      </c>
      <c r="X2845" s="172"/>
      <c r="Y2845" s="164">
        <f t="shared" ca="1" si="212"/>
        <v>46290</v>
      </c>
      <c r="Z2845" s="35">
        <f t="shared" ca="1" si="214"/>
        <v>60</v>
      </c>
      <c r="AA2845" s="158">
        <f>MONTH(Table1[[#This Row],[End]])</f>
        <v>11</v>
      </c>
      <c r="AB2845" s="158">
        <f>YEAR(Table1[[#This Row],[End]])</f>
        <v>2026</v>
      </c>
      <c r="AC2845" s="173" t="s">
        <v>3371</v>
      </c>
      <c r="AD2845" s="173" t="s">
        <v>12189</v>
      </c>
      <c r="AE2845" s="172">
        <v>4500026709</v>
      </c>
      <c r="AF2845" s="179" t="s">
        <v>339</v>
      </c>
      <c r="AG2845" s="160"/>
      <c r="AH2845" s="160" t="s">
        <v>381</v>
      </c>
      <c r="AI2845" s="172"/>
      <c r="AJ2845" s="172"/>
      <c r="AK2845" s="172"/>
      <c r="AL2845" s="172"/>
      <c r="AM2845" s="172"/>
      <c r="AN2845" s="172"/>
      <c r="AO2845" s="172"/>
      <c r="AP2845" s="172"/>
      <c r="AQ2845" s="172">
        <v>427</v>
      </c>
      <c r="AR2845" s="479"/>
      <c r="AS2845" s="461"/>
      <c r="AT2845" s="160"/>
    </row>
    <row r="2846" spans="1:46" ht="15" hidden="1" customHeight="1">
      <c r="A2846" s="220">
        <v>2840</v>
      </c>
      <c r="B2846" s="173" t="s">
        <v>114</v>
      </c>
      <c r="C2846" s="173" t="s">
        <v>342</v>
      </c>
      <c r="D2846" s="444" t="s">
        <v>335</v>
      </c>
      <c r="E2846" s="113" t="str">
        <f t="shared" ca="1" si="213"/>
        <v>CRITICAL</v>
      </c>
      <c r="F2846" s="174"/>
      <c r="G2846" s="173" t="s">
        <v>336</v>
      </c>
      <c r="H2846" s="160" t="s">
        <v>2748</v>
      </c>
      <c r="I2846" s="174" t="s">
        <v>242</v>
      </c>
      <c r="J2846" s="173"/>
      <c r="K2846" s="174"/>
      <c r="L2846" s="172"/>
      <c r="M2846" s="172" t="s">
        <v>337</v>
      </c>
      <c r="N2846" s="174"/>
      <c r="O2846" s="176"/>
      <c r="P2846" s="175"/>
      <c r="Q2846" s="175"/>
      <c r="R2846" s="176"/>
      <c r="S2846" s="177">
        <v>317500000</v>
      </c>
      <c r="T2846" s="178"/>
      <c r="U2846" s="334">
        <v>45658</v>
      </c>
      <c r="V2846" s="334">
        <v>46022</v>
      </c>
      <c r="W2846" s="158" t="s">
        <v>17</v>
      </c>
      <c r="X2846" s="172"/>
      <c r="Y2846" s="34">
        <f t="shared" ca="1" si="212"/>
        <v>46290</v>
      </c>
      <c r="Z2846" s="35">
        <f t="shared" ca="1" si="214"/>
        <v>-268</v>
      </c>
      <c r="AA2846" s="27">
        <f>MONTH(Table1[[#This Row],[End]])</f>
        <v>12</v>
      </c>
      <c r="AB2846" s="27">
        <f>YEAR(V2846)</f>
        <v>2025</v>
      </c>
      <c r="AC2846" s="159">
        <v>4500022782</v>
      </c>
      <c r="AD2846" s="173" t="s">
        <v>343</v>
      </c>
      <c r="AE2846" s="158">
        <v>4500026965</v>
      </c>
      <c r="AF2846" s="179" t="s">
        <v>339</v>
      </c>
      <c r="AG2846" s="160"/>
      <c r="AH2846" s="160" t="s">
        <v>12106</v>
      </c>
      <c r="AI2846" s="172"/>
      <c r="AJ2846" s="172"/>
      <c r="AK2846" s="172"/>
      <c r="AL2846" s="172"/>
      <c r="AM2846" s="172"/>
      <c r="AN2846" s="172"/>
      <c r="AO2846" s="172"/>
      <c r="AP2846" s="172"/>
      <c r="AQ2846" s="172">
        <v>426</v>
      </c>
      <c r="AR2846" s="479"/>
      <c r="AS2846" s="461"/>
      <c r="AT2846" s="160"/>
    </row>
    <row r="2847" spans="1:46" ht="15" hidden="1" customHeight="1">
      <c r="A2847" s="220">
        <v>2841</v>
      </c>
      <c r="B2847" s="159" t="s">
        <v>114</v>
      </c>
      <c r="C2847" s="159" t="s">
        <v>340</v>
      </c>
      <c r="D2847" s="444" t="s">
        <v>335</v>
      </c>
      <c r="E2847" s="28" t="str">
        <f t="shared" ca="1" si="213"/>
        <v>CRITICAL</v>
      </c>
      <c r="F2847" s="160"/>
      <c r="G2847" s="173" t="s">
        <v>336</v>
      </c>
      <c r="H2847" s="160" t="s">
        <v>2748</v>
      </c>
      <c r="I2847" s="174" t="s">
        <v>242</v>
      </c>
      <c r="J2847" s="159"/>
      <c r="K2847" s="160"/>
      <c r="L2847" s="158"/>
      <c r="M2847" s="172" t="s">
        <v>337</v>
      </c>
      <c r="N2847" s="160"/>
      <c r="O2847" s="162"/>
      <c r="P2847" s="161"/>
      <c r="Q2847" s="161"/>
      <c r="R2847" s="162"/>
      <c r="S2847" s="163">
        <v>266500000</v>
      </c>
      <c r="T2847" s="164"/>
      <c r="U2847" s="334">
        <v>45658</v>
      </c>
      <c r="V2847" s="334">
        <v>46022</v>
      </c>
      <c r="W2847" s="158" t="s">
        <v>17</v>
      </c>
      <c r="X2847" s="158"/>
      <c r="Y2847" s="34">
        <f t="shared" ca="1" si="212"/>
        <v>46290</v>
      </c>
      <c r="Z2847" s="35">
        <f t="shared" ca="1" si="214"/>
        <v>-268</v>
      </c>
      <c r="AA2847" s="27">
        <f>MONTH(Table1[[#This Row],[End]])</f>
        <v>12</v>
      </c>
      <c r="AB2847" s="27">
        <f>YEAR(V2847)</f>
        <v>2025</v>
      </c>
      <c r="AC2847" s="159">
        <v>4500022782</v>
      </c>
      <c r="AD2847" s="159" t="s">
        <v>341</v>
      </c>
      <c r="AE2847" s="158">
        <v>4500026964</v>
      </c>
      <c r="AF2847" s="179" t="s">
        <v>339</v>
      </c>
      <c r="AG2847" s="160"/>
      <c r="AH2847" s="160" t="s">
        <v>12106</v>
      </c>
      <c r="AI2847" s="158"/>
      <c r="AJ2847" s="158"/>
      <c r="AK2847" s="158"/>
      <c r="AL2847" s="158"/>
      <c r="AM2847" s="158"/>
      <c r="AN2847" s="158"/>
      <c r="AO2847" s="158"/>
      <c r="AP2847" s="158"/>
      <c r="AQ2847" s="158">
        <v>425</v>
      </c>
      <c r="AR2847" s="507"/>
      <c r="AS2847" s="475"/>
      <c r="AT2847" s="160"/>
    </row>
    <row r="2848" spans="1:46" ht="15" hidden="1" customHeight="1">
      <c r="A2848" s="220">
        <v>2842</v>
      </c>
      <c r="B2848" s="159" t="s">
        <v>114</v>
      </c>
      <c r="C2848" s="159" t="s">
        <v>334</v>
      </c>
      <c r="D2848" s="444" t="s">
        <v>335</v>
      </c>
      <c r="E2848" s="28" t="str">
        <f t="shared" ca="1" si="213"/>
        <v>CRITICAL</v>
      </c>
      <c r="F2848" s="160"/>
      <c r="G2848" s="173" t="s">
        <v>336</v>
      </c>
      <c r="H2848" s="160" t="s">
        <v>2748</v>
      </c>
      <c r="I2848" s="174" t="s">
        <v>242</v>
      </c>
      <c r="J2848" s="159"/>
      <c r="K2848" s="160"/>
      <c r="L2848" s="158"/>
      <c r="M2848" s="172" t="s">
        <v>337</v>
      </c>
      <c r="N2848" s="160"/>
      <c r="O2848" s="162"/>
      <c r="P2848" s="161"/>
      <c r="Q2848" s="161"/>
      <c r="R2848" s="162"/>
      <c r="S2848" s="163">
        <v>376500000</v>
      </c>
      <c r="T2848" s="164"/>
      <c r="U2848" s="334">
        <v>45658</v>
      </c>
      <c r="V2848" s="334">
        <v>46022</v>
      </c>
      <c r="W2848" s="158" t="s">
        <v>17</v>
      </c>
      <c r="X2848" s="158"/>
      <c r="Y2848" s="34">
        <f t="shared" ca="1" si="212"/>
        <v>46290</v>
      </c>
      <c r="Z2848" s="35">
        <f t="shared" ca="1" si="214"/>
        <v>-268</v>
      </c>
      <c r="AA2848" s="27">
        <f>MONTH(Table1[[#This Row],[End]])</f>
        <v>12</v>
      </c>
      <c r="AB2848" s="27">
        <f>YEAR(V2848)</f>
        <v>2025</v>
      </c>
      <c r="AC2848" s="159">
        <v>4500022774</v>
      </c>
      <c r="AD2848" s="159" t="s">
        <v>338</v>
      </c>
      <c r="AE2848" s="158">
        <v>4500026968</v>
      </c>
      <c r="AF2848" s="179" t="s">
        <v>339</v>
      </c>
      <c r="AG2848" s="160"/>
      <c r="AH2848" s="160" t="s">
        <v>12106</v>
      </c>
      <c r="AI2848" s="158"/>
      <c r="AJ2848" s="158"/>
      <c r="AK2848" s="158"/>
      <c r="AL2848" s="158"/>
      <c r="AM2848" s="158"/>
      <c r="AN2848" s="158"/>
      <c r="AO2848" s="158"/>
      <c r="AP2848" s="158"/>
      <c r="AQ2848" s="158">
        <v>424</v>
      </c>
      <c r="AR2848" s="507"/>
      <c r="AS2848" s="475"/>
      <c r="AT2848" s="160"/>
    </row>
    <row r="2849" spans="1:46" ht="15" hidden="1" customHeight="1">
      <c r="A2849" s="220">
        <v>2843</v>
      </c>
      <c r="B2849" s="159" t="s">
        <v>114</v>
      </c>
      <c r="C2849" s="159" t="s">
        <v>12190</v>
      </c>
      <c r="D2849" s="436" t="s">
        <v>764</v>
      </c>
      <c r="E2849" s="28" t="str">
        <f t="shared" ca="1" si="213"/>
        <v>CRITICAL</v>
      </c>
      <c r="F2849" s="160"/>
      <c r="G2849" s="173" t="s">
        <v>345</v>
      </c>
      <c r="H2849" s="160" t="s">
        <v>2748</v>
      </c>
      <c r="I2849" s="174" t="s">
        <v>242</v>
      </c>
      <c r="J2849" s="159"/>
      <c r="K2849" s="160"/>
      <c r="L2849" s="158"/>
      <c r="M2849" s="172" t="s">
        <v>337</v>
      </c>
      <c r="N2849" s="160"/>
      <c r="O2849" s="162"/>
      <c r="P2849" s="161"/>
      <c r="Q2849" s="161"/>
      <c r="R2849" s="162"/>
      <c r="S2849" s="163">
        <v>432000000</v>
      </c>
      <c r="T2849" s="164"/>
      <c r="U2849" s="334">
        <v>45748</v>
      </c>
      <c r="V2849" s="334">
        <v>46112</v>
      </c>
      <c r="W2849" s="158" t="s">
        <v>17</v>
      </c>
      <c r="X2849" s="158"/>
      <c r="Y2849" s="34">
        <f t="shared" ca="1" si="212"/>
        <v>46290</v>
      </c>
      <c r="Z2849" s="35">
        <f t="shared" ca="1" si="214"/>
        <v>-178</v>
      </c>
      <c r="AA2849" s="27">
        <f>MONTH(Table1[[#This Row],[End]])</f>
        <v>3</v>
      </c>
      <c r="AB2849" s="27">
        <f>YEAR(V2849)</f>
        <v>2026</v>
      </c>
      <c r="AC2849" s="159">
        <v>4500024071</v>
      </c>
      <c r="AD2849" s="159" t="s">
        <v>12191</v>
      </c>
      <c r="AE2849" s="158">
        <v>4500026932</v>
      </c>
      <c r="AF2849" s="179" t="s">
        <v>339</v>
      </c>
      <c r="AG2849" s="160"/>
      <c r="AH2849" s="160" t="s">
        <v>12106</v>
      </c>
      <c r="AI2849" s="158"/>
      <c r="AJ2849" s="158"/>
      <c r="AK2849" s="158"/>
      <c r="AL2849" s="158"/>
      <c r="AM2849" s="158"/>
      <c r="AN2849" s="158"/>
      <c r="AO2849" s="158"/>
      <c r="AP2849" s="158"/>
      <c r="AQ2849" s="158">
        <v>423</v>
      </c>
      <c r="AR2849" s="507"/>
      <c r="AS2849" s="475"/>
      <c r="AT2849" s="160"/>
    </row>
    <row r="2850" spans="1:46" ht="15" hidden="1" customHeight="1">
      <c r="A2850" s="220">
        <v>2844</v>
      </c>
      <c r="B2850" s="173" t="s">
        <v>526</v>
      </c>
      <c r="C2850" s="173" t="s">
        <v>1000</v>
      </c>
      <c r="D2850" s="437" t="s">
        <v>4122</v>
      </c>
      <c r="E2850" s="113" t="str">
        <f t="shared" ca="1" si="213"/>
        <v>ON TRACK</v>
      </c>
      <c r="F2850" s="174"/>
      <c r="G2850" s="425" t="s">
        <v>12192</v>
      </c>
      <c r="H2850" s="174" t="s">
        <v>2748</v>
      </c>
      <c r="I2850" s="174" t="s">
        <v>346</v>
      </c>
      <c r="J2850" s="173" t="s">
        <v>4198</v>
      </c>
      <c r="K2850" s="180" t="s">
        <v>12193</v>
      </c>
      <c r="L2850" s="172"/>
      <c r="M2850" s="172" t="s">
        <v>329</v>
      </c>
      <c r="N2850" s="158" t="s">
        <v>4750</v>
      </c>
      <c r="O2850" s="176"/>
      <c r="P2850" s="175">
        <f>12*6272727</f>
        <v>75272724</v>
      </c>
      <c r="Q2850" s="175"/>
      <c r="R2850" s="176"/>
      <c r="S2850" s="177">
        <v>49115000</v>
      </c>
      <c r="T2850" s="178"/>
      <c r="U2850" s="340">
        <v>45992</v>
      </c>
      <c r="V2850" s="340">
        <v>46356</v>
      </c>
      <c r="W2850" s="27" t="s">
        <v>17</v>
      </c>
      <c r="X2850" s="172"/>
      <c r="Y2850" s="164">
        <f t="shared" ca="1" si="212"/>
        <v>46290</v>
      </c>
      <c r="Z2850" s="35">
        <f t="shared" ca="1" si="214"/>
        <v>66</v>
      </c>
      <c r="AA2850" s="158">
        <f>MONTH(Table1[[#This Row],[End]])</f>
        <v>11</v>
      </c>
      <c r="AB2850" s="158">
        <f>YEAR(Table1[[#This Row],[End]])</f>
        <v>2026</v>
      </c>
      <c r="AC2850" s="173" t="s">
        <v>12194</v>
      </c>
      <c r="AD2850" s="173" t="s">
        <v>12195</v>
      </c>
      <c r="AE2850" s="172">
        <v>4500026950</v>
      </c>
      <c r="AF2850" s="158" t="s">
        <v>333</v>
      </c>
      <c r="AG2850" s="160"/>
      <c r="AH2850" s="174" t="s">
        <v>4179</v>
      </c>
      <c r="AI2850" s="172"/>
      <c r="AJ2850" s="172"/>
      <c r="AK2850" s="172"/>
      <c r="AL2850" s="172"/>
      <c r="AM2850" s="172"/>
      <c r="AN2850" s="172"/>
      <c r="AO2850" s="172"/>
      <c r="AP2850" s="172"/>
      <c r="AQ2850" s="172">
        <v>404</v>
      </c>
      <c r="AR2850" s="479"/>
      <c r="AS2850" s="461"/>
      <c r="AT2850" s="160"/>
    </row>
    <row r="2851" spans="1:46" ht="15" hidden="1" customHeight="1">
      <c r="A2851" s="220">
        <v>2845</v>
      </c>
      <c r="B2851" s="173" t="s">
        <v>526</v>
      </c>
      <c r="C2851" s="173" t="s">
        <v>9849</v>
      </c>
      <c r="D2851" s="437" t="s">
        <v>4122</v>
      </c>
      <c r="E2851" s="113" t="str">
        <f t="shared" ca="1" si="213"/>
        <v>ON TRACK</v>
      </c>
      <c r="F2851" s="174"/>
      <c r="G2851" s="173" t="s">
        <v>12196</v>
      </c>
      <c r="H2851" s="174" t="s">
        <v>2748</v>
      </c>
      <c r="I2851" s="174" t="s">
        <v>346</v>
      </c>
      <c r="J2851" s="454" t="s">
        <v>12197</v>
      </c>
      <c r="K2851" s="174"/>
      <c r="L2851" s="172"/>
      <c r="M2851" s="158" t="s">
        <v>7091</v>
      </c>
      <c r="N2851" s="158" t="s">
        <v>9851</v>
      </c>
      <c r="O2851" s="176"/>
      <c r="P2851" s="175">
        <f>3150000*12</f>
        <v>37800000</v>
      </c>
      <c r="Q2851" s="175"/>
      <c r="R2851" s="176"/>
      <c r="S2851" s="177">
        <v>28500000</v>
      </c>
      <c r="T2851" s="178"/>
      <c r="U2851" s="340">
        <v>45992</v>
      </c>
      <c r="V2851" s="340">
        <v>46356</v>
      </c>
      <c r="W2851" s="27" t="s">
        <v>17</v>
      </c>
      <c r="X2851" s="172"/>
      <c r="Y2851" s="164">
        <f t="shared" ca="1" si="212"/>
        <v>46290</v>
      </c>
      <c r="Z2851" s="35">
        <f t="shared" ca="1" si="214"/>
        <v>66</v>
      </c>
      <c r="AA2851" s="158">
        <f>MONTH(Table1[[#This Row],[End]])</f>
        <v>11</v>
      </c>
      <c r="AB2851" s="158">
        <f>YEAR(Table1[[#This Row],[End]])</f>
        <v>2026</v>
      </c>
      <c r="AC2851" s="159" t="s">
        <v>12198</v>
      </c>
      <c r="AD2851" s="173" t="s">
        <v>12199</v>
      </c>
      <c r="AE2851" s="172">
        <v>4500026919</v>
      </c>
      <c r="AF2851" s="158" t="s">
        <v>333</v>
      </c>
      <c r="AG2851" s="160"/>
      <c r="AH2851" s="174" t="s">
        <v>4179</v>
      </c>
      <c r="AI2851" s="172"/>
      <c r="AJ2851" s="172"/>
      <c r="AK2851" s="172"/>
      <c r="AL2851" s="172"/>
      <c r="AM2851" s="172"/>
      <c r="AN2851" s="172"/>
      <c r="AO2851" s="172"/>
      <c r="AP2851" s="172"/>
      <c r="AQ2851" s="172">
        <v>451</v>
      </c>
      <c r="AR2851" s="479"/>
      <c r="AS2851" s="461"/>
      <c r="AT2851" s="160"/>
    </row>
    <row r="2852" spans="1:46" ht="15" hidden="1" customHeight="1">
      <c r="A2852" s="220">
        <v>2846</v>
      </c>
      <c r="B2852" s="173" t="s">
        <v>526</v>
      </c>
      <c r="C2852" s="173" t="s">
        <v>10040</v>
      </c>
      <c r="D2852" s="437" t="s">
        <v>4122</v>
      </c>
      <c r="E2852" s="113" t="str">
        <f t="shared" ca="1" si="213"/>
        <v>ON TRACK</v>
      </c>
      <c r="F2852" s="174"/>
      <c r="G2852" s="173" t="s">
        <v>12200</v>
      </c>
      <c r="H2852" s="174" t="s">
        <v>2748</v>
      </c>
      <c r="I2852" s="174" t="s">
        <v>346</v>
      </c>
      <c r="J2852" s="454" t="s">
        <v>12201</v>
      </c>
      <c r="K2852" s="174"/>
      <c r="L2852" s="172"/>
      <c r="M2852" s="158" t="s">
        <v>7091</v>
      </c>
      <c r="N2852" s="158" t="s">
        <v>6802</v>
      </c>
      <c r="O2852" s="176"/>
      <c r="P2852" s="175">
        <f>2750000*12</f>
        <v>33000000</v>
      </c>
      <c r="Q2852" s="175"/>
      <c r="R2852" s="176"/>
      <c r="S2852" s="177">
        <v>40850000</v>
      </c>
      <c r="T2852" s="178"/>
      <c r="U2852" s="340">
        <v>45992</v>
      </c>
      <c r="V2852" s="340">
        <v>46356</v>
      </c>
      <c r="W2852" s="27" t="s">
        <v>17</v>
      </c>
      <c r="X2852" s="172"/>
      <c r="Y2852" s="164">
        <f t="shared" ca="1" si="212"/>
        <v>46290</v>
      </c>
      <c r="Z2852" s="35">
        <f t="shared" ca="1" si="214"/>
        <v>66</v>
      </c>
      <c r="AA2852" s="158">
        <f>MONTH(Table1[[#This Row],[End]])</f>
        <v>11</v>
      </c>
      <c r="AB2852" s="158">
        <f>YEAR(Table1[[#This Row],[End]])</f>
        <v>2026</v>
      </c>
      <c r="AC2852" s="173" t="s">
        <v>12202</v>
      </c>
      <c r="AD2852" s="173" t="s">
        <v>12203</v>
      </c>
      <c r="AE2852" s="172">
        <v>4500026921</v>
      </c>
      <c r="AF2852" s="158" t="s">
        <v>333</v>
      </c>
      <c r="AG2852" s="160"/>
      <c r="AH2852" s="174" t="s">
        <v>4179</v>
      </c>
      <c r="AI2852" s="172"/>
      <c r="AJ2852" s="172"/>
      <c r="AK2852" s="172"/>
      <c r="AL2852" s="172"/>
      <c r="AM2852" s="172"/>
      <c r="AN2852" s="172"/>
      <c r="AO2852" s="172"/>
      <c r="AP2852" s="172"/>
      <c r="AQ2852" s="172">
        <v>452</v>
      </c>
      <c r="AR2852" s="479"/>
      <c r="AS2852" s="461"/>
      <c r="AT2852" s="160"/>
    </row>
    <row r="2853" spans="1:46" ht="15" hidden="1" customHeight="1">
      <c r="A2853" s="220">
        <v>2847</v>
      </c>
      <c r="B2853" s="173" t="s">
        <v>645</v>
      </c>
      <c r="C2853" s="173" t="s">
        <v>9819</v>
      </c>
      <c r="D2853" s="434" t="s">
        <v>10435</v>
      </c>
      <c r="E2853" s="113" t="str">
        <f t="shared" ca="1" si="213"/>
        <v>ATTENTION</v>
      </c>
      <c r="F2853" s="174"/>
      <c r="G2853" s="159" t="s">
        <v>9820</v>
      </c>
      <c r="H2853" s="160" t="s">
        <v>2748</v>
      </c>
      <c r="I2853" s="29" t="s">
        <v>346</v>
      </c>
      <c r="J2853" s="159" t="s">
        <v>9821</v>
      </c>
      <c r="K2853" s="174"/>
      <c r="L2853" s="172"/>
      <c r="M2853" s="158" t="s">
        <v>9822</v>
      </c>
      <c r="N2853" s="158" t="s">
        <v>494</v>
      </c>
      <c r="O2853" s="176"/>
      <c r="P2853" s="161">
        <f>850000*12</f>
        <v>10200000</v>
      </c>
      <c r="Q2853" s="175"/>
      <c r="R2853" s="176"/>
      <c r="S2853" s="177">
        <v>10500000</v>
      </c>
      <c r="T2853" s="178"/>
      <c r="U2853" s="340">
        <v>45981</v>
      </c>
      <c r="V2853" s="340">
        <v>46345</v>
      </c>
      <c r="W2853" s="27" t="s">
        <v>17</v>
      </c>
      <c r="X2853" s="172"/>
      <c r="Y2853" s="34">
        <f t="shared" ca="1" si="212"/>
        <v>46290</v>
      </c>
      <c r="Z2853" s="35">
        <f t="shared" ca="1" si="214"/>
        <v>55</v>
      </c>
      <c r="AA2853" s="158">
        <f>MONTH(V2853)</f>
        <v>11</v>
      </c>
      <c r="AB2853" s="158">
        <f>YEAR(V2853)</f>
        <v>2026</v>
      </c>
      <c r="AC2853" s="159" t="s">
        <v>12204</v>
      </c>
      <c r="AD2853" s="173" t="s">
        <v>12205</v>
      </c>
      <c r="AE2853" s="172">
        <v>4500026966</v>
      </c>
      <c r="AF2853" s="201" t="s">
        <v>333</v>
      </c>
      <c r="AG2853" s="160"/>
      <c r="AH2853" s="160" t="s">
        <v>6497</v>
      </c>
      <c r="AI2853" s="172"/>
      <c r="AJ2853" s="172"/>
      <c r="AK2853" s="172"/>
      <c r="AL2853" s="172"/>
      <c r="AM2853" s="172"/>
      <c r="AN2853" s="172"/>
      <c r="AO2853" s="172"/>
      <c r="AP2853" s="172"/>
      <c r="AQ2853" s="172">
        <v>405</v>
      </c>
      <c r="AR2853" s="479"/>
      <c r="AS2853" s="461"/>
      <c r="AT2853" s="160"/>
    </row>
    <row r="2854" spans="1:46" ht="15" hidden="1" customHeight="1">
      <c r="A2854" s="220">
        <v>2848</v>
      </c>
      <c r="B2854" s="173" t="s">
        <v>542</v>
      </c>
      <c r="C2854" s="173" t="s">
        <v>10508</v>
      </c>
      <c r="D2854" s="437" t="s">
        <v>413</v>
      </c>
      <c r="E2854" s="113" t="str">
        <f t="shared" ca="1" si="213"/>
        <v>ON TRACK</v>
      </c>
      <c r="F2854" s="174" t="s">
        <v>12206</v>
      </c>
      <c r="G2854" s="173" t="s">
        <v>3387</v>
      </c>
      <c r="H2854" s="160" t="s">
        <v>2748</v>
      </c>
      <c r="I2854" s="160" t="s">
        <v>242</v>
      </c>
      <c r="J2854" s="454" t="s">
        <v>2737</v>
      </c>
      <c r="K2854" s="174"/>
      <c r="L2854" s="172"/>
      <c r="M2854" s="158" t="s">
        <v>365</v>
      </c>
      <c r="N2854" s="158" t="s">
        <v>7088</v>
      </c>
      <c r="O2854" s="176"/>
      <c r="P2854" s="175">
        <f>17500000*12</f>
        <v>210000000</v>
      </c>
      <c r="Q2854" s="175"/>
      <c r="R2854" s="176"/>
      <c r="S2854" s="177">
        <v>8000000</v>
      </c>
      <c r="T2854" s="178"/>
      <c r="U2854" s="340">
        <v>45998</v>
      </c>
      <c r="V2854" s="340">
        <v>46362</v>
      </c>
      <c r="W2854" s="27" t="s">
        <v>17</v>
      </c>
      <c r="X2854" s="172"/>
      <c r="Y2854" s="164">
        <f t="shared" ca="1" si="212"/>
        <v>46290</v>
      </c>
      <c r="Z2854" s="35">
        <f t="shared" ca="1" si="214"/>
        <v>72</v>
      </c>
      <c r="AA2854" s="158">
        <f>MONTH(Table1[[#This Row],[End]])</f>
        <v>12</v>
      </c>
      <c r="AB2854" s="158">
        <f>YEAR(Table1[[#This Row],[End]])</f>
        <v>2026</v>
      </c>
      <c r="AC2854" s="159" t="s">
        <v>12207</v>
      </c>
      <c r="AD2854" s="159" t="s">
        <v>12208</v>
      </c>
      <c r="AE2854" s="172">
        <v>4500026857</v>
      </c>
      <c r="AF2854" s="158" t="s">
        <v>333</v>
      </c>
      <c r="AG2854" s="160"/>
      <c r="AH2854" s="160" t="s">
        <v>9539</v>
      </c>
      <c r="AI2854" s="172"/>
      <c r="AJ2854" s="172"/>
      <c r="AK2854" s="172"/>
      <c r="AL2854" s="172"/>
      <c r="AM2854" s="172"/>
      <c r="AN2854" s="172"/>
      <c r="AO2854" s="172"/>
      <c r="AP2854" s="172"/>
      <c r="AQ2854" s="172">
        <v>406</v>
      </c>
      <c r="AR2854" s="479"/>
      <c r="AS2854" s="461"/>
      <c r="AT2854" s="160"/>
    </row>
    <row r="2855" spans="1:46" ht="15" hidden="1" customHeight="1">
      <c r="A2855" s="220">
        <v>2849</v>
      </c>
      <c r="B2855" s="173" t="s">
        <v>542</v>
      </c>
      <c r="C2855" s="173" t="s">
        <v>10628</v>
      </c>
      <c r="D2855" s="437" t="s">
        <v>413</v>
      </c>
      <c r="E2855" s="113" t="str">
        <f t="shared" ca="1" si="213"/>
        <v>ATTENTION</v>
      </c>
      <c r="F2855" s="174"/>
      <c r="G2855" s="173" t="s">
        <v>12209</v>
      </c>
      <c r="H2855" s="160" t="s">
        <v>2748</v>
      </c>
      <c r="I2855" s="160" t="s">
        <v>242</v>
      </c>
      <c r="J2855" s="173"/>
      <c r="K2855" s="180" t="s">
        <v>12210</v>
      </c>
      <c r="L2855" s="172"/>
      <c r="M2855" s="158" t="s">
        <v>365</v>
      </c>
      <c r="N2855" s="158" t="s">
        <v>362</v>
      </c>
      <c r="O2855" s="176"/>
      <c r="P2855" s="175">
        <f>8000000*12</f>
        <v>96000000</v>
      </c>
      <c r="Q2855" s="175"/>
      <c r="R2855" s="176"/>
      <c r="S2855" s="177">
        <v>8000000</v>
      </c>
      <c r="T2855" s="178"/>
      <c r="U2855" s="340">
        <v>45973</v>
      </c>
      <c r="V2855" s="340">
        <v>46337</v>
      </c>
      <c r="W2855" s="27" t="s">
        <v>17</v>
      </c>
      <c r="X2855" s="172"/>
      <c r="Y2855" s="164">
        <f t="shared" ca="1" si="212"/>
        <v>46290</v>
      </c>
      <c r="Z2855" s="35">
        <f t="shared" ca="1" si="214"/>
        <v>47</v>
      </c>
      <c r="AA2855" s="158">
        <f>MONTH(Table1[[#This Row],[End]])</f>
        <v>11</v>
      </c>
      <c r="AB2855" s="158">
        <f>YEAR(Table1[[#This Row],[End]])</f>
        <v>2026</v>
      </c>
      <c r="AC2855" s="159" t="s">
        <v>12211</v>
      </c>
      <c r="AD2855" s="159" t="s">
        <v>12212</v>
      </c>
      <c r="AE2855" s="172">
        <v>4500026922</v>
      </c>
      <c r="AF2855" s="158" t="s">
        <v>333</v>
      </c>
      <c r="AG2855" s="160"/>
      <c r="AH2855" s="160" t="s">
        <v>9539</v>
      </c>
      <c r="AI2855" s="172"/>
      <c r="AJ2855" s="172"/>
      <c r="AK2855" s="172"/>
      <c r="AL2855" s="172"/>
      <c r="AM2855" s="172"/>
      <c r="AN2855" s="172"/>
      <c r="AO2855" s="172"/>
      <c r="AP2855" s="172"/>
      <c r="AQ2855" s="172">
        <v>443</v>
      </c>
      <c r="AR2855" s="479"/>
      <c r="AS2855" s="461"/>
      <c r="AT2855" s="160"/>
    </row>
    <row r="2856" spans="1:46" ht="15" hidden="1" customHeight="1">
      <c r="A2856" s="220">
        <v>2850</v>
      </c>
      <c r="B2856" s="173" t="s">
        <v>542</v>
      </c>
      <c r="C2856" s="173" t="s">
        <v>12213</v>
      </c>
      <c r="D2856" s="437" t="s">
        <v>413</v>
      </c>
      <c r="E2856" s="113" t="str">
        <f t="shared" ca="1" si="213"/>
        <v>CRITICAL</v>
      </c>
      <c r="F2856" s="174"/>
      <c r="G2856" s="173" t="s">
        <v>12214</v>
      </c>
      <c r="H2856" s="160" t="s">
        <v>2748</v>
      </c>
      <c r="I2856" s="160" t="s">
        <v>242</v>
      </c>
      <c r="J2856" s="173"/>
      <c r="K2856" s="180" t="s">
        <v>12215</v>
      </c>
      <c r="L2856" s="172"/>
      <c r="M2856" s="172" t="s">
        <v>353</v>
      </c>
      <c r="N2856" s="158" t="s">
        <v>6949</v>
      </c>
      <c r="O2856" s="176"/>
      <c r="P2856" s="175">
        <v>0</v>
      </c>
      <c r="Q2856" s="175"/>
      <c r="R2856" s="176"/>
      <c r="S2856" s="177">
        <v>8000000</v>
      </c>
      <c r="T2856" s="178"/>
      <c r="U2856" s="340">
        <v>45853</v>
      </c>
      <c r="V2856" s="340">
        <v>46217</v>
      </c>
      <c r="W2856" s="27" t="s">
        <v>250</v>
      </c>
      <c r="X2856" s="172"/>
      <c r="Y2856" s="164">
        <f t="shared" ca="1" si="212"/>
        <v>46290</v>
      </c>
      <c r="Z2856" s="35">
        <f t="shared" ca="1" si="214"/>
        <v>-73</v>
      </c>
      <c r="AA2856" s="158">
        <f>MONTH(Table1[[#This Row],[End]])</f>
        <v>7</v>
      </c>
      <c r="AB2856" s="158">
        <f>YEAR(Table1[[#This Row],[End]])</f>
        <v>2026</v>
      </c>
      <c r="AC2856" s="159" t="s">
        <v>12216</v>
      </c>
      <c r="AD2856" s="173" t="s">
        <v>12217</v>
      </c>
      <c r="AE2856" s="172">
        <v>4500026990</v>
      </c>
      <c r="AF2856" s="158" t="s">
        <v>333</v>
      </c>
      <c r="AG2856" s="160"/>
      <c r="AH2856" s="160" t="s">
        <v>9539</v>
      </c>
      <c r="AI2856" s="172"/>
      <c r="AJ2856" s="172"/>
      <c r="AK2856" s="172"/>
      <c r="AL2856" s="172"/>
      <c r="AM2856" s="172"/>
      <c r="AN2856" s="172"/>
      <c r="AO2856" s="172"/>
      <c r="AP2856" s="172"/>
      <c r="AQ2856" s="172">
        <v>450</v>
      </c>
      <c r="AR2856" s="479"/>
      <c r="AS2856" s="461"/>
      <c r="AT2856" s="160"/>
    </row>
    <row r="2857" spans="1:46" ht="15" hidden="1" customHeight="1">
      <c r="A2857" s="220">
        <v>2851</v>
      </c>
      <c r="B2857" s="173" t="s">
        <v>542</v>
      </c>
      <c r="C2857" s="173" t="s">
        <v>12213</v>
      </c>
      <c r="D2857" s="437" t="s">
        <v>413</v>
      </c>
      <c r="E2857" s="113" t="str">
        <f t="shared" ca="1" si="213"/>
        <v>CRITICAL</v>
      </c>
      <c r="F2857" s="174"/>
      <c r="G2857" s="173" t="s">
        <v>12214</v>
      </c>
      <c r="H2857" s="160" t="s">
        <v>2748</v>
      </c>
      <c r="I2857" s="160" t="s">
        <v>242</v>
      </c>
      <c r="J2857" s="173"/>
      <c r="K2857" s="180" t="s">
        <v>12218</v>
      </c>
      <c r="L2857" s="172"/>
      <c r="M2857" s="172" t="s">
        <v>353</v>
      </c>
      <c r="N2857" s="158" t="s">
        <v>6949</v>
      </c>
      <c r="O2857" s="176"/>
      <c r="P2857" s="175">
        <f>12600000*12</f>
        <v>151200000</v>
      </c>
      <c r="Q2857" s="175"/>
      <c r="R2857" s="176"/>
      <c r="S2857" s="177">
        <v>8000000</v>
      </c>
      <c r="T2857" s="178"/>
      <c r="U2857" s="340">
        <v>45789</v>
      </c>
      <c r="V2857" s="340">
        <v>46153</v>
      </c>
      <c r="W2857" s="27" t="s">
        <v>250</v>
      </c>
      <c r="X2857" s="172"/>
      <c r="Y2857" s="164">
        <f t="shared" ca="1" si="212"/>
        <v>46290</v>
      </c>
      <c r="Z2857" s="35">
        <f t="shared" ca="1" si="214"/>
        <v>-137</v>
      </c>
      <c r="AA2857" s="158">
        <f>MONTH(Table1[[#This Row],[End]])</f>
        <v>5</v>
      </c>
      <c r="AB2857" s="158">
        <f>YEAR(Table1[[#This Row],[End]])</f>
        <v>2026</v>
      </c>
      <c r="AC2857" s="173">
        <v>4500022779</v>
      </c>
      <c r="AD2857" s="173" t="s">
        <v>12205</v>
      </c>
      <c r="AE2857" s="172">
        <v>4500026992</v>
      </c>
      <c r="AF2857" s="158" t="s">
        <v>333</v>
      </c>
      <c r="AG2857" s="160"/>
      <c r="AH2857" s="160" t="s">
        <v>9539</v>
      </c>
      <c r="AI2857" s="172"/>
      <c r="AJ2857" s="172"/>
      <c r="AK2857" s="172"/>
      <c r="AL2857" s="172"/>
      <c r="AM2857" s="172"/>
      <c r="AN2857" s="172"/>
      <c r="AO2857" s="172"/>
      <c r="AP2857" s="172"/>
      <c r="AQ2857" s="172">
        <v>444</v>
      </c>
      <c r="AR2857" s="479"/>
      <c r="AS2857" s="461"/>
      <c r="AT2857" s="160"/>
    </row>
    <row r="2858" spans="1:46" ht="15" hidden="1" customHeight="1">
      <c r="A2858" s="220">
        <v>2852</v>
      </c>
      <c r="B2858" s="173" t="s">
        <v>71</v>
      </c>
      <c r="C2858" s="173" t="s">
        <v>10652</v>
      </c>
      <c r="D2858" s="437" t="s">
        <v>490</v>
      </c>
      <c r="E2858" s="113" t="str">
        <f t="shared" ca="1" si="213"/>
        <v>ATTENTION</v>
      </c>
      <c r="F2858" s="174"/>
      <c r="G2858" s="182" t="s">
        <v>10653</v>
      </c>
      <c r="H2858" s="160" t="s">
        <v>2748</v>
      </c>
      <c r="I2858" s="160" t="s">
        <v>242</v>
      </c>
      <c r="J2858" s="159" t="s">
        <v>2249</v>
      </c>
      <c r="K2858" s="174"/>
      <c r="L2858" s="172"/>
      <c r="M2858" s="190" t="s">
        <v>365</v>
      </c>
      <c r="N2858" s="158" t="s">
        <v>6885</v>
      </c>
      <c r="O2858" s="176"/>
      <c r="P2858" s="161">
        <f>4500000*12</f>
        <v>54000000</v>
      </c>
      <c r="Q2858" s="175"/>
      <c r="R2858" s="176"/>
      <c r="S2858" s="163">
        <v>18000000</v>
      </c>
      <c r="T2858" s="178"/>
      <c r="U2858" s="340">
        <v>45962</v>
      </c>
      <c r="V2858" s="340">
        <v>46326</v>
      </c>
      <c r="W2858" s="158" t="s">
        <v>17</v>
      </c>
      <c r="X2858" s="172"/>
      <c r="Y2858" s="34">
        <f t="shared" ca="1" si="212"/>
        <v>46290</v>
      </c>
      <c r="Z2858" s="35">
        <f t="shared" ca="1" si="214"/>
        <v>36</v>
      </c>
      <c r="AA2858" s="27">
        <f>MONTH(Table1[[#This Row],[End]])</f>
        <v>10</v>
      </c>
      <c r="AB2858" s="27">
        <f>YEAR(V2858)</f>
        <v>2026</v>
      </c>
      <c r="AC2858" s="159" t="s">
        <v>12219</v>
      </c>
      <c r="AD2858" s="159" t="s">
        <v>12220</v>
      </c>
      <c r="AE2858" s="172">
        <v>4500026851</v>
      </c>
      <c r="AF2858" s="201" t="s">
        <v>333</v>
      </c>
      <c r="AG2858" s="160"/>
      <c r="AH2858" s="174" t="s">
        <v>12021</v>
      </c>
      <c r="AI2858" s="172"/>
      <c r="AJ2858" s="172"/>
      <c r="AK2858" s="172"/>
      <c r="AL2858" s="172"/>
      <c r="AM2858" s="172"/>
      <c r="AN2858" s="172"/>
      <c r="AO2858" s="172"/>
      <c r="AP2858" s="172"/>
      <c r="AQ2858" s="172">
        <v>407</v>
      </c>
      <c r="AR2858" s="479"/>
      <c r="AS2858" s="461"/>
      <c r="AT2858" s="160"/>
    </row>
    <row r="2859" spans="1:46" ht="15" hidden="1" customHeight="1">
      <c r="A2859" s="220">
        <v>2853</v>
      </c>
      <c r="B2859" s="173" t="s">
        <v>71</v>
      </c>
      <c r="C2859" s="159" t="s">
        <v>9502</v>
      </c>
      <c r="D2859" s="437" t="s">
        <v>490</v>
      </c>
      <c r="E2859" s="113" t="str">
        <f t="shared" ca="1" si="213"/>
        <v>CRITICAL</v>
      </c>
      <c r="F2859" s="160" t="s">
        <v>9503</v>
      </c>
      <c r="G2859" s="159" t="s">
        <v>9504</v>
      </c>
      <c r="H2859" s="160" t="s">
        <v>2748</v>
      </c>
      <c r="I2859" s="160" t="s">
        <v>242</v>
      </c>
      <c r="J2859" s="182" t="s">
        <v>9505</v>
      </c>
      <c r="K2859" s="174"/>
      <c r="L2859" s="172"/>
      <c r="M2859" s="158" t="s">
        <v>9506</v>
      </c>
      <c r="N2859" s="174"/>
      <c r="O2859" s="176"/>
      <c r="P2859" s="175"/>
      <c r="Q2859" s="175"/>
      <c r="R2859" s="176"/>
      <c r="S2859" s="163">
        <v>36000000</v>
      </c>
      <c r="T2859" s="178"/>
      <c r="U2859" s="334">
        <v>45912</v>
      </c>
      <c r="V2859" s="334">
        <v>46276</v>
      </c>
      <c r="W2859" s="158" t="s">
        <v>17</v>
      </c>
      <c r="X2859" s="172"/>
      <c r="Y2859" s="34">
        <f t="shared" ca="1" si="212"/>
        <v>46290</v>
      </c>
      <c r="Z2859" s="35">
        <f t="shared" ca="1" si="214"/>
        <v>-14</v>
      </c>
      <c r="AA2859" s="27">
        <f t="shared" ref="AA2859:AA2867" si="215">MONTH(V2859)</f>
        <v>9</v>
      </c>
      <c r="AB2859" s="158">
        <v>2025</v>
      </c>
      <c r="AC2859" s="28" t="s">
        <v>12221</v>
      </c>
      <c r="AD2859" s="28" t="s">
        <v>12222</v>
      </c>
      <c r="AE2859" s="172">
        <v>4500026852</v>
      </c>
      <c r="AF2859" s="201" t="s">
        <v>333</v>
      </c>
      <c r="AG2859" s="160"/>
      <c r="AH2859" s="174" t="s">
        <v>12021</v>
      </c>
      <c r="AI2859" s="172"/>
      <c r="AJ2859" s="172"/>
      <c r="AK2859" s="172"/>
      <c r="AL2859" s="172"/>
      <c r="AM2859" s="172"/>
      <c r="AN2859" s="172"/>
      <c r="AO2859" s="172"/>
      <c r="AP2859" s="172"/>
      <c r="AQ2859" s="172">
        <v>408</v>
      </c>
      <c r="AR2859" s="479"/>
      <c r="AS2859" s="461"/>
      <c r="AT2859" s="160"/>
    </row>
    <row r="2860" spans="1:46" ht="15" hidden="1" customHeight="1">
      <c r="A2860" s="220">
        <v>2854</v>
      </c>
      <c r="B2860" s="173" t="s">
        <v>71</v>
      </c>
      <c r="C2860" s="159" t="s">
        <v>9510</v>
      </c>
      <c r="D2860" s="437" t="s">
        <v>490</v>
      </c>
      <c r="E2860" s="113" t="str">
        <f t="shared" ca="1" si="213"/>
        <v>CRITICAL</v>
      </c>
      <c r="F2860" s="160" t="s">
        <v>9503</v>
      </c>
      <c r="G2860" s="159" t="s">
        <v>9504</v>
      </c>
      <c r="H2860" s="160" t="s">
        <v>2748</v>
      </c>
      <c r="I2860" s="160" t="s">
        <v>242</v>
      </c>
      <c r="J2860" s="182" t="s">
        <v>9505</v>
      </c>
      <c r="K2860" s="174"/>
      <c r="L2860" s="172"/>
      <c r="M2860" s="158" t="s">
        <v>9506</v>
      </c>
      <c r="N2860" s="174"/>
      <c r="O2860" s="176"/>
      <c r="P2860" s="175"/>
      <c r="Q2860" s="175"/>
      <c r="R2860" s="176"/>
      <c r="S2860" s="163">
        <v>36000000</v>
      </c>
      <c r="T2860" s="178"/>
      <c r="U2860" s="334">
        <v>45900</v>
      </c>
      <c r="V2860" s="334">
        <v>46264</v>
      </c>
      <c r="W2860" s="158" t="s">
        <v>17</v>
      </c>
      <c r="X2860" s="172"/>
      <c r="Y2860" s="34">
        <f t="shared" ca="1" si="212"/>
        <v>46290</v>
      </c>
      <c r="Z2860" s="35">
        <f t="shared" ca="1" si="214"/>
        <v>-26</v>
      </c>
      <c r="AA2860" s="27">
        <f t="shared" si="215"/>
        <v>8</v>
      </c>
      <c r="AB2860" s="158">
        <v>2025</v>
      </c>
      <c r="AC2860" s="28" t="s">
        <v>12223</v>
      </c>
      <c r="AD2860" s="28" t="s">
        <v>12224</v>
      </c>
      <c r="AE2860" s="172">
        <v>4500026853</v>
      </c>
      <c r="AF2860" s="201" t="s">
        <v>333</v>
      </c>
      <c r="AG2860" s="160"/>
      <c r="AH2860" s="174" t="s">
        <v>12021</v>
      </c>
      <c r="AI2860" s="172"/>
      <c r="AJ2860" s="172"/>
      <c r="AK2860" s="172"/>
      <c r="AL2860" s="172"/>
      <c r="AM2860" s="172"/>
      <c r="AN2860" s="172"/>
      <c r="AO2860" s="172"/>
      <c r="AP2860" s="172"/>
      <c r="AQ2860" s="172">
        <v>436</v>
      </c>
      <c r="AR2860" s="479"/>
      <c r="AS2860" s="461"/>
      <c r="AT2860" s="160"/>
    </row>
    <row r="2861" spans="1:46" ht="15" hidden="1" customHeight="1">
      <c r="A2861" s="220">
        <v>2855</v>
      </c>
      <c r="B2861" s="173" t="s">
        <v>71</v>
      </c>
      <c r="C2861" s="173" t="s">
        <v>2451</v>
      </c>
      <c r="D2861" s="437" t="s">
        <v>490</v>
      </c>
      <c r="E2861" s="113" t="str">
        <f t="shared" ca="1" si="213"/>
        <v>CRITICAL</v>
      </c>
      <c r="F2861" s="174" t="s">
        <v>9807</v>
      </c>
      <c r="G2861" s="454" t="s">
        <v>9806</v>
      </c>
      <c r="H2861" s="174" t="s">
        <v>2748</v>
      </c>
      <c r="I2861" s="174" t="s">
        <v>242</v>
      </c>
      <c r="J2861" s="454" t="s">
        <v>11195</v>
      </c>
      <c r="K2861" s="180" t="s">
        <v>11196</v>
      </c>
      <c r="L2861" s="172"/>
      <c r="M2861" s="158" t="s">
        <v>12225</v>
      </c>
      <c r="N2861" s="158" t="s">
        <v>354</v>
      </c>
      <c r="O2861" s="176"/>
      <c r="P2861" s="175">
        <f>5000000*12</f>
        <v>60000000</v>
      </c>
      <c r="Q2861" s="175"/>
      <c r="R2861" s="176"/>
      <c r="S2861" s="177">
        <v>18000000</v>
      </c>
      <c r="T2861" s="178"/>
      <c r="U2861" s="334">
        <v>45858</v>
      </c>
      <c r="V2861" s="334">
        <v>46222</v>
      </c>
      <c r="W2861" s="158" t="s">
        <v>250</v>
      </c>
      <c r="X2861" s="172"/>
      <c r="Y2861" s="34">
        <f t="shared" ca="1" si="212"/>
        <v>46290</v>
      </c>
      <c r="Z2861" s="35">
        <f t="shared" ca="1" si="214"/>
        <v>-68</v>
      </c>
      <c r="AA2861" s="27">
        <f t="shared" si="215"/>
        <v>7</v>
      </c>
      <c r="AB2861" s="158">
        <v>2025</v>
      </c>
      <c r="AC2861" s="173" t="s">
        <v>12226</v>
      </c>
      <c r="AD2861" s="28" t="s">
        <v>12227</v>
      </c>
      <c r="AE2861" s="172">
        <v>4500026744</v>
      </c>
      <c r="AF2861" s="201" t="s">
        <v>333</v>
      </c>
      <c r="AG2861" s="160"/>
      <c r="AH2861" s="174" t="s">
        <v>12021</v>
      </c>
      <c r="AI2861" s="172"/>
      <c r="AJ2861" s="172"/>
      <c r="AK2861" s="172"/>
      <c r="AL2861" s="172"/>
      <c r="AM2861" s="172"/>
      <c r="AN2861" s="172"/>
      <c r="AO2861" s="172"/>
      <c r="AP2861" s="172"/>
      <c r="AQ2861" s="172">
        <v>437</v>
      </c>
      <c r="AR2861" s="479"/>
      <c r="AS2861" s="461"/>
      <c r="AT2861" s="160"/>
    </row>
    <row r="2862" spans="1:46" ht="15" hidden="1" customHeight="1">
      <c r="A2862" s="220">
        <v>2856</v>
      </c>
      <c r="B2862" s="173" t="s">
        <v>71</v>
      </c>
      <c r="C2862" s="173" t="s">
        <v>12228</v>
      </c>
      <c r="D2862" s="437" t="s">
        <v>490</v>
      </c>
      <c r="E2862" s="113" t="str">
        <f t="shared" ca="1" si="213"/>
        <v>CRITICAL</v>
      </c>
      <c r="F2862" s="174" t="s">
        <v>12229</v>
      </c>
      <c r="G2862" s="454" t="s">
        <v>12230</v>
      </c>
      <c r="H2862" s="174" t="s">
        <v>2748</v>
      </c>
      <c r="I2862" s="174" t="s">
        <v>242</v>
      </c>
      <c r="J2862" s="454" t="s">
        <v>12231</v>
      </c>
      <c r="K2862" s="174"/>
      <c r="L2862" s="172"/>
      <c r="M2862" s="172" t="s">
        <v>12232</v>
      </c>
      <c r="N2862" s="172" t="s">
        <v>12233</v>
      </c>
      <c r="O2862" s="176"/>
      <c r="P2862" s="175">
        <f>200000000*12</f>
        <v>2400000000</v>
      </c>
      <c r="Q2862" s="175"/>
      <c r="R2862" s="176">
        <v>1500000</v>
      </c>
      <c r="S2862" s="177">
        <v>18000000</v>
      </c>
      <c r="T2862" s="178"/>
      <c r="U2862" s="334">
        <v>45883</v>
      </c>
      <c r="V2862" s="334">
        <v>46247</v>
      </c>
      <c r="W2862" s="158" t="s">
        <v>250</v>
      </c>
      <c r="X2862" s="172"/>
      <c r="Y2862" s="34">
        <f t="shared" ca="1" si="212"/>
        <v>46290</v>
      </c>
      <c r="Z2862" s="35">
        <f t="shared" ca="1" si="214"/>
        <v>-43</v>
      </c>
      <c r="AA2862" s="27">
        <f t="shared" si="215"/>
        <v>8</v>
      </c>
      <c r="AB2862" s="158">
        <v>2025</v>
      </c>
      <c r="AC2862" s="173" t="s">
        <v>479</v>
      </c>
      <c r="AD2862" s="28" t="s">
        <v>12234</v>
      </c>
      <c r="AE2862" s="172">
        <v>4500026745</v>
      </c>
      <c r="AF2862" s="201" t="s">
        <v>333</v>
      </c>
      <c r="AG2862" s="160"/>
      <c r="AH2862" s="174" t="s">
        <v>12021</v>
      </c>
      <c r="AI2862" s="172"/>
      <c r="AJ2862" s="172"/>
      <c r="AK2862" s="172"/>
      <c r="AL2862" s="172"/>
      <c r="AM2862" s="172"/>
      <c r="AN2862" s="172"/>
      <c r="AO2862" s="172"/>
      <c r="AP2862" s="172"/>
      <c r="AQ2862" s="172">
        <v>438</v>
      </c>
      <c r="AR2862" s="479"/>
      <c r="AS2862" s="461"/>
      <c r="AT2862" s="160"/>
    </row>
    <row r="2863" spans="1:46" ht="15" hidden="1" customHeight="1">
      <c r="A2863" s="220">
        <v>2857</v>
      </c>
      <c r="B2863" s="173" t="s">
        <v>71</v>
      </c>
      <c r="C2863" s="173" t="s">
        <v>9908</v>
      </c>
      <c r="D2863" s="437" t="s">
        <v>490</v>
      </c>
      <c r="E2863" s="113" t="str">
        <f t="shared" ca="1" si="213"/>
        <v>ON TRACK</v>
      </c>
      <c r="F2863" s="174" t="s">
        <v>12235</v>
      </c>
      <c r="G2863" s="454" t="s">
        <v>12236</v>
      </c>
      <c r="H2863" s="174" t="s">
        <v>2748</v>
      </c>
      <c r="I2863" s="174" t="s">
        <v>242</v>
      </c>
      <c r="J2863" s="173"/>
      <c r="K2863" s="180" t="s">
        <v>12237</v>
      </c>
      <c r="L2863" s="172"/>
      <c r="M2863" s="190" t="s">
        <v>365</v>
      </c>
      <c r="N2863" s="158" t="s">
        <v>354</v>
      </c>
      <c r="O2863" s="176"/>
      <c r="P2863" s="175">
        <f>5500000*12</f>
        <v>66000000</v>
      </c>
      <c r="Q2863" s="175"/>
      <c r="R2863" s="176"/>
      <c r="S2863" s="177">
        <v>18000000</v>
      </c>
      <c r="T2863" s="178"/>
      <c r="U2863" s="334">
        <v>45988</v>
      </c>
      <c r="V2863" s="334">
        <v>46352</v>
      </c>
      <c r="W2863" s="158" t="s">
        <v>17</v>
      </c>
      <c r="X2863" s="172"/>
      <c r="Y2863" s="34">
        <f t="shared" ca="1" si="212"/>
        <v>46290</v>
      </c>
      <c r="Z2863" s="35">
        <f t="shared" ca="1" si="214"/>
        <v>62</v>
      </c>
      <c r="AA2863" s="27">
        <f t="shared" si="215"/>
        <v>11</v>
      </c>
      <c r="AB2863" s="158">
        <v>2025</v>
      </c>
      <c r="AC2863" s="173" t="s">
        <v>12238</v>
      </c>
      <c r="AD2863" s="28" t="s">
        <v>12239</v>
      </c>
      <c r="AE2863" s="172">
        <v>4500026863</v>
      </c>
      <c r="AF2863" s="201" t="s">
        <v>333</v>
      </c>
      <c r="AG2863" s="160"/>
      <c r="AH2863" s="174" t="s">
        <v>12021</v>
      </c>
      <c r="AI2863" s="172"/>
      <c r="AJ2863" s="172"/>
      <c r="AK2863" s="172"/>
      <c r="AL2863" s="172"/>
      <c r="AM2863" s="172"/>
      <c r="AN2863" s="172"/>
      <c r="AO2863" s="172"/>
      <c r="AP2863" s="172"/>
      <c r="AQ2863" s="172">
        <v>439</v>
      </c>
      <c r="AR2863" s="479"/>
      <c r="AS2863" s="461"/>
      <c r="AT2863" s="160"/>
    </row>
    <row r="2864" spans="1:46" ht="15" hidden="1" customHeight="1">
      <c r="A2864" s="220">
        <v>2858</v>
      </c>
      <c r="B2864" s="173" t="s">
        <v>2281</v>
      </c>
      <c r="C2864" s="173" t="s">
        <v>12240</v>
      </c>
      <c r="D2864" s="434" t="s">
        <v>12241</v>
      </c>
      <c r="E2864" s="113" t="str">
        <f t="shared" ca="1" si="213"/>
        <v>CRITICAL</v>
      </c>
      <c r="F2864" s="174"/>
      <c r="G2864" s="173" t="s">
        <v>12242</v>
      </c>
      <c r="H2864" s="174" t="s">
        <v>2748</v>
      </c>
      <c r="I2864" s="174" t="s">
        <v>346</v>
      </c>
      <c r="J2864" s="454" t="s">
        <v>12243</v>
      </c>
      <c r="K2864" s="174"/>
      <c r="L2864" s="172"/>
      <c r="M2864" s="172" t="s">
        <v>6776</v>
      </c>
      <c r="N2864" s="158" t="s">
        <v>494</v>
      </c>
      <c r="O2864" s="176">
        <v>2500000</v>
      </c>
      <c r="P2864" s="175">
        <f>3500000*12</f>
        <v>42000000</v>
      </c>
      <c r="Q2864" s="175"/>
      <c r="R2864" s="176"/>
      <c r="S2864" s="177">
        <v>50000000</v>
      </c>
      <c r="T2864" s="178"/>
      <c r="U2864" s="334">
        <v>45922</v>
      </c>
      <c r="V2864" s="334">
        <v>46286</v>
      </c>
      <c r="W2864" s="158" t="s">
        <v>17</v>
      </c>
      <c r="X2864" s="172"/>
      <c r="Y2864" s="34">
        <f t="shared" ca="1" si="212"/>
        <v>46290</v>
      </c>
      <c r="Z2864" s="35">
        <f t="shared" ca="1" si="214"/>
        <v>-4</v>
      </c>
      <c r="AA2864" s="27">
        <f t="shared" si="215"/>
        <v>9</v>
      </c>
      <c r="AB2864" s="158">
        <v>2025</v>
      </c>
      <c r="AC2864" s="173" t="s">
        <v>479</v>
      </c>
      <c r="AD2864" s="28" t="s">
        <v>12244</v>
      </c>
      <c r="AE2864" s="172">
        <v>4500026673</v>
      </c>
      <c r="AF2864" s="201" t="s">
        <v>333</v>
      </c>
      <c r="AG2864" s="160"/>
      <c r="AH2864" s="174" t="s">
        <v>12245</v>
      </c>
      <c r="AI2864" s="172"/>
      <c r="AJ2864" s="172"/>
      <c r="AK2864" s="172"/>
      <c r="AL2864" s="172"/>
      <c r="AM2864" s="172"/>
      <c r="AN2864" s="172"/>
      <c r="AO2864" s="172"/>
      <c r="AP2864" s="172"/>
      <c r="AQ2864" s="172">
        <v>440</v>
      </c>
      <c r="AR2864" s="479"/>
      <c r="AS2864" s="461"/>
      <c r="AT2864" s="160"/>
    </row>
    <row r="2865" spans="1:46" ht="15" hidden="1" customHeight="1">
      <c r="A2865" s="220">
        <v>2859</v>
      </c>
      <c r="B2865" s="173" t="s">
        <v>4202</v>
      </c>
      <c r="C2865" s="173" t="s">
        <v>6629</v>
      </c>
      <c r="D2865" s="435" t="s">
        <v>9212</v>
      </c>
      <c r="E2865" s="113" t="str">
        <f t="shared" ca="1" si="213"/>
        <v>ON TRACK</v>
      </c>
      <c r="F2865" s="174"/>
      <c r="G2865" s="159" t="s">
        <v>9839</v>
      </c>
      <c r="H2865" s="174" t="s">
        <v>2748</v>
      </c>
      <c r="I2865" s="174" t="s">
        <v>242</v>
      </c>
      <c r="J2865" s="159" t="s">
        <v>9840</v>
      </c>
      <c r="K2865" s="174"/>
      <c r="L2865" s="172"/>
      <c r="M2865" s="158" t="s">
        <v>6788</v>
      </c>
      <c r="N2865" s="158" t="s">
        <v>417</v>
      </c>
      <c r="O2865" s="176"/>
      <c r="P2865" s="161">
        <f>5545455*12</f>
        <v>66545460</v>
      </c>
      <c r="Q2865" s="175"/>
      <c r="R2865" s="176"/>
      <c r="S2865" s="163">
        <v>24000000</v>
      </c>
      <c r="T2865" s="178"/>
      <c r="U2865" s="340">
        <v>46013</v>
      </c>
      <c r="V2865" s="340">
        <v>46377</v>
      </c>
      <c r="W2865" s="27" t="s">
        <v>17</v>
      </c>
      <c r="X2865" s="172"/>
      <c r="Y2865" s="34">
        <f t="shared" ca="1" si="212"/>
        <v>46290</v>
      </c>
      <c r="Z2865" s="35">
        <f t="shared" ca="1" si="214"/>
        <v>87</v>
      </c>
      <c r="AA2865" s="237">
        <f t="shared" si="215"/>
        <v>12</v>
      </c>
      <c r="AB2865" s="27">
        <f>YEAR(V2865)</f>
        <v>2026</v>
      </c>
      <c r="AC2865" s="159" t="s">
        <v>12246</v>
      </c>
      <c r="AD2865" s="159" t="s">
        <v>12247</v>
      </c>
      <c r="AE2865" s="158">
        <v>4500026685</v>
      </c>
      <c r="AF2865" s="201" t="s">
        <v>333</v>
      </c>
      <c r="AG2865" s="160"/>
      <c r="AH2865" s="174" t="s">
        <v>12248</v>
      </c>
      <c r="AI2865" s="172"/>
      <c r="AJ2865" s="172"/>
      <c r="AK2865" s="172"/>
      <c r="AL2865" s="172"/>
      <c r="AM2865" s="172"/>
      <c r="AN2865" s="172"/>
      <c r="AO2865" s="172"/>
      <c r="AP2865" s="172"/>
      <c r="AQ2865" s="172">
        <v>441</v>
      </c>
      <c r="AR2865" s="479"/>
      <c r="AS2865" s="461"/>
      <c r="AT2865" s="160"/>
    </row>
    <row r="2866" spans="1:46" ht="15" hidden="1" customHeight="1">
      <c r="A2866" s="220">
        <v>2860</v>
      </c>
      <c r="B2866" s="173" t="s">
        <v>12249</v>
      </c>
      <c r="C2866" s="421" t="s">
        <v>12250</v>
      </c>
      <c r="D2866" s="435" t="s">
        <v>9212</v>
      </c>
      <c r="E2866" s="113" t="str">
        <f t="shared" ca="1" si="213"/>
        <v>ON TRACK</v>
      </c>
      <c r="F2866" s="174"/>
      <c r="G2866" s="159" t="s">
        <v>9839</v>
      </c>
      <c r="H2866" s="174" t="s">
        <v>2748</v>
      </c>
      <c r="I2866" s="174" t="s">
        <v>346</v>
      </c>
      <c r="J2866" s="182" t="s">
        <v>10241</v>
      </c>
      <c r="K2866" s="174"/>
      <c r="L2866" s="172"/>
      <c r="M2866" s="158" t="s">
        <v>6788</v>
      </c>
      <c r="N2866" s="158" t="s">
        <v>10242</v>
      </c>
      <c r="O2866" s="176"/>
      <c r="P2866" s="161">
        <f>(5545455+4500000)*12</f>
        <v>120545460</v>
      </c>
      <c r="Q2866" s="175"/>
      <c r="R2866" s="176"/>
      <c r="S2866" s="163">
        <v>60000000</v>
      </c>
      <c r="T2866" s="178"/>
      <c r="U2866" s="334">
        <v>46007</v>
      </c>
      <c r="V2866" s="340">
        <v>46373</v>
      </c>
      <c r="W2866" s="27" t="s">
        <v>17</v>
      </c>
      <c r="X2866" s="172"/>
      <c r="Y2866" s="34">
        <f t="shared" ref="Y2866:Y2894" ca="1" si="216">TODAY()</f>
        <v>46290</v>
      </c>
      <c r="Z2866" s="35">
        <f t="shared" ca="1" si="214"/>
        <v>83</v>
      </c>
      <c r="AA2866" s="237">
        <f t="shared" si="215"/>
        <v>12</v>
      </c>
      <c r="AB2866" s="27">
        <f>YEAR(V2866)</f>
        <v>2026</v>
      </c>
      <c r="AC2866" s="182" t="s">
        <v>12251</v>
      </c>
      <c r="AD2866" s="159" t="s">
        <v>12252</v>
      </c>
      <c r="AE2866" s="172">
        <v>4500026686</v>
      </c>
      <c r="AF2866" s="201" t="s">
        <v>333</v>
      </c>
      <c r="AG2866" s="160"/>
      <c r="AH2866" s="174" t="s">
        <v>12248</v>
      </c>
      <c r="AI2866" s="172"/>
      <c r="AJ2866" s="172"/>
      <c r="AK2866" s="172"/>
      <c r="AL2866" s="172"/>
      <c r="AM2866" s="172"/>
      <c r="AN2866" s="172"/>
      <c r="AO2866" s="172"/>
      <c r="AP2866" s="172"/>
      <c r="AQ2866" s="172">
        <v>442</v>
      </c>
      <c r="AR2866" s="479"/>
      <c r="AS2866" s="461"/>
      <c r="AT2866" s="160"/>
    </row>
    <row r="2867" spans="1:46" ht="15" hidden="1" customHeight="1">
      <c r="A2867" s="220">
        <v>2861</v>
      </c>
      <c r="B2867" s="28" t="s">
        <v>30</v>
      </c>
      <c r="C2867" s="173" t="s">
        <v>9889</v>
      </c>
      <c r="D2867" s="438" t="s">
        <v>2757</v>
      </c>
      <c r="E2867" s="113" t="str">
        <f t="shared" ca="1" si="213"/>
        <v>ON TRACK</v>
      </c>
      <c r="F2867" s="174"/>
      <c r="G2867" s="454" t="s">
        <v>12253</v>
      </c>
      <c r="H2867" s="29" t="s">
        <v>2748</v>
      </c>
      <c r="I2867" s="29" t="s">
        <v>346</v>
      </c>
      <c r="J2867" s="173"/>
      <c r="K2867" s="180" t="s">
        <v>12254</v>
      </c>
      <c r="L2867" s="172"/>
      <c r="M2867" s="172" t="s">
        <v>353</v>
      </c>
      <c r="N2867" s="158" t="s">
        <v>6802</v>
      </c>
      <c r="O2867" s="176"/>
      <c r="P2867" s="175">
        <f>2700000*12</f>
        <v>32400000</v>
      </c>
      <c r="Q2867" s="175"/>
      <c r="R2867" s="176"/>
      <c r="S2867" s="177">
        <v>22000000</v>
      </c>
      <c r="T2867" s="178"/>
      <c r="U2867" s="334">
        <v>46013</v>
      </c>
      <c r="V2867" s="334">
        <v>46377</v>
      </c>
      <c r="W2867" s="27" t="s">
        <v>17</v>
      </c>
      <c r="X2867" s="172"/>
      <c r="Y2867" s="34">
        <f t="shared" ca="1" si="216"/>
        <v>46290</v>
      </c>
      <c r="Z2867" s="35">
        <f t="shared" ca="1" si="214"/>
        <v>87</v>
      </c>
      <c r="AA2867" s="27">
        <f t="shared" si="215"/>
        <v>12</v>
      </c>
      <c r="AB2867" s="27">
        <f>YEAR(V2867)</f>
        <v>2026</v>
      </c>
      <c r="AC2867" s="28" t="s">
        <v>12255</v>
      </c>
      <c r="AD2867" s="159" t="s">
        <v>12256</v>
      </c>
      <c r="AE2867" s="172">
        <v>4500026861</v>
      </c>
      <c r="AF2867" s="158" t="s">
        <v>333</v>
      </c>
      <c r="AG2867" s="160"/>
      <c r="AH2867" s="29" t="s">
        <v>2762</v>
      </c>
      <c r="AI2867" s="172"/>
      <c r="AJ2867" s="172"/>
      <c r="AK2867" s="172"/>
      <c r="AL2867" s="172"/>
      <c r="AM2867" s="172"/>
      <c r="AN2867" s="172"/>
      <c r="AO2867" s="172"/>
      <c r="AP2867" s="172"/>
      <c r="AQ2867" s="172">
        <v>453</v>
      </c>
      <c r="AR2867" s="479"/>
      <c r="AS2867" s="461"/>
      <c r="AT2867" s="160"/>
    </row>
    <row r="2868" spans="1:46" ht="15" hidden="1" customHeight="1">
      <c r="A2868" s="220">
        <v>2862</v>
      </c>
      <c r="B2868" s="173" t="s">
        <v>382</v>
      </c>
      <c r="C2868" s="173" t="s">
        <v>2451</v>
      </c>
      <c r="D2868" s="437" t="s">
        <v>384</v>
      </c>
      <c r="E2868" s="113" t="str">
        <f t="shared" ca="1" si="213"/>
        <v>CRITICAL</v>
      </c>
      <c r="F2868" s="174" t="s">
        <v>9807</v>
      </c>
      <c r="G2868" s="454" t="s">
        <v>9806</v>
      </c>
      <c r="H2868" s="160" t="s">
        <v>2748</v>
      </c>
      <c r="I2868" s="160" t="s">
        <v>242</v>
      </c>
      <c r="J2868" s="454" t="s">
        <v>11195</v>
      </c>
      <c r="K2868" s="454" t="s">
        <v>11196</v>
      </c>
      <c r="L2868" s="172"/>
      <c r="M2868" s="172" t="s">
        <v>12225</v>
      </c>
      <c r="N2868" s="158" t="s">
        <v>354</v>
      </c>
      <c r="O2868" s="176"/>
      <c r="P2868" s="161">
        <f>5000000*12</f>
        <v>60000000</v>
      </c>
      <c r="Q2868" s="175"/>
      <c r="R2868" s="176"/>
      <c r="S2868" s="177">
        <v>12000000</v>
      </c>
      <c r="T2868" s="178"/>
      <c r="U2868" s="340">
        <v>45888</v>
      </c>
      <c r="V2868" s="340">
        <v>46252</v>
      </c>
      <c r="W2868" s="27" t="s">
        <v>17</v>
      </c>
      <c r="X2868" s="172"/>
      <c r="Y2868" s="164">
        <f t="shared" ca="1" si="216"/>
        <v>46290</v>
      </c>
      <c r="Z2868" s="35">
        <f t="shared" ca="1" si="214"/>
        <v>-38</v>
      </c>
      <c r="AA2868" s="158">
        <f>MONTH(Table1[[#This Row],[End]])</f>
        <v>8</v>
      </c>
      <c r="AB2868" s="158">
        <f>YEAR(Table1[[#This Row],[End]])</f>
        <v>2026</v>
      </c>
      <c r="AC2868" s="173" t="s">
        <v>12257</v>
      </c>
      <c r="AD2868" s="159" t="s">
        <v>12258</v>
      </c>
      <c r="AE2868" s="172">
        <v>4500026988</v>
      </c>
      <c r="AF2868" s="158" t="s">
        <v>333</v>
      </c>
      <c r="AG2868" s="160"/>
      <c r="AH2868" s="174" t="s">
        <v>392</v>
      </c>
      <c r="AI2868" s="172"/>
      <c r="AJ2868" s="172"/>
      <c r="AK2868" s="172"/>
      <c r="AL2868" s="172"/>
      <c r="AM2868" s="172"/>
      <c r="AN2868" s="172"/>
      <c r="AO2868" s="172"/>
      <c r="AP2868" s="172"/>
      <c r="AQ2868" s="172">
        <v>447</v>
      </c>
      <c r="AR2868" s="479"/>
      <c r="AS2868" s="461"/>
      <c r="AT2868" s="160"/>
    </row>
    <row r="2869" spans="1:46" ht="15" hidden="1" customHeight="1">
      <c r="A2869" s="220">
        <v>2863</v>
      </c>
      <c r="B2869" s="173" t="s">
        <v>382</v>
      </c>
      <c r="C2869" s="173" t="s">
        <v>1000</v>
      </c>
      <c r="D2869" s="437" t="s">
        <v>384</v>
      </c>
      <c r="E2869" s="113" t="str">
        <f t="shared" ca="1" si="213"/>
        <v>ATTENTION</v>
      </c>
      <c r="F2869" s="174" t="s">
        <v>10512</v>
      </c>
      <c r="G2869" s="454" t="s">
        <v>12259</v>
      </c>
      <c r="H2869" s="160" t="s">
        <v>2748</v>
      </c>
      <c r="I2869" s="160" t="s">
        <v>242</v>
      </c>
      <c r="J2869" s="173"/>
      <c r="K2869" s="180" t="s">
        <v>12260</v>
      </c>
      <c r="L2869" s="172"/>
      <c r="M2869" s="158" t="s">
        <v>329</v>
      </c>
      <c r="N2869" s="158" t="s">
        <v>417</v>
      </c>
      <c r="O2869" s="176"/>
      <c r="P2869" s="175">
        <f>3999676*12</f>
        <v>47996112</v>
      </c>
      <c r="Q2869" s="175"/>
      <c r="R2869" s="176"/>
      <c r="S2869" s="177">
        <v>24000000</v>
      </c>
      <c r="T2869" s="178"/>
      <c r="U2869" s="340">
        <v>45246</v>
      </c>
      <c r="V2869" s="340">
        <v>46341</v>
      </c>
      <c r="W2869" s="27" t="s">
        <v>17</v>
      </c>
      <c r="X2869" s="172"/>
      <c r="Y2869" s="164">
        <f t="shared" ca="1" si="216"/>
        <v>46290</v>
      </c>
      <c r="Z2869" s="35">
        <f t="shared" ca="1" si="214"/>
        <v>51</v>
      </c>
      <c r="AA2869" s="158">
        <f>MONTH(Table1[[#This Row],[End]])</f>
        <v>11</v>
      </c>
      <c r="AB2869" s="158">
        <f>YEAR(Table1[[#This Row],[End]])</f>
        <v>2026</v>
      </c>
      <c r="AC2869" s="159">
        <v>4500022567</v>
      </c>
      <c r="AD2869" s="159" t="s">
        <v>12261</v>
      </c>
      <c r="AE2869" s="172">
        <v>4500026987</v>
      </c>
      <c r="AF2869" s="158" t="s">
        <v>333</v>
      </c>
      <c r="AG2869" s="160"/>
      <c r="AH2869" s="174" t="s">
        <v>392</v>
      </c>
      <c r="AI2869" s="172"/>
      <c r="AJ2869" s="172"/>
      <c r="AK2869" s="172"/>
      <c r="AL2869" s="172"/>
      <c r="AM2869" s="172"/>
      <c r="AN2869" s="172"/>
      <c r="AO2869" s="172"/>
      <c r="AP2869" s="172"/>
      <c r="AQ2869" s="172">
        <v>448</v>
      </c>
      <c r="AR2869" s="479"/>
      <c r="AS2869" s="461"/>
      <c r="AT2869" s="160"/>
    </row>
    <row r="2870" spans="1:46" ht="15" hidden="1" customHeight="1">
      <c r="A2870" s="220">
        <v>2864</v>
      </c>
      <c r="B2870" s="173" t="s">
        <v>382</v>
      </c>
      <c r="C2870" s="173" t="s">
        <v>1000</v>
      </c>
      <c r="D2870" s="437" t="s">
        <v>384</v>
      </c>
      <c r="E2870" s="113" t="str">
        <f t="shared" ca="1" si="213"/>
        <v>CRITICAL</v>
      </c>
      <c r="F2870" s="174" t="s">
        <v>12262</v>
      </c>
      <c r="G2870" s="454" t="s">
        <v>12263</v>
      </c>
      <c r="H2870" s="160" t="s">
        <v>2748</v>
      </c>
      <c r="I2870" s="160" t="s">
        <v>242</v>
      </c>
      <c r="J2870" s="173"/>
      <c r="K2870" s="180" t="s">
        <v>12264</v>
      </c>
      <c r="L2870" s="172"/>
      <c r="M2870" s="158" t="s">
        <v>329</v>
      </c>
      <c r="N2870" s="158" t="s">
        <v>6885</v>
      </c>
      <c r="O2870" s="176"/>
      <c r="P2870" s="175">
        <f>3976380*12</f>
        <v>47716560</v>
      </c>
      <c r="Q2870" s="175"/>
      <c r="R2870" s="176"/>
      <c r="S2870" s="177">
        <v>12000000</v>
      </c>
      <c r="T2870" s="178"/>
      <c r="U2870" s="340">
        <v>45071</v>
      </c>
      <c r="V2870" s="340">
        <v>46166</v>
      </c>
      <c r="W2870" s="27" t="s">
        <v>17</v>
      </c>
      <c r="X2870" s="172"/>
      <c r="Y2870" s="164">
        <f t="shared" ca="1" si="216"/>
        <v>46290</v>
      </c>
      <c r="Z2870" s="35">
        <f t="shared" ca="1" si="214"/>
        <v>-124</v>
      </c>
      <c r="AA2870" s="158">
        <f>MONTH(Table1[[#This Row],[End]])</f>
        <v>5</v>
      </c>
      <c r="AB2870" s="158">
        <f>YEAR(Table1[[#This Row],[End]])</f>
        <v>2026</v>
      </c>
      <c r="AC2870" s="159">
        <v>4500022365</v>
      </c>
      <c r="AD2870" s="159" t="s">
        <v>12265</v>
      </c>
      <c r="AE2870" s="172">
        <v>4500026986</v>
      </c>
      <c r="AF2870" s="158" t="s">
        <v>333</v>
      </c>
      <c r="AG2870" s="160"/>
      <c r="AH2870" s="174" t="s">
        <v>392</v>
      </c>
      <c r="AI2870" s="172"/>
      <c r="AJ2870" s="172"/>
      <c r="AK2870" s="172"/>
      <c r="AL2870" s="172"/>
      <c r="AM2870" s="172"/>
      <c r="AN2870" s="172"/>
      <c r="AO2870" s="172"/>
      <c r="AP2870" s="172"/>
      <c r="AQ2870" s="172">
        <v>449</v>
      </c>
      <c r="AR2870" s="479"/>
      <c r="AS2870" s="461"/>
      <c r="AT2870" s="160"/>
    </row>
    <row r="2871" spans="1:46" ht="15" hidden="1" customHeight="1">
      <c r="A2871" s="220">
        <v>2865</v>
      </c>
      <c r="B2871" s="173" t="s">
        <v>739</v>
      </c>
      <c r="C2871" s="159" t="s">
        <v>9541</v>
      </c>
      <c r="D2871" s="437" t="s">
        <v>8260</v>
      </c>
      <c r="E2871" s="113" t="str">
        <f t="shared" ca="1" si="213"/>
        <v>ON TRACK</v>
      </c>
      <c r="F2871" s="160" t="s">
        <v>9542</v>
      </c>
      <c r="G2871" s="182" t="s">
        <v>9543</v>
      </c>
      <c r="H2871" s="160" t="s">
        <v>2748</v>
      </c>
      <c r="I2871" s="29" t="s">
        <v>346</v>
      </c>
      <c r="J2871" s="216" t="s">
        <v>9544</v>
      </c>
      <c r="K2871" s="174"/>
      <c r="L2871" s="172"/>
      <c r="M2871" s="158" t="s">
        <v>365</v>
      </c>
      <c r="N2871" s="158" t="s">
        <v>6885</v>
      </c>
      <c r="O2871" s="176"/>
      <c r="P2871" s="175">
        <f>8810000*12</f>
        <v>105720000</v>
      </c>
      <c r="Q2871" s="175"/>
      <c r="R2871" s="176"/>
      <c r="S2871" s="163">
        <v>22365000</v>
      </c>
      <c r="T2871" s="178"/>
      <c r="U2871" s="334">
        <v>46001</v>
      </c>
      <c r="V2871" s="334">
        <v>46365</v>
      </c>
      <c r="W2871" s="158" t="s">
        <v>17</v>
      </c>
      <c r="X2871" s="172"/>
      <c r="Y2871" s="34">
        <f t="shared" ca="1" si="216"/>
        <v>46290</v>
      </c>
      <c r="Z2871" s="35">
        <f t="shared" ca="1" si="214"/>
        <v>75</v>
      </c>
      <c r="AA2871" s="27">
        <f t="shared" ref="AA2871:AA2876" si="217">MONTH(V2871)</f>
        <v>12</v>
      </c>
      <c r="AB2871" s="158">
        <v>2025</v>
      </c>
      <c r="AC2871" s="159" t="s">
        <v>12266</v>
      </c>
      <c r="AD2871" s="159" t="s">
        <v>12267</v>
      </c>
      <c r="AE2871" s="172">
        <v>4500026643</v>
      </c>
      <c r="AF2871" s="201" t="s">
        <v>333</v>
      </c>
      <c r="AG2871" s="160"/>
      <c r="AH2871" s="174" t="s">
        <v>8264</v>
      </c>
      <c r="AI2871" s="172"/>
      <c r="AJ2871" s="172"/>
      <c r="AK2871" s="172"/>
      <c r="AL2871" s="172"/>
      <c r="AM2871" s="172"/>
      <c r="AN2871" s="172"/>
      <c r="AO2871" s="172"/>
      <c r="AP2871" s="172"/>
      <c r="AQ2871" s="172">
        <v>446</v>
      </c>
      <c r="AR2871" s="479"/>
      <c r="AS2871" s="461"/>
      <c r="AT2871" s="160"/>
    </row>
    <row r="2872" spans="1:46" ht="15" hidden="1" customHeight="1">
      <c r="A2872" s="220">
        <v>2866</v>
      </c>
      <c r="B2872" s="28" t="s">
        <v>321</v>
      </c>
      <c r="C2872" s="173" t="s">
        <v>322</v>
      </c>
      <c r="D2872" s="438" t="s">
        <v>323</v>
      </c>
      <c r="E2872" s="113" t="str">
        <f t="shared" ca="1" si="213"/>
        <v>CRITICAL</v>
      </c>
      <c r="F2872" s="174" t="s">
        <v>325</v>
      </c>
      <c r="G2872" s="173" t="s">
        <v>326</v>
      </c>
      <c r="H2872" s="29" t="s">
        <v>2748</v>
      </c>
      <c r="I2872" s="174" t="s">
        <v>242</v>
      </c>
      <c r="J2872" s="454" t="s">
        <v>328</v>
      </c>
      <c r="K2872" s="174"/>
      <c r="L2872" s="172"/>
      <c r="M2872" s="27" t="s">
        <v>329</v>
      </c>
      <c r="N2872" s="172" t="s">
        <v>330</v>
      </c>
      <c r="O2872" s="176"/>
      <c r="P2872" s="175">
        <f>1300000*12</f>
        <v>15600000</v>
      </c>
      <c r="Q2872" s="175"/>
      <c r="R2872" s="176"/>
      <c r="S2872" s="177">
        <v>25200000</v>
      </c>
      <c r="T2872" s="178"/>
      <c r="U2872" s="334">
        <v>45665</v>
      </c>
      <c r="V2872" s="334">
        <v>46029</v>
      </c>
      <c r="W2872" s="27" t="s">
        <v>250</v>
      </c>
      <c r="X2872" s="172"/>
      <c r="Y2872" s="34">
        <f t="shared" ca="1" si="216"/>
        <v>46290</v>
      </c>
      <c r="Z2872" s="35">
        <f t="shared" ca="1" si="214"/>
        <v>-261</v>
      </c>
      <c r="AA2872" s="27">
        <f t="shared" si="217"/>
        <v>1</v>
      </c>
      <c r="AB2872" s="27">
        <f t="shared" ref="AB2872:AB2891" si="218">YEAR(V2872)</f>
        <v>2026</v>
      </c>
      <c r="AC2872" s="173" t="s">
        <v>331</v>
      </c>
      <c r="AD2872" s="173" t="s">
        <v>332</v>
      </c>
      <c r="AE2872" s="172">
        <v>4500026998</v>
      </c>
      <c r="AF2872" s="179" t="s">
        <v>333</v>
      </c>
      <c r="AG2872" s="160"/>
      <c r="AH2872" s="174" t="s">
        <v>8816</v>
      </c>
      <c r="AI2872" s="172"/>
      <c r="AJ2872" s="172"/>
      <c r="AK2872" s="172"/>
      <c r="AL2872" s="172"/>
      <c r="AM2872" s="172"/>
      <c r="AN2872" s="172"/>
      <c r="AO2872" s="172"/>
      <c r="AP2872" s="172"/>
      <c r="AQ2872" s="172">
        <v>454</v>
      </c>
      <c r="AR2872" s="479"/>
      <c r="AS2872" s="461"/>
      <c r="AT2872" s="160"/>
    </row>
    <row r="2873" spans="1:46" ht="15" hidden="1" customHeight="1">
      <c r="A2873" s="220">
        <v>2867</v>
      </c>
      <c r="B2873" s="28" t="s">
        <v>321</v>
      </c>
      <c r="C2873" s="173" t="s">
        <v>1134</v>
      </c>
      <c r="D2873" s="438" t="s">
        <v>323</v>
      </c>
      <c r="E2873" s="113" t="str">
        <f t="shared" ca="1" si="213"/>
        <v>CRITICAL</v>
      </c>
      <c r="F2873" s="174" t="s">
        <v>12268</v>
      </c>
      <c r="G2873" s="173" t="s">
        <v>12269</v>
      </c>
      <c r="H2873" s="29" t="s">
        <v>2748</v>
      </c>
      <c r="I2873" s="174" t="s">
        <v>242</v>
      </c>
      <c r="J2873" s="454" t="s">
        <v>12270</v>
      </c>
      <c r="K2873" s="454" t="s">
        <v>12271</v>
      </c>
      <c r="L2873" s="172"/>
      <c r="M2873" s="172" t="s">
        <v>365</v>
      </c>
      <c r="N2873" s="172" t="s">
        <v>354</v>
      </c>
      <c r="O2873" s="176"/>
      <c r="P2873" s="175">
        <f>7027027*12</f>
        <v>84324324</v>
      </c>
      <c r="Q2873" s="175"/>
      <c r="R2873" s="176"/>
      <c r="S2873" s="177">
        <v>25200000</v>
      </c>
      <c r="T2873" s="178"/>
      <c r="U2873" s="334">
        <v>45689</v>
      </c>
      <c r="V2873" s="334">
        <v>46053</v>
      </c>
      <c r="W2873" s="27" t="s">
        <v>250</v>
      </c>
      <c r="X2873" s="172"/>
      <c r="Y2873" s="34">
        <f t="shared" ca="1" si="216"/>
        <v>46290</v>
      </c>
      <c r="Z2873" s="35">
        <f t="shared" ca="1" si="214"/>
        <v>-237</v>
      </c>
      <c r="AA2873" s="27">
        <f t="shared" si="217"/>
        <v>1</v>
      </c>
      <c r="AB2873" s="27">
        <f t="shared" si="218"/>
        <v>2026</v>
      </c>
      <c r="AC2873" s="173" t="s">
        <v>12272</v>
      </c>
      <c r="AD2873" s="173" t="s">
        <v>12273</v>
      </c>
      <c r="AE2873" s="172">
        <v>4500026999</v>
      </c>
      <c r="AF2873" s="179" t="s">
        <v>333</v>
      </c>
      <c r="AG2873" s="160"/>
      <c r="AH2873" s="174" t="s">
        <v>8816</v>
      </c>
      <c r="AI2873" s="172"/>
      <c r="AJ2873" s="172"/>
      <c r="AK2873" s="172"/>
      <c r="AL2873" s="172"/>
      <c r="AM2873" s="172"/>
      <c r="AN2873" s="172"/>
      <c r="AO2873" s="172"/>
      <c r="AP2873" s="172"/>
      <c r="AQ2873" s="172">
        <v>455</v>
      </c>
      <c r="AR2873" s="479"/>
      <c r="AS2873" s="461"/>
      <c r="AT2873" s="160"/>
    </row>
    <row r="2874" spans="1:46" ht="15" hidden="1" customHeight="1">
      <c r="A2874" s="220">
        <v>2868</v>
      </c>
      <c r="B2874" s="159" t="s">
        <v>440</v>
      </c>
      <c r="C2874" s="173" t="s">
        <v>1327</v>
      </c>
      <c r="D2874" s="437" t="s">
        <v>442</v>
      </c>
      <c r="E2874" s="113" t="str">
        <f t="shared" ca="1" si="213"/>
        <v>ON TRACK</v>
      </c>
      <c r="F2874" s="174"/>
      <c r="G2874" s="159" t="s">
        <v>9514</v>
      </c>
      <c r="H2874" s="160" t="s">
        <v>2748</v>
      </c>
      <c r="I2874" s="160" t="s">
        <v>346</v>
      </c>
      <c r="J2874" s="454" t="s">
        <v>12274</v>
      </c>
      <c r="K2874" s="174"/>
      <c r="L2874" s="172"/>
      <c r="M2874" s="172" t="s">
        <v>388</v>
      </c>
      <c r="N2874" s="158" t="s">
        <v>6755</v>
      </c>
      <c r="O2874" s="176"/>
      <c r="P2874" s="175" t="s">
        <v>115</v>
      </c>
      <c r="Q2874" s="175"/>
      <c r="R2874" s="176"/>
      <c r="S2874" s="177">
        <v>8100000</v>
      </c>
      <c r="T2874" s="178"/>
      <c r="U2874" s="334">
        <v>45992</v>
      </c>
      <c r="V2874" s="334">
        <v>46356</v>
      </c>
      <c r="W2874" s="27" t="s">
        <v>17</v>
      </c>
      <c r="X2874" s="172"/>
      <c r="Y2874" s="34">
        <f t="shared" ca="1" si="216"/>
        <v>46290</v>
      </c>
      <c r="Z2874" s="35">
        <f t="shared" ca="1" si="214"/>
        <v>66</v>
      </c>
      <c r="AA2874" s="27">
        <f t="shared" si="217"/>
        <v>11</v>
      </c>
      <c r="AB2874" s="27">
        <f t="shared" si="218"/>
        <v>2026</v>
      </c>
      <c r="AC2874" s="28" t="s">
        <v>12275</v>
      </c>
      <c r="AD2874" s="159" t="s">
        <v>12276</v>
      </c>
      <c r="AE2874" s="172">
        <v>4500026855</v>
      </c>
      <c r="AF2874" s="201" t="s">
        <v>333</v>
      </c>
      <c r="AG2874" s="160"/>
      <c r="AH2874" s="174" t="s">
        <v>449</v>
      </c>
      <c r="AI2874" s="172"/>
      <c r="AJ2874" s="172"/>
      <c r="AK2874" s="172"/>
      <c r="AL2874" s="172"/>
      <c r="AM2874" s="172"/>
      <c r="AN2874" s="172"/>
      <c r="AO2874" s="172"/>
      <c r="AP2874" s="172"/>
      <c r="AQ2874" s="172">
        <v>456</v>
      </c>
      <c r="AR2874" s="479"/>
      <c r="AS2874" s="461"/>
      <c r="AT2874" s="160"/>
    </row>
    <row r="2875" spans="1:46" ht="15" hidden="1" customHeight="1">
      <c r="A2875" s="220">
        <v>2869</v>
      </c>
      <c r="B2875" s="173" t="s">
        <v>2615</v>
      </c>
      <c r="C2875" s="28" t="s">
        <v>1285</v>
      </c>
      <c r="D2875" s="437" t="s">
        <v>6750</v>
      </c>
      <c r="E2875" s="361" t="str">
        <f t="shared" ref="E2875:E2885" ca="1" si="219">IF(Z2875&lt;=0, "LOSS",IF(Z2875&lt;=15, "CRITICAL",IF(Z2875&lt;=30, "WARNING",IF(Z2875&lt;60, "ATTENTION", "ON TRACK"))))</f>
        <v>ON TRACK</v>
      </c>
      <c r="F2875" s="29" t="s">
        <v>115</v>
      </c>
      <c r="G2875" s="28" t="s">
        <v>8325</v>
      </c>
      <c r="H2875" s="160" t="s">
        <v>261</v>
      </c>
      <c r="I2875" s="160" t="s">
        <v>243</v>
      </c>
      <c r="J2875" s="28" t="s">
        <v>8326</v>
      </c>
      <c r="K2875" s="28" t="s">
        <v>8327</v>
      </c>
      <c r="L2875" s="51">
        <v>0.995</v>
      </c>
      <c r="M2875" s="27" t="s">
        <v>353</v>
      </c>
      <c r="N2875" s="27" t="s">
        <v>362</v>
      </c>
      <c r="O2875" s="176"/>
      <c r="P2875" s="175">
        <f>25000000*12</f>
        <v>300000000</v>
      </c>
      <c r="Q2875" s="175"/>
      <c r="R2875" s="176"/>
      <c r="S2875" s="177">
        <f>3500000*12</f>
        <v>42000000</v>
      </c>
      <c r="T2875" s="178"/>
      <c r="U2875" s="340">
        <v>45993</v>
      </c>
      <c r="V2875" s="340">
        <v>46357</v>
      </c>
      <c r="W2875" s="172" t="s">
        <v>17</v>
      </c>
      <c r="X2875" s="172"/>
      <c r="Y2875" s="34">
        <f t="shared" ca="1" si="216"/>
        <v>46290</v>
      </c>
      <c r="Z2875" s="35">
        <f t="shared" ca="1" si="214"/>
        <v>67</v>
      </c>
      <c r="AA2875" s="27">
        <f t="shared" si="217"/>
        <v>12</v>
      </c>
      <c r="AB2875" s="27">
        <f t="shared" si="218"/>
        <v>2026</v>
      </c>
      <c r="AC2875" s="159" t="s">
        <v>12277</v>
      </c>
      <c r="AD2875" s="159" t="s">
        <v>12278</v>
      </c>
      <c r="AE2875" s="184" t="s">
        <v>12279</v>
      </c>
      <c r="AF2875" s="52" t="s">
        <v>471</v>
      </c>
      <c r="AG2875" s="160"/>
      <c r="AH2875" s="29" t="s">
        <v>8837</v>
      </c>
      <c r="AI2875" s="172"/>
      <c r="AJ2875" s="172"/>
      <c r="AK2875" s="172"/>
      <c r="AL2875" s="172"/>
      <c r="AM2875" s="172"/>
      <c r="AN2875" s="172"/>
      <c r="AO2875" s="172"/>
      <c r="AP2875" s="172"/>
      <c r="AQ2875" s="172">
        <v>389</v>
      </c>
      <c r="AR2875" s="479"/>
      <c r="AS2875" s="461"/>
      <c r="AT2875" s="160"/>
    </row>
    <row r="2876" spans="1:46" ht="15" hidden="1" customHeight="1">
      <c r="A2876" s="220">
        <v>2870</v>
      </c>
      <c r="B2876" s="173" t="s">
        <v>2615</v>
      </c>
      <c r="C2876" s="28" t="s">
        <v>1285</v>
      </c>
      <c r="D2876" s="438" t="s">
        <v>6750</v>
      </c>
      <c r="E2876" s="361" t="str">
        <f t="shared" ca="1" si="219"/>
        <v>ON TRACK</v>
      </c>
      <c r="F2876" s="29" t="s">
        <v>115</v>
      </c>
      <c r="G2876" s="28" t="s">
        <v>8325</v>
      </c>
      <c r="H2876" s="160" t="s">
        <v>261</v>
      </c>
      <c r="I2876" s="160" t="s">
        <v>243</v>
      </c>
      <c r="J2876" s="28" t="s">
        <v>8331</v>
      </c>
      <c r="K2876" s="28" t="s">
        <v>8332</v>
      </c>
      <c r="L2876" s="51">
        <v>0.995</v>
      </c>
      <c r="M2876" s="27" t="s">
        <v>365</v>
      </c>
      <c r="N2876" s="27" t="s">
        <v>468</v>
      </c>
      <c r="O2876" s="176"/>
      <c r="P2876" s="175">
        <f>20000000*12</f>
        <v>240000000</v>
      </c>
      <c r="Q2876" s="175"/>
      <c r="R2876" s="176"/>
      <c r="S2876" s="177">
        <f>2150000*12</f>
        <v>25800000</v>
      </c>
      <c r="T2876" s="178"/>
      <c r="U2876" s="340">
        <v>45993</v>
      </c>
      <c r="V2876" s="340">
        <v>46357</v>
      </c>
      <c r="W2876" s="172" t="s">
        <v>17</v>
      </c>
      <c r="X2876" s="172"/>
      <c r="Y2876" s="34">
        <f t="shared" ca="1" si="216"/>
        <v>46290</v>
      </c>
      <c r="Z2876" s="35">
        <f t="shared" ref="Z2876:Z2891" ca="1" si="220">V2876-Y2876</f>
        <v>67</v>
      </c>
      <c r="AA2876" s="27">
        <f t="shared" si="217"/>
        <v>12</v>
      </c>
      <c r="AB2876" s="27">
        <f t="shared" si="218"/>
        <v>2026</v>
      </c>
      <c r="AC2876" s="159" t="s">
        <v>12277</v>
      </c>
      <c r="AD2876" s="159" t="s">
        <v>12278</v>
      </c>
      <c r="AE2876" s="184" t="s">
        <v>12279</v>
      </c>
      <c r="AF2876" s="27" t="s">
        <v>471</v>
      </c>
      <c r="AG2876" s="160"/>
      <c r="AH2876" s="29" t="s">
        <v>8837</v>
      </c>
      <c r="AI2876" s="172"/>
      <c r="AJ2876" s="172"/>
      <c r="AK2876" s="172"/>
      <c r="AL2876" s="172"/>
      <c r="AM2876" s="172"/>
      <c r="AN2876" s="172"/>
      <c r="AO2876" s="172"/>
      <c r="AP2876" s="172"/>
      <c r="AQ2876" s="172">
        <v>389</v>
      </c>
      <c r="AR2876" s="479"/>
      <c r="AS2876" s="461"/>
      <c r="AT2876" s="160"/>
    </row>
    <row r="2877" spans="1:46" ht="15" hidden="1" customHeight="1">
      <c r="A2877" s="220">
        <v>2871</v>
      </c>
      <c r="B2877" s="173" t="s">
        <v>614</v>
      </c>
      <c r="C2877" s="159" t="s">
        <v>6780</v>
      </c>
      <c r="D2877" s="443" t="s">
        <v>9294</v>
      </c>
      <c r="E2877" s="361" t="str">
        <f t="shared" ca="1" si="219"/>
        <v>ON TRACK</v>
      </c>
      <c r="F2877" s="28" t="s">
        <v>10204</v>
      </c>
      <c r="G2877" s="28" t="s">
        <v>10205</v>
      </c>
      <c r="H2877" s="160" t="s">
        <v>261</v>
      </c>
      <c r="I2877" s="160" t="s">
        <v>243</v>
      </c>
      <c r="J2877" s="28" t="s">
        <v>2016</v>
      </c>
      <c r="K2877" s="160" t="s">
        <v>10206</v>
      </c>
      <c r="L2877" s="213">
        <v>0.99</v>
      </c>
      <c r="M2877" s="158" t="s">
        <v>365</v>
      </c>
      <c r="N2877" s="158" t="s">
        <v>6735</v>
      </c>
      <c r="O2877" s="176"/>
      <c r="P2877" s="175">
        <f>31800000*12</f>
        <v>381600000</v>
      </c>
      <c r="Q2877" s="175"/>
      <c r="R2877" s="176"/>
      <c r="S2877" s="177">
        <f>15000000*12</f>
        <v>180000000</v>
      </c>
      <c r="T2877" s="178"/>
      <c r="U2877" s="340">
        <v>46023</v>
      </c>
      <c r="V2877" s="340">
        <v>46387</v>
      </c>
      <c r="W2877" s="158" t="s">
        <v>17</v>
      </c>
      <c r="X2877" s="158"/>
      <c r="Y2877" s="34">
        <f t="shared" ca="1" si="216"/>
        <v>46290</v>
      </c>
      <c r="Z2877" s="35">
        <f t="shared" ca="1" si="220"/>
        <v>97</v>
      </c>
      <c r="AA2877" s="158">
        <f>MONTH(Table1[[#This Row],[End]])</f>
        <v>12</v>
      </c>
      <c r="AB2877" s="27">
        <f t="shared" si="218"/>
        <v>2026</v>
      </c>
      <c r="AC2877" s="159" t="s">
        <v>12280</v>
      </c>
      <c r="AD2877" s="159" t="s">
        <v>12281</v>
      </c>
      <c r="AE2877" s="184" t="s">
        <v>12282</v>
      </c>
      <c r="AF2877" s="52" t="s">
        <v>471</v>
      </c>
      <c r="AG2877" s="160"/>
      <c r="AH2877" s="160" t="s">
        <v>12283</v>
      </c>
      <c r="AI2877" s="172"/>
      <c r="AJ2877" s="172"/>
      <c r="AK2877" s="172"/>
      <c r="AL2877" s="172"/>
      <c r="AM2877" s="172"/>
      <c r="AN2877" s="172"/>
      <c r="AO2877" s="172"/>
      <c r="AP2877" s="172"/>
      <c r="AQ2877" s="172"/>
      <c r="AR2877" s="479">
        <v>2</v>
      </c>
      <c r="AS2877" s="461"/>
      <c r="AT2877" s="160"/>
    </row>
    <row r="2878" spans="1:46" ht="15" hidden="1" customHeight="1">
      <c r="A2878" s="220">
        <v>2872</v>
      </c>
      <c r="B2878" s="173" t="s">
        <v>9349</v>
      </c>
      <c r="C2878" s="159" t="s">
        <v>8460</v>
      </c>
      <c r="D2878" s="438" t="s">
        <v>1620</v>
      </c>
      <c r="E2878" s="361" t="str">
        <f t="shared" ca="1" si="219"/>
        <v>ON TRACK</v>
      </c>
      <c r="F2878" s="159" t="s">
        <v>10145</v>
      </c>
      <c r="G2878" s="28" t="s">
        <v>8462</v>
      </c>
      <c r="H2878" s="160" t="s">
        <v>261</v>
      </c>
      <c r="I2878" s="160" t="s">
        <v>243</v>
      </c>
      <c r="J2878" s="159" t="s">
        <v>8469</v>
      </c>
      <c r="K2878" s="181" t="s">
        <v>10147</v>
      </c>
      <c r="L2878" s="27" t="s">
        <v>4749</v>
      </c>
      <c r="M2878" s="158" t="s">
        <v>365</v>
      </c>
      <c r="N2878" s="158" t="s">
        <v>6802</v>
      </c>
      <c r="O2878" s="176"/>
      <c r="P2878" s="175">
        <f>5200000*12</f>
        <v>62400000</v>
      </c>
      <c r="Q2878" s="175"/>
      <c r="R2878" s="176"/>
      <c r="S2878" s="177">
        <f>2300000*12</f>
        <v>27600000</v>
      </c>
      <c r="T2878" s="178"/>
      <c r="U2878" s="340">
        <v>46023</v>
      </c>
      <c r="V2878" s="340">
        <v>46387</v>
      </c>
      <c r="W2878" s="158" t="s">
        <v>17</v>
      </c>
      <c r="X2878" s="158"/>
      <c r="Y2878" s="34">
        <f t="shared" ca="1" si="216"/>
        <v>46290</v>
      </c>
      <c r="Z2878" s="35">
        <f t="shared" ca="1" si="220"/>
        <v>97</v>
      </c>
      <c r="AA2878" s="27">
        <f t="shared" ref="AA2878:AA2891" si="221">MONTH(V2878)</f>
        <v>12</v>
      </c>
      <c r="AB2878" s="27">
        <f t="shared" si="218"/>
        <v>2026</v>
      </c>
      <c r="AC2878" s="159" t="s">
        <v>12284</v>
      </c>
      <c r="AD2878" s="159" t="s">
        <v>12285</v>
      </c>
      <c r="AE2878" s="184" t="s">
        <v>12286</v>
      </c>
      <c r="AF2878" s="27" t="s">
        <v>471</v>
      </c>
      <c r="AG2878" s="160"/>
      <c r="AH2878" s="29" t="s">
        <v>12287</v>
      </c>
      <c r="AI2878" s="172"/>
      <c r="AJ2878" s="172"/>
      <c r="AK2878" s="172"/>
      <c r="AL2878" s="172"/>
      <c r="AM2878" s="172"/>
      <c r="AN2878" s="172"/>
      <c r="AO2878" s="172"/>
      <c r="AP2878" s="172"/>
      <c r="AQ2878" s="172"/>
      <c r="AR2878" s="479">
        <v>1</v>
      </c>
      <c r="AS2878" s="461"/>
      <c r="AT2878" s="160"/>
    </row>
    <row r="2879" spans="1:46" ht="15" hidden="1" customHeight="1">
      <c r="A2879" s="220">
        <v>2873</v>
      </c>
      <c r="B2879" s="173" t="s">
        <v>9708</v>
      </c>
      <c r="C2879" s="159" t="s">
        <v>9709</v>
      </c>
      <c r="D2879" s="438" t="s">
        <v>8346</v>
      </c>
      <c r="E2879" s="361" t="str">
        <f t="shared" ca="1" si="219"/>
        <v>ATTENTION</v>
      </c>
      <c r="F2879" s="29" t="s">
        <v>8347</v>
      </c>
      <c r="G2879" s="28" t="s">
        <v>12288</v>
      </c>
      <c r="H2879" s="160" t="s">
        <v>261</v>
      </c>
      <c r="I2879" s="160" t="s">
        <v>243</v>
      </c>
      <c r="J2879" s="28" t="s">
        <v>8349</v>
      </c>
      <c r="K2879" s="38" t="s">
        <v>8350</v>
      </c>
      <c r="L2879" s="70">
        <v>0.99</v>
      </c>
      <c r="M2879" s="27" t="s">
        <v>365</v>
      </c>
      <c r="N2879" s="27" t="s">
        <v>494</v>
      </c>
      <c r="O2879" s="176"/>
      <c r="P2879" s="175">
        <f>5250000*12</f>
        <v>63000000</v>
      </c>
      <c r="Q2879" s="175"/>
      <c r="R2879" s="176"/>
      <c r="S2879" s="177">
        <f>3000000*12</f>
        <v>36000000</v>
      </c>
      <c r="T2879" s="178"/>
      <c r="U2879" s="340">
        <v>45976</v>
      </c>
      <c r="V2879" s="340">
        <v>46340</v>
      </c>
      <c r="W2879" s="158" t="s">
        <v>17</v>
      </c>
      <c r="X2879" s="158"/>
      <c r="Y2879" s="34">
        <f t="shared" ca="1" si="216"/>
        <v>46290</v>
      </c>
      <c r="Z2879" s="35">
        <f t="shared" ca="1" si="220"/>
        <v>50</v>
      </c>
      <c r="AA2879" s="27">
        <f t="shared" si="221"/>
        <v>11</v>
      </c>
      <c r="AB2879" s="27">
        <f t="shared" si="218"/>
        <v>2026</v>
      </c>
      <c r="AC2879" s="159" t="s">
        <v>12289</v>
      </c>
      <c r="AD2879" s="159" t="s">
        <v>12290</v>
      </c>
      <c r="AE2879" s="184" t="s">
        <v>12291</v>
      </c>
      <c r="AF2879" s="201" t="s">
        <v>471</v>
      </c>
      <c r="AG2879" s="160"/>
      <c r="AH2879" s="29" t="s">
        <v>8352</v>
      </c>
      <c r="AI2879" s="172"/>
      <c r="AJ2879" s="172"/>
      <c r="AK2879" s="172"/>
      <c r="AL2879" s="172"/>
      <c r="AM2879" s="172"/>
      <c r="AN2879" s="172"/>
      <c r="AO2879" s="172"/>
      <c r="AP2879" s="172"/>
      <c r="AQ2879" s="172">
        <v>394</v>
      </c>
      <c r="AR2879" s="479"/>
      <c r="AS2879" s="461"/>
      <c r="AT2879" s="160"/>
    </row>
    <row r="2880" spans="1:46" ht="15" hidden="1" customHeight="1">
      <c r="A2880" s="220">
        <v>2874</v>
      </c>
      <c r="B2880" s="159" t="s">
        <v>9708</v>
      </c>
      <c r="C2880" s="159" t="s">
        <v>9709</v>
      </c>
      <c r="D2880" s="437" t="s">
        <v>8346</v>
      </c>
      <c r="E2880" s="361" t="str">
        <f t="shared" ca="1" si="219"/>
        <v>ATTENTION</v>
      </c>
      <c r="F2880" s="29" t="s">
        <v>8347</v>
      </c>
      <c r="G2880" s="28" t="s">
        <v>12292</v>
      </c>
      <c r="H2880" s="160" t="s">
        <v>261</v>
      </c>
      <c r="I2880" s="160" t="s">
        <v>243</v>
      </c>
      <c r="J2880" s="28" t="s">
        <v>8354</v>
      </c>
      <c r="K2880" s="38" t="s">
        <v>8355</v>
      </c>
      <c r="L2880" s="70">
        <v>0.99</v>
      </c>
      <c r="M2880" s="27" t="s">
        <v>365</v>
      </c>
      <c r="N2880" s="27" t="s">
        <v>468</v>
      </c>
      <c r="O2880" s="176"/>
      <c r="P2880" s="175">
        <f>8000000*12</f>
        <v>96000000</v>
      </c>
      <c r="Q2880" s="175"/>
      <c r="R2880" s="176"/>
      <c r="S2880" s="177">
        <f>4000000*12</f>
        <v>48000000</v>
      </c>
      <c r="T2880" s="178"/>
      <c r="U2880" s="340">
        <v>45976</v>
      </c>
      <c r="V2880" s="340">
        <v>46340</v>
      </c>
      <c r="W2880" s="158" t="s">
        <v>17</v>
      </c>
      <c r="X2880" s="158"/>
      <c r="Y2880" s="34">
        <f t="shared" ca="1" si="216"/>
        <v>46290</v>
      </c>
      <c r="Z2880" s="35">
        <f t="shared" ca="1" si="220"/>
        <v>50</v>
      </c>
      <c r="AA2880" s="27">
        <f t="shared" si="221"/>
        <v>11</v>
      </c>
      <c r="AB2880" s="27">
        <f t="shared" si="218"/>
        <v>2026</v>
      </c>
      <c r="AC2880" s="159" t="s">
        <v>12289</v>
      </c>
      <c r="AD2880" s="159" t="s">
        <v>12290</v>
      </c>
      <c r="AE2880" s="184" t="s">
        <v>12291</v>
      </c>
      <c r="AF2880" s="201" t="s">
        <v>471</v>
      </c>
      <c r="AG2880" s="160"/>
      <c r="AH2880" s="29" t="s">
        <v>8352</v>
      </c>
      <c r="AI2880" s="172"/>
      <c r="AJ2880" s="172"/>
      <c r="AK2880" s="172"/>
      <c r="AL2880" s="172"/>
      <c r="AM2880" s="172"/>
      <c r="AN2880" s="172"/>
      <c r="AO2880" s="172"/>
      <c r="AP2880" s="172"/>
      <c r="AQ2880" s="172">
        <v>394</v>
      </c>
      <c r="AR2880" s="479"/>
      <c r="AS2880" s="461"/>
      <c r="AT2880" s="160"/>
    </row>
    <row r="2881" spans="1:46" ht="15" hidden="1" customHeight="1">
      <c r="A2881" s="220">
        <v>2875</v>
      </c>
      <c r="B2881" s="159" t="s">
        <v>9708</v>
      </c>
      <c r="C2881" s="159" t="s">
        <v>9709</v>
      </c>
      <c r="D2881" s="438" t="s">
        <v>8346</v>
      </c>
      <c r="E2881" s="361" t="str">
        <f t="shared" ca="1" si="219"/>
        <v>ATTENTION</v>
      </c>
      <c r="F2881" s="29" t="s">
        <v>8347</v>
      </c>
      <c r="G2881" s="28" t="s">
        <v>12288</v>
      </c>
      <c r="H2881" s="160" t="s">
        <v>261</v>
      </c>
      <c r="I2881" s="160" t="s">
        <v>243</v>
      </c>
      <c r="J2881" s="28" t="s">
        <v>8356</v>
      </c>
      <c r="K2881" s="38" t="s">
        <v>8357</v>
      </c>
      <c r="L2881" s="70">
        <v>0.99</v>
      </c>
      <c r="M2881" s="27" t="s">
        <v>365</v>
      </c>
      <c r="N2881" s="27" t="s">
        <v>6727</v>
      </c>
      <c r="O2881" s="176"/>
      <c r="P2881" s="175">
        <f>12350000*12</f>
        <v>148200000</v>
      </c>
      <c r="Q2881" s="175"/>
      <c r="R2881" s="176"/>
      <c r="S2881" s="177">
        <f>7000000*12</f>
        <v>84000000</v>
      </c>
      <c r="T2881" s="178"/>
      <c r="U2881" s="340">
        <v>45976</v>
      </c>
      <c r="V2881" s="340">
        <v>46340</v>
      </c>
      <c r="W2881" s="158" t="s">
        <v>17</v>
      </c>
      <c r="X2881" s="158"/>
      <c r="Y2881" s="34">
        <f t="shared" ca="1" si="216"/>
        <v>46290</v>
      </c>
      <c r="Z2881" s="35">
        <f t="shared" ca="1" si="220"/>
        <v>50</v>
      </c>
      <c r="AA2881" s="27">
        <f t="shared" si="221"/>
        <v>11</v>
      </c>
      <c r="AB2881" s="27">
        <f t="shared" si="218"/>
        <v>2026</v>
      </c>
      <c r="AC2881" s="159" t="s">
        <v>12289</v>
      </c>
      <c r="AD2881" s="159" t="s">
        <v>12290</v>
      </c>
      <c r="AE2881" s="184" t="s">
        <v>12291</v>
      </c>
      <c r="AF2881" s="201" t="s">
        <v>471</v>
      </c>
      <c r="AG2881" s="160"/>
      <c r="AH2881" s="29" t="s">
        <v>8352</v>
      </c>
      <c r="AI2881" s="172"/>
      <c r="AJ2881" s="172"/>
      <c r="AK2881" s="172"/>
      <c r="AL2881" s="172"/>
      <c r="AM2881" s="172"/>
      <c r="AN2881" s="172"/>
      <c r="AO2881" s="172"/>
      <c r="AP2881" s="172"/>
      <c r="AQ2881" s="172">
        <v>394</v>
      </c>
      <c r="AR2881" s="479"/>
      <c r="AS2881" s="461"/>
      <c r="AT2881" s="160"/>
    </row>
    <row r="2882" spans="1:46" ht="15" hidden="1" customHeight="1">
      <c r="A2882" s="220">
        <v>2876</v>
      </c>
      <c r="B2882" s="173" t="s">
        <v>10098</v>
      </c>
      <c r="C2882" s="159" t="s">
        <v>2702</v>
      </c>
      <c r="D2882" s="437" t="s">
        <v>6923</v>
      </c>
      <c r="E2882" s="361" t="str">
        <f t="shared" ca="1" si="219"/>
        <v>ON TRACK</v>
      </c>
      <c r="F2882" s="160" t="s">
        <v>10099</v>
      </c>
      <c r="G2882" s="159" t="s">
        <v>12293</v>
      </c>
      <c r="H2882" s="160" t="s">
        <v>261</v>
      </c>
      <c r="I2882" s="160" t="s">
        <v>243</v>
      </c>
      <c r="J2882" s="159" t="s">
        <v>10101</v>
      </c>
      <c r="K2882" s="181" t="s">
        <v>12294</v>
      </c>
      <c r="L2882" s="287" t="s">
        <v>8488</v>
      </c>
      <c r="M2882" s="158" t="s">
        <v>365</v>
      </c>
      <c r="N2882" s="158" t="s">
        <v>354</v>
      </c>
      <c r="O2882" s="176"/>
      <c r="P2882" s="175">
        <f>4500000*12</f>
        <v>54000000</v>
      </c>
      <c r="Q2882" s="175"/>
      <c r="R2882" s="176"/>
      <c r="S2882" s="177">
        <f>2000000*12</f>
        <v>24000000</v>
      </c>
      <c r="T2882" s="178"/>
      <c r="U2882" s="340">
        <v>46011</v>
      </c>
      <c r="V2882" s="340">
        <v>46375</v>
      </c>
      <c r="W2882" s="158" t="s">
        <v>17</v>
      </c>
      <c r="X2882" s="158"/>
      <c r="Y2882" s="34">
        <f t="shared" ca="1" si="216"/>
        <v>46290</v>
      </c>
      <c r="Z2882" s="35">
        <f t="shared" ca="1" si="220"/>
        <v>85</v>
      </c>
      <c r="AA2882" s="27">
        <f t="shared" si="221"/>
        <v>12</v>
      </c>
      <c r="AB2882" s="27">
        <f t="shared" si="218"/>
        <v>2026</v>
      </c>
      <c r="AC2882" s="159" t="s">
        <v>12295</v>
      </c>
      <c r="AD2882" s="159" t="s">
        <v>12296</v>
      </c>
      <c r="AE2882" s="184" t="s">
        <v>12297</v>
      </c>
      <c r="AF2882" s="27" t="s">
        <v>471</v>
      </c>
      <c r="AG2882" s="160"/>
      <c r="AH2882" s="29" t="s">
        <v>6928</v>
      </c>
      <c r="AI2882" s="172"/>
      <c r="AJ2882" s="172"/>
      <c r="AK2882" s="172"/>
      <c r="AL2882" s="172"/>
      <c r="AM2882" s="172"/>
      <c r="AN2882" s="172"/>
      <c r="AO2882" s="172"/>
      <c r="AP2882" s="172"/>
      <c r="AQ2882" s="172">
        <v>392</v>
      </c>
      <c r="AR2882" s="479"/>
      <c r="AS2882" s="461"/>
      <c r="AT2882" s="160"/>
    </row>
    <row r="2883" spans="1:46" ht="15" hidden="1" customHeight="1">
      <c r="A2883" s="220">
        <v>2877</v>
      </c>
      <c r="B2883" s="173" t="s">
        <v>7295</v>
      </c>
      <c r="C2883" s="28" t="s">
        <v>1467</v>
      </c>
      <c r="D2883" s="437" t="s">
        <v>7322</v>
      </c>
      <c r="E2883" s="361" t="str">
        <f t="shared" ca="1" si="219"/>
        <v>CRITICAL</v>
      </c>
      <c r="F2883" s="28" t="s">
        <v>7323</v>
      </c>
      <c r="G2883" s="28" t="s">
        <v>7324</v>
      </c>
      <c r="H2883" s="28" t="s">
        <v>261</v>
      </c>
      <c r="I2883" s="264" t="s">
        <v>243</v>
      </c>
      <c r="J2883" s="28" t="s">
        <v>7325</v>
      </c>
      <c r="K2883" s="38" t="s">
        <v>12298</v>
      </c>
      <c r="L2883" s="150">
        <v>0.98</v>
      </c>
      <c r="M2883" s="27" t="s">
        <v>329</v>
      </c>
      <c r="N2883" s="27" t="s">
        <v>6835</v>
      </c>
      <c r="O2883" s="176"/>
      <c r="P2883" s="175">
        <f>6040800*12</f>
        <v>72489600</v>
      </c>
      <c r="Q2883" s="175"/>
      <c r="R2883" s="176"/>
      <c r="S2883" s="177">
        <f>5440000*12</f>
        <v>65280000</v>
      </c>
      <c r="T2883" s="178"/>
      <c r="U2883" s="334">
        <v>45930</v>
      </c>
      <c r="V2883" s="334">
        <v>46294</v>
      </c>
      <c r="W2883" s="27" t="s">
        <v>17</v>
      </c>
      <c r="X2883" s="27"/>
      <c r="Y2883" s="34">
        <f t="shared" ca="1" si="216"/>
        <v>46290</v>
      </c>
      <c r="Z2883" s="35">
        <f t="shared" ca="1" si="220"/>
        <v>4</v>
      </c>
      <c r="AA2883" s="27">
        <f t="shared" si="221"/>
        <v>9</v>
      </c>
      <c r="AB2883" s="27">
        <f t="shared" si="218"/>
        <v>2026</v>
      </c>
      <c r="AC2883" s="28" t="s">
        <v>12299</v>
      </c>
      <c r="AD2883" s="28" t="s">
        <v>12300</v>
      </c>
      <c r="AE2883" s="27">
        <v>4500026568</v>
      </c>
      <c r="AF2883" s="27" t="s">
        <v>471</v>
      </c>
      <c r="AG2883" s="160"/>
      <c r="AH2883" s="29" t="s">
        <v>9314</v>
      </c>
      <c r="AI2883" s="172"/>
      <c r="AJ2883" s="172"/>
      <c r="AK2883" s="172"/>
      <c r="AL2883" s="172"/>
      <c r="AM2883" s="172"/>
      <c r="AN2883" s="172"/>
      <c r="AO2883" s="172"/>
      <c r="AP2883" s="172"/>
      <c r="AQ2883" s="172">
        <v>388</v>
      </c>
      <c r="AR2883" s="479"/>
      <c r="AS2883" s="461"/>
      <c r="AT2883" s="160"/>
    </row>
    <row r="2884" spans="1:46" ht="15" hidden="1" customHeight="1">
      <c r="A2884" s="220">
        <v>2878</v>
      </c>
      <c r="B2884" s="173" t="s">
        <v>628</v>
      </c>
      <c r="C2884" s="28" t="s">
        <v>9306</v>
      </c>
      <c r="D2884" s="437" t="s">
        <v>7640</v>
      </c>
      <c r="E2884" s="361" t="str">
        <f t="shared" ca="1" si="219"/>
        <v>ON TRACK</v>
      </c>
      <c r="F2884" s="29" t="s">
        <v>115</v>
      </c>
      <c r="G2884" s="28" t="s">
        <v>9307</v>
      </c>
      <c r="H2884" s="29" t="s">
        <v>261</v>
      </c>
      <c r="I2884" s="29" t="s">
        <v>243</v>
      </c>
      <c r="J2884" s="28" t="s">
        <v>12301</v>
      </c>
      <c r="K2884" s="38" t="s">
        <v>12302</v>
      </c>
      <c r="L2884" s="27" t="s">
        <v>4749</v>
      </c>
      <c r="M2884" s="27" t="s">
        <v>329</v>
      </c>
      <c r="N2884" s="27" t="s">
        <v>6649</v>
      </c>
      <c r="O2884" s="176"/>
      <c r="P2884" s="175">
        <f>2975000*12</f>
        <v>35700000</v>
      </c>
      <c r="Q2884" s="175"/>
      <c r="R2884" s="176"/>
      <c r="S2884" s="177">
        <f>360000*12</f>
        <v>4320000</v>
      </c>
      <c r="T2884" s="178"/>
      <c r="U2884" s="340">
        <v>46023</v>
      </c>
      <c r="V2884" s="340">
        <v>46387</v>
      </c>
      <c r="W2884" s="158" t="s">
        <v>17</v>
      </c>
      <c r="X2884" s="158"/>
      <c r="Y2884" s="34">
        <f t="shared" ca="1" si="216"/>
        <v>46290</v>
      </c>
      <c r="Z2884" s="35">
        <f t="shared" ca="1" si="220"/>
        <v>97</v>
      </c>
      <c r="AA2884" s="27">
        <f t="shared" si="221"/>
        <v>12</v>
      </c>
      <c r="AB2884" s="27">
        <f t="shared" si="218"/>
        <v>2026</v>
      </c>
      <c r="AC2884" s="159" t="s">
        <v>12303</v>
      </c>
      <c r="AD2884" s="159" t="s">
        <v>12304</v>
      </c>
      <c r="AE2884" s="184" t="s">
        <v>12305</v>
      </c>
      <c r="AF2884" s="201" t="s">
        <v>471</v>
      </c>
      <c r="AG2884" s="160"/>
      <c r="AH2884" s="160" t="s">
        <v>633</v>
      </c>
      <c r="AI2884" s="172"/>
      <c r="AJ2884" s="172"/>
      <c r="AK2884" s="172"/>
      <c r="AL2884" s="172"/>
      <c r="AM2884" s="172"/>
      <c r="AN2884" s="172"/>
      <c r="AO2884" s="172"/>
      <c r="AP2884" s="172"/>
      <c r="AQ2884" s="172"/>
      <c r="AR2884" s="479">
        <v>3</v>
      </c>
      <c r="AS2884" s="461"/>
      <c r="AT2884" s="160"/>
    </row>
    <row r="2885" spans="1:46" ht="15" hidden="1" customHeight="1">
      <c r="A2885" s="220">
        <v>2879</v>
      </c>
      <c r="B2885" s="173" t="s">
        <v>1043</v>
      </c>
      <c r="C2885" s="159" t="s">
        <v>8838</v>
      </c>
      <c r="D2885" s="437" t="s">
        <v>6810</v>
      </c>
      <c r="E2885" s="361" t="str">
        <f t="shared" ca="1" si="219"/>
        <v>ATTENTION</v>
      </c>
      <c r="F2885" s="160" t="s">
        <v>115</v>
      </c>
      <c r="G2885" s="159" t="s">
        <v>10111</v>
      </c>
      <c r="H2885" s="160" t="s">
        <v>261</v>
      </c>
      <c r="I2885" s="160" t="s">
        <v>243</v>
      </c>
      <c r="J2885" s="159" t="s">
        <v>10112</v>
      </c>
      <c r="K2885" s="181" t="s">
        <v>10113</v>
      </c>
      <c r="L2885" s="158" t="s">
        <v>4749</v>
      </c>
      <c r="M2885" s="158" t="s">
        <v>353</v>
      </c>
      <c r="N2885" s="158" t="s">
        <v>417</v>
      </c>
      <c r="O2885" s="176"/>
      <c r="P2885" s="175">
        <f>1900000*12</f>
        <v>22800000</v>
      </c>
      <c r="Q2885" s="175"/>
      <c r="R2885" s="176"/>
      <c r="S2885" s="177">
        <f>1500000*12</f>
        <v>18000000</v>
      </c>
      <c r="T2885" s="178"/>
      <c r="U2885" s="340">
        <v>45968</v>
      </c>
      <c r="V2885" s="340">
        <v>46332</v>
      </c>
      <c r="W2885" s="158" t="s">
        <v>17</v>
      </c>
      <c r="X2885" s="158"/>
      <c r="Y2885" s="34">
        <f t="shared" ca="1" si="216"/>
        <v>46290</v>
      </c>
      <c r="Z2885" s="35">
        <f t="shared" ca="1" si="220"/>
        <v>42</v>
      </c>
      <c r="AA2885" s="158">
        <f t="shared" si="221"/>
        <v>11</v>
      </c>
      <c r="AB2885" s="158">
        <f t="shared" si="218"/>
        <v>2026</v>
      </c>
      <c r="AC2885" s="159" t="s">
        <v>12306</v>
      </c>
      <c r="AD2885" s="159" t="s">
        <v>12307</v>
      </c>
      <c r="AE2885" s="184" t="s">
        <v>12308</v>
      </c>
      <c r="AF2885" s="201" t="s">
        <v>471</v>
      </c>
      <c r="AG2885" s="160"/>
      <c r="AH2885" s="174" t="s">
        <v>11851</v>
      </c>
      <c r="AI2885" s="172"/>
      <c r="AJ2885" s="172"/>
      <c r="AK2885" s="172"/>
      <c r="AL2885" s="172"/>
      <c r="AM2885" s="172"/>
      <c r="AN2885" s="172"/>
      <c r="AO2885" s="172"/>
      <c r="AP2885" s="172"/>
      <c r="AQ2885" s="172">
        <v>391</v>
      </c>
      <c r="AR2885" s="479"/>
      <c r="AS2885" s="461"/>
      <c r="AT2885" s="160"/>
    </row>
    <row r="2886" spans="1:46" ht="15" hidden="1" customHeight="1">
      <c r="A2886" s="220">
        <v>2880</v>
      </c>
      <c r="B2886" s="173" t="s">
        <v>1889</v>
      </c>
      <c r="C2886" s="173" t="s">
        <v>8142</v>
      </c>
      <c r="D2886" s="434" t="s">
        <v>12309</v>
      </c>
      <c r="E2886" s="113" t="str">
        <f ca="1">IF(AND(Z2886&gt;=60, Z2886&lt;=3000), "ON TRACK",IF(AND(Z2886&gt;=36, Z2886&lt;=59), "ATTENTION",IF(AND(Z2886&gt;=1, Z2886&lt;=35), "WARNING",IF(AND(Z2886&gt;=-3000, Z2886&lt;=0), "CRITICAL", ""))))</f>
        <v>ATTENTION</v>
      </c>
      <c r="F2886" s="174" t="s">
        <v>115</v>
      </c>
      <c r="G2886" s="173" t="s">
        <v>12310</v>
      </c>
      <c r="H2886" s="174" t="s">
        <v>12129</v>
      </c>
      <c r="I2886" s="174" t="s">
        <v>243</v>
      </c>
      <c r="J2886" s="173" t="s">
        <v>12311</v>
      </c>
      <c r="K2886" s="180" t="s">
        <v>12312</v>
      </c>
      <c r="L2886" s="172" t="s">
        <v>12313</v>
      </c>
      <c r="M2886" s="172" t="s">
        <v>12314</v>
      </c>
      <c r="N2886" s="172" t="s">
        <v>12315</v>
      </c>
      <c r="O2886" s="176">
        <f>2000000*2</f>
        <v>4000000</v>
      </c>
      <c r="P2886" s="175">
        <f>(5000000+2050000)*12</f>
        <v>84600000</v>
      </c>
      <c r="Q2886" s="175"/>
      <c r="R2886" s="176"/>
      <c r="S2886" s="177">
        <f>400000*12</f>
        <v>4800000</v>
      </c>
      <c r="T2886" s="178"/>
      <c r="U2886" s="340">
        <v>45967</v>
      </c>
      <c r="V2886" s="340">
        <v>46331</v>
      </c>
      <c r="W2886" s="172" t="s">
        <v>17</v>
      </c>
      <c r="X2886" s="172"/>
      <c r="Y2886" s="34">
        <f t="shared" ca="1" si="216"/>
        <v>46290</v>
      </c>
      <c r="Z2886" s="35">
        <f t="shared" ca="1" si="220"/>
        <v>41</v>
      </c>
      <c r="AA2886" s="158">
        <f t="shared" si="221"/>
        <v>11</v>
      </c>
      <c r="AB2886" s="158">
        <f t="shared" si="218"/>
        <v>2026</v>
      </c>
      <c r="AC2886" s="173" t="s">
        <v>3371</v>
      </c>
      <c r="AD2886" s="159" t="s">
        <v>12316</v>
      </c>
      <c r="AE2886" s="172">
        <v>4500026588</v>
      </c>
      <c r="AF2886" s="179" t="s">
        <v>471</v>
      </c>
      <c r="AG2886" s="160"/>
      <c r="AH2886" s="174" t="s">
        <v>8975</v>
      </c>
      <c r="AI2886" s="172"/>
      <c r="AJ2886" s="172"/>
      <c r="AK2886" s="172"/>
      <c r="AL2886" s="172"/>
      <c r="AM2886" s="172"/>
      <c r="AN2886" s="172"/>
      <c r="AO2886" s="172"/>
      <c r="AP2886" s="172"/>
      <c r="AQ2886" s="172">
        <v>415</v>
      </c>
      <c r="AR2886" s="479"/>
      <c r="AS2886" s="461"/>
      <c r="AT2886" s="160"/>
    </row>
    <row r="2887" spans="1:46" ht="15" hidden="1" customHeight="1">
      <c r="A2887" s="220">
        <v>2881</v>
      </c>
      <c r="B2887" s="173" t="s">
        <v>956</v>
      </c>
      <c r="C2887" s="159" t="s">
        <v>12317</v>
      </c>
      <c r="D2887" s="438" t="s">
        <v>9737</v>
      </c>
      <c r="E2887" s="361" t="str">
        <f ca="1">IF(Z2887&lt;=0, "LOSS",IF(Z2887&lt;=15, "CRITICAL",IF(Z2887&lt;=30, "WARNING",IF(Z2887&lt;60, "ATTENTION", "ON TRACK"))))</f>
        <v>ATTENTION</v>
      </c>
      <c r="F2887" s="160" t="s">
        <v>9738</v>
      </c>
      <c r="G2887" s="159" t="s">
        <v>9739</v>
      </c>
      <c r="H2887" s="160" t="s">
        <v>261</v>
      </c>
      <c r="I2887" s="160" t="s">
        <v>243</v>
      </c>
      <c r="J2887" s="159" t="s">
        <v>8377</v>
      </c>
      <c r="K2887" s="181" t="s">
        <v>8378</v>
      </c>
      <c r="L2887" s="158" t="s">
        <v>6895</v>
      </c>
      <c r="M2887" s="158" t="s">
        <v>329</v>
      </c>
      <c r="N2887" s="158" t="s">
        <v>494</v>
      </c>
      <c r="O2887" s="176"/>
      <c r="P2887" s="175">
        <f>4345127*12</f>
        <v>52141524</v>
      </c>
      <c r="Q2887" s="175"/>
      <c r="R2887" s="176"/>
      <c r="S2887" s="177">
        <f>3492000*12</f>
        <v>41904000</v>
      </c>
      <c r="T2887" s="178"/>
      <c r="U2887" s="340">
        <v>45982</v>
      </c>
      <c r="V2887" s="340">
        <v>46346</v>
      </c>
      <c r="W2887" s="158" t="s">
        <v>17</v>
      </c>
      <c r="X2887" s="158"/>
      <c r="Y2887" s="34">
        <f t="shared" ca="1" si="216"/>
        <v>46290</v>
      </c>
      <c r="Z2887" s="35">
        <f t="shared" ca="1" si="220"/>
        <v>56</v>
      </c>
      <c r="AA2887" s="158">
        <f t="shared" si="221"/>
        <v>11</v>
      </c>
      <c r="AB2887" s="158">
        <f t="shared" si="218"/>
        <v>2026</v>
      </c>
      <c r="AC2887" s="194" t="s">
        <v>12318</v>
      </c>
      <c r="AD2887" s="159" t="s">
        <v>12319</v>
      </c>
      <c r="AE2887" s="184" t="s">
        <v>12320</v>
      </c>
      <c r="AF2887" s="201" t="s">
        <v>471</v>
      </c>
      <c r="AG2887" s="160"/>
      <c r="AH2887" s="160" t="s">
        <v>11840</v>
      </c>
      <c r="AI2887" s="172"/>
      <c r="AJ2887" s="172"/>
      <c r="AK2887" s="172"/>
      <c r="AL2887" s="172"/>
      <c r="AM2887" s="172"/>
      <c r="AN2887" s="172"/>
      <c r="AO2887" s="172"/>
      <c r="AP2887" s="172"/>
      <c r="AQ2887" s="172">
        <v>416</v>
      </c>
      <c r="AR2887" s="479"/>
      <c r="AS2887" s="461"/>
      <c r="AT2887" s="160"/>
    </row>
    <row r="2888" spans="1:46" ht="15" hidden="1" customHeight="1">
      <c r="A2888" s="220">
        <v>2882</v>
      </c>
      <c r="B2888" s="173" t="s">
        <v>956</v>
      </c>
      <c r="C2888" s="182" t="s">
        <v>12321</v>
      </c>
      <c r="D2888" s="438" t="s">
        <v>9737</v>
      </c>
      <c r="E2888" s="361" t="str">
        <f ca="1">IF(Z2888&lt;=0, "LOSS",IF(Z2888&lt;=15, "CRITICAL",IF(Z2888&lt;=30, "WARNING",IF(Z2888&lt;60, "ATTENTION", "ON TRACK"))))</f>
        <v>ON TRACK</v>
      </c>
      <c r="F2888" s="160" t="s">
        <v>10257</v>
      </c>
      <c r="G2888" s="159" t="s">
        <v>10258</v>
      </c>
      <c r="H2888" s="160" t="s">
        <v>261</v>
      </c>
      <c r="I2888" s="160" t="s">
        <v>243</v>
      </c>
      <c r="J2888" s="159" t="s">
        <v>12322</v>
      </c>
      <c r="K2888" s="181" t="s">
        <v>12323</v>
      </c>
      <c r="L2888" s="158" t="s">
        <v>10261</v>
      </c>
      <c r="M2888" s="158" t="s">
        <v>6987</v>
      </c>
      <c r="N2888" s="158" t="s">
        <v>494</v>
      </c>
      <c r="O2888" s="176"/>
      <c r="P2888" s="175">
        <f>5150000*12</f>
        <v>61800000</v>
      </c>
      <c r="Q2888" s="175"/>
      <c r="R2888" s="176"/>
      <c r="S2888" s="177">
        <f>3492000*12</f>
        <v>41904000</v>
      </c>
      <c r="T2888" s="178"/>
      <c r="U2888" s="340">
        <v>45995</v>
      </c>
      <c r="V2888" s="340">
        <v>46359</v>
      </c>
      <c r="W2888" s="158" t="s">
        <v>17</v>
      </c>
      <c r="X2888" s="158"/>
      <c r="Y2888" s="34">
        <f t="shared" ca="1" si="216"/>
        <v>46290</v>
      </c>
      <c r="Z2888" s="35">
        <f t="shared" ca="1" si="220"/>
        <v>69</v>
      </c>
      <c r="AA2888" s="158">
        <f t="shared" si="221"/>
        <v>12</v>
      </c>
      <c r="AB2888" s="27">
        <f t="shared" si="218"/>
        <v>2026</v>
      </c>
      <c r="AC2888" s="194" t="s">
        <v>12324</v>
      </c>
      <c r="AD2888" s="194" t="s">
        <v>12325</v>
      </c>
      <c r="AE2888" s="184" t="s">
        <v>12326</v>
      </c>
      <c r="AF2888" s="201" t="s">
        <v>471</v>
      </c>
      <c r="AG2888" s="160"/>
      <c r="AH2888" s="160" t="s">
        <v>11840</v>
      </c>
      <c r="AI2888" s="172"/>
      <c r="AJ2888" s="172"/>
      <c r="AK2888" s="172"/>
      <c r="AL2888" s="172"/>
      <c r="AM2888" s="172"/>
      <c r="AN2888" s="172"/>
      <c r="AO2888" s="172"/>
      <c r="AP2888" s="172"/>
      <c r="AQ2888" s="172">
        <v>421</v>
      </c>
      <c r="AR2888" s="479"/>
      <c r="AS2888" s="461"/>
      <c r="AT2888" s="160"/>
    </row>
    <row r="2889" spans="1:46" ht="15" hidden="1" customHeight="1">
      <c r="A2889" s="220">
        <v>2883</v>
      </c>
      <c r="B2889" s="173" t="s">
        <v>956</v>
      </c>
      <c r="C2889" s="182" t="s">
        <v>12327</v>
      </c>
      <c r="D2889" s="438" t="s">
        <v>9737</v>
      </c>
      <c r="E2889" s="113" t="str">
        <f ca="1">IF(AND(Z2889&gt;=60, Z2889&lt;=3000), "ON TRACK",IF(AND(Z2889&gt;=36, Z2889&lt;=59), "ATTENTION",IF(AND(Z2889&gt;=1, Z2889&lt;=35), "WARNING",IF(AND(Z2889&gt;=-3000, Z2889&lt;=0), "CRITICAL", ""))))</f>
        <v>ON TRACK</v>
      </c>
      <c r="F2889" s="160" t="s">
        <v>10257</v>
      </c>
      <c r="G2889" s="159" t="s">
        <v>10258</v>
      </c>
      <c r="H2889" s="160" t="s">
        <v>261</v>
      </c>
      <c r="I2889" s="160" t="s">
        <v>243</v>
      </c>
      <c r="J2889" s="173" t="s">
        <v>12328</v>
      </c>
      <c r="K2889" s="180" t="s">
        <v>12329</v>
      </c>
      <c r="L2889" s="158" t="s">
        <v>10261</v>
      </c>
      <c r="M2889" s="158" t="s">
        <v>6987</v>
      </c>
      <c r="N2889" s="158" t="s">
        <v>494</v>
      </c>
      <c r="O2889" s="176"/>
      <c r="P2889" s="175">
        <f>5150000*12</f>
        <v>61800000</v>
      </c>
      <c r="Q2889" s="175"/>
      <c r="R2889" s="176"/>
      <c r="S2889" s="177">
        <f>3492000*12</f>
        <v>41904000</v>
      </c>
      <c r="T2889" s="178"/>
      <c r="U2889" s="340">
        <v>45995</v>
      </c>
      <c r="V2889" s="340">
        <v>46359</v>
      </c>
      <c r="W2889" s="158" t="s">
        <v>17</v>
      </c>
      <c r="X2889" s="158"/>
      <c r="Y2889" s="34">
        <f t="shared" ca="1" si="216"/>
        <v>46290</v>
      </c>
      <c r="Z2889" s="35">
        <f t="shared" ca="1" si="220"/>
        <v>69</v>
      </c>
      <c r="AA2889" s="158">
        <f t="shared" si="221"/>
        <v>12</v>
      </c>
      <c r="AB2889" s="27">
        <f t="shared" si="218"/>
        <v>2026</v>
      </c>
      <c r="AC2889" s="194" t="s">
        <v>12324</v>
      </c>
      <c r="AD2889" s="194" t="s">
        <v>12330</v>
      </c>
      <c r="AE2889" s="184" t="s">
        <v>12331</v>
      </c>
      <c r="AF2889" s="201" t="s">
        <v>471</v>
      </c>
      <c r="AG2889" s="160"/>
      <c r="AH2889" s="160" t="s">
        <v>11840</v>
      </c>
      <c r="AI2889" s="172"/>
      <c r="AJ2889" s="172"/>
      <c r="AK2889" s="172"/>
      <c r="AL2889" s="172"/>
      <c r="AM2889" s="172"/>
      <c r="AN2889" s="172"/>
      <c r="AO2889" s="172"/>
      <c r="AP2889" s="172"/>
      <c r="AQ2889" s="172">
        <v>420</v>
      </c>
      <c r="AR2889" s="479"/>
      <c r="AS2889" s="461"/>
      <c r="AT2889" s="160"/>
    </row>
    <row r="2890" spans="1:46" ht="15" hidden="1" customHeight="1">
      <c r="A2890" s="220">
        <v>2884</v>
      </c>
      <c r="B2890" s="173" t="s">
        <v>165</v>
      </c>
      <c r="C2890" s="28" t="s">
        <v>8358</v>
      </c>
      <c r="D2890" s="437" t="s">
        <v>7149</v>
      </c>
      <c r="E2890" s="361" t="str">
        <f ca="1">IF(Z2890&lt;=0, "LOSS",IF(Z2890&lt;=15, "CRITICAL",IF(Z2890&lt;=30, "WARNING",IF(Z2890&lt;60, "ATTENTION", "ON TRACK"))))</f>
        <v>ATTENTION</v>
      </c>
      <c r="F2890" s="29" t="s">
        <v>115</v>
      </c>
      <c r="G2890" s="28" t="s">
        <v>8360</v>
      </c>
      <c r="H2890" s="28" t="s">
        <v>261</v>
      </c>
      <c r="I2890" s="361" t="s">
        <v>243</v>
      </c>
      <c r="J2890" s="28" t="s">
        <v>8361</v>
      </c>
      <c r="K2890" s="38" t="s">
        <v>8362</v>
      </c>
      <c r="L2890" s="51">
        <v>0.995</v>
      </c>
      <c r="M2890" s="27" t="s">
        <v>7153</v>
      </c>
      <c r="N2890" s="27" t="s">
        <v>8363</v>
      </c>
      <c r="O2890" s="176"/>
      <c r="P2890" s="175">
        <f>12800000*12</f>
        <v>153600000</v>
      </c>
      <c r="Q2890" s="175"/>
      <c r="R2890" s="176"/>
      <c r="S2890" s="177">
        <f>9500000*12</f>
        <v>114000000</v>
      </c>
      <c r="T2890" s="178"/>
      <c r="U2890" s="340">
        <v>45961</v>
      </c>
      <c r="V2890" s="340">
        <v>46325</v>
      </c>
      <c r="W2890" s="158" t="s">
        <v>17</v>
      </c>
      <c r="X2890" s="158"/>
      <c r="Y2890" s="34">
        <f t="shared" ca="1" si="216"/>
        <v>46290</v>
      </c>
      <c r="Z2890" s="35">
        <f t="shared" ca="1" si="220"/>
        <v>35</v>
      </c>
      <c r="AA2890" s="27">
        <f t="shared" si="221"/>
        <v>10</v>
      </c>
      <c r="AB2890" s="27">
        <f t="shared" si="218"/>
        <v>2026</v>
      </c>
      <c r="AC2890" s="28" t="s">
        <v>12332</v>
      </c>
      <c r="AD2890" s="159" t="s">
        <v>12333</v>
      </c>
      <c r="AE2890" s="184" t="s">
        <v>12334</v>
      </c>
      <c r="AF2890" s="201" t="s">
        <v>471</v>
      </c>
      <c r="AG2890" s="29" t="s">
        <v>9100</v>
      </c>
      <c r="AH2890" s="29" t="s">
        <v>7099</v>
      </c>
      <c r="AI2890" s="172"/>
      <c r="AJ2890" s="172"/>
      <c r="AK2890" s="172"/>
      <c r="AL2890" s="172"/>
      <c r="AM2890" s="172"/>
      <c r="AN2890" s="172"/>
      <c r="AO2890" s="172"/>
      <c r="AP2890" s="172"/>
      <c r="AQ2890" s="172">
        <v>393</v>
      </c>
      <c r="AR2890" s="479"/>
      <c r="AS2890" s="461"/>
      <c r="AT2890" s="160"/>
    </row>
    <row r="2891" spans="1:46" ht="15" hidden="1" customHeight="1">
      <c r="A2891" s="220">
        <v>2885</v>
      </c>
      <c r="B2891" s="173" t="s">
        <v>165</v>
      </c>
      <c r="C2891" s="159" t="s">
        <v>9727</v>
      </c>
      <c r="D2891" s="438" t="s">
        <v>7124</v>
      </c>
      <c r="E2891" s="361" t="str">
        <f ca="1">IF(Z2891&lt;=0, "LOSS",IF(Z2891&lt;=15, "CRITICAL",IF(Z2891&lt;=30, "WARNING",IF(Z2891&lt;60, "ATTENTION", "ON TRACK"))))</f>
        <v>LOSS</v>
      </c>
      <c r="F2891" s="160" t="s">
        <v>12335</v>
      </c>
      <c r="G2891" s="182" t="s">
        <v>12336</v>
      </c>
      <c r="H2891" s="160" t="s">
        <v>261</v>
      </c>
      <c r="I2891" s="160" t="s">
        <v>243</v>
      </c>
      <c r="J2891" s="159" t="s">
        <v>9729</v>
      </c>
      <c r="K2891" s="181" t="s">
        <v>9730</v>
      </c>
      <c r="L2891" s="27" t="s">
        <v>4749</v>
      </c>
      <c r="M2891" s="158" t="s">
        <v>6987</v>
      </c>
      <c r="N2891" s="158" t="s">
        <v>9731</v>
      </c>
      <c r="O2891" s="176"/>
      <c r="P2891" s="175">
        <f>(20000000+25000000)*12</f>
        <v>540000000</v>
      </c>
      <c r="Q2891" s="175"/>
      <c r="R2891" s="176"/>
      <c r="S2891" s="177">
        <f>10000000*12</f>
        <v>120000000</v>
      </c>
      <c r="T2891" s="178"/>
      <c r="U2891" s="340">
        <v>45912</v>
      </c>
      <c r="V2891" s="340">
        <v>46276</v>
      </c>
      <c r="W2891" s="158" t="s">
        <v>250</v>
      </c>
      <c r="X2891" s="158"/>
      <c r="Y2891" s="34">
        <f t="shared" ca="1" si="216"/>
        <v>46290</v>
      </c>
      <c r="Z2891" s="35">
        <f t="shared" ca="1" si="220"/>
        <v>-14</v>
      </c>
      <c r="AA2891" s="27">
        <f t="shared" si="221"/>
        <v>9</v>
      </c>
      <c r="AB2891" s="27">
        <f t="shared" si="218"/>
        <v>2026</v>
      </c>
      <c r="AC2891" s="159" t="s">
        <v>12337</v>
      </c>
      <c r="AD2891" s="159" t="s">
        <v>12338</v>
      </c>
      <c r="AE2891" s="184" t="s">
        <v>12339</v>
      </c>
      <c r="AF2891" s="201" t="s">
        <v>471</v>
      </c>
      <c r="AG2891" s="29" t="s">
        <v>9100</v>
      </c>
      <c r="AH2891" s="29" t="s">
        <v>7099</v>
      </c>
      <c r="AI2891" s="172"/>
      <c r="AJ2891" s="172"/>
      <c r="AK2891" s="172"/>
      <c r="AL2891" s="172"/>
      <c r="AM2891" s="172"/>
      <c r="AN2891" s="172"/>
      <c r="AO2891" s="172"/>
      <c r="AP2891" s="172"/>
      <c r="AQ2891" s="172">
        <v>339</v>
      </c>
      <c r="AR2891" s="479"/>
      <c r="AS2891" s="461"/>
      <c r="AT2891" s="160"/>
    </row>
    <row r="2892" spans="1:46" ht="15" hidden="1" customHeight="1">
      <c r="A2892" s="220">
        <v>2886</v>
      </c>
      <c r="B2892" s="173" t="s">
        <v>165</v>
      </c>
      <c r="C2892" s="159" t="s">
        <v>7108</v>
      </c>
      <c r="D2892" s="437" t="s">
        <v>7149</v>
      </c>
      <c r="E2892" s="361" t="str">
        <f ca="1">IF(Z2892&lt;=0, "LOSS",IF(Z2892&lt;=15, "CRITICAL",IF(Z2892&lt;=30, "WARNING",IF(Z2892&lt;60, "ATTENTION", "ON TRACK"))))</f>
        <v>LOSS</v>
      </c>
      <c r="F2892" s="160" t="s">
        <v>10280</v>
      </c>
      <c r="G2892" s="159" t="s">
        <v>10281</v>
      </c>
      <c r="H2892" s="160" t="s">
        <v>261</v>
      </c>
      <c r="I2892" s="160" t="s">
        <v>243</v>
      </c>
      <c r="J2892" s="159" t="s">
        <v>8916</v>
      </c>
      <c r="K2892" s="181" t="s">
        <v>11691</v>
      </c>
      <c r="L2892" s="287">
        <v>0.995</v>
      </c>
      <c r="M2892" s="158" t="s">
        <v>365</v>
      </c>
      <c r="N2892" s="158" t="s">
        <v>6727</v>
      </c>
      <c r="O2892" s="176"/>
      <c r="P2892" s="175">
        <f>85400000*6</f>
        <v>512400000</v>
      </c>
      <c r="Q2892" s="175"/>
      <c r="R2892" s="176"/>
      <c r="S2892" s="177">
        <f>78000000*6</f>
        <v>468000000</v>
      </c>
      <c r="T2892" s="178"/>
      <c r="U2892" s="340">
        <v>46023</v>
      </c>
      <c r="V2892" s="340">
        <v>46203</v>
      </c>
      <c r="W2892" s="158" t="s">
        <v>250</v>
      </c>
      <c r="X2892" s="158"/>
      <c r="Y2892" s="164">
        <f t="shared" ca="1" si="216"/>
        <v>46290</v>
      </c>
      <c r="Z2892" s="207">
        <f ca="1">Table1[[#This Row],[End]]-Table1[[#This Row],[Today]]</f>
        <v>-87</v>
      </c>
      <c r="AA2892" s="158">
        <f>MONTH(Table1[[#This Row],[End]])</f>
        <v>6</v>
      </c>
      <c r="AB2892" s="158">
        <f>YEAR(Table1[[#This Row],[End]])</f>
        <v>2026</v>
      </c>
      <c r="AC2892" s="159" t="s">
        <v>12340</v>
      </c>
      <c r="AD2892" s="159" t="s">
        <v>12341</v>
      </c>
      <c r="AE2892" s="184" t="s">
        <v>12342</v>
      </c>
      <c r="AF2892" s="201" t="s">
        <v>471</v>
      </c>
      <c r="AG2892" s="160" t="s">
        <v>7098</v>
      </c>
      <c r="AH2892" s="29" t="s">
        <v>7099</v>
      </c>
      <c r="AI2892" s="172"/>
      <c r="AJ2892" s="172"/>
      <c r="AK2892" s="172"/>
      <c r="AL2892" s="172"/>
      <c r="AM2892" s="172"/>
      <c r="AN2892" s="172"/>
      <c r="AO2892" s="172"/>
      <c r="AP2892" s="172"/>
      <c r="AQ2892" s="172"/>
      <c r="AR2892" s="479">
        <v>4</v>
      </c>
      <c r="AS2892" s="461" t="s">
        <v>12343</v>
      </c>
      <c r="AT2892" s="160"/>
    </row>
    <row r="2893" spans="1:46" ht="15" hidden="1" customHeight="1">
      <c r="A2893" s="220">
        <v>2887</v>
      </c>
      <c r="B2893" s="173" t="s">
        <v>165</v>
      </c>
      <c r="C2893" s="159" t="s">
        <v>9727</v>
      </c>
      <c r="D2893" s="438" t="s">
        <v>7149</v>
      </c>
      <c r="E2893" s="361" t="str">
        <f ca="1">IF(Z2893&lt;=0, "LOSS",IF(Z2893&lt;=15, "CRITICAL",IF(Z2893&lt;=30, "WARNING",IF(Z2893&lt;60, "ATTENTION", "ON TRACK"))))</f>
        <v>ON TRACK</v>
      </c>
      <c r="F2893" s="28" t="s">
        <v>7117</v>
      </c>
      <c r="G2893" s="28" t="s">
        <v>7118</v>
      </c>
      <c r="H2893" s="160" t="s">
        <v>261</v>
      </c>
      <c r="I2893" s="160" t="s">
        <v>243</v>
      </c>
      <c r="J2893" s="159" t="s">
        <v>2262</v>
      </c>
      <c r="K2893" s="38" t="s">
        <v>7119</v>
      </c>
      <c r="L2893" s="51">
        <v>0.995</v>
      </c>
      <c r="M2893" s="27" t="s">
        <v>329</v>
      </c>
      <c r="N2893" s="27" t="s">
        <v>354</v>
      </c>
      <c r="O2893" s="176"/>
      <c r="P2893" s="175">
        <f>17000000*12</f>
        <v>204000000</v>
      </c>
      <c r="Q2893" s="175"/>
      <c r="R2893" s="176"/>
      <c r="S2893" s="177">
        <f>6000000*12</f>
        <v>72000000</v>
      </c>
      <c r="T2893" s="178"/>
      <c r="U2893" s="340">
        <v>46028</v>
      </c>
      <c r="V2893" s="340">
        <v>46392</v>
      </c>
      <c r="W2893" s="158" t="s">
        <v>17</v>
      </c>
      <c r="X2893" s="158"/>
      <c r="Y2893" s="34">
        <f t="shared" ca="1" si="216"/>
        <v>46290</v>
      </c>
      <c r="Z2893" s="35">
        <f t="shared" ref="Z2893:Z2899" ca="1" si="222">V2893-Y2893</f>
        <v>102</v>
      </c>
      <c r="AA2893" s="27">
        <f t="shared" ref="AA2893:AA2899" si="223">MONTH(V2893)</f>
        <v>1</v>
      </c>
      <c r="AB2893" s="27">
        <f t="shared" ref="AB2893:AB2899" si="224">YEAR(V2893)</f>
        <v>2027</v>
      </c>
      <c r="AC2893" s="159" t="s">
        <v>12344</v>
      </c>
      <c r="AD2893" s="159" t="s">
        <v>12345</v>
      </c>
      <c r="AE2893" s="184" t="s">
        <v>12346</v>
      </c>
      <c r="AF2893" s="27" t="s">
        <v>471</v>
      </c>
      <c r="AG2893" s="29" t="s">
        <v>7098</v>
      </c>
      <c r="AH2893" s="29" t="s">
        <v>7099</v>
      </c>
      <c r="AI2893" s="172"/>
      <c r="AJ2893" s="172"/>
      <c r="AK2893" s="172"/>
      <c r="AL2893" s="172"/>
      <c r="AM2893" s="172"/>
      <c r="AN2893" s="172"/>
      <c r="AO2893" s="172"/>
      <c r="AP2893" s="172"/>
      <c r="AQ2893" s="172"/>
      <c r="AR2893" s="479">
        <v>5</v>
      </c>
      <c r="AS2893" s="461"/>
      <c r="AT2893" s="160"/>
    </row>
    <row r="2894" spans="1:46" ht="15" hidden="1" customHeight="1">
      <c r="A2894" s="220">
        <v>2888</v>
      </c>
      <c r="B2894" s="173" t="s">
        <v>97</v>
      </c>
      <c r="C2894" s="173" t="s">
        <v>12347</v>
      </c>
      <c r="D2894" s="437" t="s">
        <v>2363</v>
      </c>
      <c r="E2894" s="113" t="str">
        <f ca="1">IF(AND(Z2894&gt;=60, Z2894&lt;=3000), "ON TRACK",IF(AND(Z2894&gt;=36, Z2894&lt;=59), "ATTENTION",IF(AND(Z2894&gt;=1, Z2894&lt;=35), "WARNING",IF(AND(Z2894&gt;=-3000, Z2894&lt;=0), "CRITICAL", ""))))</f>
        <v>ON TRACK</v>
      </c>
      <c r="F2894" s="456"/>
      <c r="G2894" s="174" t="s">
        <v>12348</v>
      </c>
      <c r="H2894" s="174" t="s">
        <v>2748</v>
      </c>
      <c r="I2894" s="174" t="s">
        <v>242</v>
      </c>
      <c r="J2894" s="173" t="s">
        <v>12349</v>
      </c>
      <c r="K2894" s="174"/>
      <c r="L2894" s="172"/>
      <c r="M2894" s="173" t="s">
        <v>12350</v>
      </c>
      <c r="N2894" s="463" t="s">
        <v>12351</v>
      </c>
      <c r="O2894" s="176">
        <v>5000000</v>
      </c>
      <c r="P2894" s="175">
        <v>125000000</v>
      </c>
      <c r="Q2894" s="175"/>
      <c r="R2894" s="176">
        <v>5000000</v>
      </c>
      <c r="S2894" s="177">
        <v>24000000</v>
      </c>
      <c r="T2894" s="178"/>
      <c r="U2894" s="347">
        <v>46015</v>
      </c>
      <c r="V2894" s="347">
        <v>46379</v>
      </c>
      <c r="W2894" s="172" t="s">
        <v>17</v>
      </c>
      <c r="X2894" s="172"/>
      <c r="Y2894" s="164">
        <f t="shared" ca="1" si="216"/>
        <v>46290</v>
      </c>
      <c r="Z2894" s="35">
        <f t="shared" ca="1" si="222"/>
        <v>89</v>
      </c>
      <c r="AA2894" s="27">
        <f t="shared" si="223"/>
        <v>12</v>
      </c>
      <c r="AB2894" s="27">
        <f t="shared" si="224"/>
        <v>2026</v>
      </c>
      <c r="AC2894" s="173" t="s">
        <v>479</v>
      </c>
      <c r="AD2894" s="173" t="s">
        <v>12352</v>
      </c>
      <c r="AE2894" s="172">
        <v>4500026859</v>
      </c>
      <c r="AF2894" s="179" t="s">
        <v>356</v>
      </c>
      <c r="AG2894" s="174" t="s">
        <v>12353</v>
      </c>
      <c r="AH2894" s="160"/>
      <c r="AI2894" s="172"/>
      <c r="AJ2894" s="172"/>
      <c r="AK2894" s="172"/>
      <c r="AL2894" s="172"/>
      <c r="AM2894" s="172"/>
      <c r="AN2894" s="172"/>
      <c r="AO2894" s="172"/>
      <c r="AP2894" s="172"/>
      <c r="AQ2894" s="172">
        <v>397</v>
      </c>
      <c r="AR2894" s="479"/>
      <c r="AS2894" s="461"/>
      <c r="AT2894" s="160"/>
    </row>
    <row r="2895" spans="1:46" ht="15" hidden="1" customHeight="1">
      <c r="A2895" s="220">
        <v>2889</v>
      </c>
      <c r="B2895" s="80" t="s">
        <v>8666</v>
      </c>
      <c r="C2895" s="80" t="s">
        <v>8672</v>
      </c>
      <c r="D2895" s="447" t="s">
        <v>8668</v>
      </c>
      <c r="E2895" s="361" t="str">
        <f>IF(Z2895&lt;=0, "LOSS",IF(Z2895&lt;=15, "CRITICAL",IF(Z2895&lt;=30, "WARNING",IF(Z2895&lt;60, "ATTENTION", "ON TRACK"))))</f>
        <v>ON TRACK</v>
      </c>
      <c r="F2895" s="160"/>
      <c r="G2895" s="75" t="s">
        <v>8673</v>
      </c>
      <c r="H2895" s="29" t="s">
        <v>8588</v>
      </c>
      <c r="I2895" s="29" t="s">
        <v>511</v>
      </c>
      <c r="J2895" s="28" t="s">
        <v>8674</v>
      </c>
      <c r="K2895" s="160"/>
      <c r="L2895" s="158"/>
      <c r="M2895" s="76" t="s">
        <v>365</v>
      </c>
      <c r="N2895" s="160"/>
      <c r="O2895" s="162"/>
      <c r="P2895" s="31">
        <v>163636368</v>
      </c>
      <c r="Q2895" s="161"/>
      <c r="R2895" s="162"/>
      <c r="S2895" s="211"/>
      <c r="T2895" s="79">
        <v>0.25</v>
      </c>
      <c r="U2895" s="339">
        <v>46023</v>
      </c>
      <c r="V2895" s="340">
        <v>46387</v>
      </c>
      <c r="W2895" s="27" t="s">
        <v>17</v>
      </c>
      <c r="X2895" s="158"/>
      <c r="Y2895" s="164">
        <v>46031</v>
      </c>
      <c r="Z2895" s="35">
        <f t="shared" si="222"/>
        <v>356</v>
      </c>
      <c r="AA2895" s="27">
        <f t="shared" si="223"/>
        <v>12</v>
      </c>
      <c r="AB2895" s="27">
        <f t="shared" si="224"/>
        <v>2026</v>
      </c>
      <c r="AC2895" s="159"/>
      <c r="AD2895" s="159"/>
      <c r="AE2895" s="158"/>
      <c r="AF2895" s="158" t="s">
        <v>356</v>
      </c>
      <c r="AG2895" s="29" t="s">
        <v>8671</v>
      </c>
      <c r="AH2895" s="160"/>
      <c r="AI2895" s="172"/>
      <c r="AJ2895" s="172"/>
      <c r="AK2895" s="172"/>
      <c r="AL2895" s="172"/>
      <c r="AM2895" s="172"/>
      <c r="AN2895" s="172"/>
      <c r="AO2895" s="172"/>
      <c r="AP2895" s="172"/>
      <c r="AQ2895" s="172"/>
      <c r="AR2895" s="479"/>
      <c r="AS2895" s="461"/>
      <c r="AT2895" s="160"/>
    </row>
    <row r="2896" spans="1:46" ht="15" hidden="1" customHeight="1">
      <c r="A2896" s="220">
        <v>2890</v>
      </c>
      <c r="B2896" s="80" t="s">
        <v>8666</v>
      </c>
      <c r="C2896" s="80" t="s">
        <v>8672</v>
      </c>
      <c r="D2896" s="447" t="s">
        <v>8668</v>
      </c>
      <c r="E2896" s="264" t="str">
        <f>IF(Z2896&lt;=0, "LOSS",IF(Z2896&lt;=15, "CRITICAL",IF(Z2896&lt;=30, "WARNING",IF(Z2896&lt;60, "ATTENTION", "ON TRACK"))))</f>
        <v>ON TRACK</v>
      </c>
      <c r="F2896" s="160"/>
      <c r="G2896" s="75" t="s">
        <v>8673</v>
      </c>
      <c r="H2896" s="29" t="s">
        <v>8588</v>
      </c>
      <c r="I2896" s="29" t="s">
        <v>511</v>
      </c>
      <c r="J2896" s="28" t="s">
        <v>8674</v>
      </c>
      <c r="K2896" s="160"/>
      <c r="L2896" s="158"/>
      <c r="M2896" s="76" t="s">
        <v>365</v>
      </c>
      <c r="N2896" s="160"/>
      <c r="O2896" s="162"/>
      <c r="P2896" s="31">
        <v>163636368</v>
      </c>
      <c r="Q2896" s="161"/>
      <c r="R2896" s="162"/>
      <c r="S2896" s="211"/>
      <c r="T2896" s="79">
        <v>0.25</v>
      </c>
      <c r="U2896" s="347">
        <v>46388</v>
      </c>
      <c r="V2896" s="347">
        <v>46752</v>
      </c>
      <c r="W2896" s="27" t="s">
        <v>17</v>
      </c>
      <c r="X2896" s="172"/>
      <c r="Y2896" s="178">
        <v>46031</v>
      </c>
      <c r="Z2896" s="35">
        <f t="shared" si="222"/>
        <v>721</v>
      </c>
      <c r="AA2896" s="27">
        <f t="shared" si="223"/>
        <v>12</v>
      </c>
      <c r="AB2896" s="27">
        <f t="shared" si="224"/>
        <v>2027</v>
      </c>
      <c r="AC2896" s="173"/>
      <c r="AD2896" s="173"/>
      <c r="AE2896" s="172"/>
      <c r="AF2896" s="158" t="s">
        <v>356</v>
      </c>
      <c r="AG2896" s="29" t="s">
        <v>8671</v>
      </c>
      <c r="AH2896" s="160"/>
      <c r="AI2896" s="172"/>
      <c r="AJ2896" s="172"/>
      <c r="AK2896" s="172"/>
      <c r="AL2896" s="172"/>
      <c r="AM2896" s="172"/>
      <c r="AN2896" s="172"/>
      <c r="AO2896" s="172"/>
      <c r="AP2896" s="172"/>
      <c r="AQ2896" s="172"/>
      <c r="AR2896" s="479"/>
      <c r="AS2896" s="461"/>
      <c r="AT2896" s="160"/>
    </row>
    <row r="2897" spans="1:46" ht="15" hidden="1" customHeight="1">
      <c r="A2897" s="220">
        <v>2891</v>
      </c>
      <c r="B2897" s="80" t="s">
        <v>8666</v>
      </c>
      <c r="C2897" s="80" t="s">
        <v>8672</v>
      </c>
      <c r="D2897" s="447" t="s">
        <v>8668</v>
      </c>
      <c r="E2897" s="264" t="str">
        <f>IF(Z2897&lt;=0, "LOSS",IF(Z2897&lt;=15, "CRITICAL",IF(Z2897&lt;=30, "WARNING",IF(Z2897&lt;60, "ATTENTION", "ON TRACK"))))</f>
        <v>ON TRACK</v>
      </c>
      <c r="F2897" s="160"/>
      <c r="G2897" s="75" t="s">
        <v>8673</v>
      </c>
      <c r="H2897" s="29" t="s">
        <v>8588</v>
      </c>
      <c r="I2897" s="29" t="s">
        <v>511</v>
      </c>
      <c r="J2897" s="28" t="s">
        <v>8674</v>
      </c>
      <c r="K2897" s="160"/>
      <c r="L2897" s="158"/>
      <c r="M2897" s="76" t="s">
        <v>365</v>
      </c>
      <c r="N2897" s="160"/>
      <c r="O2897" s="162"/>
      <c r="P2897" s="31">
        <v>163636368</v>
      </c>
      <c r="Q2897" s="161"/>
      <c r="R2897" s="162"/>
      <c r="S2897" s="211"/>
      <c r="T2897" s="79">
        <v>0.25</v>
      </c>
      <c r="U2897" s="347">
        <v>46753</v>
      </c>
      <c r="V2897" s="347">
        <v>47118</v>
      </c>
      <c r="W2897" s="27" t="s">
        <v>17</v>
      </c>
      <c r="X2897" s="172"/>
      <c r="Y2897" s="178">
        <v>46031</v>
      </c>
      <c r="Z2897" s="35">
        <f t="shared" si="222"/>
        <v>1087</v>
      </c>
      <c r="AA2897" s="27">
        <f t="shared" si="223"/>
        <v>12</v>
      </c>
      <c r="AB2897" s="27">
        <f t="shared" si="224"/>
        <v>2028</v>
      </c>
      <c r="AC2897" s="173"/>
      <c r="AD2897" s="173"/>
      <c r="AE2897" s="172"/>
      <c r="AF2897" s="158" t="s">
        <v>356</v>
      </c>
      <c r="AG2897" s="29" t="s">
        <v>8671</v>
      </c>
      <c r="AH2897" s="160"/>
      <c r="AI2897" s="172"/>
      <c r="AJ2897" s="172"/>
      <c r="AK2897" s="172"/>
      <c r="AL2897" s="172"/>
      <c r="AM2897" s="172"/>
      <c r="AN2897" s="172"/>
      <c r="AO2897" s="172"/>
      <c r="AP2897" s="172"/>
      <c r="AQ2897" s="172"/>
      <c r="AR2897" s="479"/>
      <c r="AS2897" s="461"/>
      <c r="AT2897" s="160"/>
    </row>
    <row r="2898" spans="1:46" ht="15" hidden="1" customHeight="1">
      <c r="A2898" s="220">
        <v>2892</v>
      </c>
      <c r="B2898" s="80" t="s">
        <v>8666</v>
      </c>
      <c r="C2898" s="80" t="s">
        <v>8672</v>
      </c>
      <c r="D2898" s="447" t="s">
        <v>8668</v>
      </c>
      <c r="E2898" s="264" t="str">
        <f>IF(Z2898&lt;=0, "LOSS",IF(Z2898&lt;=15, "CRITICAL",IF(Z2898&lt;=30, "WARNING",IF(Z2898&lt;60, "ATTENTION", "ON TRACK"))))</f>
        <v>ON TRACK</v>
      </c>
      <c r="F2898" s="160"/>
      <c r="G2898" s="75" t="s">
        <v>8673</v>
      </c>
      <c r="H2898" s="29" t="s">
        <v>8588</v>
      </c>
      <c r="I2898" s="29" t="s">
        <v>511</v>
      </c>
      <c r="J2898" s="28" t="s">
        <v>8674</v>
      </c>
      <c r="K2898" s="160"/>
      <c r="L2898" s="158"/>
      <c r="M2898" s="76" t="s">
        <v>365</v>
      </c>
      <c r="N2898" s="160"/>
      <c r="O2898" s="162"/>
      <c r="P2898" s="31">
        <v>163636368</v>
      </c>
      <c r="Q2898" s="161"/>
      <c r="R2898" s="162"/>
      <c r="S2898" s="211"/>
      <c r="T2898" s="79">
        <v>0.25</v>
      </c>
      <c r="U2898" s="347">
        <v>47119</v>
      </c>
      <c r="V2898" s="347">
        <v>47483</v>
      </c>
      <c r="W2898" s="27" t="s">
        <v>17</v>
      </c>
      <c r="X2898" s="172"/>
      <c r="Y2898" s="178">
        <v>46031</v>
      </c>
      <c r="Z2898" s="35">
        <f t="shared" si="222"/>
        <v>1452</v>
      </c>
      <c r="AA2898" s="27">
        <f t="shared" si="223"/>
        <v>12</v>
      </c>
      <c r="AB2898" s="27">
        <f t="shared" si="224"/>
        <v>2029</v>
      </c>
      <c r="AC2898" s="173"/>
      <c r="AD2898" s="173"/>
      <c r="AE2898" s="172"/>
      <c r="AF2898" s="158" t="s">
        <v>356</v>
      </c>
      <c r="AG2898" s="29" t="s">
        <v>8671</v>
      </c>
      <c r="AH2898" s="160"/>
      <c r="AI2898" s="172"/>
      <c r="AJ2898" s="172"/>
      <c r="AK2898" s="172"/>
      <c r="AL2898" s="172"/>
      <c r="AM2898" s="172"/>
      <c r="AN2898" s="172"/>
      <c r="AO2898" s="172"/>
      <c r="AP2898" s="172"/>
      <c r="AQ2898" s="172"/>
      <c r="AR2898" s="479"/>
      <c r="AS2898" s="461"/>
      <c r="AT2898" s="160"/>
    </row>
    <row r="2899" spans="1:46" ht="15" hidden="1" customHeight="1">
      <c r="A2899" s="220">
        <v>2893</v>
      </c>
      <c r="B2899" s="80" t="s">
        <v>8666</v>
      </c>
      <c r="C2899" s="80" t="s">
        <v>8672</v>
      </c>
      <c r="D2899" s="447" t="s">
        <v>8668</v>
      </c>
      <c r="E2899" s="264" t="str">
        <f>IF(Z2899&lt;=0, "LOSS",IF(Z2899&lt;=15, "CRITICAL",IF(Z2899&lt;=30, "WARNING",IF(Z2899&lt;60, "ATTENTION", "ON TRACK"))))</f>
        <v>ON TRACK</v>
      </c>
      <c r="F2899" s="160"/>
      <c r="G2899" s="75" t="s">
        <v>8673</v>
      </c>
      <c r="H2899" s="29" t="s">
        <v>8588</v>
      </c>
      <c r="I2899" s="29" t="s">
        <v>511</v>
      </c>
      <c r="J2899" s="28" t="s">
        <v>8674</v>
      </c>
      <c r="K2899" s="160"/>
      <c r="L2899" s="158"/>
      <c r="M2899" s="76" t="s">
        <v>365</v>
      </c>
      <c r="N2899" s="160"/>
      <c r="O2899" s="162"/>
      <c r="P2899" s="31">
        <v>163636368</v>
      </c>
      <c r="Q2899" s="161"/>
      <c r="R2899" s="162"/>
      <c r="S2899" s="211"/>
      <c r="T2899" s="79">
        <v>0.25</v>
      </c>
      <c r="U2899" s="347">
        <v>47484</v>
      </c>
      <c r="V2899" s="347">
        <v>47848</v>
      </c>
      <c r="W2899" s="27" t="s">
        <v>17</v>
      </c>
      <c r="X2899" s="172"/>
      <c r="Y2899" s="178">
        <v>46031</v>
      </c>
      <c r="Z2899" s="35">
        <f t="shared" si="222"/>
        <v>1817</v>
      </c>
      <c r="AA2899" s="27">
        <f t="shared" si="223"/>
        <v>12</v>
      </c>
      <c r="AB2899" s="27">
        <f t="shared" si="224"/>
        <v>2030</v>
      </c>
      <c r="AC2899" s="173"/>
      <c r="AD2899" s="173"/>
      <c r="AE2899" s="172"/>
      <c r="AF2899" s="158" t="s">
        <v>356</v>
      </c>
      <c r="AG2899" s="29" t="s">
        <v>8671</v>
      </c>
      <c r="AH2899" s="160"/>
      <c r="AI2899" s="172"/>
      <c r="AJ2899" s="172"/>
      <c r="AK2899" s="172"/>
      <c r="AL2899" s="172"/>
      <c r="AM2899" s="172"/>
      <c r="AN2899" s="172"/>
      <c r="AO2899" s="172"/>
      <c r="AP2899" s="172"/>
      <c r="AQ2899" s="172"/>
      <c r="AR2899" s="479"/>
      <c r="AS2899" s="461"/>
      <c r="AT2899" s="174"/>
    </row>
    <row r="2900" spans="1:46" ht="15" hidden="1" customHeight="1">
      <c r="A2900" s="220">
        <v>2894</v>
      </c>
      <c r="B2900" s="159" t="s">
        <v>10216</v>
      </c>
      <c r="C2900" s="173" t="s">
        <v>12354</v>
      </c>
      <c r="D2900" s="438" t="s">
        <v>10310</v>
      </c>
      <c r="E2900" s="113" t="str">
        <f t="shared" ref="E2900:E2931" ca="1" si="225">IF(AND(Z2900&gt;=60, Z2900&lt;=3000), "ON TRACK",IF(AND(Z2900&gt;=36, Z2900&lt;=59), "ATTENTION",IF(AND(Z2900&gt;=1, Z2900&lt;=35), "WARNING",IF(AND(Z2900&gt;=-3000, Z2900&lt;=0), "CRITICAL", ""))))</f>
        <v>WARNING</v>
      </c>
      <c r="F2900" s="174" t="s">
        <v>12355</v>
      </c>
      <c r="G2900" s="173" t="s">
        <v>12356</v>
      </c>
      <c r="H2900" s="160" t="s">
        <v>261</v>
      </c>
      <c r="I2900" s="160" t="s">
        <v>243</v>
      </c>
      <c r="J2900" s="173" t="s">
        <v>12357</v>
      </c>
      <c r="K2900" s="180" t="s">
        <v>12358</v>
      </c>
      <c r="L2900" s="158" t="s">
        <v>4749</v>
      </c>
      <c r="M2900" s="172" t="s">
        <v>353</v>
      </c>
      <c r="N2900" s="172" t="s">
        <v>494</v>
      </c>
      <c r="O2900" s="176">
        <v>80480000</v>
      </c>
      <c r="P2900" s="175">
        <f>6512000*11</f>
        <v>71632000</v>
      </c>
      <c r="Q2900" s="175"/>
      <c r="R2900" s="176"/>
      <c r="S2900" s="176">
        <f>3840000*11</f>
        <v>42240000</v>
      </c>
      <c r="T2900" s="178"/>
      <c r="U2900" s="347">
        <v>45979</v>
      </c>
      <c r="V2900" s="347">
        <v>46312</v>
      </c>
      <c r="W2900" s="158" t="s">
        <v>17</v>
      </c>
      <c r="X2900" s="172"/>
      <c r="Y2900" s="164">
        <f t="shared" ref="Y2900:Y2931" ca="1" si="226">TODAY()</f>
        <v>46290</v>
      </c>
      <c r="Z2900" s="207">
        <f ca="1">Table1[[#This Row],[End]]-Table1[[#This Row],[Today]]</f>
        <v>22</v>
      </c>
      <c r="AA2900" s="158">
        <f>MONTH(Table1[[#This Row],[End]])</f>
        <v>10</v>
      </c>
      <c r="AB2900" s="158">
        <f>YEAR(Table1[[#This Row],[End]])</f>
        <v>2026</v>
      </c>
      <c r="AC2900" s="159" t="s">
        <v>3371</v>
      </c>
      <c r="AD2900" s="173" t="s">
        <v>12359</v>
      </c>
      <c r="AE2900" s="172">
        <v>4500027246</v>
      </c>
      <c r="AF2900" s="179" t="s">
        <v>471</v>
      </c>
      <c r="AG2900" s="160" t="s">
        <v>12360</v>
      </c>
      <c r="AH2900" s="160"/>
      <c r="AI2900" s="172"/>
      <c r="AJ2900" s="172"/>
      <c r="AK2900" s="172"/>
      <c r="AL2900" s="172"/>
      <c r="AM2900" s="172"/>
      <c r="AN2900" s="172"/>
      <c r="AO2900" s="172"/>
      <c r="AP2900" s="172"/>
      <c r="AQ2900" s="172">
        <v>418</v>
      </c>
      <c r="AR2900" s="479"/>
      <c r="AS2900" s="461"/>
      <c r="AT2900" s="174"/>
    </row>
    <row r="2901" spans="1:46" ht="15" hidden="1" customHeight="1">
      <c r="A2901" s="220">
        <v>2895</v>
      </c>
      <c r="B2901" s="159" t="s">
        <v>10216</v>
      </c>
      <c r="C2901" s="173" t="s">
        <v>12354</v>
      </c>
      <c r="D2901" s="460" t="s">
        <v>10310</v>
      </c>
      <c r="E2901" s="113" t="str">
        <f t="shared" ca="1" si="225"/>
        <v>WARNING</v>
      </c>
      <c r="F2901" s="174" t="s">
        <v>12355</v>
      </c>
      <c r="G2901" s="173" t="s">
        <v>12361</v>
      </c>
      <c r="H2901" s="160" t="s">
        <v>261</v>
      </c>
      <c r="I2901" s="160" t="s">
        <v>243</v>
      </c>
      <c r="J2901" s="173" t="s">
        <v>12362</v>
      </c>
      <c r="K2901" s="180" t="s">
        <v>12363</v>
      </c>
      <c r="L2901" s="158" t="s">
        <v>4749</v>
      </c>
      <c r="M2901" s="172" t="s">
        <v>353</v>
      </c>
      <c r="N2901" s="172" t="s">
        <v>494</v>
      </c>
      <c r="O2901" s="176"/>
      <c r="P2901" s="175">
        <f>6512000*11</f>
        <v>71632000</v>
      </c>
      <c r="Q2901" s="175"/>
      <c r="R2901" s="176"/>
      <c r="S2901" s="176">
        <f>3840000*11</f>
        <v>42240000</v>
      </c>
      <c r="T2901" s="178"/>
      <c r="U2901" s="347">
        <v>45982</v>
      </c>
      <c r="V2901" s="347">
        <v>46315</v>
      </c>
      <c r="W2901" s="158" t="s">
        <v>17</v>
      </c>
      <c r="X2901" s="172"/>
      <c r="Y2901" s="164">
        <f t="shared" ca="1" si="226"/>
        <v>46290</v>
      </c>
      <c r="Z2901" s="207">
        <f ca="1">Table1[[#This Row],[End]]-Table1[[#This Row],[Today]]</f>
        <v>25</v>
      </c>
      <c r="AA2901" s="158">
        <f>MONTH(Table1[[#This Row],[End]])</f>
        <v>10</v>
      </c>
      <c r="AB2901" s="158">
        <f>YEAR(Table1[[#This Row],[End]])</f>
        <v>2026</v>
      </c>
      <c r="AC2901" s="159" t="s">
        <v>3371</v>
      </c>
      <c r="AD2901" s="173" t="s">
        <v>12364</v>
      </c>
      <c r="AE2901" s="172">
        <v>4500027242</v>
      </c>
      <c r="AF2901" s="179" t="s">
        <v>471</v>
      </c>
      <c r="AG2901" s="160" t="s">
        <v>12360</v>
      </c>
      <c r="AH2901" s="160"/>
      <c r="AI2901" s="172"/>
      <c r="AJ2901" s="172"/>
      <c r="AK2901" s="172"/>
      <c r="AL2901" s="172"/>
      <c r="AM2901" s="172"/>
      <c r="AN2901" s="172"/>
      <c r="AO2901" s="172"/>
      <c r="AP2901" s="172"/>
      <c r="AQ2901" s="172">
        <v>417</v>
      </c>
      <c r="AR2901" s="479"/>
      <c r="AS2901" s="461"/>
      <c r="AT2901" s="174"/>
    </row>
    <row r="2902" spans="1:46" ht="15" hidden="1" customHeight="1">
      <c r="A2902" s="220">
        <v>2896</v>
      </c>
      <c r="B2902" s="159" t="s">
        <v>10216</v>
      </c>
      <c r="C2902" s="173" t="s">
        <v>12354</v>
      </c>
      <c r="D2902" s="438" t="s">
        <v>10310</v>
      </c>
      <c r="E2902" s="113" t="str">
        <f t="shared" ca="1" si="225"/>
        <v>WARNING</v>
      </c>
      <c r="F2902" s="174" t="s">
        <v>12355</v>
      </c>
      <c r="G2902" s="173" t="s">
        <v>12365</v>
      </c>
      <c r="H2902" s="160" t="s">
        <v>261</v>
      </c>
      <c r="I2902" s="160" t="s">
        <v>243</v>
      </c>
      <c r="J2902" s="173" t="s">
        <v>12366</v>
      </c>
      <c r="K2902" s="180" t="s">
        <v>12367</v>
      </c>
      <c r="L2902" s="158" t="s">
        <v>4749</v>
      </c>
      <c r="M2902" s="172" t="s">
        <v>353</v>
      </c>
      <c r="N2902" s="172" t="s">
        <v>494</v>
      </c>
      <c r="O2902" s="176"/>
      <c r="P2902" s="175">
        <f>6512000*11</f>
        <v>71632000</v>
      </c>
      <c r="Q2902" s="175"/>
      <c r="R2902" s="176"/>
      <c r="S2902" s="176">
        <f>3840000*11</f>
        <v>42240000</v>
      </c>
      <c r="T2902" s="178"/>
      <c r="U2902" s="347">
        <v>45978</v>
      </c>
      <c r="V2902" s="347">
        <v>46311</v>
      </c>
      <c r="W2902" s="158" t="s">
        <v>17</v>
      </c>
      <c r="X2902" s="172"/>
      <c r="Y2902" s="164">
        <f t="shared" ca="1" si="226"/>
        <v>46290</v>
      </c>
      <c r="Z2902" s="207">
        <f ca="1">Table1[[#This Row],[End]]-Table1[[#This Row],[Today]]</f>
        <v>21</v>
      </c>
      <c r="AA2902" s="158">
        <f>MONTH(Table1[[#This Row],[End]])</f>
        <v>10</v>
      </c>
      <c r="AB2902" s="158">
        <f>YEAR(Table1[[#This Row],[End]])</f>
        <v>2026</v>
      </c>
      <c r="AC2902" s="159" t="s">
        <v>3371</v>
      </c>
      <c r="AD2902" s="173" t="s">
        <v>12368</v>
      </c>
      <c r="AE2902" s="172">
        <v>4500027245</v>
      </c>
      <c r="AF2902" s="179" t="s">
        <v>471</v>
      </c>
      <c r="AG2902" s="160" t="s">
        <v>12360</v>
      </c>
      <c r="AH2902" s="160"/>
      <c r="AI2902" s="172"/>
      <c r="AJ2902" s="172"/>
      <c r="AK2902" s="172"/>
      <c r="AL2902" s="172"/>
      <c r="AM2902" s="172"/>
      <c r="AN2902" s="172"/>
      <c r="AO2902" s="172"/>
      <c r="AP2902" s="172"/>
      <c r="AQ2902" s="172">
        <v>419</v>
      </c>
      <c r="AR2902" s="479"/>
      <c r="AS2902" s="461"/>
      <c r="AT2902" s="174"/>
    </row>
    <row r="2903" spans="1:46" ht="15" hidden="1" customHeight="1">
      <c r="A2903" s="220">
        <v>2897</v>
      </c>
      <c r="B2903" s="159" t="s">
        <v>10216</v>
      </c>
      <c r="C2903" s="173" t="s">
        <v>12354</v>
      </c>
      <c r="D2903" s="460" t="s">
        <v>10310</v>
      </c>
      <c r="E2903" s="113" t="str">
        <f t="shared" ca="1" si="225"/>
        <v>WARNING</v>
      </c>
      <c r="F2903" s="174" t="s">
        <v>12355</v>
      </c>
      <c r="G2903" s="173" t="s">
        <v>12369</v>
      </c>
      <c r="H2903" s="160" t="s">
        <v>261</v>
      </c>
      <c r="I2903" s="160" t="s">
        <v>243</v>
      </c>
      <c r="J2903" s="173" t="s">
        <v>12370</v>
      </c>
      <c r="K2903" s="180" t="s">
        <v>12371</v>
      </c>
      <c r="L2903" s="158" t="s">
        <v>4749</v>
      </c>
      <c r="M2903" s="172" t="s">
        <v>353</v>
      </c>
      <c r="N2903" s="172" t="s">
        <v>494</v>
      </c>
      <c r="O2903" s="176"/>
      <c r="P2903" s="175">
        <f>6512000*11</f>
        <v>71632000</v>
      </c>
      <c r="Q2903" s="175"/>
      <c r="R2903" s="176"/>
      <c r="S2903" s="176">
        <f>3840000*11</f>
        <v>42240000</v>
      </c>
      <c r="T2903" s="178"/>
      <c r="U2903" s="347">
        <v>45984</v>
      </c>
      <c r="V2903" s="347">
        <v>46317</v>
      </c>
      <c r="W2903" s="158" t="s">
        <v>17</v>
      </c>
      <c r="X2903" s="172"/>
      <c r="Y2903" s="164">
        <f t="shared" ca="1" si="226"/>
        <v>46290</v>
      </c>
      <c r="Z2903" s="207">
        <f ca="1">Table1[[#This Row],[End]]-Table1[[#This Row],[Today]]</f>
        <v>27</v>
      </c>
      <c r="AA2903" s="158">
        <f>MONTH(Table1[[#This Row],[End]])</f>
        <v>10</v>
      </c>
      <c r="AB2903" s="158">
        <f>YEAR(Table1[[#This Row],[End]])</f>
        <v>2026</v>
      </c>
      <c r="AC2903" s="159" t="s">
        <v>3371</v>
      </c>
      <c r="AD2903" s="173" t="s">
        <v>12372</v>
      </c>
      <c r="AE2903" s="172">
        <v>4500027243</v>
      </c>
      <c r="AF2903" s="179" t="s">
        <v>471</v>
      </c>
      <c r="AG2903" s="160" t="s">
        <v>12360</v>
      </c>
      <c r="AH2903" s="160"/>
      <c r="AI2903" s="172"/>
      <c r="AJ2903" s="172"/>
      <c r="AK2903" s="172"/>
      <c r="AL2903" s="172"/>
      <c r="AM2903" s="172"/>
      <c r="AN2903" s="172"/>
      <c r="AO2903" s="172"/>
      <c r="AP2903" s="172"/>
      <c r="AQ2903" s="172">
        <v>422</v>
      </c>
      <c r="AR2903" s="479"/>
      <c r="AS2903" s="461"/>
      <c r="AT2903" s="174"/>
    </row>
    <row r="2904" spans="1:46" ht="15" hidden="1" customHeight="1">
      <c r="A2904" s="220">
        <v>2898</v>
      </c>
      <c r="B2904" s="173" t="s">
        <v>899</v>
      </c>
      <c r="C2904" s="173" t="s">
        <v>12373</v>
      </c>
      <c r="D2904" s="467" t="s">
        <v>12374</v>
      </c>
      <c r="E2904" s="113" t="str">
        <f t="shared" ca="1" si="225"/>
        <v>ON TRACK</v>
      </c>
      <c r="F2904" s="174"/>
      <c r="G2904" s="421" t="s">
        <v>12375</v>
      </c>
      <c r="H2904" s="174" t="s">
        <v>2748</v>
      </c>
      <c r="I2904" s="174" t="s">
        <v>346</v>
      </c>
      <c r="J2904" s="425" t="s">
        <v>12376</v>
      </c>
      <c r="K2904" s="174"/>
      <c r="L2904" s="172"/>
      <c r="M2904" s="172" t="s">
        <v>7091</v>
      </c>
      <c r="N2904" s="172" t="s">
        <v>8337</v>
      </c>
      <c r="O2904" s="176"/>
      <c r="P2904" s="175">
        <v>183000000</v>
      </c>
      <c r="Q2904" s="175"/>
      <c r="R2904" s="176"/>
      <c r="S2904" s="177">
        <v>30000000</v>
      </c>
      <c r="T2904" s="178"/>
      <c r="U2904" s="347">
        <v>45995</v>
      </c>
      <c r="V2904" s="347">
        <v>46359</v>
      </c>
      <c r="W2904" s="172" t="s">
        <v>17</v>
      </c>
      <c r="X2904" s="172"/>
      <c r="Y2904" s="164">
        <f t="shared" ca="1" si="226"/>
        <v>46290</v>
      </c>
      <c r="Z2904" s="207">
        <f ca="1">Table1[[#This Row],[End]]-Table1[[#This Row],[Today]]</f>
        <v>69</v>
      </c>
      <c r="AA2904" s="158">
        <f>MONTH(Table1[[#This Row],[End]])</f>
        <v>12</v>
      </c>
      <c r="AB2904" s="158">
        <f>YEAR(Table1[[#This Row],[End]])</f>
        <v>2026</v>
      </c>
      <c r="AC2904" s="173" t="s">
        <v>3371</v>
      </c>
      <c r="AD2904" s="429" t="s">
        <v>12377</v>
      </c>
      <c r="AE2904" s="172">
        <v>4500027071</v>
      </c>
      <c r="AF2904" s="179" t="s">
        <v>356</v>
      </c>
      <c r="AG2904" s="174" t="s">
        <v>12378</v>
      </c>
      <c r="AH2904" s="160"/>
      <c r="AI2904" s="172"/>
      <c r="AJ2904" s="172"/>
      <c r="AK2904" s="172"/>
      <c r="AL2904" s="172"/>
      <c r="AM2904" s="172"/>
      <c r="AN2904" s="172"/>
      <c r="AO2904" s="172"/>
      <c r="AP2904" s="172"/>
      <c r="AQ2904" s="172">
        <v>458</v>
      </c>
      <c r="AR2904" s="479"/>
      <c r="AS2904" s="461"/>
      <c r="AT2904" s="174"/>
    </row>
    <row r="2905" spans="1:46" ht="15" hidden="1" customHeight="1">
      <c r="A2905" s="220">
        <v>2899</v>
      </c>
      <c r="B2905" s="173" t="s">
        <v>382</v>
      </c>
      <c r="C2905" s="173" t="s">
        <v>9777</v>
      </c>
      <c r="D2905" s="437" t="s">
        <v>384</v>
      </c>
      <c r="E2905" s="113" t="str">
        <f t="shared" ca="1" si="225"/>
        <v>CRITICAL</v>
      </c>
      <c r="F2905" s="481" t="s">
        <v>12379</v>
      </c>
      <c r="G2905" s="425" t="s">
        <v>12380</v>
      </c>
      <c r="H2905" s="174" t="s">
        <v>2748</v>
      </c>
      <c r="I2905" s="174" t="s">
        <v>242</v>
      </c>
      <c r="J2905" s="173" t="s">
        <v>12260</v>
      </c>
      <c r="K2905" s="174"/>
      <c r="L2905" s="172"/>
      <c r="M2905" s="172" t="s">
        <v>6788</v>
      </c>
      <c r="N2905" s="172" t="s">
        <v>12381</v>
      </c>
      <c r="O2905" s="176"/>
      <c r="P2905" s="175">
        <f>24500000*2</f>
        <v>49000000</v>
      </c>
      <c r="Q2905" s="175"/>
      <c r="R2905" s="176"/>
      <c r="S2905" s="177">
        <f>2*10000000</f>
        <v>20000000</v>
      </c>
      <c r="T2905" s="178"/>
      <c r="U2905" s="347">
        <v>45996</v>
      </c>
      <c r="V2905" s="347">
        <v>46057</v>
      </c>
      <c r="W2905" s="172" t="s">
        <v>250</v>
      </c>
      <c r="X2905" s="172"/>
      <c r="Y2905" s="178">
        <f t="shared" ca="1" si="226"/>
        <v>46290</v>
      </c>
      <c r="Z2905" s="207">
        <f ca="1">Table1[[#This Row],[End]]-Table1[[#This Row],[Today]]</f>
        <v>-233</v>
      </c>
      <c r="AA2905" s="158">
        <f>MONTH(Table1[[#This Row],[End]])</f>
        <v>2</v>
      </c>
      <c r="AB2905" s="158">
        <f>YEAR(Table1[[#This Row],[End]])</f>
        <v>2026</v>
      </c>
      <c r="AC2905" s="429" t="s">
        <v>10763</v>
      </c>
      <c r="AD2905" s="173" t="s">
        <v>12382</v>
      </c>
      <c r="AE2905" s="172">
        <v>4500027476</v>
      </c>
      <c r="AF2905" s="179" t="s">
        <v>333</v>
      </c>
      <c r="AG2905" s="174"/>
      <c r="AH2905" s="160"/>
      <c r="AI2905" s="172"/>
      <c r="AJ2905" s="172"/>
      <c r="AK2905" s="172"/>
      <c r="AL2905" s="172"/>
      <c r="AM2905" s="172"/>
      <c r="AN2905" s="172"/>
      <c r="AO2905" s="172"/>
      <c r="AP2905" s="172"/>
      <c r="AQ2905" s="172">
        <v>491</v>
      </c>
      <c r="AR2905" s="479"/>
      <c r="AS2905" s="461"/>
      <c r="AT2905" s="174"/>
    </row>
    <row r="2906" spans="1:46" ht="15" hidden="1" customHeight="1">
      <c r="A2906" s="220">
        <v>2900</v>
      </c>
      <c r="B2906" s="173" t="s">
        <v>1449</v>
      </c>
      <c r="C2906" s="173" t="s">
        <v>1450</v>
      </c>
      <c r="D2906" s="434" t="s">
        <v>12383</v>
      </c>
      <c r="E2906" s="113" t="str">
        <f t="shared" ca="1" si="225"/>
        <v>ON TRACK</v>
      </c>
      <c r="F2906" s="425"/>
      <c r="G2906" s="425" t="s">
        <v>10444</v>
      </c>
      <c r="H2906" s="174" t="s">
        <v>2748</v>
      </c>
      <c r="I2906" s="174" t="s">
        <v>346</v>
      </c>
      <c r="J2906" s="173"/>
      <c r="K2906" s="180" t="s">
        <v>10445</v>
      </c>
      <c r="L2906" s="172"/>
      <c r="M2906" s="172" t="s">
        <v>365</v>
      </c>
      <c r="N2906" s="172" t="s">
        <v>389</v>
      </c>
      <c r="O2906" s="176"/>
      <c r="P2906" s="175">
        <f>12*12400000</f>
        <v>148800000</v>
      </c>
      <c r="Q2906" s="175"/>
      <c r="R2906" s="176"/>
      <c r="S2906" s="177">
        <f>12*1000000</f>
        <v>12000000</v>
      </c>
      <c r="T2906" s="178"/>
      <c r="U2906" s="347">
        <v>46054</v>
      </c>
      <c r="V2906" s="347">
        <v>46418</v>
      </c>
      <c r="W2906" s="172" t="s">
        <v>17</v>
      </c>
      <c r="X2906" s="172"/>
      <c r="Y2906" s="178">
        <f t="shared" ca="1" si="226"/>
        <v>46290</v>
      </c>
      <c r="Z2906" s="207">
        <f ca="1">Table1[[#This Row],[End]]-Table1[[#This Row],[Today]]</f>
        <v>128</v>
      </c>
      <c r="AA2906" s="158">
        <f>MONTH(Table1[[#This Row],[End]])</f>
        <v>1</v>
      </c>
      <c r="AB2906" s="158">
        <f>YEAR(Table1[[#This Row],[End]])</f>
        <v>2027</v>
      </c>
      <c r="AC2906" s="173" t="s">
        <v>12384</v>
      </c>
      <c r="AD2906" s="173" t="s">
        <v>12385</v>
      </c>
      <c r="AE2906" s="172">
        <v>4500027474</v>
      </c>
      <c r="AF2906" s="179" t="s">
        <v>333</v>
      </c>
      <c r="AG2906" s="174"/>
      <c r="AH2906" s="160"/>
      <c r="AI2906" s="172"/>
      <c r="AJ2906" s="172"/>
      <c r="AK2906" s="172"/>
      <c r="AL2906" s="172"/>
      <c r="AM2906" s="172"/>
      <c r="AN2906" s="172"/>
      <c r="AO2906" s="172"/>
      <c r="AP2906" s="172"/>
      <c r="AQ2906" s="172"/>
      <c r="AR2906" s="479"/>
      <c r="AS2906" s="461">
        <v>43</v>
      </c>
      <c r="AT2906" s="174"/>
    </row>
    <row r="2907" spans="1:46" ht="15" hidden="1" customHeight="1">
      <c r="A2907" s="220">
        <v>2901</v>
      </c>
      <c r="B2907" s="173" t="s">
        <v>71</v>
      </c>
      <c r="C2907" s="173" t="s">
        <v>2451</v>
      </c>
      <c r="D2907" s="437" t="s">
        <v>490</v>
      </c>
      <c r="E2907" s="113" t="str">
        <f t="shared" ca="1" si="225"/>
        <v>ATTENTION</v>
      </c>
      <c r="F2907" s="425" t="s">
        <v>9807</v>
      </c>
      <c r="G2907" s="425" t="s">
        <v>12386</v>
      </c>
      <c r="H2907" s="174" t="s">
        <v>2748</v>
      </c>
      <c r="I2907" s="174" t="s">
        <v>242</v>
      </c>
      <c r="J2907" s="454" t="s">
        <v>12387</v>
      </c>
      <c r="K2907" s="174"/>
      <c r="L2907" s="172"/>
      <c r="M2907" s="172" t="s">
        <v>12388</v>
      </c>
      <c r="N2907" s="172" t="s">
        <v>354</v>
      </c>
      <c r="O2907" s="176"/>
      <c r="P2907" s="175">
        <f>5000000*12</f>
        <v>60000000</v>
      </c>
      <c r="Q2907" s="175"/>
      <c r="R2907" s="176"/>
      <c r="S2907" s="177">
        <f>1500000*12</f>
        <v>18000000</v>
      </c>
      <c r="T2907" s="178"/>
      <c r="U2907" s="347">
        <v>45979</v>
      </c>
      <c r="V2907" s="347">
        <v>46343</v>
      </c>
      <c r="W2907" s="172" t="s">
        <v>17</v>
      </c>
      <c r="X2907" s="172"/>
      <c r="Y2907" s="178">
        <f t="shared" ca="1" si="226"/>
        <v>46290</v>
      </c>
      <c r="Z2907" s="207">
        <f ca="1">Table1[[#This Row],[End]]-Table1[[#This Row],[Today]]</f>
        <v>53</v>
      </c>
      <c r="AA2907" s="158">
        <f>MONTH(Table1[[#This Row],[End]])</f>
        <v>11</v>
      </c>
      <c r="AB2907" s="158">
        <f>YEAR(Table1[[#This Row],[End]])</f>
        <v>2026</v>
      </c>
      <c r="AC2907" s="173" t="s">
        <v>12227</v>
      </c>
      <c r="AD2907" s="462" t="s">
        <v>12389</v>
      </c>
      <c r="AE2907" s="172">
        <v>4500027512</v>
      </c>
      <c r="AF2907" s="179" t="s">
        <v>333</v>
      </c>
      <c r="AG2907" s="174" t="s">
        <v>12021</v>
      </c>
      <c r="AH2907" s="160"/>
      <c r="AI2907" s="172"/>
      <c r="AJ2907" s="172"/>
      <c r="AK2907" s="172"/>
      <c r="AL2907" s="172"/>
      <c r="AM2907" s="172"/>
      <c r="AN2907" s="172"/>
      <c r="AO2907" s="172"/>
      <c r="AP2907" s="172"/>
      <c r="AQ2907" s="172"/>
      <c r="AR2907" s="479"/>
      <c r="AS2907" s="461">
        <v>45</v>
      </c>
      <c r="AT2907" s="174"/>
    </row>
    <row r="2908" spans="1:46" ht="15" hidden="1" customHeight="1">
      <c r="A2908" s="220">
        <v>2902</v>
      </c>
      <c r="B2908" s="173" t="s">
        <v>2391</v>
      </c>
      <c r="C2908" s="159" t="s">
        <v>1274</v>
      </c>
      <c r="D2908" s="437" t="s">
        <v>3035</v>
      </c>
      <c r="E2908" s="113" t="str">
        <f t="shared" ca="1" si="225"/>
        <v>ON TRACK</v>
      </c>
      <c r="F2908" s="160"/>
      <c r="G2908" s="159" t="s">
        <v>9576</v>
      </c>
      <c r="H2908" s="160" t="s">
        <v>2748</v>
      </c>
      <c r="I2908" s="160" t="s">
        <v>346</v>
      </c>
      <c r="J2908" s="173"/>
      <c r="K2908" s="174"/>
      <c r="L2908" s="172"/>
      <c r="M2908" s="158" t="s">
        <v>329</v>
      </c>
      <c r="N2908" s="158"/>
      <c r="O2908" s="162"/>
      <c r="P2908" s="161" t="s">
        <v>115</v>
      </c>
      <c r="Q2908" s="161"/>
      <c r="R2908" s="162"/>
      <c r="S2908" s="163">
        <v>5000000</v>
      </c>
      <c r="T2908" s="164"/>
      <c r="U2908" s="334">
        <v>46078</v>
      </c>
      <c r="V2908" s="334">
        <v>46442</v>
      </c>
      <c r="W2908" s="27" t="s">
        <v>17</v>
      </c>
      <c r="X2908" s="158"/>
      <c r="Y2908" s="34">
        <f t="shared" ca="1" si="226"/>
        <v>46290</v>
      </c>
      <c r="Z2908" s="35">
        <f t="shared" ref="Z2908:Z2939" ca="1" si="227">V2908-Y2908</f>
        <v>152</v>
      </c>
      <c r="AA2908" s="27">
        <f>MONTH(V2908)</f>
        <v>2</v>
      </c>
      <c r="AB2908" s="27">
        <f>YEAR(V2908)</f>
        <v>2027</v>
      </c>
      <c r="AC2908" s="159" t="s">
        <v>12390</v>
      </c>
      <c r="AD2908" s="159" t="s">
        <v>12391</v>
      </c>
      <c r="AE2908" s="184" t="s">
        <v>12392</v>
      </c>
      <c r="AF2908" s="201" t="s">
        <v>333</v>
      </c>
      <c r="AG2908" s="160" t="s">
        <v>3039</v>
      </c>
      <c r="AH2908" s="160"/>
      <c r="AI2908" s="172"/>
      <c r="AJ2908" s="172"/>
      <c r="AK2908" s="172"/>
      <c r="AL2908" s="172"/>
      <c r="AM2908" s="172"/>
      <c r="AN2908" s="172"/>
      <c r="AO2908" s="172"/>
      <c r="AP2908" s="172"/>
      <c r="AQ2908" s="172"/>
      <c r="AR2908" s="479"/>
      <c r="AS2908" s="461">
        <v>15</v>
      </c>
      <c r="AT2908" s="174"/>
    </row>
    <row r="2909" spans="1:46" ht="15" hidden="1" customHeight="1">
      <c r="A2909" s="220">
        <v>2903</v>
      </c>
      <c r="B2909" s="173" t="s">
        <v>2391</v>
      </c>
      <c r="C2909" s="159" t="s">
        <v>1274</v>
      </c>
      <c r="D2909" s="468" t="s">
        <v>3035</v>
      </c>
      <c r="E2909" s="113" t="str">
        <f t="shared" ca="1" si="225"/>
        <v>ON TRACK</v>
      </c>
      <c r="F2909" s="160"/>
      <c r="G2909" s="159" t="s">
        <v>9576</v>
      </c>
      <c r="H2909" s="160" t="s">
        <v>2748</v>
      </c>
      <c r="I2909" s="160" t="s">
        <v>346</v>
      </c>
      <c r="J2909" s="159"/>
      <c r="K2909" s="160"/>
      <c r="L2909" s="158"/>
      <c r="M2909" s="158" t="s">
        <v>329</v>
      </c>
      <c r="N2909" s="174"/>
      <c r="O2909" s="176"/>
      <c r="P2909" s="161" t="s">
        <v>115</v>
      </c>
      <c r="Q2909" s="161"/>
      <c r="R2909" s="162"/>
      <c r="S2909" s="163">
        <v>30000000</v>
      </c>
      <c r="T2909" s="164"/>
      <c r="U2909" s="334">
        <v>46024</v>
      </c>
      <c r="V2909" s="334">
        <v>46388</v>
      </c>
      <c r="W2909" s="27" t="s">
        <v>17</v>
      </c>
      <c r="X2909" s="158"/>
      <c r="Y2909" s="34">
        <f t="shared" ca="1" si="226"/>
        <v>46290</v>
      </c>
      <c r="Z2909" s="35">
        <f t="shared" ca="1" si="227"/>
        <v>98</v>
      </c>
      <c r="AA2909" s="27">
        <f>MONTH(V2909)</f>
        <v>1</v>
      </c>
      <c r="AB2909" s="27">
        <f>YEAR(V2909)</f>
        <v>2027</v>
      </c>
      <c r="AC2909" s="159" t="s">
        <v>12393</v>
      </c>
      <c r="AD2909" s="159" t="s">
        <v>12391</v>
      </c>
      <c r="AE2909" s="184" t="s">
        <v>12394</v>
      </c>
      <c r="AF2909" s="201" t="s">
        <v>333</v>
      </c>
      <c r="AG2909" s="160" t="s">
        <v>3039</v>
      </c>
      <c r="AH2909" s="160"/>
      <c r="AI2909" s="172"/>
      <c r="AJ2909" s="172"/>
      <c r="AK2909" s="172"/>
      <c r="AL2909" s="172"/>
      <c r="AM2909" s="172"/>
      <c r="AN2909" s="172"/>
      <c r="AO2909" s="172"/>
      <c r="AP2909" s="172"/>
      <c r="AQ2909" s="172"/>
      <c r="AR2909" s="479"/>
      <c r="AS2909" s="461">
        <v>18</v>
      </c>
      <c r="AT2909" s="174"/>
    </row>
    <row r="2910" spans="1:46" ht="15" hidden="1" customHeight="1">
      <c r="A2910" s="220">
        <v>2904</v>
      </c>
      <c r="B2910" s="173" t="s">
        <v>71</v>
      </c>
      <c r="C2910" s="173" t="s">
        <v>12395</v>
      </c>
      <c r="D2910" s="435" t="s">
        <v>490</v>
      </c>
      <c r="E2910" s="113" t="str">
        <f t="shared" ca="1" si="225"/>
        <v>ON TRACK</v>
      </c>
      <c r="F2910" s="425" t="s">
        <v>12396</v>
      </c>
      <c r="G2910" s="425" t="s">
        <v>12397</v>
      </c>
      <c r="H2910" s="174" t="s">
        <v>2748</v>
      </c>
      <c r="I2910" s="174" t="s">
        <v>242</v>
      </c>
      <c r="J2910" s="173" t="s">
        <v>10233</v>
      </c>
      <c r="K2910" s="174"/>
      <c r="L2910" s="172"/>
      <c r="M2910" s="172" t="s">
        <v>12398</v>
      </c>
      <c r="N2910" s="172" t="s">
        <v>362</v>
      </c>
      <c r="O2910" s="176"/>
      <c r="P2910" s="175"/>
      <c r="Q2910" s="175"/>
      <c r="R2910" s="176"/>
      <c r="S2910" s="177">
        <f>3000000*12</f>
        <v>36000000</v>
      </c>
      <c r="T2910" s="178"/>
      <c r="U2910" s="347">
        <v>46005</v>
      </c>
      <c r="V2910" s="347">
        <v>46369</v>
      </c>
      <c r="W2910" s="27" t="s">
        <v>17</v>
      </c>
      <c r="X2910" s="172"/>
      <c r="Y2910" s="178">
        <f t="shared" ca="1" si="226"/>
        <v>46290</v>
      </c>
      <c r="Z2910" s="35">
        <f t="shared" ca="1" si="227"/>
        <v>79</v>
      </c>
      <c r="AA2910" s="158">
        <f>MONTH(Table1[[#This Row],[End]])</f>
        <v>12</v>
      </c>
      <c r="AB2910" s="158">
        <f>YEAR(Table1[[#This Row],[End]])</f>
        <v>2026</v>
      </c>
      <c r="AC2910" s="159" t="s">
        <v>10234</v>
      </c>
      <c r="AD2910" s="173" t="s">
        <v>12399</v>
      </c>
      <c r="AE2910" s="172">
        <v>4500027467</v>
      </c>
      <c r="AF2910" s="158" t="s">
        <v>333</v>
      </c>
      <c r="AG2910" s="174" t="s">
        <v>12021</v>
      </c>
      <c r="AH2910" s="160"/>
      <c r="AI2910" s="172"/>
      <c r="AJ2910" s="172"/>
      <c r="AK2910" s="172"/>
      <c r="AL2910" s="172"/>
      <c r="AM2910" s="172"/>
      <c r="AN2910" s="172"/>
      <c r="AO2910" s="172"/>
      <c r="AP2910" s="172"/>
      <c r="AQ2910" s="172">
        <v>461</v>
      </c>
      <c r="AR2910" s="479"/>
      <c r="AS2910" s="461"/>
      <c r="AT2910" s="174"/>
    </row>
    <row r="2911" spans="1:46" ht="15" hidden="1" customHeight="1">
      <c r="A2911" s="220">
        <v>2905</v>
      </c>
      <c r="B2911" s="173" t="s">
        <v>71</v>
      </c>
      <c r="C2911" s="173" t="s">
        <v>3921</v>
      </c>
      <c r="D2911" s="438" t="s">
        <v>490</v>
      </c>
      <c r="E2911" s="113" t="str">
        <f t="shared" ca="1" si="225"/>
        <v>ON TRACK</v>
      </c>
      <c r="F2911" s="203" t="s">
        <v>10387</v>
      </c>
      <c r="G2911" s="159" t="s">
        <v>10388</v>
      </c>
      <c r="H2911" s="160" t="s">
        <v>2748</v>
      </c>
      <c r="I2911" s="160" t="s">
        <v>242</v>
      </c>
      <c r="J2911" s="159" t="s">
        <v>89</v>
      </c>
      <c r="K2911" s="181" t="s">
        <v>10389</v>
      </c>
      <c r="L2911" s="158"/>
      <c r="M2911" s="158" t="s">
        <v>9506</v>
      </c>
      <c r="N2911" s="158" t="s">
        <v>417</v>
      </c>
      <c r="O2911" s="176"/>
      <c r="P2911" s="161">
        <f>4500000*12</f>
        <v>54000000</v>
      </c>
      <c r="Q2911" s="161"/>
      <c r="R2911" s="162"/>
      <c r="S2911" s="163">
        <v>24000000</v>
      </c>
      <c r="T2911" s="164"/>
      <c r="U2911" s="334">
        <v>46063</v>
      </c>
      <c r="V2911" s="334">
        <v>46427</v>
      </c>
      <c r="W2911" s="27" t="s">
        <v>17</v>
      </c>
      <c r="X2911" s="158"/>
      <c r="Y2911" s="34">
        <f t="shared" ca="1" si="226"/>
        <v>46290</v>
      </c>
      <c r="Z2911" s="35">
        <f t="shared" ca="1" si="227"/>
        <v>137</v>
      </c>
      <c r="AA2911" s="27">
        <f>MONTH(V2911)</f>
        <v>2</v>
      </c>
      <c r="AB2911" s="27">
        <f t="shared" ref="AB2911:AB2953" si="228">YEAR(V2911)</f>
        <v>2027</v>
      </c>
      <c r="AC2911" s="159" t="s">
        <v>12400</v>
      </c>
      <c r="AD2911" s="159" t="s">
        <v>12401</v>
      </c>
      <c r="AE2911" s="184" t="s">
        <v>12402</v>
      </c>
      <c r="AF2911" s="201" t="s">
        <v>333</v>
      </c>
      <c r="AG2911" s="174" t="s">
        <v>12021</v>
      </c>
      <c r="AH2911" s="160"/>
      <c r="AI2911" s="172"/>
      <c r="AJ2911" s="172"/>
      <c r="AK2911" s="172"/>
      <c r="AL2911" s="172"/>
      <c r="AM2911" s="172"/>
      <c r="AN2911" s="172"/>
      <c r="AO2911" s="172"/>
      <c r="AP2911" s="172"/>
      <c r="AQ2911" s="172"/>
      <c r="AR2911" s="479"/>
      <c r="AS2911" s="461">
        <v>16</v>
      </c>
      <c r="AT2911" s="174"/>
    </row>
    <row r="2912" spans="1:46" ht="15" hidden="1" customHeight="1">
      <c r="A2912" s="220">
        <v>2906</v>
      </c>
      <c r="B2912" s="173" t="s">
        <v>71</v>
      </c>
      <c r="C2912" s="173" t="s">
        <v>489</v>
      </c>
      <c r="D2912" s="438" t="s">
        <v>490</v>
      </c>
      <c r="E2912" s="113" t="str">
        <f t="shared" ca="1" si="225"/>
        <v>ON TRACK</v>
      </c>
      <c r="F2912" s="160" t="s">
        <v>491</v>
      </c>
      <c r="G2912" s="159" t="s">
        <v>492</v>
      </c>
      <c r="H2912" s="160" t="s">
        <v>2748</v>
      </c>
      <c r="I2912" s="160" t="s">
        <v>242</v>
      </c>
      <c r="J2912" s="205" t="s">
        <v>493</v>
      </c>
      <c r="K2912" s="180" t="s">
        <v>12403</v>
      </c>
      <c r="L2912" s="172"/>
      <c r="M2912" s="158" t="s">
        <v>365</v>
      </c>
      <c r="N2912" s="158" t="s">
        <v>494</v>
      </c>
      <c r="O2912" s="176"/>
      <c r="P2912" s="161">
        <f>12977540*12</f>
        <v>155730480</v>
      </c>
      <c r="Q2912" s="161"/>
      <c r="R2912" s="162"/>
      <c r="S2912" s="163">
        <v>18000000</v>
      </c>
      <c r="T2912" s="164"/>
      <c r="U2912" s="340">
        <v>46032</v>
      </c>
      <c r="V2912" s="340">
        <v>46396</v>
      </c>
      <c r="W2912" s="158" t="s">
        <v>17</v>
      </c>
      <c r="X2912" s="158"/>
      <c r="Y2912" s="34">
        <f t="shared" ca="1" si="226"/>
        <v>46290</v>
      </c>
      <c r="Z2912" s="35">
        <f t="shared" ca="1" si="227"/>
        <v>106</v>
      </c>
      <c r="AA2912" s="158">
        <f>MONTH(V2912)</f>
        <v>1</v>
      </c>
      <c r="AB2912" s="158">
        <f t="shared" si="228"/>
        <v>2027</v>
      </c>
      <c r="AC2912" s="159" t="s">
        <v>12404</v>
      </c>
      <c r="AD2912" s="159" t="s">
        <v>12405</v>
      </c>
      <c r="AE2912" s="184" t="s">
        <v>12406</v>
      </c>
      <c r="AF2912" s="201" t="s">
        <v>333</v>
      </c>
      <c r="AG2912" s="174" t="s">
        <v>12021</v>
      </c>
      <c r="AH2912" s="160"/>
      <c r="AI2912" s="172"/>
      <c r="AJ2912" s="172"/>
      <c r="AK2912" s="172"/>
      <c r="AL2912" s="172"/>
      <c r="AM2912" s="172"/>
      <c r="AN2912" s="172"/>
      <c r="AO2912" s="172"/>
      <c r="AP2912" s="172"/>
      <c r="AQ2912" s="172"/>
      <c r="AR2912" s="479"/>
      <c r="AS2912" s="461">
        <v>21</v>
      </c>
      <c r="AT2912" s="174"/>
    </row>
    <row r="2913" spans="1:46" ht="15" hidden="1" customHeight="1">
      <c r="A2913" s="220">
        <v>2907</v>
      </c>
      <c r="B2913" s="173" t="s">
        <v>71</v>
      </c>
      <c r="C2913" s="173" t="s">
        <v>3789</v>
      </c>
      <c r="D2913" s="438" t="s">
        <v>490</v>
      </c>
      <c r="E2913" s="113" t="str">
        <f t="shared" ca="1" si="225"/>
        <v>ON TRACK</v>
      </c>
      <c r="F2913" s="255" t="s">
        <v>10533</v>
      </c>
      <c r="G2913" s="159" t="s">
        <v>10534</v>
      </c>
      <c r="H2913" s="160" t="s">
        <v>2748</v>
      </c>
      <c r="I2913" s="160" t="s">
        <v>242</v>
      </c>
      <c r="J2913" s="205" t="s">
        <v>10535</v>
      </c>
      <c r="K2913" s="160"/>
      <c r="L2913" s="158"/>
      <c r="M2913" s="190" t="s">
        <v>365</v>
      </c>
      <c r="N2913" s="158" t="s">
        <v>417</v>
      </c>
      <c r="O2913" s="176"/>
      <c r="P2913" s="161">
        <f>2847500*12</f>
        <v>34170000</v>
      </c>
      <c r="Q2913" s="161"/>
      <c r="R2913" s="162"/>
      <c r="S2913" s="163">
        <v>18000000</v>
      </c>
      <c r="T2913" s="164"/>
      <c r="U2913" s="340">
        <v>46096</v>
      </c>
      <c r="V2913" s="340">
        <v>46460</v>
      </c>
      <c r="W2913" s="158" t="s">
        <v>17</v>
      </c>
      <c r="X2913" s="158"/>
      <c r="Y2913" s="34">
        <f t="shared" ca="1" si="226"/>
        <v>46290</v>
      </c>
      <c r="Z2913" s="35">
        <f t="shared" ca="1" si="227"/>
        <v>170</v>
      </c>
      <c r="AA2913" s="27">
        <f>MONTH(Table1[[#This Row],[End]])</f>
        <v>3</v>
      </c>
      <c r="AB2913" s="27">
        <f t="shared" si="228"/>
        <v>2027</v>
      </c>
      <c r="AC2913" s="159" t="s">
        <v>12407</v>
      </c>
      <c r="AD2913" s="159" t="s">
        <v>12408</v>
      </c>
      <c r="AE2913" s="184" t="s">
        <v>12409</v>
      </c>
      <c r="AF2913" s="201" t="s">
        <v>333</v>
      </c>
      <c r="AG2913" s="174" t="s">
        <v>12021</v>
      </c>
      <c r="AH2913" s="160"/>
      <c r="AI2913" s="172"/>
      <c r="AJ2913" s="172"/>
      <c r="AK2913" s="172"/>
      <c r="AL2913" s="172"/>
      <c r="AM2913" s="172"/>
      <c r="AN2913" s="172"/>
      <c r="AO2913" s="172"/>
      <c r="AP2913" s="172"/>
      <c r="AQ2913" s="172"/>
      <c r="AR2913" s="479"/>
      <c r="AS2913" s="461">
        <v>28</v>
      </c>
      <c r="AT2913" s="174"/>
    </row>
    <row r="2914" spans="1:46" ht="15" hidden="1" customHeight="1">
      <c r="A2914" s="220">
        <v>2908</v>
      </c>
      <c r="B2914" s="173" t="s">
        <v>2593</v>
      </c>
      <c r="C2914" s="173" t="s">
        <v>12410</v>
      </c>
      <c r="D2914" s="437" t="s">
        <v>5505</v>
      </c>
      <c r="E2914" s="113" t="str">
        <f t="shared" ca="1" si="225"/>
        <v>ON TRACK</v>
      </c>
      <c r="F2914" s="174"/>
      <c r="G2914" s="173" t="s">
        <v>12411</v>
      </c>
      <c r="H2914" s="174" t="s">
        <v>2748</v>
      </c>
      <c r="I2914" s="174" t="s">
        <v>346</v>
      </c>
      <c r="J2914" s="173" t="s">
        <v>12412</v>
      </c>
      <c r="K2914" s="174"/>
      <c r="L2914" s="172"/>
      <c r="M2914" s="172" t="s">
        <v>353</v>
      </c>
      <c r="N2914" s="172" t="s">
        <v>389</v>
      </c>
      <c r="O2914" s="176"/>
      <c r="P2914" s="175">
        <f>12*10000000</f>
        <v>120000000</v>
      </c>
      <c r="Q2914" s="175"/>
      <c r="R2914" s="176"/>
      <c r="S2914" s="177">
        <f>42000000</f>
        <v>42000000</v>
      </c>
      <c r="T2914" s="178"/>
      <c r="U2914" s="347">
        <v>46054</v>
      </c>
      <c r="V2914" s="347">
        <v>46418</v>
      </c>
      <c r="W2914" s="158" t="s">
        <v>17</v>
      </c>
      <c r="X2914" s="172"/>
      <c r="Y2914" s="178">
        <f t="shared" ca="1" si="226"/>
        <v>46290</v>
      </c>
      <c r="Z2914" s="35">
        <f t="shared" ca="1" si="227"/>
        <v>128</v>
      </c>
      <c r="AA2914" s="27">
        <f>MONTH(Table1[[#This Row],[End]])</f>
        <v>1</v>
      </c>
      <c r="AB2914" s="27">
        <f t="shared" si="228"/>
        <v>2027</v>
      </c>
      <c r="AC2914" s="173" t="s">
        <v>3371</v>
      </c>
      <c r="AD2914" s="173" t="s">
        <v>12413</v>
      </c>
      <c r="AE2914" s="172">
        <v>4500027475</v>
      </c>
      <c r="AF2914" s="201" t="s">
        <v>333</v>
      </c>
      <c r="AG2914" s="174"/>
      <c r="AH2914" s="160"/>
      <c r="AI2914" s="172"/>
      <c r="AJ2914" s="172"/>
      <c r="AK2914" s="172"/>
      <c r="AL2914" s="172"/>
      <c r="AM2914" s="172"/>
      <c r="AN2914" s="172"/>
      <c r="AO2914" s="172"/>
      <c r="AP2914" s="172"/>
      <c r="AQ2914" s="172"/>
      <c r="AR2914" s="479"/>
      <c r="AS2914" s="461">
        <v>27</v>
      </c>
      <c r="AT2914" s="174"/>
    </row>
    <row r="2915" spans="1:46" ht="15" hidden="1" customHeight="1">
      <c r="A2915" s="220">
        <v>2909</v>
      </c>
      <c r="B2915" s="173" t="s">
        <v>1663</v>
      </c>
      <c r="C2915" s="159" t="s">
        <v>10610</v>
      </c>
      <c r="D2915" s="438" t="s">
        <v>12414</v>
      </c>
      <c r="E2915" s="113" t="str">
        <f t="shared" ca="1" si="225"/>
        <v>ON TRACK</v>
      </c>
      <c r="F2915" s="160"/>
      <c r="G2915" s="159" t="s">
        <v>12415</v>
      </c>
      <c r="H2915" s="160" t="s">
        <v>2748</v>
      </c>
      <c r="I2915" s="160" t="s">
        <v>346</v>
      </c>
      <c r="J2915" s="205" t="s">
        <v>10612</v>
      </c>
      <c r="K2915" s="160"/>
      <c r="L2915" s="158"/>
      <c r="M2915" s="158" t="s">
        <v>365</v>
      </c>
      <c r="N2915" s="174"/>
      <c r="O2915" s="162"/>
      <c r="P2915" s="161">
        <f>4000000*12</f>
        <v>48000000</v>
      </c>
      <c r="Q2915" s="161"/>
      <c r="R2915" s="162"/>
      <c r="S2915" s="163">
        <v>10000000</v>
      </c>
      <c r="T2915" s="164"/>
      <c r="U2915" s="340">
        <v>46072</v>
      </c>
      <c r="V2915" s="340">
        <v>46436</v>
      </c>
      <c r="W2915" s="158" t="s">
        <v>17</v>
      </c>
      <c r="X2915" s="158"/>
      <c r="Y2915" s="34">
        <f t="shared" ca="1" si="226"/>
        <v>46290</v>
      </c>
      <c r="Z2915" s="35">
        <f t="shared" ca="1" si="227"/>
        <v>146</v>
      </c>
      <c r="AA2915" s="27">
        <f>MONTH(Table1[[#This Row],[End]])</f>
        <v>2</v>
      </c>
      <c r="AB2915" s="27">
        <f t="shared" si="228"/>
        <v>2027</v>
      </c>
      <c r="AC2915" s="159" t="s">
        <v>12416</v>
      </c>
      <c r="AD2915" s="159" t="s">
        <v>12417</v>
      </c>
      <c r="AE2915" s="469" t="s">
        <v>12418</v>
      </c>
      <c r="AF2915" s="201" t="s">
        <v>399</v>
      </c>
      <c r="AG2915" s="160" t="s">
        <v>12419</v>
      </c>
      <c r="AH2915" s="160"/>
      <c r="AI2915" s="172"/>
      <c r="AJ2915" s="172"/>
      <c r="AK2915" s="172"/>
      <c r="AL2915" s="172"/>
      <c r="AM2915" s="172"/>
      <c r="AN2915" s="172"/>
      <c r="AO2915" s="172"/>
      <c r="AP2915" s="172"/>
      <c r="AQ2915" s="172"/>
      <c r="AR2915" s="479"/>
      <c r="AS2915" s="461">
        <v>24</v>
      </c>
      <c r="AT2915" s="174"/>
    </row>
    <row r="2916" spans="1:46" ht="15" hidden="1" customHeight="1">
      <c r="A2916" s="220">
        <v>2910</v>
      </c>
      <c r="B2916" s="173" t="s">
        <v>2724</v>
      </c>
      <c r="C2916" s="159" t="s">
        <v>2725</v>
      </c>
      <c r="D2916" s="438" t="s">
        <v>5130</v>
      </c>
      <c r="E2916" s="113" t="str">
        <f t="shared" ca="1" si="225"/>
        <v>ON TRACK</v>
      </c>
      <c r="F2916" s="160"/>
      <c r="G2916" s="159" t="s">
        <v>10480</v>
      </c>
      <c r="H2916" s="160" t="s">
        <v>2748</v>
      </c>
      <c r="I2916" s="160" t="s">
        <v>346</v>
      </c>
      <c r="J2916" s="159" t="s">
        <v>2726</v>
      </c>
      <c r="K2916" s="160"/>
      <c r="L2916" s="158"/>
      <c r="M2916" s="158" t="s">
        <v>353</v>
      </c>
      <c r="N2916" s="158" t="s">
        <v>396</v>
      </c>
      <c r="O2916" s="176"/>
      <c r="P2916" s="161">
        <f>20000000*12</f>
        <v>240000000</v>
      </c>
      <c r="Q2916" s="161"/>
      <c r="R2916" s="162"/>
      <c r="S2916" s="163">
        <v>35000000</v>
      </c>
      <c r="T2916" s="164"/>
      <c r="U2916" s="334">
        <v>46023</v>
      </c>
      <c r="V2916" s="334">
        <v>46387</v>
      </c>
      <c r="W2916" s="27" t="s">
        <v>17</v>
      </c>
      <c r="X2916" s="158"/>
      <c r="Y2916" s="34">
        <f t="shared" ca="1" si="226"/>
        <v>46290</v>
      </c>
      <c r="Z2916" s="35">
        <f t="shared" ca="1" si="227"/>
        <v>97</v>
      </c>
      <c r="AA2916" s="27">
        <f>MONTH(V2916)</f>
        <v>12</v>
      </c>
      <c r="AB2916" s="27">
        <f t="shared" si="228"/>
        <v>2026</v>
      </c>
      <c r="AC2916" s="159" t="s">
        <v>12420</v>
      </c>
      <c r="AD2916" s="159" t="s">
        <v>12421</v>
      </c>
      <c r="AE2916" s="184" t="s">
        <v>12422</v>
      </c>
      <c r="AF2916" s="201" t="s">
        <v>333</v>
      </c>
      <c r="AG2916" s="160" t="s">
        <v>12423</v>
      </c>
      <c r="AH2916" s="160"/>
      <c r="AI2916" s="172"/>
      <c r="AJ2916" s="172"/>
      <c r="AK2916" s="172"/>
      <c r="AL2916" s="172"/>
      <c r="AM2916" s="172"/>
      <c r="AN2916" s="172"/>
      <c r="AO2916" s="172"/>
      <c r="AP2916" s="172"/>
      <c r="AQ2916" s="172"/>
      <c r="AR2916" s="479"/>
      <c r="AS2916" s="461">
        <v>23</v>
      </c>
      <c r="AT2916" s="174"/>
    </row>
    <row r="2917" spans="1:46" ht="15" hidden="1" customHeight="1">
      <c r="A2917" s="220">
        <v>2911</v>
      </c>
      <c r="B2917" s="173" t="s">
        <v>221</v>
      </c>
      <c r="C2917" s="159" t="s">
        <v>1142</v>
      </c>
      <c r="D2917" s="437" t="s">
        <v>369</v>
      </c>
      <c r="E2917" s="113" t="str">
        <f t="shared" ca="1" si="225"/>
        <v>ON TRACK</v>
      </c>
      <c r="F2917" s="160"/>
      <c r="G2917" s="159" t="s">
        <v>8097</v>
      </c>
      <c r="H2917" s="160" t="s">
        <v>2748</v>
      </c>
      <c r="I2917" s="160" t="s">
        <v>242</v>
      </c>
      <c r="J2917" s="159"/>
      <c r="K2917" s="181" t="s">
        <v>10829</v>
      </c>
      <c r="L2917" s="158"/>
      <c r="M2917" s="158" t="s">
        <v>329</v>
      </c>
      <c r="N2917" s="158" t="s">
        <v>7013</v>
      </c>
      <c r="O2917" s="176"/>
      <c r="P2917" s="161">
        <f>4200000*12</f>
        <v>50400000</v>
      </c>
      <c r="Q2917" s="161"/>
      <c r="R2917" s="162"/>
      <c r="S2917" s="163">
        <v>12000000</v>
      </c>
      <c r="T2917" s="164"/>
      <c r="U2917" s="340">
        <v>46056</v>
      </c>
      <c r="V2917" s="340">
        <v>46420</v>
      </c>
      <c r="W2917" s="158" t="s">
        <v>17</v>
      </c>
      <c r="X2917" s="158"/>
      <c r="Y2917" s="34">
        <f t="shared" ca="1" si="226"/>
        <v>46290</v>
      </c>
      <c r="Z2917" s="35">
        <f t="shared" ca="1" si="227"/>
        <v>130</v>
      </c>
      <c r="AA2917" s="27">
        <f>MONTH(Table1[[#This Row],[End]])</f>
        <v>2</v>
      </c>
      <c r="AB2917" s="27">
        <f t="shared" si="228"/>
        <v>2027</v>
      </c>
      <c r="AC2917" s="159" t="s">
        <v>12424</v>
      </c>
      <c r="AD2917" s="182" t="s">
        <v>12425</v>
      </c>
      <c r="AE2917" s="184" t="s">
        <v>12426</v>
      </c>
      <c r="AF2917" s="201" t="s">
        <v>399</v>
      </c>
      <c r="AG2917" s="160" t="s">
        <v>376</v>
      </c>
      <c r="AH2917" s="160"/>
      <c r="AI2917" s="172"/>
      <c r="AJ2917" s="172"/>
      <c r="AK2917" s="172"/>
      <c r="AL2917" s="172"/>
      <c r="AM2917" s="172"/>
      <c r="AN2917" s="172"/>
      <c r="AO2917" s="172"/>
      <c r="AP2917" s="172"/>
      <c r="AQ2917" s="172"/>
      <c r="AR2917" s="479"/>
      <c r="AS2917" s="461">
        <v>17</v>
      </c>
      <c r="AT2917" s="174"/>
    </row>
    <row r="2918" spans="1:46" ht="15" hidden="1" customHeight="1">
      <c r="A2918" s="220">
        <v>2912</v>
      </c>
      <c r="B2918" s="173" t="s">
        <v>10578</v>
      </c>
      <c r="C2918" s="159" t="s">
        <v>428</v>
      </c>
      <c r="D2918" s="438" t="s">
        <v>429</v>
      </c>
      <c r="E2918" s="113" t="str">
        <f t="shared" ca="1" si="225"/>
        <v>ON TRACK</v>
      </c>
      <c r="F2918" s="160" t="s">
        <v>115</v>
      </c>
      <c r="G2918" s="159" t="s">
        <v>12427</v>
      </c>
      <c r="H2918" s="160" t="s">
        <v>2748</v>
      </c>
      <c r="I2918" s="160" t="s">
        <v>346</v>
      </c>
      <c r="J2918" s="216" t="s">
        <v>12428</v>
      </c>
      <c r="K2918" s="160"/>
      <c r="L2918" s="158"/>
      <c r="M2918" s="158" t="s">
        <v>353</v>
      </c>
      <c r="N2918" s="158" t="s">
        <v>12429</v>
      </c>
      <c r="O2918" s="176"/>
      <c r="P2918" s="161">
        <f>19000000*12</f>
        <v>228000000</v>
      </c>
      <c r="Q2918" s="161"/>
      <c r="R2918" s="162"/>
      <c r="S2918" s="163">
        <v>21600000</v>
      </c>
      <c r="T2918" s="164"/>
      <c r="U2918" s="334">
        <v>46044</v>
      </c>
      <c r="V2918" s="334">
        <v>46408</v>
      </c>
      <c r="W2918" s="27" t="s">
        <v>17</v>
      </c>
      <c r="X2918" s="158"/>
      <c r="Y2918" s="34">
        <f t="shared" ca="1" si="226"/>
        <v>46290</v>
      </c>
      <c r="Z2918" s="35">
        <f t="shared" ca="1" si="227"/>
        <v>118</v>
      </c>
      <c r="AA2918" s="27">
        <f t="shared" ref="AA2918:AA2929" si="229">MONTH(V2918)</f>
        <v>1</v>
      </c>
      <c r="AB2918" s="27">
        <f t="shared" si="228"/>
        <v>2027</v>
      </c>
      <c r="AC2918" s="159" t="s">
        <v>12430</v>
      </c>
      <c r="AD2918" s="159" t="s">
        <v>12431</v>
      </c>
      <c r="AE2918" s="184" t="s">
        <v>12432</v>
      </c>
      <c r="AF2918" s="201" t="s">
        <v>333</v>
      </c>
      <c r="AG2918" s="160" t="s">
        <v>434</v>
      </c>
      <c r="AH2918" s="160"/>
      <c r="AI2918" s="172"/>
      <c r="AJ2918" s="172"/>
      <c r="AK2918" s="172"/>
      <c r="AL2918" s="172"/>
      <c r="AM2918" s="172"/>
      <c r="AN2918" s="172"/>
      <c r="AO2918" s="172"/>
      <c r="AP2918" s="172"/>
      <c r="AQ2918" s="172"/>
      <c r="AR2918" s="479"/>
      <c r="AS2918" s="461">
        <v>19</v>
      </c>
      <c r="AT2918" s="174"/>
    </row>
    <row r="2919" spans="1:46" ht="15" hidden="1" customHeight="1">
      <c r="A2919" s="220">
        <v>2913</v>
      </c>
      <c r="B2919" s="173" t="s">
        <v>12433</v>
      </c>
      <c r="C2919" s="173" t="s">
        <v>9465</v>
      </c>
      <c r="D2919" s="434" t="s">
        <v>12434</v>
      </c>
      <c r="E2919" s="113" t="str">
        <f t="shared" ca="1" si="225"/>
        <v>ON TRACK</v>
      </c>
      <c r="F2919" s="180" t="s">
        <v>3868</v>
      </c>
      <c r="G2919" s="173" t="s">
        <v>12435</v>
      </c>
      <c r="H2919" s="160" t="s">
        <v>2748</v>
      </c>
      <c r="I2919" s="160" t="s">
        <v>346</v>
      </c>
      <c r="J2919" s="454" t="s">
        <v>12436</v>
      </c>
      <c r="K2919" s="174"/>
      <c r="L2919" s="172"/>
      <c r="M2919" s="172" t="s">
        <v>365</v>
      </c>
      <c r="N2919" s="172" t="s">
        <v>389</v>
      </c>
      <c r="O2919" s="176"/>
      <c r="P2919" s="175">
        <f>12400000*12</f>
        <v>148800000</v>
      </c>
      <c r="Q2919" s="175"/>
      <c r="R2919" s="176"/>
      <c r="S2919" s="177">
        <v>58000000</v>
      </c>
      <c r="T2919" s="178"/>
      <c r="U2919" s="334">
        <v>45999</v>
      </c>
      <c r="V2919" s="334">
        <v>46363</v>
      </c>
      <c r="W2919" s="27" t="s">
        <v>17</v>
      </c>
      <c r="X2919" s="172"/>
      <c r="Y2919" s="34">
        <f t="shared" ca="1" si="226"/>
        <v>46290</v>
      </c>
      <c r="Z2919" s="35">
        <f t="shared" ca="1" si="227"/>
        <v>73</v>
      </c>
      <c r="AA2919" s="27">
        <f t="shared" si="229"/>
        <v>12</v>
      </c>
      <c r="AB2919" s="27">
        <f t="shared" si="228"/>
        <v>2026</v>
      </c>
      <c r="AC2919" s="173" t="s">
        <v>3371</v>
      </c>
      <c r="AD2919" s="173" t="s">
        <v>12437</v>
      </c>
      <c r="AE2919" s="172">
        <v>4500027492</v>
      </c>
      <c r="AF2919" s="201" t="s">
        <v>333</v>
      </c>
      <c r="AG2919" s="174"/>
      <c r="AH2919" s="160"/>
      <c r="AI2919" s="172"/>
      <c r="AJ2919" s="172"/>
      <c r="AK2919" s="172"/>
      <c r="AL2919" s="172"/>
      <c r="AM2919" s="172"/>
      <c r="AN2919" s="172"/>
      <c r="AO2919" s="172"/>
      <c r="AP2919" s="172"/>
      <c r="AQ2919" s="172">
        <v>462</v>
      </c>
      <c r="AR2919" s="479"/>
      <c r="AS2919" s="461"/>
      <c r="AT2919" s="174"/>
    </row>
    <row r="2920" spans="1:46" ht="15" hidden="1" customHeight="1">
      <c r="A2920" s="220">
        <v>2914</v>
      </c>
      <c r="B2920" s="173" t="s">
        <v>12433</v>
      </c>
      <c r="C2920" s="173" t="s">
        <v>9465</v>
      </c>
      <c r="D2920" s="434" t="s">
        <v>12434</v>
      </c>
      <c r="E2920" s="113" t="str">
        <f t="shared" ca="1" si="225"/>
        <v>ON TRACK</v>
      </c>
      <c r="F2920" s="180" t="s">
        <v>3868</v>
      </c>
      <c r="G2920" s="173" t="s">
        <v>12435</v>
      </c>
      <c r="H2920" s="160" t="s">
        <v>2748</v>
      </c>
      <c r="I2920" s="174" t="s">
        <v>242</v>
      </c>
      <c r="J2920" s="454" t="s">
        <v>12436</v>
      </c>
      <c r="K2920" s="174"/>
      <c r="L2920" s="172"/>
      <c r="M2920" s="172" t="s">
        <v>365</v>
      </c>
      <c r="N2920" s="172" t="s">
        <v>389</v>
      </c>
      <c r="O2920" s="176"/>
      <c r="P2920" s="175">
        <f>12400000*12</f>
        <v>148800000</v>
      </c>
      <c r="Q2920" s="175"/>
      <c r="R2920" s="176"/>
      <c r="S2920" s="177">
        <v>12000000</v>
      </c>
      <c r="T2920" s="178"/>
      <c r="U2920" s="334">
        <v>46010</v>
      </c>
      <c r="V2920" s="334">
        <v>46374</v>
      </c>
      <c r="W2920" s="27" t="s">
        <v>17</v>
      </c>
      <c r="X2920" s="172"/>
      <c r="Y2920" s="34">
        <f t="shared" ca="1" si="226"/>
        <v>46290</v>
      </c>
      <c r="Z2920" s="35">
        <f t="shared" ca="1" si="227"/>
        <v>84</v>
      </c>
      <c r="AA2920" s="27">
        <f t="shared" si="229"/>
        <v>12</v>
      </c>
      <c r="AB2920" s="27">
        <f t="shared" si="228"/>
        <v>2026</v>
      </c>
      <c r="AC2920" s="173" t="s">
        <v>3371</v>
      </c>
      <c r="AD2920" s="173" t="s">
        <v>12438</v>
      </c>
      <c r="AE2920" s="172">
        <v>4500027491</v>
      </c>
      <c r="AF2920" s="201" t="s">
        <v>333</v>
      </c>
      <c r="AG2920" s="174"/>
      <c r="AH2920" s="160"/>
      <c r="AI2920" s="172"/>
      <c r="AJ2920" s="172"/>
      <c r="AK2920" s="172"/>
      <c r="AL2920" s="172"/>
      <c r="AM2920" s="172"/>
      <c r="AN2920" s="172"/>
      <c r="AO2920" s="172"/>
      <c r="AP2920" s="172"/>
      <c r="AQ2920" s="172">
        <v>481</v>
      </c>
      <c r="AR2920" s="479"/>
      <c r="AS2920" s="461"/>
      <c r="AT2920" s="174"/>
    </row>
    <row r="2921" spans="1:46" ht="15" hidden="1" customHeight="1">
      <c r="A2921" s="220">
        <v>2915</v>
      </c>
      <c r="B2921" s="173" t="s">
        <v>903</v>
      </c>
      <c r="C2921" s="173" t="s">
        <v>2451</v>
      </c>
      <c r="D2921" s="434" t="s">
        <v>12439</v>
      </c>
      <c r="E2921" s="113" t="str">
        <f t="shared" ca="1" si="225"/>
        <v>ON TRACK</v>
      </c>
      <c r="F2921" s="433" t="s">
        <v>12440</v>
      </c>
      <c r="G2921" s="173" t="s">
        <v>12441</v>
      </c>
      <c r="H2921" s="160" t="s">
        <v>2748</v>
      </c>
      <c r="I2921" s="174" t="s">
        <v>242</v>
      </c>
      <c r="J2921" s="173"/>
      <c r="K2921" s="180" t="s">
        <v>12442</v>
      </c>
      <c r="L2921" s="172"/>
      <c r="M2921" s="172" t="s">
        <v>353</v>
      </c>
      <c r="N2921" s="174"/>
      <c r="O2921" s="176"/>
      <c r="P2921" s="175">
        <f>2780000*12</f>
        <v>33360000</v>
      </c>
      <c r="Q2921" s="175"/>
      <c r="R2921" s="176"/>
      <c r="S2921" s="177">
        <v>12000000</v>
      </c>
      <c r="T2921" s="178"/>
      <c r="U2921" s="340">
        <v>46054</v>
      </c>
      <c r="V2921" s="340">
        <v>46418</v>
      </c>
      <c r="W2921" s="27" t="s">
        <v>17</v>
      </c>
      <c r="X2921" s="172"/>
      <c r="Y2921" s="34">
        <f t="shared" ca="1" si="226"/>
        <v>46290</v>
      </c>
      <c r="Z2921" s="35">
        <f t="shared" ca="1" si="227"/>
        <v>128</v>
      </c>
      <c r="AA2921" s="27">
        <f t="shared" si="229"/>
        <v>1</v>
      </c>
      <c r="AB2921" s="27">
        <f t="shared" si="228"/>
        <v>2027</v>
      </c>
      <c r="AC2921" s="173" t="s">
        <v>12443</v>
      </c>
      <c r="AD2921" s="173" t="s">
        <v>12444</v>
      </c>
      <c r="AE2921" s="172">
        <v>4500027517</v>
      </c>
      <c r="AF2921" s="201" t="s">
        <v>339</v>
      </c>
      <c r="AG2921" s="174"/>
      <c r="AH2921" s="160"/>
      <c r="AI2921" s="172"/>
      <c r="AJ2921" s="172"/>
      <c r="AK2921" s="172"/>
      <c r="AL2921" s="172"/>
      <c r="AM2921" s="172"/>
      <c r="AN2921" s="172"/>
      <c r="AO2921" s="172"/>
      <c r="AP2921" s="172"/>
      <c r="AQ2921" s="172"/>
      <c r="AR2921" s="479"/>
      <c r="AS2921" s="461">
        <v>44</v>
      </c>
      <c r="AT2921" s="174"/>
    </row>
    <row r="2922" spans="1:46" ht="15" hidden="1" customHeight="1">
      <c r="A2922" s="220">
        <v>2916</v>
      </c>
      <c r="B2922" s="173" t="s">
        <v>903</v>
      </c>
      <c r="C2922" s="173" t="s">
        <v>8923</v>
      </c>
      <c r="D2922" s="434" t="s">
        <v>12439</v>
      </c>
      <c r="E2922" s="113" t="str">
        <f t="shared" ca="1" si="225"/>
        <v>ON TRACK</v>
      </c>
      <c r="F2922" s="433" t="s">
        <v>12440</v>
      </c>
      <c r="G2922" s="173" t="s">
        <v>12441</v>
      </c>
      <c r="H2922" s="160" t="s">
        <v>2748</v>
      </c>
      <c r="I2922" s="174" t="s">
        <v>242</v>
      </c>
      <c r="J2922" s="454" t="s">
        <v>10417</v>
      </c>
      <c r="K2922" s="180"/>
      <c r="L2922" s="172"/>
      <c r="M2922" s="172" t="s">
        <v>353</v>
      </c>
      <c r="N2922" s="172" t="s">
        <v>6897</v>
      </c>
      <c r="O2922" s="176"/>
      <c r="P2922" s="175">
        <f>2442000*12</f>
        <v>29304000</v>
      </c>
      <c r="Q2922" s="175"/>
      <c r="R2922" s="176"/>
      <c r="S2922" s="177">
        <v>18000000</v>
      </c>
      <c r="T2922" s="178"/>
      <c r="U2922" s="340">
        <v>46024</v>
      </c>
      <c r="V2922" s="340">
        <v>46388</v>
      </c>
      <c r="W2922" s="27" t="s">
        <v>17</v>
      </c>
      <c r="X2922" s="172"/>
      <c r="Y2922" s="34">
        <f t="shared" ca="1" si="226"/>
        <v>46290</v>
      </c>
      <c r="Z2922" s="35">
        <f t="shared" ca="1" si="227"/>
        <v>98</v>
      </c>
      <c r="AA2922" s="27">
        <f t="shared" si="229"/>
        <v>1</v>
      </c>
      <c r="AB2922" s="27">
        <f t="shared" si="228"/>
        <v>2027</v>
      </c>
      <c r="AC2922" s="173" t="s">
        <v>12445</v>
      </c>
      <c r="AD2922" s="173" t="s">
        <v>12446</v>
      </c>
      <c r="AE2922" s="172">
        <v>4500027516</v>
      </c>
      <c r="AF2922" s="201" t="s">
        <v>333</v>
      </c>
      <c r="AG2922" s="174"/>
      <c r="AH2922" s="160"/>
      <c r="AI2922" s="172"/>
      <c r="AJ2922" s="172"/>
      <c r="AK2922" s="172"/>
      <c r="AL2922" s="172"/>
      <c r="AM2922" s="172"/>
      <c r="AN2922" s="172"/>
      <c r="AO2922" s="172"/>
      <c r="AP2922" s="172"/>
      <c r="AQ2922" s="172"/>
      <c r="AR2922" s="479"/>
      <c r="AS2922" s="461">
        <v>47</v>
      </c>
      <c r="AT2922" s="174"/>
    </row>
    <row r="2923" spans="1:46" ht="15" hidden="1" customHeight="1">
      <c r="A2923" s="220">
        <v>2917</v>
      </c>
      <c r="B2923" s="173" t="s">
        <v>450</v>
      </c>
      <c r="C2923" s="173" t="s">
        <v>451</v>
      </c>
      <c r="D2923" s="437" t="s">
        <v>452</v>
      </c>
      <c r="E2923" s="113" t="str">
        <f t="shared" ca="1" si="225"/>
        <v>ON TRACK</v>
      </c>
      <c r="F2923" s="160" t="s">
        <v>453</v>
      </c>
      <c r="G2923" s="159" t="s">
        <v>454</v>
      </c>
      <c r="H2923" s="160" t="s">
        <v>2748</v>
      </c>
      <c r="I2923" s="29" t="s">
        <v>346</v>
      </c>
      <c r="J2923" s="205" t="s">
        <v>455</v>
      </c>
      <c r="K2923" s="174"/>
      <c r="L2923" s="172"/>
      <c r="M2923" s="158" t="s">
        <v>329</v>
      </c>
      <c r="N2923" s="158" t="s">
        <v>417</v>
      </c>
      <c r="O2923" s="176"/>
      <c r="P2923" s="161">
        <f>3000000*12</f>
        <v>36000000</v>
      </c>
      <c r="Q2923" s="175"/>
      <c r="R2923" s="176"/>
      <c r="S2923" s="32">
        <v>2500000</v>
      </c>
      <c r="T2923" s="178"/>
      <c r="U2923" s="334">
        <v>46040</v>
      </c>
      <c r="V2923" s="334">
        <v>46404</v>
      </c>
      <c r="W2923" s="27" t="s">
        <v>17</v>
      </c>
      <c r="X2923" s="172"/>
      <c r="Y2923" s="34">
        <f t="shared" ca="1" si="226"/>
        <v>46290</v>
      </c>
      <c r="Z2923" s="35">
        <f t="shared" ca="1" si="227"/>
        <v>114</v>
      </c>
      <c r="AA2923" s="27">
        <f t="shared" si="229"/>
        <v>1</v>
      </c>
      <c r="AB2923" s="27">
        <f t="shared" si="228"/>
        <v>2027</v>
      </c>
      <c r="AC2923" s="159" t="s">
        <v>12447</v>
      </c>
      <c r="AD2923" s="173" t="s">
        <v>12448</v>
      </c>
      <c r="AE2923" s="172">
        <v>4500027525</v>
      </c>
      <c r="AF2923" s="27" t="s">
        <v>339</v>
      </c>
      <c r="AG2923" s="174"/>
      <c r="AH2923" s="160"/>
      <c r="AI2923" s="172"/>
      <c r="AJ2923" s="172"/>
      <c r="AK2923" s="172"/>
      <c r="AL2923" s="172"/>
      <c r="AM2923" s="172"/>
      <c r="AN2923" s="172"/>
      <c r="AO2923" s="172"/>
      <c r="AP2923" s="172"/>
      <c r="AQ2923" s="172"/>
      <c r="AR2923" s="479"/>
      <c r="AS2923" s="461">
        <v>30</v>
      </c>
      <c r="AT2923" s="174"/>
    </row>
    <row r="2924" spans="1:46" ht="15" hidden="1" customHeight="1">
      <c r="A2924" s="220">
        <v>2918</v>
      </c>
      <c r="B2924" s="173" t="s">
        <v>450</v>
      </c>
      <c r="C2924" s="173" t="s">
        <v>889</v>
      </c>
      <c r="D2924" s="437" t="s">
        <v>452</v>
      </c>
      <c r="E2924" s="113" t="str">
        <f t="shared" ca="1" si="225"/>
        <v>ON TRACK</v>
      </c>
      <c r="F2924" s="203" t="s">
        <v>10411</v>
      </c>
      <c r="G2924" s="159" t="s">
        <v>10412</v>
      </c>
      <c r="H2924" s="160" t="s">
        <v>2748</v>
      </c>
      <c r="I2924" s="160" t="s">
        <v>242</v>
      </c>
      <c r="J2924" s="205" t="s">
        <v>890</v>
      </c>
      <c r="K2924" s="174"/>
      <c r="L2924" s="172"/>
      <c r="M2924" s="158" t="s">
        <v>365</v>
      </c>
      <c r="N2924" s="158" t="s">
        <v>6885</v>
      </c>
      <c r="O2924" s="176"/>
      <c r="P2924" s="161">
        <f>3600000*12</f>
        <v>43200000</v>
      </c>
      <c r="Q2924" s="175"/>
      <c r="R2924" s="176"/>
      <c r="S2924" s="163">
        <v>12000000</v>
      </c>
      <c r="T2924" s="178"/>
      <c r="U2924" s="334">
        <v>46063</v>
      </c>
      <c r="V2924" s="334">
        <v>46427</v>
      </c>
      <c r="W2924" s="27" t="s">
        <v>17</v>
      </c>
      <c r="X2924" s="172"/>
      <c r="Y2924" s="34">
        <f t="shared" ca="1" si="226"/>
        <v>46290</v>
      </c>
      <c r="Z2924" s="35">
        <f t="shared" ca="1" si="227"/>
        <v>137</v>
      </c>
      <c r="AA2924" s="27">
        <f t="shared" si="229"/>
        <v>2</v>
      </c>
      <c r="AB2924" s="27">
        <f t="shared" si="228"/>
        <v>2027</v>
      </c>
      <c r="AC2924" s="159" t="s">
        <v>12449</v>
      </c>
      <c r="AD2924" s="173" t="s">
        <v>12450</v>
      </c>
      <c r="AE2924" s="172">
        <v>4500027539</v>
      </c>
      <c r="AF2924" s="27" t="s">
        <v>339</v>
      </c>
      <c r="AG2924" s="174"/>
      <c r="AH2924" s="160"/>
      <c r="AI2924" s="172"/>
      <c r="AJ2924" s="172"/>
      <c r="AK2924" s="172"/>
      <c r="AL2924" s="172"/>
      <c r="AM2924" s="172"/>
      <c r="AN2924" s="172"/>
      <c r="AO2924" s="172"/>
      <c r="AP2924" s="172"/>
      <c r="AQ2924" s="172"/>
      <c r="AR2924" s="479"/>
      <c r="AS2924" s="461">
        <v>29</v>
      </c>
      <c r="AT2924" s="174"/>
    </row>
    <row r="2925" spans="1:46" ht="15" hidden="1" customHeight="1">
      <c r="A2925" s="220">
        <v>2919</v>
      </c>
      <c r="B2925" s="173" t="s">
        <v>12451</v>
      </c>
      <c r="C2925" s="173" t="s">
        <v>382</v>
      </c>
      <c r="D2925" s="434" t="s">
        <v>8853</v>
      </c>
      <c r="E2925" s="113" t="str">
        <f t="shared" ca="1" si="225"/>
        <v>ATTENTION</v>
      </c>
      <c r="F2925" s="174"/>
      <c r="G2925" s="425" t="s">
        <v>12452</v>
      </c>
      <c r="H2925" s="174" t="s">
        <v>2748</v>
      </c>
      <c r="I2925" s="174" t="s">
        <v>242</v>
      </c>
      <c r="J2925" s="173"/>
      <c r="K2925" s="174"/>
      <c r="L2925" s="172"/>
      <c r="M2925" s="172" t="s">
        <v>365</v>
      </c>
      <c r="N2925" s="172" t="s">
        <v>6727</v>
      </c>
      <c r="O2925" s="176"/>
      <c r="P2925" s="175">
        <v>676800000</v>
      </c>
      <c r="Q2925" s="175"/>
      <c r="R2925" s="176">
        <v>15000000</v>
      </c>
      <c r="S2925" s="177">
        <v>342000000</v>
      </c>
      <c r="T2925" s="178"/>
      <c r="U2925" s="347">
        <v>45962</v>
      </c>
      <c r="V2925" s="347">
        <v>46326</v>
      </c>
      <c r="W2925" s="172" t="s">
        <v>17</v>
      </c>
      <c r="X2925" s="172"/>
      <c r="Y2925" s="34">
        <f t="shared" ca="1" si="226"/>
        <v>46290</v>
      </c>
      <c r="Z2925" s="35">
        <f t="shared" ca="1" si="227"/>
        <v>36</v>
      </c>
      <c r="AA2925" s="27">
        <f t="shared" si="229"/>
        <v>10</v>
      </c>
      <c r="AB2925" s="27">
        <f t="shared" si="228"/>
        <v>2026</v>
      </c>
      <c r="AC2925" s="173"/>
      <c r="AD2925" s="429" t="s">
        <v>12453</v>
      </c>
      <c r="AE2925" s="172">
        <v>4500027490</v>
      </c>
      <c r="AF2925" s="179" t="s">
        <v>356</v>
      </c>
      <c r="AG2925" s="174" t="s">
        <v>12454</v>
      </c>
      <c r="AH2925" s="160"/>
      <c r="AI2925" s="172"/>
      <c r="AJ2925" s="172"/>
      <c r="AK2925" s="172"/>
      <c r="AL2925" s="172"/>
      <c r="AM2925" s="172"/>
      <c r="AN2925" s="172"/>
      <c r="AO2925" s="172"/>
      <c r="AP2925" s="172"/>
      <c r="AQ2925" s="172">
        <v>459</v>
      </c>
      <c r="AR2925" s="479"/>
      <c r="AS2925" s="461"/>
      <c r="AT2925" s="174"/>
    </row>
    <row r="2926" spans="1:46" ht="15" hidden="1" customHeight="1">
      <c r="A2926" s="220">
        <v>2920</v>
      </c>
      <c r="B2926" s="173" t="s">
        <v>12455</v>
      </c>
      <c r="C2926" s="173" t="s">
        <v>5989</v>
      </c>
      <c r="D2926" s="434" t="s">
        <v>12456</v>
      </c>
      <c r="E2926" s="113" t="str">
        <f t="shared" ca="1" si="225"/>
        <v>ON TRACK</v>
      </c>
      <c r="F2926" s="471" t="s">
        <v>9201</v>
      </c>
      <c r="G2926" s="472" t="s">
        <v>12457</v>
      </c>
      <c r="H2926" s="174" t="s">
        <v>8588</v>
      </c>
      <c r="I2926" s="174" t="s">
        <v>511</v>
      </c>
      <c r="J2926" s="470"/>
      <c r="K2926" s="471" t="s">
        <v>12458</v>
      </c>
      <c r="L2926" s="172"/>
      <c r="M2926" s="172" t="s">
        <v>365</v>
      </c>
      <c r="N2926" s="172" t="s">
        <v>6856</v>
      </c>
      <c r="O2926" s="176"/>
      <c r="P2926" s="175">
        <v>295784220</v>
      </c>
      <c r="Q2926" s="175"/>
      <c r="R2926" s="176"/>
      <c r="S2926" s="177"/>
      <c r="T2926" s="426">
        <v>0.27</v>
      </c>
      <c r="U2926" s="347">
        <v>45992</v>
      </c>
      <c r="V2926" s="347">
        <v>46356</v>
      </c>
      <c r="W2926" s="172" t="s">
        <v>17</v>
      </c>
      <c r="X2926" s="172"/>
      <c r="Y2926" s="34">
        <f t="shared" ca="1" si="226"/>
        <v>46290</v>
      </c>
      <c r="Z2926" s="35">
        <f t="shared" ca="1" si="227"/>
        <v>66</v>
      </c>
      <c r="AA2926" s="27">
        <f t="shared" si="229"/>
        <v>11</v>
      </c>
      <c r="AB2926" s="27">
        <f t="shared" si="228"/>
        <v>2026</v>
      </c>
      <c r="AC2926" s="173"/>
      <c r="AD2926" s="173"/>
      <c r="AE2926" s="172"/>
      <c r="AF2926" s="179" t="s">
        <v>356</v>
      </c>
      <c r="AG2926" s="174" t="s">
        <v>12459</v>
      </c>
      <c r="AH2926" s="160"/>
      <c r="AI2926" s="172"/>
      <c r="AJ2926" s="172"/>
      <c r="AK2926" s="172"/>
      <c r="AL2926" s="172"/>
      <c r="AM2926" s="172"/>
      <c r="AN2926" s="172"/>
      <c r="AO2926" s="172"/>
      <c r="AP2926" s="172"/>
      <c r="AQ2926" s="172"/>
      <c r="AR2926" s="479"/>
      <c r="AS2926" s="461"/>
      <c r="AT2926" s="174"/>
    </row>
    <row r="2927" spans="1:46" ht="15" hidden="1" customHeight="1">
      <c r="A2927" s="220">
        <v>2921</v>
      </c>
      <c r="B2927" s="173" t="s">
        <v>12455</v>
      </c>
      <c r="C2927" s="173" t="s">
        <v>5989</v>
      </c>
      <c r="D2927" s="434" t="s">
        <v>12456</v>
      </c>
      <c r="E2927" s="113" t="str">
        <f t="shared" ca="1" si="225"/>
        <v>ON TRACK</v>
      </c>
      <c r="F2927" s="471" t="s">
        <v>12460</v>
      </c>
      <c r="G2927" s="472" t="s">
        <v>12461</v>
      </c>
      <c r="H2927" s="174" t="s">
        <v>8588</v>
      </c>
      <c r="I2927" s="174" t="s">
        <v>511</v>
      </c>
      <c r="J2927" s="173"/>
      <c r="K2927" s="471" t="s">
        <v>12458</v>
      </c>
      <c r="L2927" s="172"/>
      <c r="M2927" s="172" t="s">
        <v>365</v>
      </c>
      <c r="N2927" s="172" t="s">
        <v>6856</v>
      </c>
      <c r="O2927" s="176"/>
      <c r="P2927" s="175">
        <v>295784220</v>
      </c>
      <c r="Q2927" s="175"/>
      <c r="R2927" s="176"/>
      <c r="S2927" s="177"/>
      <c r="T2927" s="426">
        <v>0.27</v>
      </c>
      <c r="U2927" s="347">
        <v>46357</v>
      </c>
      <c r="V2927" s="347">
        <v>46721</v>
      </c>
      <c r="W2927" s="172" t="s">
        <v>17</v>
      </c>
      <c r="X2927" s="172"/>
      <c r="Y2927" s="34">
        <f t="shared" ca="1" si="226"/>
        <v>46290</v>
      </c>
      <c r="Z2927" s="35">
        <f t="shared" ca="1" si="227"/>
        <v>431</v>
      </c>
      <c r="AA2927" s="27">
        <f t="shared" si="229"/>
        <v>11</v>
      </c>
      <c r="AB2927" s="27">
        <f t="shared" si="228"/>
        <v>2027</v>
      </c>
      <c r="AC2927" s="173"/>
      <c r="AD2927" s="173"/>
      <c r="AE2927" s="172"/>
      <c r="AF2927" s="179" t="s">
        <v>356</v>
      </c>
      <c r="AG2927" s="174" t="s">
        <v>12459</v>
      </c>
      <c r="AH2927" s="160"/>
      <c r="AI2927" s="172"/>
      <c r="AJ2927" s="172"/>
      <c r="AK2927" s="172"/>
      <c r="AL2927" s="172"/>
      <c r="AM2927" s="172"/>
      <c r="AN2927" s="172"/>
      <c r="AO2927" s="172"/>
      <c r="AP2927" s="172"/>
      <c r="AQ2927" s="172"/>
      <c r="AR2927" s="479"/>
      <c r="AS2927" s="461"/>
      <c r="AT2927" s="174"/>
    </row>
    <row r="2928" spans="1:46" ht="15" hidden="1" customHeight="1">
      <c r="A2928" s="220">
        <v>2922</v>
      </c>
      <c r="B2928" s="173" t="s">
        <v>12455</v>
      </c>
      <c r="C2928" s="173" t="s">
        <v>5989</v>
      </c>
      <c r="D2928" s="434" t="s">
        <v>12456</v>
      </c>
      <c r="E2928" s="113" t="str">
        <f t="shared" ca="1" si="225"/>
        <v>ON TRACK</v>
      </c>
      <c r="F2928" s="471" t="s">
        <v>12462</v>
      </c>
      <c r="G2928" s="472" t="s">
        <v>12463</v>
      </c>
      <c r="H2928" s="174" t="s">
        <v>8588</v>
      </c>
      <c r="I2928" s="174" t="s">
        <v>511</v>
      </c>
      <c r="J2928" s="173"/>
      <c r="K2928" s="471" t="s">
        <v>12458</v>
      </c>
      <c r="L2928" s="172"/>
      <c r="M2928" s="172" t="s">
        <v>365</v>
      </c>
      <c r="N2928" s="172" t="s">
        <v>6856</v>
      </c>
      <c r="O2928" s="176"/>
      <c r="P2928" s="175">
        <v>295784220</v>
      </c>
      <c r="Q2928" s="175"/>
      <c r="R2928" s="176"/>
      <c r="S2928" s="177"/>
      <c r="T2928" s="426">
        <v>0.27</v>
      </c>
      <c r="U2928" s="347">
        <v>46722</v>
      </c>
      <c r="V2928" s="347">
        <v>47087</v>
      </c>
      <c r="W2928" s="172" t="s">
        <v>17</v>
      </c>
      <c r="X2928" s="172"/>
      <c r="Y2928" s="34">
        <f t="shared" ca="1" si="226"/>
        <v>46290</v>
      </c>
      <c r="Z2928" s="35">
        <f t="shared" ca="1" si="227"/>
        <v>797</v>
      </c>
      <c r="AA2928" s="27">
        <f t="shared" si="229"/>
        <v>11</v>
      </c>
      <c r="AB2928" s="27">
        <f t="shared" si="228"/>
        <v>2028</v>
      </c>
      <c r="AC2928" s="173"/>
      <c r="AD2928" s="173"/>
      <c r="AE2928" s="172"/>
      <c r="AF2928" s="179" t="s">
        <v>356</v>
      </c>
      <c r="AG2928" s="174" t="s">
        <v>12459</v>
      </c>
      <c r="AH2928" s="160"/>
      <c r="AI2928" s="172"/>
      <c r="AJ2928" s="172"/>
      <c r="AK2928" s="172"/>
      <c r="AL2928" s="172"/>
      <c r="AM2928" s="172"/>
      <c r="AN2928" s="172"/>
      <c r="AO2928" s="172"/>
      <c r="AP2928" s="172"/>
      <c r="AQ2928" s="172"/>
      <c r="AR2928" s="479"/>
      <c r="AS2928" s="461"/>
      <c r="AT2928" s="174"/>
    </row>
    <row r="2929" spans="1:46" ht="15" hidden="1" customHeight="1">
      <c r="A2929" s="220">
        <v>2923</v>
      </c>
      <c r="B2929" s="173" t="s">
        <v>9864</v>
      </c>
      <c r="C2929" s="182" t="s">
        <v>9865</v>
      </c>
      <c r="D2929" s="447" t="s">
        <v>9866</v>
      </c>
      <c r="E2929" s="476" t="str">
        <f t="shared" ca="1" si="225"/>
        <v>ON TRACK</v>
      </c>
      <c r="F2929" s="174"/>
      <c r="G2929" s="159" t="s">
        <v>9867</v>
      </c>
      <c r="H2929" s="160" t="s">
        <v>2748</v>
      </c>
      <c r="I2929" s="160" t="s">
        <v>346</v>
      </c>
      <c r="J2929" s="182" t="s">
        <v>9868</v>
      </c>
      <c r="K2929" s="482"/>
      <c r="L2929" s="172"/>
      <c r="M2929" s="158" t="s">
        <v>329</v>
      </c>
      <c r="N2929" s="174"/>
      <c r="O2929" s="176"/>
      <c r="P2929" s="161">
        <f>12*(38850000)</f>
        <v>466200000</v>
      </c>
      <c r="Q2929" s="175"/>
      <c r="R2929" s="176"/>
      <c r="S2929" s="163">
        <v>435000000</v>
      </c>
      <c r="T2929" s="426"/>
      <c r="U2929" s="340">
        <v>46023</v>
      </c>
      <c r="V2929" s="340">
        <v>46387</v>
      </c>
      <c r="W2929" s="158" t="s">
        <v>17</v>
      </c>
      <c r="X2929" s="172"/>
      <c r="Y2929" s="34">
        <f t="shared" ca="1" si="226"/>
        <v>46290</v>
      </c>
      <c r="Z2929" s="35">
        <f t="shared" ca="1" si="227"/>
        <v>97</v>
      </c>
      <c r="AA2929" s="158">
        <f t="shared" si="229"/>
        <v>12</v>
      </c>
      <c r="AB2929" s="158">
        <f t="shared" si="228"/>
        <v>2026</v>
      </c>
      <c r="AC2929" s="159" t="s">
        <v>12464</v>
      </c>
      <c r="AD2929" s="173" t="s">
        <v>12465</v>
      </c>
      <c r="AE2929" s="172">
        <v>4500027416</v>
      </c>
      <c r="AF2929" s="201" t="s">
        <v>333</v>
      </c>
      <c r="AG2929" s="160" t="s">
        <v>12466</v>
      </c>
      <c r="AH2929" s="160"/>
      <c r="AI2929" s="172"/>
      <c r="AJ2929" s="172"/>
      <c r="AK2929" s="172"/>
      <c r="AL2929" s="172"/>
      <c r="AM2929" s="172"/>
      <c r="AN2929" s="172"/>
      <c r="AO2929" s="172"/>
      <c r="AP2929" s="172"/>
      <c r="AQ2929" s="172">
        <v>463</v>
      </c>
      <c r="AR2929" s="479"/>
      <c r="AS2929" s="461"/>
      <c r="AT2929" s="174"/>
    </row>
    <row r="2930" spans="1:46" ht="15" hidden="1" customHeight="1">
      <c r="A2930" s="220">
        <v>2924</v>
      </c>
      <c r="B2930" s="159" t="s">
        <v>10470</v>
      </c>
      <c r="C2930" s="159" t="s">
        <v>421</v>
      </c>
      <c r="D2930" s="437" t="s">
        <v>1119</v>
      </c>
      <c r="E2930" s="477" t="str">
        <f t="shared" ca="1" si="225"/>
        <v>ON TRACK</v>
      </c>
      <c r="F2930" s="160"/>
      <c r="G2930" s="159" t="s">
        <v>10765</v>
      </c>
      <c r="H2930" s="160" t="s">
        <v>2748</v>
      </c>
      <c r="I2930" s="160" t="s">
        <v>346</v>
      </c>
      <c r="J2930" s="159"/>
      <c r="K2930" s="181" t="s">
        <v>10472</v>
      </c>
      <c r="L2930" s="158"/>
      <c r="M2930" s="158" t="s">
        <v>7091</v>
      </c>
      <c r="N2930" s="158" t="s">
        <v>354</v>
      </c>
      <c r="O2930" s="162"/>
      <c r="P2930" s="161">
        <f>2200000*12</f>
        <v>26400000</v>
      </c>
      <c r="Q2930" s="161"/>
      <c r="R2930" s="162"/>
      <c r="S2930" s="163">
        <v>15170870</v>
      </c>
      <c r="T2930" s="164"/>
      <c r="U2930" s="334">
        <v>46054</v>
      </c>
      <c r="V2930" s="334">
        <v>46418</v>
      </c>
      <c r="W2930" s="27" t="s">
        <v>17</v>
      </c>
      <c r="X2930" s="158"/>
      <c r="Y2930" s="34">
        <f t="shared" ca="1" si="226"/>
        <v>46290</v>
      </c>
      <c r="Z2930" s="35">
        <f t="shared" ca="1" si="227"/>
        <v>128</v>
      </c>
      <c r="AA2930" s="27">
        <f>MONTH(Table1[[#This Row],[End]])</f>
        <v>1</v>
      </c>
      <c r="AB2930" s="27">
        <f t="shared" si="228"/>
        <v>2027</v>
      </c>
      <c r="AC2930" s="182" t="s">
        <v>12467</v>
      </c>
      <c r="AD2930" s="159" t="s">
        <v>12468</v>
      </c>
      <c r="AE2930" s="158">
        <v>4500027550</v>
      </c>
      <c r="AF2930" s="201" t="s">
        <v>399</v>
      </c>
      <c r="AG2930" s="160" t="s">
        <v>12469</v>
      </c>
      <c r="AH2930" s="160"/>
      <c r="AI2930" s="158"/>
      <c r="AJ2930" s="158"/>
      <c r="AK2930" s="158"/>
      <c r="AL2930" s="158"/>
      <c r="AM2930" s="158"/>
      <c r="AN2930" s="158"/>
      <c r="AO2930" s="158"/>
      <c r="AP2930" s="158"/>
      <c r="AQ2930" s="158"/>
      <c r="AR2930" s="507"/>
      <c r="AS2930" s="475">
        <v>50</v>
      </c>
      <c r="AT2930" s="160"/>
    </row>
    <row r="2931" spans="1:46" ht="15" hidden="1" customHeight="1">
      <c r="A2931" s="220">
        <v>2925</v>
      </c>
      <c r="B2931" s="159" t="s">
        <v>588</v>
      </c>
      <c r="C2931" s="182" t="s">
        <v>12470</v>
      </c>
      <c r="D2931" s="438" t="s">
        <v>10450</v>
      </c>
      <c r="E2931" s="477" t="str">
        <f t="shared" ca="1" si="225"/>
        <v>ON TRACK</v>
      </c>
      <c r="F2931" s="160" t="s">
        <v>10451</v>
      </c>
      <c r="G2931" s="159" t="s">
        <v>10452</v>
      </c>
      <c r="H2931" s="160" t="s">
        <v>2748</v>
      </c>
      <c r="I2931" s="160" t="s">
        <v>346</v>
      </c>
      <c r="J2931" s="159" t="s">
        <v>2246</v>
      </c>
      <c r="K2931" s="160"/>
      <c r="L2931" s="158"/>
      <c r="M2931" s="158" t="s">
        <v>6776</v>
      </c>
      <c r="N2931" s="158" t="s">
        <v>396</v>
      </c>
      <c r="O2931" s="162"/>
      <c r="P2931" s="161">
        <f>11000000*12</f>
        <v>132000000</v>
      </c>
      <c r="Q2931" s="161"/>
      <c r="R2931" s="162"/>
      <c r="S2931" s="211">
        <v>28500000</v>
      </c>
      <c r="T2931" s="164"/>
      <c r="U2931" s="334">
        <v>46082</v>
      </c>
      <c r="V2931" s="334">
        <v>46446</v>
      </c>
      <c r="W2931" s="27" t="s">
        <v>17</v>
      </c>
      <c r="X2931" s="158"/>
      <c r="Y2931" s="34">
        <f t="shared" ca="1" si="226"/>
        <v>46290</v>
      </c>
      <c r="Z2931" s="35">
        <f t="shared" ca="1" si="227"/>
        <v>156</v>
      </c>
      <c r="AA2931" s="27">
        <f>MONTH(V2931)</f>
        <v>2</v>
      </c>
      <c r="AB2931" s="27">
        <f t="shared" si="228"/>
        <v>2027</v>
      </c>
      <c r="AC2931" s="159" t="s">
        <v>12471</v>
      </c>
      <c r="AD2931" s="159" t="s">
        <v>12472</v>
      </c>
      <c r="AE2931" s="184" t="s">
        <v>12473</v>
      </c>
      <c r="AF2931" s="201" t="s">
        <v>333</v>
      </c>
      <c r="AG2931" s="160" t="s">
        <v>2980</v>
      </c>
      <c r="AH2931" s="160"/>
      <c r="AI2931" s="158"/>
      <c r="AJ2931" s="158"/>
      <c r="AK2931" s="158"/>
      <c r="AL2931" s="158"/>
      <c r="AM2931" s="158"/>
      <c r="AN2931" s="158"/>
      <c r="AO2931" s="158"/>
      <c r="AP2931" s="158"/>
      <c r="AQ2931" s="158"/>
      <c r="AR2931" s="507"/>
      <c r="AS2931" s="475">
        <v>46</v>
      </c>
      <c r="AT2931" s="160"/>
    </row>
    <row r="2932" spans="1:46" ht="15" hidden="1" customHeight="1">
      <c r="A2932" s="220">
        <v>2926</v>
      </c>
      <c r="B2932" s="159" t="s">
        <v>37</v>
      </c>
      <c r="C2932" s="475" t="s">
        <v>12474</v>
      </c>
      <c r="D2932" s="438" t="s">
        <v>11045</v>
      </c>
      <c r="E2932" s="477" t="str">
        <f t="shared" ref="E2932:E2961" ca="1" si="230">IF(AND(Z2932&gt;=60, Z2932&lt;=3000), "ON TRACK",IF(AND(Z2932&gt;=36, Z2932&lt;=59), "ATTENTION",IF(AND(Z2932&gt;=1, Z2932&lt;=35), "WARNING",IF(AND(Z2932&gt;=-3000, Z2932&lt;=0), "CRITICAL", ""))))</f>
        <v>ON TRACK</v>
      </c>
      <c r="F2932" s="160" t="s">
        <v>12475</v>
      </c>
      <c r="G2932" s="159" t="s">
        <v>12476</v>
      </c>
      <c r="H2932" s="160" t="s">
        <v>2748</v>
      </c>
      <c r="I2932" s="160" t="s">
        <v>242</v>
      </c>
      <c r="J2932" s="205" t="s">
        <v>10680</v>
      </c>
      <c r="K2932" s="160"/>
      <c r="L2932" s="158"/>
      <c r="M2932" s="158" t="s">
        <v>329</v>
      </c>
      <c r="N2932" s="158" t="s">
        <v>7238</v>
      </c>
      <c r="O2932" s="162"/>
      <c r="P2932" s="161">
        <f>4000000*12</f>
        <v>48000000</v>
      </c>
      <c r="Q2932" s="161"/>
      <c r="R2932" s="162"/>
      <c r="S2932" s="211">
        <v>18000000</v>
      </c>
      <c r="T2932" s="164"/>
      <c r="U2932" s="347">
        <v>46066</v>
      </c>
      <c r="V2932" s="347">
        <v>46430</v>
      </c>
      <c r="W2932" s="172" t="s">
        <v>17</v>
      </c>
      <c r="X2932" s="158"/>
      <c r="Y2932" s="178">
        <f t="shared" ref="Y2932:Y2963" ca="1" si="231">TODAY()</f>
        <v>46290</v>
      </c>
      <c r="Z2932" s="207">
        <f t="shared" ca="1" si="227"/>
        <v>140</v>
      </c>
      <c r="AA2932" s="27">
        <f>MONTH(V2932)</f>
        <v>2</v>
      </c>
      <c r="AB2932" s="158">
        <f t="shared" si="228"/>
        <v>2027</v>
      </c>
      <c r="AC2932" s="159">
        <v>4500024516</v>
      </c>
      <c r="AD2932" s="159" t="s">
        <v>12477</v>
      </c>
      <c r="AE2932" s="172">
        <v>4500027472</v>
      </c>
      <c r="AF2932" s="158" t="s">
        <v>333</v>
      </c>
      <c r="AG2932" s="160" t="s">
        <v>1923</v>
      </c>
      <c r="AH2932" s="160"/>
      <c r="AI2932" s="158"/>
      <c r="AJ2932" s="158"/>
      <c r="AK2932" s="158"/>
      <c r="AL2932" s="158"/>
      <c r="AM2932" s="158"/>
      <c r="AN2932" s="158"/>
      <c r="AO2932" s="158"/>
      <c r="AP2932" s="158"/>
      <c r="AQ2932" s="158"/>
      <c r="AR2932" s="507">
        <v>20</v>
      </c>
      <c r="AS2932" s="475"/>
      <c r="AT2932" s="160"/>
    </row>
    <row r="2933" spans="1:46" ht="15" hidden="1" customHeight="1">
      <c r="A2933" s="220">
        <v>2927</v>
      </c>
      <c r="B2933" s="159" t="s">
        <v>440</v>
      </c>
      <c r="C2933" s="182" t="s">
        <v>11758</v>
      </c>
      <c r="D2933" s="437" t="s">
        <v>442</v>
      </c>
      <c r="E2933" s="28" t="str">
        <f t="shared" ca="1" si="230"/>
        <v>ON TRACK</v>
      </c>
      <c r="F2933" s="160"/>
      <c r="G2933" s="159" t="s">
        <v>9514</v>
      </c>
      <c r="H2933" s="160" t="s">
        <v>2748</v>
      </c>
      <c r="I2933" s="160" t="s">
        <v>346</v>
      </c>
      <c r="J2933" s="182" t="s">
        <v>445</v>
      </c>
      <c r="K2933" s="160"/>
      <c r="L2933" s="158"/>
      <c r="M2933" s="158" t="s">
        <v>365</v>
      </c>
      <c r="N2933" s="160"/>
      <c r="O2933" s="162"/>
      <c r="P2933" s="161">
        <f>39335000*12</f>
        <v>472020000</v>
      </c>
      <c r="Q2933" s="161"/>
      <c r="R2933" s="162"/>
      <c r="S2933" s="163">
        <v>12000000</v>
      </c>
      <c r="T2933" s="164"/>
      <c r="U2933" s="334">
        <v>46034</v>
      </c>
      <c r="V2933" s="334">
        <v>46398</v>
      </c>
      <c r="W2933" s="27" t="s">
        <v>17</v>
      </c>
      <c r="X2933" s="158"/>
      <c r="Y2933" s="34">
        <f t="shared" ca="1" si="231"/>
        <v>46290</v>
      </c>
      <c r="Z2933" s="35">
        <f t="shared" ca="1" si="227"/>
        <v>108</v>
      </c>
      <c r="AA2933" s="27">
        <f>MONTH(V2933)</f>
        <v>1</v>
      </c>
      <c r="AB2933" s="27">
        <f t="shared" si="228"/>
        <v>2027</v>
      </c>
      <c r="AC2933" s="159" t="s">
        <v>12478</v>
      </c>
      <c r="AD2933" s="159" t="s">
        <v>12479</v>
      </c>
      <c r="AE2933" s="158">
        <v>4500027296</v>
      </c>
      <c r="AF2933" s="201" t="s">
        <v>339</v>
      </c>
      <c r="AG2933" s="174" t="s">
        <v>449</v>
      </c>
      <c r="AH2933" s="160"/>
      <c r="AI2933" s="158"/>
      <c r="AJ2933" s="158"/>
      <c r="AK2933" s="158"/>
      <c r="AL2933" s="158"/>
      <c r="AM2933" s="158"/>
      <c r="AN2933" s="158"/>
      <c r="AO2933" s="158"/>
      <c r="AP2933" s="158"/>
      <c r="AQ2933" s="158"/>
      <c r="AR2933" s="507"/>
      <c r="AS2933" s="475">
        <v>7</v>
      </c>
      <c r="AT2933" s="160"/>
    </row>
    <row r="2934" spans="1:46" ht="15" hidden="1" customHeight="1">
      <c r="A2934" s="220">
        <v>2928</v>
      </c>
      <c r="B2934" s="159" t="s">
        <v>440</v>
      </c>
      <c r="C2934" s="182" t="s">
        <v>11758</v>
      </c>
      <c r="D2934" s="437" t="s">
        <v>442</v>
      </c>
      <c r="E2934" s="28" t="str">
        <f t="shared" ca="1" si="230"/>
        <v>ON TRACK</v>
      </c>
      <c r="F2934" s="160"/>
      <c r="G2934" s="159" t="s">
        <v>9514</v>
      </c>
      <c r="H2934" s="160" t="s">
        <v>2748</v>
      </c>
      <c r="I2934" s="160" t="s">
        <v>346</v>
      </c>
      <c r="J2934" s="182" t="s">
        <v>445</v>
      </c>
      <c r="K2934" s="160"/>
      <c r="L2934" s="158"/>
      <c r="M2934" s="158" t="s">
        <v>365</v>
      </c>
      <c r="N2934" s="160"/>
      <c r="O2934" s="162"/>
      <c r="P2934" s="161">
        <f>39335000*12</f>
        <v>472020000</v>
      </c>
      <c r="Q2934" s="161"/>
      <c r="R2934" s="162"/>
      <c r="S2934" s="163">
        <v>24000000</v>
      </c>
      <c r="T2934" s="164"/>
      <c r="U2934" s="334">
        <v>46049</v>
      </c>
      <c r="V2934" s="334">
        <v>46413</v>
      </c>
      <c r="W2934" s="27" t="s">
        <v>17</v>
      </c>
      <c r="X2934" s="158"/>
      <c r="Y2934" s="34">
        <f t="shared" ca="1" si="231"/>
        <v>46290</v>
      </c>
      <c r="Z2934" s="35">
        <f t="shared" ca="1" si="227"/>
        <v>123</v>
      </c>
      <c r="AA2934" s="27">
        <f>MONTH(V2934)</f>
        <v>1</v>
      </c>
      <c r="AB2934" s="27">
        <f t="shared" si="228"/>
        <v>2027</v>
      </c>
      <c r="AC2934" s="182" t="s">
        <v>12480</v>
      </c>
      <c r="AD2934" s="159" t="s">
        <v>12481</v>
      </c>
      <c r="AE2934" s="158">
        <v>4500027291</v>
      </c>
      <c r="AF2934" s="201" t="s">
        <v>339</v>
      </c>
      <c r="AG2934" s="174" t="s">
        <v>449</v>
      </c>
      <c r="AH2934" s="160"/>
      <c r="AI2934" s="158"/>
      <c r="AJ2934" s="158"/>
      <c r="AK2934" s="158"/>
      <c r="AL2934" s="158"/>
      <c r="AM2934" s="158"/>
      <c r="AN2934" s="158"/>
      <c r="AO2934" s="158"/>
      <c r="AP2934" s="158"/>
      <c r="AQ2934" s="158"/>
      <c r="AR2934" s="507"/>
      <c r="AS2934" s="475">
        <v>8</v>
      </c>
      <c r="AT2934" s="160"/>
    </row>
    <row r="2935" spans="1:46" ht="15" hidden="1" customHeight="1">
      <c r="A2935" s="220">
        <v>2929</v>
      </c>
      <c r="B2935" s="159" t="s">
        <v>440</v>
      </c>
      <c r="C2935" s="182" t="s">
        <v>11758</v>
      </c>
      <c r="D2935" s="437" t="s">
        <v>442</v>
      </c>
      <c r="E2935" s="28" t="str">
        <f t="shared" ca="1" si="230"/>
        <v>ON TRACK</v>
      </c>
      <c r="F2935" s="160"/>
      <c r="G2935" s="159" t="s">
        <v>9514</v>
      </c>
      <c r="H2935" s="160" t="s">
        <v>2748</v>
      </c>
      <c r="I2935" s="160" t="s">
        <v>346</v>
      </c>
      <c r="J2935" s="182" t="s">
        <v>445</v>
      </c>
      <c r="K2935" s="160"/>
      <c r="L2935" s="158"/>
      <c r="M2935" s="158" t="s">
        <v>365</v>
      </c>
      <c r="N2935" s="160"/>
      <c r="O2935" s="162"/>
      <c r="P2935" s="161">
        <f>39335000*12</f>
        <v>472020000</v>
      </c>
      <c r="Q2935" s="161"/>
      <c r="R2935" s="162"/>
      <c r="S2935" s="211">
        <v>12000000</v>
      </c>
      <c r="T2935" s="164"/>
      <c r="U2935" s="334">
        <v>46157</v>
      </c>
      <c r="V2935" s="334">
        <v>46521</v>
      </c>
      <c r="W2935" s="27" t="s">
        <v>17</v>
      </c>
      <c r="X2935" s="158"/>
      <c r="Y2935" s="34">
        <f t="shared" ca="1" si="231"/>
        <v>46290</v>
      </c>
      <c r="Z2935" s="35">
        <f t="shared" ca="1" si="227"/>
        <v>231</v>
      </c>
      <c r="AA2935" s="27">
        <f>MONTH(V2935)</f>
        <v>5</v>
      </c>
      <c r="AB2935" s="27">
        <f t="shared" si="228"/>
        <v>2027</v>
      </c>
      <c r="AC2935" s="159" t="s">
        <v>12482</v>
      </c>
      <c r="AD2935" s="159" t="s">
        <v>12483</v>
      </c>
      <c r="AE2935" s="158">
        <v>4500027542</v>
      </c>
      <c r="AF2935" s="201" t="s">
        <v>339</v>
      </c>
      <c r="AG2935" s="174" t="s">
        <v>449</v>
      </c>
      <c r="AH2935" s="160"/>
      <c r="AI2935" s="158"/>
      <c r="AJ2935" s="158"/>
      <c r="AK2935" s="158"/>
      <c r="AL2935" s="158"/>
      <c r="AM2935" s="158"/>
      <c r="AN2935" s="158"/>
      <c r="AO2935" s="158"/>
      <c r="AP2935" s="158"/>
      <c r="AQ2935" s="158"/>
      <c r="AR2935" s="507"/>
      <c r="AS2935" s="475">
        <v>31</v>
      </c>
      <c r="AT2935" s="160"/>
    </row>
    <row r="2936" spans="1:46" ht="15" hidden="1" customHeight="1">
      <c r="A2936" s="220">
        <v>2930</v>
      </c>
      <c r="B2936" s="159" t="s">
        <v>450</v>
      </c>
      <c r="C2936" s="159" t="s">
        <v>10569</v>
      </c>
      <c r="D2936" s="437" t="s">
        <v>452</v>
      </c>
      <c r="E2936" s="28" t="str">
        <f t="shared" ca="1" si="230"/>
        <v>ON TRACK</v>
      </c>
      <c r="F2936" s="160"/>
      <c r="G2936" s="159" t="s">
        <v>10564</v>
      </c>
      <c r="H2936" s="160" t="s">
        <v>2748</v>
      </c>
      <c r="I2936" s="160" t="s">
        <v>242</v>
      </c>
      <c r="J2936" s="205" t="s">
        <v>10570</v>
      </c>
      <c r="K2936" s="181"/>
      <c r="L2936" s="158"/>
      <c r="M2936" s="158" t="s">
        <v>365</v>
      </c>
      <c r="N2936" s="158" t="s">
        <v>417</v>
      </c>
      <c r="O2936" s="162"/>
      <c r="P2936" s="161">
        <f>4100000*12</f>
        <v>49200000</v>
      </c>
      <c r="Q2936" s="161"/>
      <c r="R2936" s="162"/>
      <c r="S2936" s="163">
        <v>12000000</v>
      </c>
      <c r="T2936" s="164"/>
      <c r="U2936" s="340">
        <v>46104</v>
      </c>
      <c r="V2936" s="340">
        <v>46468</v>
      </c>
      <c r="W2936" s="158" t="s">
        <v>17</v>
      </c>
      <c r="X2936" s="158"/>
      <c r="Y2936" s="34">
        <f t="shared" ca="1" si="231"/>
        <v>46290</v>
      </c>
      <c r="Z2936" s="35">
        <f t="shared" ca="1" si="227"/>
        <v>178</v>
      </c>
      <c r="AA2936" s="27">
        <f>MONTH(Table1[[#This Row],[End]])</f>
        <v>3</v>
      </c>
      <c r="AB2936" s="27">
        <f t="shared" si="228"/>
        <v>2027</v>
      </c>
      <c r="AC2936" s="221" t="s">
        <v>12484</v>
      </c>
      <c r="AD2936" s="159" t="s">
        <v>12485</v>
      </c>
      <c r="AE2936" s="158">
        <v>4500027650</v>
      </c>
      <c r="AF2936" s="201" t="s">
        <v>399</v>
      </c>
      <c r="AG2936" s="160"/>
      <c r="AH2936" s="160"/>
      <c r="AI2936" s="158"/>
      <c r="AJ2936" s="158"/>
      <c r="AK2936" s="158"/>
      <c r="AL2936" s="158"/>
      <c r="AM2936" s="158"/>
      <c r="AN2936" s="158"/>
      <c r="AO2936" s="158"/>
      <c r="AP2936" s="158"/>
      <c r="AQ2936" s="158"/>
      <c r="AR2936" s="507"/>
      <c r="AS2936" s="475">
        <v>48</v>
      </c>
      <c r="AT2936" s="160"/>
    </row>
    <row r="2937" spans="1:46" ht="15" hidden="1" customHeight="1">
      <c r="A2937" s="220">
        <v>2931</v>
      </c>
      <c r="B2937" s="159" t="s">
        <v>71</v>
      </c>
      <c r="C2937" s="159" t="s">
        <v>2451</v>
      </c>
      <c r="D2937" s="438" t="s">
        <v>490</v>
      </c>
      <c r="E2937" s="113" t="str">
        <f t="shared" ca="1" si="230"/>
        <v>ATTENTION</v>
      </c>
      <c r="F2937" s="160" t="s">
        <v>9807</v>
      </c>
      <c r="G2937" s="159" t="s">
        <v>9806</v>
      </c>
      <c r="H2937" s="160" t="s">
        <v>2748</v>
      </c>
      <c r="I2937" s="160" t="s">
        <v>242</v>
      </c>
      <c r="J2937" s="159"/>
      <c r="K2937" s="218" t="s">
        <v>12486</v>
      </c>
      <c r="L2937" s="158"/>
      <c r="M2937" s="190" t="s">
        <v>365</v>
      </c>
      <c r="N2937" s="160"/>
      <c r="O2937" s="162"/>
      <c r="P2937" s="161">
        <f>16130000*12</f>
        <v>193560000</v>
      </c>
      <c r="Q2937" s="161"/>
      <c r="R2937" s="162"/>
      <c r="S2937" s="211">
        <v>18000000</v>
      </c>
      <c r="T2937" s="164"/>
      <c r="U2937" s="340">
        <v>45979</v>
      </c>
      <c r="V2937" s="340">
        <v>46343</v>
      </c>
      <c r="W2937" s="158" t="s">
        <v>17</v>
      </c>
      <c r="X2937" s="158"/>
      <c r="Y2937" s="34">
        <f t="shared" ca="1" si="231"/>
        <v>46290</v>
      </c>
      <c r="Z2937" s="35">
        <f t="shared" ca="1" si="227"/>
        <v>53</v>
      </c>
      <c r="AA2937" s="27">
        <f>MONTH(Table1[[#This Row],[End]])</f>
        <v>11</v>
      </c>
      <c r="AB2937" s="27">
        <f t="shared" si="228"/>
        <v>2026</v>
      </c>
      <c r="AC2937" s="159" t="s">
        <v>12487</v>
      </c>
      <c r="AD2937" s="159" t="s">
        <v>12488</v>
      </c>
      <c r="AE2937" s="158">
        <v>4500027462</v>
      </c>
      <c r="AF2937" s="201" t="s">
        <v>339</v>
      </c>
      <c r="AG2937" s="174" t="s">
        <v>12021</v>
      </c>
      <c r="AH2937" s="160"/>
      <c r="AI2937" s="158"/>
      <c r="AJ2937" s="158"/>
      <c r="AK2937" s="158"/>
      <c r="AL2937" s="158"/>
      <c r="AM2937" s="158"/>
      <c r="AN2937" s="158"/>
      <c r="AO2937" s="158"/>
      <c r="AP2937" s="158"/>
      <c r="AQ2937" s="158">
        <v>471</v>
      </c>
      <c r="AR2937" s="507"/>
      <c r="AS2937" s="475"/>
      <c r="AT2937" s="160"/>
    </row>
    <row r="2938" spans="1:46" ht="15" hidden="1" customHeight="1">
      <c r="A2938" s="220">
        <v>2932</v>
      </c>
      <c r="B2938" s="159" t="s">
        <v>71</v>
      </c>
      <c r="C2938" s="159" t="s">
        <v>684</v>
      </c>
      <c r="D2938" s="438" t="s">
        <v>490</v>
      </c>
      <c r="E2938" s="28" t="str">
        <f t="shared" ca="1" si="230"/>
        <v>ON TRACK</v>
      </c>
      <c r="F2938" s="160"/>
      <c r="G2938" s="159" t="s">
        <v>12489</v>
      </c>
      <c r="H2938" s="160" t="s">
        <v>2748</v>
      </c>
      <c r="I2938" s="160" t="s">
        <v>242</v>
      </c>
      <c r="J2938" s="159"/>
      <c r="K2938" s="181" t="s">
        <v>9318</v>
      </c>
      <c r="L2938" s="158"/>
      <c r="M2938" s="158" t="s">
        <v>329</v>
      </c>
      <c r="N2938" s="158" t="s">
        <v>6649</v>
      </c>
      <c r="O2938" s="162"/>
      <c r="P2938" s="161">
        <f>2100000*12</f>
        <v>25200000</v>
      </c>
      <c r="Q2938" s="161"/>
      <c r="R2938" s="162"/>
      <c r="S2938" s="211">
        <v>176000000</v>
      </c>
      <c r="T2938" s="164"/>
      <c r="U2938" s="340">
        <v>46043</v>
      </c>
      <c r="V2938" s="340">
        <v>46407</v>
      </c>
      <c r="W2938" s="158" t="s">
        <v>17</v>
      </c>
      <c r="X2938" s="158"/>
      <c r="Y2938" s="34">
        <f t="shared" ca="1" si="231"/>
        <v>46290</v>
      </c>
      <c r="Z2938" s="35">
        <f t="shared" ca="1" si="227"/>
        <v>117</v>
      </c>
      <c r="AA2938" s="27">
        <f>MONTH(Table1[[#This Row],[End]])</f>
        <v>1</v>
      </c>
      <c r="AB2938" s="27">
        <f t="shared" si="228"/>
        <v>2027</v>
      </c>
      <c r="AC2938" s="159" t="s">
        <v>479</v>
      </c>
      <c r="AD2938" s="159" t="s">
        <v>12490</v>
      </c>
      <c r="AE2938" s="158">
        <v>4500027513</v>
      </c>
      <c r="AF2938" s="201" t="s">
        <v>333</v>
      </c>
      <c r="AG2938" s="174" t="s">
        <v>12021</v>
      </c>
      <c r="AH2938" s="160"/>
      <c r="AI2938" s="158"/>
      <c r="AJ2938" s="158"/>
      <c r="AK2938" s="158"/>
      <c r="AL2938" s="158"/>
      <c r="AM2938" s="158"/>
      <c r="AN2938" s="158"/>
      <c r="AO2938" s="158"/>
      <c r="AP2938" s="158"/>
      <c r="AQ2938" s="158"/>
      <c r="AR2938" s="507"/>
      <c r="AS2938" s="475">
        <v>49</v>
      </c>
      <c r="AT2938" s="160"/>
    </row>
    <row r="2939" spans="1:46" ht="15" hidden="1" customHeight="1">
      <c r="A2939" s="220">
        <v>2933</v>
      </c>
      <c r="B2939" s="159" t="s">
        <v>2391</v>
      </c>
      <c r="C2939" s="159" t="s">
        <v>12491</v>
      </c>
      <c r="D2939" s="468" t="s">
        <v>3035</v>
      </c>
      <c r="E2939" s="28" t="str">
        <f t="shared" ca="1" si="230"/>
        <v>ON TRACK</v>
      </c>
      <c r="F2939" s="160"/>
      <c r="G2939" s="159" t="s">
        <v>12492</v>
      </c>
      <c r="H2939" s="160" t="s">
        <v>2748</v>
      </c>
      <c r="I2939" s="160" t="s">
        <v>346</v>
      </c>
      <c r="J2939" s="205" t="s">
        <v>12493</v>
      </c>
      <c r="K2939" s="160"/>
      <c r="L2939" s="158"/>
      <c r="M2939" s="158" t="s">
        <v>353</v>
      </c>
      <c r="N2939" s="160"/>
      <c r="O2939" s="162"/>
      <c r="P2939" s="161"/>
      <c r="Q2939" s="161"/>
      <c r="R2939" s="162"/>
      <c r="S2939" s="211">
        <v>5000000</v>
      </c>
      <c r="T2939" s="164"/>
      <c r="U2939" s="340">
        <v>46006</v>
      </c>
      <c r="V2939" s="340">
        <v>46370</v>
      </c>
      <c r="W2939" s="27" t="s">
        <v>17</v>
      </c>
      <c r="X2939" s="158"/>
      <c r="Y2939" s="34">
        <f t="shared" ca="1" si="231"/>
        <v>46290</v>
      </c>
      <c r="Z2939" s="35">
        <f t="shared" ca="1" si="227"/>
        <v>80</v>
      </c>
      <c r="AA2939" s="27">
        <f t="shared" ref="AA2939:AA2945" si="232">MONTH(V2939)</f>
        <v>12</v>
      </c>
      <c r="AB2939" s="27">
        <f t="shared" si="228"/>
        <v>2026</v>
      </c>
      <c r="AC2939" s="159" t="s">
        <v>479</v>
      </c>
      <c r="AD2939" s="159" t="s">
        <v>12494</v>
      </c>
      <c r="AE2939" s="158">
        <v>4500027240</v>
      </c>
      <c r="AF2939" s="201" t="s">
        <v>333</v>
      </c>
      <c r="AG2939" s="160" t="s">
        <v>3039</v>
      </c>
      <c r="AH2939" s="160"/>
      <c r="AI2939" s="158"/>
      <c r="AJ2939" s="158"/>
      <c r="AK2939" s="158"/>
      <c r="AL2939" s="158"/>
      <c r="AM2939" s="158"/>
      <c r="AN2939" s="158"/>
      <c r="AO2939" s="158"/>
      <c r="AP2939" s="158"/>
      <c r="AQ2939" s="158">
        <v>460</v>
      </c>
      <c r="AR2939" s="507"/>
      <c r="AS2939" s="475"/>
      <c r="AT2939" s="160"/>
    </row>
    <row r="2940" spans="1:46" ht="15" hidden="1" customHeight="1">
      <c r="A2940" s="220">
        <v>2934</v>
      </c>
      <c r="B2940" s="159" t="s">
        <v>382</v>
      </c>
      <c r="C2940" s="159" t="s">
        <v>11781</v>
      </c>
      <c r="D2940" s="437" t="s">
        <v>384</v>
      </c>
      <c r="E2940" s="28" t="str">
        <f t="shared" ca="1" si="230"/>
        <v>ON TRACK</v>
      </c>
      <c r="F2940" s="160" t="s">
        <v>11782</v>
      </c>
      <c r="G2940" s="159" t="s">
        <v>11783</v>
      </c>
      <c r="H2940" s="29" t="s">
        <v>2748</v>
      </c>
      <c r="I2940" s="160" t="s">
        <v>242</v>
      </c>
      <c r="J2940" s="205" t="s">
        <v>11784</v>
      </c>
      <c r="K2940" s="160" t="s">
        <v>12495</v>
      </c>
      <c r="L2940" s="158"/>
      <c r="M2940" s="158"/>
      <c r="N2940" s="160"/>
      <c r="O2940" s="162"/>
      <c r="P2940" s="161">
        <f>7550000*12</f>
        <v>90600000</v>
      </c>
      <c r="Q2940" s="161"/>
      <c r="R2940" s="162"/>
      <c r="S2940" s="163">
        <v>12000000</v>
      </c>
      <c r="T2940" s="164"/>
      <c r="U2940" s="334">
        <v>46049</v>
      </c>
      <c r="V2940" s="334">
        <v>46413</v>
      </c>
      <c r="W2940" s="27" t="s">
        <v>17</v>
      </c>
      <c r="X2940" s="158"/>
      <c r="Y2940" s="34">
        <f t="shared" ca="1" si="231"/>
        <v>46290</v>
      </c>
      <c r="Z2940" s="35">
        <f t="shared" ref="Z2940:Z2960" ca="1" si="233">V2940-Y2940</f>
        <v>123</v>
      </c>
      <c r="AA2940" s="27">
        <f t="shared" si="232"/>
        <v>1</v>
      </c>
      <c r="AB2940" s="27">
        <f t="shared" si="228"/>
        <v>2027</v>
      </c>
      <c r="AC2940" s="159" t="s">
        <v>12496</v>
      </c>
      <c r="AD2940" s="159" t="s">
        <v>12497</v>
      </c>
      <c r="AE2940" s="158">
        <v>4500027477</v>
      </c>
      <c r="AF2940" s="201" t="s">
        <v>333</v>
      </c>
      <c r="AG2940" s="160"/>
      <c r="AH2940" s="160"/>
      <c r="AI2940" s="158"/>
      <c r="AJ2940" s="158"/>
      <c r="AK2940" s="158"/>
      <c r="AL2940" s="158"/>
      <c r="AM2940" s="158"/>
      <c r="AN2940" s="158"/>
      <c r="AO2940" s="158"/>
      <c r="AP2940" s="158"/>
      <c r="AQ2940" s="158"/>
      <c r="AR2940" s="507"/>
      <c r="AS2940" s="475">
        <v>22</v>
      </c>
      <c r="AT2940" s="160"/>
    </row>
    <row r="2941" spans="1:46" ht="16.5" hidden="1" customHeight="1">
      <c r="A2941" s="220">
        <v>2935</v>
      </c>
      <c r="B2941" s="173" t="s">
        <v>382</v>
      </c>
      <c r="C2941" s="173" t="s">
        <v>9777</v>
      </c>
      <c r="D2941" s="437" t="s">
        <v>384</v>
      </c>
      <c r="E2941" s="113" t="str">
        <f t="shared" ca="1" si="230"/>
        <v>CRITICAL</v>
      </c>
      <c r="F2941" s="174" t="s">
        <v>12498</v>
      </c>
      <c r="G2941" s="478" t="s">
        <v>12499</v>
      </c>
      <c r="H2941" s="29" t="s">
        <v>2748</v>
      </c>
      <c r="I2941" s="160" t="s">
        <v>242</v>
      </c>
      <c r="J2941" s="173"/>
      <c r="K2941" s="180" t="s">
        <v>12260</v>
      </c>
      <c r="L2941" s="172"/>
      <c r="M2941" s="158" t="s">
        <v>329</v>
      </c>
      <c r="N2941" s="158" t="s">
        <v>417</v>
      </c>
      <c r="O2941" s="176"/>
      <c r="P2941" s="175">
        <f>24500000*2</f>
        <v>49000000</v>
      </c>
      <c r="Q2941" s="175"/>
      <c r="R2941" s="176"/>
      <c r="S2941" s="177">
        <f>10000000*2</f>
        <v>20000000</v>
      </c>
      <c r="T2941" s="178"/>
      <c r="U2941" s="340">
        <v>45996</v>
      </c>
      <c r="V2941" s="340">
        <v>46057</v>
      </c>
      <c r="W2941" s="27" t="s">
        <v>245</v>
      </c>
      <c r="X2941" s="172"/>
      <c r="Y2941" s="34">
        <f t="shared" ca="1" si="231"/>
        <v>46290</v>
      </c>
      <c r="Z2941" s="35">
        <f t="shared" ca="1" si="233"/>
        <v>-233</v>
      </c>
      <c r="AA2941" s="27">
        <f t="shared" si="232"/>
        <v>2</v>
      </c>
      <c r="AB2941" s="27">
        <f t="shared" si="228"/>
        <v>2026</v>
      </c>
      <c r="AC2941" s="173" t="s">
        <v>12500</v>
      </c>
      <c r="AD2941" s="173" t="s">
        <v>12382</v>
      </c>
      <c r="AE2941" s="172">
        <v>4500027476</v>
      </c>
      <c r="AF2941" s="201" t="s">
        <v>333</v>
      </c>
      <c r="AG2941" s="174"/>
      <c r="AH2941" s="160"/>
      <c r="AI2941" s="172"/>
      <c r="AJ2941" s="172"/>
      <c r="AK2941" s="172"/>
      <c r="AL2941" s="172"/>
      <c r="AM2941" s="172"/>
      <c r="AN2941" s="172"/>
      <c r="AO2941" s="172"/>
      <c r="AP2941" s="172"/>
      <c r="AQ2941" s="172">
        <v>491</v>
      </c>
      <c r="AR2941" s="479"/>
      <c r="AS2941" s="461"/>
      <c r="AT2941" s="174"/>
    </row>
    <row r="2942" spans="1:46" ht="15" hidden="1" customHeight="1">
      <c r="A2942" s="220">
        <v>2936</v>
      </c>
      <c r="B2942" s="173" t="s">
        <v>382</v>
      </c>
      <c r="C2942" s="173" t="s">
        <v>344</v>
      </c>
      <c r="D2942" s="437" t="s">
        <v>384</v>
      </c>
      <c r="E2942" s="113" t="str">
        <f t="shared" ca="1" si="230"/>
        <v>CRITICAL</v>
      </c>
      <c r="F2942" s="174"/>
      <c r="G2942" s="173" t="s">
        <v>382</v>
      </c>
      <c r="H2942" s="29" t="s">
        <v>2748</v>
      </c>
      <c r="I2942" s="160" t="s">
        <v>242</v>
      </c>
      <c r="J2942" s="173"/>
      <c r="K2942" s="174"/>
      <c r="L2942" s="172"/>
      <c r="M2942" s="158" t="s">
        <v>329</v>
      </c>
      <c r="N2942" s="174"/>
      <c r="O2942" s="176"/>
      <c r="P2942" s="175"/>
      <c r="Q2942" s="175"/>
      <c r="R2942" s="176"/>
      <c r="S2942" s="177">
        <v>48000000</v>
      </c>
      <c r="T2942" s="178"/>
      <c r="U2942" s="340">
        <v>45917</v>
      </c>
      <c r="V2942" s="340">
        <v>46281</v>
      </c>
      <c r="W2942" s="27" t="s">
        <v>17</v>
      </c>
      <c r="X2942" s="172"/>
      <c r="Y2942" s="34">
        <f t="shared" ca="1" si="231"/>
        <v>46290</v>
      </c>
      <c r="Z2942" s="35">
        <f t="shared" ca="1" si="233"/>
        <v>-9</v>
      </c>
      <c r="AA2942" s="27">
        <f t="shared" si="232"/>
        <v>9</v>
      </c>
      <c r="AB2942" s="27">
        <f t="shared" si="228"/>
        <v>2026</v>
      </c>
      <c r="AC2942" s="173" t="s">
        <v>12501</v>
      </c>
      <c r="AD2942" s="173" t="s">
        <v>12502</v>
      </c>
      <c r="AE2942" s="172">
        <v>4500027623</v>
      </c>
      <c r="AF2942" s="201" t="s">
        <v>339</v>
      </c>
      <c r="AG2942" s="174"/>
      <c r="AH2942" s="160"/>
      <c r="AI2942" s="172"/>
      <c r="AJ2942" s="172"/>
      <c r="AK2942" s="172"/>
      <c r="AL2942" s="172"/>
      <c r="AM2942" s="172"/>
      <c r="AN2942" s="172"/>
      <c r="AO2942" s="172"/>
      <c r="AP2942" s="172"/>
      <c r="AQ2942" s="172"/>
      <c r="AR2942" s="479"/>
      <c r="AS2942" s="461">
        <v>33</v>
      </c>
      <c r="AT2942" s="174"/>
    </row>
    <row r="2943" spans="1:46" ht="15" hidden="1" customHeight="1">
      <c r="A2943" s="220">
        <v>2937</v>
      </c>
      <c r="B2943" s="173" t="s">
        <v>382</v>
      </c>
      <c r="C2943" s="173" t="s">
        <v>383</v>
      </c>
      <c r="D2943" s="437" t="s">
        <v>384</v>
      </c>
      <c r="E2943" s="113" t="str">
        <f t="shared" ca="1" si="230"/>
        <v>ON TRACK</v>
      </c>
      <c r="F2943" s="174"/>
      <c r="G2943" s="173" t="s">
        <v>382</v>
      </c>
      <c r="H2943" s="29" t="s">
        <v>2748</v>
      </c>
      <c r="I2943" s="160" t="s">
        <v>242</v>
      </c>
      <c r="J2943" s="173" t="s">
        <v>386</v>
      </c>
      <c r="K2943" s="174"/>
      <c r="L2943" s="172"/>
      <c r="M2943" s="172" t="s">
        <v>388</v>
      </c>
      <c r="N2943" s="172" t="s">
        <v>389</v>
      </c>
      <c r="O2943" s="176"/>
      <c r="P2943" s="175">
        <f>10000000*12</f>
        <v>120000000</v>
      </c>
      <c r="Q2943" s="175"/>
      <c r="R2943" s="176"/>
      <c r="S2943" s="177">
        <v>12000000</v>
      </c>
      <c r="T2943" s="178"/>
      <c r="U2943" s="340">
        <v>46046</v>
      </c>
      <c r="V2943" s="340">
        <v>46410</v>
      </c>
      <c r="W2943" s="27" t="s">
        <v>17</v>
      </c>
      <c r="X2943" s="172"/>
      <c r="Y2943" s="34">
        <f t="shared" ca="1" si="231"/>
        <v>46290</v>
      </c>
      <c r="Z2943" s="35">
        <f t="shared" ca="1" si="233"/>
        <v>120</v>
      </c>
      <c r="AA2943" s="27">
        <f t="shared" si="232"/>
        <v>1</v>
      </c>
      <c r="AB2943" s="27">
        <f t="shared" si="228"/>
        <v>2027</v>
      </c>
      <c r="AC2943" s="173" t="s">
        <v>12503</v>
      </c>
      <c r="AD2943" s="173" t="s">
        <v>12504</v>
      </c>
      <c r="AE2943" s="172">
        <v>4500027568</v>
      </c>
      <c r="AF2943" s="201" t="s">
        <v>339</v>
      </c>
      <c r="AG2943" s="174"/>
      <c r="AH2943" s="160"/>
      <c r="AI2943" s="172"/>
      <c r="AJ2943" s="172"/>
      <c r="AK2943" s="172"/>
      <c r="AL2943" s="172"/>
      <c r="AM2943" s="172"/>
      <c r="AN2943" s="172"/>
      <c r="AO2943" s="172"/>
      <c r="AP2943" s="172"/>
      <c r="AQ2943" s="172"/>
      <c r="AR2943" s="479"/>
      <c r="AS2943" s="461">
        <v>34</v>
      </c>
      <c r="AT2943" s="174"/>
    </row>
    <row r="2944" spans="1:46" ht="15" hidden="1" customHeight="1">
      <c r="A2944" s="220">
        <v>2938</v>
      </c>
      <c r="B2944" s="173" t="s">
        <v>382</v>
      </c>
      <c r="C2944" s="173" t="s">
        <v>344</v>
      </c>
      <c r="D2944" s="437" t="s">
        <v>384</v>
      </c>
      <c r="E2944" s="113" t="str">
        <f t="shared" ca="1" si="230"/>
        <v>CRITICAL</v>
      </c>
      <c r="F2944" s="174"/>
      <c r="G2944" s="173" t="s">
        <v>382</v>
      </c>
      <c r="H2944" s="29" t="s">
        <v>2748</v>
      </c>
      <c r="I2944" s="160" t="s">
        <v>346</v>
      </c>
      <c r="J2944" s="173"/>
      <c r="K2944" s="174"/>
      <c r="L2944" s="172"/>
      <c r="M2944" s="172"/>
      <c r="N2944" s="174"/>
      <c r="O2944" s="176"/>
      <c r="P2944" s="175"/>
      <c r="Q2944" s="175"/>
      <c r="R2944" s="176"/>
      <c r="S2944" s="177">
        <v>366000000</v>
      </c>
      <c r="T2944" s="178"/>
      <c r="U2944" s="340">
        <v>45874</v>
      </c>
      <c r="V2944" s="340">
        <v>46238</v>
      </c>
      <c r="W2944" s="27" t="s">
        <v>17</v>
      </c>
      <c r="X2944" s="172"/>
      <c r="Y2944" s="34">
        <f t="shared" ca="1" si="231"/>
        <v>46290</v>
      </c>
      <c r="Z2944" s="35">
        <f t="shared" ca="1" si="233"/>
        <v>-52</v>
      </c>
      <c r="AA2944" s="27">
        <f t="shared" si="232"/>
        <v>8</v>
      </c>
      <c r="AB2944" s="27">
        <f t="shared" si="228"/>
        <v>2026</v>
      </c>
      <c r="AC2944" s="173" t="s">
        <v>12505</v>
      </c>
      <c r="AD2944" s="173" t="s">
        <v>12506</v>
      </c>
      <c r="AE2944" s="172">
        <v>4500027606</v>
      </c>
      <c r="AF2944" s="201" t="s">
        <v>339</v>
      </c>
      <c r="AG2944" s="174"/>
      <c r="AH2944" s="160"/>
      <c r="AI2944" s="172"/>
      <c r="AJ2944" s="172"/>
      <c r="AK2944" s="172"/>
      <c r="AL2944" s="172"/>
      <c r="AM2944" s="172"/>
      <c r="AN2944" s="172"/>
      <c r="AO2944" s="172"/>
      <c r="AP2944" s="172"/>
      <c r="AQ2944" s="172"/>
      <c r="AR2944" s="479"/>
      <c r="AS2944" s="461">
        <v>35</v>
      </c>
      <c r="AT2944" s="174"/>
    </row>
    <row r="2945" spans="1:46" ht="15" hidden="1" customHeight="1">
      <c r="A2945" s="220">
        <v>2939</v>
      </c>
      <c r="B2945" s="173" t="s">
        <v>645</v>
      </c>
      <c r="C2945" s="173" t="s">
        <v>421</v>
      </c>
      <c r="D2945" s="434" t="s">
        <v>10435</v>
      </c>
      <c r="E2945" s="113" t="str">
        <f t="shared" ca="1" si="230"/>
        <v>ON TRACK</v>
      </c>
      <c r="F2945" s="174"/>
      <c r="G2945" s="173" t="s">
        <v>10436</v>
      </c>
      <c r="H2945" s="160" t="s">
        <v>2748</v>
      </c>
      <c r="I2945" s="29" t="s">
        <v>346</v>
      </c>
      <c r="J2945" s="173"/>
      <c r="K2945" s="180" t="s">
        <v>12507</v>
      </c>
      <c r="L2945" s="172"/>
      <c r="M2945" s="172" t="s">
        <v>365</v>
      </c>
      <c r="N2945" s="158" t="s">
        <v>6885</v>
      </c>
      <c r="O2945" s="176"/>
      <c r="P2945" s="175">
        <f>1500000*12</f>
        <v>18000000</v>
      </c>
      <c r="Q2945" s="175"/>
      <c r="R2945" s="176"/>
      <c r="S2945" s="177">
        <v>2100000</v>
      </c>
      <c r="T2945" s="178"/>
      <c r="U2945" s="340">
        <v>46030</v>
      </c>
      <c r="V2945" s="340">
        <v>46394</v>
      </c>
      <c r="W2945" s="27" t="s">
        <v>17</v>
      </c>
      <c r="X2945" s="172"/>
      <c r="Y2945" s="34">
        <f t="shared" ca="1" si="231"/>
        <v>46290</v>
      </c>
      <c r="Z2945" s="35">
        <f t="shared" ca="1" si="233"/>
        <v>104</v>
      </c>
      <c r="AA2945" s="158">
        <f t="shared" si="232"/>
        <v>1</v>
      </c>
      <c r="AB2945" s="158">
        <f t="shared" si="228"/>
        <v>2027</v>
      </c>
      <c r="AC2945" s="173" t="s">
        <v>12508</v>
      </c>
      <c r="AD2945" s="173" t="s">
        <v>12509</v>
      </c>
      <c r="AE2945" s="172">
        <v>4500027527</v>
      </c>
      <c r="AF2945" s="179" t="s">
        <v>339</v>
      </c>
      <c r="AG2945" s="174"/>
      <c r="AH2945" s="160"/>
      <c r="AI2945" s="172"/>
      <c r="AJ2945" s="172"/>
      <c r="AK2945" s="172"/>
      <c r="AL2945" s="172"/>
      <c r="AM2945" s="172"/>
      <c r="AN2945" s="172"/>
      <c r="AO2945" s="172"/>
      <c r="AP2945" s="172"/>
      <c r="AQ2945" s="172"/>
      <c r="AR2945" s="479"/>
      <c r="AS2945" s="461">
        <v>39</v>
      </c>
      <c r="AT2945" s="174"/>
    </row>
    <row r="2946" spans="1:46" ht="15" hidden="1" customHeight="1">
      <c r="A2946" s="220">
        <v>2940</v>
      </c>
      <c r="B2946" s="173" t="s">
        <v>221</v>
      </c>
      <c r="C2946" s="173" t="s">
        <v>393</v>
      </c>
      <c r="D2946" s="496" t="s">
        <v>369</v>
      </c>
      <c r="E2946" s="113" t="str">
        <f t="shared" ca="1" si="230"/>
        <v>ON TRACK</v>
      </c>
      <c r="F2946" s="174"/>
      <c r="G2946" s="173" t="s">
        <v>394</v>
      </c>
      <c r="H2946" s="160" t="s">
        <v>2748</v>
      </c>
      <c r="I2946" s="160" t="s">
        <v>242</v>
      </c>
      <c r="J2946" s="454" t="s">
        <v>12510</v>
      </c>
      <c r="K2946" s="174"/>
      <c r="L2946" s="172"/>
      <c r="M2946" s="158" t="s">
        <v>365</v>
      </c>
      <c r="N2946" s="158" t="s">
        <v>396</v>
      </c>
      <c r="O2946" s="176"/>
      <c r="P2946" s="175">
        <f>13500000*12</f>
        <v>162000000</v>
      </c>
      <c r="Q2946" s="175"/>
      <c r="R2946" s="176"/>
      <c r="S2946" s="177">
        <v>7200000</v>
      </c>
      <c r="T2946" s="178"/>
      <c r="U2946" s="340">
        <v>46039</v>
      </c>
      <c r="V2946" s="340">
        <v>46403</v>
      </c>
      <c r="W2946" s="158" t="s">
        <v>17</v>
      </c>
      <c r="X2946" s="172"/>
      <c r="Y2946" s="34">
        <f t="shared" ca="1" si="231"/>
        <v>46290</v>
      </c>
      <c r="Z2946" s="35">
        <f t="shared" ca="1" si="233"/>
        <v>113</v>
      </c>
      <c r="AA2946" s="27">
        <f>MONTH(Table1[[#This Row],[End]])</f>
        <v>1</v>
      </c>
      <c r="AB2946" s="27">
        <f t="shared" si="228"/>
        <v>2027</v>
      </c>
      <c r="AC2946" s="173" t="s">
        <v>12511</v>
      </c>
      <c r="AD2946" s="182" t="s">
        <v>12512</v>
      </c>
      <c r="AE2946" s="172"/>
      <c r="AF2946" s="179" t="s">
        <v>339</v>
      </c>
      <c r="AG2946" s="174"/>
      <c r="AH2946" s="160"/>
      <c r="AI2946" s="172"/>
      <c r="AJ2946" s="172"/>
      <c r="AK2946" s="172"/>
      <c r="AL2946" s="172"/>
      <c r="AM2946" s="172"/>
      <c r="AN2946" s="172"/>
      <c r="AO2946" s="172"/>
      <c r="AP2946" s="172"/>
      <c r="AQ2946" s="172"/>
      <c r="AR2946" s="479"/>
      <c r="AS2946" s="461">
        <v>38</v>
      </c>
      <c r="AT2946" s="174"/>
    </row>
    <row r="2947" spans="1:46" ht="15" hidden="1" customHeight="1">
      <c r="A2947" s="220">
        <v>2941</v>
      </c>
      <c r="B2947" s="173" t="s">
        <v>12107</v>
      </c>
      <c r="C2947" s="461" t="s">
        <v>12513</v>
      </c>
      <c r="D2947" s="88" t="s">
        <v>12514</v>
      </c>
      <c r="E2947" s="476" t="str">
        <f t="shared" ca="1" si="230"/>
        <v>WARNING</v>
      </c>
      <c r="F2947" s="174"/>
      <c r="G2947" s="173" t="s">
        <v>12514</v>
      </c>
      <c r="H2947" s="160" t="s">
        <v>2748</v>
      </c>
      <c r="I2947" s="160" t="s">
        <v>242</v>
      </c>
      <c r="J2947" s="173"/>
      <c r="K2947" s="180" t="s">
        <v>12515</v>
      </c>
      <c r="L2947" s="172"/>
      <c r="M2947" s="158" t="s">
        <v>365</v>
      </c>
      <c r="N2947" s="174"/>
      <c r="O2947" s="176">
        <v>18000000</v>
      </c>
      <c r="P2947" s="175">
        <f>5000000*12</f>
        <v>60000000</v>
      </c>
      <c r="Q2947" s="175"/>
      <c r="R2947" s="176"/>
      <c r="S2947" s="177">
        <v>54000000</v>
      </c>
      <c r="T2947" s="178"/>
      <c r="U2947" s="340">
        <v>46027</v>
      </c>
      <c r="V2947" s="340">
        <v>46293</v>
      </c>
      <c r="W2947" s="158" t="s">
        <v>17</v>
      </c>
      <c r="X2947" s="172"/>
      <c r="Y2947" s="34">
        <f t="shared" ca="1" si="231"/>
        <v>46290</v>
      </c>
      <c r="Z2947" s="35">
        <f t="shared" ca="1" si="233"/>
        <v>3</v>
      </c>
      <c r="AA2947" s="27">
        <f>MONTH(Table1[[#This Row],[End]])</f>
        <v>9</v>
      </c>
      <c r="AB2947" s="27">
        <f t="shared" si="228"/>
        <v>2026</v>
      </c>
      <c r="AC2947" s="173" t="s">
        <v>3371</v>
      </c>
      <c r="AD2947" s="173" t="s">
        <v>12516</v>
      </c>
      <c r="AE2947" s="172">
        <v>4500025768</v>
      </c>
      <c r="AF2947" s="179" t="s">
        <v>339</v>
      </c>
      <c r="AG2947" s="174"/>
      <c r="AH2947" s="160"/>
      <c r="AI2947" s="172"/>
      <c r="AJ2947" s="172"/>
      <c r="AK2947" s="172"/>
      <c r="AL2947" s="172"/>
      <c r="AM2947" s="172"/>
      <c r="AN2947" s="172"/>
      <c r="AO2947" s="172"/>
      <c r="AP2947" s="172"/>
      <c r="AQ2947" s="172"/>
      <c r="AR2947" s="479"/>
      <c r="AS2947" s="461">
        <v>26</v>
      </c>
      <c r="AT2947" s="174"/>
    </row>
    <row r="2948" spans="1:46" ht="15" hidden="1" customHeight="1">
      <c r="A2948" s="220">
        <v>2942</v>
      </c>
      <c r="B2948" s="159" t="s">
        <v>10456</v>
      </c>
      <c r="C2948" s="173" t="s">
        <v>5625</v>
      </c>
      <c r="D2948" s="498" t="s">
        <v>5626</v>
      </c>
      <c r="E2948" s="113" t="str">
        <f t="shared" ca="1" si="230"/>
        <v>ON TRACK</v>
      </c>
      <c r="F2948" s="160" t="s">
        <v>10457</v>
      </c>
      <c r="G2948" s="159" t="s">
        <v>10458</v>
      </c>
      <c r="H2948" s="160" t="s">
        <v>2748</v>
      </c>
      <c r="I2948" s="160" t="s">
        <v>346</v>
      </c>
      <c r="J2948" s="173"/>
      <c r="K2948" s="218" t="s">
        <v>10459</v>
      </c>
      <c r="L2948" s="172"/>
      <c r="M2948" s="158" t="s">
        <v>329</v>
      </c>
      <c r="N2948" s="158" t="s">
        <v>10460</v>
      </c>
      <c r="O2948" s="176"/>
      <c r="P2948" s="161">
        <f>2800000*12</f>
        <v>33600000</v>
      </c>
      <c r="Q2948" s="175"/>
      <c r="R2948" s="176"/>
      <c r="S2948" s="163">
        <v>5000000</v>
      </c>
      <c r="T2948" s="178"/>
      <c r="U2948" s="334">
        <v>46419</v>
      </c>
      <c r="V2948" s="334">
        <v>46418</v>
      </c>
      <c r="W2948" s="27" t="s">
        <v>17</v>
      </c>
      <c r="X2948" s="172"/>
      <c r="Y2948" s="34">
        <f t="shared" ca="1" si="231"/>
        <v>46290</v>
      </c>
      <c r="Z2948" s="35">
        <f t="shared" ca="1" si="233"/>
        <v>128</v>
      </c>
      <c r="AA2948" s="27">
        <f t="shared" ref="AA2948:AA2953" si="234">MONTH(V2948)</f>
        <v>1</v>
      </c>
      <c r="AB2948" s="27">
        <f t="shared" si="228"/>
        <v>2027</v>
      </c>
      <c r="AC2948" s="159" t="s">
        <v>12517</v>
      </c>
      <c r="AD2948" s="173" t="s">
        <v>12518</v>
      </c>
      <c r="AE2948" s="172">
        <v>4500027607</v>
      </c>
      <c r="AF2948" s="27" t="s">
        <v>339</v>
      </c>
      <c r="AG2948" s="160" t="s">
        <v>12519</v>
      </c>
      <c r="AH2948" s="160"/>
      <c r="AI2948" s="172"/>
      <c r="AJ2948" s="172"/>
      <c r="AK2948" s="172"/>
      <c r="AL2948" s="172"/>
      <c r="AM2948" s="172"/>
      <c r="AN2948" s="172"/>
      <c r="AO2948" s="172"/>
      <c r="AP2948" s="172"/>
      <c r="AQ2948" s="172"/>
      <c r="AR2948" s="479"/>
      <c r="AS2948" s="461">
        <v>36</v>
      </c>
      <c r="AT2948" s="174"/>
    </row>
    <row r="2949" spans="1:46" ht="14.4" hidden="1">
      <c r="A2949" s="220">
        <v>2943</v>
      </c>
      <c r="B2949" s="173" t="s">
        <v>71</v>
      </c>
      <c r="C2949" s="461" t="s">
        <v>12520</v>
      </c>
      <c r="D2949" s="494" t="s">
        <v>490</v>
      </c>
      <c r="E2949" s="476" t="str">
        <f t="shared" ca="1" si="230"/>
        <v>ON TRACK</v>
      </c>
      <c r="F2949" s="160" t="s">
        <v>10394</v>
      </c>
      <c r="G2949" s="159" t="s">
        <v>10395</v>
      </c>
      <c r="H2949" s="160" t="s">
        <v>2748</v>
      </c>
      <c r="I2949" s="160" t="s">
        <v>242</v>
      </c>
      <c r="J2949" s="159" t="s">
        <v>10396</v>
      </c>
      <c r="K2949" s="219">
        <v>110120202305</v>
      </c>
      <c r="L2949" s="172"/>
      <c r="M2949" s="158" t="s">
        <v>365</v>
      </c>
      <c r="N2949" s="158" t="s">
        <v>6885</v>
      </c>
      <c r="O2949" s="176"/>
      <c r="P2949" s="161">
        <f>3250000*12</f>
        <v>39000000</v>
      </c>
      <c r="Q2949" s="175"/>
      <c r="R2949" s="176"/>
      <c r="S2949" s="163">
        <v>18000000</v>
      </c>
      <c r="T2949" s="178"/>
      <c r="U2949" s="334">
        <v>46100</v>
      </c>
      <c r="V2949" s="334">
        <v>46464</v>
      </c>
      <c r="W2949" s="27" t="s">
        <v>17</v>
      </c>
      <c r="X2949" s="172"/>
      <c r="Y2949" s="34">
        <f t="shared" ca="1" si="231"/>
        <v>46290</v>
      </c>
      <c r="Z2949" s="35">
        <f t="shared" ca="1" si="233"/>
        <v>174</v>
      </c>
      <c r="AA2949" s="27">
        <f t="shared" si="234"/>
        <v>3</v>
      </c>
      <c r="AB2949" s="27">
        <f t="shared" si="228"/>
        <v>2027</v>
      </c>
      <c r="AC2949" s="159" t="s">
        <v>12521</v>
      </c>
      <c r="AD2949" s="173" t="s">
        <v>12522</v>
      </c>
      <c r="AE2949" s="172">
        <v>4500027767</v>
      </c>
      <c r="AF2949" s="201" t="s">
        <v>333</v>
      </c>
      <c r="AG2949" s="174" t="s">
        <v>12021</v>
      </c>
      <c r="AH2949" s="160"/>
      <c r="AI2949" s="172"/>
      <c r="AJ2949" s="172"/>
      <c r="AK2949" s="172"/>
      <c r="AL2949" s="172"/>
      <c r="AM2949" s="172"/>
      <c r="AN2949" s="172"/>
      <c r="AO2949" s="172"/>
      <c r="AP2949" s="172"/>
      <c r="AQ2949" s="172"/>
      <c r="AR2949" s="479"/>
      <c r="AS2949" s="461">
        <v>53</v>
      </c>
      <c r="AT2949" s="174"/>
    </row>
    <row r="2950" spans="1:46" ht="15" hidden="1" customHeight="1">
      <c r="A2950" s="220">
        <v>2944</v>
      </c>
      <c r="B2950" s="173" t="s">
        <v>71</v>
      </c>
      <c r="C2950" s="173" t="s">
        <v>596</v>
      </c>
      <c r="D2950" s="487" t="s">
        <v>490</v>
      </c>
      <c r="E2950" s="113" t="str">
        <f t="shared" ca="1" si="230"/>
        <v>ON TRACK</v>
      </c>
      <c r="F2950" s="174" t="s">
        <v>10538</v>
      </c>
      <c r="G2950" s="173" t="s">
        <v>10539</v>
      </c>
      <c r="H2950" s="160" t="s">
        <v>2748</v>
      </c>
      <c r="I2950" s="160" t="s">
        <v>242</v>
      </c>
      <c r="J2950" s="454" t="s">
        <v>84</v>
      </c>
      <c r="K2950" s="174"/>
      <c r="L2950" s="172"/>
      <c r="M2950" s="158" t="s">
        <v>365</v>
      </c>
      <c r="N2950" s="158" t="s">
        <v>12523</v>
      </c>
      <c r="O2950" s="176"/>
      <c r="P2950" s="175">
        <f>5900000*12</f>
        <v>70800000</v>
      </c>
      <c r="Q2950" s="175"/>
      <c r="R2950" s="176"/>
      <c r="S2950" s="177">
        <v>18000000</v>
      </c>
      <c r="T2950" s="178"/>
      <c r="U2950" s="334">
        <v>46104</v>
      </c>
      <c r="V2950" s="334">
        <v>46468</v>
      </c>
      <c r="W2950" s="27" t="s">
        <v>17</v>
      </c>
      <c r="X2950" s="172"/>
      <c r="Y2950" s="34">
        <f t="shared" ca="1" si="231"/>
        <v>46290</v>
      </c>
      <c r="Z2950" s="35">
        <f t="shared" ca="1" si="233"/>
        <v>178</v>
      </c>
      <c r="AA2950" s="27">
        <f t="shared" si="234"/>
        <v>3</v>
      </c>
      <c r="AB2950" s="27">
        <f t="shared" si="228"/>
        <v>2027</v>
      </c>
      <c r="AC2950" s="159" t="s">
        <v>12524</v>
      </c>
      <c r="AD2950" s="173" t="s">
        <v>12525</v>
      </c>
      <c r="AE2950" s="172">
        <v>4500027768</v>
      </c>
      <c r="AF2950" s="201" t="s">
        <v>333</v>
      </c>
      <c r="AG2950" s="174" t="s">
        <v>12021</v>
      </c>
      <c r="AH2950" s="160"/>
      <c r="AI2950" s="172"/>
      <c r="AJ2950" s="172"/>
      <c r="AK2950" s="172"/>
      <c r="AL2950" s="172"/>
      <c r="AM2950" s="172"/>
      <c r="AN2950" s="172"/>
      <c r="AO2950" s="172"/>
      <c r="AP2950" s="172"/>
      <c r="AQ2950" s="172"/>
      <c r="AR2950" s="479"/>
      <c r="AS2950" s="461">
        <v>54</v>
      </c>
      <c r="AT2950" s="174"/>
    </row>
    <row r="2951" spans="1:46" ht="14.4" hidden="1">
      <c r="A2951" s="220">
        <v>2945</v>
      </c>
      <c r="B2951" s="173" t="s">
        <v>221</v>
      </c>
      <c r="C2951" s="173" t="s">
        <v>938</v>
      </c>
      <c r="D2951" s="437" t="s">
        <v>369</v>
      </c>
      <c r="E2951" s="113" t="str">
        <f t="shared" ca="1" si="230"/>
        <v>ON TRACK</v>
      </c>
      <c r="F2951" s="174" t="s">
        <v>10815</v>
      </c>
      <c r="G2951" s="173" t="s">
        <v>10816</v>
      </c>
      <c r="H2951" s="160" t="s">
        <v>2748</v>
      </c>
      <c r="I2951" s="160" t="s">
        <v>242</v>
      </c>
      <c r="J2951" s="454" t="s">
        <v>1919</v>
      </c>
      <c r="K2951" s="454" t="s">
        <v>12526</v>
      </c>
      <c r="L2951" s="172"/>
      <c r="M2951" s="158" t="s">
        <v>365</v>
      </c>
      <c r="N2951" s="158" t="s">
        <v>8808</v>
      </c>
      <c r="O2951" s="176"/>
      <c r="P2951" s="175">
        <f>16200000*12</f>
        <v>194400000</v>
      </c>
      <c r="Q2951" s="175"/>
      <c r="R2951" s="176"/>
      <c r="S2951" s="177">
        <v>6000000</v>
      </c>
      <c r="T2951" s="178"/>
      <c r="U2951" s="334">
        <v>46090</v>
      </c>
      <c r="V2951" s="334">
        <v>46454</v>
      </c>
      <c r="W2951" s="27" t="s">
        <v>17</v>
      </c>
      <c r="X2951" s="172"/>
      <c r="Y2951" s="34">
        <f t="shared" ca="1" si="231"/>
        <v>46290</v>
      </c>
      <c r="Z2951" s="35">
        <f t="shared" ca="1" si="233"/>
        <v>164</v>
      </c>
      <c r="AA2951" s="27">
        <f t="shared" si="234"/>
        <v>3</v>
      </c>
      <c r="AB2951" s="27">
        <f t="shared" si="228"/>
        <v>2027</v>
      </c>
      <c r="AC2951" s="159" t="s">
        <v>12527</v>
      </c>
      <c r="AD2951" s="173" t="s">
        <v>12528</v>
      </c>
      <c r="AE2951" s="172">
        <v>4500027770</v>
      </c>
      <c r="AF2951" s="201" t="s">
        <v>333</v>
      </c>
      <c r="AG2951" s="174" t="s">
        <v>12529</v>
      </c>
      <c r="AH2951" s="160"/>
      <c r="AI2951" s="172"/>
      <c r="AJ2951" s="172"/>
      <c r="AK2951" s="172"/>
      <c r="AL2951" s="172"/>
      <c r="AM2951" s="172"/>
      <c r="AN2951" s="172"/>
      <c r="AO2951" s="172"/>
      <c r="AP2951" s="172"/>
      <c r="AQ2951" s="172"/>
      <c r="AR2951" s="479"/>
      <c r="AS2951" s="461">
        <v>55</v>
      </c>
      <c r="AT2951" s="174"/>
    </row>
    <row r="2952" spans="1:46" ht="14.4" hidden="1">
      <c r="A2952" s="220">
        <v>2946</v>
      </c>
      <c r="B2952" s="173" t="s">
        <v>221</v>
      </c>
      <c r="C2952" s="173" t="s">
        <v>8875</v>
      </c>
      <c r="D2952" s="437" t="s">
        <v>369</v>
      </c>
      <c r="E2952" s="113" t="str">
        <f t="shared" ca="1" si="230"/>
        <v>ON TRACK</v>
      </c>
      <c r="F2952" s="174"/>
      <c r="G2952" s="173" t="s">
        <v>10792</v>
      </c>
      <c r="H2952" s="160" t="s">
        <v>2748</v>
      </c>
      <c r="I2952" s="160" t="s">
        <v>242</v>
      </c>
      <c r="J2952" s="454" t="s">
        <v>223</v>
      </c>
      <c r="K2952" s="174"/>
      <c r="L2952" s="172"/>
      <c r="M2952" s="158" t="s">
        <v>365</v>
      </c>
      <c r="N2952" s="158" t="s">
        <v>12523</v>
      </c>
      <c r="O2952" s="176"/>
      <c r="P2952" s="175">
        <f>5000000*12</f>
        <v>60000000</v>
      </c>
      <c r="Q2952" s="175"/>
      <c r="R2952" s="176"/>
      <c r="S2952" s="177">
        <v>6000000</v>
      </c>
      <c r="T2952" s="178"/>
      <c r="U2952" s="334">
        <v>46116</v>
      </c>
      <c r="V2952" s="334">
        <v>46480</v>
      </c>
      <c r="W2952" s="27" t="s">
        <v>17</v>
      </c>
      <c r="X2952" s="172"/>
      <c r="Y2952" s="34">
        <f t="shared" ca="1" si="231"/>
        <v>46290</v>
      </c>
      <c r="Z2952" s="35">
        <f t="shared" ca="1" si="233"/>
        <v>190</v>
      </c>
      <c r="AA2952" s="27">
        <f t="shared" si="234"/>
        <v>4</v>
      </c>
      <c r="AB2952" s="27">
        <f t="shared" si="228"/>
        <v>2027</v>
      </c>
      <c r="AC2952" s="159" t="s">
        <v>12530</v>
      </c>
      <c r="AD2952" s="173" t="s">
        <v>12531</v>
      </c>
      <c r="AE2952" s="172">
        <v>4500027769</v>
      </c>
      <c r="AF2952" s="201" t="s">
        <v>333</v>
      </c>
      <c r="AG2952" s="174" t="s">
        <v>12529</v>
      </c>
      <c r="AH2952" s="160"/>
      <c r="AI2952" s="172"/>
      <c r="AJ2952" s="172"/>
      <c r="AK2952" s="172"/>
      <c r="AL2952" s="172"/>
      <c r="AM2952" s="172"/>
      <c r="AN2952" s="172"/>
      <c r="AO2952" s="172"/>
      <c r="AP2952" s="172"/>
      <c r="AQ2952" s="172"/>
      <c r="AR2952" s="479"/>
      <c r="AS2952" s="461">
        <v>56</v>
      </c>
      <c r="AT2952" s="174"/>
    </row>
    <row r="2953" spans="1:46" ht="15" hidden="1" customHeight="1">
      <c r="A2953" s="220">
        <v>2947</v>
      </c>
      <c r="B2953" s="173" t="s">
        <v>1537</v>
      </c>
      <c r="C2953" s="182" t="s">
        <v>10488</v>
      </c>
      <c r="D2953" s="437" t="s">
        <v>10489</v>
      </c>
      <c r="E2953" s="113" t="str">
        <f t="shared" ca="1" si="230"/>
        <v>ON TRACK</v>
      </c>
      <c r="F2953" s="174"/>
      <c r="G2953" s="159" t="s">
        <v>10490</v>
      </c>
      <c r="H2953" s="160" t="s">
        <v>2748</v>
      </c>
      <c r="I2953" s="160" t="s">
        <v>346</v>
      </c>
      <c r="J2953" s="216" t="s">
        <v>10491</v>
      </c>
      <c r="K2953" s="174"/>
      <c r="L2953" s="172"/>
      <c r="M2953" s="190" t="s">
        <v>365</v>
      </c>
      <c r="N2953" s="174"/>
      <c r="O2953" s="176"/>
      <c r="P2953" s="161">
        <f>23640400*12</f>
        <v>283684800</v>
      </c>
      <c r="Q2953" s="175"/>
      <c r="R2953" s="176"/>
      <c r="S2953" s="163">
        <v>125000000</v>
      </c>
      <c r="T2953" s="178"/>
      <c r="U2953" s="334">
        <v>46111</v>
      </c>
      <c r="V2953" s="334">
        <v>46475</v>
      </c>
      <c r="W2953" s="27" t="s">
        <v>17</v>
      </c>
      <c r="X2953" s="172"/>
      <c r="Y2953" s="34">
        <f t="shared" ca="1" si="231"/>
        <v>46290</v>
      </c>
      <c r="Z2953" s="35">
        <f t="shared" ca="1" si="233"/>
        <v>185</v>
      </c>
      <c r="AA2953" s="27">
        <f t="shared" si="234"/>
        <v>3</v>
      </c>
      <c r="AB2953" s="27">
        <f t="shared" si="228"/>
        <v>2027</v>
      </c>
      <c r="AC2953" s="159" t="s">
        <v>12532</v>
      </c>
      <c r="AD2953" s="173" t="s">
        <v>12533</v>
      </c>
      <c r="AE2953" s="172">
        <v>4500027771</v>
      </c>
      <c r="AF2953" s="201" t="s">
        <v>333</v>
      </c>
      <c r="AG2953" s="160" t="s">
        <v>4359</v>
      </c>
      <c r="AH2953" s="160"/>
      <c r="AI2953" s="172"/>
      <c r="AJ2953" s="172"/>
      <c r="AK2953" s="172"/>
      <c r="AL2953" s="172"/>
      <c r="AM2953" s="172"/>
      <c r="AN2953" s="172"/>
      <c r="AO2953" s="172"/>
      <c r="AP2953" s="172"/>
      <c r="AQ2953" s="172"/>
      <c r="AR2953" s="479"/>
      <c r="AS2953" s="461">
        <v>51</v>
      </c>
      <c r="AT2953" s="174"/>
    </row>
    <row r="2954" spans="1:46" ht="14.4" hidden="1">
      <c r="A2954" s="220">
        <v>2948</v>
      </c>
      <c r="B2954" s="173" t="s">
        <v>37</v>
      </c>
      <c r="C2954" s="173" t="s">
        <v>1764</v>
      </c>
      <c r="D2954" s="438" t="s">
        <v>11028</v>
      </c>
      <c r="E2954" s="113" t="str">
        <f t="shared" ca="1" si="230"/>
        <v>ON TRACK</v>
      </c>
      <c r="F2954" s="160" t="s">
        <v>11029</v>
      </c>
      <c r="G2954" s="159" t="s">
        <v>11030</v>
      </c>
      <c r="H2954" s="160" t="s">
        <v>2748</v>
      </c>
      <c r="I2954" s="160" t="s">
        <v>242</v>
      </c>
      <c r="J2954" s="454" t="s">
        <v>1921</v>
      </c>
      <c r="K2954" s="219"/>
      <c r="L2954" s="172"/>
      <c r="M2954" s="172" t="s">
        <v>329</v>
      </c>
      <c r="N2954" s="172" t="s">
        <v>417</v>
      </c>
      <c r="O2954" s="176"/>
      <c r="P2954" s="175">
        <f>14000000*12</f>
        <v>168000000</v>
      </c>
      <c r="Q2954" s="175"/>
      <c r="R2954" s="176"/>
      <c r="S2954" s="177">
        <v>21000000</v>
      </c>
      <c r="T2954" s="178"/>
      <c r="U2954" s="340">
        <v>46134</v>
      </c>
      <c r="V2954" s="340">
        <v>46498</v>
      </c>
      <c r="W2954" s="27" t="s">
        <v>17</v>
      </c>
      <c r="X2954" s="172"/>
      <c r="Y2954" s="164">
        <f t="shared" ca="1" si="231"/>
        <v>46290</v>
      </c>
      <c r="Z2954" s="35">
        <f t="shared" ca="1" si="233"/>
        <v>208</v>
      </c>
      <c r="AA2954" s="158">
        <f>MONTH(Table1[[#This Row],[End]])</f>
        <v>4</v>
      </c>
      <c r="AB2954" s="158">
        <f>YEAR(Table1[[#This Row],[End]])</f>
        <v>2027</v>
      </c>
      <c r="AC2954" s="159" t="s">
        <v>12534</v>
      </c>
      <c r="AD2954" s="173" t="s">
        <v>12535</v>
      </c>
      <c r="AE2954" s="172">
        <v>4500027775</v>
      </c>
      <c r="AF2954" s="158" t="s">
        <v>333</v>
      </c>
      <c r="AG2954" s="160" t="s">
        <v>1923</v>
      </c>
      <c r="AH2954" s="160"/>
      <c r="AI2954" s="172"/>
      <c r="AJ2954" s="172"/>
      <c r="AK2954" s="172"/>
      <c r="AL2954" s="172"/>
      <c r="AM2954" s="172"/>
      <c r="AN2954" s="172"/>
      <c r="AO2954" s="172"/>
      <c r="AP2954" s="172"/>
      <c r="AQ2954" s="172"/>
      <c r="AR2954" s="479">
        <v>52</v>
      </c>
      <c r="AS2954" s="461"/>
      <c r="AT2954" s="174"/>
    </row>
    <row r="2955" spans="1:46" ht="14.4" hidden="1">
      <c r="A2955" s="220">
        <v>2949</v>
      </c>
      <c r="B2955" s="173" t="s">
        <v>154</v>
      </c>
      <c r="C2955" s="28" t="s">
        <v>9226</v>
      </c>
      <c r="D2955" s="438" t="s">
        <v>9227</v>
      </c>
      <c r="E2955" s="113" t="str">
        <f t="shared" ca="1" si="230"/>
        <v>CRITICAL</v>
      </c>
      <c r="F2955" s="29" t="s">
        <v>12536</v>
      </c>
      <c r="G2955" s="29" t="s">
        <v>12536</v>
      </c>
      <c r="H2955" s="29" t="s">
        <v>2748</v>
      </c>
      <c r="I2955" s="29" t="s">
        <v>346</v>
      </c>
      <c r="J2955" s="28" t="s">
        <v>9230</v>
      </c>
      <c r="K2955" s="174"/>
      <c r="L2955" s="172"/>
      <c r="M2955" s="158" t="s">
        <v>7267</v>
      </c>
      <c r="N2955" s="174"/>
      <c r="O2955" s="176"/>
      <c r="P2955" s="175">
        <f>74000000*12</f>
        <v>888000000</v>
      </c>
      <c r="Q2955" s="175"/>
      <c r="R2955" s="176"/>
      <c r="S2955" s="177">
        <v>24000000</v>
      </c>
      <c r="T2955" s="178"/>
      <c r="U2955" s="334">
        <v>45899</v>
      </c>
      <c r="V2955" s="334">
        <v>46264</v>
      </c>
      <c r="W2955" s="27" t="s">
        <v>17</v>
      </c>
      <c r="X2955" s="172"/>
      <c r="Y2955" s="34">
        <f t="shared" ca="1" si="231"/>
        <v>46290</v>
      </c>
      <c r="Z2955" s="35">
        <f t="shared" ca="1" si="233"/>
        <v>-26</v>
      </c>
      <c r="AA2955" s="27">
        <f>MONTH(Table1[[#This Row],[End]])</f>
        <v>8</v>
      </c>
      <c r="AB2955" s="158">
        <f>YEAR(Table1[[#This Row],[End]])</f>
        <v>2026</v>
      </c>
      <c r="AC2955" s="28" t="s">
        <v>12537</v>
      </c>
      <c r="AD2955" s="173" t="s">
        <v>12538</v>
      </c>
      <c r="AE2955" s="172">
        <v>4500027776</v>
      </c>
      <c r="AF2955" s="201" t="s">
        <v>333</v>
      </c>
      <c r="AG2955" s="29" t="s">
        <v>8975</v>
      </c>
      <c r="AH2955" s="160"/>
      <c r="AI2955" s="172"/>
      <c r="AJ2955" s="172"/>
      <c r="AK2955" s="172"/>
      <c r="AL2955" s="172"/>
      <c r="AM2955" s="172"/>
      <c r="AN2955" s="172"/>
      <c r="AO2955" s="172"/>
      <c r="AP2955" s="172"/>
      <c r="AQ2955" s="479">
        <v>464</v>
      </c>
      <c r="AR2955" s="479"/>
      <c r="AS2955" s="461"/>
      <c r="AT2955" s="174"/>
    </row>
    <row r="2956" spans="1:46" ht="15" hidden="1" customHeight="1">
      <c r="A2956" s="220">
        <v>2950</v>
      </c>
      <c r="B2956" s="173" t="s">
        <v>12539</v>
      </c>
      <c r="C2956" s="173" t="s">
        <v>2712</v>
      </c>
      <c r="D2956" s="434" t="s">
        <v>12540</v>
      </c>
      <c r="E2956" s="113" t="str">
        <f t="shared" ca="1" si="230"/>
        <v>ON TRACK</v>
      </c>
      <c r="F2956" s="174"/>
      <c r="G2956" s="173" t="s">
        <v>12541</v>
      </c>
      <c r="H2956" s="29" t="s">
        <v>2748</v>
      </c>
      <c r="I2956" s="174" t="s">
        <v>346</v>
      </c>
      <c r="J2956" s="173" t="s">
        <v>12542</v>
      </c>
      <c r="K2956" s="174"/>
      <c r="L2956" s="172"/>
      <c r="M2956" s="172" t="s">
        <v>7267</v>
      </c>
      <c r="N2956" s="172" t="s">
        <v>417</v>
      </c>
      <c r="O2956" s="176"/>
      <c r="P2956" s="175">
        <v>39960000</v>
      </c>
      <c r="Q2956" s="175"/>
      <c r="R2956" s="176"/>
      <c r="S2956" s="177">
        <v>20000000</v>
      </c>
      <c r="T2956" s="178"/>
      <c r="U2956" s="347" t="s">
        <v>12543</v>
      </c>
      <c r="V2956" s="347">
        <v>46446</v>
      </c>
      <c r="W2956" s="27" t="s">
        <v>17</v>
      </c>
      <c r="X2956" s="172"/>
      <c r="Y2956" s="178">
        <f t="shared" ca="1" si="231"/>
        <v>46290</v>
      </c>
      <c r="Z2956" s="35">
        <f t="shared" ca="1" si="233"/>
        <v>156</v>
      </c>
      <c r="AA2956" s="27">
        <f>MONTH(Table1[[#This Row],[End]])</f>
        <v>2</v>
      </c>
      <c r="AB2956" s="27">
        <f t="shared" ref="AB2956:AB2962" si="235">YEAR(V2956)</f>
        <v>2027</v>
      </c>
      <c r="AC2956" s="173" t="s">
        <v>479</v>
      </c>
      <c r="AD2956" s="173" t="s">
        <v>12544</v>
      </c>
      <c r="AE2956" s="172">
        <v>4500027433</v>
      </c>
      <c r="AF2956" s="179" t="s">
        <v>333</v>
      </c>
      <c r="AG2956" s="174"/>
      <c r="AH2956" s="160"/>
      <c r="AI2956" s="172"/>
      <c r="AJ2956" s="172"/>
      <c r="AK2956" s="172"/>
      <c r="AL2956" s="172"/>
      <c r="AM2956" s="172"/>
      <c r="AN2956" s="172"/>
      <c r="AO2956" s="172"/>
      <c r="AP2956" s="172"/>
      <c r="AQ2956" s="172"/>
      <c r="AR2956" s="479"/>
      <c r="AS2956" s="461">
        <v>25</v>
      </c>
      <c r="AT2956" s="174"/>
    </row>
    <row r="2957" spans="1:46" ht="15" hidden="1" customHeight="1">
      <c r="A2957" s="220">
        <v>2951</v>
      </c>
      <c r="B2957" s="173" t="s">
        <v>6396</v>
      </c>
      <c r="C2957" s="173" t="s">
        <v>10865</v>
      </c>
      <c r="D2957" s="434" t="s">
        <v>12545</v>
      </c>
      <c r="E2957" s="113" t="str">
        <f t="shared" ca="1" si="230"/>
        <v>ON TRACK</v>
      </c>
      <c r="F2957" s="456" t="s">
        <v>12546</v>
      </c>
      <c r="G2957" s="425" t="s">
        <v>12547</v>
      </c>
      <c r="H2957" s="29" t="s">
        <v>2748</v>
      </c>
      <c r="I2957" s="174" t="s">
        <v>346</v>
      </c>
      <c r="J2957" s="173" t="s">
        <v>12548</v>
      </c>
      <c r="K2957" s="174"/>
      <c r="L2957" s="172"/>
      <c r="M2957" s="172" t="s">
        <v>7267</v>
      </c>
      <c r="N2957" s="172" t="s">
        <v>6735</v>
      </c>
      <c r="O2957" s="176"/>
      <c r="P2957" s="175">
        <v>52800000</v>
      </c>
      <c r="Q2957" s="175"/>
      <c r="R2957" s="176"/>
      <c r="S2957" s="177">
        <v>1120272</v>
      </c>
      <c r="T2957" s="178"/>
      <c r="U2957" s="347">
        <v>46023</v>
      </c>
      <c r="V2957" s="347">
        <v>46387</v>
      </c>
      <c r="W2957" s="27" t="s">
        <v>17</v>
      </c>
      <c r="X2957" s="172"/>
      <c r="Y2957" s="178">
        <f t="shared" ca="1" si="231"/>
        <v>46290</v>
      </c>
      <c r="Z2957" s="35">
        <f t="shared" ca="1" si="233"/>
        <v>97</v>
      </c>
      <c r="AA2957" s="27">
        <f>MONTH(Table1[[#This Row],[End]])</f>
        <v>12</v>
      </c>
      <c r="AB2957" s="27">
        <f t="shared" si="235"/>
        <v>2026</v>
      </c>
      <c r="AC2957" s="173"/>
      <c r="AD2957" s="173" t="s">
        <v>12549</v>
      </c>
      <c r="AE2957" s="172">
        <v>4500027788</v>
      </c>
      <c r="AF2957" s="179" t="s">
        <v>339</v>
      </c>
      <c r="AG2957" s="174"/>
      <c r="AH2957" s="160"/>
      <c r="AI2957" s="172"/>
      <c r="AJ2957" s="172"/>
      <c r="AK2957" s="172"/>
      <c r="AL2957" s="172"/>
      <c r="AM2957" s="172"/>
      <c r="AN2957" s="172"/>
      <c r="AO2957" s="172"/>
      <c r="AP2957" s="172"/>
      <c r="AQ2957" s="172"/>
      <c r="AR2957" s="479"/>
      <c r="AS2957" s="461">
        <v>59</v>
      </c>
      <c r="AT2957" s="174"/>
    </row>
    <row r="2958" spans="1:46" ht="15" hidden="1" customHeight="1">
      <c r="A2958" s="220">
        <v>2952</v>
      </c>
      <c r="B2958" s="173" t="s">
        <v>154</v>
      </c>
      <c r="C2958" s="173" t="s">
        <v>2741</v>
      </c>
      <c r="D2958" s="438" t="s">
        <v>9227</v>
      </c>
      <c r="E2958" s="113" t="str">
        <f t="shared" ca="1" si="230"/>
        <v>ON TRACK</v>
      </c>
      <c r="F2958" s="480" t="s">
        <v>12550</v>
      </c>
      <c r="G2958" s="173" t="s">
        <v>12551</v>
      </c>
      <c r="H2958" s="29" t="s">
        <v>2748</v>
      </c>
      <c r="I2958" s="174" t="s">
        <v>346</v>
      </c>
      <c r="J2958" s="173" t="s">
        <v>12552</v>
      </c>
      <c r="K2958" s="174"/>
      <c r="L2958" s="172"/>
      <c r="M2958" s="172" t="s">
        <v>7267</v>
      </c>
      <c r="N2958" s="172" t="s">
        <v>362</v>
      </c>
      <c r="O2958" s="176"/>
      <c r="P2958" s="175">
        <v>378000000</v>
      </c>
      <c r="Q2958" s="175"/>
      <c r="R2958" s="176"/>
      <c r="S2958" s="177">
        <v>78000000</v>
      </c>
      <c r="T2958" s="178"/>
      <c r="U2958" s="347">
        <v>45992</v>
      </c>
      <c r="V2958" s="347">
        <v>46356</v>
      </c>
      <c r="W2958" s="27" t="s">
        <v>17</v>
      </c>
      <c r="X2958" s="172"/>
      <c r="Y2958" s="178">
        <f t="shared" ca="1" si="231"/>
        <v>46290</v>
      </c>
      <c r="Z2958" s="35">
        <f t="shared" ca="1" si="233"/>
        <v>66</v>
      </c>
      <c r="AA2958" s="27">
        <f>MONTH(Table1[[#This Row],[End]])</f>
        <v>11</v>
      </c>
      <c r="AB2958" s="27">
        <f t="shared" si="235"/>
        <v>2026</v>
      </c>
      <c r="AC2958" s="173"/>
      <c r="AD2958" s="173" t="s">
        <v>12553</v>
      </c>
      <c r="AE2958" s="172">
        <v>4500027781</v>
      </c>
      <c r="AF2958" s="179" t="s">
        <v>339</v>
      </c>
      <c r="AG2958" s="29" t="s">
        <v>8975</v>
      </c>
      <c r="AH2958" s="160"/>
      <c r="AI2958" s="172"/>
      <c r="AJ2958" s="172"/>
      <c r="AK2958" s="172"/>
      <c r="AL2958" s="172"/>
      <c r="AM2958" s="172"/>
      <c r="AN2958" s="172"/>
      <c r="AO2958" s="172"/>
      <c r="AP2958" s="172"/>
      <c r="AQ2958" s="172"/>
      <c r="AR2958" s="479"/>
      <c r="AS2958" s="461"/>
      <c r="AT2958" s="174"/>
    </row>
    <row r="2959" spans="1:46" ht="15" hidden="1" customHeight="1">
      <c r="A2959" s="220">
        <v>2953</v>
      </c>
      <c r="B2959" s="159" t="s">
        <v>2615</v>
      </c>
      <c r="C2959" s="159" t="s">
        <v>10882</v>
      </c>
      <c r="D2959" s="429" t="s">
        <v>6750</v>
      </c>
      <c r="E2959" s="28" t="str">
        <f t="shared" ca="1" si="230"/>
        <v>ON TRACK</v>
      </c>
      <c r="F2959" s="221" t="s">
        <v>12554</v>
      </c>
      <c r="G2959" s="221" t="s">
        <v>12555</v>
      </c>
      <c r="H2959" s="160" t="s">
        <v>261</v>
      </c>
      <c r="I2959" s="160" t="s">
        <v>243</v>
      </c>
      <c r="J2959" s="159" t="s">
        <v>10884</v>
      </c>
      <c r="K2959" s="181" t="s">
        <v>10885</v>
      </c>
      <c r="L2959" s="158"/>
      <c r="M2959" s="158" t="s">
        <v>7267</v>
      </c>
      <c r="N2959" s="158" t="s">
        <v>389</v>
      </c>
      <c r="O2959" s="162"/>
      <c r="P2959" s="161">
        <f>12*18018018</f>
        <v>216216216</v>
      </c>
      <c r="Q2959" s="161"/>
      <c r="R2959" s="162"/>
      <c r="S2959" s="163">
        <f>12*4500000</f>
        <v>54000000</v>
      </c>
      <c r="T2959" s="164"/>
      <c r="U2959" s="340">
        <v>46095</v>
      </c>
      <c r="V2959" s="340">
        <v>46459</v>
      </c>
      <c r="W2959" s="27" t="s">
        <v>17</v>
      </c>
      <c r="X2959" s="158"/>
      <c r="Y2959" s="164">
        <f t="shared" ca="1" si="231"/>
        <v>46290</v>
      </c>
      <c r="Z2959" s="35">
        <f t="shared" ca="1" si="233"/>
        <v>169</v>
      </c>
      <c r="AA2959" s="27">
        <f>MONTH(Table1[[#This Row],[End]])</f>
        <v>3</v>
      </c>
      <c r="AB2959" s="27">
        <f t="shared" si="235"/>
        <v>2027</v>
      </c>
      <c r="AC2959" s="429" t="s">
        <v>10887</v>
      </c>
      <c r="AD2959" s="159" t="s">
        <v>12556</v>
      </c>
      <c r="AE2959" s="158">
        <v>4500027740</v>
      </c>
      <c r="AF2959" s="201" t="s">
        <v>8995</v>
      </c>
      <c r="AG2959" s="29" t="s">
        <v>8837</v>
      </c>
      <c r="AH2959" s="160"/>
      <c r="AI2959" s="158"/>
      <c r="AJ2959" s="158"/>
      <c r="AK2959" s="158"/>
      <c r="AL2959" s="158"/>
      <c r="AM2959" s="158"/>
      <c r="AN2959" s="158"/>
      <c r="AO2959" s="158"/>
      <c r="AP2959" s="158"/>
      <c r="AQ2959" s="158"/>
      <c r="AR2959" s="507">
        <v>61</v>
      </c>
      <c r="AS2959" s="475"/>
      <c r="AT2959" s="160"/>
    </row>
    <row r="2960" spans="1:46" ht="15" hidden="1" customHeight="1">
      <c r="A2960" s="220">
        <v>2954</v>
      </c>
      <c r="B2960" s="159" t="s">
        <v>628</v>
      </c>
      <c r="C2960" s="159" t="s">
        <v>7639</v>
      </c>
      <c r="D2960" s="429" t="s">
        <v>7640</v>
      </c>
      <c r="E2960" s="28" t="str">
        <f t="shared" ca="1" si="230"/>
        <v>ON TRACK</v>
      </c>
      <c r="F2960" s="160" t="s">
        <v>12557</v>
      </c>
      <c r="G2960" s="159" t="s">
        <v>12558</v>
      </c>
      <c r="H2960" s="160" t="s">
        <v>261</v>
      </c>
      <c r="I2960" s="160" t="s">
        <v>243</v>
      </c>
      <c r="J2960" s="159" t="s">
        <v>7643</v>
      </c>
      <c r="K2960" s="294">
        <v>1000318708</v>
      </c>
      <c r="L2960" s="150">
        <v>0.995</v>
      </c>
      <c r="M2960" s="158" t="s">
        <v>329</v>
      </c>
      <c r="N2960" s="158" t="s">
        <v>4750</v>
      </c>
      <c r="O2960" s="162"/>
      <c r="P2960" s="161">
        <f>6336900*12</f>
        <v>76042800</v>
      </c>
      <c r="Q2960" s="161"/>
      <c r="R2960" s="162"/>
      <c r="S2960" s="163">
        <f>12*2786400</f>
        <v>33436800</v>
      </c>
      <c r="T2960" s="164"/>
      <c r="U2960" s="340">
        <v>46049</v>
      </c>
      <c r="V2960" s="340">
        <v>46413</v>
      </c>
      <c r="W2960" s="27" t="s">
        <v>17</v>
      </c>
      <c r="X2960" s="158"/>
      <c r="Y2960" s="164">
        <f t="shared" ca="1" si="231"/>
        <v>46290</v>
      </c>
      <c r="Z2960" s="35">
        <f t="shared" ca="1" si="233"/>
        <v>123</v>
      </c>
      <c r="AA2960" s="27">
        <f>MONTH(Table1[[#This Row],[End]])</f>
        <v>1</v>
      </c>
      <c r="AB2960" s="27">
        <f t="shared" si="235"/>
        <v>2027</v>
      </c>
      <c r="AC2960" s="159" t="s">
        <v>10297</v>
      </c>
      <c r="AD2960" s="159" t="s">
        <v>12559</v>
      </c>
      <c r="AE2960" s="158">
        <v>4500027660</v>
      </c>
      <c r="AF2960" s="201" t="s">
        <v>8995</v>
      </c>
      <c r="AG2960" s="160" t="s">
        <v>633</v>
      </c>
      <c r="AH2960" s="160"/>
      <c r="AI2960" s="158"/>
      <c r="AJ2960" s="158"/>
      <c r="AK2960" s="158"/>
      <c r="AL2960" s="158"/>
      <c r="AM2960" s="158"/>
      <c r="AN2960" s="158"/>
      <c r="AO2960" s="158"/>
      <c r="AP2960" s="158"/>
      <c r="AQ2960" s="158"/>
      <c r="AR2960" s="507">
        <v>60</v>
      </c>
      <c r="AS2960" s="475"/>
      <c r="AT2960" s="160"/>
    </row>
    <row r="2961" spans="1:46" ht="15" hidden="1" customHeight="1">
      <c r="A2961" s="220">
        <v>2955</v>
      </c>
      <c r="B2961" s="159" t="s">
        <v>628</v>
      </c>
      <c r="C2961" s="159" t="s">
        <v>10298</v>
      </c>
      <c r="D2961" s="437" t="s">
        <v>7640</v>
      </c>
      <c r="E2961" s="28" t="str">
        <f t="shared" si="230"/>
        <v>ON TRACK</v>
      </c>
      <c r="F2961" s="160"/>
      <c r="G2961" s="159" t="s">
        <v>12560</v>
      </c>
      <c r="H2961" s="160" t="s">
        <v>261</v>
      </c>
      <c r="I2961" s="160" t="s">
        <v>243</v>
      </c>
      <c r="J2961" s="159" t="s">
        <v>10300</v>
      </c>
      <c r="K2961" s="181" t="s">
        <v>10301</v>
      </c>
      <c r="L2961" s="158"/>
      <c r="M2961" s="158" t="s">
        <v>6776</v>
      </c>
      <c r="N2961" s="158" t="s">
        <v>389</v>
      </c>
      <c r="O2961" s="162">
        <f>3000000</f>
        <v>3000000</v>
      </c>
      <c r="P2961" s="161">
        <f>12*16500000</f>
        <v>198000000</v>
      </c>
      <c r="Q2961" s="161"/>
      <c r="R2961" s="162"/>
      <c r="S2961" s="163">
        <f>12*16000000</f>
        <v>192000000</v>
      </c>
      <c r="T2961" s="164"/>
      <c r="U2961" s="340">
        <v>46029</v>
      </c>
      <c r="V2961" s="340">
        <v>46393</v>
      </c>
      <c r="W2961" s="27" t="s">
        <v>17</v>
      </c>
      <c r="X2961" s="158"/>
      <c r="Y2961" s="483">
        <f t="shared" ca="1" si="231"/>
        <v>46290</v>
      </c>
      <c r="Z2961" s="207">
        <v>288</v>
      </c>
      <c r="AA2961" s="27">
        <f>MONTH(Table1[[#This Row],[End]])</f>
        <v>1</v>
      </c>
      <c r="AB2961" s="27">
        <f t="shared" si="235"/>
        <v>2027</v>
      </c>
      <c r="AC2961" s="429" t="s">
        <v>10302</v>
      </c>
      <c r="AD2961" s="159" t="s">
        <v>12561</v>
      </c>
      <c r="AE2961" s="158">
        <v>4500027663</v>
      </c>
      <c r="AF2961" s="201" t="s">
        <v>8995</v>
      </c>
      <c r="AG2961" s="160" t="s">
        <v>633</v>
      </c>
      <c r="AH2961" s="160"/>
      <c r="AI2961" s="158"/>
      <c r="AJ2961" s="158"/>
      <c r="AK2961" s="158"/>
      <c r="AL2961" s="158"/>
      <c r="AM2961" s="158"/>
      <c r="AN2961" s="158"/>
      <c r="AO2961" s="158"/>
      <c r="AP2961" s="158"/>
      <c r="AQ2961" s="158"/>
      <c r="AR2961" s="507">
        <v>62</v>
      </c>
      <c r="AS2961" s="475"/>
      <c r="AT2961" s="160"/>
    </row>
    <row r="2962" spans="1:46" ht="15" hidden="1" customHeight="1">
      <c r="A2962" s="220">
        <v>2956</v>
      </c>
      <c r="B2962" s="173" t="s">
        <v>1170</v>
      </c>
      <c r="C2962" s="159" t="s">
        <v>7344</v>
      </c>
      <c r="D2962" s="438" t="s">
        <v>6644</v>
      </c>
      <c r="E2962" s="361" t="str">
        <f ca="1">IF(Z2962&lt;=0, "LOSS",IF(Z2962&lt;=15, "CRITICAL",IF(Z2962&lt;=30, "WARNING",IF(Z2962&lt;60, "ATTENTION", "ON TRACK"))))</f>
        <v>ON TRACK</v>
      </c>
      <c r="F2962" s="28" t="s">
        <v>7346</v>
      </c>
      <c r="G2962" s="28" t="s">
        <v>7347</v>
      </c>
      <c r="H2962" s="28" t="s">
        <v>261</v>
      </c>
      <c r="I2962" s="361" t="s">
        <v>243</v>
      </c>
      <c r="J2962" s="28" t="s">
        <v>12562</v>
      </c>
      <c r="K2962" s="38" t="s">
        <v>7349</v>
      </c>
      <c r="L2962" s="51" t="s">
        <v>4749</v>
      </c>
      <c r="M2962" s="27" t="s">
        <v>365</v>
      </c>
      <c r="N2962" s="27" t="s">
        <v>354</v>
      </c>
      <c r="O2962" s="176"/>
      <c r="P2962" s="175">
        <f>7027027*12</f>
        <v>84324324</v>
      </c>
      <c r="Q2962" s="175"/>
      <c r="R2962" s="176"/>
      <c r="S2962" s="177">
        <f>4500000*12</f>
        <v>54000000</v>
      </c>
      <c r="T2962" s="178"/>
      <c r="U2962" s="334">
        <v>46050</v>
      </c>
      <c r="V2962" s="334">
        <v>46414</v>
      </c>
      <c r="W2962" s="172" t="s">
        <v>17</v>
      </c>
      <c r="X2962" s="172"/>
      <c r="Y2962" s="34">
        <f t="shared" ca="1" si="231"/>
        <v>46290</v>
      </c>
      <c r="Z2962" s="35">
        <f t="shared" ref="Z2962:Z2993" ca="1" si="236">V2962-Y2962</f>
        <v>124</v>
      </c>
      <c r="AA2962" s="27">
        <f>MONTH(V2962)</f>
        <v>1</v>
      </c>
      <c r="AB2962" s="27">
        <f t="shared" si="235"/>
        <v>2027</v>
      </c>
      <c r="AC2962" s="28" t="s">
        <v>12563</v>
      </c>
      <c r="AD2962" s="28" t="s">
        <v>12564</v>
      </c>
      <c r="AE2962" s="172">
        <v>4500027526</v>
      </c>
      <c r="AF2962" s="27" t="s">
        <v>471</v>
      </c>
      <c r="AG2962" s="29" t="s">
        <v>12565</v>
      </c>
      <c r="AH2962" s="160"/>
      <c r="AI2962" s="172"/>
      <c r="AJ2962" s="172"/>
      <c r="AK2962" s="172"/>
      <c r="AL2962" s="172"/>
      <c r="AM2962" s="172"/>
      <c r="AN2962" s="172"/>
      <c r="AO2962" s="172"/>
      <c r="AP2962" s="172"/>
      <c r="AQ2962" s="172"/>
      <c r="AR2962" s="479"/>
      <c r="AS2962" s="461">
        <v>119</v>
      </c>
      <c r="AT2962" s="174"/>
    </row>
    <row r="2963" spans="1:46" ht="15" hidden="1" customHeight="1">
      <c r="A2963" s="220">
        <v>2957</v>
      </c>
      <c r="B2963" s="173" t="s">
        <v>9045</v>
      </c>
      <c r="C2963" s="28" t="s">
        <v>6731</v>
      </c>
      <c r="D2963" s="437" t="s">
        <v>6723</v>
      </c>
      <c r="E2963" s="361" t="str">
        <f ca="1">IF(Z2963&lt;=0, "LOSS",IF(Z2963&lt;=15, "CRITICAL",IF(Z2963&lt;=30, "WARNING",IF(Z2963&lt;60, "ATTENTION", "ON TRACK"))))</f>
        <v>LOSS</v>
      </c>
      <c r="F2963" s="27" t="s">
        <v>11873</v>
      </c>
      <c r="G2963" s="28" t="s">
        <v>11874</v>
      </c>
      <c r="H2963" s="28" t="s">
        <v>261</v>
      </c>
      <c r="I2963" s="361" t="s">
        <v>243</v>
      </c>
      <c r="J2963" s="28" t="s">
        <v>12566</v>
      </c>
      <c r="K2963" s="38" t="s">
        <v>11875</v>
      </c>
      <c r="L2963" s="53">
        <v>0.995</v>
      </c>
      <c r="M2963" s="27" t="s">
        <v>329</v>
      </c>
      <c r="N2963" s="27" t="s">
        <v>7678</v>
      </c>
      <c r="O2963" s="176"/>
      <c r="P2963" s="175">
        <f>12100000*12</f>
        <v>145200000</v>
      </c>
      <c r="Q2963" s="175"/>
      <c r="R2963" s="176"/>
      <c r="S2963" s="177">
        <f>3375000*12</f>
        <v>40500000</v>
      </c>
      <c r="T2963" s="178"/>
      <c r="U2963" s="334">
        <v>45925</v>
      </c>
      <c r="V2963" s="334">
        <v>46289</v>
      </c>
      <c r="W2963" s="172" t="s">
        <v>17</v>
      </c>
      <c r="X2963" s="172"/>
      <c r="Y2963" s="34">
        <f t="shared" ca="1" si="231"/>
        <v>46290</v>
      </c>
      <c r="Z2963" s="35">
        <f t="shared" ca="1" si="236"/>
        <v>-1</v>
      </c>
      <c r="AA2963" s="27">
        <v>9</v>
      </c>
      <c r="AB2963" s="27">
        <v>2025</v>
      </c>
      <c r="AC2963" s="28" t="s">
        <v>12567</v>
      </c>
      <c r="AD2963" s="28" t="s">
        <v>12568</v>
      </c>
      <c r="AE2963" s="27">
        <v>4500026442</v>
      </c>
      <c r="AF2963" s="179" t="s">
        <v>471</v>
      </c>
      <c r="AG2963" s="174"/>
      <c r="AH2963" s="160"/>
      <c r="AI2963" s="172"/>
      <c r="AJ2963" s="172"/>
      <c r="AK2963" s="172"/>
      <c r="AL2963" s="172"/>
      <c r="AM2963" s="172"/>
      <c r="AN2963" s="172"/>
      <c r="AO2963" s="172"/>
      <c r="AP2963" s="172"/>
      <c r="AQ2963" s="172">
        <v>395</v>
      </c>
      <c r="AR2963" s="479"/>
      <c r="AS2963" s="461"/>
      <c r="AT2963" s="174"/>
    </row>
    <row r="2964" spans="1:46" ht="15" hidden="1" customHeight="1">
      <c r="A2964" s="220">
        <v>2958</v>
      </c>
      <c r="B2964" s="173" t="s">
        <v>9045</v>
      </c>
      <c r="C2964" s="28" t="s">
        <v>6741</v>
      </c>
      <c r="D2964" s="437" t="s">
        <v>6723</v>
      </c>
      <c r="E2964" s="361" t="str">
        <f ca="1">IF(Z2964&lt;=0, "LOSS",IF(Z2964&lt;=15, "CRITICAL",IF(Z2964&lt;=30, "WARNING",IF(Z2964&lt;60, "ATTENTION", "ON TRACK"))))</f>
        <v>LOSS</v>
      </c>
      <c r="F2964" s="27" t="s">
        <v>11873</v>
      </c>
      <c r="G2964" s="28" t="s">
        <v>11874</v>
      </c>
      <c r="H2964" s="28" t="s">
        <v>261</v>
      </c>
      <c r="I2964" s="361" t="s">
        <v>243</v>
      </c>
      <c r="J2964" s="28" t="s">
        <v>12566</v>
      </c>
      <c r="K2964" s="38" t="s">
        <v>11875</v>
      </c>
      <c r="L2964" s="53">
        <v>0.995</v>
      </c>
      <c r="M2964" s="27" t="s">
        <v>329</v>
      </c>
      <c r="N2964" s="27" t="s">
        <v>7678</v>
      </c>
      <c r="O2964" s="176"/>
      <c r="P2964" s="175"/>
      <c r="Q2964" s="175"/>
      <c r="R2964" s="176"/>
      <c r="S2964" s="177">
        <f>1000000*12</f>
        <v>12000000</v>
      </c>
      <c r="T2964" s="178"/>
      <c r="U2964" s="334">
        <v>45925</v>
      </c>
      <c r="V2964" s="334">
        <v>46289</v>
      </c>
      <c r="W2964" s="172" t="s">
        <v>17</v>
      </c>
      <c r="X2964" s="172"/>
      <c r="Y2964" s="34">
        <f t="shared" ref="Y2964:Y2995" ca="1" si="237">TODAY()</f>
        <v>46290</v>
      </c>
      <c r="Z2964" s="35">
        <f t="shared" ca="1" si="236"/>
        <v>-1</v>
      </c>
      <c r="AA2964" s="27">
        <v>9</v>
      </c>
      <c r="AB2964" s="27">
        <v>2025</v>
      </c>
      <c r="AC2964" s="28" t="s">
        <v>12569</v>
      </c>
      <c r="AD2964" s="28" t="s">
        <v>12570</v>
      </c>
      <c r="AE2964" s="27">
        <v>4500026441</v>
      </c>
      <c r="AF2964" s="179" t="s">
        <v>471</v>
      </c>
      <c r="AG2964" s="174"/>
      <c r="AH2964" s="160"/>
      <c r="AI2964" s="172"/>
      <c r="AJ2964" s="172"/>
      <c r="AK2964" s="172"/>
      <c r="AL2964" s="172"/>
      <c r="AM2964" s="172"/>
      <c r="AN2964" s="172"/>
      <c r="AO2964" s="172"/>
      <c r="AP2964" s="172"/>
      <c r="AQ2964" s="172">
        <v>390</v>
      </c>
      <c r="AR2964" s="479"/>
      <c r="AS2964" s="461"/>
      <c r="AT2964" s="174"/>
    </row>
    <row r="2965" spans="1:46" ht="15" hidden="1" customHeight="1">
      <c r="A2965" s="220">
        <v>2959</v>
      </c>
      <c r="B2965" s="173" t="s">
        <v>9349</v>
      </c>
      <c r="C2965" s="159" t="s">
        <v>8460</v>
      </c>
      <c r="D2965" s="438" t="s">
        <v>1620</v>
      </c>
      <c r="E2965" s="361" t="str">
        <f ca="1">IF(Z2965&lt;=0, "LOSS",IF(Z2965&lt;=15, "CRITICAL",IF(Z2965&lt;=30, "WARNING",IF(Z2965&lt;60, "ATTENTION", "ON TRACK"))))</f>
        <v>ATTENTION</v>
      </c>
      <c r="F2965" s="159" t="s">
        <v>115</v>
      </c>
      <c r="G2965" s="28" t="s">
        <v>8462</v>
      </c>
      <c r="H2965" s="160" t="s">
        <v>261</v>
      </c>
      <c r="I2965" s="160" t="s">
        <v>243</v>
      </c>
      <c r="J2965" s="159" t="s">
        <v>12571</v>
      </c>
      <c r="K2965" s="181" t="s">
        <v>8464</v>
      </c>
      <c r="L2965" s="27" t="s">
        <v>4749</v>
      </c>
      <c r="M2965" s="158" t="s">
        <v>353</v>
      </c>
      <c r="N2965" s="158" t="s">
        <v>362</v>
      </c>
      <c r="O2965" s="176"/>
      <c r="P2965" s="175">
        <f>10000000*12</f>
        <v>120000000</v>
      </c>
      <c r="Q2965" s="175"/>
      <c r="R2965" s="176"/>
      <c r="S2965" s="177">
        <f>7000000*12</f>
        <v>84000000</v>
      </c>
      <c r="T2965" s="178"/>
      <c r="U2965" s="347">
        <v>45951</v>
      </c>
      <c r="V2965" s="347">
        <v>46326</v>
      </c>
      <c r="W2965" s="172" t="s">
        <v>17</v>
      </c>
      <c r="X2965" s="172"/>
      <c r="Y2965" s="34">
        <f t="shared" ca="1" si="237"/>
        <v>46290</v>
      </c>
      <c r="Z2965" s="35">
        <f t="shared" ca="1" si="236"/>
        <v>36</v>
      </c>
      <c r="AA2965" s="27">
        <f>MONTH(V2965)</f>
        <v>10</v>
      </c>
      <c r="AB2965" s="27">
        <f t="shared" ref="AB2965:AB2987" si="238">YEAR(V2965)</f>
        <v>2026</v>
      </c>
      <c r="AC2965" s="159" t="s">
        <v>12572</v>
      </c>
      <c r="AD2965" s="28" t="s">
        <v>12573</v>
      </c>
      <c r="AE2965" s="184" t="s">
        <v>12574</v>
      </c>
      <c r="AF2965" s="179" t="s">
        <v>471</v>
      </c>
      <c r="AG2965" s="29" t="s">
        <v>12287</v>
      </c>
      <c r="AH2965" s="160"/>
      <c r="AI2965" s="172"/>
      <c r="AJ2965" s="172"/>
      <c r="AK2965" s="172"/>
      <c r="AL2965" s="172"/>
      <c r="AM2965" s="172"/>
      <c r="AN2965" s="172"/>
      <c r="AO2965" s="172"/>
      <c r="AP2965" s="172"/>
      <c r="AQ2965" s="172">
        <v>100</v>
      </c>
      <c r="AR2965" s="479"/>
      <c r="AS2965" s="461"/>
      <c r="AT2965" s="174"/>
    </row>
    <row r="2966" spans="1:46" ht="15" hidden="1" customHeight="1">
      <c r="A2966" s="220">
        <v>2960</v>
      </c>
      <c r="B2966" s="173" t="s">
        <v>9349</v>
      </c>
      <c r="C2966" s="28" t="s">
        <v>1619</v>
      </c>
      <c r="D2966" s="438" t="s">
        <v>1620</v>
      </c>
      <c r="E2966" s="361" t="str">
        <f ca="1">IF(Z2966&lt;=0, "LOSS",IF(Z2966&lt;=15, "CRITICAL",IF(Z2966&lt;=30, "WARNING",IF(Z2966&lt;60, "ATTENTION", "ON TRACK"))))</f>
        <v>ON TRACK</v>
      </c>
      <c r="F2966" s="29" t="s">
        <v>7070</v>
      </c>
      <c r="G2966" s="28" t="s">
        <v>7071</v>
      </c>
      <c r="H2966" s="28" t="s">
        <v>261</v>
      </c>
      <c r="I2966" s="361" t="s">
        <v>243</v>
      </c>
      <c r="J2966" s="28" t="s">
        <v>7072</v>
      </c>
      <c r="K2966" s="38" t="s">
        <v>10949</v>
      </c>
      <c r="L2966" s="60">
        <v>0.995</v>
      </c>
      <c r="M2966" s="27" t="s">
        <v>365</v>
      </c>
      <c r="N2966" s="27" t="s">
        <v>6649</v>
      </c>
      <c r="O2966" s="176"/>
      <c r="P2966" s="175">
        <f>6000000*12</f>
        <v>72000000</v>
      </c>
      <c r="Q2966" s="175"/>
      <c r="R2966" s="176"/>
      <c r="S2966" s="177">
        <f>3000000*12</f>
        <v>36000000</v>
      </c>
      <c r="T2966" s="178"/>
      <c r="U2966" s="334">
        <v>46162</v>
      </c>
      <c r="V2966" s="334">
        <v>46526</v>
      </c>
      <c r="W2966" s="27" t="s">
        <v>17</v>
      </c>
      <c r="X2966" s="27"/>
      <c r="Y2966" s="34">
        <f t="shared" ca="1" si="237"/>
        <v>46290</v>
      </c>
      <c r="Z2966" s="35">
        <f t="shared" ca="1" si="236"/>
        <v>236</v>
      </c>
      <c r="AA2966" s="27">
        <f>MONTH(V2966)</f>
        <v>5</v>
      </c>
      <c r="AB2966" s="27">
        <f t="shared" si="238"/>
        <v>2027</v>
      </c>
      <c r="AC2966" s="28" t="s">
        <v>12575</v>
      </c>
      <c r="AD2966" s="28" t="s">
        <v>12576</v>
      </c>
      <c r="AE2966" s="27">
        <v>4500028055</v>
      </c>
      <c r="AF2966" s="27" t="s">
        <v>471</v>
      </c>
      <c r="AG2966" s="29" t="s">
        <v>12287</v>
      </c>
      <c r="AH2966" s="160"/>
      <c r="AI2966" s="172"/>
      <c r="AJ2966" s="172"/>
      <c r="AK2966" s="172"/>
      <c r="AL2966" s="172"/>
      <c r="AM2966" s="172"/>
      <c r="AN2966" s="172"/>
      <c r="AO2966" s="172"/>
      <c r="AP2966" s="172"/>
      <c r="AQ2966" s="172"/>
      <c r="AR2966" s="479">
        <v>121</v>
      </c>
      <c r="AS2966" s="461"/>
      <c r="AT2966" s="174"/>
    </row>
    <row r="2967" spans="1:46" ht="15" hidden="1" customHeight="1">
      <c r="A2967" s="220">
        <v>2961</v>
      </c>
      <c r="B2967" s="173" t="s">
        <v>9349</v>
      </c>
      <c r="C2967" s="173" t="s">
        <v>12577</v>
      </c>
      <c r="D2967" s="438" t="s">
        <v>1620</v>
      </c>
      <c r="E2967" s="113" t="str">
        <f ca="1">IF(AND(Z2967&gt;=60, Z2967&lt;=3000), "ON TRACK",IF(AND(Z2967&gt;=36, Z2967&lt;=59), "ATTENTION",IF(AND(Z2967&gt;=1, Z2967&lt;=35), "WARNING",IF(AND(Z2967&gt;=-3000, Z2967&lt;=0), "CRITICAL", ""))))</f>
        <v>ON TRACK</v>
      </c>
      <c r="F2967" s="174" t="s">
        <v>12578</v>
      </c>
      <c r="G2967" s="173" t="s">
        <v>12579</v>
      </c>
      <c r="H2967" s="28" t="s">
        <v>261</v>
      </c>
      <c r="I2967" s="361" t="s">
        <v>243</v>
      </c>
      <c r="J2967" s="173" t="s">
        <v>12580</v>
      </c>
      <c r="K2967" s="180" t="s">
        <v>12581</v>
      </c>
      <c r="L2967" s="60">
        <v>0.995</v>
      </c>
      <c r="M2967" s="172" t="s">
        <v>365</v>
      </c>
      <c r="N2967" s="172" t="s">
        <v>7224</v>
      </c>
      <c r="O2967" s="176"/>
      <c r="P2967" s="175">
        <f>17500000*12</f>
        <v>210000000</v>
      </c>
      <c r="Q2967" s="175"/>
      <c r="R2967" s="176">
        <v>3000000</v>
      </c>
      <c r="S2967" s="177">
        <f>7000000*12</f>
        <v>84000000</v>
      </c>
      <c r="T2967" s="178"/>
      <c r="U2967" s="347">
        <v>46072</v>
      </c>
      <c r="V2967" s="347">
        <v>46436</v>
      </c>
      <c r="W2967" s="172" t="s">
        <v>17</v>
      </c>
      <c r="X2967" s="172"/>
      <c r="Y2967" s="34">
        <f t="shared" ca="1" si="237"/>
        <v>46290</v>
      </c>
      <c r="Z2967" s="35">
        <f t="shared" ca="1" si="236"/>
        <v>146</v>
      </c>
      <c r="AA2967" s="27">
        <f>MONTH(V2967)</f>
        <v>2</v>
      </c>
      <c r="AB2967" s="27">
        <f t="shared" si="238"/>
        <v>2027</v>
      </c>
      <c r="AC2967" s="173" t="s">
        <v>3371</v>
      </c>
      <c r="AD2967" s="173" t="s">
        <v>12582</v>
      </c>
      <c r="AE2967" s="172">
        <v>4500027036</v>
      </c>
      <c r="AF2967" s="27" t="s">
        <v>471</v>
      </c>
      <c r="AG2967" s="29" t="s">
        <v>12287</v>
      </c>
      <c r="AH2967" s="160"/>
      <c r="AI2967" s="172"/>
      <c r="AJ2967" s="172"/>
      <c r="AK2967" s="172"/>
      <c r="AL2967" s="172"/>
      <c r="AM2967" s="172"/>
      <c r="AN2967" s="172"/>
      <c r="AO2967" s="172"/>
      <c r="AP2967" s="172"/>
      <c r="AQ2967" s="172"/>
      <c r="AR2967" s="479">
        <v>120</v>
      </c>
      <c r="AS2967" s="461"/>
      <c r="AT2967" s="174"/>
    </row>
    <row r="2968" spans="1:46" ht="15" hidden="1" customHeight="1">
      <c r="A2968" s="220">
        <v>2962</v>
      </c>
      <c r="B2968" s="173" t="s">
        <v>2615</v>
      </c>
      <c r="C2968" s="159" t="s">
        <v>10889</v>
      </c>
      <c r="D2968" s="438" t="s">
        <v>6750</v>
      </c>
      <c r="E2968" s="361" t="str">
        <f ca="1">IF(Z2968&lt;=0, "LOSS",IF(Z2968&lt;=15, "CRITICAL",IF(Z2968&lt;=30, "WARNING",IF(Z2968&lt;60, "ATTENTION", "ON TRACK"))))</f>
        <v>ON TRACK</v>
      </c>
      <c r="F2968" s="160"/>
      <c r="G2968" s="221" t="s">
        <v>10890</v>
      </c>
      <c r="H2968" s="160" t="s">
        <v>261</v>
      </c>
      <c r="I2968" s="160" t="s">
        <v>10891</v>
      </c>
      <c r="J2968" s="159" t="s">
        <v>8340</v>
      </c>
      <c r="K2968" s="205" t="s">
        <v>8341</v>
      </c>
      <c r="L2968" s="158" t="s">
        <v>4749</v>
      </c>
      <c r="M2968" s="158" t="s">
        <v>6776</v>
      </c>
      <c r="N2968" s="484" t="s">
        <v>389</v>
      </c>
      <c r="O2968" s="176"/>
      <c r="P2968" s="175">
        <f>10864800*31</f>
        <v>336808800</v>
      </c>
      <c r="Q2968" s="175"/>
      <c r="R2968" s="176"/>
      <c r="S2968" s="177">
        <f>4500000*31</f>
        <v>139500000</v>
      </c>
      <c r="T2968" s="178"/>
      <c r="U2968" s="347">
        <v>46174</v>
      </c>
      <c r="V2968" s="347">
        <v>47118</v>
      </c>
      <c r="W2968" s="172" t="s">
        <v>17</v>
      </c>
      <c r="X2968" s="172"/>
      <c r="Y2968" s="164">
        <f t="shared" ca="1" si="237"/>
        <v>46290</v>
      </c>
      <c r="Z2968" s="35">
        <f t="shared" ca="1" si="236"/>
        <v>828</v>
      </c>
      <c r="AA2968" s="27">
        <f>MONTH(Table1[[#This Row],[End]])</f>
        <v>12</v>
      </c>
      <c r="AB2968" s="27">
        <f t="shared" si="238"/>
        <v>2028</v>
      </c>
      <c r="AC2968" s="159" t="s">
        <v>12583</v>
      </c>
      <c r="AD2968" s="28" t="s">
        <v>12584</v>
      </c>
      <c r="AE2968" s="184" t="s">
        <v>12585</v>
      </c>
      <c r="AF2968" s="179" t="s">
        <v>471</v>
      </c>
      <c r="AG2968" s="29" t="s">
        <v>8837</v>
      </c>
      <c r="AH2968" s="160"/>
      <c r="AI2968" s="172"/>
      <c r="AJ2968" s="172"/>
      <c r="AK2968" s="172"/>
      <c r="AL2968" s="172"/>
      <c r="AM2968" s="172"/>
      <c r="AN2968" s="172"/>
      <c r="AO2968" s="172"/>
      <c r="AP2968" s="172"/>
      <c r="AQ2968" s="172"/>
      <c r="AR2968" s="479">
        <v>122</v>
      </c>
      <c r="AS2968" s="461"/>
      <c r="AT2968" s="174"/>
    </row>
    <row r="2969" spans="1:46" ht="15" hidden="1" customHeight="1">
      <c r="A2969" s="220">
        <v>2963</v>
      </c>
      <c r="B2969" s="173" t="s">
        <v>2615</v>
      </c>
      <c r="C2969" s="28" t="s">
        <v>8833</v>
      </c>
      <c r="D2969" s="438" t="s">
        <v>6750</v>
      </c>
      <c r="E2969" s="361" t="str">
        <f ca="1">IF(Z2969&lt;=0, "LOSS",IF(Z2969&lt;=15, "CRITICAL",IF(Z2969&lt;=30, "WARNING",IF(Z2969&lt;60, "ATTENTION", "ON TRACK"))))</f>
        <v>LOSS</v>
      </c>
      <c r="F2969" s="29" t="s">
        <v>8910</v>
      </c>
      <c r="G2969" s="28" t="s">
        <v>8911</v>
      </c>
      <c r="H2969" s="29" t="s">
        <v>261</v>
      </c>
      <c r="I2969" s="264" t="s">
        <v>243</v>
      </c>
      <c r="J2969" s="28" t="s">
        <v>58</v>
      </c>
      <c r="K2969" s="36" t="s">
        <v>8912</v>
      </c>
      <c r="L2969" s="51">
        <v>0.995</v>
      </c>
      <c r="M2969" s="27" t="s">
        <v>8835</v>
      </c>
      <c r="N2969" s="27" t="s">
        <v>373</v>
      </c>
      <c r="O2969" s="176"/>
      <c r="P2969" s="175">
        <f>53928000*12</f>
        <v>647136000</v>
      </c>
      <c r="Q2969" s="175"/>
      <c r="R2969" s="176"/>
      <c r="S2969" s="177">
        <f>29900000*12</f>
        <v>358800000</v>
      </c>
      <c r="T2969" s="178"/>
      <c r="U2969" s="347">
        <v>46115</v>
      </c>
      <c r="V2969" s="347">
        <v>46159</v>
      </c>
      <c r="W2969" s="172" t="s">
        <v>245</v>
      </c>
      <c r="X2969" s="172"/>
      <c r="Y2969" s="164">
        <f t="shared" ca="1" si="237"/>
        <v>46290</v>
      </c>
      <c r="Z2969" s="35">
        <f t="shared" ca="1" si="236"/>
        <v>-131</v>
      </c>
      <c r="AA2969" s="27">
        <f>MONTH(Table1[[#This Row],[End]])</f>
        <v>5</v>
      </c>
      <c r="AB2969" s="27">
        <f t="shared" si="238"/>
        <v>2026</v>
      </c>
      <c r="AC2969" s="28" t="s">
        <v>12586</v>
      </c>
      <c r="AD2969" s="28" t="s">
        <v>12587</v>
      </c>
      <c r="AE2969" s="27">
        <v>4500027834</v>
      </c>
      <c r="AF2969" s="179" t="s">
        <v>471</v>
      </c>
      <c r="AG2969" s="29" t="s">
        <v>8837</v>
      </c>
      <c r="AH2969" s="160"/>
      <c r="AI2969" s="172"/>
      <c r="AJ2969" s="172"/>
      <c r="AK2969" s="172"/>
      <c r="AL2969" s="172"/>
      <c r="AM2969" s="172"/>
      <c r="AN2969" s="172"/>
      <c r="AO2969" s="172"/>
      <c r="AP2969" s="172"/>
      <c r="AQ2969" s="172"/>
      <c r="AR2969" s="479">
        <v>63</v>
      </c>
      <c r="AS2969" s="461" t="s">
        <v>12588</v>
      </c>
      <c r="AT2969" s="174"/>
    </row>
    <row r="2970" spans="1:46" ht="15" hidden="1" customHeight="1">
      <c r="A2970" s="220">
        <v>2964</v>
      </c>
      <c r="B2970" s="173" t="s">
        <v>10356</v>
      </c>
      <c r="C2970" s="28" t="s">
        <v>2216</v>
      </c>
      <c r="D2970" s="438" t="s">
        <v>862</v>
      </c>
      <c r="E2970" s="361" t="str">
        <f ca="1">IF(Z2970&lt;=0, "LOSS",IF(Z2970&lt;=15, "CRITICAL",IF(Z2970&lt;=30, "WARNING",IF(Z2970&lt;60, "ATTENTION", "ON TRACK"))))</f>
        <v>ON TRACK</v>
      </c>
      <c r="F2970" s="29" t="s">
        <v>12589</v>
      </c>
      <c r="G2970" s="28" t="s">
        <v>10357</v>
      </c>
      <c r="H2970" s="28" t="s">
        <v>261</v>
      </c>
      <c r="I2970" s="361" t="s">
        <v>243</v>
      </c>
      <c r="J2970" s="28" t="s">
        <v>10358</v>
      </c>
      <c r="K2970" s="38" t="s">
        <v>7211</v>
      </c>
      <c r="L2970" s="27" t="s">
        <v>4749</v>
      </c>
      <c r="M2970" s="27" t="s">
        <v>365</v>
      </c>
      <c r="N2970" s="27" t="s">
        <v>6727</v>
      </c>
      <c r="O2970" s="176"/>
      <c r="P2970" s="175">
        <f>2500000*12</f>
        <v>30000000</v>
      </c>
      <c r="Q2970" s="175"/>
      <c r="R2970" s="176"/>
      <c r="S2970" s="177">
        <f>16850000*12</f>
        <v>202200000</v>
      </c>
      <c r="T2970" s="178"/>
      <c r="U2970" s="334">
        <v>46143</v>
      </c>
      <c r="V2970" s="334">
        <v>46507</v>
      </c>
      <c r="W2970" s="27" t="s">
        <v>17</v>
      </c>
      <c r="X2970" s="27"/>
      <c r="Y2970" s="34">
        <f t="shared" ca="1" si="237"/>
        <v>46290</v>
      </c>
      <c r="Z2970" s="35">
        <f t="shared" ca="1" si="236"/>
        <v>217</v>
      </c>
      <c r="AA2970" s="27">
        <f t="shared" ref="AA2970:AA2975" si="239">MONTH(V2970)</f>
        <v>4</v>
      </c>
      <c r="AB2970" s="27">
        <f t="shared" si="238"/>
        <v>2027</v>
      </c>
      <c r="AC2970" s="28" t="s">
        <v>12590</v>
      </c>
      <c r="AD2970" s="28" t="s">
        <v>12591</v>
      </c>
      <c r="AE2970" s="27">
        <v>4500027652</v>
      </c>
      <c r="AF2970" s="27" t="s">
        <v>471</v>
      </c>
      <c r="AG2970" s="29" t="s">
        <v>8458</v>
      </c>
      <c r="AH2970" s="160"/>
      <c r="AI2970" s="172"/>
      <c r="AJ2970" s="172"/>
      <c r="AK2970" s="172"/>
      <c r="AL2970" s="172"/>
      <c r="AM2970" s="172"/>
      <c r="AN2970" s="172"/>
      <c r="AO2970" s="172"/>
      <c r="AP2970" s="172"/>
      <c r="AQ2970" s="172"/>
      <c r="AR2970" s="479">
        <v>123</v>
      </c>
      <c r="AS2970" s="461"/>
      <c r="AT2970" s="174"/>
    </row>
    <row r="2971" spans="1:46" ht="15" hidden="1" customHeight="1">
      <c r="A2971" s="220">
        <v>2965</v>
      </c>
      <c r="B2971" s="173" t="s">
        <v>10356</v>
      </c>
      <c r="C2971" s="173" t="s">
        <v>12592</v>
      </c>
      <c r="D2971" s="438" t="s">
        <v>862</v>
      </c>
      <c r="E2971" s="113" t="str">
        <f ca="1">IF(AND(Z2971&gt;=60, Z2971&lt;=3000), "ON TRACK",IF(AND(Z2971&gt;=36, Z2971&lt;=59), "ATTENTION",IF(AND(Z2971&gt;=1, Z2971&lt;=35), "WARNING",IF(AND(Z2971&gt;=-3000, Z2971&lt;=0), "CRITICAL", ""))))</f>
        <v>ON TRACK</v>
      </c>
      <c r="F2971" s="174" t="s">
        <v>115</v>
      </c>
      <c r="G2971" s="173" t="s">
        <v>12593</v>
      </c>
      <c r="H2971" s="174" t="s">
        <v>261</v>
      </c>
      <c r="I2971" s="174" t="s">
        <v>243</v>
      </c>
      <c r="J2971" s="173" t="s">
        <v>12594</v>
      </c>
      <c r="K2971" s="180" t="s">
        <v>12595</v>
      </c>
      <c r="L2971" s="172" t="s">
        <v>4749</v>
      </c>
      <c r="M2971" s="172" t="s">
        <v>12596</v>
      </c>
      <c r="N2971" s="172" t="s">
        <v>7088</v>
      </c>
      <c r="O2971" s="176"/>
      <c r="P2971" s="175">
        <f>32700000*12</f>
        <v>392400000</v>
      </c>
      <c r="Q2971" s="175"/>
      <c r="R2971" s="176">
        <v>5000000</v>
      </c>
      <c r="S2971" s="177">
        <f>10000000*12</f>
        <v>120000000</v>
      </c>
      <c r="T2971" s="178"/>
      <c r="U2971" s="347">
        <v>46023</v>
      </c>
      <c r="V2971" s="347">
        <v>46387</v>
      </c>
      <c r="W2971" s="172" t="s">
        <v>17</v>
      </c>
      <c r="X2971" s="172"/>
      <c r="Y2971" s="34">
        <f t="shared" ca="1" si="237"/>
        <v>46290</v>
      </c>
      <c r="Z2971" s="35">
        <f t="shared" ca="1" si="236"/>
        <v>97</v>
      </c>
      <c r="AA2971" s="27">
        <f t="shared" si="239"/>
        <v>12</v>
      </c>
      <c r="AB2971" s="27">
        <f t="shared" si="238"/>
        <v>2026</v>
      </c>
      <c r="AC2971" s="173" t="s">
        <v>3371</v>
      </c>
      <c r="AD2971" s="173" t="s">
        <v>12597</v>
      </c>
      <c r="AE2971" s="172">
        <v>4500027212</v>
      </c>
      <c r="AF2971" s="27" t="s">
        <v>471</v>
      </c>
      <c r="AG2971" s="29" t="s">
        <v>8458</v>
      </c>
      <c r="AH2971" s="160"/>
      <c r="AI2971" s="172"/>
      <c r="AJ2971" s="172"/>
      <c r="AK2971" s="172"/>
      <c r="AL2971" s="172"/>
      <c r="AM2971" s="172"/>
      <c r="AN2971" s="172"/>
      <c r="AO2971" s="172"/>
      <c r="AP2971" s="172"/>
      <c r="AQ2971" s="172"/>
      <c r="AR2971" s="479">
        <v>6</v>
      </c>
      <c r="AS2971" s="461"/>
      <c r="AT2971" s="174"/>
    </row>
    <row r="2972" spans="1:46" ht="15" hidden="1" customHeight="1">
      <c r="A2972" s="220">
        <v>2966</v>
      </c>
      <c r="B2972" s="28" t="s">
        <v>460</v>
      </c>
      <c r="C2972" s="28" t="s">
        <v>2665</v>
      </c>
      <c r="D2972" s="437" t="s">
        <v>462</v>
      </c>
      <c r="E2972" s="361" t="str">
        <f ca="1">IF(Z2972&lt;=0, "LOSS",IF(Z2972&lt;=15, "CRITICAL",IF(Z2972&lt;=30, "WARNING",IF(Z2972&lt;60, "ATTENTION", "ON TRACK"))))</f>
        <v>ON TRACK</v>
      </c>
      <c r="F2972" s="28" t="s">
        <v>10275</v>
      </c>
      <c r="G2972" s="28" t="s">
        <v>10276</v>
      </c>
      <c r="H2972" s="28" t="s">
        <v>261</v>
      </c>
      <c r="I2972" s="361" t="s">
        <v>243</v>
      </c>
      <c r="J2972" s="28" t="s">
        <v>12598</v>
      </c>
      <c r="K2972" s="38" t="s">
        <v>10277</v>
      </c>
      <c r="L2972" s="60">
        <v>0.995</v>
      </c>
      <c r="M2972" s="27" t="s">
        <v>365</v>
      </c>
      <c r="N2972" s="27" t="s">
        <v>6802</v>
      </c>
      <c r="O2972" s="176"/>
      <c r="P2972" s="175">
        <f>2700000*12</f>
        <v>32400000</v>
      </c>
      <c r="Q2972" s="175"/>
      <c r="R2972" s="176"/>
      <c r="S2972" s="177">
        <f>2800000*12</f>
        <v>33600000</v>
      </c>
      <c r="T2972" s="178"/>
      <c r="U2972" s="334">
        <v>46082</v>
      </c>
      <c r="V2972" s="334">
        <v>46446</v>
      </c>
      <c r="W2972" s="27" t="s">
        <v>17</v>
      </c>
      <c r="X2972" s="158"/>
      <c r="Y2972" s="34">
        <f t="shared" ca="1" si="237"/>
        <v>46290</v>
      </c>
      <c r="Z2972" s="35">
        <f t="shared" ca="1" si="236"/>
        <v>156</v>
      </c>
      <c r="AA2972" s="27">
        <f t="shared" si="239"/>
        <v>2</v>
      </c>
      <c r="AB2972" s="27">
        <f t="shared" si="238"/>
        <v>2027</v>
      </c>
      <c r="AC2972" s="28" t="s">
        <v>12599</v>
      </c>
      <c r="AD2972" s="28" t="s">
        <v>12600</v>
      </c>
      <c r="AE2972" s="27">
        <v>4500027484</v>
      </c>
      <c r="AF2972" s="27" t="s">
        <v>471</v>
      </c>
      <c r="AG2972" s="29" t="s">
        <v>472</v>
      </c>
      <c r="AH2972" s="160"/>
      <c r="AI2972" s="172"/>
      <c r="AJ2972" s="172"/>
      <c r="AK2972" s="172"/>
      <c r="AL2972" s="172"/>
      <c r="AM2972" s="172"/>
      <c r="AN2972" s="172"/>
      <c r="AO2972" s="172"/>
      <c r="AP2972" s="172"/>
      <c r="AQ2972" s="172"/>
      <c r="AR2972" s="479">
        <v>42</v>
      </c>
      <c r="AS2972" s="461"/>
      <c r="AT2972" s="174"/>
    </row>
    <row r="2973" spans="1:46" ht="15" hidden="1" customHeight="1">
      <c r="A2973" s="220">
        <v>2967</v>
      </c>
      <c r="B2973" s="28" t="s">
        <v>460</v>
      </c>
      <c r="C2973" s="28" t="s">
        <v>461</v>
      </c>
      <c r="D2973" s="486" t="s">
        <v>462</v>
      </c>
      <c r="E2973" s="361" t="str">
        <f ca="1">IF(Z2973&lt;=0, "LOSS",IF(Z2973&lt;=15, "CRITICAL",IF(Z2973&lt;=30, "WARNING",IF(Z2973&lt;60, "ATTENTION", "ON TRACK"))))</f>
        <v>ON TRACK</v>
      </c>
      <c r="F2973" s="29"/>
      <c r="G2973" s="28" t="s">
        <v>463</v>
      </c>
      <c r="H2973" s="28" t="s">
        <v>261</v>
      </c>
      <c r="I2973" s="264" t="s">
        <v>243</v>
      </c>
      <c r="J2973" s="28" t="s">
        <v>12601</v>
      </c>
      <c r="K2973" s="38" t="s">
        <v>466</v>
      </c>
      <c r="L2973" s="150">
        <v>0.995</v>
      </c>
      <c r="M2973" s="27" t="s">
        <v>467</v>
      </c>
      <c r="N2973" s="27" t="s">
        <v>468</v>
      </c>
      <c r="O2973" s="176"/>
      <c r="P2973" s="175">
        <f>1432000*12</f>
        <v>17184000</v>
      </c>
      <c r="Q2973" s="175"/>
      <c r="R2973" s="176"/>
      <c r="S2973" s="177">
        <f>247748*12</f>
        <v>2972976</v>
      </c>
      <c r="T2973" s="178"/>
      <c r="U2973" s="334">
        <v>46034</v>
      </c>
      <c r="V2973" s="334">
        <v>46398</v>
      </c>
      <c r="W2973" s="27" t="s">
        <v>17</v>
      </c>
      <c r="X2973" s="158"/>
      <c r="Y2973" s="34">
        <f t="shared" ca="1" si="237"/>
        <v>46290</v>
      </c>
      <c r="Z2973" s="35">
        <f t="shared" ca="1" si="236"/>
        <v>108</v>
      </c>
      <c r="AA2973" s="27">
        <f t="shared" si="239"/>
        <v>1</v>
      </c>
      <c r="AB2973" s="27">
        <f t="shared" si="238"/>
        <v>2027</v>
      </c>
      <c r="AC2973" s="28" t="s">
        <v>12602</v>
      </c>
      <c r="AD2973" s="28" t="s">
        <v>12603</v>
      </c>
      <c r="AE2973" s="27">
        <v>4500027463</v>
      </c>
      <c r="AF2973" s="27" t="s">
        <v>471</v>
      </c>
      <c r="AG2973" s="29" t="s">
        <v>472</v>
      </c>
      <c r="AH2973" s="160"/>
      <c r="AI2973" s="172"/>
      <c r="AJ2973" s="172"/>
      <c r="AK2973" s="172"/>
      <c r="AL2973" s="172"/>
      <c r="AM2973" s="172"/>
      <c r="AN2973" s="172"/>
      <c r="AO2973" s="172"/>
      <c r="AP2973" s="172"/>
      <c r="AQ2973" s="172"/>
      <c r="AR2973" s="479">
        <v>41</v>
      </c>
      <c r="AS2973" s="461"/>
      <c r="AT2973" s="174"/>
    </row>
    <row r="2974" spans="1:46" ht="15" hidden="1" customHeight="1">
      <c r="A2974" s="220">
        <v>2968</v>
      </c>
      <c r="B2974" s="173" t="s">
        <v>1009</v>
      </c>
      <c r="C2974" s="461" t="s">
        <v>3973</v>
      </c>
      <c r="D2974" s="88" t="s">
        <v>1010</v>
      </c>
      <c r="E2974" s="476" t="str">
        <f t="shared" ref="E2974:E3005" ca="1" si="240">IF(AND(Z2974&gt;=60, Z2974&lt;=3000), "ON TRACK",IF(AND(Z2974&gt;=36, Z2974&lt;=59), "ATTENTION",IF(AND(Z2974&gt;=1, Z2974&lt;=35), "WARNING",IF(AND(Z2974&gt;=-3000, Z2974&lt;=0), "CRITICAL", ""))))</f>
        <v>ON TRACK</v>
      </c>
      <c r="F2974" s="174" t="s">
        <v>12604</v>
      </c>
      <c r="G2974" s="173" t="s">
        <v>12605</v>
      </c>
      <c r="H2974" s="160" t="s">
        <v>2748</v>
      </c>
      <c r="I2974" s="160" t="s">
        <v>346</v>
      </c>
      <c r="J2974" s="173"/>
      <c r="K2974" s="180" t="s">
        <v>12606</v>
      </c>
      <c r="L2974" s="172"/>
      <c r="M2974" s="172" t="s">
        <v>329</v>
      </c>
      <c r="N2974" s="172" t="s">
        <v>389</v>
      </c>
      <c r="O2974" s="176"/>
      <c r="P2974" s="175">
        <f>26500000*12</f>
        <v>318000000</v>
      </c>
      <c r="Q2974" s="175"/>
      <c r="R2974" s="176"/>
      <c r="S2974" s="177">
        <v>48000000</v>
      </c>
      <c r="T2974" s="178"/>
      <c r="U2974" s="334">
        <v>46023</v>
      </c>
      <c r="V2974" s="334">
        <v>46387</v>
      </c>
      <c r="W2974" s="27" t="s">
        <v>17</v>
      </c>
      <c r="X2974" s="172"/>
      <c r="Y2974" s="34">
        <f t="shared" ca="1" si="237"/>
        <v>46290</v>
      </c>
      <c r="Z2974" s="35">
        <f t="shared" ca="1" si="236"/>
        <v>97</v>
      </c>
      <c r="AA2974" s="27">
        <f t="shared" si="239"/>
        <v>12</v>
      </c>
      <c r="AB2974" s="27">
        <f t="shared" si="238"/>
        <v>2026</v>
      </c>
      <c r="AC2974" s="159" t="s">
        <v>12607</v>
      </c>
      <c r="AD2974" s="173" t="s">
        <v>12608</v>
      </c>
      <c r="AE2974" s="172">
        <v>4500027796</v>
      </c>
      <c r="AF2974" s="201" t="s">
        <v>333</v>
      </c>
      <c r="AG2974" s="174" t="s">
        <v>12609</v>
      </c>
      <c r="AH2974" s="160"/>
      <c r="AI2974" s="172"/>
      <c r="AJ2974" s="172"/>
      <c r="AK2974" s="172"/>
      <c r="AL2974" s="172"/>
      <c r="AM2974" s="172"/>
      <c r="AN2974" s="172"/>
      <c r="AO2974" s="172"/>
      <c r="AP2974" s="172"/>
      <c r="AQ2974" s="172"/>
      <c r="AR2974" s="479"/>
      <c r="AS2974" s="461">
        <v>65</v>
      </c>
      <c r="AT2974" s="174"/>
    </row>
    <row r="2975" spans="1:46" ht="15" hidden="1" customHeight="1">
      <c r="A2975" s="220">
        <v>2969</v>
      </c>
      <c r="B2975" s="173" t="s">
        <v>1103</v>
      </c>
      <c r="C2975" s="461" t="s">
        <v>1104</v>
      </c>
      <c r="D2975" s="485" t="s">
        <v>1105</v>
      </c>
      <c r="E2975" s="476" t="str">
        <f t="shared" ca="1" si="240"/>
        <v>ON TRACK</v>
      </c>
      <c r="F2975" s="174"/>
      <c r="G2975" s="159" t="s">
        <v>10464</v>
      </c>
      <c r="H2975" s="160" t="s">
        <v>2748</v>
      </c>
      <c r="I2975" s="160" t="s">
        <v>346</v>
      </c>
      <c r="J2975" s="159" t="s">
        <v>10465</v>
      </c>
      <c r="K2975" s="181" t="s">
        <v>10466</v>
      </c>
      <c r="L2975" s="172"/>
      <c r="M2975" s="158" t="s">
        <v>329</v>
      </c>
      <c r="N2975" s="158" t="s">
        <v>7066</v>
      </c>
      <c r="O2975" s="176"/>
      <c r="P2975" s="161">
        <f>9500000*12</f>
        <v>114000000</v>
      </c>
      <c r="Q2975" s="175"/>
      <c r="R2975" s="176"/>
      <c r="S2975" s="177">
        <v>45865080</v>
      </c>
      <c r="T2975" s="178"/>
      <c r="U2975" s="334">
        <v>46055</v>
      </c>
      <c r="V2975" s="334">
        <v>46419</v>
      </c>
      <c r="W2975" s="27" t="s">
        <v>17</v>
      </c>
      <c r="X2975" s="172"/>
      <c r="Y2975" s="34">
        <f t="shared" ca="1" si="237"/>
        <v>46290</v>
      </c>
      <c r="Z2975" s="35">
        <f t="shared" ca="1" si="236"/>
        <v>129</v>
      </c>
      <c r="AA2975" s="27">
        <f t="shared" si="239"/>
        <v>2</v>
      </c>
      <c r="AB2975" s="27">
        <f t="shared" si="238"/>
        <v>2027</v>
      </c>
      <c r="AC2975" s="182" t="s">
        <v>12610</v>
      </c>
      <c r="AD2975" s="173" t="s">
        <v>12611</v>
      </c>
      <c r="AE2975" s="172">
        <v>4500027719</v>
      </c>
      <c r="AF2975" s="201" t="s">
        <v>333</v>
      </c>
      <c r="AG2975" s="174" t="s">
        <v>12612</v>
      </c>
      <c r="AH2975" s="160"/>
      <c r="AI2975" s="172"/>
      <c r="AJ2975" s="172"/>
      <c r="AK2975" s="172"/>
      <c r="AL2975" s="172"/>
      <c r="AM2975" s="172"/>
      <c r="AN2975" s="172"/>
      <c r="AO2975" s="172"/>
      <c r="AP2975" s="172"/>
      <c r="AQ2975" s="172"/>
      <c r="AR2975" s="479"/>
      <c r="AS2975" s="461">
        <v>66</v>
      </c>
      <c r="AT2975" s="174"/>
    </row>
    <row r="2976" spans="1:46" ht="15" hidden="1" customHeight="1">
      <c r="A2976" s="220">
        <v>2970</v>
      </c>
      <c r="B2976" s="173" t="s">
        <v>10522</v>
      </c>
      <c r="C2976" s="461" t="s">
        <v>8828</v>
      </c>
      <c r="D2976" s="88" t="s">
        <v>10523</v>
      </c>
      <c r="E2976" s="476" t="str">
        <f t="shared" ca="1" si="240"/>
        <v>ON TRACK</v>
      </c>
      <c r="F2976" s="174" t="s">
        <v>12613</v>
      </c>
      <c r="G2976" s="173" t="s">
        <v>12614</v>
      </c>
      <c r="H2976" s="160" t="s">
        <v>2748</v>
      </c>
      <c r="I2976" s="160" t="s">
        <v>346</v>
      </c>
      <c r="J2976" s="159" t="s">
        <v>10525</v>
      </c>
      <c r="K2976" s="174" t="s">
        <v>12615</v>
      </c>
      <c r="L2976" s="172"/>
      <c r="M2976" s="158" t="s">
        <v>365</v>
      </c>
      <c r="N2976" s="172" t="s">
        <v>6762</v>
      </c>
      <c r="O2976" s="176"/>
      <c r="P2976" s="175">
        <f>75500000*12</f>
        <v>906000000</v>
      </c>
      <c r="Q2976" s="175"/>
      <c r="R2976" s="176"/>
      <c r="S2976" s="163">
        <v>72000000</v>
      </c>
      <c r="T2976" s="178"/>
      <c r="U2976" s="340">
        <v>46098</v>
      </c>
      <c r="V2976" s="340">
        <v>46462</v>
      </c>
      <c r="W2976" s="158" t="s">
        <v>17</v>
      </c>
      <c r="X2976" s="172"/>
      <c r="Y2976" s="34">
        <f t="shared" ca="1" si="237"/>
        <v>46290</v>
      </c>
      <c r="Z2976" s="35">
        <f t="shared" ca="1" si="236"/>
        <v>172</v>
      </c>
      <c r="AA2976" s="27">
        <f>MONTH(Table1[[#This Row],[End]])</f>
        <v>3</v>
      </c>
      <c r="AB2976" s="27">
        <f t="shared" si="238"/>
        <v>2027</v>
      </c>
      <c r="AC2976" s="194" t="s">
        <v>12616</v>
      </c>
      <c r="AD2976" s="173" t="s">
        <v>12617</v>
      </c>
      <c r="AE2976" s="172">
        <v>4500027935</v>
      </c>
      <c r="AF2976" s="179" t="s">
        <v>333</v>
      </c>
      <c r="AG2976" s="160" t="s">
        <v>12618</v>
      </c>
      <c r="AH2976" s="160"/>
      <c r="AI2976" s="172"/>
      <c r="AJ2976" s="172"/>
      <c r="AK2976" s="172"/>
      <c r="AL2976" s="172"/>
      <c r="AM2976" s="172"/>
      <c r="AN2976" s="172"/>
      <c r="AO2976" s="172"/>
      <c r="AP2976" s="172"/>
      <c r="AQ2976" s="172"/>
      <c r="AR2976" s="479"/>
      <c r="AS2976" s="461"/>
      <c r="AT2976" s="174"/>
    </row>
    <row r="2977" spans="1:46" ht="15" hidden="1" customHeight="1">
      <c r="A2977" s="220">
        <v>2971</v>
      </c>
      <c r="B2977" s="173" t="s">
        <v>154</v>
      </c>
      <c r="C2977" s="159" t="s">
        <v>10695</v>
      </c>
      <c r="D2977" s="487" t="s">
        <v>9227</v>
      </c>
      <c r="E2977" s="113" t="str">
        <f t="shared" ca="1" si="240"/>
        <v>CRITICAL</v>
      </c>
      <c r="F2977" s="174"/>
      <c r="G2977" s="173" t="s">
        <v>12619</v>
      </c>
      <c r="H2977" s="29" t="s">
        <v>2748</v>
      </c>
      <c r="I2977" s="174" t="s">
        <v>346</v>
      </c>
      <c r="J2977" s="454" t="s">
        <v>12620</v>
      </c>
      <c r="K2977" s="174"/>
      <c r="L2977" s="172"/>
      <c r="M2977" s="172" t="s">
        <v>7091</v>
      </c>
      <c r="N2977" s="174" t="s">
        <v>362</v>
      </c>
      <c r="O2977" s="176"/>
      <c r="P2977" s="175">
        <f>10500000*3</f>
        <v>31500000</v>
      </c>
      <c r="Q2977" s="175"/>
      <c r="R2977" s="176"/>
      <c r="S2977" s="177">
        <f>4000000*3</f>
        <v>12000000</v>
      </c>
      <c r="T2977" s="178"/>
      <c r="U2977" s="340">
        <v>46060</v>
      </c>
      <c r="V2977" s="340">
        <v>46148</v>
      </c>
      <c r="W2977" s="27" t="s">
        <v>250</v>
      </c>
      <c r="X2977" s="172"/>
      <c r="Y2977" s="178">
        <f t="shared" ca="1" si="237"/>
        <v>46290</v>
      </c>
      <c r="Z2977" s="35">
        <f t="shared" ca="1" si="236"/>
        <v>-142</v>
      </c>
      <c r="AA2977" s="27">
        <f>MONTH(Table1[[#This Row],[End]])</f>
        <v>5</v>
      </c>
      <c r="AB2977" s="27">
        <f t="shared" si="238"/>
        <v>2026</v>
      </c>
      <c r="AC2977" s="159" t="s">
        <v>12621</v>
      </c>
      <c r="AD2977" s="173" t="s">
        <v>12622</v>
      </c>
      <c r="AE2977" s="172">
        <v>4500027932</v>
      </c>
      <c r="AF2977" s="201" t="s">
        <v>333</v>
      </c>
      <c r="AG2977" s="29" t="s">
        <v>8975</v>
      </c>
      <c r="AH2977" s="160"/>
      <c r="AI2977" s="172"/>
      <c r="AJ2977" s="172"/>
      <c r="AK2977" s="172"/>
      <c r="AL2977" s="172"/>
      <c r="AM2977" s="172"/>
      <c r="AN2977" s="172"/>
      <c r="AO2977" s="172"/>
      <c r="AP2977" s="172"/>
      <c r="AQ2977" s="172"/>
      <c r="AR2977" s="479"/>
      <c r="AS2977" s="461">
        <v>70</v>
      </c>
      <c r="AT2977" s="174"/>
    </row>
    <row r="2978" spans="1:46" ht="15" hidden="1" customHeight="1">
      <c r="A2978" s="220">
        <v>2972</v>
      </c>
      <c r="B2978" s="173" t="s">
        <v>154</v>
      </c>
      <c r="C2978" s="159" t="s">
        <v>10769</v>
      </c>
      <c r="D2978" s="438" t="s">
        <v>9227</v>
      </c>
      <c r="E2978" s="113" t="str">
        <f t="shared" ca="1" si="240"/>
        <v>ON TRACK</v>
      </c>
      <c r="F2978" s="174" t="s">
        <v>10770</v>
      </c>
      <c r="G2978" s="173" t="s">
        <v>10770</v>
      </c>
      <c r="H2978" s="29" t="s">
        <v>2748</v>
      </c>
      <c r="I2978" s="174" t="s">
        <v>346</v>
      </c>
      <c r="J2978" s="454" t="s">
        <v>163</v>
      </c>
      <c r="K2978" s="174"/>
      <c r="L2978" s="172"/>
      <c r="M2978" s="172" t="s">
        <v>7267</v>
      </c>
      <c r="N2978" s="172" t="s">
        <v>6897</v>
      </c>
      <c r="O2978" s="176"/>
      <c r="P2978" s="175">
        <f>8500000*12</f>
        <v>102000000</v>
      </c>
      <c r="Q2978" s="175"/>
      <c r="R2978" s="176"/>
      <c r="S2978" s="177">
        <v>24000000</v>
      </c>
      <c r="T2978" s="178"/>
      <c r="U2978" s="340">
        <v>46096</v>
      </c>
      <c r="V2978" s="340">
        <v>46460</v>
      </c>
      <c r="W2978" s="27" t="s">
        <v>17</v>
      </c>
      <c r="X2978" s="172"/>
      <c r="Y2978" s="178">
        <f t="shared" ca="1" si="237"/>
        <v>46290</v>
      </c>
      <c r="Z2978" s="35">
        <f t="shared" ca="1" si="236"/>
        <v>170</v>
      </c>
      <c r="AA2978" s="27">
        <f>MONTH(Table1[[#This Row],[End]])</f>
        <v>3</v>
      </c>
      <c r="AB2978" s="27">
        <f t="shared" si="238"/>
        <v>2027</v>
      </c>
      <c r="AC2978" s="159" t="s">
        <v>12623</v>
      </c>
      <c r="AD2978" s="173" t="s">
        <v>12624</v>
      </c>
      <c r="AE2978" s="172">
        <v>4500027931</v>
      </c>
      <c r="AF2978" s="201" t="s">
        <v>333</v>
      </c>
      <c r="AG2978" s="29" t="s">
        <v>8975</v>
      </c>
      <c r="AH2978" s="160"/>
      <c r="AI2978" s="172"/>
      <c r="AJ2978" s="172"/>
      <c r="AK2978" s="172"/>
      <c r="AL2978" s="172"/>
      <c r="AM2978" s="172"/>
      <c r="AN2978" s="172"/>
      <c r="AO2978" s="172"/>
      <c r="AP2978" s="172"/>
      <c r="AQ2978" s="172"/>
      <c r="AR2978" s="479"/>
      <c r="AS2978" s="461">
        <v>71</v>
      </c>
      <c r="AT2978" s="174"/>
    </row>
    <row r="2979" spans="1:46" ht="15" hidden="1" customHeight="1">
      <c r="A2979" s="220">
        <v>2973</v>
      </c>
      <c r="B2979" s="173" t="s">
        <v>154</v>
      </c>
      <c r="C2979" s="173" t="s">
        <v>1299</v>
      </c>
      <c r="D2979" s="438" t="s">
        <v>9227</v>
      </c>
      <c r="E2979" s="113" t="str">
        <f t="shared" ca="1" si="240"/>
        <v>ON TRACK</v>
      </c>
      <c r="F2979" s="174"/>
      <c r="G2979" s="173" t="s">
        <v>12625</v>
      </c>
      <c r="H2979" s="29" t="s">
        <v>2748</v>
      </c>
      <c r="I2979" s="174" t="s">
        <v>346</v>
      </c>
      <c r="J2979" s="454" t="s">
        <v>10664</v>
      </c>
      <c r="K2979" s="174"/>
      <c r="L2979" s="172"/>
      <c r="M2979" s="172" t="s">
        <v>329</v>
      </c>
      <c r="N2979" s="172" t="s">
        <v>389</v>
      </c>
      <c r="O2979" s="176"/>
      <c r="P2979" s="175">
        <f>28500000*12</f>
        <v>342000000</v>
      </c>
      <c r="Q2979" s="175"/>
      <c r="R2979" s="176"/>
      <c r="S2979" s="177">
        <v>132000000</v>
      </c>
      <c r="T2979" s="178"/>
      <c r="U2979" s="340">
        <v>46133</v>
      </c>
      <c r="V2979" s="340">
        <v>46497</v>
      </c>
      <c r="W2979" s="27" t="s">
        <v>17</v>
      </c>
      <c r="X2979" s="172"/>
      <c r="Y2979" s="178">
        <f t="shared" ca="1" si="237"/>
        <v>46290</v>
      </c>
      <c r="Z2979" s="35">
        <f t="shared" ca="1" si="236"/>
        <v>207</v>
      </c>
      <c r="AA2979" s="27">
        <f>MONTH(Table1[[#This Row],[End]])</f>
        <v>4</v>
      </c>
      <c r="AB2979" s="27">
        <f t="shared" si="238"/>
        <v>2027</v>
      </c>
      <c r="AC2979" s="159" t="s">
        <v>12626</v>
      </c>
      <c r="AD2979" s="173" t="s">
        <v>12627</v>
      </c>
      <c r="AE2979" s="172">
        <v>4500028041</v>
      </c>
      <c r="AF2979" s="201" t="s">
        <v>333</v>
      </c>
      <c r="AG2979" s="29" t="s">
        <v>8975</v>
      </c>
      <c r="AH2979" s="160"/>
      <c r="AI2979" s="172"/>
      <c r="AJ2979" s="172"/>
      <c r="AK2979" s="172"/>
      <c r="AL2979" s="172"/>
      <c r="AM2979" s="172"/>
      <c r="AN2979" s="172"/>
      <c r="AO2979" s="172"/>
      <c r="AP2979" s="172"/>
      <c r="AQ2979" s="172"/>
      <c r="AR2979" s="479"/>
      <c r="AS2979" s="461">
        <v>75</v>
      </c>
      <c r="AT2979" s="174"/>
    </row>
    <row r="2980" spans="1:46" ht="15" hidden="1" customHeight="1">
      <c r="A2980" s="220">
        <v>2974</v>
      </c>
      <c r="B2980" s="173" t="s">
        <v>154</v>
      </c>
      <c r="C2980" s="173" t="s">
        <v>11165</v>
      </c>
      <c r="D2980" s="438" t="s">
        <v>9227</v>
      </c>
      <c r="E2980" s="113" t="str">
        <f t="shared" ca="1" si="240"/>
        <v>ON TRACK</v>
      </c>
      <c r="F2980" s="174" t="s">
        <v>10770</v>
      </c>
      <c r="G2980" s="173" t="s">
        <v>8480</v>
      </c>
      <c r="H2980" s="29" t="s">
        <v>2748</v>
      </c>
      <c r="I2980" s="174" t="s">
        <v>346</v>
      </c>
      <c r="J2980" s="454" t="s">
        <v>155</v>
      </c>
      <c r="K2980" s="174"/>
      <c r="L2980" s="172"/>
      <c r="M2980" s="172" t="s">
        <v>7267</v>
      </c>
      <c r="N2980" s="172" t="s">
        <v>362</v>
      </c>
      <c r="O2980" s="176"/>
      <c r="P2980" s="175">
        <f>9300000*12</f>
        <v>111600000</v>
      </c>
      <c r="Q2980" s="175"/>
      <c r="R2980" s="176"/>
      <c r="S2980" s="177">
        <v>78000000</v>
      </c>
      <c r="T2980" s="178"/>
      <c r="U2980" s="340">
        <v>46096</v>
      </c>
      <c r="V2980" s="340">
        <v>46460</v>
      </c>
      <c r="W2980" s="27" t="s">
        <v>17</v>
      </c>
      <c r="X2980" s="172"/>
      <c r="Y2980" s="178">
        <f t="shared" ca="1" si="237"/>
        <v>46290</v>
      </c>
      <c r="Z2980" s="35">
        <f t="shared" ca="1" si="236"/>
        <v>170</v>
      </c>
      <c r="AA2980" s="27">
        <f>MONTH(Table1[[#This Row],[End]])</f>
        <v>3</v>
      </c>
      <c r="AB2980" s="27">
        <f t="shared" si="238"/>
        <v>2027</v>
      </c>
      <c r="AC2980" s="159" t="s">
        <v>12628</v>
      </c>
      <c r="AD2980" s="173" t="s">
        <v>12629</v>
      </c>
      <c r="AE2980" s="172">
        <v>4500028042</v>
      </c>
      <c r="AF2980" s="201" t="s">
        <v>333</v>
      </c>
      <c r="AG2980" s="29" t="s">
        <v>8975</v>
      </c>
      <c r="AH2980" s="160"/>
      <c r="AI2980" s="172"/>
      <c r="AJ2980" s="172"/>
      <c r="AK2980" s="172"/>
      <c r="AL2980" s="172"/>
      <c r="AM2980" s="172"/>
      <c r="AN2980" s="172"/>
      <c r="AO2980" s="172"/>
      <c r="AP2980" s="172"/>
      <c r="AQ2980" s="172"/>
      <c r="AR2980" s="479"/>
      <c r="AS2980" s="461">
        <v>112</v>
      </c>
      <c r="AT2980" s="174"/>
    </row>
    <row r="2981" spans="1:46" ht="15" hidden="1" customHeight="1">
      <c r="A2981" s="220">
        <v>2975</v>
      </c>
      <c r="B2981" s="159" t="s">
        <v>4069</v>
      </c>
      <c r="C2981" s="173" t="s">
        <v>12630</v>
      </c>
      <c r="D2981" s="159" t="s">
        <v>4071</v>
      </c>
      <c r="E2981" s="113" t="str">
        <f t="shared" ca="1" si="240"/>
        <v>ON TRACK</v>
      </c>
      <c r="F2981" s="174" t="s">
        <v>12631</v>
      </c>
      <c r="G2981" s="173" t="s">
        <v>12632</v>
      </c>
      <c r="H2981" s="160" t="s">
        <v>2748</v>
      </c>
      <c r="I2981" s="160" t="s">
        <v>242</v>
      </c>
      <c r="J2981" s="454" t="s">
        <v>10212</v>
      </c>
      <c r="K2981" s="174"/>
      <c r="L2981" s="172"/>
      <c r="M2981" s="27" t="s">
        <v>365</v>
      </c>
      <c r="N2981" s="27" t="s">
        <v>6885</v>
      </c>
      <c r="O2981" s="176"/>
      <c r="P2981" s="175">
        <f>2000000*12</f>
        <v>24000000</v>
      </c>
      <c r="Q2981" s="175"/>
      <c r="R2981" s="176"/>
      <c r="S2981" s="177">
        <v>18000000</v>
      </c>
      <c r="T2981" s="178"/>
      <c r="U2981" s="334">
        <v>46087</v>
      </c>
      <c r="V2981" s="334">
        <v>46451</v>
      </c>
      <c r="W2981" s="158" t="s">
        <v>17</v>
      </c>
      <c r="X2981" s="172"/>
      <c r="Y2981" s="34">
        <f t="shared" ca="1" si="237"/>
        <v>46290</v>
      </c>
      <c r="Z2981" s="35">
        <f t="shared" ca="1" si="236"/>
        <v>161</v>
      </c>
      <c r="AA2981" s="27">
        <f>MONTH(Table1[[#This Row],[End]])</f>
        <v>3</v>
      </c>
      <c r="AB2981" s="27">
        <f t="shared" si="238"/>
        <v>2027</v>
      </c>
      <c r="AC2981" s="28" t="s">
        <v>12633</v>
      </c>
      <c r="AD2981" s="173" t="s">
        <v>12634</v>
      </c>
      <c r="AE2981" s="172">
        <v>4500027930</v>
      </c>
      <c r="AF2981" s="201" t="s">
        <v>333</v>
      </c>
      <c r="AG2981" s="174" t="s">
        <v>5611</v>
      </c>
      <c r="AH2981" s="160"/>
      <c r="AI2981" s="172"/>
      <c r="AJ2981" s="172"/>
      <c r="AK2981" s="172"/>
      <c r="AL2981" s="172"/>
      <c r="AM2981" s="172"/>
      <c r="AN2981" s="172"/>
      <c r="AO2981" s="172"/>
      <c r="AP2981" s="172"/>
      <c r="AQ2981" s="172"/>
      <c r="AR2981" s="479"/>
      <c r="AS2981" s="461">
        <v>69</v>
      </c>
      <c r="AT2981" s="174"/>
    </row>
    <row r="2982" spans="1:46" ht="15" hidden="1" customHeight="1">
      <c r="A2982" s="220">
        <v>2976</v>
      </c>
      <c r="B2982" s="159" t="s">
        <v>4069</v>
      </c>
      <c r="C2982" s="173" t="s">
        <v>5491</v>
      </c>
      <c r="D2982" s="159" t="s">
        <v>4071</v>
      </c>
      <c r="E2982" s="113" t="str">
        <f t="shared" ca="1" si="240"/>
        <v>ON TRACK</v>
      </c>
      <c r="F2982" s="160" t="s">
        <v>10656</v>
      </c>
      <c r="G2982" s="173" t="s">
        <v>12635</v>
      </c>
      <c r="H2982" s="160" t="s">
        <v>2748</v>
      </c>
      <c r="I2982" s="160" t="s">
        <v>242</v>
      </c>
      <c r="J2982" s="159" t="s">
        <v>10658</v>
      </c>
      <c r="K2982" s="174"/>
      <c r="L2982" s="172"/>
      <c r="M2982" s="158" t="s">
        <v>7267</v>
      </c>
      <c r="N2982" s="27" t="s">
        <v>6885</v>
      </c>
      <c r="O2982" s="176"/>
      <c r="P2982" s="175">
        <f>12800000*12</f>
        <v>153600000</v>
      </c>
      <c r="Q2982" s="175"/>
      <c r="R2982" s="176"/>
      <c r="S2982" s="177">
        <v>18000000</v>
      </c>
      <c r="T2982" s="178"/>
      <c r="U2982" s="340">
        <v>46095</v>
      </c>
      <c r="V2982" s="340">
        <v>46459</v>
      </c>
      <c r="W2982" s="158" t="s">
        <v>17</v>
      </c>
      <c r="X2982" s="172"/>
      <c r="Y2982" s="34">
        <f t="shared" ca="1" si="237"/>
        <v>46290</v>
      </c>
      <c r="Z2982" s="35">
        <f t="shared" ca="1" si="236"/>
        <v>169</v>
      </c>
      <c r="AA2982" s="27">
        <f>MONTH(Table1[[#This Row],[End]])</f>
        <v>3</v>
      </c>
      <c r="AB2982" s="27">
        <f t="shared" si="238"/>
        <v>2027</v>
      </c>
      <c r="AC2982" s="159" t="s">
        <v>12636</v>
      </c>
      <c r="AD2982" s="173"/>
      <c r="AE2982" s="172">
        <v>4500027617</v>
      </c>
      <c r="AF2982" s="179" t="s">
        <v>339</v>
      </c>
      <c r="AG2982" s="174" t="s">
        <v>5611</v>
      </c>
      <c r="AH2982" s="160"/>
      <c r="AI2982" s="172"/>
      <c r="AJ2982" s="172"/>
      <c r="AK2982" s="172"/>
      <c r="AL2982" s="172"/>
      <c r="AM2982" s="172"/>
      <c r="AN2982" s="172"/>
      <c r="AO2982" s="172"/>
      <c r="AP2982" s="172"/>
      <c r="AQ2982" s="172"/>
      <c r="AR2982" s="479"/>
      <c r="AS2982" s="461">
        <v>37</v>
      </c>
      <c r="AT2982" s="174"/>
    </row>
    <row r="2983" spans="1:46" ht="15" hidden="1" customHeight="1">
      <c r="A2983" s="220">
        <v>2977</v>
      </c>
      <c r="B2983" s="173" t="s">
        <v>542</v>
      </c>
      <c r="C2983" s="173" t="s">
        <v>2319</v>
      </c>
      <c r="D2983" s="437" t="s">
        <v>413</v>
      </c>
      <c r="E2983" s="113" t="str">
        <f t="shared" ca="1" si="240"/>
        <v>ON TRACK</v>
      </c>
      <c r="F2983" s="160" t="s">
        <v>10750</v>
      </c>
      <c r="G2983" s="159"/>
      <c r="H2983" s="160" t="s">
        <v>2748</v>
      </c>
      <c r="I2983" s="160" t="s">
        <v>242</v>
      </c>
      <c r="J2983" s="205" t="s">
        <v>8536</v>
      </c>
      <c r="K2983" s="174"/>
      <c r="L2983" s="172"/>
      <c r="M2983" s="158" t="s">
        <v>329</v>
      </c>
      <c r="N2983" s="158" t="s">
        <v>6835</v>
      </c>
      <c r="O2983" s="176"/>
      <c r="P2983" s="161">
        <f>3500000*12</f>
        <v>42000000</v>
      </c>
      <c r="Q2983" s="175"/>
      <c r="R2983" s="176"/>
      <c r="S2983" s="163">
        <v>6000000</v>
      </c>
      <c r="T2983" s="178"/>
      <c r="U2983" s="340">
        <v>46082</v>
      </c>
      <c r="V2983" s="340">
        <v>46446</v>
      </c>
      <c r="W2983" s="158" t="s">
        <v>17</v>
      </c>
      <c r="X2983" s="172"/>
      <c r="Y2983" s="34">
        <f t="shared" ca="1" si="237"/>
        <v>46290</v>
      </c>
      <c r="Z2983" s="35">
        <f t="shared" ca="1" si="236"/>
        <v>156</v>
      </c>
      <c r="AA2983" s="27">
        <f>MONTH(Table1[[#This Row],[End]])</f>
        <v>2</v>
      </c>
      <c r="AB2983" s="27">
        <f t="shared" si="238"/>
        <v>2027</v>
      </c>
      <c r="AC2983" s="159" t="s">
        <v>12637</v>
      </c>
      <c r="AD2983" s="173" t="s">
        <v>12638</v>
      </c>
      <c r="AE2983" s="172">
        <v>4500028046</v>
      </c>
      <c r="AF2983" s="201" t="s">
        <v>399</v>
      </c>
      <c r="AG2983" s="160" t="s">
        <v>9539</v>
      </c>
      <c r="AH2983" s="160"/>
      <c r="AI2983" s="172"/>
      <c r="AJ2983" s="172"/>
      <c r="AK2983" s="172"/>
      <c r="AL2983" s="172"/>
      <c r="AM2983" s="172"/>
      <c r="AN2983" s="172"/>
      <c r="AO2983" s="172"/>
      <c r="AP2983" s="172"/>
      <c r="AQ2983" s="172"/>
      <c r="AR2983" s="479"/>
      <c r="AS2983" s="461">
        <v>72</v>
      </c>
      <c r="AT2983" s="174"/>
    </row>
    <row r="2984" spans="1:46" ht="15" hidden="1" customHeight="1">
      <c r="A2984" s="220">
        <v>2978</v>
      </c>
      <c r="B2984" s="173" t="s">
        <v>542</v>
      </c>
      <c r="C2984" s="173" t="s">
        <v>2319</v>
      </c>
      <c r="D2984" s="437" t="s">
        <v>413</v>
      </c>
      <c r="E2984" s="113" t="str">
        <f t="shared" ca="1" si="240"/>
        <v>ON TRACK</v>
      </c>
      <c r="F2984" s="174"/>
      <c r="G2984" s="159" t="s">
        <v>10746</v>
      </c>
      <c r="H2984" s="160" t="s">
        <v>2748</v>
      </c>
      <c r="I2984" s="160" t="s">
        <v>242</v>
      </c>
      <c r="J2984" s="205" t="s">
        <v>1651</v>
      </c>
      <c r="K2984" s="174"/>
      <c r="L2984" s="172"/>
      <c r="M2984" s="158" t="s">
        <v>329</v>
      </c>
      <c r="N2984" s="158" t="s">
        <v>6835</v>
      </c>
      <c r="O2984" s="176"/>
      <c r="P2984" s="161">
        <f>3500000*12</f>
        <v>42000000</v>
      </c>
      <c r="Q2984" s="175"/>
      <c r="R2984" s="176"/>
      <c r="S2984" s="163">
        <v>2000000</v>
      </c>
      <c r="T2984" s="178"/>
      <c r="U2984" s="340">
        <v>46140</v>
      </c>
      <c r="V2984" s="340">
        <v>46504</v>
      </c>
      <c r="W2984" s="158" t="s">
        <v>17</v>
      </c>
      <c r="X2984" s="172"/>
      <c r="Y2984" s="34">
        <f t="shared" ca="1" si="237"/>
        <v>46290</v>
      </c>
      <c r="Z2984" s="35">
        <f t="shared" ca="1" si="236"/>
        <v>214</v>
      </c>
      <c r="AA2984" s="27">
        <f>MONTH(Table1[[#This Row],[End]])</f>
        <v>4</v>
      </c>
      <c r="AB2984" s="27">
        <f t="shared" si="238"/>
        <v>2027</v>
      </c>
      <c r="AC2984" s="159" t="s">
        <v>12639</v>
      </c>
      <c r="AD2984" s="173" t="s">
        <v>12640</v>
      </c>
      <c r="AE2984" s="172">
        <v>4500028047</v>
      </c>
      <c r="AF2984" s="201" t="s">
        <v>399</v>
      </c>
      <c r="AG2984" s="160" t="s">
        <v>9539</v>
      </c>
      <c r="AH2984" s="160"/>
      <c r="AI2984" s="172"/>
      <c r="AJ2984" s="172"/>
      <c r="AK2984" s="172"/>
      <c r="AL2984" s="172"/>
      <c r="AM2984" s="172"/>
      <c r="AN2984" s="172"/>
      <c r="AO2984" s="172"/>
      <c r="AP2984" s="172"/>
      <c r="AQ2984" s="172"/>
      <c r="AR2984" s="479"/>
      <c r="AS2984" s="461">
        <v>77</v>
      </c>
      <c r="AT2984" s="174"/>
    </row>
    <row r="2985" spans="1:46" ht="15" hidden="1" customHeight="1">
      <c r="A2985" s="220">
        <v>2979</v>
      </c>
      <c r="B2985" s="173" t="s">
        <v>542</v>
      </c>
      <c r="C2985" s="173" t="s">
        <v>12641</v>
      </c>
      <c r="D2985" s="437" t="s">
        <v>413</v>
      </c>
      <c r="E2985" s="113" t="str">
        <f t="shared" ca="1" si="240"/>
        <v>ON TRACK</v>
      </c>
      <c r="F2985" s="174"/>
      <c r="G2985" s="173" t="s">
        <v>12642</v>
      </c>
      <c r="H2985" s="160" t="s">
        <v>2748</v>
      </c>
      <c r="I2985" s="160" t="s">
        <v>242</v>
      </c>
      <c r="J2985" s="454" t="s">
        <v>1399</v>
      </c>
      <c r="K2985" s="174"/>
      <c r="L2985" s="172"/>
      <c r="M2985" s="172" t="s">
        <v>353</v>
      </c>
      <c r="N2985" s="174"/>
      <c r="O2985" s="176"/>
      <c r="P2985" s="175">
        <f>9600000*12</f>
        <v>115200000</v>
      </c>
      <c r="Q2985" s="175"/>
      <c r="R2985" s="176"/>
      <c r="S2985" s="177">
        <v>6000000</v>
      </c>
      <c r="T2985" s="178"/>
      <c r="U2985" s="340">
        <v>46113</v>
      </c>
      <c r="V2985" s="340">
        <v>46477</v>
      </c>
      <c r="W2985" s="158" t="s">
        <v>17</v>
      </c>
      <c r="X2985" s="172"/>
      <c r="Y2985" s="34">
        <f t="shared" ca="1" si="237"/>
        <v>46290</v>
      </c>
      <c r="Z2985" s="35">
        <f t="shared" ca="1" si="236"/>
        <v>187</v>
      </c>
      <c r="AA2985" s="27">
        <f>MONTH(Table1[[#This Row],[End]])</f>
        <v>3</v>
      </c>
      <c r="AB2985" s="27">
        <f t="shared" si="238"/>
        <v>2027</v>
      </c>
      <c r="AC2985" s="159" t="s">
        <v>12643</v>
      </c>
      <c r="AD2985" s="173" t="s">
        <v>12644</v>
      </c>
      <c r="AE2985" s="172">
        <v>4500028045</v>
      </c>
      <c r="AF2985" s="201" t="s">
        <v>399</v>
      </c>
      <c r="AG2985" s="160" t="s">
        <v>9539</v>
      </c>
      <c r="AH2985" s="160"/>
      <c r="AI2985" s="172"/>
      <c r="AJ2985" s="172"/>
      <c r="AK2985" s="172"/>
      <c r="AL2985" s="172"/>
      <c r="AM2985" s="172"/>
      <c r="AN2985" s="172"/>
      <c r="AO2985" s="172"/>
      <c r="AP2985" s="172"/>
      <c r="AQ2985" s="172"/>
      <c r="AR2985" s="479"/>
      <c r="AS2985" s="461">
        <v>73</v>
      </c>
      <c r="AT2985" s="174"/>
    </row>
    <row r="2986" spans="1:46" ht="15" hidden="1" customHeight="1">
      <c r="A2986" s="220">
        <v>2980</v>
      </c>
      <c r="B2986" s="173" t="s">
        <v>542</v>
      </c>
      <c r="C2986" s="182" t="s">
        <v>10429</v>
      </c>
      <c r="D2986" s="437" t="s">
        <v>413</v>
      </c>
      <c r="E2986" s="113" t="str">
        <f t="shared" ca="1" si="240"/>
        <v>ON TRACK</v>
      </c>
      <c r="F2986" s="203" t="s">
        <v>10430</v>
      </c>
      <c r="G2986" s="159" t="s">
        <v>3387</v>
      </c>
      <c r="H2986" s="160" t="s">
        <v>2748</v>
      </c>
      <c r="I2986" s="160" t="s">
        <v>346</v>
      </c>
      <c r="J2986" s="216" t="s">
        <v>10431</v>
      </c>
      <c r="K2986" s="174"/>
      <c r="L2986" s="172"/>
      <c r="M2986" s="158" t="s">
        <v>365</v>
      </c>
      <c r="N2986" s="174"/>
      <c r="O2986" s="176"/>
      <c r="P2986" s="175">
        <f>21600000*12</f>
        <v>259200000</v>
      </c>
      <c r="Q2986" s="175"/>
      <c r="R2986" s="176"/>
      <c r="S2986" s="177">
        <v>108000000</v>
      </c>
      <c r="T2986" s="178"/>
      <c r="U2986" s="334">
        <v>46023</v>
      </c>
      <c r="V2986" s="334">
        <v>46387</v>
      </c>
      <c r="W2986" s="27" t="s">
        <v>17</v>
      </c>
      <c r="X2986" s="172"/>
      <c r="Y2986" s="34">
        <f t="shared" ca="1" si="237"/>
        <v>46290</v>
      </c>
      <c r="Z2986" s="35">
        <f t="shared" ca="1" si="236"/>
        <v>97</v>
      </c>
      <c r="AA2986" s="27">
        <f>MONTH(V2986)</f>
        <v>12</v>
      </c>
      <c r="AB2986" s="27">
        <f t="shared" si="238"/>
        <v>2026</v>
      </c>
      <c r="AC2986" s="159" t="s">
        <v>12645</v>
      </c>
      <c r="AD2986" s="173" t="s">
        <v>12646</v>
      </c>
      <c r="AE2986" s="172">
        <v>4500028043</v>
      </c>
      <c r="AF2986" s="201" t="s">
        <v>399</v>
      </c>
      <c r="AG2986" s="160" t="s">
        <v>9539</v>
      </c>
      <c r="AH2986" s="160"/>
      <c r="AI2986" s="172"/>
      <c r="AJ2986" s="172"/>
      <c r="AK2986" s="172"/>
      <c r="AL2986" s="172"/>
      <c r="AM2986" s="172"/>
      <c r="AN2986" s="172"/>
      <c r="AO2986" s="172"/>
      <c r="AP2986" s="172"/>
      <c r="AQ2986" s="172"/>
      <c r="AR2986" s="479"/>
      <c r="AS2986" s="461">
        <v>76</v>
      </c>
      <c r="AT2986" s="174"/>
    </row>
    <row r="2987" spans="1:46" ht="15" hidden="1" customHeight="1">
      <c r="A2987" s="220">
        <v>2981</v>
      </c>
      <c r="B2987" s="173" t="s">
        <v>542</v>
      </c>
      <c r="C2987" s="173" t="s">
        <v>8875</v>
      </c>
      <c r="D2987" s="437" t="s">
        <v>413</v>
      </c>
      <c r="E2987" s="113" t="str">
        <f t="shared" ca="1" si="240"/>
        <v>ON TRACK</v>
      </c>
      <c r="F2987" s="160" t="s">
        <v>10741</v>
      </c>
      <c r="G2987" s="159" t="s">
        <v>10742</v>
      </c>
      <c r="H2987" s="160" t="s">
        <v>2748</v>
      </c>
      <c r="I2987" s="160" t="s">
        <v>242</v>
      </c>
      <c r="J2987" s="454" t="s">
        <v>12647</v>
      </c>
      <c r="K2987" s="174"/>
      <c r="L2987" s="172"/>
      <c r="M2987" s="158" t="s">
        <v>365</v>
      </c>
      <c r="N2987" s="158" t="s">
        <v>417</v>
      </c>
      <c r="O2987" s="176"/>
      <c r="P2987" s="161">
        <f>5000000*12</f>
        <v>60000000</v>
      </c>
      <c r="Q2987" s="175"/>
      <c r="R2987" s="176"/>
      <c r="S2987" s="177">
        <v>8000000</v>
      </c>
      <c r="T2987" s="178"/>
      <c r="U2987" s="340">
        <v>46066</v>
      </c>
      <c r="V2987" s="340">
        <v>46430</v>
      </c>
      <c r="W2987" s="158" t="s">
        <v>250</v>
      </c>
      <c r="X2987" s="172"/>
      <c r="Y2987" s="34">
        <f t="shared" ca="1" si="237"/>
        <v>46290</v>
      </c>
      <c r="Z2987" s="35">
        <f t="shared" ca="1" si="236"/>
        <v>140</v>
      </c>
      <c r="AA2987" s="27">
        <f>MONTH(Table1[[#This Row],[End]])</f>
        <v>2</v>
      </c>
      <c r="AB2987" s="27">
        <f t="shared" si="238"/>
        <v>2027</v>
      </c>
      <c r="AC2987" s="159" t="s">
        <v>12648</v>
      </c>
      <c r="AD2987" s="173" t="s">
        <v>12649</v>
      </c>
      <c r="AE2987" s="172">
        <v>4500028049</v>
      </c>
      <c r="AF2987" s="201" t="s">
        <v>399</v>
      </c>
      <c r="AG2987" s="160" t="s">
        <v>9539</v>
      </c>
      <c r="AH2987" s="160"/>
      <c r="AI2987" s="172"/>
      <c r="AJ2987" s="172"/>
      <c r="AK2987" s="172"/>
      <c r="AL2987" s="172"/>
      <c r="AM2987" s="172"/>
      <c r="AN2987" s="172"/>
      <c r="AO2987" s="172"/>
      <c r="AP2987" s="172"/>
      <c r="AQ2987" s="172"/>
      <c r="AR2987" s="479"/>
      <c r="AS2987" s="461">
        <v>74</v>
      </c>
      <c r="AT2987" s="174"/>
    </row>
    <row r="2988" spans="1:46" ht="15" hidden="1" customHeight="1">
      <c r="A2988" s="220">
        <v>2982</v>
      </c>
      <c r="B2988" s="173" t="s">
        <v>542</v>
      </c>
      <c r="C2988" s="173" t="s">
        <v>12213</v>
      </c>
      <c r="D2988" s="437" t="s">
        <v>413</v>
      </c>
      <c r="E2988" s="113" t="str">
        <f t="shared" ca="1" si="240"/>
        <v>ON TRACK</v>
      </c>
      <c r="F2988" s="174"/>
      <c r="G2988" s="173" t="s">
        <v>12214</v>
      </c>
      <c r="H2988" s="160" t="s">
        <v>2748</v>
      </c>
      <c r="I2988" s="160" t="s">
        <v>242</v>
      </c>
      <c r="J2988" s="173"/>
      <c r="K2988" s="180" t="s">
        <v>12215</v>
      </c>
      <c r="L2988" s="172"/>
      <c r="M2988" s="172" t="s">
        <v>353</v>
      </c>
      <c r="N2988" s="158" t="s">
        <v>6949</v>
      </c>
      <c r="O2988" s="176"/>
      <c r="P2988" s="175">
        <v>0</v>
      </c>
      <c r="Q2988" s="175"/>
      <c r="R2988" s="176"/>
      <c r="S2988" s="177">
        <v>8000000</v>
      </c>
      <c r="T2988" s="178"/>
      <c r="U2988" s="340">
        <v>46218</v>
      </c>
      <c r="V2988" s="340">
        <v>46582</v>
      </c>
      <c r="W2988" s="27" t="s">
        <v>17</v>
      </c>
      <c r="X2988" s="172"/>
      <c r="Y2988" s="164">
        <f t="shared" ca="1" si="237"/>
        <v>46290</v>
      </c>
      <c r="Z2988" s="35">
        <f t="shared" ca="1" si="236"/>
        <v>292</v>
      </c>
      <c r="AA2988" s="158">
        <f>MONTH(Table1[[#This Row],[End]])</f>
        <v>7</v>
      </c>
      <c r="AB2988" s="158">
        <f>YEAR(Table1[[#This Row],[End]])</f>
        <v>2027</v>
      </c>
      <c r="AC2988" s="173" t="s">
        <v>12650</v>
      </c>
      <c r="AD2988" s="173" t="s">
        <v>12651</v>
      </c>
      <c r="AE2988" s="172">
        <v>4500028112</v>
      </c>
      <c r="AF2988" s="201" t="s">
        <v>399</v>
      </c>
      <c r="AG2988" s="160" t="s">
        <v>9539</v>
      </c>
      <c r="AH2988" s="160"/>
      <c r="AI2988" s="172"/>
      <c r="AJ2988" s="172"/>
      <c r="AK2988" s="172"/>
      <c r="AL2988" s="172"/>
      <c r="AM2988" s="172"/>
      <c r="AN2988" s="172"/>
      <c r="AO2988" s="172"/>
      <c r="AP2988" s="172"/>
      <c r="AQ2988" s="172"/>
      <c r="AR2988" s="479"/>
      <c r="AS2988" s="461">
        <v>115</v>
      </c>
      <c r="AT2988" s="174"/>
    </row>
    <row r="2989" spans="1:46" ht="15" hidden="1" customHeight="1">
      <c r="A2989" s="220">
        <v>2983</v>
      </c>
      <c r="B2989" s="173" t="s">
        <v>221</v>
      </c>
      <c r="C2989" s="159" t="s">
        <v>2561</v>
      </c>
      <c r="D2989" s="437" t="s">
        <v>369</v>
      </c>
      <c r="E2989" s="113" t="str">
        <f t="shared" ca="1" si="240"/>
        <v>ON TRACK</v>
      </c>
      <c r="F2989" s="160" t="s">
        <v>11099</v>
      </c>
      <c r="G2989" s="159" t="s">
        <v>11100</v>
      </c>
      <c r="H2989" s="160" t="s">
        <v>2748</v>
      </c>
      <c r="I2989" s="160" t="s">
        <v>242</v>
      </c>
      <c r="J2989" s="159" t="s">
        <v>855</v>
      </c>
      <c r="K2989" s="205" t="s">
        <v>11101</v>
      </c>
      <c r="L2989" s="172"/>
      <c r="M2989" s="158" t="s">
        <v>365</v>
      </c>
      <c r="N2989" s="158" t="s">
        <v>7088</v>
      </c>
      <c r="O2989" s="176"/>
      <c r="P2989" s="161">
        <f>40000000*12</f>
        <v>480000000</v>
      </c>
      <c r="Q2989" s="175"/>
      <c r="R2989" s="176"/>
      <c r="S2989" s="163">
        <v>6000000</v>
      </c>
      <c r="T2989" s="178"/>
      <c r="U2989" s="340">
        <v>46128</v>
      </c>
      <c r="V2989" s="340">
        <v>46492</v>
      </c>
      <c r="W2989" s="27" t="s">
        <v>17</v>
      </c>
      <c r="X2989" s="172"/>
      <c r="Y2989" s="164">
        <f t="shared" ca="1" si="237"/>
        <v>46290</v>
      </c>
      <c r="Z2989" s="35">
        <f t="shared" ca="1" si="236"/>
        <v>202</v>
      </c>
      <c r="AA2989" s="158">
        <f>MONTH(Table1[[#This Row],[End]])</f>
        <v>4</v>
      </c>
      <c r="AB2989" s="158">
        <f>YEAR(Table1[[#This Row],[End]])</f>
        <v>2027</v>
      </c>
      <c r="AC2989" s="159" t="s">
        <v>12652</v>
      </c>
      <c r="AD2989" s="173" t="s">
        <v>12653</v>
      </c>
      <c r="AE2989" s="172">
        <v>4500027934</v>
      </c>
      <c r="AF2989" s="158" t="s">
        <v>333</v>
      </c>
      <c r="AG2989" s="174" t="s">
        <v>12654</v>
      </c>
      <c r="AH2989" s="160"/>
      <c r="AI2989" s="172"/>
      <c r="AJ2989" s="172"/>
      <c r="AK2989" s="172"/>
      <c r="AL2989" s="172"/>
      <c r="AM2989" s="172"/>
      <c r="AN2989" s="172"/>
      <c r="AO2989" s="172"/>
      <c r="AP2989" s="172"/>
      <c r="AQ2989" s="172"/>
      <c r="AR2989" s="479"/>
      <c r="AS2989" s="461">
        <v>67</v>
      </c>
      <c r="AT2989" s="174"/>
    </row>
    <row r="2990" spans="1:46" ht="15" hidden="1" customHeight="1">
      <c r="A2990" s="220">
        <v>2984</v>
      </c>
      <c r="B2990" s="173" t="s">
        <v>221</v>
      </c>
      <c r="C2990" s="173" t="s">
        <v>596</v>
      </c>
      <c r="D2990" s="437" t="s">
        <v>369</v>
      </c>
      <c r="E2990" s="113" t="str">
        <f t="shared" ca="1" si="240"/>
        <v>ON TRACK</v>
      </c>
      <c r="F2990" s="160" t="s">
        <v>10824</v>
      </c>
      <c r="G2990" s="159" t="s">
        <v>10825</v>
      </c>
      <c r="H2990" s="160" t="s">
        <v>2748</v>
      </c>
      <c r="I2990" s="160" t="s">
        <v>242</v>
      </c>
      <c r="J2990" s="205" t="s">
        <v>8823</v>
      </c>
      <c r="K2990" s="174"/>
      <c r="L2990" s="172"/>
      <c r="M2990" s="158" t="s">
        <v>365</v>
      </c>
      <c r="N2990" s="158" t="s">
        <v>362</v>
      </c>
      <c r="O2990" s="176"/>
      <c r="P2990" s="161">
        <f>7150000*12</f>
        <v>85800000</v>
      </c>
      <c r="Q2990" s="175"/>
      <c r="R2990" s="176"/>
      <c r="S2990" s="163">
        <v>12000000</v>
      </c>
      <c r="T2990" s="178"/>
      <c r="U2990" s="340">
        <v>46348</v>
      </c>
      <c r="V2990" s="340">
        <v>46712</v>
      </c>
      <c r="W2990" s="158" t="s">
        <v>17</v>
      </c>
      <c r="X2990" s="172"/>
      <c r="Y2990" s="34">
        <f t="shared" ca="1" si="237"/>
        <v>46290</v>
      </c>
      <c r="Z2990" s="35">
        <f t="shared" ca="1" si="236"/>
        <v>422</v>
      </c>
      <c r="AA2990" s="27">
        <f>MONTH(Table1[[#This Row],[End]])</f>
        <v>11</v>
      </c>
      <c r="AB2990" s="27">
        <f>YEAR(V2990)</f>
        <v>2027</v>
      </c>
      <c r="AC2990" s="159" t="s">
        <v>12655</v>
      </c>
      <c r="AD2990" s="173" t="s">
        <v>12656</v>
      </c>
      <c r="AE2990" s="172">
        <v>4500028108</v>
      </c>
      <c r="AF2990" s="201" t="s">
        <v>399</v>
      </c>
      <c r="AG2990" s="174" t="s">
        <v>12654</v>
      </c>
      <c r="AH2990" s="160"/>
      <c r="AI2990" s="172"/>
      <c r="AJ2990" s="172"/>
      <c r="AK2990" s="172"/>
      <c r="AL2990" s="172"/>
      <c r="AM2990" s="172"/>
      <c r="AN2990" s="172"/>
      <c r="AO2990" s="172"/>
      <c r="AP2990" s="172"/>
      <c r="AQ2990" s="172"/>
      <c r="AR2990" s="479"/>
      <c r="AS2990" s="461">
        <v>108</v>
      </c>
      <c r="AT2990" s="174"/>
    </row>
    <row r="2991" spans="1:46" ht="15" hidden="1" customHeight="1">
      <c r="A2991" s="220">
        <v>2985</v>
      </c>
      <c r="B2991" s="173" t="s">
        <v>221</v>
      </c>
      <c r="C2991" s="173" t="s">
        <v>8870</v>
      </c>
      <c r="D2991" s="437" t="s">
        <v>369</v>
      </c>
      <c r="E2991" s="113" t="str">
        <f t="shared" ca="1" si="240"/>
        <v>ON TRACK</v>
      </c>
      <c r="F2991" s="160" t="s">
        <v>10820</v>
      </c>
      <c r="G2991" s="159" t="s">
        <v>10821</v>
      </c>
      <c r="H2991" s="160" t="s">
        <v>2748</v>
      </c>
      <c r="I2991" s="160" t="s">
        <v>242</v>
      </c>
      <c r="J2991" s="205" t="s">
        <v>222</v>
      </c>
      <c r="K2991" s="174"/>
      <c r="L2991" s="172"/>
      <c r="M2991" s="158" t="s">
        <v>365</v>
      </c>
      <c r="N2991" s="158" t="s">
        <v>389</v>
      </c>
      <c r="O2991" s="176"/>
      <c r="P2991" s="161">
        <f>3650000*12</f>
        <v>43800000</v>
      </c>
      <c r="Q2991" s="175"/>
      <c r="R2991" s="176"/>
      <c r="S2991" s="163">
        <v>6000000</v>
      </c>
      <c r="T2991" s="178"/>
      <c r="U2991" s="340">
        <v>46159</v>
      </c>
      <c r="V2991" s="340">
        <v>46523</v>
      </c>
      <c r="W2991" s="158" t="s">
        <v>17</v>
      </c>
      <c r="X2991" s="172"/>
      <c r="Y2991" s="34">
        <f t="shared" ca="1" si="237"/>
        <v>46290</v>
      </c>
      <c r="Z2991" s="35">
        <f t="shared" ca="1" si="236"/>
        <v>233</v>
      </c>
      <c r="AA2991" s="27">
        <f>MONTH(Table1[[#This Row],[End]])</f>
        <v>5</v>
      </c>
      <c r="AB2991" s="27">
        <f>YEAR(V2991)</f>
        <v>2027</v>
      </c>
      <c r="AC2991" s="159" t="s">
        <v>12657</v>
      </c>
      <c r="AD2991" s="173" t="s">
        <v>12658</v>
      </c>
      <c r="AE2991" s="172">
        <v>4500028109</v>
      </c>
      <c r="AF2991" s="201" t="s">
        <v>399</v>
      </c>
      <c r="AG2991" s="174" t="s">
        <v>12654</v>
      </c>
      <c r="AH2991" s="160"/>
      <c r="AI2991" s="172"/>
      <c r="AJ2991" s="172"/>
      <c r="AK2991" s="172"/>
      <c r="AL2991" s="172"/>
      <c r="AM2991" s="172"/>
      <c r="AN2991" s="172"/>
      <c r="AO2991" s="172"/>
      <c r="AP2991" s="172"/>
      <c r="AQ2991" s="172"/>
      <c r="AR2991" s="479"/>
      <c r="AS2991" s="461">
        <v>107</v>
      </c>
      <c r="AT2991" s="174"/>
    </row>
    <row r="2992" spans="1:46" ht="15" hidden="1" customHeight="1">
      <c r="A2992" s="220">
        <v>2986</v>
      </c>
      <c r="B2992" s="173" t="s">
        <v>221</v>
      </c>
      <c r="C2992" s="159" t="s">
        <v>10805</v>
      </c>
      <c r="D2992" s="437" t="s">
        <v>369</v>
      </c>
      <c r="E2992" s="113" t="str">
        <f t="shared" ca="1" si="240"/>
        <v>ON TRACK</v>
      </c>
      <c r="F2992" s="174"/>
      <c r="G2992" s="159" t="s">
        <v>10806</v>
      </c>
      <c r="H2992" s="160" t="s">
        <v>2748</v>
      </c>
      <c r="I2992" s="160" t="s">
        <v>242</v>
      </c>
      <c r="J2992" s="205" t="s">
        <v>10807</v>
      </c>
      <c r="K2992" s="174"/>
      <c r="L2992" s="172"/>
      <c r="M2992" s="158" t="s">
        <v>10808</v>
      </c>
      <c r="N2992" s="172" t="s">
        <v>406</v>
      </c>
      <c r="O2992" s="176"/>
      <c r="P2992" s="175">
        <f>6900000*12</f>
        <v>82800000</v>
      </c>
      <c r="Q2992" s="175"/>
      <c r="R2992" s="176"/>
      <c r="S2992" s="177">
        <v>6000000</v>
      </c>
      <c r="T2992" s="178"/>
      <c r="U2992" s="340">
        <v>46057</v>
      </c>
      <c r="V2992" s="340">
        <v>46421</v>
      </c>
      <c r="W2992" s="158" t="s">
        <v>17</v>
      </c>
      <c r="X2992" s="172"/>
      <c r="Y2992" s="164">
        <f t="shared" ca="1" si="237"/>
        <v>46290</v>
      </c>
      <c r="Z2992" s="35">
        <f t="shared" ca="1" si="236"/>
        <v>131</v>
      </c>
      <c r="AA2992" s="27">
        <f>MONTH(Table1[[#This Row],[End]])</f>
        <v>2</v>
      </c>
      <c r="AB2992" s="158">
        <f>YEAR(Table1[[#This Row],[End]])</f>
        <v>2027</v>
      </c>
      <c r="AC2992" s="182" t="s">
        <v>12659</v>
      </c>
      <c r="AD2992" s="173" t="s">
        <v>12660</v>
      </c>
      <c r="AE2992" s="172">
        <v>4500028051</v>
      </c>
      <c r="AF2992" s="158" t="s">
        <v>333</v>
      </c>
      <c r="AG2992" s="174" t="s">
        <v>12654</v>
      </c>
      <c r="AH2992" s="160"/>
      <c r="AI2992" s="172"/>
      <c r="AJ2992" s="172"/>
      <c r="AK2992" s="172"/>
      <c r="AL2992" s="172"/>
      <c r="AM2992" s="172"/>
      <c r="AN2992" s="172"/>
      <c r="AO2992" s="172"/>
      <c r="AP2992" s="172"/>
      <c r="AQ2992" s="172"/>
      <c r="AR2992" s="479"/>
      <c r="AS2992" s="461">
        <v>114</v>
      </c>
      <c r="AT2992" s="174"/>
    </row>
    <row r="2993" spans="1:46" ht="15" hidden="1" customHeight="1">
      <c r="A2993" s="220">
        <v>2987</v>
      </c>
      <c r="B2993" s="173" t="s">
        <v>450</v>
      </c>
      <c r="C2993" s="173" t="s">
        <v>596</v>
      </c>
      <c r="D2993" s="437" t="s">
        <v>452</v>
      </c>
      <c r="E2993" s="113" t="str">
        <f t="shared" ca="1" si="240"/>
        <v>ON TRACK</v>
      </c>
      <c r="F2993" s="160" t="s">
        <v>10701</v>
      </c>
      <c r="G2993" s="159" t="s">
        <v>10702</v>
      </c>
      <c r="H2993" s="160" t="s">
        <v>2748</v>
      </c>
      <c r="I2993" s="160" t="s">
        <v>242</v>
      </c>
      <c r="J2993" s="205" t="s">
        <v>122</v>
      </c>
      <c r="K2993" s="174"/>
      <c r="L2993" s="172"/>
      <c r="M2993" s="158" t="s">
        <v>365</v>
      </c>
      <c r="N2993" s="158" t="s">
        <v>354</v>
      </c>
      <c r="O2993" s="176"/>
      <c r="P2993" s="161">
        <f>5400000*12</f>
        <v>64800000</v>
      </c>
      <c r="Q2993" s="175"/>
      <c r="R2993" s="176"/>
      <c r="S2993" s="163">
        <v>12000000</v>
      </c>
      <c r="T2993" s="178"/>
      <c r="U2993" s="340">
        <v>46150</v>
      </c>
      <c r="V2993" s="340">
        <v>46514</v>
      </c>
      <c r="W2993" s="158" t="s">
        <v>17</v>
      </c>
      <c r="X2993" s="172"/>
      <c r="Y2993" s="34">
        <f t="shared" ca="1" si="237"/>
        <v>46290</v>
      </c>
      <c r="Z2993" s="35">
        <f t="shared" ca="1" si="236"/>
        <v>224</v>
      </c>
      <c r="AA2993" s="27">
        <f>MONTH(Table1[[#This Row],[End]])</f>
        <v>5</v>
      </c>
      <c r="AB2993" s="27">
        <f>YEAR(V2993)</f>
        <v>2027</v>
      </c>
      <c r="AC2993" s="159" t="s">
        <v>12661</v>
      </c>
      <c r="AD2993" s="173" t="s">
        <v>12662</v>
      </c>
      <c r="AE2993" s="172">
        <v>4500027885</v>
      </c>
      <c r="AF2993" s="201" t="s">
        <v>399</v>
      </c>
      <c r="AG2993" s="160" t="s">
        <v>459</v>
      </c>
      <c r="AH2993" s="160"/>
      <c r="AI2993" s="172"/>
      <c r="AJ2993" s="172"/>
      <c r="AK2993" s="172"/>
      <c r="AL2993" s="172"/>
      <c r="AM2993" s="172"/>
      <c r="AN2993" s="172"/>
      <c r="AO2993" s="172"/>
      <c r="AP2993" s="172"/>
      <c r="AQ2993" s="172"/>
      <c r="AR2993" s="479"/>
      <c r="AS2993" s="461">
        <v>78</v>
      </c>
      <c r="AT2993" s="174"/>
    </row>
    <row r="2994" spans="1:46" ht="15" hidden="1" customHeight="1">
      <c r="A2994" s="220">
        <v>2988</v>
      </c>
      <c r="B2994" s="173" t="s">
        <v>382</v>
      </c>
      <c r="C2994" s="173" t="s">
        <v>2451</v>
      </c>
      <c r="D2994" s="437" t="s">
        <v>384</v>
      </c>
      <c r="E2994" s="113" t="str">
        <f t="shared" ca="1" si="240"/>
        <v>ATTENTION</v>
      </c>
      <c r="F2994" s="160" t="s">
        <v>9806</v>
      </c>
      <c r="G2994" s="159" t="s">
        <v>9807</v>
      </c>
      <c r="H2994" s="160" t="s">
        <v>2748</v>
      </c>
      <c r="I2994" s="160" t="s">
        <v>242</v>
      </c>
      <c r="J2994" s="159" t="s">
        <v>9808</v>
      </c>
      <c r="K2994" s="174"/>
      <c r="L2994" s="172"/>
      <c r="M2994" s="158" t="s">
        <v>365</v>
      </c>
      <c r="N2994" s="174"/>
      <c r="O2994" s="176"/>
      <c r="P2994" s="161">
        <f>5000000*12</f>
        <v>60000000</v>
      </c>
      <c r="Q2994" s="175"/>
      <c r="R2994" s="176"/>
      <c r="S2994" s="177">
        <v>12000000</v>
      </c>
      <c r="T2994" s="178"/>
      <c r="U2994" s="340">
        <v>45976</v>
      </c>
      <c r="V2994" s="340">
        <v>46340</v>
      </c>
      <c r="W2994" s="27" t="s">
        <v>17</v>
      </c>
      <c r="X2994" s="172"/>
      <c r="Y2994" s="164">
        <f t="shared" ca="1" si="237"/>
        <v>46290</v>
      </c>
      <c r="Z2994" s="35">
        <f t="shared" ref="Z2994:Z3025" ca="1" si="241">V2994-Y2994</f>
        <v>50</v>
      </c>
      <c r="AA2994" s="158">
        <f>MONTH(Table1[[#This Row],[End]])</f>
        <v>11</v>
      </c>
      <c r="AB2994" s="158">
        <f>YEAR(Table1[[#This Row],[End]])</f>
        <v>2026</v>
      </c>
      <c r="AC2994" s="159" t="s">
        <v>12663</v>
      </c>
      <c r="AD2994" s="173" t="s">
        <v>12664</v>
      </c>
      <c r="AE2994" s="172">
        <v>4500027774</v>
      </c>
      <c r="AF2994" s="158" t="s">
        <v>333</v>
      </c>
      <c r="AG2994" s="174" t="s">
        <v>392</v>
      </c>
      <c r="AH2994" s="160"/>
      <c r="AI2994" s="172"/>
      <c r="AJ2994" s="172"/>
      <c r="AK2994" s="172"/>
      <c r="AL2994" s="172"/>
      <c r="AM2994" s="172"/>
      <c r="AN2994" s="172"/>
      <c r="AO2994" s="172"/>
      <c r="AP2994" s="172"/>
      <c r="AQ2994" s="172"/>
      <c r="AR2994" s="479"/>
      <c r="AS2994" s="461">
        <v>57</v>
      </c>
      <c r="AT2994" s="174"/>
    </row>
    <row r="2995" spans="1:46" ht="15" hidden="1" customHeight="1">
      <c r="A2995" s="220">
        <v>2989</v>
      </c>
      <c r="B2995" s="173" t="s">
        <v>10578</v>
      </c>
      <c r="C2995" s="173" t="s">
        <v>428</v>
      </c>
      <c r="D2995" s="438" t="s">
        <v>429</v>
      </c>
      <c r="E2995" s="113" t="str">
        <f t="shared" ca="1" si="240"/>
        <v>ON TRACK</v>
      </c>
      <c r="F2995" s="160" t="s">
        <v>430</v>
      </c>
      <c r="G2995" s="159" t="s">
        <v>430</v>
      </c>
      <c r="H2995" s="160" t="s">
        <v>2748</v>
      </c>
      <c r="I2995" s="160" t="s">
        <v>242</v>
      </c>
      <c r="J2995" s="181" t="s">
        <v>431</v>
      </c>
      <c r="K2995" s="174"/>
      <c r="L2995" s="172"/>
      <c r="M2995" s="158" t="s">
        <v>329</v>
      </c>
      <c r="N2995" s="158" t="s">
        <v>389</v>
      </c>
      <c r="O2995" s="176"/>
      <c r="P2995" s="161">
        <f>19000000*12</f>
        <v>228000000</v>
      </c>
      <c r="Q2995" s="175"/>
      <c r="R2995" s="176"/>
      <c r="S2995" s="177">
        <v>12000000</v>
      </c>
      <c r="T2995" s="178"/>
      <c r="U2995" s="340">
        <v>46119</v>
      </c>
      <c r="V2995" s="340">
        <v>46483</v>
      </c>
      <c r="W2995" s="27" t="s">
        <v>17</v>
      </c>
      <c r="X2995" s="172"/>
      <c r="Y2995" s="34">
        <f t="shared" ca="1" si="237"/>
        <v>46290</v>
      </c>
      <c r="Z2995" s="35">
        <f t="shared" ca="1" si="241"/>
        <v>193</v>
      </c>
      <c r="AA2995" s="27">
        <f>MONTH(V2995)</f>
        <v>4</v>
      </c>
      <c r="AB2995" s="27">
        <f>YEAR(V2995)</f>
        <v>2027</v>
      </c>
      <c r="AC2995" s="159" t="s">
        <v>12665</v>
      </c>
      <c r="AD2995" s="159" t="s">
        <v>12666</v>
      </c>
      <c r="AE2995" s="172">
        <v>4500027850</v>
      </c>
      <c r="AF2995" s="201" t="s">
        <v>333</v>
      </c>
      <c r="AG2995" s="174" t="s">
        <v>434</v>
      </c>
      <c r="AH2995" s="160"/>
      <c r="AI2995" s="172"/>
      <c r="AJ2995" s="172"/>
      <c r="AK2995" s="172"/>
      <c r="AL2995" s="172"/>
      <c r="AM2995" s="172"/>
      <c r="AN2995" s="172"/>
      <c r="AO2995" s="172"/>
      <c r="AP2995" s="172"/>
      <c r="AQ2995" s="172"/>
      <c r="AR2995" s="479"/>
      <c r="AS2995" s="461">
        <v>113</v>
      </c>
      <c r="AT2995" s="174"/>
    </row>
    <row r="2996" spans="1:46" ht="15" hidden="1" customHeight="1">
      <c r="A2996" s="220">
        <v>2990</v>
      </c>
      <c r="B2996" s="159" t="s">
        <v>129</v>
      </c>
      <c r="C2996" s="173" t="s">
        <v>2692</v>
      </c>
      <c r="D2996" s="438" t="s">
        <v>2447</v>
      </c>
      <c r="E2996" s="113" t="str">
        <f t="shared" ca="1" si="240"/>
        <v>ON TRACK</v>
      </c>
      <c r="F2996" s="160" t="s">
        <v>11077</v>
      </c>
      <c r="G2996" s="159" t="s">
        <v>11078</v>
      </c>
      <c r="H2996" s="160" t="s">
        <v>2748</v>
      </c>
      <c r="I2996" s="160" t="s">
        <v>346</v>
      </c>
      <c r="J2996" s="173"/>
      <c r="K2996" s="217" t="s">
        <v>9628</v>
      </c>
      <c r="L2996" s="172"/>
      <c r="M2996" s="158" t="s">
        <v>365</v>
      </c>
      <c r="N2996" s="158" t="s">
        <v>12429</v>
      </c>
      <c r="O2996" s="176"/>
      <c r="P2996" s="175">
        <f>12500000*12</f>
        <v>150000000</v>
      </c>
      <c r="Q2996" s="175"/>
      <c r="R2996" s="176"/>
      <c r="S2996" s="163">
        <v>79380000</v>
      </c>
      <c r="T2996" s="178"/>
      <c r="U2996" s="340">
        <v>46125</v>
      </c>
      <c r="V2996" s="340">
        <v>46489</v>
      </c>
      <c r="W2996" s="27" t="s">
        <v>17</v>
      </c>
      <c r="X2996" s="172"/>
      <c r="Y2996" s="164">
        <f t="shared" ref="Y2996:Y3027" ca="1" si="242">TODAY()</f>
        <v>46290</v>
      </c>
      <c r="Z2996" s="35">
        <f t="shared" ca="1" si="241"/>
        <v>199</v>
      </c>
      <c r="AA2996" s="158">
        <f>MONTH(Table1[[#This Row],[End]])</f>
        <v>4</v>
      </c>
      <c r="AB2996" s="158">
        <f>YEAR(Table1[[#This Row],[End]])</f>
        <v>2027</v>
      </c>
      <c r="AC2996" s="182" t="s">
        <v>12667</v>
      </c>
      <c r="AD2996" s="173" t="s">
        <v>12668</v>
      </c>
      <c r="AE2996" s="172">
        <v>4500028174</v>
      </c>
      <c r="AF2996" s="158" t="s">
        <v>333</v>
      </c>
      <c r="AG2996" s="174" t="s">
        <v>367</v>
      </c>
      <c r="AH2996" s="160"/>
      <c r="AI2996" s="172"/>
      <c r="AJ2996" s="172"/>
      <c r="AK2996" s="172"/>
      <c r="AL2996" s="172"/>
      <c r="AM2996" s="172"/>
      <c r="AN2996" s="172"/>
      <c r="AO2996" s="172"/>
      <c r="AP2996" s="172"/>
      <c r="AQ2996" s="172"/>
      <c r="AR2996" s="479"/>
      <c r="AS2996" s="461">
        <v>93</v>
      </c>
      <c r="AT2996" s="174"/>
    </row>
    <row r="2997" spans="1:46" ht="15" hidden="1" customHeight="1">
      <c r="A2997" s="220">
        <v>2991</v>
      </c>
      <c r="B2997" s="159" t="s">
        <v>129</v>
      </c>
      <c r="C2997" s="173" t="s">
        <v>2610</v>
      </c>
      <c r="D2997" s="438" t="s">
        <v>2447</v>
      </c>
      <c r="E2997" s="113" t="str">
        <f t="shared" ca="1" si="240"/>
        <v>ON TRACK</v>
      </c>
      <c r="F2997" s="206" t="s">
        <v>10560</v>
      </c>
      <c r="G2997" s="159" t="s">
        <v>10561</v>
      </c>
      <c r="H2997" s="160" t="s">
        <v>2748</v>
      </c>
      <c r="I2997" s="160" t="s">
        <v>346</v>
      </c>
      <c r="J2997" s="173"/>
      <c r="K2997" s="219">
        <v>110120501409</v>
      </c>
      <c r="L2997" s="172"/>
      <c r="M2997" s="158" t="s">
        <v>329</v>
      </c>
      <c r="N2997" s="158" t="s">
        <v>417</v>
      </c>
      <c r="O2997" s="176"/>
      <c r="P2997" s="161">
        <f>2545455*12</f>
        <v>30545460</v>
      </c>
      <c r="Q2997" s="175"/>
      <c r="R2997" s="176"/>
      <c r="S2997" s="163">
        <v>42525000</v>
      </c>
      <c r="T2997" s="178"/>
      <c r="U2997" s="340">
        <v>46094</v>
      </c>
      <c r="V2997" s="340">
        <v>46458</v>
      </c>
      <c r="W2997" s="158" t="s">
        <v>17</v>
      </c>
      <c r="X2997" s="172"/>
      <c r="Y2997" s="34">
        <f t="shared" ca="1" si="242"/>
        <v>46290</v>
      </c>
      <c r="Z2997" s="35">
        <f t="shared" ca="1" si="241"/>
        <v>168</v>
      </c>
      <c r="AA2997" s="27">
        <f>MONTH(Table1[[#This Row],[End]])</f>
        <v>3</v>
      </c>
      <c r="AB2997" s="27">
        <f>YEAR(V2997)</f>
        <v>2027</v>
      </c>
      <c r="AC2997" s="159" t="s">
        <v>12669</v>
      </c>
      <c r="AD2997" s="173" t="s">
        <v>12670</v>
      </c>
      <c r="AE2997" s="172">
        <v>4500028178</v>
      </c>
      <c r="AF2997" s="201" t="s">
        <v>399</v>
      </c>
      <c r="AG2997" s="174" t="s">
        <v>367</v>
      </c>
      <c r="AH2997" s="160"/>
      <c r="AI2997" s="172"/>
      <c r="AJ2997" s="172"/>
      <c r="AK2997" s="172"/>
      <c r="AL2997" s="172"/>
      <c r="AM2997" s="172"/>
      <c r="AN2997" s="172"/>
      <c r="AO2997" s="172"/>
      <c r="AP2997" s="172"/>
      <c r="AQ2997" s="172"/>
      <c r="AR2997" s="479"/>
      <c r="AS2997" s="461">
        <v>94</v>
      </c>
      <c r="AT2997" s="174"/>
    </row>
    <row r="2998" spans="1:46" ht="15" hidden="1" customHeight="1">
      <c r="A2998" s="220">
        <v>2992</v>
      </c>
      <c r="B2998" s="159" t="s">
        <v>129</v>
      </c>
      <c r="C2998" s="173" t="s">
        <v>2506</v>
      </c>
      <c r="D2998" s="438" t="s">
        <v>2447</v>
      </c>
      <c r="E2998" s="113" t="str">
        <f t="shared" ca="1" si="240"/>
        <v>ON TRACK</v>
      </c>
      <c r="F2998" s="174"/>
      <c r="G2998" s="221" t="s">
        <v>10551</v>
      </c>
      <c r="H2998" s="160" t="s">
        <v>2748</v>
      </c>
      <c r="I2998" s="160" t="s">
        <v>346</v>
      </c>
      <c r="J2998" s="181" t="s">
        <v>132</v>
      </c>
      <c r="K2998" s="174"/>
      <c r="L2998" s="172"/>
      <c r="M2998" s="158" t="s">
        <v>353</v>
      </c>
      <c r="N2998" s="158" t="s">
        <v>389</v>
      </c>
      <c r="O2998" s="176"/>
      <c r="P2998" s="161">
        <f>12000000*12</f>
        <v>144000000</v>
      </c>
      <c r="Q2998" s="175"/>
      <c r="R2998" s="176"/>
      <c r="S2998" s="163">
        <v>15750000</v>
      </c>
      <c r="T2998" s="178"/>
      <c r="U2998" s="340">
        <v>46076</v>
      </c>
      <c r="V2998" s="340">
        <v>46440</v>
      </c>
      <c r="W2998" s="158" t="s">
        <v>17</v>
      </c>
      <c r="X2998" s="172"/>
      <c r="Y2998" s="34">
        <f t="shared" ca="1" si="242"/>
        <v>46290</v>
      </c>
      <c r="Z2998" s="35">
        <f t="shared" ca="1" si="241"/>
        <v>150</v>
      </c>
      <c r="AA2998" s="27">
        <f>MONTH(Table1[[#This Row],[End]])</f>
        <v>2</v>
      </c>
      <c r="AB2998" s="27">
        <f>YEAR(V2998)</f>
        <v>2027</v>
      </c>
      <c r="AC2998" s="159" t="s">
        <v>12671</v>
      </c>
      <c r="AD2998" s="173" t="s">
        <v>12672</v>
      </c>
      <c r="AE2998" s="172">
        <v>4500028177</v>
      </c>
      <c r="AF2998" s="201" t="s">
        <v>399</v>
      </c>
      <c r="AG2998" s="174" t="s">
        <v>367</v>
      </c>
      <c r="AH2998" s="160"/>
      <c r="AI2998" s="172"/>
      <c r="AJ2998" s="172"/>
      <c r="AK2998" s="172"/>
      <c r="AL2998" s="172"/>
      <c r="AM2998" s="172"/>
      <c r="AN2998" s="172"/>
      <c r="AO2998" s="172"/>
      <c r="AP2998" s="172"/>
      <c r="AQ2998" s="172"/>
      <c r="AR2998" s="479"/>
      <c r="AS2998" s="461">
        <v>95</v>
      </c>
      <c r="AT2998" s="174"/>
    </row>
    <row r="2999" spans="1:46" ht="15" hidden="1" customHeight="1">
      <c r="A2999" s="220">
        <v>2993</v>
      </c>
      <c r="B2999" s="159" t="s">
        <v>129</v>
      </c>
      <c r="C2999" s="173" t="s">
        <v>10545</v>
      </c>
      <c r="D2999" s="438" t="s">
        <v>2447</v>
      </c>
      <c r="E2999" s="113" t="str">
        <f t="shared" ca="1" si="240"/>
        <v>ON TRACK</v>
      </c>
      <c r="F2999" s="174"/>
      <c r="G2999" s="159" t="s">
        <v>10546</v>
      </c>
      <c r="H2999" s="160" t="s">
        <v>2748</v>
      </c>
      <c r="I2999" s="160" t="s">
        <v>346</v>
      </c>
      <c r="J2999" s="173"/>
      <c r="K2999" s="181" t="s">
        <v>10547</v>
      </c>
      <c r="L2999" s="172"/>
      <c r="M2999" s="158" t="s">
        <v>6776</v>
      </c>
      <c r="N2999" s="158" t="s">
        <v>362</v>
      </c>
      <c r="O2999" s="176"/>
      <c r="P2999" s="161">
        <f>5500000*12</f>
        <v>66000000</v>
      </c>
      <c r="Q2999" s="175"/>
      <c r="R2999" s="176"/>
      <c r="S2999" s="163">
        <v>630000</v>
      </c>
      <c r="T2999" s="178"/>
      <c r="U2999" s="340">
        <v>46072</v>
      </c>
      <c r="V2999" s="340">
        <v>46436</v>
      </c>
      <c r="W2999" s="158" t="s">
        <v>17</v>
      </c>
      <c r="X2999" s="172"/>
      <c r="Y2999" s="34">
        <f t="shared" ca="1" si="242"/>
        <v>46290</v>
      </c>
      <c r="Z2999" s="35">
        <f t="shared" ca="1" si="241"/>
        <v>146</v>
      </c>
      <c r="AA2999" s="27">
        <f>MONTH(Table1[[#This Row],[End]])</f>
        <v>2</v>
      </c>
      <c r="AB2999" s="27">
        <f>YEAR(V2999)</f>
        <v>2027</v>
      </c>
      <c r="AC2999" s="159" t="s">
        <v>12673</v>
      </c>
      <c r="AD2999" s="173" t="s">
        <v>12674</v>
      </c>
      <c r="AE2999" s="172">
        <v>4500028176</v>
      </c>
      <c r="AF2999" s="201" t="s">
        <v>399</v>
      </c>
      <c r="AG2999" s="174" t="s">
        <v>367</v>
      </c>
      <c r="AH2999" s="160"/>
      <c r="AI2999" s="172"/>
      <c r="AJ2999" s="172"/>
      <c r="AK2999" s="172"/>
      <c r="AL2999" s="172"/>
      <c r="AM2999" s="172"/>
      <c r="AN2999" s="172"/>
      <c r="AO2999" s="172"/>
      <c r="AP2999" s="172"/>
      <c r="AQ2999" s="172"/>
      <c r="AR2999" s="479"/>
      <c r="AS2999" s="461">
        <v>96</v>
      </c>
      <c r="AT2999" s="174"/>
    </row>
    <row r="3000" spans="1:46" ht="15" hidden="1" customHeight="1">
      <c r="A3000" s="220">
        <v>2994</v>
      </c>
      <c r="B3000" s="159" t="s">
        <v>129</v>
      </c>
      <c r="C3000" s="173" t="s">
        <v>8892</v>
      </c>
      <c r="D3000" s="438" t="s">
        <v>2447</v>
      </c>
      <c r="E3000" s="113" t="str">
        <f t="shared" ca="1" si="240"/>
        <v>ON TRACK</v>
      </c>
      <c r="F3000" s="174"/>
      <c r="G3000" s="159" t="s">
        <v>10555</v>
      </c>
      <c r="H3000" s="160" t="s">
        <v>2748</v>
      </c>
      <c r="I3000" s="160" t="s">
        <v>346</v>
      </c>
      <c r="J3000" s="205" t="s">
        <v>10556</v>
      </c>
      <c r="K3000" s="174"/>
      <c r="L3000" s="172"/>
      <c r="M3000" s="158" t="s">
        <v>6776</v>
      </c>
      <c r="N3000" s="158" t="s">
        <v>362</v>
      </c>
      <c r="O3000" s="176"/>
      <c r="P3000" s="161">
        <f>5000000*12</f>
        <v>60000000</v>
      </c>
      <c r="Q3000" s="175"/>
      <c r="R3000" s="176"/>
      <c r="S3000" s="163">
        <v>23625000</v>
      </c>
      <c r="T3000" s="178"/>
      <c r="U3000" s="340">
        <v>46087</v>
      </c>
      <c r="V3000" s="340">
        <v>46451</v>
      </c>
      <c r="W3000" s="158" t="s">
        <v>17</v>
      </c>
      <c r="X3000" s="172"/>
      <c r="Y3000" s="34">
        <f t="shared" ca="1" si="242"/>
        <v>46290</v>
      </c>
      <c r="Z3000" s="35">
        <f t="shared" ca="1" si="241"/>
        <v>161</v>
      </c>
      <c r="AA3000" s="27">
        <f>MONTH(Table1[[#This Row],[End]])</f>
        <v>3</v>
      </c>
      <c r="AB3000" s="27">
        <f>YEAR(V3000)</f>
        <v>2027</v>
      </c>
      <c r="AC3000" s="159" t="s">
        <v>12675</v>
      </c>
      <c r="AD3000" s="173" t="s">
        <v>12676</v>
      </c>
      <c r="AE3000" s="172">
        <v>4500028175</v>
      </c>
      <c r="AF3000" s="201" t="s">
        <v>399</v>
      </c>
      <c r="AG3000" s="174" t="s">
        <v>367</v>
      </c>
      <c r="AH3000" s="160"/>
      <c r="AI3000" s="172"/>
      <c r="AJ3000" s="172"/>
      <c r="AK3000" s="172"/>
      <c r="AL3000" s="172"/>
      <c r="AM3000" s="172"/>
      <c r="AN3000" s="172"/>
      <c r="AO3000" s="172"/>
      <c r="AP3000" s="172"/>
      <c r="AQ3000" s="172"/>
      <c r="AR3000" s="479"/>
      <c r="AS3000" s="461">
        <v>97</v>
      </c>
      <c r="AT3000" s="174"/>
    </row>
    <row r="3001" spans="1:46" ht="15" hidden="1" customHeight="1">
      <c r="A3001" s="220">
        <v>2995</v>
      </c>
      <c r="B3001" s="159" t="s">
        <v>129</v>
      </c>
      <c r="C3001" s="173" t="s">
        <v>11804</v>
      </c>
      <c r="D3001" s="438" t="s">
        <v>2447</v>
      </c>
      <c r="E3001" s="113" t="str">
        <f t="shared" ca="1" si="240"/>
        <v>ON TRACK</v>
      </c>
      <c r="F3001" s="174"/>
      <c r="G3001" s="159" t="s">
        <v>364</v>
      </c>
      <c r="H3001" s="160" t="s">
        <v>2748</v>
      </c>
      <c r="I3001" s="160" t="s">
        <v>346</v>
      </c>
      <c r="J3001" s="454" t="s">
        <v>12677</v>
      </c>
      <c r="K3001" s="181" t="s">
        <v>11805</v>
      </c>
      <c r="L3001" s="172"/>
      <c r="M3001" s="158" t="s">
        <v>7091</v>
      </c>
      <c r="N3001" s="174"/>
      <c r="O3001" s="176"/>
      <c r="P3001" s="175">
        <f>15000000*12</f>
        <v>180000000</v>
      </c>
      <c r="Q3001" s="175"/>
      <c r="R3001" s="176"/>
      <c r="S3001" s="177">
        <v>15750000</v>
      </c>
      <c r="T3001" s="178"/>
      <c r="U3001" s="340">
        <v>46023</v>
      </c>
      <c r="V3001" s="340">
        <v>46387</v>
      </c>
      <c r="W3001" s="158" t="s">
        <v>17</v>
      </c>
      <c r="X3001" s="172"/>
      <c r="Y3001" s="34">
        <f t="shared" ca="1" si="242"/>
        <v>46290</v>
      </c>
      <c r="Z3001" s="35">
        <f t="shared" ca="1" si="241"/>
        <v>97</v>
      </c>
      <c r="AA3001" s="158">
        <f>MONTH(V3001)</f>
        <v>12</v>
      </c>
      <c r="AB3001" s="158">
        <f>YEAR(V3001)</f>
        <v>2026</v>
      </c>
      <c r="AC3001" s="159" t="s">
        <v>12678</v>
      </c>
      <c r="AD3001" s="173" t="s">
        <v>12679</v>
      </c>
      <c r="AE3001" s="172">
        <v>4500028392</v>
      </c>
      <c r="AF3001" s="201" t="s">
        <v>333</v>
      </c>
      <c r="AG3001" s="160" t="s">
        <v>367</v>
      </c>
      <c r="AH3001" s="160"/>
      <c r="AI3001" s="172"/>
      <c r="AJ3001" s="172"/>
      <c r="AK3001" s="172"/>
      <c r="AL3001" s="172"/>
      <c r="AM3001" s="172"/>
      <c r="AN3001" s="172"/>
      <c r="AO3001" s="172"/>
      <c r="AP3001" s="172"/>
      <c r="AQ3001" s="172"/>
      <c r="AR3001" s="479"/>
      <c r="AS3001" s="461">
        <v>98</v>
      </c>
      <c r="AT3001" s="174"/>
    </row>
    <row r="3002" spans="1:46" ht="15" hidden="1" customHeight="1">
      <c r="A3002" s="220">
        <v>2996</v>
      </c>
      <c r="B3002" s="159" t="s">
        <v>129</v>
      </c>
      <c r="C3002" s="173" t="s">
        <v>2446</v>
      </c>
      <c r="D3002" s="438" t="s">
        <v>2447</v>
      </c>
      <c r="E3002" s="113" t="str">
        <f t="shared" ca="1" si="240"/>
        <v>ON TRACK</v>
      </c>
      <c r="F3002" s="160" t="s">
        <v>11066</v>
      </c>
      <c r="G3002" s="159" t="s">
        <v>11067</v>
      </c>
      <c r="H3002" s="160" t="s">
        <v>2748</v>
      </c>
      <c r="I3002" s="160" t="s">
        <v>346</v>
      </c>
      <c r="J3002" s="205" t="s">
        <v>2699</v>
      </c>
      <c r="K3002" s="174"/>
      <c r="L3002" s="172"/>
      <c r="M3002" s="158" t="s">
        <v>365</v>
      </c>
      <c r="N3002" s="158" t="s">
        <v>6762</v>
      </c>
      <c r="O3002" s="176"/>
      <c r="P3002" s="161">
        <f>47000000*12</f>
        <v>564000000</v>
      </c>
      <c r="Q3002" s="175"/>
      <c r="R3002" s="176"/>
      <c r="S3002" s="163">
        <v>28350000</v>
      </c>
      <c r="T3002" s="178"/>
      <c r="U3002" s="340">
        <v>46165</v>
      </c>
      <c r="V3002" s="340">
        <v>46529</v>
      </c>
      <c r="W3002" s="27" t="s">
        <v>17</v>
      </c>
      <c r="X3002" s="172"/>
      <c r="Y3002" s="164">
        <f t="shared" ca="1" si="242"/>
        <v>46290</v>
      </c>
      <c r="Z3002" s="35">
        <f t="shared" ca="1" si="241"/>
        <v>239</v>
      </c>
      <c r="AA3002" s="158">
        <f>MONTH(Table1[[#This Row],[End]])</f>
        <v>5</v>
      </c>
      <c r="AB3002" s="158">
        <f>YEAR(Table1[[#This Row],[End]])</f>
        <v>2027</v>
      </c>
      <c r="AC3002" s="182" t="s">
        <v>12680</v>
      </c>
      <c r="AD3002" s="173" t="s">
        <v>12681</v>
      </c>
      <c r="AE3002" s="172">
        <v>4500028184</v>
      </c>
      <c r="AF3002" s="158" t="s">
        <v>333</v>
      </c>
      <c r="AG3002" s="174" t="s">
        <v>367</v>
      </c>
      <c r="AH3002" s="160"/>
      <c r="AI3002" s="172"/>
      <c r="AJ3002" s="172"/>
      <c r="AK3002" s="172"/>
      <c r="AL3002" s="172"/>
      <c r="AM3002" s="172"/>
      <c r="AN3002" s="172"/>
      <c r="AO3002" s="172"/>
      <c r="AP3002" s="172"/>
      <c r="AQ3002" s="172"/>
      <c r="AR3002" s="479"/>
      <c r="AS3002" s="461">
        <v>99</v>
      </c>
      <c r="AT3002" s="174"/>
    </row>
    <row r="3003" spans="1:46" ht="15" hidden="1" customHeight="1">
      <c r="A3003" s="220">
        <v>2997</v>
      </c>
      <c r="B3003" s="159" t="s">
        <v>129</v>
      </c>
      <c r="C3003" s="173" t="s">
        <v>2203</v>
      </c>
      <c r="D3003" s="438" t="s">
        <v>2447</v>
      </c>
      <c r="E3003" s="113" t="str">
        <f t="shared" ca="1" si="240"/>
        <v>ON TRACK</v>
      </c>
      <c r="F3003" s="174"/>
      <c r="G3003" s="159" t="s">
        <v>364</v>
      </c>
      <c r="H3003" s="160" t="s">
        <v>2748</v>
      </c>
      <c r="I3003" s="160" t="s">
        <v>346</v>
      </c>
      <c r="J3003" s="173"/>
      <c r="K3003" s="181" t="s">
        <v>11796</v>
      </c>
      <c r="L3003" s="172"/>
      <c r="M3003" s="158" t="s">
        <v>7091</v>
      </c>
      <c r="N3003" s="174"/>
      <c r="O3003" s="176"/>
      <c r="P3003" s="161">
        <f>4350000*12</f>
        <v>52200000</v>
      </c>
      <c r="Q3003" s="175"/>
      <c r="R3003" s="176"/>
      <c r="S3003" s="177">
        <v>71400000</v>
      </c>
      <c r="T3003" s="178"/>
      <c r="U3003" s="340">
        <v>46023</v>
      </c>
      <c r="V3003" s="340">
        <v>46387</v>
      </c>
      <c r="W3003" s="158" t="s">
        <v>17</v>
      </c>
      <c r="X3003" s="172"/>
      <c r="Y3003" s="34">
        <f t="shared" ca="1" si="242"/>
        <v>46290</v>
      </c>
      <c r="Z3003" s="35">
        <f t="shared" ca="1" si="241"/>
        <v>97</v>
      </c>
      <c r="AA3003" s="158">
        <f>MONTH(V3003)</f>
        <v>12</v>
      </c>
      <c r="AB3003" s="158">
        <f>YEAR(V3003)</f>
        <v>2026</v>
      </c>
      <c r="AC3003" s="159" t="s">
        <v>12682</v>
      </c>
      <c r="AD3003" s="173" t="s">
        <v>12683</v>
      </c>
      <c r="AE3003" s="172">
        <v>4500028393</v>
      </c>
      <c r="AF3003" s="201" t="s">
        <v>333</v>
      </c>
      <c r="AG3003" s="174" t="s">
        <v>367</v>
      </c>
      <c r="AH3003" s="160"/>
      <c r="AI3003" s="172"/>
      <c r="AJ3003" s="172"/>
      <c r="AK3003" s="172"/>
      <c r="AL3003" s="172"/>
      <c r="AM3003" s="172"/>
      <c r="AN3003" s="172"/>
      <c r="AO3003" s="172"/>
      <c r="AP3003" s="172"/>
      <c r="AQ3003" s="172"/>
      <c r="AR3003" s="479"/>
      <c r="AS3003" s="461">
        <v>100</v>
      </c>
      <c r="AT3003" s="174"/>
    </row>
    <row r="3004" spans="1:46" ht="15" hidden="1" customHeight="1">
      <c r="A3004" s="220">
        <v>2998</v>
      </c>
      <c r="B3004" s="173" t="s">
        <v>71</v>
      </c>
      <c r="C3004" s="173" t="s">
        <v>889</v>
      </c>
      <c r="D3004" s="438" t="s">
        <v>490</v>
      </c>
      <c r="E3004" s="113" t="str">
        <f t="shared" ca="1" si="240"/>
        <v>ON TRACK</v>
      </c>
      <c r="F3004" s="174"/>
      <c r="G3004" s="173" t="s">
        <v>12684</v>
      </c>
      <c r="H3004" s="174" t="s">
        <v>2748</v>
      </c>
      <c r="I3004" s="174" t="s">
        <v>242</v>
      </c>
      <c r="J3004" s="454" t="s">
        <v>12685</v>
      </c>
      <c r="K3004" s="174"/>
      <c r="L3004" s="172"/>
      <c r="M3004" s="172" t="s">
        <v>6776</v>
      </c>
      <c r="N3004" s="172" t="s">
        <v>8337</v>
      </c>
      <c r="O3004" s="176"/>
      <c r="P3004" s="175">
        <f>25500000*12</f>
        <v>306000000</v>
      </c>
      <c r="Q3004" s="175"/>
      <c r="R3004" s="176"/>
      <c r="S3004" s="177">
        <v>36000000</v>
      </c>
      <c r="T3004" s="178"/>
      <c r="U3004" s="334">
        <v>46087</v>
      </c>
      <c r="V3004" s="334">
        <v>46451</v>
      </c>
      <c r="W3004" s="27" t="s">
        <v>17</v>
      </c>
      <c r="X3004" s="172"/>
      <c r="Y3004" s="34">
        <f t="shared" ca="1" si="242"/>
        <v>46290</v>
      </c>
      <c r="Z3004" s="35">
        <f t="shared" ca="1" si="241"/>
        <v>161</v>
      </c>
      <c r="AA3004" s="27">
        <f>MONTH(V3004)</f>
        <v>3</v>
      </c>
      <c r="AB3004" s="27">
        <f>YEAR(V3004)</f>
        <v>2027</v>
      </c>
      <c r="AC3004" s="173" t="s">
        <v>12686</v>
      </c>
      <c r="AD3004" s="173" t="s">
        <v>12687</v>
      </c>
      <c r="AE3004" s="172">
        <v>4500028207</v>
      </c>
      <c r="AF3004" s="201" t="s">
        <v>333</v>
      </c>
      <c r="AG3004" s="174" t="s">
        <v>12688</v>
      </c>
      <c r="AH3004" s="160"/>
      <c r="AI3004" s="172"/>
      <c r="AJ3004" s="172"/>
      <c r="AK3004" s="172"/>
      <c r="AL3004" s="172"/>
      <c r="AM3004" s="172"/>
      <c r="AN3004" s="172"/>
      <c r="AO3004" s="172"/>
      <c r="AP3004" s="172"/>
      <c r="AQ3004" s="172"/>
      <c r="AR3004" s="479"/>
      <c r="AS3004" s="461">
        <v>101</v>
      </c>
      <c r="AT3004" s="174"/>
    </row>
    <row r="3005" spans="1:46" ht="15" hidden="1" customHeight="1">
      <c r="A3005" s="220">
        <v>2999</v>
      </c>
      <c r="B3005" s="173" t="s">
        <v>71</v>
      </c>
      <c r="C3005" s="173" t="s">
        <v>10724</v>
      </c>
      <c r="D3005" s="438" t="s">
        <v>490</v>
      </c>
      <c r="E3005" s="113" t="str">
        <f t="shared" ca="1" si="240"/>
        <v>ON TRACK</v>
      </c>
      <c r="F3005" s="174" t="s">
        <v>10725</v>
      </c>
      <c r="G3005" s="173" t="s">
        <v>10726</v>
      </c>
      <c r="H3005" s="174" t="s">
        <v>2748</v>
      </c>
      <c r="I3005" s="174" t="s">
        <v>242</v>
      </c>
      <c r="J3005" s="454" t="s">
        <v>95</v>
      </c>
      <c r="K3005" s="174"/>
      <c r="L3005" s="172"/>
      <c r="M3005" s="172" t="s">
        <v>329</v>
      </c>
      <c r="N3005" s="172" t="s">
        <v>494</v>
      </c>
      <c r="O3005" s="176"/>
      <c r="P3005" s="175">
        <f>2954500*12</f>
        <v>35454000</v>
      </c>
      <c r="Q3005" s="175"/>
      <c r="R3005" s="176"/>
      <c r="S3005" s="177">
        <v>18000000</v>
      </c>
      <c r="T3005" s="178"/>
      <c r="U3005" s="334">
        <v>46170</v>
      </c>
      <c r="V3005" s="334">
        <v>46534</v>
      </c>
      <c r="W3005" s="27" t="s">
        <v>17</v>
      </c>
      <c r="X3005" s="172"/>
      <c r="Y3005" s="34">
        <f t="shared" ca="1" si="242"/>
        <v>46290</v>
      </c>
      <c r="Z3005" s="35">
        <f t="shared" ca="1" si="241"/>
        <v>244</v>
      </c>
      <c r="AA3005" s="27">
        <f>MONTH(V3005)</f>
        <v>5</v>
      </c>
      <c r="AB3005" s="27">
        <f>YEAR(V3005)</f>
        <v>2027</v>
      </c>
      <c r="AC3005" s="173" t="s">
        <v>12689</v>
      </c>
      <c r="AD3005" s="173" t="s">
        <v>12690</v>
      </c>
      <c r="AE3005" s="172">
        <v>4500028206</v>
      </c>
      <c r="AF3005" s="201" t="s">
        <v>333</v>
      </c>
      <c r="AG3005" s="174" t="s">
        <v>12688</v>
      </c>
      <c r="AH3005" s="160"/>
      <c r="AI3005" s="172"/>
      <c r="AJ3005" s="172"/>
      <c r="AK3005" s="172"/>
      <c r="AL3005" s="172"/>
      <c r="AM3005" s="172"/>
      <c r="AN3005" s="172"/>
      <c r="AO3005" s="172"/>
      <c r="AP3005" s="172"/>
      <c r="AQ3005" s="172"/>
      <c r="AR3005" s="479"/>
      <c r="AS3005" s="461">
        <v>102</v>
      </c>
      <c r="AT3005" s="174"/>
    </row>
    <row r="3006" spans="1:46" ht="15" hidden="1" customHeight="1">
      <c r="A3006" s="220">
        <v>3000</v>
      </c>
      <c r="B3006" s="173" t="s">
        <v>71</v>
      </c>
      <c r="C3006" s="173" t="s">
        <v>10710</v>
      </c>
      <c r="D3006" s="438" t="s">
        <v>490</v>
      </c>
      <c r="E3006" s="113" t="str">
        <f t="shared" ref="E3006:E3033" ca="1" si="243">IF(AND(Z3006&gt;=60, Z3006&lt;=3000), "ON TRACK",IF(AND(Z3006&gt;=36, Z3006&lt;=59), "ATTENTION",IF(AND(Z3006&gt;=1, Z3006&lt;=35), "WARNING",IF(AND(Z3006&gt;=-3000, Z3006&lt;=0), "CRITICAL", ""))))</f>
        <v>ON TRACK</v>
      </c>
      <c r="F3006" s="174" t="s">
        <v>10711</v>
      </c>
      <c r="G3006" s="173" t="s">
        <v>10712</v>
      </c>
      <c r="H3006" s="174" t="s">
        <v>2748</v>
      </c>
      <c r="I3006" s="174" t="s">
        <v>242</v>
      </c>
      <c r="J3006" s="173"/>
      <c r="K3006" s="180" t="s">
        <v>12691</v>
      </c>
      <c r="L3006" s="172"/>
      <c r="M3006" s="172" t="s">
        <v>365</v>
      </c>
      <c r="N3006" s="172"/>
      <c r="O3006" s="176"/>
      <c r="P3006" s="175">
        <f>7000000*12</f>
        <v>84000000</v>
      </c>
      <c r="Q3006" s="175"/>
      <c r="R3006" s="176"/>
      <c r="S3006" s="177">
        <v>18000000</v>
      </c>
      <c r="T3006" s="178"/>
      <c r="U3006" s="334">
        <v>46162</v>
      </c>
      <c r="V3006" s="334">
        <v>46526</v>
      </c>
      <c r="W3006" s="27" t="s">
        <v>17</v>
      </c>
      <c r="X3006" s="172"/>
      <c r="Y3006" s="34">
        <f t="shared" ca="1" si="242"/>
        <v>46290</v>
      </c>
      <c r="Z3006" s="35">
        <f t="shared" ca="1" si="241"/>
        <v>236</v>
      </c>
      <c r="AA3006" s="27">
        <f>MONTH(V3006)</f>
        <v>5</v>
      </c>
      <c r="AB3006" s="27">
        <f>YEAR(V3006)</f>
        <v>2027</v>
      </c>
      <c r="AC3006" s="173" t="s">
        <v>12692</v>
      </c>
      <c r="AD3006" s="173" t="s">
        <v>12693</v>
      </c>
      <c r="AE3006" s="172">
        <v>4500028114</v>
      </c>
      <c r="AF3006" s="201" t="s">
        <v>333</v>
      </c>
      <c r="AG3006" s="174" t="s">
        <v>12688</v>
      </c>
      <c r="AH3006" s="160"/>
      <c r="AI3006" s="172"/>
      <c r="AJ3006" s="172"/>
      <c r="AK3006" s="172"/>
      <c r="AL3006" s="172"/>
      <c r="AM3006" s="172"/>
      <c r="AN3006" s="172"/>
      <c r="AO3006" s="172"/>
      <c r="AP3006" s="172"/>
      <c r="AQ3006" s="172"/>
      <c r="AR3006" s="479"/>
      <c r="AS3006" s="461">
        <v>103</v>
      </c>
      <c r="AT3006" s="174"/>
    </row>
    <row r="3007" spans="1:46" ht="15" hidden="1" customHeight="1">
      <c r="A3007" s="220">
        <v>3001</v>
      </c>
      <c r="B3007" s="173" t="s">
        <v>71</v>
      </c>
      <c r="C3007" s="173" t="s">
        <v>8828</v>
      </c>
      <c r="D3007" s="438" t="s">
        <v>490</v>
      </c>
      <c r="E3007" s="113" t="str">
        <f t="shared" ca="1" si="243"/>
        <v>ON TRACK</v>
      </c>
      <c r="F3007" s="174" t="s">
        <v>10980</v>
      </c>
      <c r="G3007" s="173" t="s">
        <v>10980</v>
      </c>
      <c r="H3007" s="174" t="s">
        <v>2748</v>
      </c>
      <c r="I3007" s="174" t="s">
        <v>242</v>
      </c>
      <c r="J3007" s="454" t="s">
        <v>12694</v>
      </c>
      <c r="K3007" s="180" t="s">
        <v>12695</v>
      </c>
      <c r="L3007" s="172"/>
      <c r="M3007" s="172" t="s">
        <v>329</v>
      </c>
      <c r="N3007" s="172" t="s">
        <v>362</v>
      </c>
      <c r="O3007" s="176"/>
      <c r="P3007" s="175">
        <f>16400000*12</f>
        <v>196800000</v>
      </c>
      <c r="Q3007" s="175"/>
      <c r="R3007" s="176"/>
      <c r="S3007" s="177">
        <v>144000000</v>
      </c>
      <c r="T3007" s="178"/>
      <c r="U3007" s="334">
        <v>46163</v>
      </c>
      <c r="V3007" s="334">
        <v>46527</v>
      </c>
      <c r="W3007" s="27" t="s">
        <v>17</v>
      </c>
      <c r="X3007" s="172"/>
      <c r="Y3007" s="34">
        <f t="shared" ca="1" si="242"/>
        <v>46290</v>
      </c>
      <c r="Z3007" s="35">
        <f t="shared" ca="1" si="241"/>
        <v>237</v>
      </c>
      <c r="AA3007" s="27">
        <f>MONTH(V3007)</f>
        <v>5</v>
      </c>
      <c r="AB3007" s="27">
        <f>YEAR(V3007)</f>
        <v>2027</v>
      </c>
      <c r="AC3007" s="173" t="s">
        <v>12696</v>
      </c>
      <c r="AD3007" s="173" t="s">
        <v>12697</v>
      </c>
      <c r="AE3007" s="172">
        <v>4500028205</v>
      </c>
      <c r="AF3007" s="201" t="s">
        <v>333</v>
      </c>
      <c r="AG3007" s="174" t="s">
        <v>12688</v>
      </c>
      <c r="AH3007" s="160"/>
      <c r="AI3007" s="172"/>
      <c r="AJ3007" s="172"/>
      <c r="AK3007" s="172"/>
      <c r="AL3007" s="172"/>
      <c r="AM3007" s="172"/>
      <c r="AN3007" s="172"/>
      <c r="AO3007" s="172"/>
      <c r="AP3007" s="172"/>
      <c r="AQ3007" s="172"/>
      <c r="AR3007" s="479"/>
      <c r="AS3007" s="461">
        <v>104</v>
      </c>
      <c r="AT3007" s="174"/>
    </row>
    <row r="3008" spans="1:46" ht="15" hidden="1" customHeight="1">
      <c r="A3008" s="220">
        <v>3002</v>
      </c>
      <c r="B3008" s="159" t="s">
        <v>526</v>
      </c>
      <c r="C3008" s="159" t="s">
        <v>2610</v>
      </c>
      <c r="D3008" s="437" t="s">
        <v>10439</v>
      </c>
      <c r="E3008" s="28" t="str">
        <f t="shared" ca="1" si="243"/>
        <v>ON TRACK</v>
      </c>
      <c r="F3008" s="160"/>
      <c r="G3008" s="159" t="s">
        <v>11140</v>
      </c>
      <c r="H3008" s="174" t="s">
        <v>2748</v>
      </c>
      <c r="I3008" s="174" t="s">
        <v>346</v>
      </c>
      <c r="J3008" s="159"/>
      <c r="K3008" s="181" t="s">
        <v>11141</v>
      </c>
      <c r="L3008" s="158"/>
      <c r="M3008" s="158" t="s">
        <v>6788</v>
      </c>
      <c r="N3008" s="158" t="s">
        <v>6897</v>
      </c>
      <c r="O3008" s="162"/>
      <c r="P3008" s="161">
        <f>3818182*12</f>
        <v>45818184</v>
      </c>
      <c r="Q3008" s="161"/>
      <c r="R3008" s="162"/>
      <c r="S3008" s="163">
        <v>5667000</v>
      </c>
      <c r="T3008" s="164"/>
      <c r="U3008" s="340">
        <v>46264</v>
      </c>
      <c r="V3008" s="340">
        <v>46628</v>
      </c>
      <c r="W3008" s="27" t="s">
        <v>17</v>
      </c>
      <c r="X3008" s="158"/>
      <c r="Y3008" s="164">
        <f t="shared" ca="1" si="242"/>
        <v>46290</v>
      </c>
      <c r="Z3008" s="35">
        <f t="shared" ca="1" si="241"/>
        <v>338</v>
      </c>
      <c r="AA3008" s="158">
        <f>MONTH(Table1[[#This Row],[End]])</f>
        <v>8</v>
      </c>
      <c r="AB3008" s="158">
        <f>YEAR(Table1[[#This Row],[End]])</f>
        <v>2027</v>
      </c>
      <c r="AC3008" s="159" t="s">
        <v>12698</v>
      </c>
      <c r="AD3008" s="159" t="s">
        <v>12699</v>
      </c>
      <c r="AE3008" s="158">
        <v>4500028111</v>
      </c>
      <c r="AF3008" s="158" t="s">
        <v>333</v>
      </c>
      <c r="AG3008" s="160" t="s">
        <v>12700</v>
      </c>
      <c r="AH3008" s="160"/>
      <c r="AI3008" s="158"/>
      <c r="AJ3008" s="158"/>
      <c r="AK3008" s="158"/>
      <c r="AL3008" s="158"/>
      <c r="AM3008" s="158"/>
      <c r="AN3008" s="158"/>
      <c r="AO3008" s="158"/>
      <c r="AP3008" s="158"/>
      <c r="AQ3008" s="158"/>
      <c r="AR3008" s="507"/>
      <c r="AS3008" s="475">
        <v>110</v>
      </c>
      <c r="AT3008" s="160"/>
    </row>
    <row r="3009" spans="1:46" ht="15" hidden="1" customHeight="1">
      <c r="A3009" s="220">
        <v>3003</v>
      </c>
      <c r="B3009" s="159" t="s">
        <v>526</v>
      </c>
      <c r="C3009" s="159" t="s">
        <v>421</v>
      </c>
      <c r="D3009" s="437" t="s">
        <v>10439</v>
      </c>
      <c r="E3009" s="28" t="str">
        <f t="shared" ca="1" si="243"/>
        <v>ON TRACK</v>
      </c>
      <c r="F3009" s="160" t="s">
        <v>10440</v>
      </c>
      <c r="G3009" s="159" t="s">
        <v>10441</v>
      </c>
      <c r="H3009" s="174" t="s">
        <v>2748</v>
      </c>
      <c r="I3009" s="174" t="s">
        <v>346</v>
      </c>
      <c r="J3009" s="159"/>
      <c r="K3009" s="181" t="s">
        <v>12701</v>
      </c>
      <c r="L3009" s="158"/>
      <c r="M3009" s="158" t="s">
        <v>365</v>
      </c>
      <c r="N3009" s="158" t="s">
        <v>6885</v>
      </c>
      <c r="O3009" s="162"/>
      <c r="P3009" s="161">
        <f>1500000*12</f>
        <v>18000000</v>
      </c>
      <c r="Q3009" s="161"/>
      <c r="R3009" s="162"/>
      <c r="S3009" s="163">
        <v>12000000</v>
      </c>
      <c r="T3009" s="164"/>
      <c r="U3009" s="334">
        <v>46124</v>
      </c>
      <c r="V3009" s="334">
        <v>46488</v>
      </c>
      <c r="W3009" s="27" t="s">
        <v>17</v>
      </c>
      <c r="X3009" s="158"/>
      <c r="Y3009" s="164">
        <f t="shared" ca="1" si="242"/>
        <v>46290</v>
      </c>
      <c r="Z3009" s="35">
        <f t="shared" ca="1" si="241"/>
        <v>198</v>
      </c>
      <c r="AA3009" s="158">
        <f>MONTH(Table1[[#This Row],[End]])</f>
        <v>4</v>
      </c>
      <c r="AB3009" s="158">
        <f>YEAR(Table1[[#This Row],[End]])</f>
        <v>2027</v>
      </c>
      <c r="AC3009" s="159" t="s">
        <v>12702</v>
      </c>
      <c r="AD3009" s="159" t="s">
        <v>12703</v>
      </c>
      <c r="AE3009" s="158">
        <v>4500027645</v>
      </c>
      <c r="AF3009" s="158" t="s">
        <v>333</v>
      </c>
      <c r="AG3009" s="160" t="s">
        <v>12700</v>
      </c>
      <c r="AH3009" s="160"/>
      <c r="AI3009" s="158"/>
      <c r="AJ3009" s="158"/>
      <c r="AK3009" s="158"/>
      <c r="AL3009" s="158"/>
      <c r="AM3009" s="158"/>
      <c r="AN3009" s="158"/>
      <c r="AO3009" s="158"/>
      <c r="AP3009" s="158"/>
      <c r="AQ3009" s="158"/>
      <c r="AR3009" s="507"/>
      <c r="AS3009" s="475">
        <v>111</v>
      </c>
      <c r="AT3009" s="160"/>
    </row>
    <row r="3010" spans="1:46" ht="15" hidden="1" customHeight="1">
      <c r="A3010" s="220">
        <v>3004</v>
      </c>
      <c r="B3010" s="159" t="s">
        <v>526</v>
      </c>
      <c r="C3010" s="159" t="s">
        <v>2566</v>
      </c>
      <c r="D3010" s="437" t="s">
        <v>4122</v>
      </c>
      <c r="E3010" s="28" t="str">
        <f t="shared" ca="1" si="243"/>
        <v>ON TRACK</v>
      </c>
      <c r="F3010" s="160" t="s">
        <v>10574</v>
      </c>
      <c r="G3010" s="159" t="s">
        <v>10575</v>
      </c>
      <c r="H3010" s="174" t="s">
        <v>2748</v>
      </c>
      <c r="I3010" s="174" t="s">
        <v>346</v>
      </c>
      <c r="J3010" s="159"/>
      <c r="K3010" s="181" t="s">
        <v>12704</v>
      </c>
      <c r="L3010" s="158"/>
      <c r="M3010" s="158" t="s">
        <v>6788</v>
      </c>
      <c r="N3010" s="158" t="s">
        <v>6885</v>
      </c>
      <c r="O3010" s="162"/>
      <c r="P3010" s="161">
        <f>2086300*12</f>
        <v>25035600</v>
      </c>
      <c r="Q3010" s="161"/>
      <c r="R3010" s="162"/>
      <c r="S3010" s="163">
        <v>17372000</v>
      </c>
      <c r="T3010" s="164"/>
      <c r="U3010" s="340">
        <v>46049</v>
      </c>
      <c r="V3010" s="340">
        <v>46413</v>
      </c>
      <c r="W3010" s="27" t="s">
        <v>17</v>
      </c>
      <c r="X3010" s="158"/>
      <c r="Y3010" s="164">
        <f t="shared" ca="1" si="242"/>
        <v>46290</v>
      </c>
      <c r="Z3010" s="35">
        <f t="shared" ca="1" si="241"/>
        <v>123</v>
      </c>
      <c r="AA3010" s="158">
        <f>MONTH(Table1[[#This Row],[End]])</f>
        <v>1</v>
      </c>
      <c r="AB3010" s="158">
        <f>YEAR(Table1[[#This Row],[End]])</f>
        <v>2027</v>
      </c>
      <c r="AC3010" s="159" t="s">
        <v>12705</v>
      </c>
      <c r="AD3010" s="159"/>
      <c r="AE3010" s="158"/>
      <c r="AF3010" s="158" t="s">
        <v>333</v>
      </c>
      <c r="AG3010" s="160" t="s">
        <v>4179</v>
      </c>
      <c r="AH3010" s="160"/>
      <c r="AI3010" s="158"/>
      <c r="AJ3010" s="158"/>
      <c r="AK3010" s="158"/>
      <c r="AL3010" s="158"/>
      <c r="AM3010" s="158"/>
      <c r="AN3010" s="158"/>
      <c r="AO3010" s="158"/>
      <c r="AP3010" s="158"/>
      <c r="AQ3010" s="158"/>
      <c r="AR3010" s="507"/>
      <c r="AS3010" s="475">
        <v>109</v>
      </c>
      <c r="AT3010" s="160"/>
    </row>
    <row r="3011" spans="1:46" ht="15" hidden="1" customHeight="1">
      <c r="A3011" s="220">
        <v>3005</v>
      </c>
      <c r="B3011" s="159" t="s">
        <v>37</v>
      </c>
      <c r="C3011" s="159" t="s">
        <v>972</v>
      </c>
      <c r="D3011" s="438" t="s">
        <v>11028</v>
      </c>
      <c r="E3011" s="28" t="str">
        <f t="shared" ca="1" si="243"/>
        <v>ON TRACK</v>
      </c>
      <c r="F3011" s="160" t="s">
        <v>11024</v>
      </c>
      <c r="G3011" s="159" t="s">
        <v>9859</v>
      </c>
      <c r="H3011" s="160" t="s">
        <v>2748</v>
      </c>
      <c r="I3011" s="160" t="s">
        <v>242</v>
      </c>
      <c r="J3011" s="205" t="s">
        <v>42</v>
      </c>
      <c r="K3011" s="160"/>
      <c r="L3011" s="158"/>
      <c r="M3011" s="158" t="s">
        <v>329</v>
      </c>
      <c r="N3011" s="158" t="s">
        <v>6835</v>
      </c>
      <c r="O3011" s="162"/>
      <c r="P3011" s="161">
        <f>3000000*12</f>
        <v>36000000</v>
      </c>
      <c r="Q3011" s="161"/>
      <c r="R3011" s="162"/>
      <c r="S3011" s="163">
        <v>15000000</v>
      </c>
      <c r="T3011" s="164"/>
      <c r="U3011" s="340">
        <v>46152</v>
      </c>
      <c r="V3011" s="340">
        <v>46516</v>
      </c>
      <c r="W3011" s="27" t="s">
        <v>17</v>
      </c>
      <c r="X3011" s="158"/>
      <c r="Y3011" s="164">
        <f t="shared" ca="1" si="242"/>
        <v>46290</v>
      </c>
      <c r="Z3011" s="35">
        <f t="shared" ca="1" si="241"/>
        <v>226</v>
      </c>
      <c r="AA3011" s="158">
        <f>MONTH(Table1[[#This Row],[End]])</f>
        <v>5</v>
      </c>
      <c r="AB3011" s="158">
        <f>YEAR(Table1[[#This Row],[End]])</f>
        <v>2027</v>
      </c>
      <c r="AC3011" s="159" t="s">
        <v>12706</v>
      </c>
      <c r="AD3011" s="159" t="s">
        <v>12707</v>
      </c>
      <c r="AE3011" s="158">
        <v>4500028187</v>
      </c>
      <c r="AF3011" s="158" t="s">
        <v>333</v>
      </c>
      <c r="AG3011" s="160" t="s">
        <v>1923</v>
      </c>
      <c r="AH3011" s="160"/>
      <c r="AI3011" s="158"/>
      <c r="AJ3011" s="158"/>
      <c r="AK3011" s="158"/>
      <c r="AL3011" s="158"/>
      <c r="AM3011" s="158"/>
      <c r="AN3011" s="158"/>
      <c r="AO3011" s="158"/>
      <c r="AP3011" s="158"/>
      <c r="AQ3011" s="158"/>
      <c r="AR3011" s="507">
        <v>106</v>
      </c>
      <c r="AS3011" s="475"/>
      <c r="AT3011" s="160"/>
    </row>
    <row r="3012" spans="1:46" ht="15" hidden="1" customHeight="1">
      <c r="A3012" s="220">
        <v>3006</v>
      </c>
      <c r="B3012" s="159" t="s">
        <v>37</v>
      </c>
      <c r="C3012" s="159" t="s">
        <v>11035</v>
      </c>
      <c r="D3012" s="438" t="s">
        <v>11028</v>
      </c>
      <c r="E3012" s="28" t="str">
        <f t="shared" ca="1" si="243"/>
        <v>ON TRACK</v>
      </c>
      <c r="F3012" s="160" t="s">
        <v>11037</v>
      </c>
      <c r="G3012" s="159" t="s">
        <v>11038</v>
      </c>
      <c r="H3012" s="160" t="s">
        <v>2748</v>
      </c>
      <c r="I3012" s="160" t="s">
        <v>242</v>
      </c>
      <c r="J3012" s="159"/>
      <c r="K3012" s="181" t="s">
        <v>11039</v>
      </c>
      <c r="L3012" s="158"/>
      <c r="M3012" s="158" t="s">
        <v>11040</v>
      </c>
      <c r="N3012" s="158" t="s">
        <v>8363</v>
      </c>
      <c r="O3012" s="162"/>
      <c r="P3012" s="161">
        <f>16200000*12</f>
        <v>194400000</v>
      </c>
      <c r="Q3012" s="161"/>
      <c r="R3012" s="162"/>
      <c r="S3012" s="163">
        <v>24000000</v>
      </c>
      <c r="T3012" s="164"/>
      <c r="U3012" s="340">
        <v>46233</v>
      </c>
      <c r="V3012" s="340">
        <v>46597</v>
      </c>
      <c r="W3012" s="27" t="s">
        <v>17</v>
      </c>
      <c r="X3012" s="158"/>
      <c r="Y3012" s="164">
        <f t="shared" ca="1" si="242"/>
        <v>46290</v>
      </c>
      <c r="Z3012" s="35">
        <f t="shared" ca="1" si="241"/>
        <v>307</v>
      </c>
      <c r="AA3012" s="158">
        <f>MONTH(Table1[[#This Row],[End]])</f>
        <v>7</v>
      </c>
      <c r="AB3012" s="158">
        <f>YEAR(Table1[[#This Row],[End]])</f>
        <v>2027</v>
      </c>
      <c r="AC3012" s="159" t="s">
        <v>12708</v>
      </c>
      <c r="AD3012" s="159" t="s">
        <v>12709</v>
      </c>
      <c r="AE3012" s="158">
        <v>4500028113</v>
      </c>
      <c r="AF3012" s="158" t="s">
        <v>333</v>
      </c>
      <c r="AG3012" s="160" t="s">
        <v>1923</v>
      </c>
      <c r="AH3012" s="160"/>
      <c r="AI3012" s="158"/>
      <c r="AJ3012" s="158"/>
      <c r="AK3012" s="158"/>
      <c r="AL3012" s="158"/>
      <c r="AM3012" s="158"/>
      <c r="AN3012" s="158"/>
      <c r="AO3012" s="158"/>
      <c r="AP3012" s="158"/>
      <c r="AQ3012" s="158"/>
      <c r="AR3012" s="507">
        <v>105</v>
      </c>
      <c r="AS3012" s="475"/>
      <c r="AT3012" s="160"/>
    </row>
    <row r="3013" spans="1:46" ht="15" hidden="1" customHeight="1">
      <c r="A3013" s="220">
        <v>3007</v>
      </c>
      <c r="B3013" s="159" t="s">
        <v>37</v>
      </c>
      <c r="C3013" s="159" t="s">
        <v>12710</v>
      </c>
      <c r="D3013" s="438" t="s">
        <v>11028</v>
      </c>
      <c r="E3013" s="28" t="str">
        <f t="shared" ca="1" si="243"/>
        <v>ON TRACK</v>
      </c>
      <c r="F3013" s="160" t="s">
        <v>10120</v>
      </c>
      <c r="G3013" s="159" t="s">
        <v>12711</v>
      </c>
      <c r="H3013" s="160" t="s">
        <v>2748</v>
      </c>
      <c r="I3013" s="160" t="s">
        <v>242</v>
      </c>
      <c r="J3013" s="159"/>
      <c r="K3013" s="181" t="s">
        <v>12712</v>
      </c>
      <c r="L3013" s="158"/>
      <c r="M3013" s="158" t="s">
        <v>365</v>
      </c>
      <c r="N3013" s="158" t="s">
        <v>406</v>
      </c>
      <c r="O3013" s="162"/>
      <c r="P3013" s="161">
        <f>17600000*12</f>
        <v>211200000</v>
      </c>
      <c r="Q3013" s="161"/>
      <c r="R3013" s="162"/>
      <c r="S3013" s="163">
        <v>24000000</v>
      </c>
      <c r="T3013" s="164"/>
      <c r="U3013" s="340">
        <v>45335</v>
      </c>
      <c r="V3013" s="340">
        <v>46430</v>
      </c>
      <c r="W3013" s="27" t="s">
        <v>17</v>
      </c>
      <c r="X3013" s="158"/>
      <c r="Y3013" s="164">
        <f t="shared" ca="1" si="242"/>
        <v>46290</v>
      </c>
      <c r="Z3013" s="35">
        <f t="shared" ca="1" si="241"/>
        <v>140</v>
      </c>
      <c r="AA3013" s="158">
        <f>MONTH(Table1[[#This Row],[End]])</f>
        <v>2</v>
      </c>
      <c r="AB3013" s="158">
        <f>YEAR(Table1[[#This Row],[End]])</f>
        <v>2027</v>
      </c>
      <c r="AC3013" s="159" t="s">
        <v>12713</v>
      </c>
      <c r="AD3013" s="159" t="s">
        <v>12714</v>
      </c>
      <c r="AE3013" s="158">
        <v>4500028190</v>
      </c>
      <c r="AF3013" s="158" t="s">
        <v>333</v>
      </c>
      <c r="AG3013" s="160" t="s">
        <v>1923</v>
      </c>
      <c r="AH3013" s="160"/>
      <c r="AI3013" s="158"/>
      <c r="AJ3013" s="158"/>
      <c r="AK3013" s="158"/>
      <c r="AL3013" s="158"/>
      <c r="AM3013" s="158"/>
      <c r="AN3013" s="158"/>
      <c r="AO3013" s="158"/>
      <c r="AP3013" s="158"/>
      <c r="AQ3013" s="158"/>
      <c r="AR3013" s="507">
        <v>163</v>
      </c>
      <c r="AS3013" s="475"/>
      <c r="AT3013" s="160"/>
    </row>
    <row r="3014" spans="1:46" ht="15" hidden="1" customHeight="1">
      <c r="A3014" s="220">
        <v>3008</v>
      </c>
      <c r="B3014" s="159" t="s">
        <v>71</v>
      </c>
      <c r="C3014" s="159" t="s">
        <v>522</v>
      </c>
      <c r="D3014" s="438" t="s">
        <v>490</v>
      </c>
      <c r="E3014" s="28" t="str">
        <f t="shared" ca="1" si="243"/>
        <v>ON TRACK</v>
      </c>
      <c r="F3014" s="160"/>
      <c r="G3014" s="159" t="s">
        <v>10987</v>
      </c>
      <c r="H3014" s="160" t="s">
        <v>2748</v>
      </c>
      <c r="I3014" s="160" t="s">
        <v>242</v>
      </c>
      <c r="J3014" s="205" t="s">
        <v>81</v>
      </c>
      <c r="K3014" s="181"/>
      <c r="L3014" s="158"/>
      <c r="M3014" s="158" t="s">
        <v>365</v>
      </c>
      <c r="N3014" s="160"/>
      <c r="O3014" s="162"/>
      <c r="P3014" s="161">
        <f>14000000*12</f>
        <v>168000000</v>
      </c>
      <c r="Q3014" s="161"/>
      <c r="R3014" s="162"/>
      <c r="S3014" s="163">
        <v>18000000</v>
      </c>
      <c r="T3014" s="164"/>
      <c r="U3014" s="340">
        <v>46197</v>
      </c>
      <c r="V3014" s="340">
        <v>46561</v>
      </c>
      <c r="W3014" s="27" t="s">
        <v>17</v>
      </c>
      <c r="X3014" s="158"/>
      <c r="Y3014" s="164">
        <f t="shared" ca="1" si="242"/>
        <v>46290</v>
      </c>
      <c r="Z3014" s="35">
        <f t="shared" ca="1" si="241"/>
        <v>271</v>
      </c>
      <c r="AA3014" s="158">
        <f>MONTH(Table1[[#This Row],[End]])</f>
        <v>6</v>
      </c>
      <c r="AB3014" s="158">
        <f>YEAR(Table1[[#This Row],[End]])</f>
        <v>2027</v>
      </c>
      <c r="AC3014" s="182" t="s">
        <v>12715</v>
      </c>
      <c r="AD3014" s="159" t="s">
        <v>12716</v>
      </c>
      <c r="AE3014" s="158">
        <v>4500028344</v>
      </c>
      <c r="AF3014" s="158" t="s">
        <v>333</v>
      </c>
      <c r="AG3014" s="160" t="s">
        <v>12688</v>
      </c>
      <c r="AH3014" s="160"/>
      <c r="AI3014" s="158"/>
      <c r="AJ3014" s="158"/>
      <c r="AK3014" s="158"/>
      <c r="AL3014" s="158"/>
      <c r="AM3014" s="158"/>
      <c r="AN3014" s="158"/>
      <c r="AO3014" s="158"/>
      <c r="AP3014" s="158"/>
      <c r="AQ3014" s="158"/>
      <c r="AR3014" s="507"/>
      <c r="AS3014" s="475">
        <v>158</v>
      </c>
      <c r="AT3014" s="160"/>
    </row>
    <row r="3015" spans="1:46" ht="15" hidden="1" customHeight="1">
      <c r="A3015" s="220">
        <v>3009</v>
      </c>
      <c r="B3015" s="159" t="s">
        <v>71</v>
      </c>
      <c r="C3015" s="159" t="s">
        <v>522</v>
      </c>
      <c r="D3015" s="438" t="s">
        <v>490</v>
      </c>
      <c r="E3015" s="28" t="str">
        <f t="shared" ca="1" si="243"/>
        <v>ON TRACK</v>
      </c>
      <c r="F3015" s="160"/>
      <c r="G3015" s="159" t="s">
        <v>10987</v>
      </c>
      <c r="H3015" s="160" t="s">
        <v>2748</v>
      </c>
      <c r="I3015" s="160" t="s">
        <v>242</v>
      </c>
      <c r="J3015" s="205" t="s">
        <v>81</v>
      </c>
      <c r="K3015" s="181"/>
      <c r="L3015" s="158"/>
      <c r="M3015" s="158" t="s">
        <v>365</v>
      </c>
      <c r="N3015" s="160"/>
      <c r="O3015" s="162"/>
      <c r="P3015" s="161">
        <f>14000000*12</f>
        <v>168000000</v>
      </c>
      <c r="Q3015" s="161"/>
      <c r="R3015" s="162"/>
      <c r="S3015" s="163">
        <v>18000000</v>
      </c>
      <c r="T3015" s="164"/>
      <c r="U3015" s="340">
        <v>46197</v>
      </c>
      <c r="V3015" s="340">
        <v>46561</v>
      </c>
      <c r="W3015" s="27" t="s">
        <v>17</v>
      </c>
      <c r="X3015" s="158"/>
      <c r="Y3015" s="164">
        <f t="shared" ca="1" si="242"/>
        <v>46290</v>
      </c>
      <c r="Z3015" s="35">
        <f t="shared" ca="1" si="241"/>
        <v>271</v>
      </c>
      <c r="AA3015" s="158">
        <f>MONTH(Table1[[#This Row],[End]])</f>
        <v>6</v>
      </c>
      <c r="AB3015" s="158">
        <f>YEAR(Table1[[#This Row],[End]])</f>
        <v>2027</v>
      </c>
      <c r="AC3015" s="159" t="s">
        <v>12717</v>
      </c>
      <c r="AD3015" s="159" t="s">
        <v>12718</v>
      </c>
      <c r="AE3015" s="158">
        <v>4500028345</v>
      </c>
      <c r="AF3015" s="158" t="s">
        <v>333</v>
      </c>
      <c r="AG3015" s="160" t="s">
        <v>12688</v>
      </c>
      <c r="AH3015" s="160"/>
      <c r="AI3015" s="158"/>
      <c r="AJ3015" s="158"/>
      <c r="AK3015" s="158"/>
      <c r="AL3015" s="158"/>
      <c r="AM3015" s="158"/>
      <c r="AN3015" s="158"/>
      <c r="AO3015" s="158"/>
      <c r="AP3015" s="158"/>
      <c r="AQ3015" s="158"/>
      <c r="AR3015" s="507"/>
      <c r="AS3015" s="475">
        <v>166</v>
      </c>
      <c r="AT3015" s="160"/>
    </row>
    <row r="3016" spans="1:46" ht="15" hidden="1" customHeight="1">
      <c r="A3016" s="220">
        <v>3010</v>
      </c>
      <c r="B3016" s="159" t="s">
        <v>71</v>
      </c>
      <c r="C3016" s="159" t="s">
        <v>11262</v>
      </c>
      <c r="D3016" s="438" t="s">
        <v>490</v>
      </c>
      <c r="E3016" s="28" t="str">
        <f t="shared" ca="1" si="243"/>
        <v>ON TRACK</v>
      </c>
      <c r="F3016" s="160"/>
      <c r="G3016" s="159" t="s">
        <v>11264</v>
      </c>
      <c r="H3016" s="160" t="s">
        <v>2748</v>
      </c>
      <c r="I3016" s="160" t="s">
        <v>242</v>
      </c>
      <c r="J3016" s="205" t="s">
        <v>11265</v>
      </c>
      <c r="K3016" s="181"/>
      <c r="L3016" s="158"/>
      <c r="M3016" s="158" t="s">
        <v>365</v>
      </c>
      <c r="N3016" s="158" t="s">
        <v>468</v>
      </c>
      <c r="O3016" s="162"/>
      <c r="P3016" s="161">
        <f>8000000*12</f>
        <v>96000000</v>
      </c>
      <c r="Q3016" s="161"/>
      <c r="R3016" s="162"/>
      <c r="S3016" s="163">
        <v>36000000</v>
      </c>
      <c r="T3016" s="164"/>
      <c r="U3016" s="340">
        <v>46189</v>
      </c>
      <c r="V3016" s="340">
        <v>46553</v>
      </c>
      <c r="W3016" s="27" t="s">
        <v>17</v>
      </c>
      <c r="X3016" s="158"/>
      <c r="Y3016" s="164">
        <f t="shared" ca="1" si="242"/>
        <v>46290</v>
      </c>
      <c r="Z3016" s="35">
        <f t="shared" ca="1" si="241"/>
        <v>263</v>
      </c>
      <c r="AA3016" s="158">
        <f>MONTH(Table1[[#This Row],[End]])</f>
        <v>6</v>
      </c>
      <c r="AB3016" s="158">
        <f>YEAR(Table1[[#This Row],[End]])</f>
        <v>2027</v>
      </c>
      <c r="AC3016" s="159" t="s">
        <v>12719</v>
      </c>
      <c r="AD3016" s="159" t="s">
        <v>12720</v>
      </c>
      <c r="AE3016" s="158">
        <v>4500028470</v>
      </c>
      <c r="AF3016" s="158" t="s">
        <v>333</v>
      </c>
      <c r="AG3016" s="160" t="s">
        <v>12688</v>
      </c>
      <c r="AH3016" s="160"/>
      <c r="AI3016" s="158"/>
      <c r="AJ3016" s="158"/>
      <c r="AK3016" s="158"/>
      <c r="AL3016" s="158"/>
      <c r="AM3016" s="158"/>
      <c r="AN3016" s="158"/>
      <c r="AO3016" s="158"/>
      <c r="AP3016" s="158"/>
      <c r="AQ3016" s="158"/>
      <c r="AR3016" s="507"/>
      <c r="AS3016" s="475">
        <v>174</v>
      </c>
      <c r="AT3016" s="160"/>
    </row>
    <row r="3017" spans="1:46" ht="15" hidden="1" customHeight="1">
      <c r="A3017" s="220">
        <v>3011</v>
      </c>
      <c r="B3017" s="159" t="s">
        <v>37</v>
      </c>
      <c r="C3017" s="159" t="s">
        <v>8951</v>
      </c>
      <c r="D3017" s="438" t="s">
        <v>11028</v>
      </c>
      <c r="E3017" s="28" t="str">
        <f t="shared" ca="1" si="243"/>
        <v>ON TRACK</v>
      </c>
      <c r="F3017" s="29" t="s">
        <v>8952</v>
      </c>
      <c r="G3017" s="28" t="s">
        <v>8953</v>
      </c>
      <c r="H3017" s="29" t="s">
        <v>2748</v>
      </c>
      <c r="I3017" s="29" t="s">
        <v>242</v>
      </c>
      <c r="J3017" s="28" t="s">
        <v>38</v>
      </c>
      <c r="K3017" s="181"/>
      <c r="L3017" s="158"/>
      <c r="M3017" s="158"/>
      <c r="N3017" s="160"/>
      <c r="O3017" s="162"/>
      <c r="P3017" s="31">
        <f>6756757*12</f>
        <v>81081084</v>
      </c>
      <c r="Q3017" s="161"/>
      <c r="R3017" s="162"/>
      <c r="S3017" s="100">
        <f>2500000*12</f>
        <v>30000000</v>
      </c>
      <c r="T3017" s="164"/>
      <c r="U3017" s="334">
        <v>46172</v>
      </c>
      <c r="V3017" s="334">
        <v>46536</v>
      </c>
      <c r="W3017" s="27" t="s">
        <v>17</v>
      </c>
      <c r="X3017" s="158"/>
      <c r="Y3017" s="34">
        <f t="shared" ca="1" si="242"/>
        <v>46290</v>
      </c>
      <c r="Z3017" s="35">
        <f t="shared" ca="1" si="241"/>
        <v>246</v>
      </c>
      <c r="AA3017" s="27">
        <f>MONTH(V3017)</f>
        <v>5</v>
      </c>
      <c r="AB3017" s="27">
        <f>YEAR(V3017)</f>
        <v>2027</v>
      </c>
      <c r="AC3017" s="159" t="s">
        <v>12721</v>
      </c>
      <c r="AD3017" s="159" t="s">
        <v>12722</v>
      </c>
      <c r="AE3017" s="158">
        <v>4500028348</v>
      </c>
      <c r="AF3017" s="52" t="s">
        <v>333</v>
      </c>
      <c r="AG3017" s="29" t="s">
        <v>6656</v>
      </c>
      <c r="AH3017" s="160"/>
      <c r="AI3017" s="158"/>
      <c r="AJ3017" s="158"/>
      <c r="AK3017" s="158"/>
      <c r="AL3017" s="158"/>
      <c r="AM3017" s="158"/>
      <c r="AN3017" s="158"/>
      <c r="AO3017" s="158"/>
      <c r="AP3017" s="158"/>
      <c r="AQ3017" s="158"/>
      <c r="AR3017" s="507">
        <v>164</v>
      </c>
      <c r="AS3017" s="475"/>
      <c r="AT3017" s="160"/>
    </row>
    <row r="3018" spans="1:46" ht="15" hidden="1" customHeight="1">
      <c r="A3018" s="220">
        <v>3012</v>
      </c>
      <c r="B3018" s="159" t="s">
        <v>37</v>
      </c>
      <c r="C3018" s="159" t="s">
        <v>10731</v>
      </c>
      <c r="D3018" s="438" t="s">
        <v>11028</v>
      </c>
      <c r="E3018" s="28" t="str">
        <f t="shared" ca="1" si="243"/>
        <v>ON TRACK</v>
      </c>
      <c r="F3018" s="160" t="s">
        <v>8853</v>
      </c>
      <c r="G3018" s="159" t="s">
        <v>10732</v>
      </c>
      <c r="H3018" s="174" t="s">
        <v>2748</v>
      </c>
      <c r="I3018" s="160" t="s">
        <v>242</v>
      </c>
      <c r="J3018" s="205" t="s">
        <v>10733</v>
      </c>
      <c r="K3018" s="181" t="s">
        <v>10734</v>
      </c>
      <c r="L3018" s="158"/>
      <c r="M3018" s="172" t="s">
        <v>6776</v>
      </c>
      <c r="N3018" s="158" t="s">
        <v>6762</v>
      </c>
      <c r="O3018" s="162"/>
      <c r="P3018" s="161">
        <f>30000000*12</f>
        <v>360000000</v>
      </c>
      <c r="Q3018" s="161"/>
      <c r="R3018" s="162"/>
      <c r="S3018" s="163">
        <f>1030000*12</f>
        <v>12360000</v>
      </c>
      <c r="T3018" s="164"/>
      <c r="U3018" s="340">
        <v>46157</v>
      </c>
      <c r="V3018" s="340">
        <v>46521</v>
      </c>
      <c r="W3018" s="158" t="s">
        <v>17</v>
      </c>
      <c r="X3018" s="158"/>
      <c r="Y3018" s="178">
        <f t="shared" ca="1" si="242"/>
        <v>46290</v>
      </c>
      <c r="Z3018" s="207">
        <f t="shared" ca="1" si="241"/>
        <v>231</v>
      </c>
      <c r="AA3018" s="27">
        <f>MONTH(V3018)</f>
        <v>5</v>
      </c>
      <c r="AB3018" s="158">
        <f>YEAR(V3018)</f>
        <v>2027</v>
      </c>
      <c r="AC3018" s="159" t="s">
        <v>12723</v>
      </c>
      <c r="AD3018" s="159" t="s">
        <v>12724</v>
      </c>
      <c r="AE3018" s="158">
        <v>4500028471</v>
      </c>
      <c r="AF3018" s="201" t="s">
        <v>399</v>
      </c>
      <c r="AG3018" s="160" t="s">
        <v>1923</v>
      </c>
      <c r="AH3018" s="160"/>
      <c r="AI3018" s="158"/>
      <c r="AJ3018" s="158"/>
      <c r="AK3018" s="158"/>
      <c r="AL3018" s="158"/>
      <c r="AM3018" s="158"/>
      <c r="AN3018" s="158"/>
      <c r="AO3018" s="158"/>
      <c r="AP3018" s="158"/>
      <c r="AQ3018" s="158"/>
      <c r="AR3018" s="507">
        <v>173</v>
      </c>
      <c r="AS3018" s="475"/>
      <c r="AT3018" s="160"/>
    </row>
    <row r="3019" spans="1:46" ht="15" hidden="1" customHeight="1">
      <c r="A3019" s="220">
        <v>3013</v>
      </c>
      <c r="B3019" s="159" t="s">
        <v>542</v>
      </c>
      <c r="C3019" s="159" t="s">
        <v>7892</v>
      </c>
      <c r="D3019" s="437" t="s">
        <v>413</v>
      </c>
      <c r="E3019" s="28" t="str">
        <f t="shared" ca="1" si="243"/>
        <v>ON TRACK</v>
      </c>
      <c r="F3019" s="160" t="s">
        <v>11150</v>
      </c>
      <c r="G3019" s="159" t="s">
        <v>11150</v>
      </c>
      <c r="H3019" s="160" t="s">
        <v>2748</v>
      </c>
      <c r="I3019" s="160" t="s">
        <v>242</v>
      </c>
      <c r="J3019" s="205" t="s">
        <v>11151</v>
      </c>
      <c r="K3019" s="181"/>
      <c r="L3019" s="158"/>
      <c r="M3019" s="158" t="s">
        <v>329</v>
      </c>
      <c r="N3019" s="158" t="s">
        <v>424</v>
      </c>
      <c r="O3019" s="162"/>
      <c r="P3019" s="161">
        <f>1680000*12</f>
        <v>20160000</v>
      </c>
      <c r="Q3019" s="161"/>
      <c r="R3019" s="162"/>
      <c r="S3019" s="163">
        <v>8000000</v>
      </c>
      <c r="T3019" s="164"/>
      <c r="U3019" s="340">
        <v>46141</v>
      </c>
      <c r="V3019" s="340">
        <v>46505</v>
      </c>
      <c r="W3019" s="27" t="s">
        <v>17</v>
      </c>
      <c r="X3019" s="158"/>
      <c r="Y3019" s="164">
        <f t="shared" ca="1" si="242"/>
        <v>46290</v>
      </c>
      <c r="Z3019" s="35">
        <f t="shared" ca="1" si="241"/>
        <v>215</v>
      </c>
      <c r="AA3019" s="158">
        <f>MONTH(Table1[[#This Row],[End]])</f>
        <v>4</v>
      </c>
      <c r="AB3019" s="158">
        <f>YEAR(Table1[[#This Row],[End]])</f>
        <v>2027</v>
      </c>
      <c r="AC3019" s="182" t="s">
        <v>12725</v>
      </c>
      <c r="AD3019" s="159"/>
      <c r="AE3019" s="158">
        <v>4500028029</v>
      </c>
      <c r="AF3019" s="158" t="s">
        <v>333</v>
      </c>
      <c r="AG3019" s="160" t="s">
        <v>9539</v>
      </c>
      <c r="AH3019" s="160"/>
      <c r="AI3019" s="158"/>
      <c r="AJ3019" s="158"/>
      <c r="AK3019" s="158"/>
      <c r="AL3019" s="158"/>
      <c r="AM3019" s="158"/>
      <c r="AN3019" s="158"/>
      <c r="AO3019" s="158"/>
      <c r="AP3019" s="158"/>
      <c r="AQ3019" s="158"/>
      <c r="AR3019" s="507"/>
      <c r="AS3019" s="475">
        <v>168</v>
      </c>
      <c r="AT3019" s="160"/>
    </row>
    <row r="3020" spans="1:46" ht="15" hidden="1" customHeight="1">
      <c r="A3020" s="220">
        <v>3014</v>
      </c>
      <c r="B3020" s="28" t="s">
        <v>321</v>
      </c>
      <c r="C3020" s="159" t="s">
        <v>1134</v>
      </c>
      <c r="D3020" s="438" t="s">
        <v>323</v>
      </c>
      <c r="E3020" s="28" t="str">
        <f t="shared" ca="1" si="243"/>
        <v>ON TRACK</v>
      </c>
      <c r="F3020" s="174" t="s">
        <v>12268</v>
      </c>
      <c r="G3020" s="173" t="s">
        <v>12269</v>
      </c>
      <c r="H3020" s="29" t="s">
        <v>2748</v>
      </c>
      <c r="I3020" s="174" t="s">
        <v>242</v>
      </c>
      <c r="J3020" s="454" t="s">
        <v>12270</v>
      </c>
      <c r="K3020" s="454" t="s">
        <v>12271</v>
      </c>
      <c r="L3020" s="158"/>
      <c r="M3020" s="172" t="s">
        <v>365</v>
      </c>
      <c r="N3020" s="172" t="s">
        <v>354</v>
      </c>
      <c r="O3020" s="162"/>
      <c r="P3020" s="175">
        <f>7027027*12</f>
        <v>84324324</v>
      </c>
      <c r="Q3020" s="161"/>
      <c r="R3020" s="162"/>
      <c r="S3020" s="177">
        <v>25200000</v>
      </c>
      <c r="T3020" s="164"/>
      <c r="U3020" s="334">
        <v>46054</v>
      </c>
      <c r="V3020" s="334">
        <v>46418</v>
      </c>
      <c r="W3020" s="27" t="s">
        <v>250</v>
      </c>
      <c r="X3020" s="158"/>
      <c r="Y3020" s="34">
        <f t="shared" ca="1" si="242"/>
        <v>46290</v>
      </c>
      <c r="Z3020" s="35">
        <f t="shared" ca="1" si="241"/>
        <v>128</v>
      </c>
      <c r="AA3020" s="27">
        <f>MONTH(V3020)</f>
        <v>1</v>
      </c>
      <c r="AB3020" s="27">
        <f>YEAR(V3020)</f>
        <v>2027</v>
      </c>
      <c r="AC3020" s="173" t="s">
        <v>12726</v>
      </c>
      <c r="AD3020" s="159" t="s">
        <v>12727</v>
      </c>
      <c r="AE3020" s="158">
        <v>4500028234</v>
      </c>
      <c r="AF3020" s="179" t="s">
        <v>333</v>
      </c>
      <c r="AG3020" s="174" t="s">
        <v>8816</v>
      </c>
      <c r="AH3020" s="160"/>
      <c r="AI3020" s="158"/>
      <c r="AJ3020" s="158"/>
      <c r="AK3020" s="158"/>
      <c r="AL3020" s="158"/>
      <c r="AM3020" s="158"/>
      <c r="AN3020" s="158"/>
      <c r="AO3020" s="158"/>
      <c r="AP3020" s="158"/>
      <c r="AQ3020" s="158"/>
      <c r="AR3020" s="507"/>
      <c r="AS3020" s="475">
        <v>162</v>
      </c>
      <c r="AT3020" s="160"/>
    </row>
    <row r="3021" spans="1:46" ht="15" hidden="1" customHeight="1">
      <c r="A3021" s="220">
        <v>3015</v>
      </c>
      <c r="B3021" s="159" t="s">
        <v>97</v>
      </c>
      <c r="C3021" s="159" t="s">
        <v>12728</v>
      </c>
      <c r="D3021" s="437" t="s">
        <v>2363</v>
      </c>
      <c r="E3021" s="28" t="str">
        <f t="shared" ca="1" si="243"/>
        <v>ON TRACK</v>
      </c>
      <c r="F3021" s="160" t="s">
        <v>11327</v>
      </c>
      <c r="G3021" s="159" t="s">
        <v>11328</v>
      </c>
      <c r="H3021" s="160" t="s">
        <v>2748</v>
      </c>
      <c r="I3021" s="160" t="s">
        <v>242</v>
      </c>
      <c r="J3021" s="205" t="s">
        <v>11329</v>
      </c>
      <c r="K3021" s="181"/>
      <c r="L3021" s="158"/>
      <c r="M3021" s="158" t="s">
        <v>365</v>
      </c>
      <c r="N3021" s="158" t="s">
        <v>6897</v>
      </c>
      <c r="O3021" s="162"/>
      <c r="P3021" s="161">
        <f>3500000*12</f>
        <v>42000000</v>
      </c>
      <c r="Q3021" s="161"/>
      <c r="R3021" s="162"/>
      <c r="S3021" s="177">
        <v>24000000</v>
      </c>
      <c r="T3021" s="164"/>
      <c r="U3021" s="340">
        <v>45962</v>
      </c>
      <c r="V3021" s="340">
        <v>46691</v>
      </c>
      <c r="W3021" s="172" t="s">
        <v>17</v>
      </c>
      <c r="X3021" s="158"/>
      <c r="Y3021" s="164">
        <f t="shared" ca="1" si="242"/>
        <v>46290</v>
      </c>
      <c r="Z3021" s="35">
        <f t="shared" ca="1" si="241"/>
        <v>401</v>
      </c>
      <c r="AA3021" s="27">
        <f>MONTH(V3021)</f>
        <v>10</v>
      </c>
      <c r="AB3021" s="27">
        <f>YEAR(V3021)</f>
        <v>2027</v>
      </c>
      <c r="AC3021" s="159" t="s">
        <v>11330</v>
      </c>
      <c r="AD3021" s="159" t="s">
        <v>12729</v>
      </c>
      <c r="AE3021" s="158">
        <v>4500028395</v>
      </c>
      <c r="AF3021" s="158" t="s">
        <v>333</v>
      </c>
      <c r="AG3021" s="174" t="s">
        <v>12353</v>
      </c>
      <c r="AH3021" s="160"/>
      <c r="AI3021" s="158"/>
      <c r="AJ3021" s="158"/>
      <c r="AK3021" s="158"/>
      <c r="AL3021" s="158"/>
      <c r="AM3021" s="158"/>
      <c r="AN3021" s="158"/>
      <c r="AO3021" s="158"/>
      <c r="AP3021" s="158"/>
      <c r="AQ3021" s="158"/>
      <c r="AR3021" s="507"/>
      <c r="AS3021" s="475">
        <v>167</v>
      </c>
      <c r="AT3021" s="160"/>
    </row>
    <row r="3022" spans="1:46" ht="15" hidden="1" customHeight="1">
      <c r="A3022" s="220">
        <v>3016</v>
      </c>
      <c r="B3022" s="173" t="s">
        <v>97</v>
      </c>
      <c r="C3022" s="173" t="s">
        <v>8828</v>
      </c>
      <c r="D3022" s="437" t="s">
        <v>2363</v>
      </c>
      <c r="E3022" s="113" t="str">
        <f t="shared" ca="1" si="243"/>
        <v>ON TRACK</v>
      </c>
      <c r="F3022" s="174"/>
      <c r="G3022" s="159" t="s">
        <v>3892</v>
      </c>
      <c r="H3022" s="160" t="s">
        <v>2748</v>
      </c>
      <c r="I3022" s="160" t="s">
        <v>242</v>
      </c>
      <c r="J3022" s="205" t="s">
        <v>101</v>
      </c>
      <c r="K3022" s="174"/>
      <c r="L3022" s="172"/>
      <c r="M3022" s="158" t="s">
        <v>365</v>
      </c>
      <c r="N3022" s="158" t="s">
        <v>6885</v>
      </c>
      <c r="O3022" s="176"/>
      <c r="P3022" s="161">
        <f>2702703*12</f>
        <v>32432436</v>
      </c>
      <c r="Q3022" s="175"/>
      <c r="R3022" s="176"/>
      <c r="S3022" s="163">
        <v>24000000</v>
      </c>
      <c r="T3022" s="178"/>
      <c r="U3022" s="340">
        <v>46109</v>
      </c>
      <c r="V3022" s="340">
        <v>46473</v>
      </c>
      <c r="W3022" s="27" t="s">
        <v>17</v>
      </c>
      <c r="X3022" s="172"/>
      <c r="Y3022" s="164">
        <f t="shared" ca="1" si="242"/>
        <v>46290</v>
      </c>
      <c r="Z3022" s="35">
        <f t="shared" ca="1" si="241"/>
        <v>183</v>
      </c>
      <c r="AA3022" s="158">
        <f>MONTH(Table1[[#This Row],[End]])</f>
        <v>3</v>
      </c>
      <c r="AB3022" s="158">
        <f>YEAR(Table1[[#This Row],[End]])</f>
        <v>2027</v>
      </c>
      <c r="AC3022" s="159" t="s">
        <v>12730</v>
      </c>
      <c r="AD3022" s="173" t="s">
        <v>12731</v>
      </c>
      <c r="AE3022" s="172">
        <v>4500028274</v>
      </c>
      <c r="AF3022" s="158" t="s">
        <v>333</v>
      </c>
      <c r="AG3022" s="160" t="s">
        <v>12732</v>
      </c>
      <c r="AH3022" s="160"/>
      <c r="AI3022" s="172"/>
      <c r="AJ3022" s="172"/>
      <c r="AK3022" s="172"/>
      <c r="AL3022" s="172"/>
      <c r="AM3022" s="172"/>
      <c r="AN3022" s="172"/>
      <c r="AO3022" s="172"/>
      <c r="AP3022" s="172"/>
      <c r="AQ3022" s="172"/>
      <c r="AR3022" s="479"/>
      <c r="AS3022" s="461"/>
      <c r="AT3022" s="174"/>
    </row>
    <row r="3023" spans="1:46" ht="15" hidden="1" customHeight="1">
      <c r="A3023" s="220">
        <v>3017</v>
      </c>
      <c r="B3023" s="173" t="s">
        <v>2615</v>
      </c>
      <c r="C3023" s="173" t="s">
        <v>8833</v>
      </c>
      <c r="D3023" s="438" t="s">
        <v>6750</v>
      </c>
      <c r="E3023" s="113" t="str">
        <f t="shared" ca="1" si="243"/>
        <v>CRITICAL</v>
      </c>
      <c r="F3023" s="218" t="s">
        <v>10593</v>
      </c>
      <c r="G3023" s="205" t="s">
        <v>10594</v>
      </c>
      <c r="H3023" s="160" t="s">
        <v>2748</v>
      </c>
      <c r="I3023" s="160" t="s">
        <v>346</v>
      </c>
      <c r="J3023" s="205" t="s">
        <v>58</v>
      </c>
      <c r="K3023" s="174"/>
      <c r="L3023" s="172"/>
      <c r="M3023" s="158" t="s">
        <v>10595</v>
      </c>
      <c r="N3023" s="27" t="s">
        <v>373</v>
      </c>
      <c r="O3023" s="176"/>
      <c r="P3023" s="161">
        <f>53928000*12</f>
        <v>647136000</v>
      </c>
      <c r="Q3023" s="175"/>
      <c r="R3023" s="176"/>
      <c r="S3023" s="177">
        <v>4000000</v>
      </c>
      <c r="T3023" s="178"/>
      <c r="U3023" s="340">
        <v>46115</v>
      </c>
      <c r="V3023" s="340">
        <v>46176</v>
      </c>
      <c r="W3023" s="172" t="s">
        <v>245</v>
      </c>
      <c r="X3023" s="172"/>
      <c r="Y3023" s="164">
        <f t="shared" ca="1" si="242"/>
        <v>46290</v>
      </c>
      <c r="Z3023" s="35">
        <f t="shared" ca="1" si="241"/>
        <v>-114</v>
      </c>
      <c r="AA3023" s="27">
        <f>MONTH(Table1[[#This Row],[End]])</f>
        <v>6</v>
      </c>
      <c r="AB3023" s="27">
        <f>YEAR(V3023)</f>
        <v>2026</v>
      </c>
      <c r="AC3023" s="182" t="s">
        <v>12733</v>
      </c>
      <c r="AD3023" s="173" t="s">
        <v>12734</v>
      </c>
      <c r="AE3023" s="172">
        <v>4500027777</v>
      </c>
      <c r="AF3023" s="201" t="s">
        <v>399</v>
      </c>
      <c r="AG3023" s="29" t="s">
        <v>8837</v>
      </c>
      <c r="AH3023" s="160"/>
      <c r="AI3023" s="172"/>
      <c r="AJ3023" s="172"/>
      <c r="AK3023" s="172"/>
      <c r="AL3023" s="172"/>
      <c r="AM3023" s="172"/>
      <c r="AN3023" s="172"/>
      <c r="AO3023" s="172"/>
      <c r="AP3023" s="172"/>
      <c r="AQ3023" s="172"/>
      <c r="AR3023" s="479">
        <v>159</v>
      </c>
      <c r="AS3023" s="461"/>
      <c r="AT3023" s="174"/>
    </row>
    <row r="3024" spans="1:46" ht="15" hidden="1" customHeight="1">
      <c r="A3024" s="220">
        <v>3018</v>
      </c>
      <c r="B3024" s="173" t="s">
        <v>221</v>
      </c>
      <c r="C3024" s="173" t="s">
        <v>889</v>
      </c>
      <c r="D3024" s="437" t="s">
        <v>369</v>
      </c>
      <c r="E3024" s="113" t="str">
        <f t="shared" ca="1" si="243"/>
        <v>ON TRACK</v>
      </c>
      <c r="F3024" s="160" t="s">
        <v>11925</v>
      </c>
      <c r="G3024" s="159" t="s">
        <v>11926</v>
      </c>
      <c r="H3024" s="160" t="s">
        <v>2748</v>
      </c>
      <c r="I3024" s="160" t="s">
        <v>242</v>
      </c>
      <c r="J3024" s="205" t="s">
        <v>7888</v>
      </c>
      <c r="K3024" s="174"/>
      <c r="L3024" s="172"/>
      <c r="M3024" s="158" t="s">
        <v>365</v>
      </c>
      <c r="N3024" s="158" t="s">
        <v>389</v>
      </c>
      <c r="O3024" s="176"/>
      <c r="P3024" s="161">
        <f>25000000*12</f>
        <v>300000000</v>
      </c>
      <c r="Q3024" s="175"/>
      <c r="R3024" s="176"/>
      <c r="S3024" s="163">
        <v>12000000</v>
      </c>
      <c r="T3024" s="178"/>
      <c r="U3024" s="340">
        <v>46166</v>
      </c>
      <c r="V3024" s="340">
        <v>46530</v>
      </c>
      <c r="W3024" s="158" t="s">
        <v>17</v>
      </c>
      <c r="X3024" s="172"/>
      <c r="Y3024" s="164">
        <f t="shared" ca="1" si="242"/>
        <v>46290</v>
      </c>
      <c r="Z3024" s="35">
        <f t="shared" ca="1" si="241"/>
        <v>240</v>
      </c>
      <c r="AA3024" s="27">
        <v>9</v>
      </c>
      <c r="AB3024" s="158">
        <f>YEAR(Table1[[#This Row],[End]])</f>
        <v>2027</v>
      </c>
      <c r="AC3024" s="159" t="s">
        <v>12735</v>
      </c>
      <c r="AD3024" s="173"/>
      <c r="AE3024" s="172">
        <v>4500028027</v>
      </c>
      <c r="AF3024" s="158" t="s">
        <v>333</v>
      </c>
      <c r="AG3024" s="174" t="s">
        <v>12529</v>
      </c>
      <c r="AH3024" s="160"/>
      <c r="AI3024" s="172"/>
      <c r="AJ3024" s="172"/>
      <c r="AK3024" s="172"/>
      <c r="AL3024" s="172"/>
      <c r="AM3024" s="172"/>
      <c r="AN3024" s="172"/>
      <c r="AO3024" s="172"/>
      <c r="AP3024" s="172"/>
      <c r="AQ3024" s="172"/>
      <c r="AR3024" s="479"/>
      <c r="AS3024" s="461">
        <v>169</v>
      </c>
      <c r="AT3024" s="174"/>
    </row>
    <row r="3025" spans="1:46" ht="15" hidden="1" customHeight="1">
      <c r="A3025" s="220">
        <v>3019</v>
      </c>
      <c r="B3025" s="159" t="s">
        <v>1280</v>
      </c>
      <c r="C3025" s="173" t="s">
        <v>12736</v>
      </c>
      <c r="D3025" s="434" t="s">
        <v>1282</v>
      </c>
      <c r="E3025" s="113" t="str">
        <f t="shared" ca="1" si="243"/>
        <v>ON TRACK</v>
      </c>
      <c r="F3025" s="174" t="s">
        <v>12737</v>
      </c>
      <c r="G3025" s="173" t="s">
        <v>12738</v>
      </c>
      <c r="H3025" s="160" t="s">
        <v>2748</v>
      </c>
      <c r="I3025" s="160" t="s">
        <v>346</v>
      </c>
      <c r="J3025" s="454" t="s">
        <v>12739</v>
      </c>
      <c r="K3025" s="180" t="s">
        <v>12740</v>
      </c>
      <c r="L3025" s="172"/>
      <c r="M3025" s="158" t="s">
        <v>365</v>
      </c>
      <c r="N3025" s="158" t="s">
        <v>406</v>
      </c>
      <c r="O3025" s="176"/>
      <c r="P3025" s="175">
        <f>9900000*12</f>
        <v>118800000</v>
      </c>
      <c r="Q3025" s="175"/>
      <c r="R3025" s="176"/>
      <c r="S3025" s="177">
        <v>60000000</v>
      </c>
      <c r="T3025" s="178"/>
      <c r="U3025" s="340">
        <v>46113</v>
      </c>
      <c r="V3025" s="340">
        <v>46477</v>
      </c>
      <c r="W3025" s="158" t="s">
        <v>17</v>
      </c>
      <c r="X3025" s="172"/>
      <c r="Y3025" s="34">
        <f t="shared" ca="1" si="242"/>
        <v>46290</v>
      </c>
      <c r="Z3025" s="35">
        <f t="shared" ca="1" si="241"/>
        <v>187</v>
      </c>
      <c r="AA3025" s="27">
        <f>MONTH(Table1[[#This Row],[End]])</f>
        <v>3</v>
      </c>
      <c r="AB3025" s="27">
        <f>YEAR(V3025)</f>
        <v>2027</v>
      </c>
      <c r="AC3025" s="173" t="s">
        <v>3371</v>
      </c>
      <c r="AD3025" s="173" t="s">
        <v>12741</v>
      </c>
      <c r="AE3025" s="172">
        <v>4500028472</v>
      </c>
      <c r="AF3025" s="201" t="s">
        <v>399</v>
      </c>
      <c r="AG3025" s="160" t="s">
        <v>12742</v>
      </c>
      <c r="AH3025" s="160"/>
      <c r="AI3025" s="172"/>
      <c r="AJ3025" s="172"/>
      <c r="AK3025" s="172"/>
      <c r="AL3025" s="172"/>
      <c r="AM3025" s="172"/>
      <c r="AN3025" s="172"/>
      <c r="AO3025" s="172"/>
      <c r="AP3025" s="172"/>
      <c r="AQ3025" s="172"/>
      <c r="AR3025" s="479">
        <v>116</v>
      </c>
      <c r="AS3025" s="461"/>
      <c r="AT3025" s="174"/>
    </row>
    <row r="3026" spans="1:46" ht="15" hidden="1" customHeight="1">
      <c r="A3026" s="220">
        <v>3020</v>
      </c>
      <c r="B3026" s="173" t="s">
        <v>1427</v>
      </c>
      <c r="C3026" s="28" t="s">
        <v>10854</v>
      </c>
      <c r="D3026" s="437" t="s">
        <v>7471</v>
      </c>
      <c r="E3026" s="113" t="str">
        <f t="shared" ca="1" si="243"/>
        <v>ON TRACK</v>
      </c>
      <c r="F3026" s="174"/>
      <c r="G3026" s="28" t="s">
        <v>7472</v>
      </c>
      <c r="H3026" s="29" t="s">
        <v>2748</v>
      </c>
      <c r="I3026" s="160" t="s">
        <v>346</v>
      </c>
      <c r="J3026" s="173"/>
      <c r="K3026" s="160" t="s">
        <v>10855</v>
      </c>
      <c r="L3026" s="172"/>
      <c r="M3026" s="158" t="s">
        <v>365</v>
      </c>
      <c r="N3026" s="158" t="s">
        <v>389</v>
      </c>
      <c r="O3026" s="176"/>
      <c r="P3026" s="161">
        <f>5000000*12</f>
        <v>60000000</v>
      </c>
      <c r="Q3026" s="175"/>
      <c r="R3026" s="176"/>
      <c r="S3026" s="163">
        <v>57750000</v>
      </c>
      <c r="T3026" s="178"/>
      <c r="U3026" s="334">
        <v>46023</v>
      </c>
      <c r="V3026" s="334">
        <v>46387</v>
      </c>
      <c r="W3026" s="27" t="s">
        <v>17</v>
      </c>
      <c r="X3026" s="172"/>
      <c r="Y3026" s="34">
        <f t="shared" ca="1" si="242"/>
        <v>46290</v>
      </c>
      <c r="Z3026" s="35">
        <f t="shared" ref="Z3026:Z3048" ca="1" si="244">V3026-Y3026</f>
        <v>97</v>
      </c>
      <c r="AA3026" s="27">
        <f>MONTH(V3026)</f>
        <v>12</v>
      </c>
      <c r="AB3026" s="27">
        <f>YEAR(V3026)</f>
        <v>2026</v>
      </c>
      <c r="AC3026" s="159" t="s">
        <v>12743</v>
      </c>
      <c r="AD3026" s="173"/>
      <c r="AE3026" s="172">
        <v>4500027858</v>
      </c>
      <c r="AF3026" s="27" t="s">
        <v>339</v>
      </c>
      <c r="AG3026" s="174"/>
      <c r="AH3026" s="160"/>
      <c r="AI3026" s="172"/>
      <c r="AJ3026" s="172"/>
      <c r="AK3026" s="172"/>
      <c r="AL3026" s="172"/>
      <c r="AM3026" s="172"/>
      <c r="AN3026" s="172"/>
      <c r="AO3026" s="172"/>
      <c r="AP3026" s="172"/>
      <c r="AQ3026" s="172"/>
      <c r="AR3026" s="479"/>
      <c r="AS3026" s="461">
        <v>154</v>
      </c>
      <c r="AT3026" s="174"/>
    </row>
    <row r="3027" spans="1:46" ht="15" hidden="1" customHeight="1">
      <c r="A3027" s="220">
        <v>3021</v>
      </c>
      <c r="B3027" s="28" t="s">
        <v>30</v>
      </c>
      <c r="C3027" s="28" t="s">
        <v>8433</v>
      </c>
      <c r="D3027" s="438" t="s">
        <v>2757</v>
      </c>
      <c r="E3027" s="113" t="str">
        <f t="shared" ca="1" si="243"/>
        <v>ON TRACK</v>
      </c>
      <c r="F3027" s="174"/>
      <c r="G3027" s="28" t="s">
        <v>8434</v>
      </c>
      <c r="H3027" s="29" t="s">
        <v>2748</v>
      </c>
      <c r="I3027" s="29" t="s">
        <v>346</v>
      </c>
      <c r="J3027" s="28" t="s">
        <v>31</v>
      </c>
      <c r="K3027" s="174"/>
      <c r="L3027" s="172"/>
      <c r="M3027" s="158" t="s">
        <v>329</v>
      </c>
      <c r="N3027" s="158" t="s">
        <v>11294</v>
      </c>
      <c r="O3027" s="176"/>
      <c r="P3027" s="161">
        <f>2950200*12</f>
        <v>35402400</v>
      </c>
      <c r="Q3027" s="175"/>
      <c r="R3027" s="176"/>
      <c r="S3027" s="163">
        <v>20000000</v>
      </c>
      <c r="T3027" s="178"/>
      <c r="U3027" s="334">
        <v>46054</v>
      </c>
      <c r="V3027" s="334">
        <v>46418</v>
      </c>
      <c r="W3027" s="27" t="s">
        <v>17</v>
      </c>
      <c r="X3027" s="172"/>
      <c r="Y3027" s="34">
        <f t="shared" ca="1" si="242"/>
        <v>46290</v>
      </c>
      <c r="Z3027" s="35">
        <f t="shared" ca="1" si="244"/>
        <v>128</v>
      </c>
      <c r="AA3027" s="27">
        <f>MONTH(V3027)</f>
        <v>1</v>
      </c>
      <c r="AB3027" s="27">
        <f>YEAR(V3027)</f>
        <v>2027</v>
      </c>
      <c r="AC3027" s="159" t="s">
        <v>12744</v>
      </c>
      <c r="AD3027" s="173"/>
      <c r="AE3027" s="172">
        <v>4500028080</v>
      </c>
      <c r="AF3027" s="27" t="s">
        <v>339</v>
      </c>
      <c r="AG3027" s="29" t="s">
        <v>2762</v>
      </c>
      <c r="AH3027" s="160"/>
      <c r="AI3027" s="172"/>
      <c r="AJ3027" s="172"/>
      <c r="AK3027" s="172"/>
      <c r="AL3027" s="172"/>
      <c r="AM3027" s="172"/>
      <c r="AN3027" s="172"/>
      <c r="AO3027" s="172"/>
      <c r="AP3027" s="172"/>
      <c r="AQ3027" s="172"/>
      <c r="AR3027" s="479"/>
      <c r="AS3027" s="461">
        <v>155</v>
      </c>
      <c r="AT3027" s="174"/>
    </row>
    <row r="3028" spans="1:46" ht="15" hidden="1" customHeight="1">
      <c r="A3028" s="220">
        <v>3022</v>
      </c>
      <c r="B3028" s="173" t="s">
        <v>382</v>
      </c>
      <c r="C3028" s="421" t="s">
        <v>12745</v>
      </c>
      <c r="D3028" s="437" t="s">
        <v>384</v>
      </c>
      <c r="E3028" s="113" t="str">
        <f t="shared" ca="1" si="243"/>
        <v>ON TRACK</v>
      </c>
      <c r="F3028" s="174" t="s">
        <v>12746</v>
      </c>
      <c r="G3028" s="174" t="s">
        <v>12746</v>
      </c>
      <c r="H3028" s="160" t="s">
        <v>2748</v>
      </c>
      <c r="I3028" s="160" t="s">
        <v>346</v>
      </c>
      <c r="J3028" s="173"/>
      <c r="K3028" s="455" t="s">
        <v>12747</v>
      </c>
      <c r="L3028" s="172"/>
      <c r="M3028" s="158" t="s">
        <v>365</v>
      </c>
      <c r="N3028" s="174"/>
      <c r="O3028" s="176"/>
      <c r="P3028" s="175">
        <f>13750000*12</f>
        <v>165000000</v>
      </c>
      <c r="Q3028" s="175"/>
      <c r="R3028" s="176"/>
      <c r="S3028" s="177">
        <v>462000000</v>
      </c>
      <c r="T3028" s="178"/>
      <c r="U3028" s="340">
        <v>44058</v>
      </c>
      <c r="V3028" s="340">
        <v>46613</v>
      </c>
      <c r="W3028" s="27" t="s">
        <v>17</v>
      </c>
      <c r="X3028" s="172"/>
      <c r="Y3028" s="164">
        <f t="shared" ref="Y3028:Y3062" ca="1" si="245">TODAY()</f>
        <v>46290</v>
      </c>
      <c r="Z3028" s="35">
        <f t="shared" ca="1" si="244"/>
        <v>323</v>
      </c>
      <c r="AA3028" s="158">
        <f>MONTH(Table1[[#This Row],[End]])</f>
        <v>8</v>
      </c>
      <c r="AB3028" s="158">
        <f>YEAR(Table1[[#This Row],[End]])</f>
        <v>2027</v>
      </c>
      <c r="AC3028" s="173">
        <v>4500013156</v>
      </c>
      <c r="AD3028" s="173" t="s">
        <v>12748</v>
      </c>
      <c r="AE3028" s="172">
        <v>4500028235</v>
      </c>
      <c r="AF3028" s="158" t="s">
        <v>333</v>
      </c>
      <c r="AG3028" s="174"/>
      <c r="AH3028" s="160"/>
      <c r="AI3028" s="172"/>
      <c r="AJ3028" s="172"/>
      <c r="AK3028" s="172"/>
      <c r="AL3028" s="172"/>
      <c r="AM3028" s="172"/>
      <c r="AN3028" s="172"/>
      <c r="AO3028" s="172"/>
      <c r="AP3028" s="172"/>
      <c r="AQ3028" s="172"/>
      <c r="AR3028" s="479"/>
      <c r="AS3028" s="461"/>
      <c r="AT3028" s="174"/>
    </row>
    <row r="3029" spans="1:46" ht="15" hidden="1" customHeight="1">
      <c r="A3029" s="220">
        <v>3023</v>
      </c>
      <c r="B3029" s="173" t="s">
        <v>382</v>
      </c>
      <c r="C3029" s="173" t="s">
        <v>9397</v>
      </c>
      <c r="D3029" s="437" t="s">
        <v>384</v>
      </c>
      <c r="E3029" s="113" t="str">
        <f t="shared" ca="1" si="243"/>
        <v>ON TRACK</v>
      </c>
      <c r="F3029" s="174" t="s">
        <v>12749</v>
      </c>
      <c r="G3029" s="173"/>
      <c r="H3029" s="160" t="s">
        <v>2748</v>
      </c>
      <c r="I3029" s="160" t="s">
        <v>242</v>
      </c>
      <c r="J3029" s="173"/>
      <c r="K3029" s="180" t="s">
        <v>12750</v>
      </c>
      <c r="L3029" s="172"/>
      <c r="M3029" s="158" t="s">
        <v>365</v>
      </c>
      <c r="N3029" s="174"/>
      <c r="O3029" s="176"/>
      <c r="P3029" s="175">
        <f>5000000*12</f>
        <v>60000000</v>
      </c>
      <c r="Q3029" s="175"/>
      <c r="R3029" s="176"/>
      <c r="S3029" s="177">
        <v>96000000</v>
      </c>
      <c r="T3029" s="178"/>
      <c r="U3029" s="340">
        <v>45057</v>
      </c>
      <c r="V3029" s="340">
        <v>46517</v>
      </c>
      <c r="W3029" s="27" t="s">
        <v>17</v>
      </c>
      <c r="X3029" s="172"/>
      <c r="Y3029" s="164">
        <f t="shared" ca="1" si="245"/>
        <v>46290</v>
      </c>
      <c r="Z3029" s="35">
        <f t="shared" ca="1" si="244"/>
        <v>227</v>
      </c>
      <c r="AA3029" s="158">
        <f>MONTH(Table1[[#This Row],[End]])</f>
        <v>5</v>
      </c>
      <c r="AB3029" s="158">
        <f>YEAR(Table1[[#This Row],[End]])</f>
        <v>2027</v>
      </c>
      <c r="AC3029" s="173">
        <v>4500022561</v>
      </c>
      <c r="AD3029" s="173" t="s">
        <v>12751</v>
      </c>
      <c r="AE3029" s="172">
        <v>4500028268</v>
      </c>
      <c r="AF3029" s="158" t="s">
        <v>333</v>
      </c>
      <c r="AG3029" s="174"/>
      <c r="AH3029" s="160"/>
      <c r="AI3029" s="172"/>
      <c r="AJ3029" s="172"/>
      <c r="AK3029" s="172"/>
      <c r="AL3029" s="172"/>
      <c r="AM3029" s="172"/>
      <c r="AN3029" s="172"/>
      <c r="AO3029" s="172"/>
      <c r="AP3029" s="172"/>
      <c r="AQ3029" s="172"/>
      <c r="AR3029" s="479"/>
      <c r="AS3029" s="461">
        <v>161</v>
      </c>
      <c r="AT3029" s="174"/>
    </row>
    <row r="3030" spans="1:46" ht="15" hidden="1" customHeight="1">
      <c r="A3030" s="220">
        <v>3024</v>
      </c>
      <c r="B3030" s="173" t="s">
        <v>382</v>
      </c>
      <c r="C3030" s="173" t="s">
        <v>9397</v>
      </c>
      <c r="D3030" s="437" t="s">
        <v>384</v>
      </c>
      <c r="E3030" s="117" t="str">
        <f t="shared" ca="1" si="243"/>
        <v>ON TRACK</v>
      </c>
      <c r="F3030" s="174" t="s">
        <v>12749</v>
      </c>
      <c r="G3030" s="159"/>
      <c r="H3030" s="160" t="s">
        <v>2748</v>
      </c>
      <c r="I3030" s="160" t="s">
        <v>346</v>
      </c>
      <c r="J3030" s="159"/>
      <c r="K3030" s="180" t="s">
        <v>12750</v>
      </c>
      <c r="L3030" s="158"/>
      <c r="M3030" s="158"/>
      <c r="N3030" s="160"/>
      <c r="O3030" s="162"/>
      <c r="P3030" s="175">
        <f>10400000*12</f>
        <v>124800000</v>
      </c>
      <c r="Q3030" s="161"/>
      <c r="R3030" s="162"/>
      <c r="S3030" s="163">
        <v>168000000</v>
      </c>
      <c r="T3030" s="164"/>
      <c r="U3030" s="340">
        <v>45057</v>
      </c>
      <c r="V3030" s="340">
        <v>46517</v>
      </c>
      <c r="W3030" s="27" t="s">
        <v>17</v>
      </c>
      <c r="X3030" s="158"/>
      <c r="Y3030" s="164">
        <f t="shared" ca="1" si="245"/>
        <v>46290</v>
      </c>
      <c r="Z3030" s="35">
        <f t="shared" ca="1" si="244"/>
        <v>227</v>
      </c>
      <c r="AA3030" s="158">
        <f>MONTH(Table1[[#This Row],[End]])</f>
        <v>5</v>
      </c>
      <c r="AB3030" s="158">
        <f>YEAR(Table1[[#This Row],[End]])</f>
        <v>2027</v>
      </c>
      <c r="AC3030" s="159" t="s">
        <v>479</v>
      </c>
      <c r="AD3030" s="173" t="s">
        <v>12752</v>
      </c>
      <c r="AE3030" s="158">
        <v>4500028271</v>
      </c>
      <c r="AF3030" s="158" t="s">
        <v>333</v>
      </c>
      <c r="AG3030" s="160"/>
      <c r="AH3030" s="160"/>
      <c r="AI3030" s="158"/>
      <c r="AJ3030" s="158"/>
      <c r="AK3030" s="158"/>
      <c r="AL3030" s="158"/>
      <c r="AM3030" s="158"/>
      <c r="AN3030" s="158"/>
      <c r="AO3030" s="158"/>
      <c r="AP3030" s="158"/>
      <c r="AQ3030" s="158"/>
      <c r="AR3030" s="507"/>
      <c r="AS3030" s="475">
        <v>160</v>
      </c>
      <c r="AT3030" s="160"/>
    </row>
    <row r="3031" spans="1:46" ht="15" hidden="1" customHeight="1">
      <c r="A3031" s="220">
        <v>3025</v>
      </c>
      <c r="B3031" s="173" t="s">
        <v>382</v>
      </c>
      <c r="C3031" s="159" t="s">
        <v>12753</v>
      </c>
      <c r="D3031" s="437" t="s">
        <v>384</v>
      </c>
      <c r="E3031" s="28" t="str">
        <f t="shared" ca="1" si="243"/>
        <v>ON TRACK</v>
      </c>
      <c r="F3031" s="160" t="s">
        <v>12754</v>
      </c>
      <c r="G3031" s="159" t="s">
        <v>12754</v>
      </c>
      <c r="H3031" s="160" t="s">
        <v>2748</v>
      </c>
      <c r="I3031" s="160" t="s">
        <v>346</v>
      </c>
      <c r="J3031" s="205" t="s">
        <v>12755</v>
      </c>
      <c r="K3031" s="181"/>
      <c r="L3031" s="158"/>
      <c r="M3031" s="158" t="s">
        <v>365</v>
      </c>
      <c r="N3031" s="160"/>
      <c r="O3031" s="162"/>
      <c r="P3031" s="161">
        <f>30500000*12</f>
        <v>366000000</v>
      </c>
      <c r="Q3031" s="161"/>
      <c r="R3031" s="162"/>
      <c r="S3031" s="163">
        <v>180000000</v>
      </c>
      <c r="T3031" s="164"/>
      <c r="U3031" s="340">
        <v>44365</v>
      </c>
      <c r="V3031" s="340">
        <v>46555</v>
      </c>
      <c r="W3031" s="27" t="s">
        <v>17</v>
      </c>
      <c r="X3031" s="158"/>
      <c r="Y3031" s="164">
        <f t="shared" ca="1" si="245"/>
        <v>46290</v>
      </c>
      <c r="Z3031" s="35">
        <f t="shared" ca="1" si="244"/>
        <v>265</v>
      </c>
      <c r="AA3031" s="158">
        <f>MONTH(Table1[[#This Row],[End]])</f>
        <v>6</v>
      </c>
      <c r="AB3031" s="158">
        <f>YEAR(Table1[[#This Row],[End]])</f>
        <v>2027</v>
      </c>
      <c r="AC3031" s="159" t="s">
        <v>479</v>
      </c>
      <c r="AD3031" s="173" t="s">
        <v>12756</v>
      </c>
      <c r="AE3031" s="158">
        <v>4500027618</v>
      </c>
      <c r="AF3031" s="158" t="s">
        <v>333</v>
      </c>
      <c r="AG3031" s="160"/>
      <c r="AH3031" s="160"/>
      <c r="AI3031" s="158"/>
      <c r="AJ3031" s="158"/>
      <c r="AK3031" s="158"/>
      <c r="AL3031" s="158"/>
      <c r="AM3031" s="158"/>
      <c r="AN3031" s="158"/>
      <c r="AO3031" s="158"/>
      <c r="AP3031" s="158"/>
      <c r="AQ3031" s="158"/>
      <c r="AR3031" s="507"/>
      <c r="AS3031" s="475"/>
      <c r="AT3031" s="160"/>
    </row>
    <row r="3032" spans="1:46" ht="15" hidden="1" customHeight="1">
      <c r="A3032" s="220">
        <v>3026</v>
      </c>
      <c r="B3032" s="173" t="s">
        <v>221</v>
      </c>
      <c r="C3032" s="173" t="s">
        <v>997</v>
      </c>
      <c r="D3032" s="437" t="s">
        <v>369</v>
      </c>
      <c r="E3032" s="113" t="str">
        <f t="shared" ca="1" si="243"/>
        <v>ON TRACK</v>
      </c>
      <c r="F3032" s="160" t="s">
        <v>11094</v>
      </c>
      <c r="G3032" s="159" t="s">
        <v>7986</v>
      </c>
      <c r="H3032" s="160" t="s">
        <v>2748</v>
      </c>
      <c r="I3032" s="160" t="s">
        <v>242</v>
      </c>
      <c r="J3032" s="205" t="s">
        <v>7987</v>
      </c>
      <c r="K3032" s="205" t="s">
        <v>11095</v>
      </c>
      <c r="L3032" s="172"/>
      <c r="M3032" s="158" t="s">
        <v>365</v>
      </c>
      <c r="N3032" s="158" t="s">
        <v>6885</v>
      </c>
      <c r="O3032" s="176"/>
      <c r="P3032" s="161">
        <f>2000000*12</f>
        <v>24000000</v>
      </c>
      <c r="Q3032" s="175"/>
      <c r="R3032" s="176"/>
      <c r="S3032" s="163">
        <v>6000000</v>
      </c>
      <c r="T3032" s="178"/>
      <c r="U3032" s="340">
        <v>46097</v>
      </c>
      <c r="V3032" s="340">
        <v>46461</v>
      </c>
      <c r="W3032" s="27" t="s">
        <v>17</v>
      </c>
      <c r="X3032" s="172"/>
      <c r="Y3032" s="164">
        <f t="shared" ca="1" si="245"/>
        <v>46290</v>
      </c>
      <c r="Z3032" s="35">
        <f t="shared" ca="1" si="244"/>
        <v>171</v>
      </c>
      <c r="AA3032" s="158">
        <f>MONTH(Table1[[#This Row],[End]])</f>
        <v>3</v>
      </c>
      <c r="AB3032" s="158">
        <f>YEAR(Table1[[#This Row],[End]])</f>
        <v>2027</v>
      </c>
      <c r="AC3032" s="159" t="s">
        <v>12757</v>
      </c>
      <c r="AD3032" s="173"/>
      <c r="AE3032" s="172">
        <v>4500028053</v>
      </c>
      <c r="AF3032" s="158" t="s">
        <v>333</v>
      </c>
      <c r="AG3032" s="174" t="s">
        <v>12529</v>
      </c>
      <c r="AH3032" s="160"/>
      <c r="AI3032" s="172"/>
      <c r="AJ3032" s="172"/>
      <c r="AK3032" s="172"/>
      <c r="AL3032" s="172"/>
      <c r="AM3032" s="172"/>
      <c r="AN3032" s="172"/>
      <c r="AO3032" s="172"/>
      <c r="AP3032" s="172"/>
      <c r="AQ3032" s="172"/>
      <c r="AR3032" s="479"/>
      <c r="AS3032" s="461"/>
      <c r="AT3032" s="174"/>
    </row>
    <row r="3033" spans="1:46" ht="15" hidden="1" customHeight="1">
      <c r="A3033" s="220">
        <v>3027</v>
      </c>
      <c r="B3033" s="159" t="s">
        <v>440</v>
      </c>
      <c r="C3033" s="173" t="s">
        <v>344</v>
      </c>
      <c r="D3033" s="437" t="s">
        <v>442</v>
      </c>
      <c r="E3033" s="113" t="str">
        <f t="shared" ca="1" si="243"/>
        <v>ON TRACK</v>
      </c>
      <c r="F3033" s="174"/>
      <c r="G3033" s="159" t="s">
        <v>9514</v>
      </c>
      <c r="H3033" s="160" t="s">
        <v>2748</v>
      </c>
      <c r="I3033" s="174" t="s">
        <v>242</v>
      </c>
      <c r="J3033" s="454" t="s">
        <v>12758</v>
      </c>
      <c r="K3033" s="174" t="s">
        <v>12759</v>
      </c>
      <c r="L3033" s="172"/>
      <c r="M3033" s="158" t="s">
        <v>365</v>
      </c>
      <c r="N3033" s="174"/>
      <c r="O3033" s="176"/>
      <c r="P3033" s="175">
        <f>55620000*12</f>
        <v>667440000</v>
      </c>
      <c r="Q3033" s="175"/>
      <c r="R3033" s="176"/>
      <c r="S3033" s="177">
        <v>52500000</v>
      </c>
      <c r="T3033" s="178"/>
      <c r="U3033" s="334">
        <v>46023</v>
      </c>
      <c r="V3033" s="334">
        <v>46387</v>
      </c>
      <c r="W3033" s="27" t="s">
        <v>17</v>
      </c>
      <c r="X3033" s="172"/>
      <c r="Y3033" s="34">
        <f t="shared" ca="1" si="245"/>
        <v>46290</v>
      </c>
      <c r="Z3033" s="35">
        <f t="shared" ca="1" si="244"/>
        <v>97</v>
      </c>
      <c r="AA3033" s="27">
        <f>MONTH(V3033)</f>
        <v>12</v>
      </c>
      <c r="AB3033" s="27">
        <f>YEAR(V3033)</f>
        <v>2026</v>
      </c>
      <c r="AC3033" s="173" t="s">
        <v>479</v>
      </c>
      <c r="AD3033" s="173" t="s">
        <v>12760</v>
      </c>
      <c r="AE3033" s="172">
        <v>4500028192</v>
      </c>
      <c r="AF3033" s="201" t="s">
        <v>333</v>
      </c>
      <c r="AG3033" s="174" t="s">
        <v>449</v>
      </c>
      <c r="AH3033" s="160"/>
      <c r="AI3033" s="172"/>
      <c r="AJ3033" s="172"/>
      <c r="AK3033" s="172"/>
      <c r="AL3033" s="172"/>
      <c r="AM3033" s="172"/>
      <c r="AN3033" s="172"/>
      <c r="AO3033" s="172"/>
      <c r="AP3033" s="172"/>
      <c r="AQ3033" s="172"/>
      <c r="AR3033" s="479"/>
      <c r="AS3033" s="461">
        <v>171</v>
      </c>
      <c r="AT3033" s="174"/>
    </row>
    <row r="3034" spans="1:46" ht="15" hidden="1" customHeight="1">
      <c r="A3034" s="220">
        <v>3028</v>
      </c>
      <c r="B3034" s="173" t="s">
        <v>628</v>
      </c>
      <c r="C3034" s="173" t="s">
        <v>12761</v>
      </c>
      <c r="D3034" s="437" t="s">
        <v>7640</v>
      </c>
      <c r="E3034" s="113" t="str">
        <f ca="1">IF(AND(Z3008&gt;=60, Z3008&lt;=3000), "ON TRACK",IF(AND(Z3008&gt;=36, Z3008&lt;=59), "ATTENTION",IF(AND(Z3008&gt;=1, Z3008&lt;=35), "WARNING",IF(AND(Z3008&gt;=-3000, Z3008&lt;=0), "CRITICAL", ""))))</f>
        <v>ON TRACK</v>
      </c>
      <c r="F3034" s="174"/>
      <c r="G3034" s="173" t="s">
        <v>12762</v>
      </c>
      <c r="H3034" s="174" t="s">
        <v>261</v>
      </c>
      <c r="I3034" s="174" t="s">
        <v>243</v>
      </c>
      <c r="J3034" s="173" t="s">
        <v>12763</v>
      </c>
      <c r="K3034" s="180" t="s">
        <v>12764</v>
      </c>
      <c r="L3034" s="172" t="s">
        <v>4749</v>
      </c>
      <c r="M3034" s="172" t="s">
        <v>353</v>
      </c>
      <c r="N3034" s="172" t="s">
        <v>389</v>
      </c>
      <c r="O3034" s="176">
        <v>7000000</v>
      </c>
      <c r="P3034" s="175">
        <f>24*22300000</f>
        <v>535200000</v>
      </c>
      <c r="Q3034" s="175"/>
      <c r="R3034" s="176">
        <v>5000000</v>
      </c>
      <c r="S3034" s="177">
        <f>24*15800000</f>
        <v>379200000</v>
      </c>
      <c r="T3034" s="178"/>
      <c r="U3034" s="347">
        <v>46064</v>
      </c>
      <c r="V3034" s="347">
        <v>46793</v>
      </c>
      <c r="W3034" s="27" t="s">
        <v>17</v>
      </c>
      <c r="X3034" s="172"/>
      <c r="Y3034" s="178">
        <f t="shared" ca="1" si="245"/>
        <v>46290</v>
      </c>
      <c r="Z3034" s="35">
        <f t="shared" ca="1" si="244"/>
        <v>503</v>
      </c>
      <c r="AA3034" s="158">
        <f>MONTH(Table1[[#This Row],[End]])</f>
        <v>2</v>
      </c>
      <c r="AB3034" s="158">
        <f>YEAR(Table1[[#This Row],[End]])</f>
        <v>2028</v>
      </c>
      <c r="AC3034" s="173" t="s">
        <v>3371</v>
      </c>
      <c r="AD3034" s="173" t="s">
        <v>12765</v>
      </c>
      <c r="AE3034" s="172">
        <v>4500027951</v>
      </c>
      <c r="AF3034" s="179" t="s">
        <v>8995</v>
      </c>
      <c r="AG3034" s="160" t="s">
        <v>633</v>
      </c>
      <c r="AH3034" s="160"/>
      <c r="AI3034" s="172"/>
      <c r="AJ3034" s="172"/>
      <c r="AK3034" s="172"/>
      <c r="AL3034" s="172"/>
      <c r="AM3034" s="172"/>
      <c r="AN3034" s="172"/>
      <c r="AO3034" s="172"/>
      <c r="AP3034" s="172"/>
      <c r="AQ3034" s="172"/>
      <c r="AR3034" s="479">
        <v>133</v>
      </c>
      <c r="AS3034" s="461"/>
      <c r="AT3034" s="174"/>
    </row>
    <row r="3035" spans="1:46" ht="15" hidden="1" customHeight="1">
      <c r="A3035" s="220">
        <v>3029</v>
      </c>
      <c r="B3035" s="173" t="s">
        <v>37</v>
      </c>
      <c r="C3035" s="159" t="s">
        <v>7188</v>
      </c>
      <c r="D3035" s="438" t="s">
        <v>11045</v>
      </c>
      <c r="E3035" s="28" t="str">
        <f ca="1">IF(AND(Z3035&gt;=60, Z3035&lt;=3000), "ON TRACK",IF(AND(Z3035&gt;=36, Z3035&lt;=59), "ATTENTION",IF(AND(Z3035&gt;=1, Z3035&lt;=35), "WARNING",IF(AND(Z3035&gt;=-3000, Z3035&lt;=0), "CRITICAL", ""))))</f>
        <v>ON TRACK</v>
      </c>
      <c r="F3035" s="159"/>
      <c r="G3035" s="159" t="s">
        <v>12079</v>
      </c>
      <c r="H3035" s="160" t="s">
        <v>261</v>
      </c>
      <c r="I3035" s="160" t="s">
        <v>243</v>
      </c>
      <c r="J3035" s="159" t="s">
        <v>12080</v>
      </c>
      <c r="K3035" s="181" t="s">
        <v>12081</v>
      </c>
      <c r="L3035" s="287">
        <v>0.995</v>
      </c>
      <c r="M3035" s="158" t="s">
        <v>353</v>
      </c>
      <c r="N3035" s="158" t="s">
        <v>389</v>
      </c>
      <c r="O3035" s="176"/>
      <c r="P3035" s="175">
        <f>14500000*12</f>
        <v>174000000</v>
      </c>
      <c r="Q3035" s="175"/>
      <c r="R3035" s="176"/>
      <c r="S3035" s="177">
        <f>10500000*12</f>
        <v>126000000</v>
      </c>
      <c r="T3035" s="178"/>
      <c r="U3035" s="340">
        <v>46245</v>
      </c>
      <c r="V3035" s="340">
        <v>46609</v>
      </c>
      <c r="W3035" s="158" t="s">
        <v>17</v>
      </c>
      <c r="X3035" s="158"/>
      <c r="Y3035" s="34">
        <f t="shared" ca="1" si="245"/>
        <v>46290</v>
      </c>
      <c r="Z3035" s="35">
        <f t="shared" ca="1" si="244"/>
        <v>319</v>
      </c>
      <c r="AA3035" s="27">
        <f>MONTH(V3035)</f>
        <v>8</v>
      </c>
      <c r="AB3035" s="27">
        <f>YEAR(V3035)</f>
        <v>2027</v>
      </c>
      <c r="AC3035" s="159" t="s">
        <v>12766</v>
      </c>
      <c r="AD3035" s="159" t="s">
        <v>12767</v>
      </c>
      <c r="AE3035" s="158">
        <v>4500028398</v>
      </c>
      <c r="AF3035" s="201" t="s">
        <v>471</v>
      </c>
      <c r="AG3035" s="29" t="s">
        <v>6656</v>
      </c>
      <c r="AH3035" s="160"/>
      <c r="AI3035" s="172"/>
      <c r="AJ3035" s="172"/>
      <c r="AK3035" s="172"/>
      <c r="AL3035" s="172"/>
      <c r="AM3035" s="172"/>
      <c r="AN3035" s="172"/>
      <c r="AO3035" s="172"/>
      <c r="AP3035" s="172"/>
      <c r="AQ3035" s="172"/>
      <c r="AR3035" s="479">
        <v>138</v>
      </c>
      <c r="AS3035" s="461"/>
      <c r="AT3035" s="174"/>
    </row>
    <row r="3036" spans="1:46" ht="15" hidden="1" customHeight="1">
      <c r="A3036" s="220">
        <v>3030</v>
      </c>
      <c r="B3036" s="173" t="s">
        <v>37</v>
      </c>
      <c r="C3036" s="159" t="s">
        <v>7188</v>
      </c>
      <c r="D3036" s="438" t="s">
        <v>11045</v>
      </c>
      <c r="E3036" s="28" t="str">
        <f ca="1">IF(AND(Z3036&gt;=60, Z3036&lt;=3000), "ON TRACK",IF(AND(Z3036&gt;=36, Z3036&lt;=59), "ATTENTION",IF(AND(Z3036&gt;=1, Z3036&lt;=35), "WARNING",IF(AND(Z3036&gt;=-3000, Z3036&lt;=0), "CRITICAL", ""))))</f>
        <v>ON TRACK</v>
      </c>
      <c r="F3036" s="159" t="s">
        <v>12083</v>
      </c>
      <c r="G3036" s="159" t="s">
        <v>12083</v>
      </c>
      <c r="H3036" s="160" t="s">
        <v>261</v>
      </c>
      <c r="I3036" s="160" t="s">
        <v>243</v>
      </c>
      <c r="J3036" s="159" t="s">
        <v>12084</v>
      </c>
      <c r="K3036" s="181" t="s">
        <v>12085</v>
      </c>
      <c r="L3036" s="287">
        <v>0.995</v>
      </c>
      <c r="M3036" s="158" t="s">
        <v>329</v>
      </c>
      <c r="N3036" s="158" t="s">
        <v>7066</v>
      </c>
      <c r="O3036" s="176"/>
      <c r="P3036" s="175">
        <f>13500000*12</f>
        <v>162000000</v>
      </c>
      <c r="Q3036" s="175"/>
      <c r="R3036" s="176"/>
      <c r="S3036" s="177">
        <f>7000000*12</f>
        <v>84000000</v>
      </c>
      <c r="T3036" s="178"/>
      <c r="U3036" s="340">
        <v>46245</v>
      </c>
      <c r="V3036" s="340">
        <v>46609</v>
      </c>
      <c r="W3036" s="158" t="s">
        <v>17</v>
      </c>
      <c r="X3036" s="158"/>
      <c r="Y3036" s="34">
        <f t="shared" ca="1" si="245"/>
        <v>46290</v>
      </c>
      <c r="Z3036" s="35">
        <f t="shared" ca="1" si="244"/>
        <v>319</v>
      </c>
      <c r="AA3036" s="27">
        <f>MONTH(V3036)</f>
        <v>8</v>
      </c>
      <c r="AB3036" s="27">
        <f>YEAR(V3036)</f>
        <v>2027</v>
      </c>
      <c r="AC3036" s="159" t="s">
        <v>12768</v>
      </c>
      <c r="AD3036" s="159" t="s">
        <v>12769</v>
      </c>
      <c r="AE3036" s="158">
        <v>4500028399</v>
      </c>
      <c r="AF3036" s="201" t="s">
        <v>471</v>
      </c>
      <c r="AG3036" s="29" t="s">
        <v>6656</v>
      </c>
      <c r="AH3036" s="160"/>
      <c r="AI3036" s="172"/>
      <c r="AJ3036" s="172"/>
      <c r="AK3036" s="172"/>
      <c r="AL3036" s="172"/>
      <c r="AM3036" s="172"/>
      <c r="AN3036" s="172"/>
      <c r="AO3036" s="172"/>
      <c r="AP3036" s="172"/>
      <c r="AQ3036" s="172"/>
      <c r="AR3036" s="479">
        <v>139</v>
      </c>
      <c r="AS3036" s="461"/>
      <c r="AT3036" s="174"/>
    </row>
    <row r="3037" spans="1:46" ht="15" hidden="1" customHeight="1">
      <c r="A3037" s="220">
        <v>3031</v>
      </c>
      <c r="B3037" s="173" t="s">
        <v>37</v>
      </c>
      <c r="C3037" s="159" t="s">
        <v>10737</v>
      </c>
      <c r="D3037" s="437" t="s">
        <v>6644</v>
      </c>
      <c r="E3037" s="28" t="str">
        <f ca="1">IF(AND(Z3037&gt;=60, Z3037&lt;=3000), "ON TRACK",IF(AND(Z3037&gt;=36, Z3037&lt;=59), "ATTENTION",IF(AND(Z3037&gt;=1, Z3037&lt;=35), "WARNING",IF(AND(Z3037&gt;=-3000, Z3037&lt;=0), "CRITICAL", ""))))</f>
        <v>ON TRACK</v>
      </c>
      <c r="F3037" s="29" t="s">
        <v>6670</v>
      </c>
      <c r="G3037" s="38" t="s">
        <v>6671</v>
      </c>
      <c r="H3037" s="28" t="s">
        <v>261</v>
      </c>
      <c r="I3037" s="361" t="s">
        <v>243</v>
      </c>
      <c r="J3037" s="28" t="s">
        <v>6672</v>
      </c>
      <c r="K3037" s="38" t="s">
        <v>12770</v>
      </c>
      <c r="L3037" s="27" t="s">
        <v>4749</v>
      </c>
      <c r="M3037" s="27" t="s">
        <v>365</v>
      </c>
      <c r="N3037" s="27" t="s">
        <v>494</v>
      </c>
      <c r="O3037" s="176"/>
      <c r="P3037" s="175">
        <f>13500000*12</f>
        <v>162000000</v>
      </c>
      <c r="Q3037" s="175"/>
      <c r="R3037" s="176"/>
      <c r="S3037" s="177">
        <f>5000000*12</f>
        <v>60000000</v>
      </c>
      <c r="T3037" s="178"/>
      <c r="U3037" s="334">
        <v>46204</v>
      </c>
      <c r="V3037" s="334">
        <v>46568</v>
      </c>
      <c r="W3037" s="27" t="s">
        <v>17</v>
      </c>
      <c r="X3037" s="27"/>
      <c r="Y3037" s="34">
        <f t="shared" ca="1" si="245"/>
        <v>46290</v>
      </c>
      <c r="Z3037" s="35">
        <f t="shared" ca="1" si="244"/>
        <v>278</v>
      </c>
      <c r="AA3037" s="27">
        <f>MONTH(V3037)</f>
        <v>6</v>
      </c>
      <c r="AB3037" s="27">
        <f>YEAR(V3037)</f>
        <v>2027</v>
      </c>
      <c r="AC3037" s="28" t="s">
        <v>12771</v>
      </c>
      <c r="AD3037" s="159" t="s">
        <v>12772</v>
      </c>
      <c r="AE3037" s="27">
        <v>4500028136</v>
      </c>
      <c r="AF3037" s="27" t="s">
        <v>471</v>
      </c>
      <c r="AG3037" s="29" t="s">
        <v>6656</v>
      </c>
      <c r="AH3037" s="160"/>
      <c r="AI3037" s="172"/>
      <c r="AJ3037" s="172"/>
      <c r="AK3037" s="172"/>
      <c r="AL3037" s="172"/>
      <c r="AM3037" s="172"/>
      <c r="AN3037" s="172"/>
      <c r="AO3037" s="172"/>
      <c r="AP3037" s="172"/>
      <c r="AQ3037" s="172"/>
      <c r="AR3037" s="479">
        <v>140</v>
      </c>
      <c r="AS3037" s="461"/>
      <c r="AT3037" s="174"/>
    </row>
    <row r="3038" spans="1:46" ht="15" hidden="1" customHeight="1">
      <c r="A3038" s="220">
        <v>3032</v>
      </c>
      <c r="B3038" s="173" t="s">
        <v>2615</v>
      </c>
      <c r="C3038" s="159" t="s">
        <v>10191</v>
      </c>
      <c r="D3038" s="437" t="s">
        <v>6750</v>
      </c>
      <c r="E3038" s="361" t="str">
        <f ca="1">IF(Z3038&lt;=0, "LOSS",IF(Z3038&lt;=15, "CRITICAL",IF(Z3038&lt;=30, "WARNING",IF(Z3038&lt;60, "ATTENTION", "ON TRACK"))))</f>
        <v>ON TRACK</v>
      </c>
      <c r="F3038" s="203" t="s">
        <v>10192</v>
      </c>
      <c r="G3038" s="205" t="s">
        <v>10192</v>
      </c>
      <c r="H3038" s="160" t="s">
        <v>261</v>
      </c>
      <c r="I3038" s="160" t="s">
        <v>243</v>
      </c>
      <c r="J3038" s="159" t="s">
        <v>12773</v>
      </c>
      <c r="K3038" s="181" t="s">
        <v>10194</v>
      </c>
      <c r="L3038" s="51">
        <v>0.995</v>
      </c>
      <c r="M3038" s="158" t="s">
        <v>353</v>
      </c>
      <c r="N3038" s="158" t="s">
        <v>396</v>
      </c>
      <c r="O3038" s="176"/>
      <c r="P3038" s="175">
        <f>7500000*12</f>
        <v>90000000</v>
      </c>
      <c r="Q3038" s="175"/>
      <c r="R3038" s="176"/>
      <c r="S3038" s="177">
        <f>6000000*12</f>
        <v>72000000</v>
      </c>
      <c r="T3038" s="178"/>
      <c r="U3038" s="340">
        <v>46162</v>
      </c>
      <c r="V3038" s="340">
        <v>46526</v>
      </c>
      <c r="W3038" s="158" t="s">
        <v>17</v>
      </c>
      <c r="X3038" s="158"/>
      <c r="Y3038" s="34">
        <f t="shared" ca="1" si="245"/>
        <v>46290</v>
      </c>
      <c r="Z3038" s="35">
        <f t="shared" ca="1" si="244"/>
        <v>236</v>
      </c>
      <c r="AA3038" s="27">
        <f>MONTH(V3038)</f>
        <v>5</v>
      </c>
      <c r="AB3038" s="27">
        <f>YEAR(V3038)</f>
        <v>2027</v>
      </c>
      <c r="AC3038" s="500" t="s">
        <v>12774</v>
      </c>
      <c r="AD3038" s="173" t="s">
        <v>12775</v>
      </c>
      <c r="AE3038" s="184" t="s">
        <v>12776</v>
      </c>
      <c r="AF3038" s="27" t="s">
        <v>471</v>
      </c>
      <c r="AG3038" s="29" t="s">
        <v>8837</v>
      </c>
      <c r="AH3038" s="160"/>
      <c r="AI3038" s="172"/>
      <c r="AJ3038" s="172"/>
      <c r="AK3038" s="172"/>
      <c r="AL3038" s="172"/>
      <c r="AM3038" s="172"/>
      <c r="AN3038" s="172"/>
      <c r="AO3038" s="172"/>
      <c r="AP3038" s="172"/>
      <c r="AQ3038" s="172"/>
      <c r="AR3038" s="479">
        <v>141</v>
      </c>
      <c r="AS3038" s="461"/>
      <c r="AT3038" s="174"/>
    </row>
    <row r="3039" spans="1:46" ht="15" hidden="1" customHeight="1">
      <c r="A3039" s="220">
        <v>3033</v>
      </c>
      <c r="B3039" s="173" t="s">
        <v>614</v>
      </c>
      <c r="C3039" s="159" t="s">
        <v>1206</v>
      </c>
      <c r="D3039" s="443" t="s">
        <v>9294</v>
      </c>
      <c r="E3039" s="264" t="str">
        <f ca="1">IF(Z3039&lt;=0, "LOSS",IF(Z3039&lt;=15, "CRITICAL",IF(Z3039&lt;=30, "WARNING",IF(Z3039&lt;60, "ATTENTION", "ON TRACK"))))</f>
        <v>ON TRACK</v>
      </c>
      <c r="F3039" s="160"/>
      <c r="G3039" s="221" t="s">
        <v>11711</v>
      </c>
      <c r="H3039" s="160" t="s">
        <v>261</v>
      </c>
      <c r="I3039" s="160" t="s">
        <v>243</v>
      </c>
      <c r="J3039" s="159" t="s">
        <v>2647</v>
      </c>
      <c r="K3039" s="181" t="s">
        <v>12777</v>
      </c>
      <c r="L3039" s="213">
        <v>0.99</v>
      </c>
      <c r="M3039" s="158" t="s">
        <v>353</v>
      </c>
      <c r="N3039" s="158" t="s">
        <v>406</v>
      </c>
      <c r="O3039" s="176"/>
      <c r="P3039" s="175">
        <f>13000000*12</f>
        <v>156000000</v>
      </c>
      <c r="Q3039" s="175"/>
      <c r="R3039" s="176"/>
      <c r="S3039" s="177">
        <f>14000000*12</f>
        <v>168000000</v>
      </c>
      <c r="T3039" s="178"/>
      <c r="U3039" s="340">
        <v>46204</v>
      </c>
      <c r="V3039" s="340">
        <v>46568</v>
      </c>
      <c r="W3039" s="158" t="s">
        <v>17</v>
      </c>
      <c r="X3039" s="158"/>
      <c r="Y3039" s="164">
        <f t="shared" ca="1" si="245"/>
        <v>46290</v>
      </c>
      <c r="Z3039" s="35">
        <f t="shared" ca="1" si="244"/>
        <v>278</v>
      </c>
      <c r="AA3039" s="158">
        <f>MONTH(Table1[[#This Row],[End]])</f>
        <v>6</v>
      </c>
      <c r="AB3039" s="158">
        <f>YEAR(Table1[[#This Row],[End]])</f>
        <v>2027</v>
      </c>
      <c r="AC3039" s="194" t="s">
        <v>12778</v>
      </c>
      <c r="AD3039" s="159" t="s">
        <v>12779</v>
      </c>
      <c r="AE3039" s="184" t="s">
        <v>12780</v>
      </c>
      <c r="AF3039" s="52" t="s">
        <v>471</v>
      </c>
      <c r="AG3039" s="160" t="s">
        <v>6790</v>
      </c>
      <c r="AH3039" s="160"/>
      <c r="AI3039" s="172"/>
      <c r="AJ3039" s="172"/>
      <c r="AK3039" s="172"/>
      <c r="AL3039" s="172"/>
      <c r="AM3039" s="172"/>
      <c r="AN3039" s="172"/>
      <c r="AO3039" s="172"/>
      <c r="AP3039" s="172"/>
      <c r="AQ3039" s="172"/>
      <c r="AR3039" s="479"/>
      <c r="AS3039" s="461">
        <v>142</v>
      </c>
      <c r="AT3039" s="174"/>
    </row>
    <row r="3040" spans="1:46" ht="15" hidden="1" customHeight="1">
      <c r="A3040" s="220">
        <v>3034</v>
      </c>
      <c r="B3040" s="173" t="s">
        <v>7295</v>
      </c>
      <c r="C3040" s="173" t="s">
        <v>12781</v>
      </c>
      <c r="D3040" s="434" t="s">
        <v>12782</v>
      </c>
      <c r="E3040" s="28" t="str">
        <f ca="1">IF(AND(Z3037&gt;=60, Z3037&lt;=3000), "ON TRACK",IF(AND(Z3037&gt;=36, Z3037&lt;=59), "ATTENTION",IF(AND(Z3037&gt;=1, Z3037&lt;=35), "WARNING",IF(AND(Z3037&gt;=-3000, Z3037&lt;=0), "CRITICAL", ""))))</f>
        <v>ON TRACK</v>
      </c>
      <c r="F3040" s="174"/>
      <c r="G3040" s="173" t="s">
        <v>12783</v>
      </c>
      <c r="H3040" s="174" t="s">
        <v>261</v>
      </c>
      <c r="I3040" s="174" t="s">
        <v>243</v>
      </c>
      <c r="J3040" s="173" t="s">
        <v>11652</v>
      </c>
      <c r="K3040" s="174" t="s">
        <v>11653</v>
      </c>
      <c r="L3040" s="499" t="s">
        <v>12784</v>
      </c>
      <c r="M3040" s="172" t="s">
        <v>353</v>
      </c>
      <c r="N3040" s="172" t="s">
        <v>362</v>
      </c>
      <c r="O3040" s="176"/>
      <c r="P3040" s="175">
        <f>12*12548900</f>
        <v>150586800</v>
      </c>
      <c r="Q3040" s="175"/>
      <c r="R3040" s="176"/>
      <c r="S3040" s="177">
        <f>12*10000000</f>
        <v>120000000</v>
      </c>
      <c r="T3040" s="178"/>
      <c r="U3040" s="347">
        <v>46204</v>
      </c>
      <c r="V3040" s="347">
        <v>46568</v>
      </c>
      <c r="W3040" s="27" t="s">
        <v>17</v>
      </c>
      <c r="X3040" s="172"/>
      <c r="Y3040" s="34">
        <f t="shared" ca="1" si="245"/>
        <v>46290</v>
      </c>
      <c r="Z3040" s="35">
        <f t="shared" ca="1" si="244"/>
        <v>278</v>
      </c>
      <c r="AA3040" s="27">
        <f>MONTH(V3040)</f>
        <v>6</v>
      </c>
      <c r="AB3040" s="27">
        <f>YEAR(V3040)</f>
        <v>2027</v>
      </c>
      <c r="AC3040" s="194" t="s">
        <v>12785</v>
      </c>
      <c r="AD3040" s="173" t="s">
        <v>12786</v>
      </c>
      <c r="AE3040" s="172">
        <v>4500028026</v>
      </c>
      <c r="AF3040" s="179" t="s">
        <v>8995</v>
      </c>
      <c r="AG3040" s="174" t="s">
        <v>12787</v>
      </c>
      <c r="AH3040" s="160"/>
      <c r="AI3040" s="172"/>
      <c r="AJ3040" s="172"/>
      <c r="AK3040" s="172"/>
      <c r="AL3040" s="172"/>
      <c r="AM3040" s="172"/>
      <c r="AN3040" s="172"/>
      <c r="AO3040" s="172"/>
      <c r="AP3040" s="172"/>
      <c r="AQ3040" s="172"/>
      <c r="AR3040" s="479">
        <v>124</v>
      </c>
      <c r="AS3040" s="461"/>
      <c r="AT3040" s="174"/>
    </row>
    <row r="3041" spans="1:46" ht="15" hidden="1" customHeight="1">
      <c r="A3041" s="220">
        <v>3035</v>
      </c>
      <c r="B3041" s="173" t="s">
        <v>628</v>
      </c>
      <c r="C3041" s="28" t="s">
        <v>684</v>
      </c>
      <c r="D3041" s="437" t="s">
        <v>7640</v>
      </c>
      <c r="E3041" s="361" t="str">
        <f t="shared" ref="E3041:E3050" ca="1" si="246">IF(Z3041&lt;=0, "LOSS",IF(Z3041&lt;=15, "CRITICAL",IF(Z3041&lt;=30, "WARNING",IF(Z3041&lt;60, "ATTENTION", "ON TRACK"))))</f>
        <v>ON TRACK</v>
      </c>
      <c r="F3041" s="29" t="s">
        <v>12788</v>
      </c>
      <c r="G3041" s="28" t="s">
        <v>7684</v>
      </c>
      <c r="H3041" s="29" t="s">
        <v>261</v>
      </c>
      <c r="I3041" s="29" t="s">
        <v>243</v>
      </c>
      <c r="J3041" s="28" t="s">
        <v>2661</v>
      </c>
      <c r="K3041" s="38" t="s">
        <v>7685</v>
      </c>
      <c r="L3041" s="53" t="s">
        <v>4749</v>
      </c>
      <c r="M3041" s="27" t="s">
        <v>329</v>
      </c>
      <c r="N3041" s="27" t="s">
        <v>354</v>
      </c>
      <c r="O3041" s="176"/>
      <c r="P3041" s="175">
        <f>2500000*12</f>
        <v>30000000</v>
      </c>
      <c r="Q3041" s="175"/>
      <c r="R3041" s="176"/>
      <c r="S3041" s="177">
        <f>7200000*12</f>
        <v>86400000</v>
      </c>
      <c r="T3041" s="178"/>
      <c r="U3041" s="340">
        <v>46266</v>
      </c>
      <c r="V3041" s="340">
        <v>46630</v>
      </c>
      <c r="W3041" s="158" t="s">
        <v>17</v>
      </c>
      <c r="X3041" s="158"/>
      <c r="Y3041" s="164">
        <f t="shared" ca="1" si="245"/>
        <v>46290</v>
      </c>
      <c r="Z3041" s="35">
        <f t="shared" ca="1" si="244"/>
        <v>340</v>
      </c>
      <c r="AA3041" s="158">
        <f>MONTH(Table1[[#This Row],[End]])</f>
        <v>8</v>
      </c>
      <c r="AB3041" s="158">
        <f>YEAR(Table1[[#This Row],[End]])</f>
        <v>2027</v>
      </c>
      <c r="AC3041" s="209" t="s">
        <v>12789</v>
      </c>
      <c r="AD3041" s="194" t="s">
        <v>12790</v>
      </c>
      <c r="AE3041" s="184" t="s">
        <v>12791</v>
      </c>
      <c r="AF3041" s="201" t="s">
        <v>471</v>
      </c>
      <c r="AG3041" s="160" t="s">
        <v>633</v>
      </c>
      <c r="AH3041" s="160"/>
      <c r="AI3041" s="172"/>
      <c r="AJ3041" s="172"/>
      <c r="AK3041" s="172"/>
      <c r="AL3041" s="172"/>
      <c r="AM3041" s="172"/>
      <c r="AN3041" s="172"/>
      <c r="AO3041" s="172"/>
      <c r="AP3041" s="172"/>
      <c r="AQ3041" s="172"/>
      <c r="AR3041" s="479">
        <v>184</v>
      </c>
      <c r="AS3041" s="461"/>
      <c r="AT3041" s="174"/>
    </row>
    <row r="3042" spans="1:46" ht="15" hidden="1" customHeight="1">
      <c r="A3042" s="220">
        <v>3036</v>
      </c>
      <c r="B3042" s="159" t="s">
        <v>628</v>
      </c>
      <c r="C3042" s="28" t="s">
        <v>7652</v>
      </c>
      <c r="D3042" s="437" t="s">
        <v>7640</v>
      </c>
      <c r="E3042" s="361" t="str">
        <f t="shared" ca="1" si="246"/>
        <v>ON TRACK</v>
      </c>
      <c r="F3042" s="160" t="s">
        <v>115</v>
      </c>
      <c r="G3042" s="28" t="s">
        <v>7653</v>
      </c>
      <c r="H3042" s="28" t="s">
        <v>261</v>
      </c>
      <c r="I3042" s="160" t="s">
        <v>243</v>
      </c>
      <c r="J3042" s="28" t="s">
        <v>7654</v>
      </c>
      <c r="K3042" s="38" t="s">
        <v>11702</v>
      </c>
      <c r="L3042" s="53">
        <v>0.995</v>
      </c>
      <c r="M3042" s="27" t="s">
        <v>365</v>
      </c>
      <c r="N3042" s="27" t="s">
        <v>6885</v>
      </c>
      <c r="O3042" s="162"/>
      <c r="P3042" s="161">
        <f>2200000*12</f>
        <v>26400000</v>
      </c>
      <c r="Q3042" s="161"/>
      <c r="R3042" s="162"/>
      <c r="S3042" s="163">
        <f>1100000*12</f>
        <v>13200000</v>
      </c>
      <c r="T3042" s="164"/>
      <c r="U3042" s="340">
        <v>46204</v>
      </c>
      <c r="V3042" s="340">
        <v>46568</v>
      </c>
      <c r="W3042" s="158" t="s">
        <v>17</v>
      </c>
      <c r="X3042" s="27"/>
      <c r="Y3042" s="34">
        <f t="shared" ca="1" si="245"/>
        <v>46290</v>
      </c>
      <c r="Z3042" s="35">
        <f t="shared" ca="1" si="244"/>
        <v>278</v>
      </c>
      <c r="AA3042" s="27">
        <f>MONTH(V3042)</f>
        <v>6</v>
      </c>
      <c r="AB3042" s="27">
        <f>YEAR(V3042)</f>
        <v>2027</v>
      </c>
      <c r="AC3042" s="159" t="s">
        <v>12792</v>
      </c>
      <c r="AD3042" s="159" t="s">
        <v>12793</v>
      </c>
      <c r="AE3042" s="184" t="s">
        <v>12794</v>
      </c>
      <c r="AF3042" s="201" t="s">
        <v>471</v>
      </c>
      <c r="AG3042" s="160" t="s">
        <v>633</v>
      </c>
      <c r="AH3042" s="160"/>
      <c r="AI3042" s="158"/>
      <c r="AJ3042" s="158"/>
      <c r="AK3042" s="158"/>
      <c r="AL3042" s="158"/>
      <c r="AM3042" s="158"/>
      <c r="AN3042" s="158"/>
      <c r="AO3042" s="158"/>
      <c r="AP3042" s="158"/>
      <c r="AQ3042" s="158"/>
      <c r="AR3042" s="507">
        <v>182</v>
      </c>
      <c r="AS3042" s="475"/>
      <c r="AT3042" s="160"/>
    </row>
    <row r="3043" spans="1:46" ht="15" hidden="1" customHeight="1">
      <c r="A3043" s="195"/>
      <c r="B3043" s="159" t="s">
        <v>628</v>
      </c>
      <c r="C3043" s="28" t="s">
        <v>7656</v>
      </c>
      <c r="D3043" s="437" t="s">
        <v>7640</v>
      </c>
      <c r="E3043" s="361" t="str">
        <f t="shared" ca="1" si="246"/>
        <v>ON TRACK</v>
      </c>
      <c r="F3043" s="28" t="s">
        <v>115</v>
      </c>
      <c r="G3043" s="28" t="s">
        <v>7657</v>
      </c>
      <c r="H3043" s="28" t="s">
        <v>261</v>
      </c>
      <c r="I3043" s="361" t="s">
        <v>243</v>
      </c>
      <c r="J3043" s="28" t="s">
        <v>7658</v>
      </c>
      <c r="K3043" s="38" t="s">
        <v>11706</v>
      </c>
      <c r="L3043" s="53">
        <v>0.995</v>
      </c>
      <c r="M3043" s="27" t="s">
        <v>6776</v>
      </c>
      <c r="N3043" s="27" t="s">
        <v>6897</v>
      </c>
      <c r="O3043" s="162"/>
      <c r="P3043" s="161">
        <f>9000000*12</f>
        <v>108000000</v>
      </c>
      <c r="Q3043" s="161"/>
      <c r="R3043" s="162"/>
      <c r="S3043" s="163">
        <f>4780000*12</f>
        <v>57360000</v>
      </c>
      <c r="T3043" s="164"/>
      <c r="U3043" s="340">
        <v>46204</v>
      </c>
      <c r="V3043" s="340">
        <v>46568</v>
      </c>
      <c r="W3043" s="158" t="s">
        <v>17</v>
      </c>
      <c r="X3043" s="158"/>
      <c r="Y3043" s="164">
        <f t="shared" ca="1" si="245"/>
        <v>46290</v>
      </c>
      <c r="Z3043" s="35">
        <f t="shared" ca="1" si="244"/>
        <v>278</v>
      </c>
      <c r="AA3043" s="158">
        <f>MONTH(Table1[[#This Row],[End]])</f>
        <v>6</v>
      </c>
      <c r="AB3043" s="158">
        <f>YEAR(Table1[[#This Row],[End]])</f>
        <v>2027</v>
      </c>
      <c r="AC3043" s="159" t="s">
        <v>12792</v>
      </c>
      <c r="AD3043" s="159" t="s">
        <v>12793</v>
      </c>
      <c r="AE3043" s="184" t="s">
        <v>12794</v>
      </c>
      <c r="AF3043" s="201" t="s">
        <v>471</v>
      </c>
      <c r="AG3043" s="160" t="s">
        <v>633</v>
      </c>
      <c r="AH3043" s="160"/>
      <c r="AI3043" s="158"/>
      <c r="AJ3043" s="158"/>
      <c r="AK3043" s="158"/>
      <c r="AL3043" s="158"/>
      <c r="AM3043" s="158"/>
      <c r="AN3043" s="158"/>
      <c r="AO3043" s="158"/>
      <c r="AP3043" s="158"/>
      <c r="AQ3043" s="158"/>
      <c r="AR3043" s="507">
        <v>182</v>
      </c>
      <c r="AS3043" s="475"/>
      <c r="AT3043" s="160"/>
    </row>
    <row r="3044" spans="1:46" ht="15" hidden="1" customHeight="1">
      <c r="A3044" s="195"/>
      <c r="B3044" s="159" t="s">
        <v>628</v>
      </c>
      <c r="C3044" s="28" t="s">
        <v>7660</v>
      </c>
      <c r="D3044" s="438" t="s">
        <v>7640</v>
      </c>
      <c r="E3044" s="361" t="str">
        <f t="shared" ca="1" si="246"/>
        <v>ON TRACK</v>
      </c>
      <c r="F3044" s="28" t="s">
        <v>115</v>
      </c>
      <c r="G3044" s="28" t="s">
        <v>7661</v>
      </c>
      <c r="H3044" s="28" t="s">
        <v>261</v>
      </c>
      <c r="I3044" s="361" t="s">
        <v>243</v>
      </c>
      <c r="J3044" s="28" t="s">
        <v>7662</v>
      </c>
      <c r="K3044" s="38" t="s">
        <v>11707</v>
      </c>
      <c r="L3044" s="53">
        <v>0.995</v>
      </c>
      <c r="M3044" s="27" t="s">
        <v>329</v>
      </c>
      <c r="N3044" s="27" t="s">
        <v>417</v>
      </c>
      <c r="O3044" s="162"/>
      <c r="P3044" s="161">
        <f>4200000*12</f>
        <v>50400000</v>
      </c>
      <c r="Q3044" s="161"/>
      <c r="R3044" s="162"/>
      <c r="S3044" s="163">
        <f>2100000*12</f>
        <v>25200000</v>
      </c>
      <c r="T3044" s="164"/>
      <c r="U3044" s="340">
        <v>46204</v>
      </c>
      <c r="V3044" s="340">
        <v>46568</v>
      </c>
      <c r="W3044" s="158" t="s">
        <v>17</v>
      </c>
      <c r="X3044" s="158"/>
      <c r="Y3044" s="164">
        <f t="shared" ca="1" si="245"/>
        <v>46290</v>
      </c>
      <c r="Z3044" s="35">
        <f t="shared" ca="1" si="244"/>
        <v>278</v>
      </c>
      <c r="AA3044" s="158">
        <f>MONTH(Table1[[#This Row],[End]])</f>
        <v>6</v>
      </c>
      <c r="AB3044" s="158">
        <f>YEAR(Table1[[#This Row],[End]])</f>
        <v>2027</v>
      </c>
      <c r="AC3044" s="159" t="s">
        <v>12792</v>
      </c>
      <c r="AD3044" s="159" t="s">
        <v>12793</v>
      </c>
      <c r="AE3044" s="184" t="s">
        <v>12794</v>
      </c>
      <c r="AF3044" s="201" t="s">
        <v>471</v>
      </c>
      <c r="AG3044" s="160" t="s">
        <v>633</v>
      </c>
      <c r="AH3044" s="160"/>
      <c r="AI3044" s="158"/>
      <c r="AJ3044" s="158"/>
      <c r="AK3044" s="158"/>
      <c r="AL3044" s="158"/>
      <c r="AM3044" s="158"/>
      <c r="AN3044" s="158"/>
      <c r="AO3044" s="158"/>
      <c r="AP3044" s="158"/>
      <c r="AQ3044" s="158"/>
      <c r="AR3044" s="507">
        <v>182</v>
      </c>
      <c r="AS3044" s="475"/>
      <c r="AT3044" s="160"/>
    </row>
    <row r="3045" spans="1:46" ht="15" hidden="1" customHeight="1">
      <c r="A3045" s="195"/>
      <c r="B3045" s="159" t="s">
        <v>628</v>
      </c>
      <c r="C3045" s="28" t="s">
        <v>7664</v>
      </c>
      <c r="D3045" s="437" t="s">
        <v>7640</v>
      </c>
      <c r="E3045" s="361" t="str">
        <f t="shared" ca="1" si="246"/>
        <v>ON TRACK</v>
      </c>
      <c r="F3045" s="28" t="s">
        <v>115</v>
      </c>
      <c r="G3045" s="28" t="s">
        <v>7665</v>
      </c>
      <c r="H3045" s="28" t="s">
        <v>261</v>
      </c>
      <c r="I3045" s="361" t="s">
        <v>243</v>
      </c>
      <c r="J3045" s="28" t="s">
        <v>7666</v>
      </c>
      <c r="K3045" s="38" t="s">
        <v>11708</v>
      </c>
      <c r="L3045" s="53">
        <v>0.995</v>
      </c>
      <c r="M3045" s="27" t="s">
        <v>365</v>
      </c>
      <c r="N3045" s="27" t="s">
        <v>6885</v>
      </c>
      <c r="O3045" s="162"/>
      <c r="P3045" s="161">
        <f>1300000*12</f>
        <v>15600000</v>
      </c>
      <c r="Q3045" s="161"/>
      <c r="R3045" s="162"/>
      <c r="S3045" s="163">
        <f>1100000*12</f>
        <v>13200000</v>
      </c>
      <c r="T3045" s="164"/>
      <c r="U3045" s="340">
        <v>46204</v>
      </c>
      <c r="V3045" s="340">
        <v>46568</v>
      </c>
      <c r="W3045" s="158" t="s">
        <v>17</v>
      </c>
      <c r="X3045" s="158"/>
      <c r="Y3045" s="164">
        <f t="shared" ca="1" si="245"/>
        <v>46290</v>
      </c>
      <c r="Z3045" s="35">
        <f t="shared" ca="1" si="244"/>
        <v>278</v>
      </c>
      <c r="AA3045" s="158">
        <f>MONTH(Table1[[#This Row],[End]])</f>
        <v>6</v>
      </c>
      <c r="AB3045" s="158">
        <f>YEAR(Table1[[#This Row],[End]])</f>
        <v>2027</v>
      </c>
      <c r="AC3045" s="159" t="s">
        <v>12792</v>
      </c>
      <c r="AD3045" s="159" t="s">
        <v>12793</v>
      </c>
      <c r="AE3045" s="184" t="s">
        <v>12794</v>
      </c>
      <c r="AF3045" s="201" t="s">
        <v>471</v>
      </c>
      <c r="AG3045" s="160" t="s">
        <v>633</v>
      </c>
      <c r="AH3045" s="160"/>
      <c r="AI3045" s="158"/>
      <c r="AJ3045" s="158"/>
      <c r="AK3045" s="158"/>
      <c r="AL3045" s="158"/>
      <c r="AM3045" s="158"/>
      <c r="AN3045" s="158"/>
      <c r="AO3045" s="158"/>
      <c r="AP3045" s="158"/>
      <c r="AQ3045" s="158"/>
      <c r="AR3045" s="507">
        <v>182</v>
      </c>
      <c r="AS3045" s="475"/>
      <c r="AT3045" s="160"/>
    </row>
    <row r="3046" spans="1:46" ht="15" hidden="1" customHeight="1">
      <c r="A3046" s="195"/>
      <c r="B3046" s="159" t="s">
        <v>628</v>
      </c>
      <c r="C3046" s="28" t="s">
        <v>997</v>
      </c>
      <c r="D3046" s="438" t="s">
        <v>7640</v>
      </c>
      <c r="E3046" s="361" t="str">
        <f t="shared" ca="1" si="246"/>
        <v>ON TRACK</v>
      </c>
      <c r="F3046" s="28" t="s">
        <v>115</v>
      </c>
      <c r="G3046" s="28" t="s">
        <v>7668</v>
      </c>
      <c r="H3046" s="28" t="s">
        <v>261</v>
      </c>
      <c r="I3046" s="361" t="s">
        <v>243</v>
      </c>
      <c r="J3046" s="28" t="s">
        <v>7669</v>
      </c>
      <c r="K3046" s="38" t="s">
        <v>11709</v>
      </c>
      <c r="L3046" s="53">
        <v>0.995</v>
      </c>
      <c r="M3046" s="27" t="s">
        <v>365</v>
      </c>
      <c r="N3046" s="27" t="s">
        <v>417</v>
      </c>
      <c r="O3046" s="162"/>
      <c r="P3046" s="161">
        <f>2800000*12</f>
        <v>33600000</v>
      </c>
      <c r="Q3046" s="161"/>
      <c r="R3046" s="162"/>
      <c r="S3046" s="163">
        <f>2100000*12</f>
        <v>25200000</v>
      </c>
      <c r="T3046" s="164"/>
      <c r="U3046" s="340">
        <v>46204</v>
      </c>
      <c r="V3046" s="340">
        <v>46568</v>
      </c>
      <c r="W3046" s="158" t="s">
        <v>17</v>
      </c>
      <c r="X3046" s="158"/>
      <c r="Y3046" s="164">
        <f t="shared" ca="1" si="245"/>
        <v>46290</v>
      </c>
      <c r="Z3046" s="35">
        <f t="shared" ca="1" si="244"/>
        <v>278</v>
      </c>
      <c r="AA3046" s="158">
        <f>MONTH(Table1[[#This Row],[End]])</f>
        <v>6</v>
      </c>
      <c r="AB3046" s="158">
        <f>YEAR(Table1[[#This Row],[End]])</f>
        <v>2027</v>
      </c>
      <c r="AC3046" s="159" t="s">
        <v>12792</v>
      </c>
      <c r="AD3046" s="159" t="s">
        <v>12793</v>
      </c>
      <c r="AE3046" s="184" t="s">
        <v>12794</v>
      </c>
      <c r="AF3046" s="201" t="s">
        <v>471</v>
      </c>
      <c r="AG3046" s="160" t="s">
        <v>633</v>
      </c>
      <c r="AH3046" s="160"/>
      <c r="AI3046" s="158"/>
      <c r="AJ3046" s="158"/>
      <c r="AK3046" s="158"/>
      <c r="AL3046" s="158"/>
      <c r="AM3046" s="158"/>
      <c r="AN3046" s="158"/>
      <c r="AO3046" s="158"/>
      <c r="AP3046" s="158"/>
      <c r="AQ3046" s="158"/>
      <c r="AR3046" s="507">
        <v>182</v>
      </c>
      <c r="AS3046" s="475"/>
      <c r="AT3046" s="160"/>
    </row>
    <row r="3047" spans="1:46" ht="15" hidden="1" customHeight="1">
      <c r="A3047" s="195"/>
      <c r="B3047" s="159" t="s">
        <v>628</v>
      </c>
      <c r="C3047" s="28" t="s">
        <v>7671</v>
      </c>
      <c r="D3047" s="437" t="s">
        <v>7640</v>
      </c>
      <c r="E3047" s="361" t="str">
        <f t="shared" ca="1" si="246"/>
        <v>ON TRACK</v>
      </c>
      <c r="F3047" s="28" t="s">
        <v>115</v>
      </c>
      <c r="G3047" s="28" t="s">
        <v>7672</v>
      </c>
      <c r="H3047" s="28" t="s">
        <v>261</v>
      </c>
      <c r="I3047" s="361" t="s">
        <v>243</v>
      </c>
      <c r="J3047" s="28" t="s">
        <v>7673</v>
      </c>
      <c r="K3047" s="38" t="s">
        <v>11710</v>
      </c>
      <c r="L3047" s="53">
        <v>0.995</v>
      </c>
      <c r="M3047" s="27" t="s">
        <v>6788</v>
      </c>
      <c r="N3047" s="27" t="s">
        <v>417</v>
      </c>
      <c r="O3047" s="162"/>
      <c r="P3047" s="161">
        <f>5800000*12</f>
        <v>69600000</v>
      </c>
      <c r="Q3047" s="161"/>
      <c r="R3047" s="162"/>
      <c r="S3047" s="163">
        <f>2100000*12</f>
        <v>25200000</v>
      </c>
      <c r="T3047" s="164"/>
      <c r="U3047" s="340">
        <v>46204</v>
      </c>
      <c r="V3047" s="340">
        <v>46568</v>
      </c>
      <c r="W3047" s="158" t="s">
        <v>17</v>
      </c>
      <c r="X3047" s="158"/>
      <c r="Y3047" s="164">
        <f t="shared" ca="1" si="245"/>
        <v>46290</v>
      </c>
      <c r="Z3047" s="35">
        <f t="shared" ca="1" si="244"/>
        <v>278</v>
      </c>
      <c r="AA3047" s="158">
        <f>MONTH(Table1[[#This Row],[End]])</f>
        <v>6</v>
      </c>
      <c r="AB3047" s="158">
        <f>YEAR(Table1[[#This Row],[End]])</f>
        <v>2027</v>
      </c>
      <c r="AC3047" s="159" t="s">
        <v>12792</v>
      </c>
      <c r="AD3047" s="159" t="s">
        <v>12793</v>
      </c>
      <c r="AE3047" s="184" t="s">
        <v>12794</v>
      </c>
      <c r="AF3047" s="201" t="s">
        <v>471</v>
      </c>
      <c r="AG3047" s="160" t="s">
        <v>633</v>
      </c>
      <c r="AH3047" s="160"/>
      <c r="AI3047" s="158"/>
      <c r="AJ3047" s="158"/>
      <c r="AK3047" s="158"/>
      <c r="AL3047" s="158"/>
      <c r="AM3047" s="158"/>
      <c r="AN3047" s="158"/>
      <c r="AO3047" s="158"/>
      <c r="AP3047" s="158"/>
      <c r="AQ3047" s="158"/>
      <c r="AR3047" s="507">
        <v>182</v>
      </c>
      <c r="AS3047" s="475"/>
      <c r="AT3047" s="160"/>
    </row>
    <row r="3048" spans="1:46" ht="15" hidden="1" customHeight="1">
      <c r="A3048" s="195">
        <v>3037</v>
      </c>
      <c r="B3048" s="159" t="s">
        <v>1043</v>
      </c>
      <c r="C3048" s="159" t="s">
        <v>10953</v>
      </c>
      <c r="D3048" s="437" t="s">
        <v>6810</v>
      </c>
      <c r="E3048" s="361" t="str">
        <f t="shared" ca="1" si="246"/>
        <v>ON TRACK</v>
      </c>
      <c r="F3048" s="159" t="s">
        <v>12795</v>
      </c>
      <c r="G3048" s="159" t="s">
        <v>12796</v>
      </c>
      <c r="H3048" s="160" t="s">
        <v>261</v>
      </c>
      <c r="I3048" s="160" t="s">
        <v>243</v>
      </c>
      <c r="J3048" s="159" t="s">
        <v>10954</v>
      </c>
      <c r="K3048" s="181" t="s">
        <v>10955</v>
      </c>
      <c r="L3048" s="51">
        <v>0.995</v>
      </c>
      <c r="M3048" s="158" t="s">
        <v>10956</v>
      </c>
      <c r="N3048" s="158" t="s">
        <v>468</v>
      </c>
      <c r="O3048" s="162"/>
      <c r="P3048" s="161">
        <f>6000000*12</f>
        <v>72000000</v>
      </c>
      <c r="Q3048" s="161"/>
      <c r="R3048" s="162"/>
      <c r="S3048" s="163">
        <f>3500000*12</f>
        <v>42000000</v>
      </c>
      <c r="T3048" s="164"/>
      <c r="U3048" s="340">
        <v>46161</v>
      </c>
      <c r="V3048" s="340">
        <v>46525</v>
      </c>
      <c r="W3048" s="158" t="s">
        <v>17</v>
      </c>
      <c r="X3048" s="158"/>
      <c r="Y3048" s="34">
        <f t="shared" ca="1" si="245"/>
        <v>46290</v>
      </c>
      <c r="Z3048" s="35">
        <f t="shared" ca="1" si="244"/>
        <v>235</v>
      </c>
      <c r="AA3048" s="27">
        <f>MONTH(V3048)</f>
        <v>5</v>
      </c>
      <c r="AB3048" s="27">
        <f>YEAR(V3048)</f>
        <v>2027</v>
      </c>
      <c r="AC3048" s="159" t="s">
        <v>12797</v>
      </c>
      <c r="AD3048" s="159" t="s">
        <v>12798</v>
      </c>
      <c r="AE3048" s="184" t="s">
        <v>12799</v>
      </c>
      <c r="AF3048" s="27" t="s">
        <v>471</v>
      </c>
      <c r="AG3048" s="29" t="s">
        <v>12800</v>
      </c>
      <c r="AH3048" s="160"/>
      <c r="AI3048" s="158"/>
      <c r="AJ3048" s="158"/>
      <c r="AK3048" s="158"/>
      <c r="AL3048" s="158"/>
      <c r="AM3048" s="158"/>
      <c r="AN3048" s="158"/>
      <c r="AO3048" s="158"/>
      <c r="AP3048" s="158"/>
      <c r="AQ3048" s="158"/>
      <c r="AR3048" s="507">
        <v>185</v>
      </c>
      <c r="AS3048" s="475"/>
      <c r="AT3048" s="160"/>
    </row>
    <row r="3049" spans="1:46" ht="15" hidden="1" customHeight="1">
      <c r="A3049" s="195">
        <v>3038</v>
      </c>
      <c r="B3049" s="159" t="s">
        <v>1043</v>
      </c>
      <c r="C3049" s="159" t="s">
        <v>11437</v>
      </c>
      <c r="D3049" s="437" t="s">
        <v>6810</v>
      </c>
      <c r="E3049" s="361" t="str">
        <f t="shared" ca="1" si="246"/>
        <v>ON TRACK</v>
      </c>
      <c r="F3049" s="300" t="s">
        <v>6831</v>
      </c>
      <c r="G3049" s="300" t="s">
        <v>6832</v>
      </c>
      <c r="H3049" s="28" t="s">
        <v>261</v>
      </c>
      <c r="I3049" s="160" t="s">
        <v>243</v>
      </c>
      <c r="J3049" s="159" t="s">
        <v>9117</v>
      </c>
      <c r="K3049" s="205" t="s">
        <v>12801</v>
      </c>
      <c r="L3049" s="158" t="s">
        <v>4749</v>
      </c>
      <c r="M3049" s="158" t="s">
        <v>329</v>
      </c>
      <c r="N3049" s="158" t="s">
        <v>6835</v>
      </c>
      <c r="O3049" s="162"/>
      <c r="P3049" s="161">
        <f>3000000*12</f>
        <v>36000000</v>
      </c>
      <c r="Q3049" s="161"/>
      <c r="R3049" s="162"/>
      <c r="S3049" s="163">
        <f>1200000*12</f>
        <v>14400000</v>
      </c>
      <c r="T3049" s="164"/>
      <c r="U3049" s="340">
        <v>46204</v>
      </c>
      <c r="V3049" s="340">
        <v>46568</v>
      </c>
      <c r="W3049" s="158" t="s">
        <v>17</v>
      </c>
      <c r="X3049" s="158"/>
      <c r="Y3049" s="34">
        <f t="shared" ca="1" si="245"/>
        <v>46290</v>
      </c>
      <c r="Z3049" s="207">
        <f ca="1">Table1[[#This Row],[End]]-Table1[[#This Row],[Today]]</f>
        <v>278</v>
      </c>
      <c r="AA3049" s="158">
        <f>MONTH(Table1[[#This Row],[End]])</f>
        <v>6</v>
      </c>
      <c r="AB3049" s="158">
        <f>YEAR(Table1[[#This Row],[End]])</f>
        <v>2027</v>
      </c>
      <c r="AC3049" s="194" t="s">
        <v>12802</v>
      </c>
      <c r="AD3049" s="194" t="s">
        <v>12803</v>
      </c>
      <c r="AE3049" s="184" t="s">
        <v>12804</v>
      </c>
      <c r="AF3049" s="201" t="s">
        <v>471</v>
      </c>
      <c r="AG3049" s="160" t="s">
        <v>12800</v>
      </c>
      <c r="AH3049" s="160"/>
      <c r="AI3049" s="158"/>
      <c r="AJ3049" s="158"/>
      <c r="AK3049" s="158"/>
      <c r="AL3049" s="158"/>
      <c r="AM3049" s="158"/>
      <c r="AN3049" s="158"/>
      <c r="AO3049" s="158"/>
      <c r="AP3049" s="158"/>
      <c r="AQ3049" s="158"/>
      <c r="AR3049" s="507">
        <v>180</v>
      </c>
      <c r="AS3049" s="475"/>
      <c r="AT3049" s="160"/>
    </row>
    <row r="3050" spans="1:46" ht="15" hidden="1" customHeight="1">
      <c r="A3050" s="195">
        <v>3039</v>
      </c>
      <c r="B3050" s="159" t="s">
        <v>7295</v>
      </c>
      <c r="C3050" s="28" t="s">
        <v>9316</v>
      </c>
      <c r="D3050" s="434" t="s">
        <v>12782</v>
      </c>
      <c r="E3050" s="361" t="str">
        <f t="shared" ca="1" si="246"/>
        <v>ON TRACK</v>
      </c>
      <c r="F3050" s="29" t="s">
        <v>11658</v>
      </c>
      <c r="G3050" s="28" t="s">
        <v>9317</v>
      </c>
      <c r="H3050" s="29" t="s">
        <v>261</v>
      </c>
      <c r="I3050" s="29" t="s">
        <v>243</v>
      </c>
      <c r="J3050" s="28" t="s">
        <v>9193</v>
      </c>
      <c r="K3050" s="36" t="s">
        <v>9318</v>
      </c>
      <c r="L3050" s="70">
        <v>0.99</v>
      </c>
      <c r="M3050" s="27" t="s">
        <v>329</v>
      </c>
      <c r="N3050" s="27" t="s">
        <v>6649</v>
      </c>
      <c r="O3050" s="162"/>
      <c r="P3050" s="161">
        <f>2100000*12</f>
        <v>25200000</v>
      </c>
      <c r="Q3050" s="161"/>
      <c r="R3050" s="162"/>
      <c r="S3050" s="163">
        <f>1364400*12</f>
        <v>16372800</v>
      </c>
      <c r="T3050" s="164"/>
      <c r="U3050" s="340">
        <v>46234</v>
      </c>
      <c r="V3050" s="340">
        <v>46598</v>
      </c>
      <c r="W3050" s="158" t="s">
        <v>17</v>
      </c>
      <c r="X3050" s="158"/>
      <c r="Y3050" s="164">
        <f t="shared" ca="1" si="245"/>
        <v>46290</v>
      </c>
      <c r="Z3050" s="35">
        <f t="shared" ref="Z3050:Z3058" ca="1" si="247">V3050-Y3050</f>
        <v>308</v>
      </c>
      <c r="AA3050" s="158">
        <f>MONTH(Table1[[#This Row],[End]])</f>
        <v>7</v>
      </c>
      <c r="AB3050" s="158">
        <f>YEAR(Table1[[#This Row],[End]])</f>
        <v>2027</v>
      </c>
      <c r="AC3050" s="159" t="s">
        <v>12805</v>
      </c>
      <c r="AD3050" s="194" t="s">
        <v>12806</v>
      </c>
      <c r="AE3050" s="184" t="s">
        <v>12807</v>
      </c>
      <c r="AF3050" s="201" t="s">
        <v>471</v>
      </c>
      <c r="AG3050" s="29" t="s">
        <v>9314</v>
      </c>
      <c r="AH3050" s="160"/>
      <c r="AI3050" s="158"/>
      <c r="AJ3050" s="158"/>
      <c r="AK3050" s="158"/>
      <c r="AL3050" s="158"/>
      <c r="AM3050" s="158"/>
      <c r="AN3050" s="158"/>
      <c r="AO3050" s="158"/>
      <c r="AP3050" s="158"/>
      <c r="AQ3050" s="158"/>
      <c r="AR3050" s="507">
        <v>183</v>
      </c>
      <c r="AS3050" s="475"/>
      <c r="AT3050" s="160"/>
    </row>
    <row r="3051" spans="1:46" ht="15" hidden="1" customHeight="1">
      <c r="A3051" s="195">
        <v>3040</v>
      </c>
      <c r="B3051" s="159" t="s">
        <v>165</v>
      </c>
      <c r="C3051" s="159" t="s">
        <v>12808</v>
      </c>
      <c r="D3051" s="501" t="s">
        <v>12809</v>
      </c>
      <c r="E3051" s="28" t="str">
        <f t="shared" ref="E3051" ca="1" si="248">IF(AND(Z3051&gt;=60, Z3051&lt;=3000), "ON TRACK",IF(AND(Z3051&gt;=36, Z3051&lt;=59), "ATTENTION",IF(AND(Z3051&gt;=1, Z3051&lt;=35), "WARNING",IF(AND(Z3051&gt;=-3000, Z3051&lt;=0), "CRITICAL", ""))))</f>
        <v>CRITICAL</v>
      </c>
      <c r="F3051" s="160" t="s">
        <v>115</v>
      </c>
      <c r="G3051" s="159" t="s">
        <v>12810</v>
      </c>
      <c r="H3051" s="160" t="s">
        <v>261</v>
      </c>
      <c r="I3051" s="160" t="s">
        <v>243</v>
      </c>
      <c r="J3051" s="159" t="s">
        <v>12811</v>
      </c>
      <c r="K3051" s="181" t="s">
        <v>12812</v>
      </c>
      <c r="L3051" s="213">
        <v>0.98</v>
      </c>
      <c r="M3051" s="158" t="s">
        <v>353</v>
      </c>
      <c r="N3051" s="158" t="s">
        <v>396</v>
      </c>
      <c r="O3051" s="162">
        <v>647352000</v>
      </c>
      <c r="P3051" s="161">
        <f>98020000*3</f>
        <v>294060000</v>
      </c>
      <c r="Q3051" s="161"/>
      <c r="R3051" s="162">
        <v>6000000</v>
      </c>
      <c r="S3051" s="163">
        <f>89000000*3</f>
        <v>267000000</v>
      </c>
      <c r="T3051" s="164"/>
      <c r="U3051" s="340">
        <v>46097</v>
      </c>
      <c r="V3051" s="340">
        <v>46188</v>
      </c>
      <c r="W3051" s="158" t="s">
        <v>17</v>
      </c>
      <c r="X3051" s="158"/>
      <c r="Y3051" s="164">
        <f t="shared" ca="1" si="245"/>
        <v>46290</v>
      </c>
      <c r="Z3051" s="35">
        <f t="shared" ca="1" si="247"/>
        <v>-102</v>
      </c>
      <c r="AA3051" s="158">
        <f>MONTH(Table1[[#This Row],[End]])</f>
        <v>6</v>
      </c>
      <c r="AB3051" s="158">
        <f>YEAR(Table1[[#This Row],[End]])</f>
        <v>2026</v>
      </c>
      <c r="AC3051" s="159" t="s">
        <v>3371</v>
      </c>
      <c r="AD3051" s="159" t="s">
        <v>12813</v>
      </c>
      <c r="AE3051" s="184" t="s">
        <v>12814</v>
      </c>
      <c r="AF3051" s="201" t="s">
        <v>471</v>
      </c>
      <c r="AG3051" s="29" t="s">
        <v>9100</v>
      </c>
      <c r="AH3051" s="29" t="s">
        <v>7099</v>
      </c>
      <c r="AI3051" s="158"/>
      <c r="AJ3051" s="158"/>
      <c r="AK3051" s="158"/>
      <c r="AL3051" s="158"/>
      <c r="AM3051" s="158"/>
      <c r="AN3051" s="158"/>
      <c r="AO3051" s="158"/>
      <c r="AP3051" s="158"/>
      <c r="AQ3051" s="158"/>
      <c r="AR3051" s="507">
        <v>176</v>
      </c>
      <c r="AS3051" s="475"/>
      <c r="AT3051" s="160"/>
    </row>
    <row r="3052" spans="1:46" ht="15" hidden="1" customHeight="1">
      <c r="A3052" s="195">
        <v>3041</v>
      </c>
      <c r="B3052" s="159" t="s">
        <v>10898</v>
      </c>
      <c r="C3052" s="159" t="s">
        <v>10899</v>
      </c>
      <c r="D3052" s="437" t="s">
        <v>11716</v>
      </c>
      <c r="E3052" s="361" t="str">
        <f t="shared" ref="E3052:E3061" ca="1" si="249">IF(Z3052&lt;=0, "LOSS",IF(Z3052&lt;=15, "CRITICAL",IF(Z3052&lt;=30, "WARNING",IF(Z3052&lt;60, "ATTENTION", "ON TRACK"))))</f>
        <v>CRITICAL</v>
      </c>
      <c r="F3052" s="160" t="s">
        <v>10900</v>
      </c>
      <c r="G3052" s="159" t="s">
        <v>10901</v>
      </c>
      <c r="H3052" s="160" t="s">
        <v>261</v>
      </c>
      <c r="I3052" s="160" t="s">
        <v>243</v>
      </c>
      <c r="J3052" s="159" t="s">
        <v>10902</v>
      </c>
      <c r="K3052" s="181" t="s">
        <v>10903</v>
      </c>
      <c r="L3052" s="158" t="s">
        <v>4749</v>
      </c>
      <c r="M3052" s="158" t="s">
        <v>353</v>
      </c>
      <c r="N3052" s="158" t="s">
        <v>6824</v>
      </c>
      <c r="O3052" s="162"/>
      <c r="P3052" s="161">
        <f>91247500*6</f>
        <v>547485000</v>
      </c>
      <c r="Q3052" s="161"/>
      <c r="R3052" s="162"/>
      <c r="S3052" s="163">
        <f>(79000000*1)+(75100000*5)</f>
        <v>454500000</v>
      </c>
      <c r="T3052" s="164"/>
      <c r="U3052" s="340">
        <v>46113</v>
      </c>
      <c r="V3052" s="340">
        <v>46295</v>
      </c>
      <c r="W3052" s="158" t="s">
        <v>17</v>
      </c>
      <c r="X3052" s="158" t="s">
        <v>12815</v>
      </c>
      <c r="Y3052" s="34">
        <f t="shared" ca="1" si="245"/>
        <v>46290</v>
      </c>
      <c r="Z3052" s="35">
        <f t="shared" ca="1" si="247"/>
        <v>5</v>
      </c>
      <c r="AA3052" s="27">
        <f>MONTH(V3052)</f>
        <v>9</v>
      </c>
      <c r="AB3052" s="27">
        <f t="shared" ref="AB3052:AB3058" si="250">YEAR(V3052)</f>
        <v>2026</v>
      </c>
      <c r="AC3052" s="159" t="s">
        <v>12816</v>
      </c>
      <c r="AD3052" s="159" t="s">
        <v>12817</v>
      </c>
      <c r="AE3052" s="184" t="s">
        <v>12818</v>
      </c>
      <c r="AF3052" s="201" t="s">
        <v>471</v>
      </c>
      <c r="AG3052" s="160"/>
      <c r="AH3052" s="160" t="s">
        <v>12819</v>
      </c>
      <c r="AI3052" s="158"/>
      <c r="AJ3052" s="158"/>
      <c r="AK3052" s="158"/>
      <c r="AL3052" s="158"/>
      <c r="AM3052" s="158"/>
      <c r="AN3052" s="158"/>
      <c r="AO3052" s="158"/>
      <c r="AP3052" s="158"/>
      <c r="AQ3052" s="158"/>
      <c r="AR3052" s="507">
        <v>179</v>
      </c>
      <c r="AS3052" s="475"/>
      <c r="AT3052" s="160"/>
    </row>
    <row r="3053" spans="1:46" ht="15" hidden="1" customHeight="1">
      <c r="A3053" s="195">
        <v>3042</v>
      </c>
      <c r="B3053" s="159" t="s">
        <v>1280</v>
      </c>
      <c r="C3053" s="159" t="s">
        <v>10962</v>
      </c>
      <c r="D3053" s="434" t="s">
        <v>1282</v>
      </c>
      <c r="E3053" s="361" t="str">
        <f t="shared" ca="1" si="249"/>
        <v>LOSS</v>
      </c>
      <c r="F3053" s="203" t="s">
        <v>10586</v>
      </c>
      <c r="G3053" s="159" t="s">
        <v>10587</v>
      </c>
      <c r="H3053" s="160" t="s">
        <v>261</v>
      </c>
      <c r="I3053" s="160" t="s">
        <v>243</v>
      </c>
      <c r="J3053" s="205" t="s">
        <v>10588</v>
      </c>
      <c r="K3053" s="181" t="s">
        <v>10963</v>
      </c>
      <c r="L3053" s="158" t="s">
        <v>4749</v>
      </c>
      <c r="M3053" s="158" t="s">
        <v>365</v>
      </c>
      <c r="N3053" s="158" t="s">
        <v>494</v>
      </c>
      <c r="O3053" s="162"/>
      <c r="P3053" s="161">
        <v>8709677</v>
      </c>
      <c r="Q3053" s="161"/>
      <c r="R3053" s="162"/>
      <c r="S3053" s="163">
        <v>1740000</v>
      </c>
      <c r="T3053" s="164"/>
      <c r="U3053" s="340">
        <v>46086</v>
      </c>
      <c r="V3053" s="340">
        <v>46112</v>
      </c>
      <c r="W3053" s="158" t="s">
        <v>245</v>
      </c>
      <c r="X3053" s="158"/>
      <c r="Y3053" s="34">
        <f t="shared" ca="1" si="245"/>
        <v>46290</v>
      </c>
      <c r="Z3053" s="35">
        <f t="shared" ca="1" si="247"/>
        <v>-178</v>
      </c>
      <c r="AA3053" s="27">
        <f>MONTH(Table1[[#This Row],[End]])</f>
        <v>3</v>
      </c>
      <c r="AB3053" s="27">
        <f t="shared" si="250"/>
        <v>2026</v>
      </c>
      <c r="AC3053" s="159" t="s">
        <v>12820</v>
      </c>
      <c r="AD3053" s="159" t="s">
        <v>12821</v>
      </c>
      <c r="AE3053" s="184" t="s">
        <v>10965</v>
      </c>
      <c r="AF3053" s="201" t="s">
        <v>471</v>
      </c>
      <c r="AG3053" s="160"/>
      <c r="AH3053" s="160" t="s">
        <v>12742</v>
      </c>
      <c r="AI3053" s="158"/>
      <c r="AJ3053" s="158"/>
      <c r="AK3053" s="158"/>
      <c r="AL3053" s="158"/>
      <c r="AM3053" s="158"/>
      <c r="AN3053" s="158"/>
      <c r="AO3053" s="158"/>
      <c r="AP3053" s="158"/>
      <c r="AQ3053" s="158"/>
      <c r="AR3053" s="507">
        <v>181</v>
      </c>
      <c r="AS3053" s="475"/>
      <c r="AT3053" s="160"/>
    </row>
    <row r="3054" spans="1:46" ht="15" hidden="1" customHeight="1">
      <c r="A3054" s="195">
        <v>3043</v>
      </c>
      <c r="B3054" s="159" t="s">
        <v>69</v>
      </c>
      <c r="C3054" s="159" t="s">
        <v>6765</v>
      </c>
      <c r="D3054" s="437" t="s">
        <v>8937</v>
      </c>
      <c r="E3054" s="361" t="str">
        <f t="shared" ca="1" si="249"/>
        <v>ON TRACK</v>
      </c>
      <c r="F3054" s="28" t="s">
        <v>6767</v>
      </c>
      <c r="G3054" s="28" t="s">
        <v>6768</v>
      </c>
      <c r="H3054" s="28" t="s">
        <v>261</v>
      </c>
      <c r="I3054" s="361" t="s">
        <v>243</v>
      </c>
      <c r="J3054" s="28" t="s">
        <v>70</v>
      </c>
      <c r="K3054" s="38" t="s">
        <v>6769</v>
      </c>
      <c r="L3054" s="60">
        <v>0.995</v>
      </c>
      <c r="M3054" s="27" t="s">
        <v>365</v>
      </c>
      <c r="N3054" s="27" t="s">
        <v>7066</v>
      </c>
      <c r="O3054" s="162"/>
      <c r="P3054" s="161">
        <f>35000000*12</f>
        <v>420000000</v>
      </c>
      <c r="Q3054" s="161"/>
      <c r="R3054" s="162"/>
      <c r="S3054" s="163">
        <f>12500000*12</f>
        <v>150000000</v>
      </c>
      <c r="T3054" s="164"/>
      <c r="U3054" s="334">
        <v>46054</v>
      </c>
      <c r="V3054" s="334">
        <v>46418</v>
      </c>
      <c r="W3054" s="27" t="s">
        <v>17</v>
      </c>
      <c r="X3054" s="27"/>
      <c r="Y3054" s="34">
        <f t="shared" ca="1" si="245"/>
        <v>46290</v>
      </c>
      <c r="Z3054" s="35">
        <f t="shared" ca="1" si="247"/>
        <v>128</v>
      </c>
      <c r="AA3054" s="27">
        <f>MONTH(V3054)</f>
        <v>1</v>
      </c>
      <c r="AB3054" s="27">
        <f t="shared" si="250"/>
        <v>2027</v>
      </c>
      <c r="AC3054" s="159" t="s">
        <v>12822</v>
      </c>
      <c r="AD3054" s="159" t="s">
        <v>12823</v>
      </c>
      <c r="AE3054" s="184" t="s">
        <v>12824</v>
      </c>
      <c r="AF3054" s="201" t="s">
        <v>471</v>
      </c>
      <c r="AG3054" s="160"/>
      <c r="AH3054" s="160" t="s">
        <v>12825</v>
      </c>
      <c r="AI3054" s="158"/>
      <c r="AJ3054" s="158"/>
      <c r="AK3054" s="158"/>
      <c r="AL3054" s="158"/>
      <c r="AM3054" s="158"/>
      <c r="AN3054" s="158"/>
      <c r="AO3054" s="158"/>
      <c r="AP3054" s="158"/>
      <c r="AQ3054" s="158"/>
      <c r="AR3054" s="507">
        <v>177</v>
      </c>
      <c r="AS3054" s="475"/>
      <c r="AT3054" s="160"/>
    </row>
    <row r="3055" spans="1:46" ht="15" hidden="1" customHeight="1">
      <c r="A3055" s="195">
        <v>3044</v>
      </c>
      <c r="B3055" s="159" t="s">
        <v>9045</v>
      </c>
      <c r="C3055" s="28" t="s">
        <v>6722</v>
      </c>
      <c r="D3055" s="437" t="s">
        <v>6723</v>
      </c>
      <c r="E3055" s="361" t="str">
        <f t="shared" ca="1" si="249"/>
        <v>ON TRACK</v>
      </c>
      <c r="F3055" s="28" t="s">
        <v>12826</v>
      </c>
      <c r="G3055" s="28" t="s">
        <v>11868</v>
      </c>
      <c r="H3055" s="28" t="s">
        <v>261</v>
      </c>
      <c r="I3055" s="361" t="s">
        <v>243</v>
      </c>
      <c r="J3055" s="28" t="s">
        <v>2569</v>
      </c>
      <c r="K3055" s="38" t="s">
        <v>9172</v>
      </c>
      <c r="L3055" s="53">
        <v>0.995</v>
      </c>
      <c r="M3055" s="27" t="s">
        <v>365</v>
      </c>
      <c r="N3055" s="27" t="s">
        <v>6727</v>
      </c>
      <c r="O3055" s="162"/>
      <c r="P3055" s="161">
        <f>46400000*12</f>
        <v>556800000</v>
      </c>
      <c r="Q3055" s="161"/>
      <c r="R3055" s="162"/>
      <c r="S3055" s="163">
        <f>29400000*12</f>
        <v>352800000</v>
      </c>
      <c r="T3055" s="164"/>
      <c r="U3055" s="334">
        <v>46225</v>
      </c>
      <c r="V3055" s="334">
        <v>46589</v>
      </c>
      <c r="W3055" s="27" t="s">
        <v>17</v>
      </c>
      <c r="X3055" s="27"/>
      <c r="Y3055" s="34">
        <f t="shared" ca="1" si="245"/>
        <v>46290</v>
      </c>
      <c r="Z3055" s="35">
        <f t="shared" ca="1" si="247"/>
        <v>299</v>
      </c>
      <c r="AA3055" s="27">
        <f>MONTH(V3055)</f>
        <v>7</v>
      </c>
      <c r="AB3055" s="27">
        <f t="shared" si="250"/>
        <v>2027</v>
      </c>
      <c r="AC3055" s="28" t="s">
        <v>12827</v>
      </c>
      <c r="AD3055" s="28" t="s">
        <v>12828</v>
      </c>
      <c r="AE3055" s="27">
        <v>4500028397</v>
      </c>
      <c r="AF3055" s="27" t="s">
        <v>471</v>
      </c>
      <c r="AG3055" s="160"/>
      <c r="AH3055" s="160"/>
      <c r="AI3055" s="158"/>
      <c r="AJ3055" s="158"/>
      <c r="AK3055" s="158"/>
      <c r="AL3055" s="158"/>
      <c r="AM3055" s="158"/>
      <c r="AN3055" s="158"/>
      <c r="AO3055" s="158"/>
      <c r="AP3055" s="158"/>
      <c r="AQ3055" s="158"/>
      <c r="AR3055" s="507">
        <v>187</v>
      </c>
      <c r="AS3055" s="475"/>
      <c r="AT3055" s="160"/>
    </row>
    <row r="3056" spans="1:46" ht="15" hidden="1" customHeight="1">
      <c r="A3056" s="195">
        <v>3045</v>
      </c>
      <c r="B3056" s="159" t="s">
        <v>9045</v>
      </c>
      <c r="C3056" s="28" t="s">
        <v>6729</v>
      </c>
      <c r="D3056" s="437" t="s">
        <v>6723</v>
      </c>
      <c r="E3056" s="361" t="str">
        <f t="shared" ca="1" si="249"/>
        <v>ON TRACK</v>
      </c>
      <c r="F3056" s="28" t="s">
        <v>9170</v>
      </c>
      <c r="G3056" s="28" t="s">
        <v>11868</v>
      </c>
      <c r="H3056" s="28" t="s">
        <v>261</v>
      </c>
      <c r="I3056" s="361" t="s">
        <v>243</v>
      </c>
      <c r="J3056" s="28" t="s">
        <v>2569</v>
      </c>
      <c r="K3056" s="38" t="s">
        <v>9172</v>
      </c>
      <c r="L3056" s="53">
        <v>0.995</v>
      </c>
      <c r="M3056" s="27" t="s">
        <v>365</v>
      </c>
      <c r="N3056" s="27" t="s">
        <v>6727</v>
      </c>
      <c r="O3056" s="162"/>
      <c r="P3056" s="161" t="s">
        <v>115</v>
      </c>
      <c r="Q3056" s="161"/>
      <c r="R3056" s="162"/>
      <c r="S3056" s="163">
        <f>8000000*12</f>
        <v>96000000</v>
      </c>
      <c r="T3056" s="164"/>
      <c r="U3056" s="334">
        <v>46225</v>
      </c>
      <c r="V3056" s="334">
        <v>46589</v>
      </c>
      <c r="W3056" s="27" t="s">
        <v>17</v>
      </c>
      <c r="X3056" s="27"/>
      <c r="Y3056" s="34">
        <f t="shared" ca="1" si="245"/>
        <v>46290</v>
      </c>
      <c r="Z3056" s="35">
        <f t="shared" ca="1" si="247"/>
        <v>299</v>
      </c>
      <c r="AA3056" s="27">
        <f>MONTH(V3056)</f>
        <v>7</v>
      </c>
      <c r="AB3056" s="27">
        <f t="shared" si="250"/>
        <v>2027</v>
      </c>
      <c r="AC3056" s="28" t="s">
        <v>12829</v>
      </c>
      <c r="AD3056" s="28" t="s">
        <v>12830</v>
      </c>
      <c r="AE3056" s="27">
        <v>4500028555</v>
      </c>
      <c r="AF3056" s="27" t="s">
        <v>471</v>
      </c>
      <c r="AG3056" s="160"/>
      <c r="AH3056" s="160"/>
      <c r="AI3056" s="158"/>
      <c r="AJ3056" s="158"/>
      <c r="AK3056" s="158"/>
      <c r="AL3056" s="158"/>
      <c r="AM3056" s="158"/>
      <c r="AN3056" s="158"/>
      <c r="AO3056" s="158"/>
      <c r="AP3056" s="158"/>
      <c r="AQ3056" s="158"/>
      <c r="AR3056" s="507">
        <v>186</v>
      </c>
      <c r="AS3056" s="475"/>
      <c r="AT3056" s="160"/>
    </row>
    <row r="3057" spans="1:46" ht="15" hidden="1" customHeight="1">
      <c r="A3057" s="195">
        <v>3046</v>
      </c>
      <c r="B3057" s="159" t="s">
        <v>9333</v>
      </c>
      <c r="C3057" s="159" t="s">
        <v>8333</v>
      </c>
      <c r="D3057" s="438" t="s">
        <v>8367</v>
      </c>
      <c r="E3057" s="361" t="str">
        <f t="shared" ca="1" si="249"/>
        <v>ON TRACK</v>
      </c>
      <c r="F3057" s="29"/>
      <c r="G3057" s="28" t="s">
        <v>8368</v>
      </c>
      <c r="H3057" s="29" t="s">
        <v>261</v>
      </c>
      <c r="I3057" s="29" t="s">
        <v>243</v>
      </c>
      <c r="J3057" s="28" t="s">
        <v>8369</v>
      </c>
      <c r="K3057" s="36" t="s">
        <v>8370</v>
      </c>
      <c r="L3057" s="51">
        <v>0.995</v>
      </c>
      <c r="M3057" s="27" t="s">
        <v>7153</v>
      </c>
      <c r="N3057" s="27" t="s">
        <v>8363</v>
      </c>
      <c r="O3057" s="162"/>
      <c r="P3057" s="161">
        <f>25000000*12</f>
        <v>300000000</v>
      </c>
      <c r="Q3057" s="161"/>
      <c r="R3057" s="162"/>
      <c r="S3057" s="163">
        <f>24000000*12</f>
        <v>288000000</v>
      </c>
      <c r="T3057" s="164"/>
      <c r="U3057" s="334">
        <v>46227</v>
      </c>
      <c r="V3057" s="334">
        <v>46591</v>
      </c>
      <c r="W3057" s="27" t="s">
        <v>17</v>
      </c>
      <c r="X3057" s="27"/>
      <c r="Y3057" s="34">
        <f t="shared" ca="1" si="245"/>
        <v>46290</v>
      </c>
      <c r="Z3057" s="35">
        <f t="shared" ca="1" si="247"/>
        <v>301</v>
      </c>
      <c r="AA3057" s="27">
        <f>MONTH(V3057)</f>
        <v>7</v>
      </c>
      <c r="AB3057" s="27">
        <f t="shared" si="250"/>
        <v>2027</v>
      </c>
      <c r="AC3057" s="171" t="s">
        <v>12831</v>
      </c>
      <c r="AD3057" s="171" t="s">
        <v>12832</v>
      </c>
      <c r="AE3057" s="47" t="s">
        <v>12833</v>
      </c>
      <c r="AF3057" s="52" t="s">
        <v>471</v>
      </c>
      <c r="AG3057" s="160"/>
      <c r="AH3057" s="29" t="s">
        <v>11834</v>
      </c>
      <c r="AI3057" s="158"/>
      <c r="AJ3057" s="158"/>
      <c r="AK3057" s="158"/>
      <c r="AL3057" s="158"/>
      <c r="AM3057" s="158"/>
      <c r="AN3057" s="158"/>
      <c r="AO3057" s="158"/>
      <c r="AP3057" s="158"/>
      <c r="AQ3057" s="158"/>
      <c r="AR3057" s="507">
        <v>199</v>
      </c>
      <c r="AS3057" s="475"/>
      <c r="AT3057" s="160"/>
    </row>
    <row r="3058" spans="1:46" ht="15" hidden="1" customHeight="1">
      <c r="A3058" s="195">
        <v>3047</v>
      </c>
      <c r="B3058" s="159" t="s">
        <v>125</v>
      </c>
      <c r="C3058" s="28" t="s">
        <v>4417</v>
      </c>
      <c r="D3058" s="438" t="s">
        <v>4418</v>
      </c>
      <c r="E3058" s="361" t="str">
        <f t="shared" ca="1" si="249"/>
        <v>CRITICAL</v>
      </c>
      <c r="F3058" s="160"/>
      <c r="G3058" s="159" t="s">
        <v>10084</v>
      </c>
      <c r="H3058" s="160" t="s">
        <v>261</v>
      </c>
      <c r="I3058" s="160" t="s">
        <v>243</v>
      </c>
      <c r="J3058" s="159" t="s">
        <v>126</v>
      </c>
      <c r="K3058" s="181" t="s">
        <v>10085</v>
      </c>
      <c r="L3058" s="158" t="s">
        <v>10086</v>
      </c>
      <c r="M3058" s="158" t="s">
        <v>353</v>
      </c>
      <c r="N3058" s="158" t="s">
        <v>12834</v>
      </c>
      <c r="O3058" s="162"/>
      <c r="P3058" s="161">
        <f>153000000*3</f>
        <v>459000000</v>
      </c>
      <c r="Q3058" s="161"/>
      <c r="R3058" s="162"/>
      <c r="S3058" s="163">
        <f>100000000*3</f>
        <v>300000000</v>
      </c>
      <c r="T3058" s="164"/>
      <c r="U3058" s="340">
        <v>46214</v>
      </c>
      <c r="V3058" s="340">
        <v>46305</v>
      </c>
      <c r="W3058" s="158" t="s">
        <v>17</v>
      </c>
      <c r="X3058" s="158"/>
      <c r="Y3058" s="34">
        <f t="shared" ca="1" si="245"/>
        <v>46290</v>
      </c>
      <c r="Z3058" s="35">
        <f t="shared" ca="1" si="247"/>
        <v>15</v>
      </c>
      <c r="AA3058" s="27">
        <f>MONTH(V3058)</f>
        <v>10</v>
      </c>
      <c r="AB3058" s="27">
        <f t="shared" si="250"/>
        <v>2026</v>
      </c>
      <c r="AC3058" s="159" t="s">
        <v>12835</v>
      </c>
      <c r="AD3058" s="159" t="s">
        <v>12836</v>
      </c>
      <c r="AE3058" s="184" t="s">
        <v>12837</v>
      </c>
      <c r="AF3058" s="201" t="s">
        <v>471</v>
      </c>
      <c r="AG3058" s="160"/>
      <c r="AH3058" s="29" t="s">
        <v>4421</v>
      </c>
      <c r="AI3058" s="158"/>
      <c r="AJ3058" s="158"/>
      <c r="AK3058" s="158"/>
      <c r="AL3058" s="158"/>
      <c r="AM3058" s="158"/>
      <c r="AN3058" s="158"/>
      <c r="AO3058" s="158"/>
      <c r="AP3058" s="158"/>
      <c r="AQ3058" s="158"/>
      <c r="AR3058" s="507">
        <v>198</v>
      </c>
      <c r="AS3058" s="475"/>
      <c r="AT3058" s="160"/>
    </row>
    <row r="3059" spans="1:46" ht="15" hidden="1" customHeight="1">
      <c r="A3059" s="195">
        <v>3048</v>
      </c>
      <c r="B3059" s="159" t="s">
        <v>10216</v>
      </c>
      <c r="C3059" s="159" t="s">
        <v>11841</v>
      </c>
      <c r="D3059" s="460" t="s">
        <v>10310</v>
      </c>
      <c r="E3059" s="361" t="str">
        <f t="shared" ca="1" si="249"/>
        <v>ON TRACK</v>
      </c>
      <c r="F3059" s="159" t="s">
        <v>12838</v>
      </c>
      <c r="G3059" s="159" t="s">
        <v>12839</v>
      </c>
      <c r="H3059" s="160" t="s">
        <v>261</v>
      </c>
      <c r="I3059" s="160" t="s">
        <v>243</v>
      </c>
      <c r="J3059" s="159" t="s">
        <v>11843</v>
      </c>
      <c r="K3059" s="181" t="s">
        <v>11844</v>
      </c>
      <c r="L3059" s="158" t="s">
        <v>4749</v>
      </c>
      <c r="M3059" s="158" t="s">
        <v>365</v>
      </c>
      <c r="N3059" s="158" t="s">
        <v>6885</v>
      </c>
      <c r="O3059" s="162"/>
      <c r="P3059" s="161">
        <v>0</v>
      </c>
      <c r="Q3059" s="161"/>
      <c r="R3059" s="162"/>
      <c r="S3059" s="163">
        <f>800000*12</f>
        <v>9600000</v>
      </c>
      <c r="T3059" s="164"/>
      <c r="U3059" s="340">
        <v>46240</v>
      </c>
      <c r="V3059" s="340">
        <v>46604</v>
      </c>
      <c r="W3059" s="158" t="s">
        <v>17</v>
      </c>
      <c r="X3059" s="158"/>
      <c r="Y3059" s="164">
        <f t="shared" ca="1" si="245"/>
        <v>46290</v>
      </c>
      <c r="Z3059" s="207">
        <f ca="1">Table1[[#This Row],[End]]-Table1[[#This Row],[Today]]</f>
        <v>314</v>
      </c>
      <c r="AA3059" s="158">
        <f>MONTH(Table1[[#This Row],[End]])</f>
        <v>8</v>
      </c>
      <c r="AB3059" s="158">
        <f>YEAR(Table1[[#This Row],[End]])</f>
        <v>2027</v>
      </c>
      <c r="AC3059" s="159" t="s">
        <v>12840</v>
      </c>
      <c r="AD3059" s="159" t="s">
        <v>12841</v>
      </c>
      <c r="AE3059" s="184" t="s">
        <v>12842</v>
      </c>
      <c r="AF3059" s="201" t="s">
        <v>471</v>
      </c>
      <c r="AG3059" s="160"/>
      <c r="AH3059" s="160" t="s">
        <v>11847</v>
      </c>
      <c r="AI3059" s="158"/>
      <c r="AJ3059" s="158"/>
      <c r="AK3059" s="158"/>
      <c r="AL3059" s="158"/>
      <c r="AM3059" s="158"/>
      <c r="AN3059" s="158"/>
      <c r="AO3059" s="158"/>
      <c r="AP3059" s="158"/>
      <c r="AQ3059" s="158"/>
      <c r="AR3059" s="507">
        <v>178</v>
      </c>
      <c r="AS3059" s="475"/>
      <c r="AT3059" s="160"/>
    </row>
    <row r="3060" spans="1:46" ht="15" hidden="1" customHeight="1">
      <c r="A3060" s="195">
        <v>3049</v>
      </c>
      <c r="B3060" s="159" t="s">
        <v>628</v>
      </c>
      <c r="C3060" s="159" t="s">
        <v>3973</v>
      </c>
      <c r="D3060" s="437" t="s">
        <v>7640</v>
      </c>
      <c r="E3060" s="361" t="str">
        <f t="shared" ca="1" si="249"/>
        <v>ON TRACK</v>
      </c>
      <c r="F3060" s="160" t="s">
        <v>11687</v>
      </c>
      <c r="G3060" s="159" t="s">
        <v>9684</v>
      </c>
      <c r="H3060" s="160" t="s">
        <v>261</v>
      </c>
      <c r="I3060" s="160" t="s">
        <v>243</v>
      </c>
      <c r="J3060" s="159" t="s">
        <v>9685</v>
      </c>
      <c r="K3060" s="181" t="s">
        <v>9686</v>
      </c>
      <c r="L3060" s="53" t="s">
        <v>4749</v>
      </c>
      <c r="M3060" s="158" t="s">
        <v>6788</v>
      </c>
      <c r="N3060" s="158" t="s">
        <v>6885</v>
      </c>
      <c r="O3060" s="162"/>
      <c r="P3060" s="161">
        <f>1861644*12</f>
        <v>22339728</v>
      </c>
      <c r="Q3060" s="161"/>
      <c r="R3060" s="162"/>
      <c r="S3060" s="163">
        <f>1072800*12</f>
        <v>12873600</v>
      </c>
      <c r="T3060" s="164"/>
      <c r="U3060" s="340">
        <v>46236</v>
      </c>
      <c r="V3060" s="340">
        <v>46600</v>
      </c>
      <c r="W3060" s="158" t="s">
        <v>17</v>
      </c>
      <c r="X3060" s="158"/>
      <c r="Y3060" s="164">
        <f t="shared" ca="1" si="245"/>
        <v>46290</v>
      </c>
      <c r="Z3060" s="35">
        <f ca="1">V3060-Y3060</f>
        <v>310</v>
      </c>
      <c r="AA3060" s="158">
        <f>MONTH(Table1[[#This Row],[End]])</f>
        <v>8</v>
      </c>
      <c r="AB3060" s="158">
        <f>YEAR(Table1[[#This Row],[End]])</f>
        <v>2027</v>
      </c>
      <c r="AC3060" s="159" t="s">
        <v>12843</v>
      </c>
      <c r="AD3060" s="194" t="s">
        <v>12844</v>
      </c>
      <c r="AE3060" s="184" t="s">
        <v>12845</v>
      </c>
      <c r="AF3060" s="201" t="s">
        <v>471</v>
      </c>
      <c r="AG3060" s="160" t="s">
        <v>9689</v>
      </c>
      <c r="AH3060" s="174" t="s">
        <v>634</v>
      </c>
      <c r="AI3060" s="158"/>
      <c r="AJ3060" s="158"/>
      <c r="AK3060" s="158"/>
      <c r="AL3060" s="158"/>
      <c r="AM3060" s="158"/>
      <c r="AN3060" s="158"/>
      <c r="AO3060" s="158"/>
      <c r="AP3060" s="158"/>
      <c r="AQ3060" s="158"/>
      <c r="AR3060" s="507">
        <v>201</v>
      </c>
      <c r="AS3060" s="475"/>
      <c r="AT3060" s="160"/>
    </row>
    <row r="3061" spans="1:46" ht="15" hidden="1" customHeight="1">
      <c r="A3061" s="195">
        <v>3050</v>
      </c>
      <c r="B3061" s="159" t="s">
        <v>165</v>
      </c>
      <c r="C3061" s="159" t="s">
        <v>9727</v>
      </c>
      <c r="D3061" s="438" t="s">
        <v>7124</v>
      </c>
      <c r="E3061" s="361" t="str">
        <f t="shared" ca="1" si="249"/>
        <v>ON TRACK</v>
      </c>
      <c r="F3061" s="160" t="s">
        <v>12335</v>
      </c>
      <c r="G3061" s="182" t="s">
        <v>12336</v>
      </c>
      <c r="H3061" s="160" t="s">
        <v>261</v>
      </c>
      <c r="I3061" s="160" t="s">
        <v>243</v>
      </c>
      <c r="J3061" s="159" t="s">
        <v>9729</v>
      </c>
      <c r="K3061" s="181" t="s">
        <v>9730</v>
      </c>
      <c r="L3061" s="27" t="s">
        <v>4749</v>
      </c>
      <c r="M3061" s="158" t="s">
        <v>6987</v>
      </c>
      <c r="N3061" s="158" t="s">
        <v>9731</v>
      </c>
      <c r="O3061" s="162"/>
      <c r="P3061" s="161">
        <f>45000000*12</f>
        <v>540000000</v>
      </c>
      <c r="Q3061" s="161"/>
      <c r="R3061" s="162"/>
      <c r="S3061" s="163">
        <f>10000000*12</f>
        <v>120000000</v>
      </c>
      <c r="T3061" s="164"/>
      <c r="U3061" s="340">
        <v>46277</v>
      </c>
      <c r="V3061" s="340">
        <v>46641</v>
      </c>
      <c r="W3061" s="158" t="s">
        <v>17</v>
      </c>
      <c r="X3061" s="158"/>
      <c r="Y3061" s="34">
        <f t="shared" ca="1" si="245"/>
        <v>46290</v>
      </c>
      <c r="Z3061" s="35">
        <f ca="1">V3061-Y3061</f>
        <v>351</v>
      </c>
      <c r="AA3061" s="27">
        <f>MONTH(V3061)</f>
        <v>9</v>
      </c>
      <c r="AB3061" s="27">
        <f>YEAR(V3061)</f>
        <v>2027</v>
      </c>
      <c r="AC3061" s="159" t="s">
        <v>12846</v>
      </c>
      <c r="AD3061" s="159" t="s">
        <v>12847</v>
      </c>
      <c r="AE3061" s="184" t="s">
        <v>12848</v>
      </c>
      <c r="AF3061" s="201" t="s">
        <v>471</v>
      </c>
      <c r="AG3061" s="29" t="s">
        <v>9100</v>
      </c>
      <c r="AH3061" s="29" t="s">
        <v>7099</v>
      </c>
      <c r="AI3061" s="158"/>
      <c r="AJ3061" s="158"/>
      <c r="AK3061" s="158"/>
      <c r="AL3061" s="158"/>
      <c r="AM3061" s="158"/>
      <c r="AN3061" s="158"/>
      <c r="AO3061" s="158"/>
      <c r="AP3061" s="158"/>
      <c r="AQ3061" s="158"/>
      <c r="AR3061" s="507">
        <v>200</v>
      </c>
      <c r="AS3061" s="475"/>
      <c r="AT3061" s="160"/>
    </row>
    <row r="3062" spans="1:46" ht="15" hidden="1" customHeight="1">
      <c r="A3062" s="195">
        <v>3051</v>
      </c>
      <c r="B3062" s="510" t="s">
        <v>12849</v>
      </c>
      <c r="C3062" s="510" t="s">
        <v>5989</v>
      </c>
      <c r="D3062" s="511" t="s">
        <v>12850</v>
      </c>
      <c r="E3062" s="113" t="str">
        <f t="shared" ref="E3062:E3076" ca="1" si="251">IF(AND(Z3062&gt;=60, Z3062&lt;=3000), "ON TRACK",IF(AND(Z3062&gt;=36, Z3062&lt;=59), "ATTENTION",IF(AND(Z3062&gt;=1, Z3062&lt;=35), "WARNING",IF(AND(Z3062&gt;=-3000, Z3062&lt;=0), "CRITICAL", ""))))</f>
        <v>CRITICAL</v>
      </c>
      <c r="F3062" s="510" t="s">
        <v>12851</v>
      </c>
      <c r="G3062" s="512"/>
      <c r="H3062" s="512" t="s">
        <v>2748</v>
      </c>
      <c r="I3062" s="512" t="s">
        <v>242</v>
      </c>
      <c r="J3062" s="510" t="s">
        <v>12852</v>
      </c>
      <c r="K3062" s="512"/>
      <c r="L3062" s="513"/>
      <c r="M3062" s="513" t="s">
        <v>329</v>
      </c>
      <c r="N3062" s="513" t="s">
        <v>424</v>
      </c>
      <c r="O3062" s="514"/>
      <c r="P3062" s="515">
        <v>1482972948</v>
      </c>
      <c r="Q3062" s="515"/>
      <c r="R3062" s="514"/>
      <c r="S3062" s="516">
        <v>36000000</v>
      </c>
      <c r="T3062" s="517"/>
      <c r="U3062" s="518">
        <v>45658</v>
      </c>
      <c r="V3062" s="518">
        <v>46022</v>
      </c>
      <c r="W3062" s="158" t="s">
        <v>17</v>
      </c>
      <c r="X3062" s="158"/>
      <c r="Y3062" s="164">
        <f t="shared" ca="1" si="245"/>
        <v>46290</v>
      </c>
      <c r="Z3062" s="35">
        <f t="shared" ref="Z3062:Z3072" ca="1" si="252">V3062-Y3062</f>
        <v>-268</v>
      </c>
      <c r="AA3062" s="27">
        <f t="shared" ref="AA3062:AA3072" si="253">MONTH(V3062)</f>
        <v>12</v>
      </c>
      <c r="AB3062" s="27">
        <f t="shared" ref="AB3062:AB3072" si="254">YEAR(V3062)</f>
        <v>2025</v>
      </c>
      <c r="AC3062" s="510"/>
      <c r="AD3062" s="511" t="s">
        <v>12853</v>
      </c>
      <c r="AE3062" s="513">
        <v>4500027948</v>
      </c>
      <c r="AF3062" s="201" t="s">
        <v>356</v>
      </c>
      <c r="AG3062" s="512" t="s">
        <v>12854</v>
      </c>
      <c r="AH3062" s="512" t="s">
        <v>12855</v>
      </c>
      <c r="AI3062" s="513"/>
      <c r="AJ3062" s="513"/>
      <c r="AK3062" s="513"/>
      <c r="AL3062" s="513"/>
      <c r="AM3062" s="513"/>
      <c r="AN3062" s="513"/>
      <c r="AO3062" s="513"/>
      <c r="AP3062" s="513"/>
      <c r="AQ3062" s="513"/>
      <c r="AR3062" s="543">
        <v>79</v>
      </c>
      <c r="AS3062" s="461"/>
      <c r="AT3062" s="174"/>
    </row>
    <row r="3063" spans="1:46" ht="15" hidden="1" customHeight="1">
      <c r="A3063" s="195">
        <v>3052</v>
      </c>
      <c r="B3063" s="173" t="s">
        <v>154</v>
      </c>
      <c r="C3063" s="192" t="s">
        <v>8870</v>
      </c>
      <c r="D3063" s="519" t="s">
        <v>12856</v>
      </c>
      <c r="E3063" s="113" t="str">
        <f t="shared" ca="1" si="251"/>
        <v>ON TRACK</v>
      </c>
      <c r="F3063" s="520" t="s">
        <v>12857</v>
      </c>
      <c r="G3063" s="240"/>
      <c r="H3063" s="240" t="s">
        <v>2748</v>
      </c>
      <c r="I3063" s="240" t="s">
        <v>346</v>
      </c>
      <c r="J3063" s="192"/>
      <c r="K3063" s="244" t="s">
        <v>12858</v>
      </c>
      <c r="L3063" s="237"/>
      <c r="M3063" s="237" t="s">
        <v>365</v>
      </c>
      <c r="N3063" s="237" t="s">
        <v>362</v>
      </c>
      <c r="O3063" s="245"/>
      <c r="P3063" s="193">
        <v>439700000</v>
      </c>
      <c r="Q3063" s="193"/>
      <c r="R3063" s="245">
        <v>5000000</v>
      </c>
      <c r="S3063" s="290">
        <v>78000000</v>
      </c>
      <c r="T3063" s="251"/>
      <c r="U3063" s="521">
        <v>46136</v>
      </c>
      <c r="V3063" s="521">
        <v>46500</v>
      </c>
      <c r="W3063" s="538" t="s">
        <v>17</v>
      </c>
      <c r="X3063" s="158"/>
      <c r="Y3063" s="164">
        <f t="shared" ref="Y3063:Y3076" ca="1" si="255">TODAY()</f>
        <v>46290</v>
      </c>
      <c r="Z3063" s="522">
        <f t="shared" ca="1" si="252"/>
        <v>210</v>
      </c>
      <c r="AA3063" s="523">
        <f t="shared" si="253"/>
        <v>4</v>
      </c>
      <c r="AB3063" s="523">
        <f t="shared" si="254"/>
        <v>2027</v>
      </c>
      <c r="AC3063" s="192"/>
      <c r="AD3063" s="192" t="s">
        <v>12859</v>
      </c>
      <c r="AE3063" s="237">
        <v>4500027906</v>
      </c>
      <c r="AF3063" s="201" t="s">
        <v>356</v>
      </c>
      <c r="AG3063" s="240" t="s">
        <v>8975</v>
      </c>
      <c r="AH3063" s="240" t="s">
        <v>12860</v>
      </c>
      <c r="AI3063" s="237"/>
      <c r="AJ3063" s="237"/>
      <c r="AK3063" s="237"/>
      <c r="AL3063" s="237"/>
      <c r="AM3063" s="237"/>
      <c r="AN3063" s="237"/>
      <c r="AO3063" s="237"/>
      <c r="AP3063" s="237"/>
      <c r="AQ3063" s="237"/>
      <c r="AR3063" s="508">
        <v>82</v>
      </c>
      <c r="AS3063" s="461"/>
      <c r="AT3063" s="174"/>
    </row>
    <row r="3064" spans="1:46" ht="15" hidden="1" customHeight="1">
      <c r="A3064" s="195">
        <v>3053</v>
      </c>
      <c r="B3064" s="173" t="s">
        <v>12849</v>
      </c>
      <c r="C3064" s="510" t="s">
        <v>5989</v>
      </c>
      <c r="D3064" s="511" t="s">
        <v>12850</v>
      </c>
      <c r="E3064" s="113" t="str">
        <f t="shared" ca="1" si="251"/>
        <v>ON TRACK</v>
      </c>
      <c r="F3064" s="510" t="s">
        <v>12851</v>
      </c>
      <c r="G3064" s="512"/>
      <c r="H3064" s="512" t="s">
        <v>2748</v>
      </c>
      <c r="I3064" s="512" t="s">
        <v>242</v>
      </c>
      <c r="J3064" s="510" t="s">
        <v>12852</v>
      </c>
      <c r="K3064" s="512"/>
      <c r="L3064" s="513"/>
      <c r="M3064" s="513" t="s">
        <v>329</v>
      </c>
      <c r="N3064" s="513" t="s">
        <v>424</v>
      </c>
      <c r="O3064" s="514"/>
      <c r="P3064" s="515">
        <v>1482972948</v>
      </c>
      <c r="Q3064" s="515"/>
      <c r="R3064" s="514"/>
      <c r="S3064" s="516">
        <v>36000000</v>
      </c>
      <c r="T3064" s="517"/>
      <c r="U3064" s="518">
        <v>46023</v>
      </c>
      <c r="V3064" s="518">
        <v>46387</v>
      </c>
      <c r="W3064" s="158" t="s">
        <v>17</v>
      </c>
      <c r="X3064" s="158"/>
      <c r="Y3064" s="164">
        <f t="shared" ca="1" si="255"/>
        <v>46290</v>
      </c>
      <c r="Z3064" s="35">
        <f t="shared" ca="1" si="252"/>
        <v>97</v>
      </c>
      <c r="AA3064" s="27">
        <f t="shared" si="253"/>
        <v>12</v>
      </c>
      <c r="AB3064" s="27">
        <f t="shared" si="254"/>
        <v>2026</v>
      </c>
      <c r="AC3064" s="510"/>
      <c r="AD3064" s="511" t="s">
        <v>12853</v>
      </c>
      <c r="AE3064" s="513">
        <v>4500027948</v>
      </c>
      <c r="AF3064" s="538" t="s">
        <v>356</v>
      </c>
      <c r="AG3064" s="512" t="s">
        <v>12854</v>
      </c>
      <c r="AH3064" s="512" t="s">
        <v>12855</v>
      </c>
      <c r="AI3064" s="513"/>
      <c r="AJ3064" s="513"/>
      <c r="AK3064" s="513"/>
      <c r="AL3064" s="513"/>
      <c r="AM3064" s="513"/>
      <c r="AN3064" s="513"/>
      <c r="AO3064" s="513"/>
      <c r="AP3064" s="513"/>
      <c r="AQ3064" s="513"/>
      <c r="AR3064" s="543">
        <v>79</v>
      </c>
      <c r="AS3064" s="461"/>
      <c r="AT3064" s="174"/>
    </row>
    <row r="3065" spans="1:46" ht="15" hidden="1" customHeight="1">
      <c r="A3065" s="195">
        <v>3054</v>
      </c>
      <c r="B3065" s="173" t="s">
        <v>12849</v>
      </c>
      <c r="C3065" s="524" t="s">
        <v>5989</v>
      </c>
      <c r="D3065" s="525" t="s">
        <v>12850</v>
      </c>
      <c r="E3065" s="113" t="str">
        <f t="shared" ca="1" si="251"/>
        <v>ON TRACK</v>
      </c>
      <c r="F3065" s="524" t="s">
        <v>12851</v>
      </c>
      <c r="G3065" s="526"/>
      <c r="H3065" s="526" t="s">
        <v>2748</v>
      </c>
      <c r="I3065" s="526" t="s">
        <v>242</v>
      </c>
      <c r="J3065" s="524" t="s">
        <v>12852</v>
      </c>
      <c r="K3065" s="526"/>
      <c r="L3065" s="527"/>
      <c r="M3065" s="527" t="s">
        <v>329</v>
      </c>
      <c r="N3065" s="527" t="s">
        <v>424</v>
      </c>
      <c r="O3065" s="528"/>
      <c r="P3065" s="529">
        <v>1482972948</v>
      </c>
      <c r="Q3065" s="529"/>
      <c r="R3065" s="528"/>
      <c r="S3065" s="530">
        <v>36000000</v>
      </c>
      <c r="T3065" s="531"/>
      <c r="U3065" s="532">
        <v>46388</v>
      </c>
      <c r="V3065" s="532">
        <v>46752</v>
      </c>
      <c r="W3065" s="158" t="s">
        <v>17</v>
      </c>
      <c r="X3065" s="158"/>
      <c r="Y3065" s="164">
        <f t="shared" ca="1" si="255"/>
        <v>46290</v>
      </c>
      <c r="Z3065" s="522">
        <f t="shared" ca="1" si="252"/>
        <v>462</v>
      </c>
      <c r="AA3065" s="523">
        <f t="shared" si="253"/>
        <v>12</v>
      </c>
      <c r="AB3065" s="523">
        <f t="shared" si="254"/>
        <v>2027</v>
      </c>
      <c r="AC3065" s="524"/>
      <c r="AD3065" s="525" t="s">
        <v>12853</v>
      </c>
      <c r="AE3065" s="527">
        <v>4500027948</v>
      </c>
      <c r="AF3065" s="538" t="s">
        <v>356</v>
      </c>
      <c r="AG3065" s="526" t="s">
        <v>12854</v>
      </c>
      <c r="AH3065" s="526" t="s">
        <v>12855</v>
      </c>
      <c r="AI3065" s="527"/>
      <c r="AJ3065" s="527"/>
      <c r="AK3065" s="527"/>
      <c r="AL3065" s="527"/>
      <c r="AM3065" s="527"/>
      <c r="AN3065" s="527"/>
      <c r="AO3065" s="527"/>
      <c r="AP3065" s="527"/>
      <c r="AQ3065" s="527"/>
      <c r="AR3065" s="544">
        <v>79</v>
      </c>
      <c r="AS3065" s="461"/>
      <c r="AT3065" s="174"/>
    </row>
    <row r="3066" spans="1:46" ht="15" hidden="1" customHeight="1">
      <c r="A3066" s="195">
        <v>3055</v>
      </c>
      <c r="B3066" s="533" t="s">
        <v>12861</v>
      </c>
      <c r="C3066" s="510" t="s">
        <v>12862</v>
      </c>
      <c r="D3066" s="519" t="s">
        <v>12863</v>
      </c>
      <c r="E3066" s="113" t="str">
        <f t="shared" ca="1" si="251"/>
        <v>ON TRACK</v>
      </c>
      <c r="F3066" s="510" t="s">
        <v>12864</v>
      </c>
      <c r="G3066" s="512"/>
      <c r="H3066" s="512" t="s">
        <v>2748</v>
      </c>
      <c r="I3066" s="512" t="s">
        <v>242</v>
      </c>
      <c r="J3066" s="511" t="s">
        <v>12865</v>
      </c>
      <c r="K3066" s="512"/>
      <c r="L3066" s="513"/>
      <c r="M3066" s="513" t="s">
        <v>7267</v>
      </c>
      <c r="N3066" s="513" t="s">
        <v>468</v>
      </c>
      <c r="O3066" s="514">
        <v>5000000</v>
      </c>
      <c r="P3066" s="515">
        <v>161000000</v>
      </c>
      <c r="Q3066" s="515"/>
      <c r="R3066" s="514"/>
      <c r="S3066" s="516">
        <v>24000000</v>
      </c>
      <c r="T3066" s="517"/>
      <c r="U3066" s="518">
        <v>46143</v>
      </c>
      <c r="V3066" s="518">
        <v>46477</v>
      </c>
      <c r="W3066" s="158" t="s">
        <v>17</v>
      </c>
      <c r="X3066" s="158"/>
      <c r="Y3066" s="164">
        <f t="shared" ca="1" si="255"/>
        <v>46290</v>
      </c>
      <c r="Z3066" s="35">
        <f t="shared" ca="1" si="252"/>
        <v>187</v>
      </c>
      <c r="AA3066" s="27">
        <f t="shared" si="253"/>
        <v>3</v>
      </c>
      <c r="AB3066" s="27">
        <f t="shared" si="254"/>
        <v>2027</v>
      </c>
      <c r="AC3066" s="510"/>
      <c r="AD3066" s="510" t="s">
        <v>12866</v>
      </c>
      <c r="AE3066" s="513">
        <v>4500028093</v>
      </c>
      <c r="AF3066" s="538" t="s">
        <v>356</v>
      </c>
      <c r="AG3066" s="512" t="s">
        <v>12867</v>
      </c>
      <c r="AH3066" s="512" t="s">
        <v>12868</v>
      </c>
      <c r="AI3066" s="513"/>
      <c r="AJ3066" s="513"/>
      <c r="AK3066" s="513"/>
      <c r="AL3066" s="513"/>
      <c r="AM3066" s="513"/>
      <c r="AN3066" s="513"/>
      <c r="AO3066" s="513"/>
      <c r="AP3066" s="513"/>
      <c r="AQ3066" s="513"/>
      <c r="AR3066" s="543">
        <v>86</v>
      </c>
      <c r="AS3066" s="461"/>
      <c r="AT3066" s="174"/>
    </row>
    <row r="3067" spans="1:46" ht="15" hidden="1" customHeight="1">
      <c r="A3067" s="195">
        <v>3056</v>
      </c>
      <c r="B3067" s="173" t="s">
        <v>348</v>
      </c>
      <c r="C3067" s="524" t="s">
        <v>483</v>
      </c>
      <c r="D3067" s="519" t="s">
        <v>12869</v>
      </c>
      <c r="E3067" s="113" t="str">
        <f t="shared" ca="1" si="251"/>
        <v>ON TRACK</v>
      </c>
      <c r="F3067" s="524" t="s">
        <v>12870</v>
      </c>
      <c r="G3067" s="526"/>
      <c r="H3067" s="526" t="s">
        <v>2748</v>
      </c>
      <c r="I3067" s="526" t="s">
        <v>242</v>
      </c>
      <c r="J3067" s="524" t="s">
        <v>12871</v>
      </c>
      <c r="K3067" s="534" t="s">
        <v>12872</v>
      </c>
      <c r="L3067" s="527"/>
      <c r="M3067" s="527" t="s">
        <v>7267</v>
      </c>
      <c r="N3067" s="527" t="s">
        <v>6739</v>
      </c>
      <c r="O3067" s="528">
        <v>3500000</v>
      </c>
      <c r="P3067" s="529">
        <v>82785714</v>
      </c>
      <c r="Q3067" s="529"/>
      <c r="R3067" s="528"/>
      <c r="S3067" s="530">
        <v>16897541</v>
      </c>
      <c r="T3067" s="531"/>
      <c r="U3067" s="532">
        <v>46066</v>
      </c>
      <c r="V3067" s="532">
        <v>46387</v>
      </c>
      <c r="W3067" s="158" t="s">
        <v>17</v>
      </c>
      <c r="X3067" s="158"/>
      <c r="Y3067" s="164">
        <f t="shared" ca="1" si="255"/>
        <v>46290</v>
      </c>
      <c r="Z3067" s="522">
        <f t="shared" ca="1" si="252"/>
        <v>97</v>
      </c>
      <c r="AA3067" s="523">
        <f t="shared" si="253"/>
        <v>12</v>
      </c>
      <c r="AB3067" s="523">
        <f t="shared" si="254"/>
        <v>2026</v>
      </c>
      <c r="AC3067" s="524"/>
      <c r="AD3067" s="524" t="s">
        <v>12873</v>
      </c>
      <c r="AE3067" s="527">
        <v>4500028104</v>
      </c>
      <c r="AF3067" s="538" t="s">
        <v>356</v>
      </c>
      <c r="AG3067" s="526" t="s">
        <v>9191</v>
      </c>
      <c r="AH3067" s="526"/>
      <c r="AI3067" s="527"/>
      <c r="AJ3067" s="527"/>
      <c r="AK3067" s="527"/>
      <c r="AL3067" s="527"/>
      <c r="AM3067" s="527"/>
      <c r="AN3067" s="527"/>
      <c r="AO3067" s="527"/>
      <c r="AP3067" s="527"/>
      <c r="AQ3067" s="527"/>
      <c r="AR3067" s="544">
        <v>80</v>
      </c>
      <c r="AS3067" s="461"/>
      <c r="AT3067" s="174"/>
    </row>
    <row r="3068" spans="1:46" ht="15" hidden="1" customHeight="1">
      <c r="A3068" s="195">
        <v>3057</v>
      </c>
      <c r="B3068" s="510" t="s">
        <v>37</v>
      </c>
      <c r="C3068" s="510" t="s">
        <v>12874</v>
      </c>
      <c r="D3068" s="437" t="s">
        <v>6644</v>
      </c>
      <c r="E3068" s="113" t="str">
        <f t="shared" ca="1" si="251"/>
        <v>ON TRACK</v>
      </c>
      <c r="F3068" s="510" t="s">
        <v>12875</v>
      </c>
      <c r="G3068" s="512"/>
      <c r="H3068" s="512" t="s">
        <v>2748</v>
      </c>
      <c r="I3068" s="512" t="s">
        <v>242</v>
      </c>
      <c r="J3068" s="510" t="s">
        <v>12876</v>
      </c>
      <c r="K3068" s="512"/>
      <c r="L3068" s="513"/>
      <c r="M3068" s="513" t="s">
        <v>7091</v>
      </c>
      <c r="N3068" s="512"/>
      <c r="O3068" s="514"/>
      <c r="P3068" s="515">
        <v>107667600</v>
      </c>
      <c r="Q3068" s="515"/>
      <c r="R3068" s="514">
        <v>4000000</v>
      </c>
      <c r="S3068" s="516">
        <v>42000000</v>
      </c>
      <c r="T3068" s="517"/>
      <c r="U3068" s="518">
        <v>46180</v>
      </c>
      <c r="V3068" s="518">
        <v>46544</v>
      </c>
      <c r="W3068" s="158" t="s">
        <v>17</v>
      </c>
      <c r="X3068" s="158"/>
      <c r="Y3068" s="164">
        <f t="shared" ca="1" si="255"/>
        <v>46290</v>
      </c>
      <c r="Z3068" s="35">
        <f t="shared" ca="1" si="252"/>
        <v>254</v>
      </c>
      <c r="AA3068" s="27">
        <f t="shared" si="253"/>
        <v>6</v>
      </c>
      <c r="AB3068" s="27">
        <f t="shared" si="254"/>
        <v>2027</v>
      </c>
      <c r="AC3068" s="510"/>
      <c r="AD3068" s="510" t="s">
        <v>12877</v>
      </c>
      <c r="AE3068" s="513">
        <v>4500028103</v>
      </c>
      <c r="AF3068" s="538" t="s">
        <v>356</v>
      </c>
      <c r="AG3068" s="512" t="s">
        <v>12878</v>
      </c>
      <c r="AH3068" s="512"/>
      <c r="AI3068" s="513"/>
      <c r="AJ3068" s="513"/>
      <c r="AK3068" s="513"/>
      <c r="AL3068" s="513"/>
      <c r="AM3068" s="513"/>
      <c r="AN3068" s="513"/>
      <c r="AO3068" s="513"/>
      <c r="AP3068" s="513"/>
      <c r="AQ3068" s="513"/>
      <c r="AR3068" s="543">
        <v>13</v>
      </c>
      <c r="AS3068" s="461"/>
      <c r="AT3068" s="174"/>
    </row>
    <row r="3069" spans="1:46" ht="15" hidden="1" customHeight="1">
      <c r="A3069" s="195">
        <v>3058</v>
      </c>
      <c r="B3069" s="173" t="s">
        <v>348</v>
      </c>
      <c r="C3069" s="524" t="s">
        <v>4752</v>
      </c>
      <c r="D3069" s="519" t="s">
        <v>12869</v>
      </c>
      <c r="E3069" s="113" t="str">
        <f t="shared" ca="1" si="251"/>
        <v>ON TRACK</v>
      </c>
      <c r="F3069" s="524" t="s">
        <v>12879</v>
      </c>
      <c r="G3069" s="526"/>
      <c r="H3069" s="526" t="s">
        <v>2748</v>
      </c>
      <c r="I3069" s="526" t="s">
        <v>242</v>
      </c>
      <c r="J3069" s="524" t="s">
        <v>12880</v>
      </c>
      <c r="K3069" s="526"/>
      <c r="L3069" s="527"/>
      <c r="M3069" s="527" t="s">
        <v>365</v>
      </c>
      <c r="N3069" s="526"/>
      <c r="O3069" s="528"/>
      <c r="P3069" s="529">
        <v>29856667</v>
      </c>
      <c r="Q3069" s="529"/>
      <c r="R3069" s="528"/>
      <c r="S3069" s="530">
        <v>10606908</v>
      </c>
      <c r="T3069" s="531"/>
      <c r="U3069" s="532">
        <v>46141</v>
      </c>
      <c r="V3069" s="532">
        <v>46387</v>
      </c>
      <c r="W3069" s="158" t="s">
        <v>17</v>
      </c>
      <c r="X3069" s="158"/>
      <c r="Y3069" s="164">
        <f t="shared" ca="1" si="255"/>
        <v>46290</v>
      </c>
      <c r="Z3069" s="522">
        <f t="shared" ca="1" si="252"/>
        <v>97</v>
      </c>
      <c r="AA3069" s="523">
        <f t="shared" si="253"/>
        <v>12</v>
      </c>
      <c r="AB3069" s="523">
        <f t="shared" si="254"/>
        <v>2026</v>
      </c>
      <c r="AC3069" s="524"/>
      <c r="AD3069" s="524" t="s">
        <v>12881</v>
      </c>
      <c r="AE3069" s="527">
        <v>4500028493</v>
      </c>
      <c r="AF3069" s="538" t="s">
        <v>356</v>
      </c>
      <c r="AG3069" s="526" t="s">
        <v>9191</v>
      </c>
      <c r="AH3069" s="526"/>
      <c r="AI3069" s="527"/>
      <c r="AJ3069" s="527"/>
      <c r="AK3069" s="527"/>
      <c r="AL3069" s="527"/>
      <c r="AM3069" s="527"/>
      <c r="AN3069" s="527"/>
      <c r="AO3069" s="527"/>
      <c r="AP3069" s="527"/>
      <c r="AQ3069" s="527"/>
      <c r="AR3069" s="544">
        <v>81</v>
      </c>
      <c r="AS3069" s="461"/>
      <c r="AT3069" s="174"/>
    </row>
    <row r="3070" spans="1:46" ht="15" hidden="1" customHeight="1">
      <c r="A3070" s="195">
        <v>3059</v>
      </c>
      <c r="B3070" s="510" t="s">
        <v>348</v>
      </c>
      <c r="C3070" s="510" t="s">
        <v>2216</v>
      </c>
      <c r="D3070" s="519" t="s">
        <v>12869</v>
      </c>
      <c r="E3070" s="113" t="str">
        <f t="shared" ca="1" si="251"/>
        <v>ON TRACK</v>
      </c>
      <c r="F3070" s="510" t="s">
        <v>12882</v>
      </c>
      <c r="G3070" s="512"/>
      <c r="H3070" s="512" t="s">
        <v>2748</v>
      </c>
      <c r="I3070" s="512" t="s">
        <v>242</v>
      </c>
      <c r="J3070" s="510" t="s">
        <v>12883</v>
      </c>
      <c r="K3070" s="512"/>
      <c r="L3070" s="513"/>
      <c r="M3070" s="513" t="s">
        <v>365</v>
      </c>
      <c r="N3070" s="512"/>
      <c r="O3070" s="514"/>
      <c r="P3070" s="515">
        <v>46832258</v>
      </c>
      <c r="Q3070" s="515"/>
      <c r="R3070" s="514"/>
      <c r="S3070" s="516">
        <v>19536652</v>
      </c>
      <c r="T3070" s="517"/>
      <c r="U3070" s="518">
        <v>46153</v>
      </c>
      <c r="V3070" s="518">
        <v>46387</v>
      </c>
      <c r="W3070" s="158" t="s">
        <v>17</v>
      </c>
      <c r="X3070" s="158"/>
      <c r="Y3070" s="164">
        <f t="shared" ca="1" si="255"/>
        <v>46290</v>
      </c>
      <c r="Z3070" s="35">
        <f t="shared" ca="1" si="252"/>
        <v>97</v>
      </c>
      <c r="AA3070" s="27">
        <f t="shared" si="253"/>
        <v>12</v>
      </c>
      <c r="AB3070" s="27">
        <f t="shared" si="254"/>
        <v>2026</v>
      </c>
      <c r="AC3070" s="510"/>
      <c r="AD3070" s="510" t="s">
        <v>12884</v>
      </c>
      <c r="AE3070" s="536">
        <v>4500028492</v>
      </c>
      <c r="AF3070" s="538" t="s">
        <v>356</v>
      </c>
      <c r="AG3070" s="512" t="s">
        <v>9191</v>
      </c>
      <c r="AH3070" s="512"/>
      <c r="AI3070" s="513"/>
      <c r="AJ3070" s="513"/>
      <c r="AK3070" s="513"/>
      <c r="AL3070" s="513"/>
      <c r="AM3070" s="513"/>
      <c r="AN3070" s="513"/>
      <c r="AO3070" s="513"/>
      <c r="AP3070" s="513"/>
      <c r="AQ3070" s="513"/>
      <c r="AR3070" s="543">
        <v>85</v>
      </c>
      <c r="AS3070" s="461"/>
      <c r="AT3070" s="174"/>
    </row>
    <row r="3071" spans="1:46" ht="15" hidden="1" customHeight="1">
      <c r="A3071" s="195">
        <v>3060</v>
      </c>
      <c r="B3071" s="173" t="s">
        <v>12885</v>
      </c>
      <c r="C3071" s="192" t="s">
        <v>12886</v>
      </c>
      <c r="D3071" s="88" t="s">
        <v>6337</v>
      </c>
      <c r="E3071" s="113" t="str">
        <f t="shared" ca="1" si="251"/>
        <v>ON TRACK</v>
      </c>
      <c r="F3071" s="192" t="s">
        <v>12887</v>
      </c>
      <c r="G3071" s="240"/>
      <c r="H3071" s="240" t="s">
        <v>2748</v>
      </c>
      <c r="I3071" s="240" t="s">
        <v>242</v>
      </c>
      <c r="J3071" s="535" t="s">
        <v>12888</v>
      </c>
      <c r="K3071" s="240"/>
      <c r="L3071" s="237"/>
      <c r="M3071" s="237" t="s">
        <v>353</v>
      </c>
      <c r="N3071" s="237" t="s">
        <v>494</v>
      </c>
      <c r="O3071" s="245">
        <v>7000000</v>
      </c>
      <c r="P3071" s="193">
        <v>53440000</v>
      </c>
      <c r="Q3071" s="193"/>
      <c r="R3071" s="245">
        <v>2000000</v>
      </c>
      <c r="S3071" s="290">
        <v>14000000</v>
      </c>
      <c r="T3071" s="251"/>
      <c r="U3071" s="521">
        <v>46211</v>
      </c>
      <c r="V3071" s="521">
        <v>46575</v>
      </c>
      <c r="W3071" s="158" t="s">
        <v>17</v>
      </c>
      <c r="X3071" s="158"/>
      <c r="Y3071" s="164">
        <f t="shared" ca="1" si="255"/>
        <v>46290</v>
      </c>
      <c r="Z3071" s="522">
        <f t="shared" ca="1" si="252"/>
        <v>285</v>
      </c>
      <c r="AA3071" s="523">
        <f t="shared" si="253"/>
        <v>7</v>
      </c>
      <c r="AB3071" s="523">
        <f t="shared" si="254"/>
        <v>2027</v>
      </c>
      <c r="AC3071" s="192"/>
      <c r="AD3071" s="192" t="s">
        <v>12889</v>
      </c>
      <c r="AE3071" s="237">
        <v>4500027908</v>
      </c>
      <c r="AF3071" s="538" t="s">
        <v>356</v>
      </c>
      <c r="AG3071" s="240" t="s">
        <v>12890</v>
      </c>
      <c r="AH3071" s="240"/>
      <c r="AI3071" s="237"/>
      <c r="AJ3071" s="237"/>
      <c r="AK3071" s="237"/>
      <c r="AL3071" s="237"/>
      <c r="AM3071" s="237"/>
      <c r="AN3071" s="237"/>
      <c r="AO3071" s="237"/>
      <c r="AP3071" s="237"/>
      <c r="AQ3071" s="237"/>
      <c r="AR3071" s="508">
        <v>84</v>
      </c>
      <c r="AS3071" s="461"/>
      <c r="AT3071" s="174"/>
    </row>
    <row r="3072" spans="1:46" ht="15" hidden="1" customHeight="1">
      <c r="A3072" s="195">
        <v>3061</v>
      </c>
      <c r="B3072" s="173" t="s">
        <v>97</v>
      </c>
      <c r="C3072" s="173" t="s">
        <v>12891</v>
      </c>
      <c r="D3072" s="447" t="s">
        <v>2363</v>
      </c>
      <c r="E3072" s="113" t="str">
        <f t="shared" ca="1" si="251"/>
        <v>ON TRACK</v>
      </c>
      <c r="F3072" s="174"/>
      <c r="G3072" s="421" t="s">
        <v>12892</v>
      </c>
      <c r="H3072" s="174" t="s">
        <v>2748</v>
      </c>
      <c r="I3072" s="174" t="s">
        <v>242</v>
      </c>
      <c r="J3072" s="425" t="s">
        <v>12893</v>
      </c>
      <c r="K3072" s="174"/>
      <c r="L3072" s="172"/>
      <c r="M3072" s="537" t="s">
        <v>12894</v>
      </c>
      <c r="N3072" s="174"/>
      <c r="O3072" s="176">
        <v>2000000</v>
      </c>
      <c r="P3072" s="175">
        <v>110000000</v>
      </c>
      <c r="Q3072" s="175"/>
      <c r="R3072" s="176">
        <v>5000000</v>
      </c>
      <c r="S3072" s="177">
        <v>24000000</v>
      </c>
      <c r="T3072" s="178"/>
      <c r="U3072" s="347">
        <v>46223</v>
      </c>
      <c r="V3072" s="347">
        <v>46618</v>
      </c>
      <c r="W3072" s="158" t="s">
        <v>17</v>
      </c>
      <c r="X3072" s="158"/>
      <c r="Y3072" s="164">
        <f t="shared" ca="1" si="255"/>
        <v>46290</v>
      </c>
      <c r="Z3072" s="522">
        <f t="shared" ca="1" si="252"/>
        <v>328</v>
      </c>
      <c r="AA3072" s="523">
        <f t="shared" si="253"/>
        <v>8</v>
      </c>
      <c r="AB3072" s="523">
        <f t="shared" si="254"/>
        <v>2027</v>
      </c>
      <c r="AC3072" s="173"/>
      <c r="AD3072" s="173" t="s">
        <v>12895</v>
      </c>
      <c r="AE3072" s="172">
        <v>4500028754</v>
      </c>
      <c r="AF3072" s="538" t="s">
        <v>356</v>
      </c>
      <c r="AG3072" s="174" t="s">
        <v>11293</v>
      </c>
      <c r="AH3072" s="174" t="s">
        <v>12896</v>
      </c>
      <c r="AI3072" s="172"/>
      <c r="AJ3072" s="172"/>
      <c r="AK3072" s="172"/>
      <c r="AL3072" s="172"/>
      <c r="AM3072" s="172"/>
      <c r="AN3072" s="172"/>
      <c r="AO3072" s="172"/>
      <c r="AP3072" s="172"/>
      <c r="AQ3072" s="172"/>
      <c r="AR3072" s="479">
        <v>237</v>
      </c>
      <c r="AS3072" s="461"/>
      <c r="AT3072" s="174"/>
    </row>
    <row r="3073" spans="1:46" ht="15" hidden="1" customHeight="1">
      <c r="A3073" s="195">
        <v>3062</v>
      </c>
      <c r="B3073" s="173" t="s">
        <v>2391</v>
      </c>
      <c r="C3073" s="173" t="s">
        <v>1274</v>
      </c>
      <c r="D3073" s="434" t="s">
        <v>12897</v>
      </c>
      <c r="E3073" s="113" t="str">
        <f t="shared" ca="1" si="251"/>
        <v>ON TRACK</v>
      </c>
      <c r="F3073" s="174"/>
      <c r="G3073" s="173" t="s">
        <v>12898</v>
      </c>
      <c r="H3073" s="174" t="s">
        <v>2748</v>
      </c>
      <c r="I3073" s="174" t="s">
        <v>242</v>
      </c>
      <c r="J3073" s="173"/>
      <c r="K3073" s="174"/>
      <c r="L3073" s="172"/>
      <c r="M3073" s="172"/>
      <c r="N3073" s="174"/>
      <c r="O3073" s="176"/>
      <c r="P3073" s="175">
        <v>952040000000</v>
      </c>
      <c r="Q3073" s="175"/>
      <c r="R3073" s="176"/>
      <c r="S3073" s="177">
        <v>5000000</v>
      </c>
      <c r="T3073" s="178"/>
      <c r="U3073" s="347">
        <v>46231</v>
      </c>
      <c r="V3073" s="347">
        <v>46595</v>
      </c>
      <c r="W3073" s="172" t="s">
        <v>17</v>
      </c>
      <c r="X3073" s="172"/>
      <c r="Y3073" s="164">
        <f t="shared" ca="1" si="255"/>
        <v>46290</v>
      </c>
      <c r="Z3073" s="522">
        <f t="shared" ref="Z3073:Z3085" ca="1" si="256">V3073-Y3073</f>
        <v>305</v>
      </c>
      <c r="AA3073" s="523">
        <f t="shared" ref="AA3073:AA3084" si="257">MONTH(V3073)</f>
        <v>7</v>
      </c>
      <c r="AB3073" s="523">
        <f t="shared" ref="AB3073:AB3084" si="258">YEAR(V3073)</f>
        <v>2027</v>
      </c>
      <c r="AC3073" s="173"/>
      <c r="AD3073" t="s">
        <v>12899</v>
      </c>
      <c r="AE3073" s="172">
        <v>4500028849</v>
      </c>
      <c r="AF3073" s="179" t="s">
        <v>356</v>
      </c>
      <c r="AG3073" s="174"/>
      <c r="AH3073" s="174"/>
      <c r="AI3073" s="172"/>
      <c r="AJ3073" s="172"/>
      <c r="AK3073" s="172"/>
      <c r="AL3073" s="172"/>
      <c r="AM3073" s="172"/>
      <c r="AN3073" s="172"/>
      <c r="AO3073" s="172"/>
      <c r="AP3073" s="172"/>
      <c r="AQ3073" s="172"/>
      <c r="AR3073" s="479">
        <v>236</v>
      </c>
      <c r="AS3073" s="461"/>
      <c r="AT3073" s="174"/>
    </row>
    <row r="3074" spans="1:46" ht="15" hidden="1" customHeight="1">
      <c r="A3074" s="195">
        <v>3063</v>
      </c>
      <c r="B3074" s="173" t="s">
        <v>2391</v>
      </c>
      <c r="C3074" s="173" t="s">
        <v>1274</v>
      </c>
      <c r="D3074" s="434" t="s">
        <v>12897</v>
      </c>
      <c r="E3074" s="113" t="str">
        <f t="shared" ca="1" si="251"/>
        <v>ON TRACK</v>
      </c>
      <c r="F3074" s="174"/>
      <c r="G3074" s="173" t="s">
        <v>12900</v>
      </c>
      <c r="H3074" s="174" t="s">
        <v>2748</v>
      </c>
      <c r="I3074" s="174" t="s">
        <v>242</v>
      </c>
      <c r="J3074" s="173"/>
      <c r="K3074" s="174"/>
      <c r="L3074" s="172"/>
      <c r="M3074" s="172"/>
      <c r="N3074" s="174"/>
      <c r="O3074" s="176"/>
      <c r="P3074" s="175">
        <v>952040000000</v>
      </c>
      <c r="Q3074" s="175"/>
      <c r="R3074" s="176"/>
      <c r="S3074" s="177">
        <v>5000000</v>
      </c>
      <c r="T3074" s="178"/>
      <c r="U3074" s="347">
        <v>46230</v>
      </c>
      <c r="V3074" s="347">
        <v>46594</v>
      </c>
      <c r="W3074" s="172" t="s">
        <v>17</v>
      </c>
      <c r="X3074" s="172"/>
      <c r="Y3074" s="164">
        <f t="shared" ca="1" si="255"/>
        <v>46290</v>
      </c>
      <c r="Z3074" s="522">
        <f t="shared" ca="1" si="256"/>
        <v>304</v>
      </c>
      <c r="AA3074" s="523">
        <f t="shared" si="257"/>
        <v>7</v>
      </c>
      <c r="AB3074" s="523">
        <f t="shared" si="258"/>
        <v>2027</v>
      </c>
      <c r="AC3074" s="173"/>
      <c r="AD3074" s="540" t="s">
        <v>12901</v>
      </c>
      <c r="AE3074" s="172">
        <v>4500028891</v>
      </c>
      <c r="AF3074" s="179" t="s">
        <v>356</v>
      </c>
      <c r="AG3074" s="174"/>
      <c r="AH3074" s="174"/>
      <c r="AI3074" s="172"/>
      <c r="AJ3074" s="172"/>
      <c r="AK3074" s="172"/>
      <c r="AL3074" s="172"/>
      <c r="AM3074" s="172"/>
      <c r="AN3074" s="172"/>
      <c r="AO3074" s="172"/>
      <c r="AP3074" s="172"/>
      <c r="AQ3074" s="172"/>
      <c r="AR3074" s="479">
        <v>235</v>
      </c>
      <c r="AS3074" s="461"/>
      <c r="AT3074" s="174"/>
    </row>
    <row r="3075" spans="1:46" ht="15" hidden="1" customHeight="1">
      <c r="A3075" s="195">
        <v>3064</v>
      </c>
      <c r="B3075" s="173" t="s">
        <v>71</v>
      </c>
      <c r="C3075" s="173" t="s">
        <v>10882</v>
      </c>
      <c r="D3075" s="434" t="s">
        <v>12902</v>
      </c>
      <c r="E3075" s="113" t="str">
        <f t="shared" ca="1" si="251"/>
        <v>ON TRACK</v>
      </c>
      <c r="F3075" s="174"/>
      <c r="G3075" s="173" t="s">
        <v>12903</v>
      </c>
      <c r="H3075" s="174" t="s">
        <v>2748</v>
      </c>
      <c r="I3075" s="174" t="s">
        <v>242</v>
      </c>
      <c r="J3075" s="173"/>
      <c r="K3075" s="174"/>
      <c r="L3075" s="172"/>
      <c r="M3075" s="172"/>
      <c r="N3075" s="174"/>
      <c r="O3075" s="176"/>
      <c r="P3075" s="175">
        <v>245100998016</v>
      </c>
      <c r="Q3075" s="175"/>
      <c r="R3075" s="176">
        <v>1500000</v>
      </c>
      <c r="S3075" s="177">
        <v>18000000</v>
      </c>
      <c r="T3075" s="178"/>
      <c r="U3075" s="347">
        <v>46223</v>
      </c>
      <c r="V3075" s="347">
        <v>46587</v>
      </c>
      <c r="W3075" s="172" t="s">
        <v>17</v>
      </c>
      <c r="X3075" s="172"/>
      <c r="Y3075" s="164">
        <f t="shared" ca="1" si="255"/>
        <v>46290</v>
      </c>
      <c r="Z3075" s="522">
        <f t="shared" ca="1" si="256"/>
        <v>297</v>
      </c>
      <c r="AA3075" s="523">
        <f t="shared" si="257"/>
        <v>7</v>
      </c>
      <c r="AB3075" s="523">
        <f t="shared" si="258"/>
        <v>2027</v>
      </c>
      <c r="AC3075" s="173"/>
      <c r="AD3075" s="539" t="s">
        <v>12904</v>
      </c>
      <c r="AE3075" s="172">
        <v>4500028869</v>
      </c>
      <c r="AF3075" s="179" t="s">
        <v>356</v>
      </c>
      <c r="AG3075" s="174"/>
      <c r="AH3075" s="174"/>
      <c r="AI3075" s="172"/>
      <c r="AJ3075" s="172"/>
      <c r="AK3075" s="172"/>
      <c r="AL3075" s="172"/>
      <c r="AM3075" s="172"/>
      <c r="AN3075" s="172"/>
      <c r="AO3075" s="172"/>
      <c r="AP3075" s="172"/>
      <c r="AQ3075" s="172"/>
      <c r="AR3075" s="479">
        <v>234</v>
      </c>
      <c r="AS3075" s="461"/>
      <c r="AT3075" s="174"/>
    </row>
    <row r="3076" spans="1:46" ht="15" hidden="1" customHeight="1">
      <c r="A3076" s="220">
        <v>3065</v>
      </c>
      <c r="B3076" s="159" t="s">
        <v>12905</v>
      </c>
      <c r="C3076" s="159" t="s">
        <v>12906</v>
      </c>
      <c r="D3076" s="541" t="s">
        <v>12907</v>
      </c>
      <c r="E3076" s="113" t="str">
        <f t="shared" ca="1" si="251"/>
        <v>ON TRACK</v>
      </c>
      <c r="F3076" s="160"/>
      <c r="G3076" s="159" t="s">
        <v>12908</v>
      </c>
      <c r="H3076" s="160" t="s">
        <v>261</v>
      </c>
      <c r="I3076" s="160" t="s">
        <v>243</v>
      </c>
      <c r="J3076" s="159" t="s">
        <v>12909</v>
      </c>
      <c r="K3076" s="181" t="s">
        <v>11972</v>
      </c>
      <c r="L3076" s="158"/>
      <c r="M3076" s="158" t="s">
        <v>12910</v>
      </c>
      <c r="N3076" s="158" t="s">
        <v>6802</v>
      </c>
      <c r="O3076" s="162"/>
      <c r="P3076" s="161">
        <f>12*3500000</f>
        <v>42000000</v>
      </c>
      <c r="Q3076" s="161"/>
      <c r="R3076" s="162"/>
      <c r="S3076" s="163">
        <f>12*2000000</f>
        <v>24000000</v>
      </c>
      <c r="T3076" s="164"/>
      <c r="U3076" s="340">
        <v>46210</v>
      </c>
      <c r="V3076" s="340">
        <v>46574</v>
      </c>
      <c r="W3076" s="172" t="s">
        <v>17</v>
      </c>
      <c r="X3076" s="158"/>
      <c r="Y3076" s="164">
        <f t="shared" ca="1" si="255"/>
        <v>46290</v>
      </c>
      <c r="Z3076" s="522">
        <f t="shared" ca="1" si="256"/>
        <v>284</v>
      </c>
      <c r="AA3076" s="523">
        <f t="shared" si="257"/>
        <v>7</v>
      </c>
      <c r="AB3076" s="523">
        <f t="shared" si="258"/>
        <v>2027</v>
      </c>
      <c r="AC3076" s="159"/>
      <c r="AD3076" s="159" t="s">
        <v>12911</v>
      </c>
      <c r="AE3076" s="158">
        <v>4500028525</v>
      </c>
      <c r="AF3076" s="201" t="s">
        <v>8995</v>
      </c>
      <c r="AG3076" s="160" t="s">
        <v>11974</v>
      </c>
      <c r="AH3076" s="160" t="s">
        <v>12912</v>
      </c>
      <c r="AI3076" s="158"/>
      <c r="AJ3076" s="158"/>
      <c r="AK3076" s="158"/>
      <c r="AL3076" s="158"/>
      <c r="AM3076" s="158"/>
      <c r="AN3076" s="158"/>
      <c r="AO3076" s="158"/>
      <c r="AP3076" s="158"/>
      <c r="AQ3076" s="158"/>
      <c r="AR3076" s="542">
        <v>129</v>
      </c>
      <c r="AS3076" s="475"/>
      <c r="AT3076" s="160"/>
    </row>
    <row r="3077" spans="1:46" ht="15" hidden="1" customHeight="1">
      <c r="A3077" s="220">
        <v>3066</v>
      </c>
      <c r="B3077" s="159" t="s">
        <v>12913</v>
      </c>
      <c r="C3077" s="159" t="s">
        <v>12914</v>
      </c>
      <c r="D3077" s="501" t="s">
        <v>10310</v>
      </c>
      <c r="E3077" s="113" t="str">
        <f t="shared" ref="E3077" ca="1" si="259">IF(AND(Z3077&gt;=60, Z3077&lt;=3000), "ON TRACK",IF(AND(Z3077&gt;=36, Z3077&lt;=59), "ATTENTION",IF(AND(Z3077&gt;=1, Z3077&lt;=35), "WARNING",IF(AND(Z3077&gt;=-3000, Z3077&lt;=0), "CRITICAL", ""))))</f>
        <v>CRITICAL</v>
      </c>
      <c r="F3077" s="160"/>
      <c r="G3077" s="159" t="s">
        <v>12915</v>
      </c>
      <c r="H3077" s="160" t="s">
        <v>261</v>
      </c>
      <c r="I3077" s="160" t="s">
        <v>243</v>
      </c>
      <c r="J3077" s="159"/>
      <c r="K3077" s="294">
        <v>200028821</v>
      </c>
      <c r="L3077" s="158"/>
      <c r="M3077" s="158" t="s">
        <v>12916</v>
      </c>
      <c r="N3077" s="158" t="s">
        <v>362</v>
      </c>
      <c r="O3077" s="162"/>
      <c r="P3077" s="161">
        <v>2127715000</v>
      </c>
      <c r="Q3077" s="161"/>
      <c r="R3077" s="162"/>
      <c r="S3077" s="163">
        <v>437992526</v>
      </c>
      <c r="T3077" s="164"/>
      <c r="U3077" s="340">
        <v>46113</v>
      </c>
      <c r="V3077" s="340">
        <v>46203</v>
      </c>
      <c r="W3077" s="172" t="s">
        <v>17</v>
      </c>
      <c r="X3077" s="158"/>
      <c r="Y3077" s="164">
        <f t="shared" ref="Y3077:Y3085" ca="1" si="260">TODAY()</f>
        <v>46290</v>
      </c>
      <c r="Z3077" s="522">
        <f t="shared" ca="1" si="256"/>
        <v>-87</v>
      </c>
      <c r="AA3077" s="523">
        <f t="shared" si="257"/>
        <v>6</v>
      </c>
      <c r="AB3077" s="523">
        <f t="shared" si="258"/>
        <v>2026</v>
      </c>
      <c r="AC3077" s="159"/>
      <c r="AD3077" s="159" t="s">
        <v>12917</v>
      </c>
      <c r="AE3077" s="158">
        <v>4500028451</v>
      </c>
      <c r="AF3077" s="201" t="s">
        <v>11715</v>
      </c>
      <c r="AG3077" s="160"/>
      <c r="AH3077" s="160"/>
      <c r="AI3077" s="158"/>
      <c r="AJ3077" s="158"/>
      <c r="AK3077" s="158"/>
      <c r="AL3077" s="158"/>
      <c r="AM3077" s="158"/>
      <c r="AN3077" s="158"/>
      <c r="AO3077" s="158"/>
      <c r="AP3077" s="158"/>
      <c r="AQ3077" s="158"/>
      <c r="AR3077" s="507">
        <v>175</v>
      </c>
      <c r="AS3077" s="475"/>
      <c r="AT3077" s="160"/>
    </row>
    <row r="3078" spans="1:46" ht="15" hidden="1" customHeight="1">
      <c r="A3078" s="220">
        <v>3067</v>
      </c>
      <c r="B3078" s="159" t="s">
        <v>5947</v>
      </c>
      <c r="C3078" s="159" t="s">
        <v>2868</v>
      </c>
      <c r="D3078" s="501" t="s">
        <v>12918</v>
      </c>
      <c r="E3078" s="28" t="str">
        <f t="shared" ref="E3078" ca="1" si="261">IF(AND(Z3078&gt;=60, Z3078&lt;=3000), "ON TRACK",IF(AND(Z3078&gt;=36, Z3078&lt;=59), "ATTENTION",IF(AND(Z3078&gt;=1, Z3078&lt;=35), "WARNING",IF(AND(Z3078&gt;=-3000, Z3078&lt;=0), "CRITICAL", ""))))</f>
        <v>ON TRACK</v>
      </c>
      <c r="F3078" s="160"/>
      <c r="G3078" s="159" t="s">
        <v>12919</v>
      </c>
      <c r="H3078" s="160" t="s">
        <v>261</v>
      </c>
      <c r="I3078" s="160" t="s">
        <v>243</v>
      </c>
      <c r="J3078" s="159" t="s">
        <v>1837</v>
      </c>
      <c r="K3078" s="294">
        <v>1000125261</v>
      </c>
      <c r="L3078" s="158"/>
      <c r="M3078" s="158" t="s">
        <v>329</v>
      </c>
      <c r="N3078" s="158" t="s">
        <v>389</v>
      </c>
      <c r="O3078" s="162"/>
      <c r="P3078" s="161">
        <f>12*41000000</f>
        <v>492000000</v>
      </c>
      <c r="Q3078" s="161"/>
      <c r="R3078" s="162"/>
      <c r="S3078" s="163">
        <f>12*10000000</f>
        <v>120000000</v>
      </c>
      <c r="T3078" s="164"/>
      <c r="U3078" s="340">
        <v>46212</v>
      </c>
      <c r="V3078" s="340">
        <v>46576</v>
      </c>
      <c r="W3078" s="172" t="s">
        <v>17</v>
      </c>
      <c r="X3078" s="158"/>
      <c r="Y3078" s="164">
        <f t="shared" ca="1" si="260"/>
        <v>46290</v>
      </c>
      <c r="Z3078" s="522">
        <f t="shared" ca="1" si="256"/>
        <v>286</v>
      </c>
      <c r="AA3078" s="523">
        <f t="shared" si="257"/>
        <v>7</v>
      </c>
      <c r="AB3078" s="523">
        <f t="shared" si="258"/>
        <v>2027</v>
      </c>
      <c r="AC3078" s="159"/>
      <c r="AD3078" s="159" t="s">
        <v>12920</v>
      </c>
      <c r="AE3078" s="158">
        <v>4500028416</v>
      </c>
      <c r="AF3078" s="201" t="s">
        <v>8995</v>
      </c>
      <c r="AG3078" s="160" t="s">
        <v>12921</v>
      </c>
      <c r="AH3078" s="160" t="s">
        <v>12922</v>
      </c>
      <c r="AI3078" s="158"/>
      <c r="AJ3078" s="158"/>
      <c r="AK3078" s="158"/>
      <c r="AL3078" s="158"/>
      <c r="AM3078" s="158"/>
      <c r="AN3078" s="158"/>
      <c r="AO3078" s="158"/>
      <c r="AP3078" s="158"/>
      <c r="AQ3078" s="158"/>
      <c r="AR3078" s="507">
        <v>143</v>
      </c>
      <c r="AS3078" s="475"/>
      <c r="AT3078" s="160"/>
    </row>
    <row r="3079" spans="1:46" ht="15" hidden="1" customHeight="1">
      <c r="A3079" s="220">
        <v>3068</v>
      </c>
      <c r="B3079" s="159" t="s">
        <v>12849</v>
      </c>
      <c r="C3079" s="159" t="s">
        <v>12923</v>
      </c>
      <c r="D3079" s="434" t="s">
        <v>1471</v>
      </c>
      <c r="E3079" s="28" t="str">
        <f t="shared" ref="E3079:E3084" ca="1" si="262">IF(AND(Z3079&gt;=60, Z3079&lt;=3000), "ON TRACK",IF(AND(Z3079&gt;=36, Z3079&lt;=59), "ATTENTION",IF(AND(Z3079&gt;=1, Z3079&lt;=35), "WARNING",IF(AND(Z3079&gt;=-3000, Z3079&lt;=0), "CRITICAL", ""))))</f>
        <v>ON TRACK</v>
      </c>
      <c r="F3079" s="160" t="s">
        <v>11687</v>
      </c>
      <c r="G3079" s="159" t="s">
        <v>12924</v>
      </c>
      <c r="H3079" s="160" t="s">
        <v>261</v>
      </c>
      <c r="I3079" s="160" t="s">
        <v>243</v>
      </c>
      <c r="J3079" s="159" t="s">
        <v>9160</v>
      </c>
      <c r="K3079" s="181" t="s">
        <v>9161</v>
      </c>
      <c r="L3079" s="158"/>
      <c r="M3079" s="158" t="s">
        <v>329</v>
      </c>
      <c r="N3079" s="158" t="s">
        <v>6885</v>
      </c>
      <c r="O3079" s="162"/>
      <c r="P3079" s="161">
        <f>12*883894</f>
        <v>10606728</v>
      </c>
      <c r="Q3079" s="161"/>
      <c r="R3079" s="162"/>
      <c r="S3079" s="163">
        <f>12*1700000</f>
        <v>20400000</v>
      </c>
      <c r="T3079" s="164"/>
      <c r="U3079" s="340">
        <v>46186</v>
      </c>
      <c r="V3079" s="340">
        <v>46550</v>
      </c>
      <c r="W3079" s="172" t="s">
        <v>17</v>
      </c>
      <c r="X3079" s="158"/>
      <c r="Y3079" s="164">
        <f t="shared" ca="1" si="260"/>
        <v>46290</v>
      </c>
      <c r="Z3079" s="522">
        <f t="shared" ca="1" si="256"/>
        <v>260</v>
      </c>
      <c r="AA3079" s="523">
        <f t="shared" si="257"/>
        <v>6</v>
      </c>
      <c r="AB3079" s="523">
        <f t="shared" si="258"/>
        <v>2027</v>
      </c>
      <c r="AC3079" s="159"/>
      <c r="AD3079" s="159" t="s">
        <v>12925</v>
      </c>
      <c r="AE3079" s="158">
        <v>4500028396</v>
      </c>
      <c r="AF3079" s="201" t="s">
        <v>8995</v>
      </c>
      <c r="AG3079" s="160" t="s">
        <v>12926</v>
      </c>
      <c r="AH3079" s="160" t="s">
        <v>12927</v>
      </c>
      <c r="AI3079" s="158"/>
      <c r="AJ3079" s="158"/>
      <c r="AK3079" s="158"/>
      <c r="AL3079" s="158"/>
      <c r="AM3079" s="158"/>
      <c r="AN3079" s="158"/>
      <c r="AO3079" s="158"/>
      <c r="AP3079" s="158"/>
      <c r="AQ3079" s="158"/>
      <c r="AR3079" s="507">
        <v>132</v>
      </c>
      <c r="AS3079" s="475"/>
      <c r="AT3079" s="160"/>
    </row>
    <row r="3080" spans="1:46" ht="15" hidden="1" customHeight="1">
      <c r="A3080" s="220">
        <v>3069</v>
      </c>
      <c r="B3080" s="159" t="s">
        <v>1043</v>
      </c>
      <c r="C3080" s="159" t="s">
        <v>2610</v>
      </c>
      <c r="D3080" s="501"/>
      <c r="E3080" s="28" t="str">
        <f t="shared" ca="1" si="262"/>
        <v>ON TRACK</v>
      </c>
      <c r="F3080" s="160"/>
      <c r="G3080" s="159" t="s">
        <v>12928</v>
      </c>
      <c r="H3080" s="160" t="s">
        <v>261</v>
      </c>
      <c r="I3080" s="160" t="s">
        <v>243</v>
      </c>
      <c r="J3080" s="159" t="s">
        <v>6844</v>
      </c>
      <c r="K3080" s="181" t="s">
        <v>6845</v>
      </c>
      <c r="L3080" s="158"/>
      <c r="M3080" s="158" t="s">
        <v>329</v>
      </c>
      <c r="N3080" s="158" t="s">
        <v>417</v>
      </c>
      <c r="O3080" s="162"/>
      <c r="P3080" s="161">
        <f>12*2545455</f>
        <v>30545460</v>
      </c>
      <c r="Q3080" s="161"/>
      <c r="R3080" s="162"/>
      <c r="S3080" s="163">
        <f>12*1600000</f>
        <v>19200000</v>
      </c>
      <c r="T3080" s="164"/>
      <c r="U3080" s="340">
        <v>46204</v>
      </c>
      <c r="V3080" s="340">
        <v>46568</v>
      </c>
      <c r="W3080" s="172" t="s">
        <v>17</v>
      </c>
      <c r="X3080" s="158"/>
      <c r="Y3080" s="164">
        <f t="shared" ca="1" si="260"/>
        <v>46290</v>
      </c>
      <c r="Z3080" s="522">
        <f t="shared" ca="1" si="256"/>
        <v>278</v>
      </c>
      <c r="AA3080" s="523">
        <f t="shared" si="257"/>
        <v>6</v>
      </c>
      <c r="AB3080" s="523">
        <f t="shared" si="258"/>
        <v>2027</v>
      </c>
      <c r="AC3080" s="159"/>
      <c r="AD3080" s="159" t="s">
        <v>12929</v>
      </c>
      <c r="AE3080" s="158">
        <v>4500028373</v>
      </c>
      <c r="AF3080" s="201" t="s">
        <v>8995</v>
      </c>
      <c r="AG3080" s="160" t="s">
        <v>12800</v>
      </c>
      <c r="AH3080" s="160" t="s">
        <v>12930</v>
      </c>
      <c r="AI3080" s="158"/>
      <c r="AJ3080" s="158"/>
      <c r="AK3080" s="158"/>
      <c r="AL3080" s="158"/>
      <c r="AM3080" s="158"/>
      <c r="AN3080" s="158"/>
      <c r="AO3080" s="158"/>
      <c r="AP3080" s="158"/>
      <c r="AQ3080" s="158"/>
      <c r="AR3080" s="507">
        <v>127</v>
      </c>
      <c r="AS3080" s="475"/>
      <c r="AT3080" s="160"/>
    </row>
    <row r="3081" spans="1:46" ht="15" hidden="1" customHeight="1">
      <c r="A3081" s="220">
        <v>3070</v>
      </c>
      <c r="B3081" s="159" t="s">
        <v>5947</v>
      </c>
      <c r="C3081" s="159" t="s">
        <v>2868</v>
      </c>
      <c r="D3081" s="501" t="s">
        <v>12918</v>
      </c>
      <c r="E3081" s="28" t="str">
        <f t="shared" ca="1" si="262"/>
        <v>ON TRACK</v>
      </c>
      <c r="F3081" s="160"/>
      <c r="G3081" s="159" t="s">
        <v>12931</v>
      </c>
      <c r="H3081" s="160" t="s">
        <v>261</v>
      </c>
      <c r="I3081" s="160" t="s">
        <v>243</v>
      </c>
      <c r="J3081" s="159" t="s">
        <v>7163</v>
      </c>
      <c r="K3081" s="181" t="s">
        <v>7164</v>
      </c>
      <c r="L3081" s="158"/>
      <c r="M3081" s="158" t="s">
        <v>353</v>
      </c>
      <c r="N3081" s="158" t="s">
        <v>354</v>
      </c>
      <c r="O3081" s="162"/>
      <c r="P3081" s="161">
        <f>0</f>
        <v>0</v>
      </c>
      <c r="Q3081" s="161"/>
      <c r="R3081" s="162"/>
      <c r="S3081" s="163">
        <f>12*2000000</f>
        <v>24000000</v>
      </c>
      <c r="T3081" s="164"/>
      <c r="U3081" s="340">
        <v>46113</v>
      </c>
      <c r="V3081" s="340">
        <v>46477</v>
      </c>
      <c r="W3081" s="172" t="s">
        <v>17</v>
      </c>
      <c r="X3081" s="158"/>
      <c r="Y3081" s="164">
        <f t="shared" ca="1" si="260"/>
        <v>46290</v>
      </c>
      <c r="Z3081" s="522">
        <f t="shared" ca="1" si="256"/>
        <v>187</v>
      </c>
      <c r="AA3081" s="523">
        <f t="shared" si="257"/>
        <v>3</v>
      </c>
      <c r="AB3081" s="523">
        <f t="shared" si="258"/>
        <v>2027</v>
      </c>
      <c r="AC3081" s="159"/>
      <c r="AD3081" s="159" t="s">
        <v>12932</v>
      </c>
      <c r="AE3081" s="158">
        <v>4500028044</v>
      </c>
      <c r="AF3081" s="201" t="s">
        <v>8995</v>
      </c>
      <c r="AG3081" s="160" t="s">
        <v>12921</v>
      </c>
      <c r="AH3081" s="160" t="s">
        <v>12922</v>
      </c>
      <c r="AI3081" s="158"/>
      <c r="AJ3081" s="158"/>
      <c r="AK3081" s="158"/>
      <c r="AL3081" s="158"/>
      <c r="AM3081" s="158"/>
      <c r="AN3081" s="158"/>
      <c r="AO3081" s="158"/>
      <c r="AP3081" s="158"/>
      <c r="AQ3081" s="158"/>
      <c r="AR3081" s="507">
        <v>88</v>
      </c>
      <c r="AS3081" s="475"/>
      <c r="AT3081" s="160"/>
    </row>
    <row r="3082" spans="1:46" ht="15" hidden="1" customHeight="1">
      <c r="A3082" s="220">
        <v>3071</v>
      </c>
      <c r="B3082" s="159" t="s">
        <v>2439</v>
      </c>
      <c r="C3082" s="159" t="s">
        <v>12933</v>
      </c>
      <c r="D3082" s="501"/>
      <c r="E3082" s="28" t="str">
        <f t="shared" ca="1" si="262"/>
        <v>ON TRACK</v>
      </c>
      <c r="F3082" s="160"/>
      <c r="G3082" s="159" t="s">
        <v>12934</v>
      </c>
      <c r="H3082" s="160" t="s">
        <v>261</v>
      </c>
      <c r="I3082" s="160" t="s">
        <v>243</v>
      </c>
      <c r="J3082" s="159" t="s">
        <v>12935</v>
      </c>
      <c r="K3082" s="181" t="s">
        <v>12936</v>
      </c>
      <c r="L3082" s="158"/>
      <c r="M3082" s="158" t="s">
        <v>353</v>
      </c>
      <c r="N3082" s="158" t="s">
        <v>389</v>
      </c>
      <c r="O3082" s="162">
        <f>5000000</f>
        <v>5000000</v>
      </c>
      <c r="P3082" s="161">
        <f>12*10000000</f>
        <v>120000000</v>
      </c>
      <c r="Q3082" s="161"/>
      <c r="R3082" s="162">
        <f>5000000</f>
        <v>5000000</v>
      </c>
      <c r="S3082" s="163">
        <f>12*8500000</f>
        <v>102000000</v>
      </c>
      <c r="T3082" s="164"/>
      <c r="U3082" s="340">
        <v>46086</v>
      </c>
      <c r="V3082" s="340">
        <v>46450</v>
      </c>
      <c r="W3082" s="172" t="s">
        <v>17</v>
      </c>
      <c r="X3082" s="158"/>
      <c r="Y3082" s="164">
        <f t="shared" ca="1" si="260"/>
        <v>46290</v>
      </c>
      <c r="Z3082" s="522">
        <f t="shared" ca="1" si="256"/>
        <v>160</v>
      </c>
      <c r="AA3082" s="523">
        <f t="shared" si="257"/>
        <v>3</v>
      </c>
      <c r="AB3082" s="523">
        <f t="shared" si="258"/>
        <v>2027</v>
      </c>
      <c r="AC3082" s="159"/>
      <c r="AD3082" s="159" t="s">
        <v>12937</v>
      </c>
      <c r="AE3082" s="158">
        <v>4500027486</v>
      </c>
      <c r="AF3082" s="201" t="s">
        <v>8995</v>
      </c>
      <c r="AG3082" s="160" t="s">
        <v>11979</v>
      </c>
      <c r="AH3082" s="160" t="s">
        <v>12938</v>
      </c>
      <c r="AI3082" s="158"/>
      <c r="AJ3082" s="158"/>
      <c r="AK3082" s="158"/>
      <c r="AL3082" s="158"/>
      <c r="AM3082" s="158"/>
      <c r="AN3082" s="158"/>
      <c r="AO3082" s="158"/>
      <c r="AP3082" s="158"/>
      <c r="AQ3082" s="158"/>
      <c r="AR3082" s="507">
        <v>232</v>
      </c>
      <c r="AS3082" s="475"/>
      <c r="AT3082" s="160"/>
    </row>
    <row r="3083" spans="1:46" ht="15" customHeight="1">
      <c r="A3083" s="220">
        <v>3072</v>
      </c>
      <c r="B3083" s="159" t="s">
        <v>10216</v>
      </c>
      <c r="C3083" s="159" t="s">
        <v>8833</v>
      </c>
      <c r="D3083" s="501" t="s">
        <v>10310</v>
      </c>
      <c r="E3083" s="28" t="str">
        <f t="shared" ca="1" si="262"/>
        <v>ON TRACK</v>
      </c>
      <c r="F3083" s="160" t="s">
        <v>12939</v>
      </c>
      <c r="G3083" s="159" t="s">
        <v>12940</v>
      </c>
      <c r="H3083" s="160" t="s">
        <v>261</v>
      </c>
      <c r="I3083" s="160" t="s">
        <v>243</v>
      </c>
      <c r="J3083" s="159" t="s">
        <v>10219</v>
      </c>
      <c r="K3083" s="181" t="s">
        <v>10220</v>
      </c>
      <c r="L3083" s="158"/>
      <c r="M3083" s="158" t="s">
        <v>353</v>
      </c>
      <c r="N3083" s="158" t="s">
        <v>8337</v>
      </c>
      <c r="O3083" s="162"/>
      <c r="P3083" s="161">
        <f>12*28350000</f>
        <v>340200000</v>
      </c>
      <c r="Q3083" s="161"/>
      <c r="R3083" s="162"/>
      <c r="S3083" s="163">
        <f>12*23750000</f>
        <v>285000000</v>
      </c>
      <c r="T3083" s="164"/>
      <c r="U3083" s="340">
        <v>46170</v>
      </c>
      <c r="V3083" s="340">
        <v>46534</v>
      </c>
      <c r="W3083" s="172" t="s">
        <v>17</v>
      </c>
      <c r="X3083" s="158"/>
      <c r="Y3083" s="164">
        <f t="shared" ca="1" si="260"/>
        <v>46290</v>
      </c>
      <c r="Z3083" s="522">
        <f t="shared" ca="1" si="256"/>
        <v>244</v>
      </c>
      <c r="AA3083" s="523">
        <f t="shared" si="257"/>
        <v>5</v>
      </c>
      <c r="AB3083" s="523">
        <f t="shared" si="258"/>
        <v>2027</v>
      </c>
      <c r="AC3083" s="159"/>
      <c r="AD3083" s="159" t="s">
        <v>12941</v>
      </c>
      <c r="AE3083" s="158">
        <v>4500028031</v>
      </c>
      <c r="AF3083" s="201" t="s">
        <v>8995</v>
      </c>
      <c r="AG3083" s="160"/>
      <c r="AH3083" s="160"/>
      <c r="AI3083" s="158"/>
      <c r="AJ3083" s="158"/>
      <c r="AK3083" s="158"/>
      <c r="AL3083" s="158"/>
      <c r="AM3083" s="158"/>
      <c r="AN3083" s="158"/>
      <c r="AO3083" s="158"/>
      <c r="AP3083" s="158"/>
      <c r="AQ3083" s="158"/>
      <c r="AR3083" s="507">
        <v>128</v>
      </c>
      <c r="AS3083" s="475"/>
      <c r="AT3083" s="160"/>
    </row>
    <row r="3084" spans="1:46" ht="15" hidden="1" customHeight="1">
      <c r="A3084" s="220">
        <v>3073</v>
      </c>
      <c r="B3084" s="159" t="s">
        <v>165</v>
      </c>
      <c r="C3084" s="159" t="s">
        <v>7137</v>
      </c>
      <c r="D3084" s="501"/>
      <c r="E3084" s="28" t="str">
        <f t="shared" ca="1" si="262"/>
        <v>ON TRACK</v>
      </c>
      <c r="F3084" s="160"/>
      <c r="G3084" s="159" t="s">
        <v>12942</v>
      </c>
      <c r="H3084" s="160" t="s">
        <v>261</v>
      </c>
      <c r="I3084" s="160" t="s">
        <v>243</v>
      </c>
      <c r="J3084" s="159" t="s">
        <v>7139</v>
      </c>
      <c r="K3084" s="181" t="s">
        <v>7140</v>
      </c>
      <c r="L3084" s="158"/>
      <c r="M3084" s="158" t="s">
        <v>329</v>
      </c>
      <c r="N3084" s="158" t="s">
        <v>354</v>
      </c>
      <c r="O3084" s="162"/>
      <c r="P3084" s="161">
        <f>12*6000000</f>
        <v>72000000</v>
      </c>
      <c r="Q3084" s="161"/>
      <c r="R3084" s="162"/>
      <c r="S3084" s="163">
        <f>12*4500000</f>
        <v>54000000</v>
      </c>
      <c r="T3084" s="164"/>
      <c r="U3084" s="340">
        <v>46166</v>
      </c>
      <c r="V3084" s="340">
        <v>46530</v>
      </c>
      <c r="W3084" s="172" t="s">
        <v>17</v>
      </c>
      <c r="X3084" s="158"/>
      <c r="Y3084" s="164">
        <f t="shared" ca="1" si="260"/>
        <v>46290</v>
      </c>
      <c r="Z3084" s="522">
        <f t="shared" ca="1" si="256"/>
        <v>240</v>
      </c>
      <c r="AA3084" s="523">
        <f t="shared" si="257"/>
        <v>5</v>
      </c>
      <c r="AB3084" s="523">
        <f t="shared" si="258"/>
        <v>2027</v>
      </c>
      <c r="AC3084" s="159"/>
      <c r="AD3084" s="159" t="s">
        <v>12943</v>
      </c>
      <c r="AE3084" s="158">
        <v>4500028052</v>
      </c>
      <c r="AF3084" s="201" t="s">
        <v>8995</v>
      </c>
      <c r="AG3084" s="160" t="s">
        <v>9100</v>
      </c>
      <c r="AH3084" s="160" t="s">
        <v>12944</v>
      </c>
      <c r="AI3084" s="158"/>
      <c r="AJ3084" s="158"/>
      <c r="AK3084" s="158"/>
      <c r="AL3084" s="158"/>
      <c r="AM3084" s="158"/>
      <c r="AN3084" s="158"/>
      <c r="AO3084" s="158"/>
      <c r="AP3084" s="158"/>
      <c r="AQ3084" s="158"/>
      <c r="AR3084" s="507">
        <v>90</v>
      </c>
      <c r="AS3084" s="475"/>
      <c r="AT3084" s="160"/>
    </row>
    <row r="3085" spans="1:46" ht="15" hidden="1" customHeight="1">
      <c r="A3085" s="195">
        <v>3074</v>
      </c>
      <c r="B3085" s="173" t="s">
        <v>97</v>
      </c>
      <c r="C3085" s="173" t="s">
        <v>12945</v>
      </c>
      <c r="D3085" s="447" t="s">
        <v>2363</v>
      </c>
      <c r="E3085" s="113" t="str">
        <f t="shared" ref="E3085:E3098" ca="1" si="263">IF(AND(Z3085&gt;=60, Z3085&lt;=3000), "ON TRACK",IF(AND(Z3085&gt;=36, Z3085&lt;=59), "ATTENTION",IF(AND(Z3085&gt;=1, Z3085&lt;=35), "WARNING",IF(AND(Z3085&gt;=-3000, Z3085&lt;=0), "CRITICAL", ""))))</f>
        <v>ON TRACK</v>
      </c>
      <c r="F3085" s="174"/>
      <c r="G3085" s="159" t="s">
        <v>2365</v>
      </c>
      <c r="H3085" s="160" t="s">
        <v>2748</v>
      </c>
      <c r="I3085" s="160" t="s">
        <v>242</v>
      </c>
      <c r="J3085" s="216" t="s">
        <v>11287</v>
      </c>
      <c r="K3085" s="181" t="s">
        <v>11288</v>
      </c>
      <c r="L3085" s="172"/>
      <c r="M3085" s="158" t="s">
        <v>11289</v>
      </c>
      <c r="N3085" s="158" t="s">
        <v>6824</v>
      </c>
      <c r="O3085" s="176"/>
      <c r="P3085" s="161">
        <f>11950000*12</f>
        <v>143400000</v>
      </c>
      <c r="Q3085" s="175"/>
      <c r="R3085" s="176"/>
      <c r="S3085" s="293">
        <v>12000000</v>
      </c>
      <c r="T3085" s="178"/>
      <c r="U3085" s="340">
        <v>46157</v>
      </c>
      <c r="V3085" s="340">
        <v>46521</v>
      </c>
      <c r="W3085" s="27" t="s">
        <v>17</v>
      </c>
      <c r="X3085" s="172"/>
      <c r="Y3085" s="164">
        <f t="shared" ca="1" si="260"/>
        <v>46290</v>
      </c>
      <c r="Z3085" s="35">
        <f t="shared" ca="1" si="256"/>
        <v>231</v>
      </c>
      <c r="AA3085" s="158">
        <f>MONTH(Table1[[#This Row],[End]])</f>
        <v>5</v>
      </c>
      <c r="AB3085" s="158">
        <f>YEAR(Table1[[#This Row],[End]])</f>
        <v>2027</v>
      </c>
      <c r="AC3085" s="159" t="s">
        <v>12946</v>
      </c>
      <c r="AD3085" s="173" t="s">
        <v>12947</v>
      </c>
      <c r="AE3085" s="172">
        <v>4500028269</v>
      </c>
      <c r="AF3085" s="158" t="s">
        <v>333</v>
      </c>
      <c r="AG3085" s="174" t="s">
        <v>11293</v>
      </c>
      <c r="AH3085" s="174"/>
      <c r="AI3085" s="172"/>
      <c r="AJ3085" s="172"/>
      <c r="AK3085" s="172"/>
      <c r="AL3085" s="172"/>
      <c r="AM3085" s="172"/>
      <c r="AN3085" s="172"/>
      <c r="AO3085" s="172"/>
      <c r="AP3085" s="172"/>
      <c r="AQ3085" s="172"/>
      <c r="AR3085" s="479"/>
      <c r="AS3085" s="461"/>
      <c r="AT3085" s="174"/>
    </row>
    <row r="3086" spans="1:46" ht="15" hidden="1" customHeight="1">
      <c r="A3086" s="195">
        <v>3075</v>
      </c>
      <c r="B3086" s="173" t="s">
        <v>37</v>
      </c>
      <c r="C3086" s="173" t="s">
        <v>2216</v>
      </c>
      <c r="D3086" s="437" t="s">
        <v>6644</v>
      </c>
      <c r="E3086" s="113" t="str">
        <f t="shared" si="263"/>
        <v>CRITICAL</v>
      </c>
      <c r="F3086" s="174"/>
      <c r="G3086" s="173"/>
      <c r="H3086" s="174"/>
      <c r="I3086" s="174"/>
      <c r="J3086" s="173"/>
      <c r="K3086" s="174"/>
      <c r="L3086" s="172"/>
      <c r="M3086" s="172"/>
      <c r="N3086" s="174"/>
      <c r="O3086" s="176"/>
      <c r="P3086" s="175"/>
      <c r="Q3086" s="175"/>
      <c r="R3086" s="176"/>
      <c r="S3086" s="546"/>
      <c r="T3086" s="178"/>
      <c r="U3086" s="347"/>
      <c r="V3086" s="347"/>
      <c r="W3086" s="172"/>
      <c r="X3086" s="172"/>
      <c r="Y3086" s="178"/>
      <c r="Z3086" s="545"/>
      <c r="AA3086" s="172"/>
      <c r="AB3086" s="172"/>
      <c r="AC3086" s="173"/>
      <c r="AD3086" s="173"/>
      <c r="AE3086" s="172"/>
      <c r="AF3086" s="179"/>
      <c r="AG3086" s="174"/>
      <c r="AH3086" s="174"/>
      <c r="AI3086" s="172"/>
      <c r="AJ3086" s="172"/>
      <c r="AK3086" s="172"/>
      <c r="AL3086" s="172"/>
      <c r="AM3086" s="172"/>
      <c r="AN3086" s="172"/>
      <c r="AO3086" s="172"/>
      <c r="AP3086" s="172"/>
      <c r="AQ3086" s="172"/>
      <c r="AR3086" s="479"/>
      <c r="AS3086" s="461"/>
      <c r="AT3086" s="174"/>
    </row>
    <row r="3087" spans="1:46" ht="15" hidden="1" customHeight="1">
      <c r="A3087" s="195">
        <v>3076</v>
      </c>
      <c r="B3087" s="173" t="s">
        <v>71</v>
      </c>
      <c r="C3087" s="173" t="s">
        <v>11262</v>
      </c>
      <c r="D3087" s="438" t="s">
        <v>490</v>
      </c>
      <c r="E3087" s="113" t="str">
        <f t="shared" si="263"/>
        <v>CRITICAL</v>
      </c>
      <c r="F3087" s="174"/>
      <c r="G3087" s="173"/>
      <c r="H3087" s="174"/>
      <c r="I3087" s="174"/>
      <c r="J3087" s="173"/>
      <c r="K3087" s="174"/>
      <c r="L3087" s="172"/>
      <c r="M3087" s="172"/>
      <c r="N3087" s="174"/>
      <c r="O3087" s="176"/>
      <c r="P3087" s="175"/>
      <c r="Q3087" s="175"/>
      <c r="R3087" s="176"/>
      <c r="S3087" s="546"/>
      <c r="T3087" s="178"/>
      <c r="U3087" s="347"/>
      <c r="V3087" s="347"/>
      <c r="W3087" s="172"/>
      <c r="X3087" s="172"/>
      <c r="Y3087" s="178"/>
      <c r="Z3087" s="545"/>
      <c r="AA3087" s="172"/>
      <c r="AB3087" s="172"/>
      <c r="AC3087" s="173"/>
      <c r="AD3087" s="173"/>
      <c r="AE3087" s="172"/>
      <c r="AF3087" s="179"/>
      <c r="AG3087" s="174"/>
      <c r="AH3087" s="174"/>
      <c r="AI3087" s="172"/>
      <c r="AJ3087" s="172"/>
      <c r="AK3087" s="172"/>
      <c r="AL3087" s="172"/>
      <c r="AM3087" s="172"/>
      <c r="AN3087" s="172"/>
      <c r="AO3087" s="172"/>
      <c r="AP3087" s="172"/>
      <c r="AQ3087" s="172"/>
      <c r="AR3087" s="479"/>
      <c r="AS3087" s="461"/>
      <c r="AT3087" s="174"/>
    </row>
    <row r="3088" spans="1:46" ht="15" hidden="1" customHeight="1">
      <c r="A3088" s="195">
        <v>3077</v>
      </c>
      <c r="B3088" s="173" t="s">
        <v>71</v>
      </c>
      <c r="C3088" s="173" t="s">
        <v>2451</v>
      </c>
      <c r="D3088" s="438" t="s">
        <v>490</v>
      </c>
      <c r="E3088" s="113" t="str">
        <f t="shared" si="263"/>
        <v>CRITICAL</v>
      </c>
      <c r="F3088" s="174"/>
      <c r="G3088" s="173"/>
      <c r="H3088" s="174"/>
      <c r="I3088" s="174"/>
      <c r="J3088" s="173"/>
      <c r="K3088" s="174"/>
      <c r="L3088" s="172"/>
      <c r="M3088" s="172"/>
      <c r="N3088" s="174"/>
      <c r="O3088" s="176"/>
      <c r="P3088" s="175"/>
      <c r="Q3088" s="175"/>
      <c r="R3088" s="176"/>
      <c r="S3088" s="546"/>
      <c r="T3088" s="178"/>
      <c r="U3088" s="347"/>
      <c r="V3088" s="347"/>
      <c r="W3088" s="172"/>
      <c r="X3088" s="172"/>
      <c r="Y3088" s="178"/>
      <c r="Z3088" s="545"/>
      <c r="AA3088" s="172"/>
      <c r="AB3088" s="172"/>
      <c r="AC3088" s="173"/>
      <c r="AD3088" s="173"/>
      <c r="AE3088" s="172"/>
      <c r="AF3088" s="179"/>
      <c r="AG3088" s="174"/>
      <c r="AH3088" s="174"/>
      <c r="AI3088" s="172"/>
      <c r="AJ3088" s="172"/>
      <c r="AK3088" s="172"/>
      <c r="AL3088" s="172"/>
      <c r="AM3088" s="172"/>
      <c r="AN3088" s="172"/>
      <c r="AO3088" s="172"/>
      <c r="AP3088" s="172"/>
      <c r="AQ3088" s="172"/>
      <c r="AR3088" s="479"/>
      <c r="AS3088" s="461"/>
      <c r="AT3088" s="174"/>
    </row>
    <row r="3089" spans="1:46" ht="15" hidden="1" customHeight="1">
      <c r="A3089" s="195">
        <v>3078</v>
      </c>
      <c r="B3089" s="173" t="s">
        <v>71</v>
      </c>
      <c r="C3089" s="173" t="s">
        <v>2451</v>
      </c>
      <c r="D3089" s="438" t="s">
        <v>490</v>
      </c>
      <c r="E3089" s="113" t="str">
        <f t="shared" si="263"/>
        <v>CRITICAL</v>
      </c>
      <c r="F3089" s="174"/>
      <c r="G3089" s="173"/>
      <c r="H3089" s="174"/>
      <c r="I3089" s="174"/>
      <c r="J3089" s="173"/>
      <c r="K3089" s="174"/>
      <c r="L3089" s="172"/>
      <c r="M3089" s="172"/>
      <c r="N3089" s="174"/>
      <c r="O3089" s="176"/>
      <c r="P3089" s="175"/>
      <c r="Q3089" s="175"/>
      <c r="R3089" s="176"/>
      <c r="S3089" s="546"/>
      <c r="T3089" s="178"/>
      <c r="U3089" s="347"/>
      <c r="V3089" s="347"/>
      <c r="W3089" s="172"/>
      <c r="X3089" s="172"/>
      <c r="Y3089" s="178"/>
      <c r="Z3089" s="547"/>
      <c r="AA3089" s="548"/>
      <c r="AB3089" s="548"/>
      <c r="AC3089" s="173"/>
      <c r="AD3089" s="173"/>
      <c r="AE3089" s="172"/>
      <c r="AF3089" s="179"/>
      <c r="AG3089" s="174"/>
      <c r="AH3089" s="174"/>
      <c r="AI3089" s="172"/>
      <c r="AJ3089" s="172"/>
      <c r="AK3089" s="172"/>
      <c r="AL3089" s="172"/>
      <c r="AM3089" s="172"/>
      <c r="AN3089" s="172"/>
      <c r="AO3089" s="172"/>
      <c r="AP3089" s="172"/>
      <c r="AQ3089" s="172"/>
      <c r="AR3089" s="479"/>
      <c r="AS3089" s="461"/>
      <c r="AT3089" s="174"/>
    </row>
    <row r="3090" spans="1:46" ht="15" hidden="1" customHeight="1">
      <c r="A3090" s="195">
        <v>3079</v>
      </c>
      <c r="B3090" s="173" t="s">
        <v>71</v>
      </c>
      <c r="C3090" s="173" t="s">
        <v>2451</v>
      </c>
      <c r="D3090" s="438" t="s">
        <v>490</v>
      </c>
      <c r="E3090" s="113" t="str">
        <f t="shared" si="263"/>
        <v>CRITICAL</v>
      </c>
      <c r="F3090" s="174"/>
      <c r="G3090" s="173"/>
      <c r="H3090" s="174"/>
      <c r="I3090" s="174"/>
      <c r="J3090" s="173"/>
      <c r="K3090" s="174"/>
      <c r="L3090" s="172"/>
      <c r="M3090" s="172"/>
      <c r="N3090" s="174"/>
      <c r="O3090" s="176"/>
      <c r="P3090" s="175"/>
      <c r="Q3090" s="175"/>
      <c r="R3090" s="176"/>
      <c r="S3090" s="177"/>
      <c r="T3090" s="178"/>
      <c r="U3090" s="347"/>
      <c r="V3090" s="347"/>
      <c r="W3090" s="172"/>
      <c r="X3090" s="172"/>
      <c r="Y3090" s="178"/>
      <c r="Z3090" s="545"/>
      <c r="AA3090" s="172"/>
      <c r="AB3090" s="172"/>
      <c r="AC3090" s="173"/>
      <c r="AD3090" s="173"/>
      <c r="AE3090" s="172"/>
      <c r="AF3090" s="179"/>
      <c r="AG3090" s="174"/>
      <c r="AH3090" s="174"/>
      <c r="AI3090" s="172"/>
      <c r="AJ3090" s="172"/>
      <c r="AK3090" s="172"/>
      <c r="AL3090" s="172"/>
      <c r="AM3090" s="172"/>
      <c r="AN3090" s="172"/>
      <c r="AO3090" s="172"/>
      <c r="AP3090" s="172"/>
      <c r="AQ3090" s="172"/>
      <c r="AR3090" s="479"/>
      <c r="AS3090" s="461"/>
      <c r="AT3090" s="174"/>
    </row>
    <row r="3091" spans="1:46" ht="15" hidden="1" customHeight="1">
      <c r="A3091" s="195">
        <v>3080</v>
      </c>
      <c r="B3091" s="159" t="s">
        <v>129</v>
      </c>
      <c r="C3091" s="159" t="s">
        <v>11082</v>
      </c>
      <c r="D3091" s="438" t="s">
        <v>2447</v>
      </c>
      <c r="E3091" s="113" t="str">
        <f t="shared" ca="1" si="263"/>
        <v>ON TRACK</v>
      </c>
      <c r="F3091" s="160" t="s">
        <v>11084</v>
      </c>
      <c r="G3091" s="159" t="s">
        <v>11085</v>
      </c>
      <c r="H3091" s="160" t="s">
        <v>2748</v>
      </c>
      <c r="I3091" s="160" t="s">
        <v>346</v>
      </c>
      <c r="J3091" s="173"/>
      <c r="K3091" s="181" t="s">
        <v>11086</v>
      </c>
      <c r="L3091" s="172"/>
      <c r="M3091" s="158" t="s">
        <v>329</v>
      </c>
      <c r="N3091" s="174"/>
      <c r="O3091" s="176"/>
      <c r="P3091" s="161">
        <f>3183000*12</f>
        <v>38196000</v>
      </c>
      <c r="Q3091" s="175"/>
      <c r="R3091" s="176"/>
      <c r="S3091" s="293">
        <v>30975000</v>
      </c>
      <c r="T3091" s="178"/>
      <c r="U3091" s="340">
        <v>46311</v>
      </c>
      <c r="V3091" s="340">
        <v>46675</v>
      </c>
      <c r="W3091" s="27" t="s">
        <v>17</v>
      </c>
      <c r="X3091" s="172"/>
      <c r="Y3091" s="164">
        <f ca="1">TODAY()</f>
        <v>46290</v>
      </c>
      <c r="Z3091" s="35">
        <f ca="1">V3091-Y3091</f>
        <v>385</v>
      </c>
      <c r="AA3091" s="158">
        <f>MONTH(Table1[[#This Row],[End]])</f>
        <v>10</v>
      </c>
      <c r="AB3091" s="158">
        <f>YEAR(Table1[[#This Row],[End]])</f>
        <v>2027</v>
      </c>
      <c r="AC3091" s="159" t="s">
        <v>12948</v>
      </c>
      <c r="AD3091" s="173" t="s">
        <v>12949</v>
      </c>
      <c r="AE3091" s="172">
        <v>4500028547</v>
      </c>
      <c r="AF3091" s="158" t="s">
        <v>333</v>
      </c>
      <c r="AG3091" s="174"/>
      <c r="AH3091" s="174"/>
      <c r="AI3091" s="172"/>
      <c r="AJ3091" s="172"/>
      <c r="AK3091" s="172"/>
      <c r="AL3091" s="172"/>
      <c r="AM3091" s="172"/>
      <c r="AN3091" s="172"/>
      <c r="AO3091" s="172"/>
      <c r="AP3091" s="172"/>
      <c r="AQ3091" s="172"/>
      <c r="AR3091" s="479"/>
      <c r="AS3091" s="461"/>
      <c r="AT3091" s="174"/>
    </row>
    <row r="3092" spans="1:46" ht="15" hidden="1" customHeight="1">
      <c r="A3092" s="195">
        <v>3081</v>
      </c>
      <c r="B3092" s="159" t="s">
        <v>129</v>
      </c>
      <c r="C3092" s="173" t="s">
        <v>9603</v>
      </c>
      <c r="D3092" s="438" t="s">
        <v>2447</v>
      </c>
      <c r="E3092" s="113" t="str">
        <f t="shared" ca="1" si="263"/>
        <v>ON TRACK</v>
      </c>
      <c r="F3092" s="160" t="s">
        <v>11800</v>
      </c>
      <c r="G3092" s="159" t="s">
        <v>9605</v>
      </c>
      <c r="H3092" s="160" t="s">
        <v>2748</v>
      </c>
      <c r="I3092" s="160" t="s">
        <v>346</v>
      </c>
      <c r="J3092" s="173"/>
      <c r="K3092" s="181" t="s">
        <v>9606</v>
      </c>
      <c r="L3092" s="172"/>
      <c r="M3092" s="158" t="s">
        <v>365</v>
      </c>
      <c r="N3092" s="158" t="s">
        <v>406</v>
      </c>
      <c r="O3092" s="176"/>
      <c r="P3092" s="161">
        <f>6500000*12</f>
        <v>78000000</v>
      </c>
      <c r="Q3092" s="175"/>
      <c r="R3092" s="176"/>
      <c r="S3092" s="293">
        <v>32235000</v>
      </c>
      <c r="T3092" s="178"/>
      <c r="U3092" s="340">
        <v>46259</v>
      </c>
      <c r="V3092" s="340">
        <v>46623</v>
      </c>
      <c r="W3092" s="158" t="s">
        <v>17</v>
      </c>
      <c r="X3092" s="172"/>
      <c r="Y3092" s="34">
        <f ca="1">TODAY()</f>
        <v>46290</v>
      </c>
      <c r="Z3092" s="35">
        <f ca="1">V3092-Y3092</f>
        <v>333</v>
      </c>
      <c r="AA3092" s="158">
        <f>MONTH(V3092)</f>
        <v>8</v>
      </c>
      <c r="AB3092" s="158">
        <f>YEAR(V3092)</f>
        <v>2027</v>
      </c>
      <c r="AC3092" s="159" t="s">
        <v>12950</v>
      </c>
      <c r="AD3092" s="173" t="s">
        <v>12951</v>
      </c>
      <c r="AE3092" s="172">
        <v>4500028548</v>
      </c>
      <c r="AF3092" s="201" t="s">
        <v>333</v>
      </c>
      <c r="AG3092" s="174"/>
      <c r="AH3092" s="174"/>
      <c r="AI3092" s="172"/>
      <c r="AJ3092" s="172"/>
      <c r="AK3092" s="172"/>
      <c r="AL3092" s="172"/>
      <c r="AM3092" s="172"/>
      <c r="AN3092" s="172"/>
      <c r="AO3092" s="172"/>
      <c r="AP3092" s="172"/>
      <c r="AQ3092" s="172"/>
      <c r="AR3092" s="479"/>
      <c r="AS3092" s="461"/>
      <c r="AT3092" s="174"/>
    </row>
    <row r="3093" spans="1:46" ht="15" hidden="1" customHeight="1">
      <c r="A3093" s="195">
        <v>3082</v>
      </c>
      <c r="B3093" s="159" t="s">
        <v>129</v>
      </c>
      <c r="C3093" s="159" t="s">
        <v>11082</v>
      </c>
      <c r="D3093" s="438" t="s">
        <v>2447</v>
      </c>
      <c r="E3093" s="113" t="str">
        <f t="shared" ca="1" si="263"/>
        <v>ON TRACK</v>
      </c>
      <c r="F3093" s="160" t="s">
        <v>11084</v>
      </c>
      <c r="G3093" s="159" t="s">
        <v>11091</v>
      </c>
      <c r="H3093" s="160" t="s">
        <v>2748</v>
      </c>
      <c r="I3093" s="160" t="s">
        <v>346</v>
      </c>
      <c r="J3093" s="205" t="s">
        <v>131</v>
      </c>
      <c r="K3093" s="219">
        <v>111205024440</v>
      </c>
      <c r="L3093" s="172"/>
      <c r="M3093" s="158" t="s">
        <v>329</v>
      </c>
      <c r="N3093" s="174"/>
      <c r="O3093" s="176"/>
      <c r="P3093" s="161">
        <f>2950200*12</f>
        <v>35402400</v>
      </c>
      <c r="Q3093" s="175"/>
      <c r="R3093" s="176"/>
      <c r="S3093" s="293">
        <v>38850000</v>
      </c>
      <c r="T3093" s="178"/>
      <c r="U3093" s="340">
        <v>46087</v>
      </c>
      <c r="V3093" s="340">
        <v>46451</v>
      </c>
      <c r="W3093" s="27" t="s">
        <v>17</v>
      </c>
      <c r="X3093" s="172"/>
      <c r="Y3093" s="164">
        <f ca="1">TODAY()</f>
        <v>46290</v>
      </c>
      <c r="Z3093" s="35">
        <f ca="1">V3093-Y3093</f>
        <v>161</v>
      </c>
      <c r="AA3093" s="158">
        <f>MONTH(Table1[[#This Row],[End]])</f>
        <v>3</v>
      </c>
      <c r="AB3093" s="158">
        <f>YEAR(Table1[[#This Row],[End]])</f>
        <v>2027</v>
      </c>
      <c r="AC3093" s="182" t="s">
        <v>12952</v>
      </c>
      <c r="AD3093" s="173" t="s">
        <v>12953</v>
      </c>
      <c r="AE3093" s="172">
        <v>4500028544</v>
      </c>
      <c r="AF3093" s="158" t="s">
        <v>333</v>
      </c>
      <c r="AG3093" s="174"/>
      <c r="AH3093" s="174"/>
      <c r="AI3093" s="172"/>
      <c r="AJ3093" s="172"/>
      <c r="AK3093" s="172"/>
      <c r="AL3093" s="172"/>
      <c r="AM3093" s="172"/>
      <c r="AN3093" s="172"/>
      <c r="AO3093" s="172"/>
      <c r="AP3093" s="172"/>
      <c r="AQ3093" s="172"/>
      <c r="AR3093" s="479"/>
      <c r="AS3093" s="461"/>
      <c r="AT3093" s="174"/>
    </row>
    <row r="3094" spans="1:46" ht="15" hidden="1" customHeight="1">
      <c r="A3094" s="195">
        <v>3083</v>
      </c>
      <c r="B3094" s="159" t="s">
        <v>129</v>
      </c>
      <c r="C3094" s="159" t="s">
        <v>12033</v>
      </c>
      <c r="D3094" s="438" t="s">
        <v>2447</v>
      </c>
      <c r="E3094" s="113" t="str">
        <f t="shared" ca="1" si="263"/>
        <v>ON TRACK</v>
      </c>
      <c r="F3094" s="174"/>
      <c r="G3094" s="159" t="s">
        <v>364</v>
      </c>
      <c r="H3094" s="160" t="s">
        <v>2748</v>
      </c>
      <c r="I3094" s="160" t="s">
        <v>346</v>
      </c>
      <c r="J3094" s="159" t="s">
        <v>5023</v>
      </c>
      <c r="K3094" s="181" t="s">
        <v>12034</v>
      </c>
      <c r="L3094" s="172"/>
      <c r="M3094" s="158" t="s">
        <v>9612</v>
      </c>
      <c r="N3094" s="158" t="s">
        <v>417</v>
      </c>
      <c r="O3094" s="176"/>
      <c r="P3094" s="161">
        <f>1691700*12</f>
        <v>20300400</v>
      </c>
      <c r="Q3094" s="175"/>
      <c r="R3094" s="176"/>
      <c r="S3094" s="293">
        <v>16485000</v>
      </c>
      <c r="T3094" s="178"/>
      <c r="U3094" s="340">
        <v>46118</v>
      </c>
      <c r="V3094" s="340">
        <v>46482</v>
      </c>
      <c r="W3094" s="158" t="s">
        <v>17</v>
      </c>
      <c r="X3094" s="172"/>
      <c r="Y3094" s="34">
        <f ca="1">TODAY()</f>
        <v>46290</v>
      </c>
      <c r="Z3094" s="35">
        <f ca="1">V3094-Y3094</f>
        <v>192</v>
      </c>
      <c r="AA3094" s="158">
        <f>MONTH(V3094)</f>
        <v>4</v>
      </c>
      <c r="AB3094" s="158">
        <f>YEAR(V3094)</f>
        <v>2027</v>
      </c>
      <c r="AC3094" s="159" t="s">
        <v>12954</v>
      </c>
      <c r="AD3094" s="173" t="s">
        <v>12955</v>
      </c>
      <c r="AE3094" s="172">
        <v>4500028545</v>
      </c>
      <c r="AF3094" s="201" t="s">
        <v>333</v>
      </c>
      <c r="AG3094" s="174"/>
      <c r="AH3094" s="174"/>
      <c r="AI3094" s="172"/>
      <c r="AJ3094" s="172"/>
      <c r="AK3094" s="172"/>
      <c r="AL3094" s="172"/>
      <c r="AM3094" s="172"/>
      <c r="AN3094" s="172"/>
      <c r="AO3094" s="172"/>
      <c r="AP3094" s="172"/>
      <c r="AQ3094" s="172"/>
      <c r="AR3094" s="479"/>
      <c r="AS3094" s="461"/>
      <c r="AT3094" s="174"/>
    </row>
    <row r="3095" spans="1:46" ht="15" hidden="1" customHeight="1">
      <c r="A3095" s="195">
        <v>3084</v>
      </c>
      <c r="B3095" s="159" t="s">
        <v>129</v>
      </c>
      <c r="C3095" s="159" t="s">
        <v>12029</v>
      </c>
      <c r="D3095" s="438" t="s">
        <v>2447</v>
      </c>
      <c r="E3095" s="113" t="str">
        <f t="shared" ca="1" si="263"/>
        <v>ON TRACK</v>
      </c>
      <c r="F3095" s="174"/>
      <c r="G3095" s="159" t="s">
        <v>364</v>
      </c>
      <c r="H3095" s="160" t="s">
        <v>2748</v>
      </c>
      <c r="I3095" s="160" t="s">
        <v>346</v>
      </c>
      <c r="J3095" s="159" t="s">
        <v>5030</v>
      </c>
      <c r="K3095" s="181" t="s">
        <v>12030</v>
      </c>
      <c r="L3095" s="172"/>
      <c r="M3095" s="158" t="s">
        <v>9612</v>
      </c>
      <c r="N3095" s="158" t="s">
        <v>417</v>
      </c>
      <c r="O3095" s="176"/>
      <c r="P3095" s="161">
        <f>1691700*12</f>
        <v>20300400</v>
      </c>
      <c r="Q3095" s="175"/>
      <c r="R3095" s="176"/>
      <c r="S3095" s="293">
        <v>630000</v>
      </c>
      <c r="T3095" s="178"/>
      <c r="U3095" s="340">
        <v>46178</v>
      </c>
      <c r="V3095" s="340">
        <v>46542</v>
      </c>
      <c r="W3095" s="158" t="s">
        <v>17</v>
      </c>
      <c r="X3095" s="172"/>
      <c r="Y3095" s="34">
        <f ca="1">TODAY()</f>
        <v>46290</v>
      </c>
      <c r="Z3095" s="35">
        <f ca="1">V3095-Y3095</f>
        <v>252</v>
      </c>
      <c r="AA3095" s="158">
        <f>MONTH(V3095)</f>
        <v>6</v>
      </c>
      <c r="AB3095" s="158">
        <f>YEAR(V3095)</f>
        <v>2027</v>
      </c>
      <c r="AC3095" s="159" t="s">
        <v>12956</v>
      </c>
      <c r="AD3095" s="173" t="s">
        <v>12957</v>
      </c>
      <c r="AE3095" s="172">
        <v>4500028546</v>
      </c>
      <c r="AF3095" s="201" t="s">
        <v>333</v>
      </c>
      <c r="AG3095" s="174"/>
      <c r="AH3095" s="174"/>
      <c r="AI3095" s="172"/>
      <c r="AJ3095" s="172"/>
      <c r="AK3095" s="172"/>
      <c r="AL3095" s="172"/>
      <c r="AM3095" s="172"/>
      <c r="AN3095" s="172"/>
      <c r="AO3095" s="172"/>
      <c r="AP3095" s="172"/>
      <c r="AQ3095" s="172"/>
      <c r="AR3095" s="479"/>
      <c r="AS3095" s="461"/>
      <c r="AT3095" s="174"/>
    </row>
    <row r="3096" spans="1:46" ht="15" hidden="1" customHeight="1">
      <c r="A3096" s="195">
        <v>3085</v>
      </c>
      <c r="B3096" s="173" t="s">
        <v>204</v>
      </c>
      <c r="C3096" s="173" t="s">
        <v>585</v>
      </c>
      <c r="D3096" s="434"/>
      <c r="E3096" s="113" t="str">
        <f t="shared" si="263"/>
        <v>CRITICAL</v>
      </c>
      <c r="F3096" s="174"/>
      <c r="G3096" s="173"/>
      <c r="H3096" s="174"/>
      <c r="I3096" s="174"/>
      <c r="J3096" s="173"/>
      <c r="K3096" s="174"/>
      <c r="L3096" s="172"/>
      <c r="M3096" s="172"/>
      <c r="N3096" s="174"/>
      <c r="O3096" s="176"/>
      <c r="P3096" s="175"/>
      <c r="Q3096" s="175"/>
      <c r="R3096" s="176"/>
      <c r="S3096" s="177"/>
      <c r="T3096" s="178"/>
      <c r="U3096" s="347"/>
      <c r="V3096" s="347"/>
      <c r="W3096" s="172"/>
      <c r="X3096" s="172"/>
      <c r="Y3096" s="178"/>
      <c r="Z3096" s="545"/>
      <c r="AA3096" s="172"/>
      <c r="AB3096" s="172"/>
      <c r="AC3096" s="173"/>
      <c r="AD3096" s="173"/>
      <c r="AE3096" s="172"/>
      <c r="AF3096" s="179"/>
      <c r="AG3096" s="174"/>
      <c r="AH3096" s="174"/>
      <c r="AI3096" s="172"/>
      <c r="AJ3096" s="172"/>
      <c r="AK3096" s="172"/>
      <c r="AL3096" s="172"/>
      <c r="AM3096" s="172"/>
      <c r="AN3096" s="172"/>
      <c r="AO3096" s="172"/>
      <c r="AP3096" s="172"/>
      <c r="AQ3096" s="172"/>
      <c r="AR3096" s="479"/>
      <c r="AS3096" s="461"/>
      <c r="AT3096" s="174"/>
    </row>
    <row r="3097" spans="1:46" ht="15" hidden="1" customHeight="1">
      <c r="A3097" s="195">
        <v>3086</v>
      </c>
      <c r="B3097" s="173" t="s">
        <v>450</v>
      </c>
      <c r="C3097" s="173" t="s">
        <v>1308</v>
      </c>
      <c r="D3097" s="434"/>
      <c r="E3097" s="113" t="str">
        <f t="shared" si="263"/>
        <v>CRITICAL</v>
      </c>
      <c r="F3097" s="174"/>
      <c r="G3097" s="173"/>
      <c r="H3097" s="174"/>
      <c r="I3097" s="174"/>
      <c r="J3097" s="173"/>
      <c r="K3097" s="174"/>
      <c r="L3097" s="172"/>
      <c r="M3097" s="172"/>
      <c r="N3097" s="174"/>
      <c r="O3097" s="176"/>
      <c r="P3097" s="175"/>
      <c r="Q3097" s="175"/>
      <c r="R3097" s="176"/>
      <c r="S3097" s="177"/>
      <c r="T3097" s="178"/>
      <c r="U3097" s="347"/>
      <c r="V3097" s="347"/>
      <c r="W3097" s="172"/>
      <c r="X3097" s="172"/>
      <c r="Y3097" s="178"/>
      <c r="Z3097" s="545"/>
      <c r="AA3097" s="172"/>
      <c r="AB3097" s="172"/>
      <c r="AC3097" s="173"/>
      <c r="AD3097" s="173"/>
      <c r="AE3097" s="172"/>
      <c r="AF3097" s="179"/>
      <c r="AG3097" s="174"/>
      <c r="AH3097" s="174"/>
      <c r="AI3097" s="172"/>
      <c r="AJ3097" s="172"/>
      <c r="AK3097" s="172"/>
      <c r="AL3097" s="172"/>
      <c r="AM3097" s="172"/>
      <c r="AN3097" s="172"/>
      <c r="AO3097" s="172"/>
      <c r="AP3097" s="172"/>
      <c r="AQ3097" s="172"/>
      <c r="AR3097" s="479"/>
      <c r="AS3097" s="461"/>
      <c r="AT3097" s="174"/>
    </row>
    <row r="3098" spans="1:46" ht="15" hidden="1" customHeight="1">
      <c r="A3098" s="195">
        <v>3087</v>
      </c>
      <c r="B3098" s="173" t="s">
        <v>37</v>
      </c>
      <c r="C3098" s="173" t="s">
        <v>11332</v>
      </c>
      <c r="D3098" s="437" t="s">
        <v>6644</v>
      </c>
      <c r="E3098" s="113" t="str">
        <f t="shared" ca="1" si="263"/>
        <v>ON TRACK</v>
      </c>
      <c r="F3098" s="174"/>
      <c r="G3098" s="159" t="s">
        <v>11333</v>
      </c>
      <c r="H3098" s="160" t="s">
        <v>2748</v>
      </c>
      <c r="I3098" s="160" t="s">
        <v>242</v>
      </c>
      <c r="J3098" s="205" t="s">
        <v>11334</v>
      </c>
      <c r="K3098" s="205" t="s">
        <v>11335</v>
      </c>
      <c r="L3098" s="172"/>
      <c r="M3098" s="158" t="s">
        <v>353</v>
      </c>
      <c r="N3098" s="158" t="s">
        <v>6727</v>
      </c>
      <c r="O3098" s="162"/>
      <c r="P3098" s="161">
        <f>8000000*12</f>
        <v>96000000</v>
      </c>
      <c r="Q3098" s="175"/>
      <c r="R3098" s="176"/>
      <c r="S3098" s="293">
        <v>12360000</v>
      </c>
      <c r="T3098" s="178"/>
      <c r="U3098" s="340">
        <v>46249</v>
      </c>
      <c r="V3098" s="340">
        <v>46613</v>
      </c>
      <c r="W3098" s="27" t="s">
        <v>17</v>
      </c>
      <c r="X3098" s="172"/>
      <c r="Y3098" s="164">
        <f ca="1">TODAY()</f>
        <v>46290</v>
      </c>
      <c r="Z3098" s="35">
        <f t="shared" ref="Z3098:Z3106" ca="1" si="264">V3098-Y3098</f>
        <v>323</v>
      </c>
      <c r="AA3098" s="158">
        <f>MONTH(Table1[[#This Row],[End]])</f>
        <v>8</v>
      </c>
      <c r="AB3098" s="172"/>
      <c r="AC3098" s="159" t="s">
        <v>12958</v>
      </c>
      <c r="AD3098" s="173" t="s">
        <v>12959</v>
      </c>
      <c r="AE3098" s="172">
        <v>4500028542</v>
      </c>
      <c r="AF3098" s="158" t="s">
        <v>333</v>
      </c>
      <c r="AG3098" s="174"/>
      <c r="AH3098" s="174"/>
      <c r="AI3098" s="172"/>
      <c r="AJ3098" s="172"/>
      <c r="AK3098" s="172"/>
      <c r="AL3098" s="172"/>
      <c r="AM3098" s="172"/>
      <c r="AN3098" s="172"/>
      <c r="AO3098" s="172"/>
      <c r="AP3098" s="172"/>
      <c r="AQ3098" s="172"/>
      <c r="AR3098" s="479"/>
      <c r="AS3098" s="461"/>
      <c r="AT3098" s="174"/>
    </row>
    <row r="3099" spans="1:46" ht="15" hidden="1" customHeight="1">
      <c r="A3099" s="220">
        <v>3088</v>
      </c>
      <c r="B3099" s="159" t="s">
        <v>2439</v>
      </c>
      <c r="C3099" s="159" t="s">
        <v>7290</v>
      </c>
      <c r="D3099" s="434"/>
      <c r="E3099" s="28" t="str">
        <f t="shared" ref="E3099:E3100" ca="1" si="265">IF(AND(Z3099&gt;=60, Z3099&lt;=3000), "ON TRACK",IF(AND(Z3099&gt;=36, Z3099&lt;=59), "ATTENTION",IF(AND(Z3099&gt;=1, Z3099&lt;=35), "WARNING",IF(AND(Z3099&gt;=-3000, Z3099&lt;=0), "CRITICAL", ""))))</f>
        <v>ON TRACK</v>
      </c>
      <c r="F3099" s="160" t="s">
        <v>12960</v>
      </c>
      <c r="G3099" s="159" t="s">
        <v>12961</v>
      </c>
      <c r="H3099" s="160" t="s">
        <v>261</v>
      </c>
      <c r="I3099" s="160" t="s">
        <v>243</v>
      </c>
      <c r="J3099" s="205" t="s">
        <v>7293</v>
      </c>
      <c r="K3099" s="181" t="s">
        <v>7294</v>
      </c>
      <c r="L3099" s="158"/>
      <c r="M3099" s="158" t="s">
        <v>365</v>
      </c>
      <c r="N3099" s="158" t="s">
        <v>468</v>
      </c>
      <c r="O3099" s="162"/>
      <c r="P3099" s="161">
        <f>12*12000000</f>
        <v>144000000</v>
      </c>
      <c r="Q3099" s="161"/>
      <c r="R3099" s="162"/>
      <c r="S3099" s="293">
        <f>12*8250000</f>
        <v>99000000</v>
      </c>
      <c r="T3099" s="164"/>
      <c r="U3099" s="340">
        <v>46183</v>
      </c>
      <c r="V3099" s="340">
        <v>46547</v>
      </c>
      <c r="W3099" s="27" t="s">
        <v>17</v>
      </c>
      <c r="X3099" s="158"/>
      <c r="Y3099" s="164">
        <f ca="1">TODAY()</f>
        <v>46290</v>
      </c>
      <c r="Z3099" s="35">
        <f t="shared" ca="1" si="264"/>
        <v>257</v>
      </c>
      <c r="AA3099" s="158">
        <f>MONTH(Table1[[#This Row],[End]])</f>
        <v>6</v>
      </c>
      <c r="AB3099" s="158">
        <f t="shared" ref="AB3099:AB3106" si="266">YEAR(V3099)</f>
        <v>2027</v>
      </c>
      <c r="AC3099" s="159"/>
      <c r="AD3099" s="159" t="s">
        <v>12962</v>
      </c>
      <c r="AE3099" s="158">
        <v>4500028131</v>
      </c>
      <c r="AF3099" s="158" t="s">
        <v>8995</v>
      </c>
      <c r="AG3099" s="160"/>
      <c r="AH3099" s="160"/>
      <c r="AI3099" s="158"/>
      <c r="AJ3099" s="158"/>
      <c r="AK3099" s="158"/>
      <c r="AL3099" s="158"/>
      <c r="AM3099" s="158"/>
      <c r="AN3099" s="158"/>
      <c r="AO3099" s="158"/>
      <c r="AP3099" s="158"/>
      <c r="AQ3099" s="158"/>
      <c r="AR3099" s="507">
        <v>89</v>
      </c>
      <c r="AS3099" s="475"/>
      <c r="AT3099" s="160"/>
    </row>
    <row r="3100" spans="1:46" ht="15" hidden="1" customHeight="1">
      <c r="A3100" s="220">
        <v>3089</v>
      </c>
      <c r="B3100" s="159" t="s">
        <v>37</v>
      </c>
      <c r="C3100" s="159" t="s">
        <v>10731</v>
      </c>
      <c r="D3100" s="501"/>
      <c r="E3100" s="28" t="str">
        <f t="shared" ca="1" si="265"/>
        <v>ON TRACK</v>
      </c>
      <c r="F3100" s="160"/>
      <c r="G3100" s="159" t="s">
        <v>12963</v>
      </c>
      <c r="H3100" s="160" t="s">
        <v>261</v>
      </c>
      <c r="I3100" s="160" t="s">
        <v>243</v>
      </c>
      <c r="J3100" s="205" t="s">
        <v>10733</v>
      </c>
      <c r="K3100" s="181" t="s">
        <v>12165</v>
      </c>
      <c r="L3100" s="158"/>
      <c r="M3100" s="158" t="s">
        <v>353</v>
      </c>
      <c r="N3100" s="158" t="s">
        <v>12166</v>
      </c>
      <c r="O3100" s="162"/>
      <c r="P3100" s="161">
        <f>12*30000000</f>
        <v>360000000</v>
      </c>
      <c r="Q3100" s="161"/>
      <c r="R3100" s="162"/>
      <c r="S3100" s="293">
        <f>12*15000000</f>
        <v>180000000</v>
      </c>
      <c r="T3100" s="164"/>
      <c r="U3100" s="340">
        <v>46175</v>
      </c>
      <c r="V3100" s="340">
        <v>46539</v>
      </c>
      <c r="W3100" s="27" t="s">
        <v>17</v>
      </c>
      <c r="X3100" s="158"/>
      <c r="Y3100" s="164">
        <f ca="1">TODAY()</f>
        <v>46290</v>
      </c>
      <c r="Z3100" s="35">
        <f t="shared" ca="1" si="264"/>
        <v>249</v>
      </c>
      <c r="AA3100" s="158">
        <f>MONTH(Table1[[#This Row],[End]])</f>
        <v>6</v>
      </c>
      <c r="AB3100" s="158">
        <f t="shared" si="266"/>
        <v>2027</v>
      </c>
      <c r="AC3100" s="159"/>
      <c r="AD3100" s="159" t="s">
        <v>12964</v>
      </c>
      <c r="AE3100" s="158">
        <v>4500028322</v>
      </c>
      <c r="AF3100" s="158" t="s">
        <v>8995</v>
      </c>
      <c r="AG3100" s="160"/>
      <c r="AH3100" s="160"/>
      <c r="AI3100" s="158"/>
      <c r="AJ3100" s="158"/>
      <c r="AK3100" s="158"/>
      <c r="AL3100" s="158"/>
      <c r="AM3100" s="158"/>
      <c r="AN3100" s="158"/>
      <c r="AO3100" s="158"/>
      <c r="AP3100" s="158"/>
      <c r="AQ3100" s="158"/>
      <c r="AR3100" s="507">
        <v>233</v>
      </c>
      <c r="AS3100" s="475"/>
      <c r="AT3100" s="160"/>
    </row>
    <row r="3101" spans="1:46" ht="15" hidden="1" customHeight="1">
      <c r="A3101" s="195">
        <v>3090</v>
      </c>
      <c r="B3101" s="173" t="s">
        <v>12965</v>
      </c>
      <c r="C3101" s="173" t="s">
        <v>12966</v>
      </c>
      <c r="D3101" s="434" t="s">
        <v>12967</v>
      </c>
      <c r="E3101" s="113" t="str">
        <f>IF(AND(Z3101&gt;=60, Z3101&lt;=3000), "ON TRACK",IF(AND(Z3101&gt;=36, Z3101&lt;=59), "ATTENTION",IF(AND(Z3101&gt;=1, Z3101&lt;=35), "WARNING",IF(AND(Z3101&gt;=-3000, Z3101&lt;=0), "CRITICAL", ""))))</f>
        <v>ON TRACK</v>
      </c>
      <c r="F3101" s="174"/>
      <c r="G3101" s="173" t="s">
        <v>12968</v>
      </c>
      <c r="H3101" s="174" t="s">
        <v>2748</v>
      </c>
      <c r="I3101" s="174" t="s">
        <v>12969</v>
      </c>
      <c r="J3101" s="173" t="s">
        <v>12970</v>
      </c>
      <c r="K3101" s="180" t="s">
        <v>12971</v>
      </c>
      <c r="L3101" s="172"/>
      <c r="M3101" s="172"/>
      <c r="N3101" s="174"/>
      <c r="O3101" s="176"/>
      <c r="P3101" s="175">
        <v>2349660860</v>
      </c>
      <c r="Q3101" s="175"/>
      <c r="R3101" s="176"/>
      <c r="S3101" s="177">
        <v>26928000</v>
      </c>
      <c r="T3101" s="178"/>
      <c r="U3101" s="347">
        <v>46126</v>
      </c>
      <c r="V3101" s="347">
        <v>46490</v>
      </c>
      <c r="W3101" s="172" t="s">
        <v>17</v>
      </c>
      <c r="X3101" s="172"/>
      <c r="Y3101" s="178">
        <v>46266</v>
      </c>
      <c r="Z3101" s="35">
        <f t="shared" si="264"/>
        <v>224</v>
      </c>
      <c r="AA3101" s="158">
        <f>MONTH(Table1[[#This Row],[End]])</f>
        <v>4</v>
      </c>
      <c r="AB3101" s="158">
        <f t="shared" si="266"/>
        <v>2027</v>
      </c>
      <c r="AC3101" s="173"/>
      <c r="AD3101" s="173" t="s">
        <v>12972</v>
      </c>
      <c r="AE3101" s="172">
        <v>4500027425</v>
      </c>
      <c r="AF3101" s="179" t="s">
        <v>356</v>
      </c>
      <c r="AG3101" s="174" t="s">
        <v>12973</v>
      </c>
      <c r="AH3101" s="174" t="s">
        <v>12974</v>
      </c>
      <c r="AI3101" s="172"/>
      <c r="AJ3101" s="172"/>
      <c r="AK3101" s="172"/>
      <c r="AL3101" s="172"/>
      <c r="AM3101" s="172"/>
      <c r="AN3101" s="172"/>
      <c r="AO3101" s="172"/>
      <c r="AP3101" s="172"/>
      <c r="AQ3101" s="172"/>
      <c r="AR3101" s="479">
        <v>9</v>
      </c>
      <c r="AS3101" s="461"/>
      <c r="AT3101" s="174"/>
    </row>
    <row r="3102" spans="1:46" ht="15" hidden="1" customHeight="1">
      <c r="A3102" s="195">
        <v>3091</v>
      </c>
      <c r="B3102" s="550" t="s">
        <v>12965</v>
      </c>
      <c r="C3102" s="173" t="s">
        <v>12975</v>
      </c>
      <c r="D3102" s="434" t="s">
        <v>12967</v>
      </c>
      <c r="E3102" s="113" t="str">
        <f>IF(AND(Z3102&gt;=60, Z3102&lt;=3000), "ON TRACK",IF(AND(Z3102&gt;=36, Z3102&lt;=59), "ATTENTION",IF(AND(Z3102&gt;=1, Z3102&lt;=35), "WARNING",IF(AND(Z3102&gt;=-3000, Z3102&lt;=0), "CRITICAL", ""))))</f>
        <v>ON TRACK</v>
      </c>
      <c r="F3102" s="174"/>
      <c r="G3102" s="173" t="s">
        <v>12976</v>
      </c>
      <c r="H3102" s="174" t="s">
        <v>2748</v>
      </c>
      <c r="I3102" s="174" t="s">
        <v>12969</v>
      </c>
      <c r="J3102" s="173" t="s">
        <v>12977</v>
      </c>
      <c r="K3102" s="180" t="s">
        <v>12978</v>
      </c>
      <c r="L3102" s="172"/>
      <c r="M3102" s="172"/>
      <c r="N3102" s="174"/>
      <c r="O3102" s="176"/>
      <c r="P3102" s="175">
        <v>2349660860</v>
      </c>
      <c r="Q3102" s="175"/>
      <c r="R3102" s="176"/>
      <c r="S3102" s="177">
        <v>26928000</v>
      </c>
      <c r="T3102" s="178"/>
      <c r="U3102" s="347">
        <v>46063</v>
      </c>
      <c r="V3102" s="347">
        <v>46427</v>
      </c>
      <c r="W3102" s="172" t="s">
        <v>17</v>
      </c>
      <c r="X3102" s="172"/>
      <c r="Y3102" s="178">
        <v>46266</v>
      </c>
      <c r="Z3102" s="35">
        <f t="shared" si="264"/>
        <v>161</v>
      </c>
      <c r="AA3102" s="158">
        <f>MONTH(Table1[[#This Row],[End]])</f>
        <v>2</v>
      </c>
      <c r="AB3102" s="158">
        <f t="shared" si="266"/>
        <v>2027</v>
      </c>
      <c r="AC3102" s="173"/>
      <c r="AD3102" s="173" t="s">
        <v>12979</v>
      </c>
      <c r="AE3102" s="172">
        <v>4500027428</v>
      </c>
      <c r="AF3102" s="179" t="s">
        <v>356</v>
      </c>
      <c r="AG3102" s="174" t="s">
        <v>12973</v>
      </c>
      <c r="AH3102" s="174" t="s">
        <v>12974</v>
      </c>
      <c r="AI3102" s="172"/>
      <c r="AJ3102" s="172"/>
      <c r="AK3102" s="172"/>
      <c r="AL3102" s="172"/>
      <c r="AM3102" s="172"/>
      <c r="AN3102" s="172"/>
      <c r="AO3102" s="172"/>
      <c r="AP3102" s="172"/>
      <c r="AQ3102" s="172"/>
      <c r="AR3102" s="479">
        <v>10</v>
      </c>
      <c r="AS3102" s="461"/>
      <c r="AT3102" s="174"/>
    </row>
    <row r="3103" spans="1:46" ht="15" hidden="1" customHeight="1">
      <c r="A3103" s="195">
        <v>3092</v>
      </c>
      <c r="B3103" s="550" t="s">
        <v>12965</v>
      </c>
      <c r="C3103" s="173" t="s">
        <v>12980</v>
      </c>
      <c r="D3103" s="434" t="s">
        <v>12967</v>
      </c>
      <c r="E3103" s="113" t="str">
        <f>IF(AND(Z3103&gt;=60, Z3103&lt;=3000), "ON TRACK",IF(AND(Z3103&gt;=36, Z3103&lt;=59), "ATTENTION",IF(AND(Z3103&gt;=1, Z3103&lt;=35), "WARNING",IF(AND(Z3103&gt;=-3000, Z3103&lt;=0), "CRITICAL", ""))))</f>
        <v>ON TRACK</v>
      </c>
      <c r="F3103" s="174"/>
      <c r="G3103" s="173" t="s">
        <v>12981</v>
      </c>
      <c r="H3103" s="174" t="s">
        <v>2748</v>
      </c>
      <c r="I3103" s="174" t="s">
        <v>12969</v>
      </c>
      <c r="J3103" s="173" t="s">
        <v>12982</v>
      </c>
      <c r="K3103" s="180" t="s">
        <v>12983</v>
      </c>
      <c r="L3103" s="172"/>
      <c r="M3103" s="172"/>
      <c r="N3103" s="174"/>
      <c r="O3103" s="176"/>
      <c r="P3103" s="175">
        <v>2349660860</v>
      </c>
      <c r="Q3103" s="175"/>
      <c r="R3103" s="176"/>
      <c r="S3103" s="177">
        <v>26928000</v>
      </c>
      <c r="T3103" s="178"/>
      <c r="U3103" s="347">
        <v>46060</v>
      </c>
      <c r="V3103" s="347">
        <v>46424</v>
      </c>
      <c r="W3103" s="172" t="s">
        <v>17</v>
      </c>
      <c r="X3103" s="172"/>
      <c r="Y3103" s="178">
        <v>46266</v>
      </c>
      <c r="Z3103" s="35">
        <f t="shared" si="264"/>
        <v>158</v>
      </c>
      <c r="AA3103" s="158">
        <f>MONTH(Table1[[#This Row],[End]])</f>
        <v>2</v>
      </c>
      <c r="AB3103" s="158">
        <f t="shared" si="266"/>
        <v>2027</v>
      </c>
      <c r="AC3103" s="173"/>
      <c r="AD3103" s="173" t="s">
        <v>12984</v>
      </c>
      <c r="AE3103" s="172">
        <v>4500027429</v>
      </c>
      <c r="AF3103" s="179" t="s">
        <v>356</v>
      </c>
      <c r="AG3103" s="174" t="s">
        <v>12973</v>
      </c>
      <c r="AH3103" s="174" t="s">
        <v>12974</v>
      </c>
      <c r="AI3103" s="172"/>
      <c r="AJ3103" s="172"/>
      <c r="AK3103" s="172"/>
      <c r="AL3103" s="172"/>
      <c r="AM3103" s="172"/>
      <c r="AN3103" s="172"/>
      <c r="AO3103" s="172"/>
      <c r="AP3103" s="172"/>
      <c r="AQ3103" s="172"/>
      <c r="AR3103" s="479">
        <v>11</v>
      </c>
      <c r="AS3103" s="461"/>
      <c r="AT3103" s="174"/>
    </row>
    <row r="3104" spans="1:46" ht="15" hidden="1" customHeight="1">
      <c r="A3104" s="195">
        <v>3093</v>
      </c>
      <c r="B3104" s="550" t="s">
        <v>12965</v>
      </c>
      <c r="C3104" s="173" t="s">
        <v>12985</v>
      </c>
      <c r="D3104" s="434" t="s">
        <v>12967</v>
      </c>
      <c r="E3104" s="113" t="str">
        <f>IF(AND(Z3104&gt;=60, Z3104&lt;=3000), "ON TRACK",IF(AND(Z3104&gt;=36, Z3104&lt;=59), "ATTENTION",IF(AND(Z3104&gt;=1, Z3104&lt;=35), "WARNING",IF(AND(Z3104&gt;=-3000, Z3104&lt;=0), "CRITICAL", ""))))</f>
        <v>ON TRACK</v>
      </c>
      <c r="F3104" s="174"/>
      <c r="G3104" s="173" t="s">
        <v>12986</v>
      </c>
      <c r="H3104" s="174" t="s">
        <v>2748</v>
      </c>
      <c r="I3104" s="174" t="s">
        <v>12969</v>
      </c>
      <c r="J3104" s="173" t="s">
        <v>12987</v>
      </c>
      <c r="K3104" s="180" t="s">
        <v>12988</v>
      </c>
      <c r="L3104" s="172"/>
      <c r="M3104" s="172"/>
      <c r="N3104" s="174"/>
      <c r="O3104" s="176"/>
      <c r="P3104" s="175">
        <v>2349660860</v>
      </c>
      <c r="Q3104" s="175"/>
      <c r="R3104" s="176"/>
      <c r="S3104" s="177">
        <v>26928000</v>
      </c>
      <c r="T3104" s="178"/>
      <c r="U3104" s="347">
        <v>46153</v>
      </c>
      <c r="V3104" s="347">
        <v>46517</v>
      </c>
      <c r="W3104" s="172" t="s">
        <v>17</v>
      </c>
      <c r="X3104" s="172"/>
      <c r="Y3104" s="178">
        <v>46266</v>
      </c>
      <c r="Z3104" s="35">
        <f t="shared" si="264"/>
        <v>251</v>
      </c>
      <c r="AA3104" s="158">
        <f>MONTH(Table1[[#This Row],[End]])</f>
        <v>5</v>
      </c>
      <c r="AB3104" s="158">
        <f t="shared" si="266"/>
        <v>2027</v>
      </c>
      <c r="AC3104" s="173"/>
      <c r="AD3104" s="173" t="s">
        <v>12989</v>
      </c>
      <c r="AE3104" s="172">
        <v>4500027430</v>
      </c>
      <c r="AF3104" s="179" t="s">
        <v>356</v>
      </c>
      <c r="AG3104" s="174" t="s">
        <v>12973</v>
      </c>
      <c r="AH3104" s="174" t="s">
        <v>12974</v>
      </c>
      <c r="AI3104" s="172"/>
      <c r="AJ3104" s="172"/>
      <c r="AK3104" s="172"/>
      <c r="AL3104" s="172"/>
      <c r="AM3104" s="172"/>
      <c r="AN3104" s="172"/>
      <c r="AO3104" s="172"/>
      <c r="AP3104" s="172"/>
      <c r="AQ3104" s="172"/>
      <c r="AR3104" s="479">
        <v>12</v>
      </c>
      <c r="AS3104" s="461"/>
      <c r="AT3104" s="174"/>
    </row>
    <row r="3105" spans="1:46" ht="15" hidden="1" customHeight="1">
      <c r="A3105" s="195">
        <v>3094</v>
      </c>
      <c r="B3105" s="159" t="s">
        <v>1554</v>
      </c>
      <c r="C3105" s="159" t="s">
        <v>12990</v>
      </c>
      <c r="D3105" s="434" t="s">
        <v>12991</v>
      </c>
      <c r="E3105" s="28" t="str">
        <f t="shared" ref="E3105:E3112" ca="1" si="267">IF(AND(Z3105&gt;=60, Z3105&lt;=3000), "ON TRACK",IF(AND(Z3105&gt;=36, Z3105&lt;=59), "ATTENTION",IF(AND(Z3105&gt;=1, Z3105&lt;=35), "WARNING",IF(AND(Z3105&gt;=-3000, Z3105&lt;=0), "CRITICAL", ""))))</f>
        <v>ON TRACK</v>
      </c>
      <c r="F3105" s="160" t="s">
        <v>12992</v>
      </c>
      <c r="G3105" s="159" t="s">
        <v>12993</v>
      </c>
      <c r="H3105" s="160" t="s">
        <v>261</v>
      </c>
      <c r="I3105" s="160" t="s">
        <v>243</v>
      </c>
      <c r="J3105" s="159" t="s">
        <v>12994</v>
      </c>
      <c r="K3105" s="181" t="s">
        <v>9126</v>
      </c>
      <c r="L3105" s="158"/>
      <c r="M3105" s="158" t="s">
        <v>329</v>
      </c>
      <c r="N3105" s="158" t="s">
        <v>6885</v>
      </c>
      <c r="O3105" s="162"/>
      <c r="P3105" s="161">
        <f>12*4700000</f>
        <v>56400000</v>
      </c>
      <c r="Q3105" s="161"/>
      <c r="R3105" s="162"/>
      <c r="S3105" s="163">
        <f>12*3300000</f>
        <v>39600000</v>
      </c>
      <c r="T3105" s="164"/>
      <c r="U3105" s="340">
        <v>46236</v>
      </c>
      <c r="V3105" s="340">
        <v>46600</v>
      </c>
      <c r="W3105" s="172" t="s">
        <v>17</v>
      </c>
      <c r="X3105" s="158"/>
      <c r="Y3105" s="164">
        <f ca="1">TODAY()</f>
        <v>46290</v>
      </c>
      <c r="Z3105" s="35">
        <f t="shared" ca="1" si="264"/>
        <v>310</v>
      </c>
      <c r="AA3105" s="158">
        <f>MONTH(Table1[[#This Row],[End]])</f>
        <v>8</v>
      </c>
      <c r="AB3105" s="158">
        <f t="shared" si="266"/>
        <v>2027</v>
      </c>
      <c r="AC3105" s="159" t="s">
        <v>11633</v>
      </c>
      <c r="AD3105" s="159" t="s">
        <v>12995</v>
      </c>
      <c r="AE3105" s="158">
        <v>4500028871</v>
      </c>
      <c r="AF3105" s="201" t="s">
        <v>8995</v>
      </c>
      <c r="AG3105" s="160" t="s">
        <v>12996</v>
      </c>
      <c r="AH3105" s="160" t="s">
        <v>12997</v>
      </c>
      <c r="AI3105" s="158"/>
      <c r="AJ3105" s="158"/>
      <c r="AK3105" s="158"/>
      <c r="AL3105" s="158"/>
      <c r="AM3105" s="158"/>
      <c r="AN3105" s="158"/>
      <c r="AO3105" s="158"/>
      <c r="AP3105" s="158"/>
      <c r="AQ3105" s="158"/>
      <c r="AR3105" s="507">
        <v>248</v>
      </c>
      <c r="AS3105" s="475"/>
      <c r="AT3105" s="160"/>
    </row>
    <row r="3106" spans="1:46" ht="15" hidden="1" customHeight="1">
      <c r="A3106" s="195">
        <v>3095</v>
      </c>
      <c r="B3106" s="552" t="s">
        <v>12998</v>
      </c>
      <c r="C3106" s="552" t="s">
        <v>12999</v>
      </c>
      <c r="D3106" s="552" t="s">
        <v>13000</v>
      </c>
      <c r="E3106" s="361" t="str">
        <f ca="1">IF(Z3106&lt;=0, "LOSS",IF(Z3106&lt;=15, "CRITICAL",IF(Z3106&lt;=30, "WARNING",IF(Z3106&lt;60, "ATTENTION", "ON TRACK"))))</f>
        <v>ON TRACK</v>
      </c>
      <c r="F3106" s="29" t="s">
        <v>13001</v>
      </c>
      <c r="G3106" s="75" t="s">
        <v>8624</v>
      </c>
      <c r="H3106" s="29" t="s">
        <v>8588</v>
      </c>
      <c r="I3106" s="29" t="s">
        <v>511</v>
      </c>
      <c r="J3106" s="553"/>
      <c r="K3106" s="553">
        <v>1000010268</v>
      </c>
      <c r="L3106" s="27"/>
      <c r="M3106" s="559" t="s">
        <v>13002</v>
      </c>
      <c r="N3106" s="29"/>
      <c r="O3106" s="56"/>
      <c r="P3106" s="31">
        <f>7000000*12</f>
        <v>84000000</v>
      </c>
      <c r="Q3106" s="31"/>
      <c r="R3106" s="27"/>
      <c r="S3106" s="32"/>
      <c r="T3106" s="551">
        <v>0.35</v>
      </c>
      <c r="U3106" s="339">
        <v>45987</v>
      </c>
      <c r="V3106" s="334">
        <v>46351</v>
      </c>
      <c r="W3106" s="27" t="s">
        <v>17</v>
      </c>
      <c r="X3106" s="27"/>
      <c r="Y3106" s="34">
        <f ca="1">TODAY()</f>
        <v>46290</v>
      </c>
      <c r="Z3106" s="35">
        <f t="shared" ca="1" si="264"/>
        <v>61</v>
      </c>
      <c r="AA3106" s="27">
        <f>MONTH(V3106)</f>
        <v>11</v>
      </c>
      <c r="AB3106" s="27">
        <f t="shared" si="266"/>
        <v>2026</v>
      </c>
      <c r="AC3106" s="28"/>
      <c r="AD3106" s="28"/>
      <c r="AE3106" s="27"/>
      <c r="AF3106" s="27" t="s">
        <v>356</v>
      </c>
      <c r="AG3106" s="29" t="s">
        <v>13003</v>
      </c>
      <c r="AH3106" s="29" t="s">
        <v>13004</v>
      </c>
      <c r="AI3106" s="27"/>
      <c r="AJ3106" s="27"/>
      <c r="AK3106" s="27"/>
      <c r="AL3106" s="27"/>
      <c r="AM3106" s="27"/>
      <c r="AN3106" s="27"/>
      <c r="AO3106" s="27"/>
      <c r="AP3106" s="27"/>
      <c r="AQ3106" s="27"/>
      <c r="AR3106" s="504"/>
      <c r="AS3106" s="332"/>
      <c r="AT3106" s="160"/>
    </row>
    <row r="3107" spans="1:46" ht="15" hidden="1" customHeight="1">
      <c r="A3107" s="195">
        <v>3096</v>
      </c>
      <c r="B3107" s="550" t="s">
        <v>12998</v>
      </c>
      <c r="C3107" s="159" t="s">
        <v>13005</v>
      </c>
      <c r="D3107" s="552" t="s">
        <v>13000</v>
      </c>
      <c r="E3107" s="28" t="str">
        <f t="shared" si="267"/>
        <v>ON TRACK</v>
      </c>
      <c r="F3107" s="160" t="s">
        <v>13006</v>
      </c>
      <c r="G3107" s="159" t="s">
        <v>8627</v>
      </c>
      <c r="H3107" s="29" t="s">
        <v>8588</v>
      </c>
      <c r="I3107" s="29" t="s">
        <v>511</v>
      </c>
      <c r="J3107" s="554" t="s">
        <v>8628</v>
      </c>
      <c r="K3107" s="557">
        <v>1000191571</v>
      </c>
      <c r="L3107" s="158"/>
      <c r="M3107" s="560" t="s">
        <v>365</v>
      </c>
      <c r="N3107" s="160"/>
      <c r="O3107" s="162"/>
      <c r="P3107" s="31">
        <f>2700000*12</f>
        <v>32400000</v>
      </c>
      <c r="Q3107" s="161"/>
      <c r="R3107" s="162"/>
      <c r="S3107" s="163"/>
      <c r="T3107" s="79">
        <v>0.35</v>
      </c>
      <c r="U3107" s="339">
        <v>45987</v>
      </c>
      <c r="V3107" s="334">
        <v>46351</v>
      </c>
      <c r="W3107" s="27" t="s">
        <v>17</v>
      </c>
      <c r="X3107" s="158"/>
      <c r="Y3107" s="164">
        <v>46277</v>
      </c>
      <c r="Z3107" s="35">
        <f t="shared" ref="Z3107:Z3124" si="268">V3107-Y3107</f>
        <v>74</v>
      </c>
      <c r="AA3107" s="27">
        <f t="shared" ref="AA3107:AA3124" si="269">MONTH(V3107)</f>
        <v>11</v>
      </c>
      <c r="AB3107" s="27">
        <f t="shared" ref="AB3107:AB3124" si="270">YEAR(V3107)</f>
        <v>2026</v>
      </c>
      <c r="AC3107" s="159"/>
      <c r="AD3107" s="159"/>
      <c r="AE3107" s="158"/>
      <c r="AF3107" s="27" t="s">
        <v>356</v>
      </c>
      <c r="AG3107" s="29" t="s">
        <v>13003</v>
      </c>
      <c r="AH3107" s="29" t="s">
        <v>13004</v>
      </c>
      <c r="AI3107" s="158"/>
      <c r="AJ3107" s="158"/>
      <c r="AK3107" s="158"/>
      <c r="AL3107" s="158"/>
      <c r="AM3107" s="158"/>
      <c r="AN3107" s="158"/>
      <c r="AO3107" s="158"/>
      <c r="AP3107" s="158"/>
      <c r="AQ3107" s="158"/>
      <c r="AR3107" s="507"/>
      <c r="AS3107" s="475"/>
      <c r="AT3107" s="160"/>
    </row>
    <row r="3108" spans="1:46" ht="15" hidden="1" customHeight="1">
      <c r="A3108" s="195">
        <v>3097</v>
      </c>
      <c r="B3108" s="550" t="s">
        <v>12998</v>
      </c>
      <c r="C3108" s="159" t="s">
        <v>13007</v>
      </c>
      <c r="D3108" s="552" t="s">
        <v>13000</v>
      </c>
      <c r="E3108" s="28" t="str">
        <f t="shared" ca="1" si="267"/>
        <v>ON TRACK</v>
      </c>
      <c r="F3108" s="160" t="s">
        <v>13008</v>
      </c>
      <c r="G3108" s="159"/>
      <c r="H3108" s="29" t="s">
        <v>8588</v>
      </c>
      <c r="I3108" s="29" t="s">
        <v>511</v>
      </c>
      <c r="J3108" s="556" t="s">
        <v>13009</v>
      </c>
      <c r="K3108" s="558" t="s">
        <v>13010</v>
      </c>
      <c r="L3108" s="158"/>
      <c r="M3108" s="560" t="s">
        <v>365</v>
      </c>
      <c r="N3108" s="160"/>
      <c r="O3108" s="162"/>
      <c r="P3108" s="31">
        <f>5000000*12</f>
        <v>60000000</v>
      </c>
      <c r="Q3108" s="161"/>
      <c r="R3108" s="162"/>
      <c r="S3108" s="163"/>
      <c r="T3108" s="551">
        <v>0.35</v>
      </c>
      <c r="U3108" s="339">
        <v>45987</v>
      </c>
      <c r="V3108" s="334">
        <v>46351</v>
      </c>
      <c r="W3108" s="27" t="s">
        <v>17</v>
      </c>
      <c r="X3108" s="158"/>
      <c r="Y3108" s="34">
        <f ca="1">TODAY()</f>
        <v>46290</v>
      </c>
      <c r="Z3108" s="35">
        <f t="shared" ca="1" si="268"/>
        <v>61</v>
      </c>
      <c r="AA3108" s="27">
        <f t="shared" si="269"/>
        <v>11</v>
      </c>
      <c r="AB3108" s="27">
        <f t="shared" si="270"/>
        <v>2026</v>
      </c>
      <c r="AC3108" s="159"/>
      <c r="AD3108" s="159"/>
      <c r="AE3108" s="158"/>
      <c r="AF3108" s="27" t="s">
        <v>356</v>
      </c>
      <c r="AG3108" s="29" t="s">
        <v>13003</v>
      </c>
      <c r="AH3108" s="29" t="s">
        <v>13004</v>
      </c>
      <c r="AI3108" s="158"/>
      <c r="AJ3108" s="158"/>
      <c r="AK3108" s="158"/>
      <c r="AL3108" s="158"/>
      <c r="AM3108" s="158"/>
      <c r="AN3108" s="158"/>
      <c r="AO3108" s="158"/>
      <c r="AP3108" s="158"/>
      <c r="AQ3108" s="158"/>
      <c r="AR3108" s="507"/>
      <c r="AS3108" s="475"/>
      <c r="AT3108" s="160"/>
    </row>
    <row r="3109" spans="1:46" ht="15" hidden="1" customHeight="1">
      <c r="A3109" s="195">
        <v>3098</v>
      </c>
      <c r="B3109" s="550" t="s">
        <v>12998</v>
      </c>
      <c r="C3109" s="159" t="s">
        <v>585</v>
      </c>
      <c r="D3109" s="552" t="s">
        <v>13000</v>
      </c>
      <c r="E3109" s="28" t="str">
        <f t="shared" si="267"/>
        <v>ON TRACK</v>
      </c>
      <c r="F3109" s="160" t="s">
        <v>13011</v>
      </c>
      <c r="G3109" s="159" t="s">
        <v>8633</v>
      </c>
      <c r="H3109" s="29" t="s">
        <v>8588</v>
      </c>
      <c r="I3109" s="29" t="s">
        <v>511</v>
      </c>
      <c r="J3109" s="554" t="s">
        <v>8634</v>
      </c>
      <c r="K3109" s="205" t="s">
        <v>13012</v>
      </c>
      <c r="L3109" s="158"/>
      <c r="M3109" s="560" t="s">
        <v>13002</v>
      </c>
      <c r="N3109" s="160"/>
      <c r="O3109" s="162"/>
      <c r="P3109" s="31">
        <f>7800000*12</f>
        <v>93600000</v>
      </c>
      <c r="Q3109" s="161"/>
      <c r="R3109" s="162"/>
      <c r="S3109" s="163"/>
      <c r="T3109" s="79">
        <v>0.35</v>
      </c>
      <c r="U3109" s="339">
        <v>45987</v>
      </c>
      <c r="V3109" s="334">
        <v>46351</v>
      </c>
      <c r="W3109" s="27" t="s">
        <v>17</v>
      </c>
      <c r="X3109" s="158"/>
      <c r="Y3109" s="164">
        <v>46277</v>
      </c>
      <c r="Z3109" s="35">
        <f t="shared" si="268"/>
        <v>74</v>
      </c>
      <c r="AA3109" s="27">
        <f t="shared" si="269"/>
        <v>11</v>
      </c>
      <c r="AB3109" s="27">
        <f t="shared" si="270"/>
        <v>2026</v>
      </c>
      <c r="AC3109" s="159"/>
      <c r="AD3109" s="159"/>
      <c r="AE3109" s="158"/>
      <c r="AF3109" s="27" t="s">
        <v>356</v>
      </c>
      <c r="AG3109" s="29" t="s">
        <v>13003</v>
      </c>
      <c r="AH3109" s="29" t="s">
        <v>13004</v>
      </c>
      <c r="AI3109" s="158"/>
      <c r="AJ3109" s="158"/>
      <c r="AK3109" s="158"/>
      <c r="AL3109" s="158"/>
      <c r="AM3109" s="158"/>
      <c r="AN3109" s="158"/>
      <c r="AO3109" s="158"/>
      <c r="AP3109" s="158"/>
      <c r="AQ3109" s="158"/>
      <c r="AR3109" s="507"/>
      <c r="AS3109" s="475"/>
      <c r="AT3109" s="160"/>
    </row>
    <row r="3110" spans="1:46" ht="15" hidden="1" customHeight="1">
      <c r="A3110" s="195">
        <v>3099</v>
      </c>
      <c r="B3110" s="550" t="s">
        <v>12998</v>
      </c>
      <c r="C3110" s="159" t="s">
        <v>13013</v>
      </c>
      <c r="D3110" s="552" t="s">
        <v>13000</v>
      </c>
      <c r="E3110" s="28" t="str">
        <f t="shared" ca="1" si="267"/>
        <v>ON TRACK</v>
      </c>
      <c r="F3110" s="160"/>
      <c r="G3110" s="159" t="s">
        <v>8636</v>
      </c>
      <c r="H3110" s="29" t="s">
        <v>8588</v>
      </c>
      <c r="I3110" s="29" t="s">
        <v>511</v>
      </c>
      <c r="J3110" s="556"/>
      <c r="K3110" s="558" t="s">
        <v>13014</v>
      </c>
      <c r="L3110" s="158"/>
      <c r="M3110" s="560" t="s">
        <v>13015</v>
      </c>
      <c r="N3110" s="160"/>
      <c r="O3110" s="162"/>
      <c r="P3110" s="31">
        <f>4800000*12</f>
        <v>57600000</v>
      </c>
      <c r="Q3110" s="161"/>
      <c r="R3110" s="162"/>
      <c r="S3110" s="163"/>
      <c r="T3110" s="551">
        <v>0.35</v>
      </c>
      <c r="U3110" s="339">
        <v>45987</v>
      </c>
      <c r="V3110" s="334">
        <v>46351</v>
      </c>
      <c r="W3110" s="27" t="s">
        <v>17</v>
      </c>
      <c r="X3110" s="158"/>
      <c r="Y3110" s="34">
        <f ca="1">TODAY()</f>
        <v>46290</v>
      </c>
      <c r="Z3110" s="35">
        <f t="shared" ca="1" si="268"/>
        <v>61</v>
      </c>
      <c r="AA3110" s="27">
        <f t="shared" si="269"/>
        <v>11</v>
      </c>
      <c r="AB3110" s="27">
        <f t="shared" si="270"/>
        <v>2026</v>
      </c>
      <c r="AC3110" s="159"/>
      <c r="AD3110" s="159"/>
      <c r="AE3110" s="158"/>
      <c r="AF3110" s="27" t="s">
        <v>356</v>
      </c>
      <c r="AG3110" s="29" t="s">
        <v>13003</v>
      </c>
      <c r="AH3110" s="29" t="s">
        <v>13004</v>
      </c>
      <c r="AI3110" s="158"/>
      <c r="AJ3110" s="158"/>
      <c r="AK3110" s="158"/>
      <c r="AL3110" s="158"/>
      <c r="AM3110" s="158"/>
      <c r="AN3110" s="158"/>
      <c r="AO3110" s="158"/>
      <c r="AP3110" s="158"/>
      <c r="AQ3110" s="158"/>
      <c r="AR3110" s="507"/>
      <c r="AS3110" s="475"/>
      <c r="AT3110" s="160"/>
    </row>
    <row r="3111" spans="1:46" ht="15" hidden="1" customHeight="1">
      <c r="A3111" s="195">
        <v>3100</v>
      </c>
      <c r="B3111" s="550" t="s">
        <v>12998</v>
      </c>
      <c r="C3111" s="159" t="s">
        <v>12999</v>
      </c>
      <c r="D3111" s="552" t="s">
        <v>13000</v>
      </c>
      <c r="E3111" s="28" t="str">
        <f t="shared" si="267"/>
        <v>ON TRACK</v>
      </c>
      <c r="F3111" s="160"/>
      <c r="G3111" s="159" t="s">
        <v>8642</v>
      </c>
      <c r="H3111" s="29" t="s">
        <v>8588</v>
      </c>
      <c r="I3111" s="29" t="s">
        <v>511</v>
      </c>
      <c r="J3111" s="554" t="s">
        <v>13016</v>
      </c>
      <c r="K3111" s="205" t="s">
        <v>13017</v>
      </c>
      <c r="L3111" s="158"/>
      <c r="M3111" s="560" t="s">
        <v>13018</v>
      </c>
      <c r="N3111" s="160"/>
      <c r="O3111" s="162"/>
      <c r="P3111" s="31">
        <f>32500000*12</f>
        <v>390000000</v>
      </c>
      <c r="Q3111" s="161"/>
      <c r="R3111" s="162"/>
      <c r="S3111" s="163"/>
      <c r="T3111" s="79">
        <v>0.35</v>
      </c>
      <c r="U3111" s="339">
        <v>45987</v>
      </c>
      <c r="V3111" s="334">
        <v>46351</v>
      </c>
      <c r="W3111" s="27" t="s">
        <v>17</v>
      </c>
      <c r="X3111" s="158"/>
      <c r="Y3111" s="164">
        <v>46277</v>
      </c>
      <c r="Z3111" s="35">
        <f t="shared" si="268"/>
        <v>74</v>
      </c>
      <c r="AA3111" s="27">
        <f t="shared" si="269"/>
        <v>11</v>
      </c>
      <c r="AB3111" s="27">
        <f t="shared" si="270"/>
        <v>2026</v>
      </c>
      <c r="AC3111" s="159"/>
      <c r="AD3111" s="159"/>
      <c r="AE3111" s="158"/>
      <c r="AF3111" s="27" t="s">
        <v>356</v>
      </c>
      <c r="AG3111" s="29" t="s">
        <v>13003</v>
      </c>
      <c r="AH3111" s="29" t="s">
        <v>13004</v>
      </c>
      <c r="AI3111" s="158"/>
      <c r="AJ3111" s="158"/>
      <c r="AK3111" s="158"/>
      <c r="AL3111" s="158"/>
      <c r="AM3111" s="158"/>
      <c r="AN3111" s="158"/>
      <c r="AO3111" s="158"/>
      <c r="AP3111" s="158"/>
      <c r="AQ3111" s="158"/>
      <c r="AR3111" s="507"/>
      <c r="AS3111" s="475"/>
      <c r="AT3111" s="160"/>
    </row>
    <row r="3112" spans="1:46" ht="15" hidden="1" customHeight="1">
      <c r="A3112" s="195">
        <v>3101</v>
      </c>
      <c r="B3112" s="550" t="s">
        <v>12998</v>
      </c>
      <c r="C3112" s="159" t="s">
        <v>13019</v>
      </c>
      <c r="D3112" s="552" t="s">
        <v>13000</v>
      </c>
      <c r="E3112" s="28" t="str">
        <f t="shared" ca="1" si="267"/>
        <v>ON TRACK</v>
      </c>
      <c r="F3112" s="160"/>
      <c r="G3112" s="159" t="s">
        <v>8645</v>
      </c>
      <c r="H3112" s="29" t="s">
        <v>8588</v>
      </c>
      <c r="I3112" s="29" t="s">
        <v>511</v>
      </c>
      <c r="J3112" s="554" t="s">
        <v>8646</v>
      </c>
      <c r="K3112" s="205"/>
      <c r="L3112" s="158"/>
      <c r="M3112" s="560" t="s">
        <v>13002</v>
      </c>
      <c r="N3112" s="160"/>
      <c r="O3112" s="162"/>
      <c r="P3112" s="31">
        <f>3439640*12</f>
        <v>41275680</v>
      </c>
      <c r="Q3112" s="161"/>
      <c r="R3112" s="162"/>
      <c r="S3112" s="163"/>
      <c r="T3112" s="551">
        <v>0.35</v>
      </c>
      <c r="U3112" s="339">
        <v>45987</v>
      </c>
      <c r="V3112" s="334">
        <v>46351</v>
      </c>
      <c r="W3112" s="27" t="s">
        <v>17</v>
      </c>
      <c r="X3112" s="158"/>
      <c r="Y3112" s="34">
        <f ca="1">TODAY()</f>
        <v>46290</v>
      </c>
      <c r="Z3112" s="35">
        <f t="shared" ca="1" si="268"/>
        <v>61</v>
      </c>
      <c r="AA3112" s="27">
        <f t="shared" si="269"/>
        <v>11</v>
      </c>
      <c r="AB3112" s="27">
        <f t="shared" si="270"/>
        <v>2026</v>
      </c>
      <c r="AC3112" s="159"/>
      <c r="AD3112" s="159"/>
      <c r="AE3112" s="158"/>
      <c r="AF3112" s="27" t="s">
        <v>356</v>
      </c>
      <c r="AG3112" s="29" t="s">
        <v>13003</v>
      </c>
      <c r="AH3112" s="29" t="s">
        <v>13004</v>
      </c>
      <c r="AI3112" s="158"/>
      <c r="AJ3112" s="158"/>
      <c r="AK3112" s="158"/>
      <c r="AL3112" s="158"/>
      <c r="AM3112" s="158"/>
      <c r="AN3112" s="158"/>
      <c r="AO3112" s="158"/>
      <c r="AP3112" s="158"/>
      <c r="AQ3112" s="158"/>
      <c r="AR3112" s="507"/>
      <c r="AS3112" s="475"/>
      <c r="AT3112" s="160"/>
    </row>
    <row r="3113" spans="1:46" ht="15" hidden="1" customHeight="1">
      <c r="A3113" s="195">
        <v>3102</v>
      </c>
      <c r="B3113" s="550" t="s">
        <v>12998</v>
      </c>
      <c r="C3113" s="173" t="s">
        <v>13020</v>
      </c>
      <c r="D3113" s="552" t="s">
        <v>13000</v>
      </c>
      <c r="E3113" s="113" t="str">
        <f ca="1">IF(AND(Z3113&gt;=60, Z3113&lt;=3000), "ON TRACK",IF(AND(Z3113&gt;=36, Z3113&lt;=59), "ATTENTION",IF(AND(Z3113&gt;=1, Z3113&lt;=35), "WARNING",IF(AND(Z3113&gt;=-3000, Z3113&lt;=0), "CRITICAL", ""))))</f>
        <v>ON TRACK</v>
      </c>
      <c r="F3113" s="174"/>
      <c r="G3113" s="173" t="s">
        <v>8650</v>
      </c>
      <c r="H3113" s="29" t="s">
        <v>8588</v>
      </c>
      <c r="I3113" s="29" t="s">
        <v>511</v>
      </c>
      <c r="J3113" s="554" t="s">
        <v>8628</v>
      </c>
      <c r="K3113" s="173"/>
      <c r="L3113" s="172"/>
      <c r="M3113" s="560" t="s">
        <v>13002</v>
      </c>
      <c r="N3113" s="174"/>
      <c r="O3113" s="176"/>
      <c r="P3113" s="31">
        <f>2900000*12</f>
        <v>34800000</v>
      </c>
      <c r="Q3113" s="175"/>
      <c r="R3113" s="176"/>
      <c r="S3113" s="177"/>
      <c r="T3113" s="551">
        <v>0.35</v>
      </c>
      <c r="U3113" s="339">
        <v>45987</v>
      </c>
      <c r="V3113" s="334">
        <v>46351</v>
      </c>
      <c r="W3113" s="27" t="s">
        <v>17</v>
      </c>
      <c r="X3113" s="172"/>
      <c r="Y3113" s="34">
        <f t="shared" ref="Y3113:Y3124" ca="1" si="271">TODAY()</f>
        <v>46290</v>
      </c>
      <c r="Z3113" s="35">
        <f t="shared" ca="1" si="268"/>
        <v>61</v>
      </c>
      <c r="AA3113" s="27">
        <f t="shared" si="269"/>
        <v>11</v>
      </c>
      <c r="AB3113" s="27">
        <f t="shared" si="270"/>
        <v>2026</v>
      </c>
      <c r="AC3113" s="173"/>
      <c r="AD3113" s="173"/>
      <c r="AE3113" s="172"/>
      <c r="AF3113" s="27" t="s">
        <v>356</v>
      </c>
      <c r="AG3113" s="29" t="s">
        <v>13003</v>
      </c>
      <c r="AH3113" s="29" t="s">
        <v>13004</v>
      </c>
      <c r="AI3113" s="172"/>
      <c r="AJ3113" s="172"/>
      <c r="AK3113" s="172"/>
      <c r="AL3113" s="172"/>
      <c r="AM3113" s="172"/>
      <c r="AN3113" s="172"/>
      <c r="AO3113" s="172"/>
      <c r="AP3113" s="172"/>
      <c r="AQ3113" s="172"/>
      <c r="AR3113" s="479"/>
      <c r="AS3113" s="461"/>
      <c r="AT3113" s="174"/>
    </row>
    <row r="3114" spans="1:46" ht="15" hidden="1" customHeight="1">
      <c r="A3114" s="195">
        <v>3103</v>
      </c>
      <c r="B3114" s="550" t="s">
        <v>12998</v>
      </c>
      <c r="C3114" s="173" t="s">
        <v>13021</v>
      </c>
      <c r="D3114" s="552" t="s">
        <v>13000</v>
      </c>
      <c r="E3114" s="113" t="str">
        <f ca="1">IF(AND(Z3114&gt;=60, Z3114&lt;=3000), "ON TRACK",IF(AND(Z3114&gt;=36, Z3114&lt;=59), "ATTENTION",IF(AND(Z3114&gt;=1, Z3114&lt;=35), "WARNING",IF(AND(Z3114&gt;=-3000, Z3114&lt;=0), "CRITICAL", ""))))</f>
        <v>ON TRACK</v>
      </c>
      <c r="F3114" s="174"/>
      <c r="G3114" s="173" t="s">
        <v>13022</v>
      </c>
      <c r="H3114" s="29" t="s">
        <v>8588</v>
      </c>
      <c r="I3114" s="29" t="s">
        <v>511</v>
      </c>
      <c r="J3114" s="555"/>
      <c r="K3114" s="555">
        <v>1000331808</v>
      </c>
      <c r="L3114" s="172"/>
      <c r="M3114" s="560" t="s">
        <v>13023</v>
      </c>
      <c r="N3114" s="174"/>
      <c r="O3114" s="176"/>
      <c r="P3114" s="31">
        <f>3350000*12</f>
        <v>40200000</v>
      </c>
      <c r="Q3114" s="175"/>
      <c r="R3114" s="176"/>
      <c r="S3114" s="177"/>
      <c r="T3114" s="551">
        <v>0.35</v>
      </c>
      <c r="U3114" s="339">
        <v>45987</v>
      </c>
      <c r="V3114" s="334">
        <v>46351</v>
      </c>
      <c r="W3114" s="27" t="s">
        <v>17</v>
      </c>
      <c r="X3114" s="172"/>
      <c r="Y3114" s="34">
        <f t="shared" ca="1" si="271"/>
        <v>46290</v>
      </c>
      <c r="Z3114" s="35">
        <f t="shared" ca="1" si="268"/>
        <v>61</v>
      </c>
      <c r="AA3114" s="27">
        <f t="shared" si="269"/>
        <v>11</v>
      </c>
      <c r="AB3114" s="27">
        <f t="shared" si="270"/>
        <v>2026</v>
      </c>
      <c r="AC3114" s="173"/>
      <c r="AD3114" s="173"/>
      <c r="AE3114" s="172"/>
      <c r="AF3114" s="27" t="s">
        <v>356</v>
      </c>
      <c r="AG3114" s="29" t="s">
        <v>13003</v>
      </c>
      <c r="AH3114" s="29" t="s">
        <v>13004</v>
      </c>
      <c r="AI3114" s="172"/>
      <c r="AJ3114" s="172"/>
      <c r="AK3114" s="172"/>
      <c r="AL3114" s="172"/>
      <c r="AM3114" s="172"/>
      <c r="AN3114" s="172"/>
      <c r="AO3114" s="172"/>
      <c r="AP3114" s="172"/>
      <c r="AQ3114" s="172"/>
      <c r="AR3114" s="479"/>
      <c r="AS3114" s="461"/>
      <c r="AT3114" s="174"/>
    </row>
    <row r="3115" spans="1:46" ht="15" hidden="1" customHeight="1">
      <c r="A3115" s="195">
        <v>3104</v>
      </c>
      <c r="B3115" s="552" t="s">
        <v>12998</v>
      </c>
      <c r="C3115" s="552" t="s">
        <v>12999</v>
      </c>
      <c r="D3115" s="552" t="s">
        <v>13000</v>
      </c>
      <c r="E3115" s="113" t="str">
        <f ca="1">IF(AND(Z3115&gt;=60, Z3115&lt;=3000), "ON TRACK",IF(AND(Z3115&gt;=36, Z3115&lt;=59), "ATTENTION",IF(AND(Z3115&gt;=1, Z3115&lt;=35), "WARNING",IF(AND(Z3115&gt;=-3000, Z3115&lt;=0), "CRITICAL", ""))))</f>
        <v>ON TRACK</v>
      </c>
      <c r="F3115" s="29" t="s">
        <v>13001</v>
      </c>
      <c r="G3115" s="75" t="s">
        <v>8624</v>
      </c>
      <c r="H3115" s="29" t="s">
        <v>8588</v>
      </c>
      <c r="I3115" s="29" t="s">
        <v>511</v>
      </c>
      <c r="J3115" s="553"/>
      <c r="K3115" s="553">
        <v>1000010268</v>
      </c>
      <c r="L3115" s="172"/>
      <c r="M3115" s="172"/>
      <c r="N3115" s="174"/>
      <c r="O3115" s="176"/>
      <c r="P3115" s="31">
        <f>7000000*12</f>
        <v>84000000</v>
      </c>
      <c r="Q3115" s="175"/>
      <c r="R3115" s="176"/>
      <c r="S3115" s="177"/>
      <c r="T3115" s="551">
        <v>0.35</v>
      </c>
      <c r="U3115" s="347">
        <v>46352</v>
      </c>
      <c r="V3115" s="347">
        <v>46716</v>
      </c>
      <c r="W3115" s="27" t="s">
        <v>17</v>
      </c>
      <c r="X3115" s="172"/>
      <c r="Y3115" s="34">
        <f t="shared" ca="1" si="271"/>
        <v>46290</v>
      </c>
      <c r="Z3115" s="35">
        <f t="shared" ca="1" si="268"/>
        <v>426</v>
      </c>
      <c r="AA3115" s="27">
        <f t="shared" si="269"/>
        <v>11</v>
      </c>
      <c r="AB3115" s="27">
        <f t="shared" si="270"/>
        <v>2027</v>
      </c>
      <c r="AC3115" s="173"/>
      <c r="AD3115" s="173"/>
      <c r="AE3115" s="172"/>
      <c r="AF3115" s="27" t="s">
        <v>356</v>
      </c>
      <c r="AG3115" s="29" t="s">
        <v>13003</v>
      </c>
      <c r="AH3115" s="29" t="s">
        <v>13004</v>
      </c>
      <c r="AI3115" s="172"/>
      <c r="AJ3115" s="172"/>
      <c r="AK3115" s="172"/>
      <c r="AL3115" s="172"/>
      <c r="AM3115" s="172"/>
      <c r="AN3115" s="172"/>
      <c r="AO3115" s="172"/>
      <c r="AP3115" s="172"/>
      <c r="AQ3115" s="172"/>
      <c r="AR3115" s="479"/>
      <c r="AS3115" s="461"/>
      <c r="AT3115" s="174"/>
    </row>
    <row r="3116" spans="1:46" ht="15" hidden="1" customHeight="1">
      <c r="A3116" s="195">
        <v>3105</v>
      </c>
      <c r="B3116" s="550" t="s">
        <v>12998</v>
      </c>
      <c r="C3116" s="159" t="s">
        <v>13005</v>
      </c>
      <c r="D3116" s="552" t="s">
        <v>13000</v>
      </c>
      <c r="E3116" s="28" t="str">
        <f t="shared" ref="E3116:E3119" ca="1" si="272">IF(AND(Z3116&gt;=60, Z3116&lt;=3000), "ON TRACK",IF(AND(Z3116&gt;=36, Z3116&lt;=59), "ATTENTION",IF(AND(Z3116&gt;=1, Z3116&lt;=35), "WARNING",IF(AND(Z3116&gt;=-3000, Z3116&lt;=0), "CRITICAL", ""))))</f>
        <v>ON TRACK</v>
      </c>
      <c r="F3116" s="160" t="s">
        <v>13006</v>
      </c>
      <c r="G3116" s="159" t="s">
        <v>8627</v>
      </c>
      <c r="H3116" s="29" t="s">
        <v>8588</v>
      </c>
      <c r="I3116" s="29" t="s">
        <v>511</v>
      </c>
      <c r="J3116" s="554" t="s">
        <v>8628</v>
      </c>
      <c r="K3116" s="557">
        <v>1000191571</v>
      </c>
      <c r="L3116" s="158"/>
      <c r="M3116" s="158"/>
      <c r="N3116" s="160"/>
      <c r="O3116" s="162"/>
      <c r="P3116" s="31">
        <f>2700000*12</f>
        <v>32400000</v>
      </c>
      <c r="Q3116" s="161"/>
      <c r="R3116" s="162"/>
      <c r="S3116" s="163"/>
      <c r="T3116" s="551">
        <v>0.35</v>
      </c>
      <c r="U3116" s="347">
        <v>46352</v>
      </c>
      <c r="V3116" s="347">
        <v>46716</v>
      </c>
      <c r="W3116" s="27" t="s">
        <v>17</v>
      </c>
      <c r="X3116" s="158"/>
      <c r="Y3116" s="34">
        <f t="shared" ca="1" si="271"/>
        <v>46290</v>
      </c>
      <c r="Z3116" s="35">
        <f t="shared" ca="1" si="268"/>
        <v>426</v>
      </c>
      <c r="AA3116" s="27">
        <f t="shared" si="269"/>
        <v>11</v>
      </c>
      <c r="AB3116" s="27">
        <f t="shared" si="270"/>
        <v>2027</v>
      </c>
      <c r="AC3116" s="159"/>
      <c r="AD3116" s="159"/>
      <c r="AE3116" s="158"/>
      <c r="AF3116" s="27" t="s">
        <v>356</v>
      </c>
      <c r="AG3116" s="29" t="s">
        <v>13003</v>
      </c>
      <c r="AH3116" s="29" t="s">
        <v>13004</v>
      </c>
      <c r="AI3116" s="158"/>
      <c r="AJ3116" s="158"/>
      <c r="AK3116" s="158"/>
      <c r="AL3116" s="158"/>
      <c r="AM3116" s="158"/>
      <c r="AN3116" s="158"/>
      <c r="AO3116" s="158"/>
      <c r="AP3116" s="158"/>
      <c r="AQ3116" s="158"/>
      <c r="AR3116" s="507"/>
      <c r="AS3116" s="475"/>
      <c r="AT3116" s="160"/>
    </row>
    <row r="3117" spans="1:46" ht="15" hidden="1" customHeight="1">
      <c r="A3117" s="195">
        <v>3106</v>
      </c>
      <c r="B3117" s="550" t="s">
        <v>12998</v>
      </c>
      <c r="C3117" s="159" t="s">
        <v>13007</v>
      </c>
      <c r="D3117" s="552" t="s">
        <v>13000</v>
      </c>
      <c r="E3117" s="28" t="str">
        <f t="shared" ca="1" si="272"/>
        <v>ON TRACK</v>
      </c>
      <c r="F3117" s="160" t="s">
        <v>13008</v>
      </c>
      <c r="G3117" s="159"/>
      <c r="H3117" s="29" t="s">
        <v>8588</v>
      </c>
      <c r="I3117" s="29" t="s">
        <v>511</v>
      </c>
      <c r="J3117" s="556" t="s">
        <v>13009</v>
      </c>
      <c r="K3117" s="558" t="s">
        <v>13010</v>
      </c>
      <c r="L3117" s="158"/>
      <c r="M3117" s="158"/>
      <c r="N3117" s="160"/>
      <c r="O3117" s="162"/>
      <c r="P3117" s="31">
        <f>5000000*12</f>
        <v>60000000</v>
      </c>
      <c r="Q3117" s="161"/>
      <c r="R3117" s="162"/>
      <c r="S3117" s="163"/>
      <c r="T3117" s="551">
        <v>0.35</v>
      </c>
      <c r="U3117" s="347">
        <v>46352</v>
      </c>
      <c r="V3117" s="347">
        <v>46716</v>
      </c>
      <c r="W3117" s="27" t="s">
        <v>17</v>
      </c>
      <c r="X3117" s="158"/>
      <c r="Y3117" s="34">
        <f t="shared" ca="1" si="271"/>
        <v>46290</v>
      </c>
      <c r="Z3117" s="35">
        <f t="shared" ca="1" si="268"/>
        <v>426</v>
      </c>
      <c r="AA3117" s="27">
        <f t="shared" si="269"/>
        <v>11</v>
      </c>
      <c r="AB3117" s="27">
        <f t="shared" si="270"/>
        <v>2027</v>
      </c>
      <c r="AC3117" s="159"/>
      <c r="AD3117" s="159"/>
      <c r="AE3117" s="158"/>
      <c r="AF3117" s="27" t="s">
        <v>356</v>
      </c>
      <c r="AG3117" s="29" t="s">
        <v>13003</v>
      </c>
      <c r="AH3117" s="29" t="s">
        <v>13004</v>
      </c>
      <c r="AI3117" s="158"/>
      <c r="AJ3117" s="158"/>
      <c r="AK3117" s="158"/>
      <c r="AL3117" s="158"/>
      <c r="AM3117" s="158"/>
      <c r="AN3117" s="158"/>
      <c r="AO3117" s="158"/>
      <c r="AP3117" s="158"/>
      <c r="AQ3117" s="158"/>
      <c r="AR3117" s="507"/>
      <c r="AS3117" s="475"/>
      <c r="AT3117" s="160"/>
    </row>
    <row r="3118" spans="1:46" ht="15" hidden="1" customHeight="1">
      <c r="A3118" s="195">
        <v>3107</v>
      </c>
      <c r="B3118" s="550" t="s">
        <v>12998</v>
      </c>
      <c r="C3118" s="159" t="s">
        <v>585</v>
      </c>
      <c r="D3118" s="552" t="s">
        <v>13000</v>
      </c>
      <c r="E3118" s="28" t="str">
        <f t="shared" ca="1" si="272"/>
        <v>ON TRACK</v>
      </c>
      <c r="F3118" s="160" t="s">
        <v>13011</v>
      </c>
      <c r="G3118" s="159" t="s">
        <v>8633</v>
      </c>
      <c r="H3118" s="29" t="s">
        <v>8588</v>
      </c>
      <c r="I3118" s="29" t="s">
        <v>511</v>
      </c>
      <c r="J3118" s="554" t="s">
        <v>8634</v>
      </c>
      <c r="K3118" s="205" t="s">
        <v>13012</v>
      </c>
      <c r="L3118" s="158"/>
      <c r="M3118" s="158"/>
      <c r="N3118" s="160"/>
      <c r="O3118" s="162"/>
      <c r="P3118" s="31">
        <f>7800000*12</f>
        <v>93600000</v>
      </c>
      <c r="Q3118" s="161"/>
      <c r="R3118" s="162"/>
      <c r="S3118" s="163"/>
      <c r="T3118" s="551">
        <v>0.35</v>
      </c>
      <c r="U3118" s="347">
        <v>46352</v>
      </c>
      <c r="V3118" s="347">
        <v>46716</v>
      </c>
      <c r="W3118" s="27" t="s">
        <v>17</v>
      </c>
      <c r="X3118" s="158"/>
      <c r="Y3118" s="34">
        <f t="shared" ca="1" si="271"/>
        <v>46290</v>
      </c>
      <c r="Z3118" s="35">
        <f t="shared" ca="1" si="268"/>
        <v>426</v>
      </c>
      <c r="AA3118" s="27">
        <f t="shared" si="269"/>
        <v>11</v>
      </c>
      <c r="AB3118" s="27">
        <f t="shared" si="270"/>
        <v>2027</v>
      </c>
      <c r="AC3118" s="159"/>
      <c r="AD3118" s="159"/>
      <c r="AE3118" s="158"/>
      <c r="AF3118" s="27" t="s">
        <v>356</v>
      </c>
      <c r="AG3118" s="29" t="s">
        <v>13003</v>
      </c>
      <c r="AH3118" s="29" t="s">
        <v>13004</v>
      </c>
      <c r="AI3118" s="158"/>
      <c r="AJ3118" s="158"/>
      <c r="AK3118" s="158"/>
      <c r="AL3118" s="158"/>
      <c r="AM3118" s="158"/>
      <c r="AN3118" s="158"/>
      <c r="AO3118" s="158"/>
      <c r="AP3118" s="158"/>
      <c r="AQ3118" s="158"/>
      <c r="AR3118" s="507"/>
      <c r="AS3118" s="475"/>
      <c r="AT3118" s="160"/>
    </row>
    <row r="3119" spans="1:46" ht="15" hidden="1" customHeight="1">
      <c r="A3119" s="195">
        <v>3108</v>
      </c>
      <c r="B3119" s="550" t="s">
        <v>12998</v>
      </c>
      <c r="C3119" s="159" t="s">
        <v>13013</v>
      </c>
      <c r="D3119" s="552" t="s">
        <v>13000</v>
      </c>
      <c r="E3119" s="28" t="str">
        <f t="shared" ca="1" si="272"/>
        <v>ON TRACK</v>
      </c>
      <c r="F3119" s="160"/>
      <c r="G3119" s="159" t="s">
        <v>8636</v>
      </c>
      <c r="H3119" s="29" t="s">
        <v>8588</v>
      </c>
      <c r="I3119" s="29" t="s">
        <v>511</v>
      </c>
      <c r="J3119" s="556"/>
      <c r="K3119" s="558" t="s">
        <v>13014</v>
      </c>
      <c r="L3119" s="158"/>
      <c r="M3119" s="158"/>
      <c r="N3119" s="160"/>
      <c r="O3119" s="162"/>
      <c r="P3119" s="31">
        <f>4800000*12</f>
        <v>57600000</v>
      </c>
      <c r="Q3119" s="161"/>
      <c r="R3119" s="162"/>
      <c r="S3119" s="163"/>
      <c r="T3119" s="551">
        <v>0.35</v>
      </c>
      <c r="U3119" s="347">
        <v>46352</v>
      </c>
      <c r="V3119" s="347">
        <v>46716</v>
      </c>
      <c r="W3119" s="27" t="s">
        <v>17</v>
      </c>
      <c r="X3119" s="158"/>
      <c r="Y3119" s="34">
        <f t="shared" ca="1" si="271"/>
        <v>46290</v>
      </c>
      <c r="Z3119" s="35">
        <f t="shared" ca="1" si="268"/>
        <v>426</v>
      </c>
      <c r="AA3119" s="27">
        <f t="shared" si="269"/>
        <v>11</v>
      </c>
      <c r="AB3119" s="27">
        <f t="shared" si="270"/>
        <v>2027</v>
      </c>
      <c r="AC3119" s="159"/>
      <c r="AD3119" s="159"/>
      <c r="AE3119" s="158"/>
      <c r="AF3119" s="27" t="s">
        <v>356</v>
      </c>
      <c r="AG3119" s="29" t="s">
        <v>13003</v>
      </c>
      <c r="AH3119" s="29" t="s">
        <v>13004</v>
      </c>
      <c r="AI3119" s="158"/>
      <c r="AJ3119" s="158"/>
      <c r="AK3119" s="158"/>
      <c r="AL3119" s="158"/>
      <c r="AM3119" s="158"/>
      <c r="AN3119" s="158"/>
      <c r="AO3119" s="158"/>
      <c r="AP3119" s="158"/>
      <c r="AQ3119" s="158"/>
      <c r="AR3119" s="507"/>
      <c r="AS3119" s="475"/>
      <c r="AT3119" s="160"/>
    </row>
    <row r="3120" spans="1:46" ht="15" hidden="1" customHeight="1">
      <c r="A3120" s="195">
        <v>3109</v>
      </c>
      <c r="B3120" s="550" t="s">
        <v>12998</v>
      </c>
      <c r="C3120" s="159" t="s">
        <v>12999</v>
      </c>
      <c r="D3120" s="552" t="s">
        <v>13000</v>
      </c>
      <c r="E3120" s="28" t="str">
        <f t="shared" ref="E3120:E3124" ca="1" si="273">IF(AND(Z3120&gt;=60, Z3120&lt;=3000), "ON TRACK",IF(AND(Z3120&gt;=36, Z3120&lt;=59), "ATTENTION",IF(AND(Z3120&gt;=1, Z3120&lt;=35), "WARNING",IF(AND(Z3120&gt;=-3000, Z3120&lt;=0), "CRITICAL", ""))))</f>
        <v>ON TRACK</v>
      </c>
      <c r="F3120" s="160"/>
      <c r="G3120" s="159" t="s">
        <v>8642</v>
      </c>
      <c r="H3120" s="29" t="s">
        <v>8588</v>
      </c>
      <c r="I3120" s="29" t="s">
        <v>511</v>
      </c>
      <c r="J3120" s="554" t="s">
        <v>13016</v>
      </c>
      <c r="K3120" s="205" t="s">
        <v>13017</v>
      </c>
      <c r="L3120" s="158"/>
      <c r="M3120" s="158"/>
      <c r="N3120" s="160"/>
      <c r="O3120" s="162"/>
      <c r="P3120" s="31">
        <f>32500000*12</f>
        <v>390000000</v>
      </c>
      <c r="Q3120" s="161"/>
      <c r="R3120" s="162"/>
      <c r="S3120" s="163"/>
      <c r="T3120" s="551">
        <v>0.35</v>
      </c>
      <c r="U3120" s="347">
        <v>46352</v>
      </c>
      <c r="V3120" s="347">
        <v>46716</v>
      </c>
      <c r="W3120" s="27" t="s">
        <v>17</v>
      </c>
      <c r="X3120" s="158"/>
      <c r="Y3120" s="34">
        <f t="shared" ca="1" si="271"/>
        <v>46290</v>
      </c>
      <c r="Z3120" s="35">
        <f t="shared" ca="1" si="268"/>
        <v>426</v>
      </c>
      <c r="AA3120" s="27">
        <f t="shared" si="269"/>
        <v>11</v>
      </c>
      <c r="AB3120" s="27">
        <f t="shared" si="270"/>
        <v>2027</v>
      </c>
      <c r="AC3120" s="159"/>
      <c r="AD3120" s="159"/>
      <c r="AE3120" s="158"/>
      <c r="AF3120" s="27" t="s">
        <v>356</v>
      </c>
      <c r="AG3120" s="29" t="s">
        <v>13003</v>
      </c>
      <c r="AH3120" s="29" t="s">
        <v>13004</v>
      </c>
      <c r="AI3120" s="158"/>
      <c r="AJ3120" s="158"/>
      <c r="AK3120" s="158"/>
      <c r="AL3120" s="158"/>
      <c r="AM3120" s="158"/>
      <c r="AN3120" s="158"/>
      <c r="AO3120" s="158"/>
      <c r="AP3120" s="158"/>
      <c r="AQ3120" s="158"/>
      <c r="AR3120" s="507"/>
      <c r="AS3120" s="475"/>
      <c r="AT3120" s="160"/>
    </row>
    <row r="3121" spans="1:46" ht="15" hidden="1" customHeight="1">
      <c r="A3121" s="195">
        <v>3110</v>
      </c>
      <c r="B3121" s="550" t="s">
        <v>12998</v>
      </c>
      <c r="C3121" s="159" t="s">
        <v>13019</v>
      </c>
      <c r="D3121" s="552" t="s">
        <v>13000</v>
      </c>
      <c r="E3121" s="28" t="str">
        <f t="shared" ca="1" si="273"/>
        <v>ON TRACK</v>
      </c>
      <c r="F3121" s="160"/>
      <c r="G3121" s="159" t="s">
        <v>8645</v>
      </c>
      <c r="H3121" s="29" t="s">
        <v>8588</v>
      </c>
      <c r="I3121" s="29" t="s">
        <v>511</v>
      </c>
      <c r="J3121" s="554" t="s">
        <v>8646</v>
      </c>
      <c r="K3121" s="205"/>
      <c r="L3121" s="158"/>
      <c r="M3121" s="158"/>
      <c r="N3121" s="160"/>
      <c r="O3121" s="162"/>
      <c r="P3121" s="31">
        <f>3439640*12</f>
        <v>41275680</v>
      </c>
      <c r="Q3121" s="161"/>
      <c r="R3121" s="162"/>
      <c r="S3121" s="163"/>
      <c r="T3121" s="551">
        <v>0.35</v>
      </c>
      <c r="U3121" s="347">
        <v>46352</v>
      </c>
      <c r="V3121" s="347">
        <v>46716</v>
      </c>
      <c r="W3121" s="27" t="s">
        <v>17</v>
      </c>
      <c r="X3121" s="158"/>
      <c r="Y3121" s="34">
        <f t="shared" ca="1" si="271"/>
        <v>46290</v>
      </c>
      <c r="Z3121" s="35">
        <f t="shared" ca="1" si="268"/>
        <v>426</v>
      </c>
      <c r="AA3121" s="27">
        <f t="shared" si="269"/>
        <v>11</v>
      </c>
      <c r="AB3121" s="27">
        <f t="shared" si="270"/>
        <v>2027</v>
      </c>
      <c r="AC3121" s="159"/>
      <c r="AD3121" s="159"/>
      <c r="AE3121" s="158"/>
      <c r="AF3121" s="27" t="s">
        <v>356</v>
      </c>
      <c r="AG3121" s="29" t="s">
        <v>13003</v>
      </c>
      <c r="AH3121" s="29" t="s">
        <v>13004</v>
      </c>
      <c r="AI3121" s="158"/>
      <c r="AJ3121" s="158"/>
      <c r="AK3121" s="158"/>
      <c r="AL3121" s="158"/>
      <c r="AM3121" s="158"/>
      <c r="AN3121" s="158"/>
      <c r="AO3121" s="158"/>
      <c r="AP3121" s="158"/>
      <c r="AQ3121" s="158"/>
      <c r="AR3121" s="507"/>
      <c r="AS3121" s="475"/>
      <c r="AT3121" s="160"/>
    </row>
    <row r="3122" spans="1:46" ht="15" hidden="1" customHeight="1">
      <c r="A3122" s="195">
        <v>3111</v>
      </c>
      <c r="B3122" s="550" t="s">
        <v>12998</v>
      </c>
      <c r="C3122" s="173" t="s">
        <v>13020</v>
      </c>
      <c r="D3122" s="552" t="s">
        <v>13000</v>
      </c>
      <c r="E3122" s="28" t="str">
        <f t="shared" ca="1" si="273"/>
        <v>ON TRACK</v>
      </c>
      <c r="F3122" s="174"/>
      <c r="G3122" s="173" t="s">
        <v>8650</v>
      </c>
      <c r="H3122" s="29" t="s">
        <v>8588</v>
      </c>
      <c r="I3122" s="29" t="s">
        <v>511</v>
      </c>
      <c r="J3122" s="554" t="s">
        <v>8628</v>
      </c>
      <c r="K3122" s="173"/>
      <c r="L3122" s="158"/>
      <c r="M3122" s="158"/>
      <c r="N3122" s="160"/>
      <c r="O3122" s="162"/>
      <c r="P3122" s="31">
        <f>2900000*12</f>
        <v>34800000</v>
      </c>
      <c r="Q3122" s="161"/>
      <c r="R3122" s="162"/>
      <c r="S3122" s="163"/>
      <c r="T3122" s="551">
        <v>0.35</v>
      </c>
      <c r="U3122" s="347">
        <v>46352</v>
      </c>
      <c r="V3122" s="347">
        <v>46716</v>
      </c>
      <c r="W3122" s="27" t="s">
        <v>17</v>
      </c>
      <c r="X3122" s="158"/>
      <c r="Y3122" s="34">
        <f t="shared" ca="1" si="271"/>
        <v>46290</v>
      </c>
      <c r="Z3122" s="35">
        <f t="shared" ca="1" si="268"/>
        <v>426</v>
      </c>
      <c r="AA3122" s="27">
        <f t="shared" si="269"/>
        <v>11</v>
      </c>
      <c r="AB3122" s="27">
        <f t="shared" si="270"/>
        <v>2027</v>
      </c>
      <c r="AC3122" s="159"/>
      <c r="AD3122" s="159"/>
      <c r="AE3122" s="158"/>
      <c r="AF3122" s="27" t="s">
        <v>356</v>
      </c>
      <c r="AG3122" s="29" t="s">
        <v>13003</v>
      </c>
      <c r="AH3122" s="29" t="s">
        <v>13004</v>
      </c>
      <c r="AI3122" s="158"/>
      <c r="AJ3122" s="158"/>
      <c r="AK3122" s="158"/>
      <c r="AL3122" s="158"/>
      <c r="AM3122" s="158"/>
      <c r="AN3122" s="158"/>
      <c r="AO3122" s="158"/>
      <c r="AP3122" s="158"/>
      <c r="AQ3122" s="158"/>
      <c r="AR3122" s="507"/>
      <c r="AS3122" s="475"/>
      <c r="AT3122" s="160"/>
    </row>
    <row r="3123" spans="1:46" ht="15" hidden="1" customHeight="1">
      <c r="A3123" s="195">
        <v>3112</v>
      </c>
      <c r="B3123" s="550" t="s">
        <v>12998</v>
      </c>
      <c r="C3123" s="173" t="s">
        <v>13021</v>
      </c>
      <c r="D3123" s="552" t="s">
        <v>13000</v>
      </c>
      <c r="E3123" s="28" t="str">
        <f t="shared" ca="1" si="273"/>
        <v>ON TRACK</v>
      </c>
      <c r="F3123" s="174"/>
      <c r="G3123" s="173" t="s">
        <v>13022</v>
      </c>
      <c r="H3123" s="29" t="s">
        <v>8588</v>
      </c>
      <c r="I3123" s="29" t="s">
        <v>511</v>
      </c>
      <c r="J3123" s="555"/>
      <c r="K3123" s="555">
        <v>1000331808</v>
      </c>
      <c r="L3123" s="158"/>
      <c r="M3123" s="158"/>
      <c r="N3123" s="160"/>
      <c r="O3123" s="162"/>
      <c r="P3123" s="31">
        <f>3350000*12</f>
        <v>40200000</v>
      </c>
      <c r="Q3123" s="161"/>
      <c r="R3123" s="162"/>
      <c r="S3123" s="163"/>
      <c r="T3123" s="551">
        <v>0.35</v>
      </c>
      <c r="U3123" s="347">
        <v>46352</v>
      </c>
      <c r="V3123" s="347">
        <v>46716</v>
      </c>
      <c r="W3123" s="27" t="s">
        <v>17</v>
      </c>
      <c r="X3123" s="158"/>
      <c r="Y3123" s="34">
        <f t="shared" ca="1" si="271"/>
        <v>46290</v>
      </c>
      <c r="Z3123" s="35">
        <f t="shared" ca="1" si="268"/>
        <v>426</v>
      </c>
      <c r="AA3123" s="27">
        <f t="shared" si="269"/>
        <v>11</v>
      </c>
      <c r="AB3123" s="27">
        <f t="shared" si="270"/>
        <v>2027</v>
      </c>
      <c r="AC3123" s="159"/>
      <c r="AD3123" s="159"/>
      <c r="AE3123" s="158"/>
      <c r="AF3123" s="27" t="s">
        <v>356</v>
      </c>
      <c r="AG3123" s="29" t="s">
        <v>13003</v>
      </c>
      <c r="AH3123" s="29" t="s">
        <v>13004</v>
      </c>
      <c r="AI3123" s="158"/>
      <c r="AJ3123" s="158"/>
      <c r="AK3123" s="158"/>
      <c r="AL3123" s="158"/>
      <c r="AM3123" s="158"/>
      <c r="AN3123" s="158"/>
      <c r="AO3123" s="158"/>
      <c r="AP3123" s="158"/>
      <c r="AQ3123" s="158"/>
      <c r="AR3123" s="507"/>
      <c r="AS3123" s="475"/>
      <c r="AT3123" s="160"/>
    </row>
    <row r="3124" spans="1:46" ht="15" hidden="1" customHeight="1">
      <c r="A3124" s="195">
        <v>3113</v>
      </c>
      <c r="B3124" s="550" t="s">
        <v>12998</v>
      </c>
      <c r="C3124" s="159" t="s">
        <v>13024</v>
      </c>
      <c r="D3124" s="552" t="s">
        <v>13000</v>
      </c>
      <c r="E3124" s="28" t="str">
        <f t="shared" ca="1" si="273"/>
        <v>ON TRACK</v>
      </c>
      <c r="F3124" s="160"/>
      <c r="G3124" s="159"/>
      <c r="H3124" s="29" t="s">
        <v>8588</v>
      </c>
      <c r="I3124" s="29" t="s">
        <v>511</v>
      </c>
      <c r="J3124" s="159"/>
      <c r="K3124" s="160"/>
      <c r="L3124" s="158"/>
      <c r="M3124" s="158"/>
      <c r="N3124" s="160"/>
      <c r="O3124" s="162"/>
      <c r="P3124" s="31">
        <v>2103595680</v>
      </c>
      <c r="Q3124" s="161"/>
      <c r="R3124" s="162"/>
      <c r="S3124" s="163"/>
      <c r="T3124" s="551">
        <v>0.35</v>
      </c>
      <c r="U3124" s="340">
        <v>46717</v>
      </c>
      <c r="V3124" s="340">
        <v>47082</v>
      </c>
      <c r="W3124" s="27" t="s">
        <v>17</v>
      </c>
      <c r="X3124" s="158"/>
      <c r="Y3124" s="34">
        <f t="shared" ca="1" si="271"/>
        <v>46290</v>
      </c>
      <c r="Z3124" s="35">
        <f t="shared" ca="1" si="268"/>
        <v>792</v>
      </c>
      <c r="AA3124" s="27">
        <f t="shared" si="269"/>
        <v>11</v>
      </c>
      <c r="AB3124" s="27">
        <f t="shared" si="270"/>
        <v>2028</v>
      </c>
      <c r="AC3124" s="159"/>
      <c r="AD3124" s="159"/>
      <c r="AE3124" s="158"/>
      <c r="AF3124" s="27" t="s">
        <v>356</v>
      </c>
      <c r="AG3124" s="29" t="s">
        <v>13003</v>
      </c>
      <c r="AH3124" s="29" t="s">
        <v>13004</v>
      </c>
      <c r="AI3124" s="158"/>
      <c r="AJ3124" s="158"/>
      <c r="AK3124" s="158"/>
      <c r="AL3124" s="158"/>
      <c r="AM3124" s="158"/>
      <c r="AN3124" s="158"/>
      <c r="AO3124" s="158"/>
      <c r="AP3124" s="158"/>
      <c r="AQ3124" s="158"/>
      <c r="AR3124" s="507"/>
      <c r="AS3124" s="475"/>
      <c r="AT3124" s="160"/>
    </row>
    <row r="3127" spans="1:46" ht="15" customHeight="1">
      <c r="P3127" s="123"/>
    </row>
  </sheetData>
  <customSheetViews>
    <customSheetView guid="{B0BF2767-5F9C-49A3-B621-DF906CF841B8}" filter="1" showAutoFilter="1">
      <pageMargins left="0" right="0" top="0" bottom="0" header="0" footer="0"/>
      <autoFilter ref="A1:AA794" xr:uid="{1233CEF8-F506-43EF-A9B7-C95AEA4ACE9B}">
        <filterColumn colId="7">
          <filters>
            <filter val="akamai dan Facebook"/>
            <filter val="all pelanggan di IDC"/>
            <filter val="ASTRA INTERNATIONAL TBK"/>
            <filter val="BADAN PENGAWAS PEMILIHAN UMUM SEKRETARIAT BADAN"/>
            <filter val="BANK ANDARA"/>
            <filter val="BANK MEGA"/>
            <filter val="DANA PENSIUN PLN"/>
            <filter val="DINAS KOMUNIKASI INFORMATIKA DAN PERSANDIAN ACEH"/>
            <filter val="PC KETAPANG II LTD |PT INDONESIA COMNETS PLUS"/>
            <filter val="Project Improvement Backbone All Pelanggan"/>
            <filter val="project pembangunan router 100G Joint Customer External"/>
            <filter val="PT  Sarana Steel"/>
            <filter val="PT Ace Hardware Indonesia"/>
            <filter val="PT Adaro Indonesia (cm_icon-adaro03)"/>
            <filter val="PT Adi Inti Mandiri Solusi"/>
            <filter val="PT Astra International"/>
            <filter val="PT BANK MANDIRI"/>
            <filter val="PT BANK MANDIRI (PERSERO), TBK"/>
            <filter val="PT CIKARANG LISTRINDO TBK"/>
            <filter val="PT CITRA SARI MAKMUR"/>
            <filter val="PT CYBERINDO ADITAMA"/>
            <filter val="PT CYBERINDO ADITAMA QQ PT ABIMANYU BANGKIT MANDIRI"/>
            <filter val="PT Home Credit Indonesia"/>
            <filter val="PT Iforte Global Internet"/>
            <filter val="PT indomarco Prismatama"/>
            <filter val="PT Indosat Tbk"/>
            <filter val="PT JAKARTA INFRASTRUKTUR PROPERTINDO"/>
            <filter val="PT Link Net"/>
            <filter val="PT Lintas Jaringan Nusantara"/>
            <filter val="PT MANE INDONESIA JABABEKA"/>
            <filter val="PT Marunda Distribundo Raya_x000a_PT Trans Retail Indonesia_x000a_PT Asuransi Astra Buana_x000a_PT Hutchison 3 Indonesia_x000a_KEMENTERIAN ENERGI DAN SUMBER DAYA MINERAL"/>
            <filter val="PT MEDIA TELEKOMUNIKASI MANDIRI"/>
            <filter val="PT MITRA VISIONER PRATAMA"/>
            <filter val="PT MULTI ADIPRAKARSA MANUNGGAL"/>
            <filter val="PT Nap Info lintasnusa"/>
            <filter val="PT NTT Indonesia"/>
            <filter val="PT PC24 TELEKOMUNIKASI QQ WATSONS STORE"/>
            <filter val="PT PRIMACOM INTERBUANA"/>
            <filter val="PT Telindo Nusantara"/>
            <filter val="PT TOKOPEDIA"/>
            <filter val="PT TRANS RETAIL INDONESIA"/>
            <filter val="PT XL Axiata"/>
            <filter val="PT. AKSES CIPTA SOLUSI"/>
            <filter val="PT. ALIANSI TEKNOLOGI INDONESIA"/>
            <filter val="PT. ANUGRAH INTI KARYA_x000a_Gpay Digital Asia_x000a_PT Lintas Teknologi Digital"/>
            <filter val="PT. BANK SINARMAS"/>
            <filter val="PT. CIPTA TELEKOMUNIKASI MANDIRI"/>
            <filter val="PT. DIAMOND COLD STORAGE -"/>
            <filter val="PT. ECO MULTI SINERGI"/>
            <filter val="PT. FAHASA TRI DATA"/>
            <filter val="PT. HIPERNET INDODATA"/>
            <filter val="PT. LAYANAN IMEDIA"/>
            <filter val="PT. NTT INDONESIA SOLUTIONS QQ PT PERTAMINA HULU ENERGI"/>
            <filter val="PT. SUMBER UTAMA FIBER INDONESIA"/>
            <filter val="PT. WOM FINANCE"/>
          </filters>
        </filterColumn>
      </autoFilter>
    </customSheetView>
    <customSheetView guid="{88395C05-4EB1-4519-BB5E-80CE82512CF2}" filter="1" showAutoFilter="1">
      <pageMargins left="0" right="0" top="0" bottom="0" header="0" footer="0"/>
      <autoFilter ref="A1:AA794" xr:uid="{F38C218E-8479-485B-BB24-2AECABB84DBC}">
        <filterColumn colId="26">
          <filters blank="1">
            <filter val="V BG"/>
          </filters>
        </filterColumn>
      </autoFilter>
    </customSheetView>
    <customSheetView guid="{027350FF-8ECE-43E8-9F80-9383AF4E2461}" filter="1" showAutoFilter="1">
      <pageMargins left="0" right="0" top="0" bottom="0" header="0" footer="0"/>
      <autoFilter ref="A1:AA794" xr:uid="{1B716F90-1C39-474A-B4F0-6058DA080AF0}"/>
    </customSheetView>
    <customSheetView guid="{7DBB7BD3-F30B-4B7E-925C-A4F160FB8500}" filter="1" showAutoFilter="1">
      <pageMargins left="0" right="0" top="0" bottom="0" header="0" footer="0"/>
      <autoFilter ref="A1:AA794" xr:uid="{A9163E82-A144-4883-8B68-36171D9A16A2}">
        <filterColumn colId="1">
          <filters>
            <filter val="Biru Hijau"/>
            <filter val="Five Pillars Indonesia Office Park"/>
            <filter val="Jakarta Infrastruktur Propertindo"/>
            <filter val="Jakarta Land (WTC)"/>
            <filter val="Krakatau Sarana Properti"/>
            <filter val="Oleos Kirana Pratama"/>
            <filter val="PD Pasar Jaya"/>
            <filter val="Sokka Tama Fiber"/>
            <filter val="Solusi Data Cepat"/>
            <filter val="Solusi Jasa Teknologi"/>
            <filter val="Telkom Data Ekosistem"/>
          </filters>
        </filterColumn>
      </autoFilter>
    </customSheetView>
  </customSheetViews>
  <phoneticPr fontId="33" type="noConversion"/>
  <conditionalFormatting sqref="E2:E1048576">
    <cfRule type="containsText" dxfId="24" priority="916" operator="containsText" text="LOSS">
      <formula>NOT(ISERROR(SEARCH("LOSS",E2)))</formula>
    </cfRule>
    <cfRule type="containsText" dxfId="23" priority="1262" operator="containsText" text="CRITICAL">
      <formula>NOT(ISERROR(SEARCH("CRITICAL",E2)))</formula>
    </cfRule>
    <cfRule type="containsText" dxfId="22" priority="1263" operator="containsText" text="ATTENTION">
      <formula>NOT(ISERROR(SEARCH("ATTENTION",E2)))</formula>
    </cfRule>
    <cfRule type="containsText" dxfId="21" priority="1264" operator="containsText" text="WARNING">
      <formula>NOT(ISERROR(SEARCH("WARNING",E2)))</formula>
    </cfRule>
    <cfRule type="containsText" dxfId="20" priority="1265" operator="containsText" text="ON TRACK">
      <formula>NOT(ISERROR(SEARCH("ON TRACK",E2)))</formula>
    </cfRule>
  </conditionalFormatting>
  <conditionalFormatting sqref="Z2:Z3085">
    <cfRule type="cellIs" dxfId="19" priority="46" operator="lessThan">
      <formula>0</formula>
    </cfRule>
    <cfRule type="cellIs" dxfId="18" priority="47" operator="greaterThan">
      <formula>60</formula>
    </cfRule>
    <cfRule type="cellIs" dxfId="17" priority="48" operator="between">
      <formula>30</formula>
      <formula>60</formula>
    </cfRule>
    <cfRule type="cellIs" dxfId="16" priority="49" operator="between">
      <formula>15</formula>
      <formula>30</formula>
    </cfRule>
    <cfRule type="cellIs" dxfId="15" priority="50" operator="lessThan">
      <formula>15</formula>
    </cfRule>
  </conditionalFormatting>
  <conditionalFormatting sqref="Z3089">
    <cfRule type="cellIs" dxfId="14" priority="41" operator="lessThan">
      <formula>0</formula>
    </cfRule>
    <cfRule type="cellIs" dxfId="13" priority="42" operator="greaterThan">
      <formula>60</formula>
    </cfRule>
    <cfRule type="cellIs" dxfId="12" priority="43" operator="between">
      <formula>30</formula>
      <formula>60</formula>
    </cfRule>
    <cfRule type="cellIs" dxfId="11" priority="44" operator="between">
      <formula>15</formula>
      <formula>30</formula>
    </cfRule>
    <cfRule type="cellIs" dxfId="10" priority="45" operator="lessThan">
      <formula>15</formula>
    </cfRule>
  </conditionalFormatting>
  <conditionalFormatting sqref="Z3091:Z3095">
    <cfRule type="cellIs" dxfId="9" priority="11" operator="lessThan">
      <formula>0</formula>
    </cfRule>
    <cfRule type="cellIs" dxfId="8" priority="12" operator="greaterThan">
      <formula>60</formula>
    </cfRule>
    <cfRule type="cellIs" dxfId="7" priority="13" operator="between">
      <formula>30</formula>
      <formula>60</formula>
    </cfRule>
    <cfRule type="cellIs" dxfId="6" priority="14" operator="between">
      <formula>15</formula>
      <formula>30</formula>
    </cfRule>
    <cfRule type="cellIs" dxfId="5" priority="15" operator="lessThan">
      <formula>15</formula>
    </cfRule>
  </conditionalFormatting>
  <conditionalFormatting sqref="Z3098:Z3124">
    <cfRule type="cellIs" dxfId="4" priority="36" operator="lessThan">
      <formula>0</formula>
    </cfRule>
    <cfRule type="cellIs" dxfId="3" priority="37" operator="greaterThan">
      <formula>60</formula>
    </cfRule>
    <cfRule type="cellIs" dxfId="2" priority="38" operator="between">
      <formula>30</formula>
      <formula>60</formula>
    </cfRule>
    <cfRule type="cellIs" dxfId="1" priority="39" operator="between">
      <formula>15</formula>
      <formula>30</formula>
    </cfRule>
    <cfRule type="cellIs" dxfId="0" priority="40" operator="lessThan">
      <formula>15</formula>
    </cfRule>
  </conditionalFormatting>
  <dataValidations count="290">
    <dataValidation type="date" allowBlank="1" showInputMessage="1" showErrorMessage="1" sqref="V2276 V2261 V2255 V3026" xr:uid="{2E6A5125-3553-40C5-BD7D-7569DC211D26}">
      <formula1>X3126</formula1>
      <formula2>X4303</formula2>
    </dataValidation>
    <dataValidation type="date" allowBlank="1" showInputMessage="1" showErrorMessage="1" sqref="V427" xr:uid="{30293286-198F-43CE-B4BB-733355D81458}">
      <formula1>#REF!</formula1>
      <formula2>X2455</formula2>
    </dataValidation>
    <dataValidation type="date" allowBlank="1" showInputMessage="1" showErrorMessage="1" sqref="V2272 V2657 V2966" xr:uid="{DFA334AB-594B-43BA-89F6-50C9E70A26D1}">
      <formula1>X3147</formula1>
      <formula2>X4324</formula2>
    </dataValidation>
    <dataValidation type="date" allowBlank="1" showInputMessage="1" showErrorMessage="1" sqref="V2280 V2962" xr:uid="{163E2D5D-5863-4AA8-A2BD-ECE1F4C0EB40}">
      <formula1>X3154</formula1>
      <formula2>X4331</formula2>
    </dataValidation>
    <dataValidation type="date" allowBlank="1" showInputMessage="1" showErrorMessage="1" sqref="V2690" xr:uid="{68C6C5C5-D9E2-4255-8794-02A09182D8E4}">
      <formula1>X3536</formula1>
      <formula2>X4714</formula2>
    </dataValidation>
    <dataValidation type="date" allowBlank="1" showInputMessage="1" showErrorMessage="1" sqref="V132:V134 V302" xr:uid="{B95266BD-2C54-4F71-9261-17134B822D81}">
      <formula1>X912</formula1>
      <formula2>X2086</formula2>
    </dataValidation>
    <dataValidation type="date" allowBlank="1" showInputMessage="1" showErrorMessage="1" sqref="V1047863" xr:uid="{D1C7A021-9B1C-4B76-9729-3DA87D7F2023}">
      <formula1>X1</formula1>
      <formula2>X1173</formula2>
    </dataValidation>
    <dataValidation type="date" allowBlank="1" showInputMessage="1" showErrorMessage="1" sqref="V1047862" xr:uid="{832D3F3A-1A67-4DE5-A89C-20C9338E7210}">
      <formula1>X1</formula1>
      <formula2>X1171</formula2>
    </dataValidation>
    <dataValidation type="date" allowBlank="1" showInputMessage="1" showErrorMessage="1" sqref="V1047855:V1047861" xr:uid="{836B9C00-CF9A-4234-A27D-50930F182ABA}">
      <formula1>X1</formula1>
      <formula2>X1165</formula2>
    </dataValidation>
    <dataValidation type="date" allowBlank="1" showInputMessage="1" showErrorMessage="1" sqref="V1047853:V1047854" xr:uid="{444B17E8-5149-4E43-B2E1-8B277A5E5704}">
      <formula1>X1</formula1>
      <formula2>X1164</formula2>
    </dataValidation>
    <dataValidation type="date" allowBlank="1" showInputMessage="1" showErrorMessage="1" sqref="V1047833:V1047852" xr:uid="{B6D1E084-B66D-4224-B1CB-B463FDBCC6F5}">
      <formula1>X1</formula1>
      <formula2>X1143</formula2>
    </dataValidation>
    <dataValidation type="date" allowBlank="1" showInputMessage="1" showErrorMessage="1" sqref="V691:V692 V2375:V2376 V3049 V3051:V3052 V3115:V3124" xr:uid="{B67CE319-5022-4E68-A501-2C1764A56870}">
      <formula1>X1476</formula1>
      <formula2>X2653</formula2>
    </dataValidation>
    <dataValidation type="date" allowBlank="1" showInputMessage="1" showErrorMessage="1" sqref="V2550:V2551" xr:uid="{D26750C1-F65A-4117-859D-F1BA4778B80F}">
      <formula1>X3375</formula1>
      <formula2>X4552</formula2>
    </dataValidation>
    <dataValidation type="date" allowBlank="1" showInputMessage="1" showErrorMessage="1" sqref="V48:V49 V44" xr:uid="{9003B883-8C0F-4826-8B59-586774BB36EA}">
      <formula1>X822</formula1>
      <formula2>#REF!</formula2>
    </dataValidation>
    <dataValidation type="date" allowBlank="1" showInputMessage="1" showErrorMessage="1" sqref="V135 V141:V142 V152:V153 V234:V241 V319 V155 V301 V303" xr:uid="{2849B752-8C3D-4CEA-BFB9-F75806124E7C}">
      <formula1>X915</formula1>
      <formula2>#REF!</formula2>
    </dataValidation>
    <dataValidation type="date" allowBlank="1" showInputMessage="1" showErrorMessage="1" sqref="V2895 V3034" xr:uid="{135FE01B-3F82-4A37-8AA2-F74568443652}">
      <formula1>X3717</formula1>
      <formula2>X4894</formula2>
    </dataValidation>
    <dataValidation type="date" allowBlank="1" showInputMessage="1" showErrorMessage="1" sqref="V2279" xr:uid="{1023F6A2-A1C2-4288-AA4F-D171ECEA5D2D}">
      <formula1>X3135</formula1>
      <formula2>X4338</formula2>
    </dataValidation>
    <dataValidation type="date" allowBlank="1" showInputMessage="1" showErrorMessage="1" sqref="V2370:V2374 V2702" xr:uid="{50ADD82D-D4F9-4D60-89F0-0C0C392B972A}">
      <formula1>X3157</formula1>
      <formula2>X4334</formula2>
    </dataValidation>
    <dataValidation type="date" allowBlank="1" showInputMessage="1" showErrorMessage="1" sqref="V2742 V2233:V2234" xr:uid="{70B9E2D9-81BC-4976-B835-0ADC9BF22292}">
      <formula1>#REF!</formula1>
      <formula2>X4256</formula2>
    </dataValidation>
    <dataValidation type="date" allowBlank="1" showInputMessage="1" showErrorMessage="1" sqref="V2794:V2795 V2689" xr:uid="{22A31AEF-F98A-43C4-80E7-F58579835592}">
      <formula1>X3541</formula1>
      <formula2>X4718</formula2>
    </dataValidation>
    <dataValidation type="date" allowBlank="1" showInputMessage="1" showErrorMessage="1" sqref="V1007" xr:uid="{A61C346A-E361-4854-9C0F-083A740600FD}">
      <formula1>#REF!</formula1>
      <formula2>X2968</formula2>
    </dataValidation>
    <dataValidation type="date" allowBlank="1" showInputMessage="1" showErrorMessage="1" sqref="V2:V43" xr:uid="{3FEB3E14-8A89-4C92-AA90-AE36B3FE7BF0}">
      <formula1>X780</formula1>
      <formula2>X1956</formula2>
    </dataValidation>
    <dataValidation type="date" allowBlank="1" showInputMessage="1" showErrorMessage="1" sqref="V50:V88" xr:uid="{C3D90E47-E778-4C84-A311-1572FC159BA5}">
      <formula1>X828</formula1>
      <formula2>X2001</formula2>
    </dataValidation>
    <dataValidation type="date" allowBlank="1" showInputMessage="1" showErrorMessage="1" sqref="V154" xr:uid="{9A6FA972-6E91-45FF-8694-BBECF5D14D13}">
      <formula1>X934</formula1>
      <formula2>X2113</formula2>
    </dataValidation>
    <dataValidation type="date" allowBlank="1" showInputMessage="1" showErrorMessage="1" sqref="V1" xr:uid="{95EA52FC-D3D9-4AA4-9B45-376189AF932F}">
      <formula1>X779</formula1>
      <formula2>X1950</formula2>
    </dataValidation>
    <dataValidation type="date" allowBlank="1" showInputMessage="1" showErrorMessage="1" sqref="V45:V47" xr:uid="{C76618F0-4B12-4B14-8F89-5191B9F7BBA9}">
      <formula1>X823</formula1>
      <formula2>X1998</formula2>
    </dataValidation>
    <dataValidation type="date" allowBlank="1" showInputMessage="1" showErrorMessage="1" sqref="V89:V109" xr:uid="{5AEE5C71-1266-461B-A027-74A6BB696C60}">
      <formula1>X868</formula1>
      <formula2>X2040</formula2>
    </dataValidation>
    <dataValidation type="date" allowBlank="1" showInputMessage="1" showErrorMessage="1" sqref="V110:V131" xr:uid="{81F5AA28-BD08-4E2D-BC86-369B7A189151}">
      <formula1>X889</formula1>
      <formula2>X2064</formula2>
    </dataValidation>
    <dataValidation type="date" allowBlank="1" showInputMessage="1" showErrorMessage="1" sqref="V138:V140 V143:V149 V304:V318" xr:uid="{AC43CBB7-AE72-475C-B82D-29FBB75312BA}">
      <formula1>X918</formula1>
      <formula2>X2091</formula2>
    </dataValidation>
    <dataValidation type="date" allowBlank="1" showInputMessage="1" showErrorMessage="1" sqref="V136:V137 V156:V169 V331:V332" xr:uid="{3ED84F35-91A2-443F-918F-CA3ADAA5EA4B}">
      <formula1>X916</formula1>
      <formula2>X2094</formula2>
    </dataValidation>
    <dataValidation type="date" allowBlank="1" showInputMessage="1" showErrorMessage="1" sqref="V150:V151" xr:uid="{650A4E2B-A919-4922-BC6A-86440CC69694}">
      <formula1>X930</formula1>
      <formula2>X2111</formula2>
    </dataValidation>
    <dataValidation type="date" allowBlank="1" showInputMessage="1" showErrorMessage="1" sqref="V574 V599 V606 V734:V735 V885:V889" xr:uid="{6C56EEEE-7459-4B84-A85D-506DF74AE506}">
      <formula1>X1360</formula1>
      <formula2>#REF!</formula2>
    </dataValidation>
    <dataValidation type="date" allowBlank="1" showInputMessage="1" showErrorMessage="1" sqref="V1228 V2164" xr:uid="{8010205D-3AFB-4CBA-9498-7431B277EE71}">
      <formula1>#REF!</formula1>
      <formula2>X3244</formula2>
    </dataValidation>
    <dataValidation type="date" allowBlank="1" showInputMessage="1" showErrorMessage="1" sqref="V1766" xr:uid="{81B66973-ACA6-4D9C-AAA7-13B68F998D31}">
      <formula1>#REF!</formula1>
      <formula2>X3799</formula2>
    </dataValidation>
    <dataValidation type="date" allowBlank="1" showInputMessage="1" showErrorMessage="1" sqref="V970:V981" xr:uid="{7A177A62-16FA-494F-866B-FA39D6412A4F}">
      <formula1>#REF!</formula1>
      <formula2>X2918</formula2>
    </dataValidation>
    <dataValidation type="date" allowBlank="1" showInputMessage="1" showErrorMessage="1" sqref="V2653 V1896" xr:uid="{8583B662-38DB-426D-936D-937978CB669C}">
      <formula1>#REF!</formula1>
      <formula2>X3934</formula2>
    </dataValidation>
    <dataValidation type="date" allowBlank="1" showInputMessage="1" showErrorMessage="1" sqref="V618:V666 V847 V833" xr:uid="{5FDC95F0-02CE-4B2D-9D47-7F467F8D7644}">
      <formula1>X1405</formula1>
      <formula2>#REF!</formula2>
    </dataValidation>
    <dataValidation type="date" allowBlank="1" showInputMessage="1" showErrorMessage="1" sqref="V2278 V2274 V2257:V2260" xr:uid="{9A39BDC4-F06F-4CE3-9D32-5CBA76959F24}">
      <formula1>X3127</formula1>
      <formula2>X4304</formula2>
    </dataValidation>
    <dataValidation type="date" allowBlank="1" showInputMessage="1" showErrorMessage="1" sqref="V2352 V2366 V2655 V2695 V2740 U2745" xr:uid="{64A51032-2193-46EB-A6A1-666BF2D984AF}">
      <formula1>W3214</formula1>
      <formula2>W4391</formula2>
    </dataValidation>
    <dataValidation type="date" allowBlank="1" showInputMessage="1" showErrorMessage="1" sqref="V2874 V2713 V3057" xr:uid="{D4395000-102D-4227-8DE4-ADCFF80482DA}">
      <formula1>X3570</formula1>
      <formula2>X4747</formula2>
    </dataValidation>
    <dataValidation type="date" allowBlank="1" showInputMessage="1" showErrorMessage="1" sqref="V2854:V2858 V2763 V2790:V2792 V2956:V2961 V2988" xr:uid="{78799209-D3DB-4C6E-9146-A17B87ECA235}">
      <formula1>X3604</formula1>
      <formula2>X4781</formula2>
    </dataValidation>
    <dataValidation type="date" allowBlank="1" showInputMessage="1" showErrorMessage="1" sqref="V2877:V2878 V2299:V2336 V2759 V2353 V2344 V2346 V2349:V2351 V2365 V2686:V2687 V2696 V2701 V2712 V2714 V2717 V2733:V2734 V2741 V2755 V2356:V2360 V2985 V2989 V2996 V3002 V3008 V3019 V3021:V3022 V3032 V3085 V3091 V3093" xr:uid="{767B01AE-853A-4CF3-AE51-51B3788225D9}">
      <formula1>X3149</formula1>
      <formula2>X4326</formula2>
    </dataValidation>
    <dataValidation type="date" allowBlank="1" showInputMessage="1" showErrorMessage="1" sqref="V2337" xr:uid="{A0E5089D-6E3F-44E5-945A-D18EBFE2C9F6}">
      <formula1>X3207</formula1>
      <formula2>X4353</formula2>
    </dataValidation>
    <dataValidation type="date" allowBlank="1" showInputMessage="1" showErrorMessage="1" sqref="V2345" xr:uid="{FB92C8EA-BCEA-4635-9C9A-6069F7C42E7E}">
      <formula1>#REF!</formula1>
      <formula2>X4384</formula2>
    </dataValidation>
    <dataValidation type="date" allowBlank="1" showInputMessage="1" showErrorMessage="1" sqref="V667:V690 V693 V720:V733" xr:uid="{8E4AFCCA-155D-492C-8D9D-234634D04423}">
      <formula1>X1452</formula1>
      <formula2>#REF!</formula2>
    </dataValidation>
    <dataValidation type="date" allowBlank="1" showInputMessage="1" showErrorMessage="1" sqref="V2369" xr:uid="{1887CB15-B12E-4F1C-B8DE-26BF094D86FC}">
      <formula1>X3213</formula1>
      <formula2>X4388</formula2>
    </dataValidation>
    <dataValidation type="date" allowBlank="1" showInputMessage="1" showErrorMessage="1" sqref="V2867" xr:uid="{CF42808C-9A44-4084-A661-FE7B351E702D}">
      <formula1>X3780</formula1>
      <formula2>X4885</formula2>
    </dataValidation>
    <dataValidation type="date" allowBlank="1" showInputMessage="1" showErrorMessage="1" sqref="V2362:V2363" xr:uid="{08649E9E-99E5-431D-A4E0-62A2BC087572}">
      <formula1>X3192</formula1>
      <formula2>X4387</formula2>
    </dataValidation>
    <dataValidation type="date" allowBlank="1" showInputMessage="1" showErrorMessage="1" sqref="V2361" xr:uid="{E6759C3E-973E-43A0-8BC7-6A85C692E38F}">
      <formula1>X3187</formula1>
      <formula2>X4386</formula2>
    </dataValidation>
    <dataValidation type="date" allowBlank="1" showInputMessage="1" showErrorMessage="1" sqref="V2339" xr:uid="{2ABD6CA4-B52D-4060-86D5-B61E6B5C63E3}">
      <formula1>X3186</formula1>
      <formula2>X4364</formula2>
    </dataValidation>
    <dataValidation type="date" allowBlank="1" showInputMessage="1" showErrorMessage="1" sqref="V2652 V2728:V2732 V2929" xr:uid="{A7EB1A93-6FAA-4424-8F29-A70F1794F32C}">
      <formula1>X3500</formula1>
      <formula2>X4678</formula2>
    </dataValidation>
    <dataValidation type="date" allowBlank="1" showInputMessage="1" showErrorMessage="1" sqref="V2806:V2835 V2720:V2721 V2143 V3055:V3056" xr:uid="{5D856282-8366-4AB6-8E21-B2F825DF979F}">
      <formula1>#REF!</formula1>
      <formula2>X4180</formula2>
    </dataValidation>
    <dataValidation type="date" allowBlank="1" showInputMessage="1" showErrorMessage="1" sqref="V2262:V2271" xr:uid="{9663419A-5069-45CF-9DB3-ECEDC740A974}">
      <formula1>X3131</formula1>
      <formula2>X4308</formula2>
    </dataValidation>
    <dataValidation type="date" allowBlank="1" showInputMessage="1" showErrorMessage="1" sqref="V2800:V2803 V2805 V2277 V2281:V2298 V2367:V2368 V2354 V2340:V2343 V2781 V2954 V3011:V3016 V3025 V3048 V3053 V3098:V3100" xr:uid="{41AF6B19-C925-4738-823A-ECD4527E1C54}">
      <formula1>X3126</formula1>
      <formula2>X4303</formula2>
    </dataValidation>
    <dataValidation type="date" allowBlank="1" showInputMessage="1" showErrorMessage="1" sqref="V2694" xr:uid="{2F5B70D7-CFB0-40CA-A838-1159A6F73F62}">
      <formula1>X3544</formula1>
      <formula2>X4712</formula2>
    </dataValidation>
    <dataValidation type="date" allowBlank="1" showInputMessage="1" showErrorMessage="1" sqref="V2697 V2699:V2700 V2940" xr:uid="{0A3ACCE0-9F88-4223-9A75-2CA3C0EE32A1}">
      <formula1>X3546</formula1>
      <formula2>X4715</formula2>
    </dataValidation>
    <dataValidation type="date" allowBlank="1" showInputMessage="1" showErrorMessage="1" sqref="V2764" xr:uid="{7DE3F504-DF14-4794-8E95-90EDD16F5BC7}">
      <formula1>X3623</formula1>
      <formula2>X4802</formula2>
    </dataValidation>
    <dataValidation type="date" allowBlank="1" showInputMessage="1" showErrorMessage="1" sqref="V2713 V2908:V2909 V2911 V2916 V2918:V2920 V2923:V2924 V2930:V2931 V2948 V2953 V3057" xr:uid="{64709EDD-5366-4E09-8293-165F390B5B75}">
      <formula1>X3573</formula1>
      <formula2>X4750</formula2>
    </dataValidation>
    <dataValidation type="date" allowBlank="1" showInputMessage="1" showErrorMessage="1" sqref="V2744" xr:uid="{94AD77C6-9D88-40F1-A049-B929A578B5F1}">
      <formula1>X3606</formula1>
      <formula2>X4785</formula2>
    </dataValidation>
    <dataValidation type="date" allowBlank="1" showInputMessage="1" showErrorMessage="1" sqref="V2707" xr:uid="{04EE7AF0-94AB-4DBA-A4FC-EA7E7355E3CF}">
      <formula1>X3576</formula1>
      <formula2>X4745</formula2>
    </dataValidation>
    <dataValidation type="date" allowBlank="1" showInputMessage="1" showErrorMessage="1" sqref="V694:V718" xr:uid="{D57545DD-3EB9-4A16-86BD-2D8B234F9E9E}">
      <formula1>X1479</formula1>
      <formula2>X2655</formula2>
    </dataValidation>
    <dataValidation type="list" allowBlank="1" showInputMessage="1" showErrorMessage="1" promptTitle="Proses Admin" prompt="totao _x000a_osajdasjd_x000a_aksjdpajd" sqref="X779" xr:uid="{90DC5548-1823-435D-9570-49096E3A2C83}">
      <formula1>$X$779:$X$2113</formula1>
    </dataValidation>
    <dataValidation type="date" allowBlank="1" showInputMessage="1" showErrorMessage="1" sqref="V170:V207 V333" xr:uid="{2A2A4431-0DF5-4C48-BDF6-03FAA2884294}">
      <formula1>X950</formula1>
      <formula2>X2132</formula2>
    </dataValidation>
    <dataValidation type="date" allowBlank="1" showInputMessage="1" showErrorMessage="1" sqref="V208:V233" xr:uid="{B2775272-5768-4F26-9F45-96F7D693BE9F}">
      <formula1>X988</formula1>
      <formula2>X2171</formula2>
    </dataValidation>
    <dataValidation type="date" allowBlank="1" showInputMessage="1" showErrorMessage="1" sqref="V2724:V2725 V2963:V2964" xr:uid="{1F21C953-B430-46FE-876D-40689D1EE57D}">
      <formula1>X3592</formula1>
      <formula2>X4761</formula2>
    </dataValidation>
    <dataValidation type="date" allowBlank="1" showInputMessage="1" showErrorMessage="1" sqref="V2723" xr:uid="{68E4CBAD-F688-493C-BE73-37AB8E5AABDB}">
      <formula1>X3562</formula1>
      <formula2>X4740</formula2>
    </dataValidation>
    <dataValidation type="date" allowBlank="1" showInputMessage="1" showErrorMessage="1" sqref="V1047864" xr:uid="{0189A63D-50BE-4B3E-8090-C6A0A6A56D65}">
      <formula1>X1</formula1>
      <formula2>X1175</formula2>
    </dataValidation>
    <dataValidation type="date" allowBlank="1" showInputMessage="1" showErrorMessage="1" sqref="V2021 V2007 V2275" xr:uid="{4126094F-A95F-4089-BD33-4C4612B94165}">
      <formula1>#REF!</formula1>
      <formula2>X4033</formula2>
    </dataValidation>
    <dataValidation type="date" allowBlank="1" showInputMessage="1" showErrorMessage="1" sqref="V2780" xr:uid="{3094D9B6-1189-429C-875F-998A8800BDB9}">
      <formula1>X3634</formula1>
      <formula2>X4813</formula2>
    </dataValidation>
    <dataValidation type="date" allowBlank="1" showInputMessage="1" showErrorMessage="1" sqref="V2064 V3058" xr:uid="{5CAB189A-1236-4A4A-BEED-7871DDF45D6D}">
      <formula1>#REF!</formula1>
      <formula2>X4088</formula2>
    </dataValidation>
    <dataValidation type="date" allowBlank="1" showInputMessage="1" showErrorMessage="1" sqref="V2057:V2061" xr:uid="{9B2BAF5F-8045-4ADA-9802-A547D40E9667}">
      <formula1>#REF!</formula1>
      <formula2>X4084</formula2>
    </dataValidation>
    <dataValidation type="date" allowBlank="1" showInputMessage="1" showErrorMessage="1" sqref="V2882 V2885:V2886 V2893" xr:uid="{984B41C6-DA4A-4DD1-A53C-29161665904B}">
      <formula1>X3729</formula1>
      <formula2>X4909</formula2>
    </dataValidation>
    <dataValidation type="date" allowBlank="1" showInputMessage="1" showErrorMessage="1" sqref="V2850:V2852" xr:uid="{9609CAC8-D930-4514-9635-76C1CBA00D9D}">
      <formula1>X3704</formula1>
      <formula2>X4879</formula2>
    </dataValidation>
    <dataValidation type="date" allowBlank="1" showInputMessage="1" showErrorMessage="1" sqref="V2865:V2866 V2945 V2853" xr:uid="{91BDFE2B-AC78-4BFA-A44F-D448570A13EA}">
      <formula1>X3708</formula1>
      <formula2>X4882</formula2>
    </dataValidation>
    <dataValidation type="date" allowBlank="1" showInputMessage="1" showErrorMessage="1" sqref="V2883" xr:uid="{3B09A6F4-BD19-4A75-B149-2B5EAA9A4A4C}">
      <formula1>X3753</formula1>
      <formula2>X4927</formula2>
    </dataValidation>
    <dataValidation type="date" allowBlank="1" showInputMessage="1" showErrorMessage="1" sqref="V2887" xr:uid="{21D48577-EB97-43F6-917A-435E55DDE5BF}">
      <formula1>X3741</formula1>
      <formula2>X4915</formula2>
    </dataValidation>
    <dataValidation type="date" allowBlank="1" showInputMessage="1" showErrorMessage="1" sqref="V2840:V2841" xr:uid="{C655B385-22B1-4DA7-AAEE-82BAC52911CB}">
      <formula1>X3757</formula1>
      <formula2>X4857</formula2>
    </dataValidation>
    <dataValidation type="date" allowBlank="1" showInputMessage="1" showErrorMessage="1" sqref="V2872:V2873 V3020" xr:uid="{49F3169D-F3BF-423C-8770-A88D94D0F894}">
      <formula1>X3710</formula1>
      <formula2>X4896</formula2>
    </dataValidation>
    <dataValidation type="date" allowBlank="1" showInputMessage="1" showErrorMessage="1" sqref="V2654 V2704:V2706 V2766:V2768 V2658 V3001 V3003 V3092 V3094:V3095" xr:uid="{01CAA637-0D0C-4E6A-900D-DC8CC67BEE5C}">
      <formula1>X3507</formula1>
      <formula2>X4684</formula2>
    </dataValidation>
    <dataValidation type="date" allowBlank="1" showInputMessage="1" showErrorMessage="1" sqref="V2560:V2607" xr:uid="{164681BB-CF7E-4A9C-8BD0-9EBAC4EEC97A}">
      <formula1>X3381</formula1>
      <formula2>X4558</formula2>
    </dataValidation>
    <dataValidation type="date" allowBlank="1" showInputMessage="1" showErrorMessage="1" sqref="V2691:V2693" xr:uid="{18EFD506-4BDA-45A5-9D17-2EC4465EAD74}">
      <formula1>X3547</formula1>
      <formula2>X4724</formula2>
    </dataValidation>
    <dataValidation type="date" allowBlank="1" showInputMessage="1" showErrorMessage="1" sqref="V2347:V2348 V3027" xr:uid="{3C5FC272-7984-470C-9865-C6787AD4FF37}">
      <formula1>X3259</formula1>
      <formula2>X4364</formula2>
    </dataValidation>
    <dataValidation type="date" allowBlank="1" showInputMessage="1" showErrorMessage="1" sqref="V1785:V1851 V3017" xr:uid="{14BAFEFD-4F80-448A-9903-BF107A7FEAF9}">
      <formula1>#REF!</formula1>
      <formula2>X3819</formula2>
    </dataValidation>
    <dataValidation type="date" allowBlank="1" showInputMessage="1" showErrorMessage="1" sqref="V2780" xr:uid="{EE58D312-B389-41F2-9D7F-A630A5AD101A}">
      <formula1>X3637</formula1>
      <formula2>X4816</formula2>
    </dataValidation>
    <dataValidation type="date" allowBlank="1" showInputMessage="1" showErrorMessage="1" sqref="V2844" xr:uid="{08E3C166-A83D-49C6-ABD3-B8AA08BD4574}">
      <formula1>X3699</formula1>
      <formula2>X4872</formula2>
    </dataValidation>
    <dataValidation type="date" allowBlank="1" showInputMessage="1" showErrorMessage="1" sqref="V2842" xr:uid="{938D90FA-8810-4C9D-BB1C-9EF29D79AF92}">
      <formula1>X3688</formula1>
      <formula2>X4857</formula2>
    </dataValidation>
    <dataValidation type="date" allowBlank="1" showInputMessage="1" showErrorMessage="1" sqref="V2253 V3054" xr:uid="{065AF38E-0D93-4665-BC6D-27C01D5AF1E8}">
      <formula1>X3125</formula1>
      <formula2>X4302</formula2>
    </dataValidation>
    <dataValidation type="date" allowBlank="1" showInputMessage="1" showErrorMessage="1" sqref="V991:V993 V983:V989" xr:uid="{14D9F463-6470-4415-AD0A-BBF7BDC7E0FC}">
      <formula1>#REF!</formula1>
      <formula2>X2941</formula2>
    </dataValidation>
    <dataValidation type="date" allowBlank="1" showInputMessage="1" showErrorMessage="1" sqref="V242:V300" xr:uid="{AEBE0ADF-E753-4120-93A8-A327AC7632D8}">
      <formula1>X1022</formula1>
      <formula2>X2197</formula2>
    </dataValidation>
    <dataValidation type="date" allowBlank="1" showInputMessage="1" showErrorMessage="1" sqref="V320:V330" xr:uid="{45D97467-033C-4AE8-901B-B060C845E5D6}">
      <formula1>X1100</formula1>
      <formula2>X2272</formula2>
    </dataValidation>
    <dataValidation type="date" allowBlank="1" showInputMessage="1" showErrorMessage="1" sqref="V2935" xr:uid="{38F66CB1-2957-4FA2-8988-EAFEC5861A8E}">
      <formula1>X3803</formula1>
      <formula2>X4980</formula2>
    </dataValidation>
    <dataValidation type="date" allowBlank="1" showInputMessage="1" showErrorMessage="1" sqref="V2843 V2915 V2936 V2965 V2971 V2967:V2969 V2979 V2982" xr:uid="{22BA573D-1D54-4C31-812A-577C0784CA82}">
      <formula1>X3681</formula1>
      <formula2>X4858</formula2>
    </dataValidation>
    <dataValidation type="date" allowBlank="1" showInputMessage="1" showErrorMessage="1" sqref="V2917 V2946 V2978 V2980 V2983:V2984 V2987 V2990:V2993" xr:uid="{BF7B37C0-70B6-4193-81C8-C6998D8E13BD}">
      <formula1>X3763</formula1>
      <formula2>X4940</formula2>
    </dataValidation>
    <dataValidation type="date" allowBlank="1" showInputMessage="1" showErrorMessage="1" sqref="V334" xr:uid="{6D295218-D73D-4781-BD10-A38F7479FA6A}">
      <formula1>X1114</formula1>
      <formula2>X2299</formula2>
    </dataValidation>
    <dataValidation type="date" allowBlank="1" showInputMessage="1" showErrorMessage="1" sqref="V335" xr:uid="{BE6D3409-9B6D-40B5-B7E2-B21CE78CD98C}">
      <formula1>X1115</formula1>
      <formula2>X2304</formula2>
    </dataValidation>
    <dataValidation type="date" allowBlank="1" showInputMessage="1" showErrorMessage="1" sqref="V336:V338" xr:uid="{38C89BAB-CF60-4C79-BD7A-F1BFB216853A}">
      <formula1>X1116</formula1>
      <formula2>X2308</formula2>
    </dataValidation>
    <dataValidation type="date" allowBlank="1" showInputMessage="1" showErrorMessage="1" sqref="V339:V355" xr:uid="{27F05D65-D9D9-4B3F-8B76-9C706294D2BD}">
      <formula1>X1119</formula1>
      <formula2>X2313</formula2>
    </dataValidation>
    <dataValidation type="date" allowBlank="1" showInputMessage="1" showErrorMessage="1" sqref="V356:V358" xr:uid="{C330EF03-0EE6-4AA2-B5D3-FC10F230B990}">
      <formula1>X1136</formula1>
      <formula2>X2370</formula2>
    </dataValidation>
    <dataValidation type="date" allowBlank="1" showInputMessage="1" showErrorMessage="1" sqref="V359:V371" xr:uid="{F28FF720-F231-4B32-80D5-5E2569216B3B}">
      <formula1>X1139</formula1>
      <formula2>X2375</formula2>
    </dataValidation>
    <dataValidation type="date" allowBlank="1" showInputMessage="1" showErrorMessage="1" sqref="V430 V424:V426 V1936:V1942" xr:uid="{246B0FBF-CE52-46E2-8E51-09F5680D1AEF}">
      <formula1>X1206</formula1>
      <formula2>X2452</formula2>
    </dataValidation>
    <dataValidation type="date" allowBlank="1" showInputMessage="1" showErrorMessage="1" sqref="V423 V428:V429" xr:uid="{D5A54C1C-AA08-4217-A113-1A41CDD18624}">
      <formula1>X1204</formula1>
      <formula2>X2451</formula2>
    </dataValidation>
    <dataValidation type="date" allowBlank="1" showInputMessage="1" showErrorMessage="1" sqref="V372:V375" xr:uid="{F984562D-31D2-4F7C-B82A-431AF34AF984}">
      <formula1>X1152</formula1>
      <formula2>X2399</formula2>
    </dataValidation>
    <dataValidation type="date" allowBlank="1" showInputMessage="1" showErrorMessage="1" sqref="V376:V422" xr:uid="{85429D60-690C-4C66-937E-D0473EEFB52C}">
      <formula1>X1156</formula1>
      <formula2>X2404</formula2>
    </dataValidation>
    <dataValidation type="date" allowBlank="1" showInputMessage="1" showErrorMessage="1" sqref="V443:V445" xr:uid="{8F60990E-E20E-48EF-9C09-1BE8B7B4EA50}">
      <formula1>X1228</formula1>
      <formula2>X2471</formula2>
    </dataValidation>
    <dataValidation type="date" allowBlank="1" showInputMessage="1" showErrorMessage="1" sqref="V440:V442" xr:uid="{B9186380-70F0-4441-A7D9-D331E7E3AE69}">
      <formula1>X1224</formula1>
      <formula2>X2468</formula2>
    </dataValidation>
    <dataValidation type="date" allowBlank="1" showInputMessage="1" showErrorMessage="1" sqref="V431:V439" xr:uid="{64968BE3-2D93-4759-816C-60D8A3F9DE13}">
      <formula1>X1214</formula1>
      <formula2>X2459</formula2>
    </dataValidation>
    <dataValidation type="date" allowBlank="1" showInputMessage="1" showErrorMessage="1" sqref="V446:V477" xr:uid="{B4BF9051-0389-4411-86F1-99412DD53128}">
      <formula1>X1232</formula1>
      <formula2>X2474</formula2>
    </dataValidation>
    <dataValidation type="date" allowBlank="1" showInputMessage="1" showErrorMessage="1" sqref="V478:V518" xr:uid="{4AC89DEE-A182-4066-916E-59B02A699962}">
      <formula1>X1263</formula1>
      <formula2>X2505</formula2>
    </dataValidation>
    <dataValidation type="date" allowBlank="1" showInputMessage="1" showErrorMessage="1" sqref="V519 V1922:V1928" xr:uid="{0E1FC150-0F40-4AD3-8DF1-4EA3940A5296}">
      <formula1>X1304</formula1>
      <formula2>X2550</formula2>
    </dataValidation>
    <dataValidation type="date" allowBlank="1" showInputMessage="1" showErrorMessage="1" sqref="V520:V528" xr:uid="{85CEE449-70A6-4D30-9A73-94665A7535E6}">
      <formula1>X1306</formula1>
      <formula2>X2552</formula2>
    </dataValidation>
    <dataValidation type="date" allowBlank="1" showInputMessage="1" showErrorMessage="1" sqref="V529:V538 V575:V598" xr:uid="{B0D7A9F5-E808-487B-83B1-764198154D05}">
      <formula1>X1315</formula1>
      <formula2>X2564</formula2>
    </dataValidation>
    <dataValidation type="date" allowBlank="1" showInputMessage="1" showErrorMessage="1" sqref="V539:V573 V2108" xr:uid="{D507BB7C-85AD-4B90-8852-7705304B6CEE}">
      <formula1>X1325</formula1>
      <formula2>X2575</formula2>
    </dataValidation>
    <dataValidation type="date" allowBlank="1" showInputMessage="1" showErrorMessage="1" sqref="V600:V605 V1909:V1911 V1913:V1916 V1918" xr:uid="{49FE161C-4E7A-490D-A2B7-A0DEE010AE27}">
      <formula1>X1386</formula1>
      <formula2>X2634</formula2>
    </dataValidation>
    <dataValidation type="date" allowBlank="1" showInputMessage="1" showErrorMessage="1" sqref="V607:V615" xr:uid="{D73E871D-1DDE-4754-B4C2-D4449F03A6AD}">
      <formula1>X1393</formula1>
      <formula2>X2640</formula2>
    </dataValidation>
    <dataValidation type="date" allowBlank="1" showInputMessage="1" showErrorMessage="1" sqref="V616:V617" xr:uid="{3B493717-9559-4EE0-8A13-40AB1FA77B45}">
      <formula1>X1403</formula1>
      <formula2>X2650</formula2>
    </dataValidation>
    <dataValidation type="date" allowBlank="1" showInputMessage="1" showErrorMessage="1" sqref="V719" xr:uid="{074F559E-5EB6-40B0-8363-B50F3B0107A9}">
      <formula1>X1504</formula1>
      <formula2>X2686</formula2>
    </dataValidation>
    <dataValidation type="date" allowBlank="1" showInputMessage="1" showErrorMessage="1" sqref="V754:V763" xr:uid="{41102B9D-418D-4B9F-B81E-1C2C01516E55}">
      <formula1>X1540</formula1>
      <formula2>X2707</formula2>
    </dataValidation>
    <dataValidation type="date" allowBlank="1" showInputMessage="1" showErrorMessage="1" sqref="V736:V753 V868:V884" xr:uid="{49DFADD7-0DDE-464A-9D1F-CA0152CC4CBE}">
      <formula1>X1522</formula1>
      <formula2>X2687</formula2>
    </dataValidation>
    <dataValidation type="date" allowBlank="1" showInputMessage="1" showErrorMessage="1" sqref="V764:V832" xr:uid="{A760394A-BD8A-4FCA-BD2E-784AC6377ED0}">
      <formula1>X1551</formula1>
      <formula2>X2718</formula2>
    </dataValidation>
    <dataValidation type="date" allowBlank="1" showInputMessage="1" showErrorMessage="1" sqref="V834:V846" xr:uid="{86AF68B9-0D4A-4D71-AA8A-685231504E05}">
      <formula1>X1621</formula1>
      <formula2>X2787</formula2>
    </dataValidation>
    <dataValidation type="date" allowBlank="1" showInputMessage="1" showErrorMessage="1" sqref="V848:V867" xr:uid="{42650C8A-6E3A-4560-952F-AFEBA10EBD7F}">
      <formula1>X1635</formula1>
      <formula2>X2800</formula2>
    </dataValidation>
    <dataValidation type="date" allowBlank="1" showInputMessage="1" showErrorMessage="1" sqref="V890" xr:uid="{A19B770D-31E9-4216-9160-5E3192C23356}">
      <formula1>X1676</formula1>
      <formula2>X2836</formula2>
    </dataValidation>
    <dataValidation type="date" allowBlank="1" showInputMessage="1" showErrorMessage="1" sqref="V912:V956" xr:uid="{573C7707-F6D6-4F06-9C87-89C7BEC91F82}">
      <formula1>X1698</formula1>
      <formula2>X2860</formula2>
    </dataValidation>
    <dataValidation type="date" allowBlank="1" showInputMessage="1" showErrorMessage="1" sqref="V891:V900" xr:uid="{351FBC93-EBE1-44D4-9709-C900261E1D23}">
      <formula1>X1678</formula1>
      <formula2>X2837</formula2>
    </dataValidation>
    <dataValidation type="date" allowBlank="1" showInputMessage="1" showErrorMessage="1" sqref="V901:V911" xr:uid="{6DFCFA6A-1925-4E2E-BC66-DC5C5E96106D}">
      <formula1>X1688</formula1>
      <formula2>X2850</formula2>
    </dataValidation>
    <dataValidation type="date" allowBlank="1" showInputMessage="1" showErrorMessage="1" sqref="V965:V969" xr:uid="{FE73EA77-4AFE-4E31-B85D-CEF000E32DFC}">
      <formula1>X1754</formula1>
      <formula2>X2913</formula2>
    </dataValidation>
    <dataValidation type="date" allowBlank="1" showInputMessage="1" showErrorMessage="1" sqref="V957:V964" xr:uid="{06A6173C-F1CE-421A-B97F-177742ACAE39}">
      <formula1>X1745</formula1>
      <formula2>X2905</formula2>
    </dataValidation>
    <dataValidation type="date" allowBlank="1" showInputMessage="1" showErrorMessage="1" sqref="V2912 V2921:V2922" xr:uid="{CFE1A3AB-1DD9-4FBB-9EFA-F2D16E5F995C}">
      <formula1>X3763</formula1>
      <formula2>X4938</formula2>
    </dataValidation>
    <dataValidation type="date" allowBlank="1" showInputMessage="1" showErrorMessage="1" sqref="V2868:V2870 V2839 V2888:V2889 V2894 V2769 V2718 V2743 V2754 V2756:V2758 V2762 V2896:V2907 V2910 V2914 V2925:V2928" xr:uid="{30648B60-1713-4EEB-8BE6-74581AC7F8CB}">
      <formula1>X3569</formula1>
      <formula2>X4746</formula2>
    </dataValidation>
    <dataValidation type="date" allowBlank="1" showInputMessage="1" showErrorMessage="1" sqref="V1047865" xr:uid="{96BC5644-681A-486D-A2C6-76D2FAA1C9AA}">
      <formula1>X1</formula1>
      <formula2>X1177</formula2>
    </dataValidation>
    <dataValidation type="date" allowBlank="1" showInputMessage="1" showErrorMessage="1" sqref="V2859:V2864 V2871" xr:uid="{743259E5-87CD-40D0-9E66-935BC5296750}">
      <formula1>X3718</formula1>
      <formula2>X4892</formula2>
    </dataValidation>
    <dataValidation type="date" allowBlank="1" showInputMessage="1" showErrorMessage="1" sqref="V1047867:V1048576" xr:uid="{6722F4C8-5005-4AB4-9986-EF0C7E5DE578}">
      <formula1>X1</formula1>
      <formula2>X1180</formula2>
    </dataValidation>
    <dataValidation type="date" allowBlank="1" showInputMessage="1" showErrorMessage="1" sqref="V2656 V2753 V2761 V2765" xr:uid="{A95558F4-2EDF-4819-9305-C736AD7891E3}">
      <formula1>X3511</formula1>
      <formula2>X4688</formula2>
    </dataValidation>
    <dataValidation type="date" allowBlank="1" showInputMessage="1" showErrorMessage="1" sqref="V2875:V2876 V2890:V2891 V2884 V2879:V2881 V3061" xr:uid="{3532D883-F43E-4898-85D9-3A9F7CE4D724}">
      <formula1>X3728</formula1>
      <formula2>X4902</formula2>
    </dataValidation>
    <dataValidation type="date" allowBlank="1" showInputMessage="1" showErrorMessage="1" sqref="V2793 V2836 V2846:V2849" xr:uid="{F0F75DA3-DB8F-44D9-BCED-D1E7EBF9C035}">
      <formula1>X3647</formula1>
      <formula2>X4824</formula2>
    </dataValidation>
    <dataValidation type="date" allowBlank="1" showInputMessage="1" showErrorMessage="1" sqref="V1047866" xr:uid="{DA4586F6-5FE8-41BA-AAA8-58BEC63CB310}">
      <formula1>X1</formula1>
      <formula2>X1179</formula2>
    </dataValidation>
    <dataValidation type="date" allowBlank="1" showInputMessage="1" showErrorMessage="1" sqref="V1227" xr:uid="{B1345AA2-A969-4892-81CD-05DF91B2061D}">
      <formula1>#REF!</formula1>
      <formula2>X3244</formula2>
    </dataValidation>
    <dataValidation type="date" allowBlank="1" showInputMessage="1" showErrorMessage="1" sqref="V2933:V2934" xr:uid="{141496D0-52FA-4253-8287-96E3FC847B1D}">
      <formula1>X3782</formula1>
      <formula2>X4970</formula2>
    </dataValidation>
    <dataValidation type="date" allowBlank="1" showInputMessage="1" showErrorMessage="1" sqref="V2782:V2786 V2709:V2711 V2715:V2716 V2719 V2726:V2727 V2735:V2739 V2746:V2752 V2770:V2777 V2779 V3024 V3035:V3036 V3059" xr:uid="{49736BE8-F193-45B1-907A-0DD910D7438E}">
      <formula1>X3556</formula1>
      <formula2>X4733</formula2>
    </dataValidation>
    <dataValidation type="date" allowBlank="1" showInputMessage="1" showErrorMessage="1" sqref="V2892 V2760" xr:uid="{59478205-8976-48A3-920F-E0062514B65D}">
      <formula1>X3600</formula1>
      <formula2>X4777</formula2>
    </dataValidation>
    <dataValidation type="date" allowBlank="1" showInputMessage="1" showErrorMessage="1" sqref="V982" xr:uid="{13646837-59A2-4348-A23B-CE8CBBEE5E9F}">
      <formula1>#REF!</formula1>
      <formula2>#REF!</formula2>
    </dataValidation>
    <dataValidation type="date" allowBlank="1" showInputMessage="1" showErrorMessage="1" sqref="V2949" xr:uid="{99E7AFB2-902D-4987-8492-FC80A2294761}">
      <formula1>X3799</formula1>
      <formula2>X4986</formula2>
    </dataValidation>
    <dataValidation type="date" allowBlank="1" showInputMessage="1" showErrorMessage="1" sqref="V990" xr:uid="{9C854692-A9EF-45BA-A402-8178C539AE04}">
      <formula1>X1759</formula1>
      <formula2>X2948</formula2>
    </dataValidation>
    <dataValidation type="date" allowBlank="1" showInputMessage="1" showErrorMessage="1" sqref="V2798:V2799 V2787:V2789 V2698" xr:uid="{34C47030-B57B-4115-A46A-9E2680DB2E86}">
      <formula1>X3546</formula1>
      <formula2>X4723</formula2>
    </dataValidation>
    <dataValidation type="date" allowBlank="1" showInputMessage="1" showErrorMessage="1" sqref="V2974:V2975" xr:uid="{4F834C52-CA99-4E66-97C7-574B5CC0A162}">
      <formula1>X3831</formula1>
      <formula2>X5011</formula2>
    </dataValidation>
    <dataValidation type="date" allowBlank="1" showInputMessage="1" showErrorMessage="1" sqref="V2997:V3000" xr:uid="{F93C649F-6676-4CF1-AAA1-81B005355E9A}">
      <formula1>X3833</formula1>
      <formula2>X5013</formula2>
    </dataValidation>
    <dataValidation type="date" allowBlank="1" showInputMessage="1" showErrorMessage="1" sqref="V2995" xr:uid="{96881AE9-8B65-40BE-A918-58F712819A5E}">
      <formula1>X3830</formula1>
      <formula2>X5010</formula2>
    </dataValidation>
    <dataValidation type="date" allowBlank="1" showInputMessage="1" showErrorMessage="1" sqref="V2994" xr:uid="{D1B710D2-BBF3-4B42-8395-2EB3B8D5BD46}">
      <formula1>X3833</formula1>
      <formula2>X5020</formula2>
    </dataValidation>
    <dataValidation type="date" allowBlank="1" showInputMessage="1" showErrorMessage="1" sqref="V2972" xr:uid="{62AAAAC3-1D73-46FA-A1C3-333312480DA5}">
      <formula1>X3823</formula1>
      <formula2>X5013</formula2>
    </dataValidation>
    <dataValidation type="date" allowBlank="1" showInputMessage="1" showErrorMessage="1" sqref="V2973" xr:uid="{35FD7209-2DE6-40C5-8893-52716AF34623}">
      <formula1>X3823</formula1>
      <formula2>X5013</formula2>
    </dataValidation>
    <dataValidation type="date" allowBlank="1" showInputMessage="1" showErrorMessage="1" sqref="V2981" xr:uid="{EB4B890E-7411-422E-8BC0-6CF95F77E083}">
      <formula1>X3816</formula1>
      <formula2>X5006</formula2>
    </dataValidation>
    <dataValidation type="date" allowBlank="1" showInputMessage="1" showErrorMessage="1" sqref="V2970 V2986" xr:uid="{03629A96-5797-4B5C-86DA-0F7EEE7E7536}">
      <formula1>X3817</formula1>
      <formula2>X5007</formula2>
    </dataValidation>
    <dataValidation type="date" allowBlank="1" showInputMessage="1" showErrorMessage="1" sqref="V2976" xr:uid="{5413C956-3AA5-42C6-BB78-E55FD3067CCB}">
      <formula1>X3802</formula1>
      <formula2>X4992</formula2>
    </dataValidation>
    <dataValidation type="date" allowBlank="1" showInputMessage="1" showErrorMessage="1" sqref="V994:V1000" xr:uid="{E735979B-C368-493A-AA4A-8EFB4588160B}">
      <formula1>X1760</formula1>
      <formula2>X2952</formula2>
    </dataValidation>
    <dataValidation type="date" allowBlank="1" showInputMessage="1" showErrorMessage="1" sqref="V1001:V1006" xr:uid="{1F1975CD-8B06-4A4D-8F51-444258FB3A07}">
      <formula1>X1767</formula1>
      <formula2>X2962</formula2>
    </dataValidation>
    <dataValidation type="date" allowBlank="1" showInputMessage="1" showErrorMessage="1" sqref="V2804" xr:uid="{DD470A41-64FB-486C-BF99-CBC6278F36CE}">
      <formula1>X3649</formula1>
      <formula2>X4826</formula2>
    </dataValidation>
    <dataValidation type="date" allowBlank="1" showInputMessage="1" showErrorMessage="1" sqref="V2708" xr:uid="{7FD200D3-BE33-4AAA-89C9-71E3E27C32D5}">
      <formula1>X3548</formula1>
      <formula2>X4726</formula2>
    </dataValidation>
    <dataValidation type="date" allowBlank="1" showInputMessage="1" showErrorMessage="1" sqref="V1087" xr:uid="{06C4FE02-C6B3-4203-A1BD-8732E8639B4C}">
      <formula1>#REF!</formula1>
      <formula2>X3091</formula2>
    </dataValidation>
    <dataValidation type="date" allowBlank="1" showInputMessage="1" showErrorMessage="1" sqref="V3010" xr:uid="{F66ADB22-5247-448B-ACEF-7457E503EC8D}">
      <formula1>X3839</formula1>
      <formula2>X5025</formula2>
    </dataValidation>
    <dataValidation type="date" allowBlank="1" showInputMessage="1" showErrorMessage="1" sqref="V3009" xr:uid="{9135AEAA-1C9D-4DF1-A417-1FDE9B1400EA}">
      <formula1>X3850</formula1>
      <formula2>X5046</formula2>
    </dataValidation>
    <dataValidation type="date" allowBlank="1" showInputMessage="1" showErrorMessage="1" sqref="V1008:V1046" xr:uid="{61FEBDC5-007C-439A-AC53-67280E6247A4}">
      <formula1>X1773</formula1>
      <formula2>X2969</formula2>
    </dataValidation>
    <dataValidation type="date" allowBlank="1" showInputMessage="1" showErrorMessage="1" sqref="V2688 V2659:V2685 U2661 V2913 V3039 V3041:V3047 V3050 V3060" xr:uid="{8B25DF01-4AB4-4103-A772-D698E03ADFF9}">
      <formula1>W3498</formula1>
      <formula2>W4675</formula2>
    </dataValidation>
    <dataValidation type="date" allowBlank="1" showInputMessage="1" showErrorMessage="1" sqref="V1419:V1426 V1320 V1326:V1327 V1337:V1338 V1233:V1234 V1504 V1340 V1486 V1488" xr:uid="{E4E8D0C7-0D19-497A-9FD7-E72D743272DE}">
      <formula1>#REF!</formula1>
      <formula2>X3248</formula2>
    </dataValidation>
    <dataValidation type="date" allowBlank="1" showInputMessage="1" showErrorMessage="1" sqref="V3018 V3037" xr:uid="{EB718787-A04B-476F-B9A3-CF139C44C91D}">
      <formula1>X3850</formula1>
      <formula2>X5041</formula2>
    </dataValidation>
    <dataValidation type="date" allowBlank="1" showInputMessage="1" showErrorMessage="1" sqref="V3023" xr:uid="{28DAF562-6B48-40A2-9436-68C54F29129D}">
      <formula1>X3844</formula1>
      <formula2>X5038</formula2>
    </dataValidation>
    <dataValidation type="date" allowBlank="1" showInputMessage="1" showErrorMessage="1" sqref="V1047:V1054 V1060:V1066" xr:uid="{C7AF9138-899F-4776-BF0A-DEC3478E0A7F}">
      <formula1>X1812</formula1>
      <formula2>X3022</formula2>
    </dataValidation>
    <dataValidation type="date" allowBlank="1" showInputMessage="1" showErrorMessage="1" sqref="V2399:V2549 V2552:V2559" xr:uid="{4EF222F5-AF55-4A90-8667-920D46A336B1}">
      <formula1>X3228</formula1>
      <formula2>X4405</formula2>
    </dataValidation>
    <dataValidation type="date" allowBlank="1" showInputMessage="1" showErrorMessage="1" sqref="V1058:V1059" xr:uid="{C1BE90F2-1152-4726-A455-4EE4A5777125}">
      <formula1>X1823</formula1>
      <formula2>#REF!</formula2>
    </dataValidation>
    <dataValidation type="date" allowBlank="1" showInputMessage="1" showErrorMessage="1" sqref="V2608:V2609" xr:uid="{BDC8E96D-46A5-45FA-AF27-5AD1735B856C}">
      <formula1>X3438</formula1>
      <formula2>X4615</formula2>
    </dataValidation>
    <dataValidation type="date" allowBlank="1" showInputMessage="1" showErrorMessage="1" sqref="V3038" xr:uid="{7E4A4BA0-71F4-46C9-8B6E-E3661789601F}">
      <formula1>X3858</formula1>
      <formula2>X5062</formula2>
    </dataValidation>
    <dataValidation type="date" allowBlank="1" showInputMessage="1" showErrorMessage="1" sqref="V1055:V1057" xr:uid="{D0F46A88-DABE-477C-A1B0-1A94180C5AE8}">
      <formula1>X1820</formula1>
      <formula2>X3032</formula2>
    </dataValidation>
    <dataValidation type="date" allowBlank="1" showInputMessage="1" showErrorMessage="1" sqref="V3040" xr:uid="{C4AF15C0-F5B6-4316-A577-1FA003E42D7B}">
      <formula1>X3864</formula1>
      <formula2>X5041</formula2>
    </dataValidation>
    <dataValidation type="date" allowBlank="1" showInputMessage="1" showErrorMessage="1" sqref="V1046690:V1047832" xr:uid="{ED544DF2-C9A2-4F0D-A235-938CBFFC5C73}">
      <formula1>X1047468</formula1>
      <formula2>X1</formula2>
    </dataValidation>
    <dataValidation type="date" allowBlank="1" showInputMessage="1" showErrorMessage="1" sqref="V3062:V3065" xr:uid="{C8955EC7-D5D6-4058-ADCA-E83C7950FC74}">
      <formula1>X3868</formula1>
      <formula2>X5045</formula2>
    </dataValidation>
    <dataValidation type="date" allowBlank="1" showInputMessage="1" showErrorMessage="1" sqref="V3066:V3084 V3089" xr:uid="{06B43018-AC74-4EEE-A505-08D72D34C29E}">
      <formula1>X3870</formula1>
      <formula2>X5047</formula2>
    </dataValidation>
    <dataValidation type="date" allowBlank="1" showInputMessage="1" showErrorMessage="1" sqref="V1067:V1080" xr:uid="{39912D3B-DD7A-4744-853E-23A00D66453E}">
      <formula1>X1832</formula1>
      <formula2>X3062</formula2>
    </dataValidation>
    <dataValidation type="date" allowBlank="1" showInputMessage="1" showErrorMessage="1" sqref="V1081:V1086" xr:uid="{FE3B7900-224F-4157-8235-484CE5F89E4C}">
      <formula1>X1846</formula1>
      <formula2>X3085</formula2>
    </dataValidation>
    <dataValidation type="date" allowBlank="1" showInputMessage="1" showErrorMessage="1" sqref="V1142 V1147:V1155 V1158:V1164 V1136 V1172:V1176" xr:uid="{459A3629-926A-4C0F-854C-C13B6DC34980}">
      <formula1>#REF!</formula1>
      <formula2>X3157</formula2>
    </dataValidation>
    <dataValidation type="date" allowBlank="1" showInputMessage="1" showErrorMessage="1" sqref="V3086:V3088 V3090 V3096:V3097" xr:uid="{30EE23D6-5310-4D23-9E15-F047F27B5307}">
      <formula1>X3881</formula1>
      <formula2>X5058</formula2>
    </dataValidation>
    <dataValidation type="date" allowBlank="1" showInputMessage="1" showErrorMessage="1" sqref="V1088:V1094" xr:uid="{8D77ED93-EDCE-4159-A53B-D7BA7BD63644}">
      <formula1>X1852</formula1>
      <formula2>X3092</formula2>
    </dataValidation>
    <dataValidation type="date" allowBlank="1" showInputMessage="1" showErrorMessage="1" sqref="V3101:V3105" xr:uid="{835C341F-325B-4D9F-B8D1-FA9504C377F7}">
      <formula1>X3894</formula1>
      <formula2>X5071</formula2>
    </dataValidation>
    <dataValidation type="date" allowBlank="1" showInputMessage="1" showErrorMessage="1" sqref="V3106:V3114" xr:uid="{AC5B7A68-6168-4C0B-B20C-E3D04C3E7842}">
      <formula1>X3980</formula1>
      <formula2>X5139</formula2>
    </dataValidation>
    <dataValidation type="date" allowBlank="1" showInputMessage="1" showErrorMessage="1" sqref="V1095:V1098" xr:uid="{A8E198DC-7459-4B45-BBB6-7C0AEA78A6A9}">
      <formula1>X1859</formula1>
      <formula2>X3101</formula2>
    </dataValidation>
    <dataValidation type="date" allowBlank="1" showInputMessage="1" showErrorMessage="1" sqref="V1852:V1854 V1857 V1899 V1884:V1895 V1897" xr:uid="{473EDACC-A412-4E59-9C6C-DB98C8DE5833}">
      <formula1>#REF!</formula1>
      <formula2>X3887</formula2>
    </dataValidation>
    <dataValidation type="date" allowBlank="1" showInputMessage="1" showErrorMessage="1" sqref="V1099:V1101" xr:uid="{E093BB4D-CCD5-4020-A53A-4A7507A37A54}">
      <formula1>X1863</formula1>
      <formula2>X3113</formula2>
    </dataValidation>
    <dataValidation type="date" allowBlank="1" showInputMessage="1" showErrorMessage="1" sqref="V2256" xr:uid="{D224DE4F-3CD4-4D87-B428-02A6C7A6F8E4}">
      <formula1>#REF!</formula1>
      <formula2>X4300</formula2>
    </dataValidation>
    <dataValidation type="date" allowBlank="1" showInputMessage="1" showErrorMessage="1" sqref="V2256" xr:uid="{BA4FC734-D96A-4D81-8938-C608F454420F}">
      <formula1>#REF!</formula1>
      <formula2>X4301</formula2>
    </dataValidation>
    <dataValidation type="date" allowBlank="1" showInputMessage="1" showErrorMessage="1" sqref="V1046605:V1046618" xr:uid="{5902D1EA-47F6-4379-88CE-EBE53A34F159}">
      <formula1>X1047383</formula1>
      <formula2>X1</formula2>
    </dataValidation>
    <dataValidation type="date" allowBlank="1" showInputMessage="1" showErrorMessage="1" sqref="V3125:V1046604" xr:uid="{EF88A584-664A-455D-824D-D62B1BF5713D}">
      <formula1>X3903</formula1>
      <formula2>X5080</formula2>
    </dataValidation>
    <dataValidation type="date" allowBlank="1" showInputMessage="1" showErrorMessage="1" sqref="V1918:V1921 V1913:V1916" xr:uid="{A04571E5-10F0-496B-9078-6BB1264CBA03}">
      <formula1>X2696</formula1>
      <formula2>X3944</formula2>
    </dataValidation>
    <dataValidation type="date" allowBlank="1" showInputMessage="1" showErrorMessage="1" sqref="V2124:V2142 V2119" xr:uid="{7F20CE35-D100-4F7E-88D8-5DFD9E3AF527}">
      <formula1>X2906</formula1>
      <formula2>X4156</formula2>
    </dataValidation>
    <dataValidation type="date" allowBlank="1" showInputMessage="1" showErrorMessage="1" sqref="V1046633:V1046634" xr:uid="{0652294E-DD25-45C0-905B-4F71F9122994}">
      <formula1>X1047411</formula1>
      <formula2>X1</formula2>
    </dataValidation>
    <dataValidation type="date" allowBlank="1" showInputMessage="1" showErrorMessage="1" sqref="V1046635:V1046637" xr:uid="{CDB3B1D8-3D2E-4FA3-BBEA-63B25EF93E37}">
      <formula1>X1047413</formula1>
      <formula2>X1</formula2>
    </dataValidation>
    <dataValidation type="date" allowBlank="1" showInputMessage="1" showErrorMessage="1" sqref="V2338" xr:uid="{FBD3B7DD-F063-400F-A42F-6837838917F4}">
      <formula1>X3115</formula1>
      <formula2>X4363</formula2>
    </dataValidation>
    <dataValidation type="date" allowBlank="1" showInputMessage="1" showErrorMessage="1" sqref="V2273" xr:uid="{46BD047C-1CC4-463A-9A2F-26C669174C73}">
      <formula1>X3115</formula1>
      <formula2>X4299</formula2>
    </dataValidation>
    <dataValidation type="date" allowBlank="1" showInputMessage="1" showErrorMessage="1" sqref="V2250" xr:uid="{54768472-6A7A-4395-936A-E72A73039C61}">
      <formula1>X3115</formula1>
      <formula2>X4299</formula2>
    </dataValidation>
    <dataValidation type="date" allowBlank="1" showInputMessage="1" showErrorMessage="1" sqref="V2244" xr:uid="{0D86E563-B363-4F12-A981-87854CAFAF57}">
      <formula1>X3103</formula1>
      <formula2>X4295</formula2>
    </dataValidation>
    <dataValidation type="date" allowBlank="1" showInputMessage="1" showErrorMessage="1" sqref="V1046638:V1046641" xr:uid="{F0E32111-60E1-4CDE-A1EA-044C3926744C}">
      <formula1>X1047416</formula1>
      <formula2>X1</formula2>
    </dataValidation>
    <dataValidation type="date" allowBlank="1" showInputMessage="1" showErrorMessage="1" sqref="V2252" xr:uid="{C3E1D712-83A0-4C34-B87B-7518C06F3906}">
      <formula1>X3104</formula1>
      <formula2>X4296</formula2>
    </dataValidation>
    <dataValidation type="date" allowBlank="1" showInputMessage="1" showErrorMessage="1" sqref="V2242" xr:uid="{67A5E314-4894-4883-BD6A-6A22A1CCA6A5}">
      <formula1>X3096</formula1>
      <formula2>X4290</formula2>
    </dataValidation>
    <dataValidation type="date" allowBlank="1" showInputMessage="1" showErrorMessage="1" sqref="V2245" xr:uid="{0EC091C1-C9CB-4B8B-B8F6-54DBE16DF3B3}">
      <formula1>X3096</formula1>
      <formula2>X4290</formula2>
    </dataValidation>
    <dataValidation type="date" allowBlank="1" showInputMessage="1" showErrorMessage="1" sqref="V1046646:V1046689" xr:uid="{A5C17DCE-F9C5-42EC-9BDA-A7ECEFA66107}">
      <formula1>X1047424</formula1>
      <formula2>X1</formula2>
    </dataValidation>
    <dataValidation type="date" allowBlank="1" showInputMessage="1" showErrorMessage="1" sqref="V2243" xr:uid="{ECAD6D06-A388-4AF1-880C-8C404A8E9D36}">
      <formula1>X3074</formula1>
      <formula2>X4277</formula2>
    </dataValidation>
    <dataValidation type="date" allowBlank="1" showInputMessage="1" showErrorMessage="1" sqref="V2246:V2249 V2251 V2254" xr:uid="{B2916F15-A5DE-43CC-9A47-998B9D17D90E}">
      <formula1>X3066</formula1>
      <formula2>X4269</formula2>
    </dataValidation>
    <dataValidation type="date" allowBlank="1" showInputMessage="1" showErrorMessage="1" sqref="V2235:V2241 V2226:V2229 V2222:V2224" xr:uid="{4212EC2F-771A-4E19-B56F-D8526FB4B0B3}">
      <formula1>X3022</formula1>
      <formula2>X4245</formula2>
    </dataValidation>
    <dataValidation type="date" allowBlank="1" showInputMessage="1" showErrorMessage="1" sqref="V1519" xr:uid="{FAA2FAC7-F978-4C99-9220-53C75D3A8A9F}">
      <formula1>X2299</formula1>
      <formula2>X3534</formula2>
    </dataValidation>
    <dataValidation type="date" allowBlank="1" showInputMessage="1" showErrorMessage="1" sqref="V2197:V2221" xr:uid="{E1ECEA75-2E33-4F36-9F5D-F01243AE1D2E}">
      <formula1>X2983</formula1>
      <formula2>X4220</formula2>
    </dataValidation>
    <dataValidation type="date" allowBlank="1" showInputMessage="1" showErrorMessage="1" sqref="V2171:V2183" xr:uid="{DE0BF676-29DD-4693-9742-3462868F034E}">
      <formula1>X2946</formula1>
      <formula2>X4186</formula2>
    </dataValidation>
    <dataValidation type="date" allowBlank="1" showInputMessage="1" showErrorMessage="1" sqref="V1144:V1146" xr:uid="{F4044596-FBB1-46A3-8A90-BD4A70F830AA}">
      <formula1>X1909</formula1>
      <formula2>X3165</formula2>
    </dataValidation>
    <dataValidation type="date" allowBlank="1" showInputMessage="1" showErrorMessage="1" sqref="V1335:V1336" xr:uid="{DD48B41D-0303-484D-85C5-161DCBE1DC9C}">
      <formula1>X2111</formula1>
      <formula2>X3350</formula2>
    </dataValidation>
    <dataValidation type="date" allowBlank="1" showInputMessage="1" showErrorMessage="1" sqref="V2230:V2232" xr:uid="{D5305EED-F62D-473E-9D64-C39673EAB659}">
      <formula1>X3032</formula1>
      <formula2>X4253</formula2>
    </dataValidation>
    <dataValidation type="date" allowBlank="1" showInputMessage="1" showErrorMessage="1" sqref="V2144:V2156" xr:uid="{2BD50DDC-3734-47AF-B9B2-F2B83B0B415E}">
      <formula1>X2941</formula1>
      <formula2>X4181</formula2>
    </dataValidation>
    <dataValidation type="date" allowBlank="1" showInputMessage="1" showErrorMessage="1" sqref="V1355:V1392 V1518" xr:uid="{915B70A6-B9B7-411E-9481-8052E0224740}">
      <formula1>X2132</formula1>
      <formula2>X3370</formula2>
    </dataValidation>
    <dataValidation type="date" allowBlank="1" showInputMessage="1" showErrorMessage="1" sqref="T2005 V2001:V2006" xr:uid="{FEABE226-809D-4C1A-B6F9-BFBE2502E758}">
      <formula1>V2781</formula1>
      <formula2>V4027</formula2>
    </dataValidation>
    <dataValidation type="date" allowBlank="1" showInputMessage="1" showErrorMessage="1" sqref="V1235:V1294" xr:uid="{ED4ECF99-F1E9-4EE4-8142-D879F7F8A283}">
      <formula1>X2001</formula1>
      <formula2>X3250</formula2>
    </dataValidation>
    <dataValidation type="date" allowBlank="1" showInputMessage="1" showErrorMessage="1" sqref="V1520" xr:uid="{5072881A-26B7-4EEA-807A-C827835AF5E0}">
      <formula1>X2299</formula1>
      <formula2>X3534</formula2>
    </dataValidation>
    <dataValidation type="date" allowBlank="1" showInputMessage="1" showErrorMessage="1" sqref="V2193" xr:uid="{61B1585D-C833-4406-AC23-3FB03C936AB7}">
      <formula1>X2982</formula1>
      <formula2>X4219</formula2>
    </dataValidation>
    <dataValidation type="date" allowBlank="1" showInputMessage="1" showErrorMessage="1" sqref="V1943:V1946 V1977:V1997" xr:uid="{20B9C1B1-F1A5-4C27-A098-87F4FECD20CA}">
      <formula1>X2721</formula1>
      <formula2>X3967</formula2>
    </dataValidation>
    <dataValidation type="date" allowBlank="1" showInputMessage="1" showErrorMessage="1" sqref="V2194:V2196 V1393:V1418 V2184:V2192" xr:uid="{4D2BCE0C-DDEA-4693-89B7-BC351606A604}">
      <formula1>X2171</formula1>
      <formula2>X3408</formula2>
    </dataValidation>
    <dataValidation type="date" allowBlank="1" showInputMessage="1" showErrorMessage="1" sqref="V1906" xr:uid="{67ECA511-33EC-422C-B1BE-6B5AA40239D9}">
      <formula1>X2695</formula1>
      <formula2>X3943</formula2>
    </dataValidation>
    <dataValidation type="date" allowBlank="1" showInputMessage="1" showErrorMessage="1" sqref="V2165:V2170" xr:uid="{8B0FD680-FB51-4F9D-866E-1CEC38598DD1}">
      <formula1>X2941</formula1>
      <formula2>X4181</formula2>
    </dataValidation>
    <dataValidation type="date" allowBlank="1" showInputMessage="1" showErrorMessage="1" sqref="V1522:V1524" xr:uid="{A8E5B3D5-9F13-45CC-95E8-27F67CAFCF34}">
      <formula1>X2308</formula1>
      <formula2>X3536</formula2>
    </dataValidation>
    <dataValidation type="date" allowBlank="1" showInputMessage="1" showErrorMessage="1" sqref="V1341:V1354 V1516:V1517 V1321:V1322" xr:uid="{9A3448BA-1C37-4296-A15F-FF050E1EFCB4}">
      <formula1>X2094</formula1>
      <formula2>X3336</formula2>
    </dataValidation>
    <dataValidation type="date" allowBlank="1" showInputMessage="1" showErrorMessage="1" sqref="V1339" xr:uid="{E1004746-1A77-4D5A-8B1C-23C2F1E11131}">
      <formula1>X2113</formula1>
      <formula2>X3354</formula2>
    </dataValidation>
    <dataValidation type="date" allowBlank="1" showInputMessage="1" showErrorMessage="1" sqref="V1933:V1935" xr:uid="{C0590965-66AA-470E-97B4-C6681229B49B}">
      <formula1>X2731</formula1>
      <formula2>X3977</formula2>
    </dataValidation>
    <dataValidation type="date" allowBlank="1" showInputMessage="1" showErrorMessage="1" sqref="V1919:V1928" xr:uid="{E98AD882-927C-4F12-970E-2D672C243CA9}">
      <formula1>X2707</formula1>
      <formula2>X3953</formula2>
    </dataValidation>
    <dataValidation type="date" allowBlank="1" showInputMessage="1" showErrorMessage="1" sqref="V1214:V1223" xr:uid="{7B16F6D0-3DDE-4F11-B970-DF8ED2EC0FE6}">
      <formula1>X1986</formula1>
      <formula2>X3232</formula2>
    </dataValidation>
    <dataValidation type="date" allowBlank="1" showInputMessage="1" showErrorMessage="1" sqref="V2008:V2020" xr:uid="{385DB281-EE52-4EC2-AD75-631F69C9A894}">
      <formula1>X2787</formula1>
      <formula2>X4034</formula2>
    </dataValidation>
    <dataValidation type="date" allowBlank="1" showInputMessage="1" showErrorMessage="1" sqref="V1224:V1226" xr:uid="{CE01690C-D329-483A-AF1E-35AF2B6785E3}">
      <formula1>X1995</formula1>
      <formula2>X3241</formula2>
    </dataValidation>
    <dataValidation type="date" allowBlank="1" showInputMessage="1" showErrorMessage="1" sqref="V1908 V1911:V1912" xr:uid="{4AED3FED-A8F0-43C7-AB0E-94900EB6141F}">
      <formula1>X2693</formula1>
      <formula2>X3941</formula2>
    </dataValidation>
    <dataValidation type="date" allowBlank="1" showInputMessage="1" showErrorMessage="1" sqref="V1947:V1976" xr:uid="{0658FBA1-B502-40B9-95F0-734D57E20E3B}">
      <formula1>X2731</formula1>
      <formula2>X3977</formula2>
    </dataValidation>
    <dataValidation type="date" allowBlank="1" showInputMessage="1" showErrorMessage="1" sqref="V1905:V1906 V1900:V1903" xr:uid="{32A51401-9904-4BDD-8AE8-DDECD51C04FF}">
      <formula1>X2688</formula1>
      <formula2>X3936</formula2>
    </dataValidation>
    <dataValidation type="date" allowBlank="1" showInputMessage="1" showErrorMessage="1" sqref="V1487 V1295:V1319" xr:uid="{61049409-672A-4112-B017-CAD4629A8B21}">
      <formula1>X2064</formula1>
      <formula2>X3310</formula2>
    </dataValidation>
    <dataValidation type="date" allowBlank="1" showInputMessage="1" showErrorMessage="1" sqref="V1998:V2000" xr:uid="{4EAD8754-5F85-4360-B667-41F03FB128B9}">
      <formula1>X2777</formula1>
      <formula2>X4023</formula2>
    </dataValidation>
    <dataValidation type="date" allowBlank="1" showInputMessage="1" showErrorMessage="1" sqref="V1156:V1157" xr:uid="{CDDFD4B7-446E-4CA5-AAF4-FD2EF0016AB8}">
      <formula1>X1934</formula1>
      <formula2>X3177</formula2>
    </dataValidation>
    <dataValidation type="date" allowBlank="1" showInputMessage="1" showErrorMessage="1" sqref="V2022:V2056" xr:uid="{22E1E5D8-773D-4DB6-98FF-C0310D30AFB0}">
      <formula1>X2800</formula1>
      <formula2>X4048</formula2>
    </dataValidation>
    <dataValidation type="date" allowBlank="1" showInputMessage="1" showErrorMessage="1" sqref="V1046619:V1046632" xr:uid="{A0E8A57E-CC4C-42F5-9531-75D5542E74DC}">
      <formula1>X1047397</formula1>
      <formula2>X1</formula2>
    </dataValidation>
    <dataValidation type="date" allowBlank="1" showInputMessage="1" showErrorMessage="1" sqref="V1323" xr:uid="{EFE69EC6-0AF9-4464-826F-F2F2FAEE024F}">
      <formula1>X2092</formula1>
      <formula2>X3340</formula2>
    </dataValidation>
    <dataValidation type="date" allowBlank="1" showInputMessage="1" showErrorMessage="1" sqref="V1229:V1231" xr:uid="{A0549C79-473B-4910-A0ED-2A162D33EC6D}">
      <formula1>X1998</formula1>
      <formula2>X3245</formula2>
    </dataValidation>
    <dataValidation type="date" allowBlank="1" showInputMessage="1" showErrorMessage="1" sqref="V1328:V1334 V1489:V1503 V1324:V1325 V1232" xr:uid="{58158684-9520-4D68-8D59-7A9BAB999E48}">
      <formula1>X2000</formula1>
      <formula2>X3247</formula2>
    </dataValidation>
    <dataValidation type="date" allowBlank="1" showInputMessage="1" showErrorMessage="1" sqref="V2106" xr:uid="{38BA994A-098D-4DE7-BA6E-5A841CF30922}">
      <formula1>X2895</formula1>
      <formula2>X4145</formula2>
    </dataValidation>
    <dataValidation type="date" allowBlank="1" showInputMessage="1" showErrorMessage="1" sqref="V2103 V2107" xr:uid="{0A66AB26-1DD7-4B35-BC60-9002A4459432}">
      <formula1>X2894</formula1>
      <formula2>X4144</formula2>
    </dataValidation>
    <dataValidation type="date" allowBlank="1" showInputMessage="1" showErrorMessage="1" sqref="V2104 V2109" xr:uid="{E1F406F1-D7B0-4CEE-878B-73E1E5F4A134}">
      <formula1>X2894</formula1>
      <formula2>X4144</formula2>
    </dataValidation>
    <dataValidation type="date" allowBlank="1" showInputMessage="1" showErrorMessage="1" sqref="V2081:V2082" xr:uid="{384EE941-383C-4243-A8D3-571C30C0D594}">
      <formula1>X2857</formula1>
      <formula2>X4107</formula2>
    </dataValidation>
    <dataValidation type="date" allowBlank="1" showInputMessage="1" showErrorMessage="1" sqref="V2111:V2112" xr:uid="{693654F8-2E07-447B-B2DF-E0998D5DE11E}">
      <formula1>X2878</formula1>
      <formula2>X4128</formula2>
    </dataValidation>
    <dataValidation type="date" allowBlank="1" showInputMessage="1" showErrorMessage="1" sqref="V2089:V2102 V2105:V2110" xr:uid="{10B017EC-59F6-43F7-8464-B6B7A13DA3F6}">
      <formula1>X2864</formula1>
      <formula2>X4114</formula2>
    </dataValidation>
    <dataValidation type="date" allowBlank="1" showInputMessage="1" showErrorMessage="1" sqref="V2062:V2063" xr:uid="{546636EB-70BF-46F1-8E08-2DEE9FD86262}">
      <formula1>X2836</formula1>
      <formula2>X4089</formula2>
    </dataValidation>
    <dataValidation type="date" allowBlank="1" showInputMessage="1" showErrorMessage="1" sqref="V2157:V2163" xr:uid="{D9D39B69-9398-4F4E-90C3-6E4A4D9B135D}">
      <formula1>X2923</formula1>
      <formula2>X4173</formula2>
    </dataValidation>
    <dataValidation type="date" allowBlank="1" showInputMessage="1" showErrorMessage="1" sqref="V2083:V2088 V2105 V2076:V2080" xr:uid="{F5507E10-698B-4BB3-B79B-C23DF61E87C1}">
      <formula1>X2850</formula1>
      <formula2>X4100</formula2>
    </dataValidation>
    <dataValidation type="date" allowBlank="1" showInputMessage="1" showErrorMessage="1" sqref="V2113" xr:uid="{25562EB1-6579-4B57-A9B0-4BFC71CDF4D5}">
      <formula1>X2882</formula1>
      <formula2>X4132</formula2>
    </dataValidation>
    <dataValidation type="date" allowBlank="1" showInputMessage="1" showErrorMessage="1" sqref="V2065:V2075" xr:uid="{C83A0671-2924-4FF0-8A17-169EFEC55B91}">
      <formula1>X2836</formula1>
      <formula2>X4089</formula2>
    </dataValidation>
    <dataValidation type="date" allowBlank="1" showInputMessage="1" showErrorMessage="1" sqref="V1505:V1515" xr:uid="{8C832AE9-C79B-494A-8340-0100FC8B6AB7}">
      <formula1>X2272</formula1>
      <formula2>X3520</formula2>
    </dataValidation>
    <dataValidation type="date" allowBlank="1" showInputMessage="1" showErrorMessage="1" sqref="V1932 V1917" xr:uid="{3902B2CA-DB8F-4960-8953-A011FFE5699E}">
      <formula1>X2712</formula1>
      <formula2>X3958</formula2>
    </dataValidation>
    <dataValidation type="date" allowBlank="1" showInputMessage="1" showErrorMessage="1" sqref="V1912" xr:uid="{E41A987E-B439-4C36-B058-51805530D6FA}">
      <formula1>X2694</formula1>
      <formula2>X3942</formula2>
    </dataValidation>
    <dataValidation type="date" allowBlank="1" showInputMessage="1" showErrorMessage="1" sqref="V1898" xr:uid="{0C8DDE58-E630-4931-A5F2-60F0E4496E72}">
      <formula1>X2694</formula1>
      <formula2>X3942</formula2>
    </dataValidation>
    <dataValidation type="date" allowBlank="1" showInputMessage="1" showErrorMessage="1" sqref="V1904" xr:uid="{D07AF8DA-5903-4B05-B948-1C5DE6C77CBD}">
      <formula1>X2695</formula1>
      <formula2>X3943</formula2>
    </dataValidation>
    <dataValidation type="date" allowBlank="1" showInputMessage="1" showErrorMessage="1" sqref="V1759" xr:uid="{800C3A14-4D9C-446D-8B73-0E0134275FE1}">
      <formula1>X2624</formula1>
      <formula2>X3789</formula2>
    </dataValidation>
    <dataValidation type="date" allowBlank="1" showInputMessage="1" showErrorMessage="1" sqref="V1753" xr:uid="{0C0C67ED-4891-4453-84A4-CC06240FB899}">
      <formula1>X2601</formula1>
      <formula2>X3765</formula2>
    </dataValidation>
    <dataValidation type="date" allowBlank="1" showInputMessage="1" showErrorMessage="1" sqref="V1521" xr:uid="{81B261B3-DFB7-4F32-A8B5-533A0F9F6705}">
      <formula1>X2304</formula1>
      <formula2>X3535</formula2>
    </dataValidation>
    <dataValidation type="date" allowBlank="1" showInputMessage="1" showErrorMessage="1" sqref="V1883" xr:uid="{4DDAC893-5CFC-4A05-932C-38F88F7E9EC3}">
      <formula1>X2686</formula1>
      <formula2>X3918</formula2>
    </dataValidation>
    <dataValidation type="date" allowBlank="1" showInputMessage="1" showErrorMessage="1" sqref="V1855:V1856" xr:uid="{FDBCD3F0-6C98-47A1-AF7B-A1779FFF3655}">
      <formula1>X2653</formula1>
      <formula2>X3890</formula2>
    </dataValidation>
    <dataValidation type="date" allowBlank="1" showInputMessage="1" showErrorMessage="1" sqref="V1773:V1784" xr:uid="{2A527AE3-2830-430A-A88B-534360A60DC3}">
      <formula1>X2640</formula1>
      <formula2>X3807</formula2>
    </dataValidation>
    <dataValidation type="date" allowBlank="1" showInputMessage="1" showErrorMessage="1" sqref="V1767:V1772" xr:uid="{E1DA36C9-D66A-4328-A141-3583618CF7A7}">
      <formula1>X2634</formula1>
      <formula2>X3800</formula2>
    </dataValidation>
    <dataValidation type="date" allowBlank="1" showInputMessage="1" showErrorMessage="1" sqref="V1760:V1765" xr:uid="{B02E4148-699B-4598-BE2E-185279155771}">
      <formula1>X2628</formula1>
      <formula2>X3793</formula2>
    </dataValidation>
    <dataValidation type="date" allowBlank="1" showInputMessage="1" showErrorMessage="1" sqref="V1558:V1561" xr:uid="{AB5D56E4-87AD-4D03-8ADC-01BC48EFA064}">
      <formula1>X2399</formula1>
      <formula2>X3572</formula2>
    </dataValidation>
    <dataValidation type="date" allowBlank="1" showInputMessage="1" showErrorMessage="1" sqref="V1745:V1752" xr:uid="{7931E946-DD77-40F4-AAFB-F44969C5F176}">
      <formula1>X2592</formula1>
      <formula2>X3756</formula2>
    </dataValidation>
    <dataValidation type="date" allowBlank="1" showInputMessage="1" showErrorMessage="1" sqref="V1754:V1758" xr:uid="{1F632824-EA21-44C3-B48A-BCFDD6A84FFF}">
      <formula1>X2600</formula1>
      <formula2>X3764</formula2>
    </dataValidation>
    <dataValidation type="date" allowBlank="1" showInputMessage="1" showErrorMessage="1" sqref="V1562:V1677" xr:uid="{43D5A0D4-E9C2-4A30-946A-68E82A9C3911}">
      <formula1>X2404</formula1>
      <formula2>X3576</formula2>
    </dataValidation>
    <dataValidation type="date" allowBlank="1" showInputMessage="1" showErrorMessage="1" sqref="V1678:V1704" xr:uid="{73F767FB-C894-441F-A172-03BBD02BB08F}">
      <formula1>X2519</formula1>
      <formula2>X3691</formula2>
    </dataValidation>
    <dataValidation type="date" allowBlank="1" showInputMessage="1" showErrorMessage="1" sqref="V1545:V1557" xr:uid="{3184B7AA-419B-4691-B69D-26744E61ED2B}">
      <formula1>X2375</formula1>
      <formula2>X3559</formula2>
    </dataValidation>
    <dataValidation type="date" allowBlank="1" showInputMessage="1" showErrorMessage="1" sqref="V1705:V1715" xr:uid="{6E4EDB9F-22F3-4947-8D98-76416B5A5FE9}">
      <formula1>X2550</formula1>
      <formula2>X3718</formula2>
    </dataValidation>
    <dataValidation type="date" allowBlank="1" showInputMessage="1" showErrorMessage="1" sqref="V1716:V1725" xr:uid="{FDD86D5A-E1EE-4DC7-9CF1-87F0D84CCBD5}">
      <formula1>X2564</formula1>
      <formula2>X3729</formula2>
    </dataValidation>
    <dataValidation type="date" allowBlank="1" showInputMessage="1" showErrorMessage="1" sqref="V1726:V1744" xr:uid="{E24AEB7D-FF3F-4B82-B923-21F13F4BD5B5}">
      <formula1>X2575</formula1>
      <formula2>X3739</formula2>
    </dataValidation>
    <dataValidation type="date" allowBlank="1" showInputMessage="1" showErrorMessage="1" sqref="V1542:V1544" xr:uid="{C3F39A36-8CC8-4573-AE2B-C10CB15FBAEB}">
      <formula1>X2370</formula1>
      <formula2>X3556</formula2>
    </dataValidation>
    <dataValidation type="date" allowBlank="1" showInputMessage="1" showErrorMessage="1" sqref="V1525:V1541" xr:uid="{6DBB410F-CDF0-4BCC-981E-594AB01526F9}">
      <formula1>X2313</formula1>
      <formula2>X3539</formula2>
    </dataValidation>
    <dataValidation type="date" allowBlank="1" showInputMessage="1" showErrorMessage="1" sqref="V1858:V1882" xr:uid="{E3191B86-5F2E-4D94-9572-E616BADCA63C}">
      <formula1>X2655</formula1>
      <formula2>X3893</formula2>
    </dataValidation>
    <dataValidation type="date" allowBlank="1" showInputMessage="1" showErrorMessage="1" sqref="V2114:V2123" xr:uid="{AD878118-BD7D-4C16-A15C-24594E03974D}">
      <formula1>X2884</formula1>
      <formula2>X4134</formula2>
    </dataValidation>
    <dataValidation type="date" allowBlank="1" showInputMessage="1" showErrorMessage="1" sqref="V2120" xr:uid="{B7548D92-8C29-441F-BFE6-890EE39E7585}">
      <formula1>X2908</formula1>
      <formula2>X4158</formula2>
    </dataValidation>
    <dataValidation type="date" allowBlank="1" showInputMessage="1" showErrorMessage="1" sqref="V1427:V1485" xr:uid="{089C3693-CDAB-45BE-829B-1E933778306A}">
      <formula1>X2197</formula1>
      <formula2>X3442</formula2>
    </dataValidation>
    <dataValidation type="date" allowBlank="1" showInputMessage="1" showErrorMessage="1" sqref="V1143" xr:uid="{E755801F-2B80-477D-8C79-D551C1675BA5}">
      <formula1>X1912</formula1>
      <formula2>X3164</formula2>
    </dataValidation>
    <dataValidation type="date" allowBlank="1" showInputMessage="1" showErrorMessage="1" sqref="V1141" xr:uid="{155375D5-2028-4726-9044-B575D77B9716}">
      <formula1>X1908</formula1>
      <formula2>X3162</formula2>
    </dataValidation>
    <dataValidation type="date" allowBlank="1" showInputMessage="1" showErrorMessage="1" sqref="V1212:V1213 V1206:V1208" xr:uid="{BD6CCCAA-95CE-4357-B9DB-EF5E8FFC4F66}">
      <formula1>X1979</formula1>
      <formula2>X3225</formula2>
    </dataValidation>
    <dataValidation type="date" allowBlank="1" showInputMessage="1" showErrorMessage="1" sqref="V1204:V1205 V1209:V1211" xr:uid="{58C8AFF2-AEEC-461B-A607-13EFFC2E149E}">
      <formula1>X1978</formula1>
      <formula2>X3224</formula2>
    </dataValidation>
    <dataValidation type="date" allowBlank="1" showInputMessage="1" showErrorMessage="1" sqref="V1177:V1180" xr:uid="{F16F21A3-6423-4473-A98C-1838DD6475E1}">
      <formula1>X1947</formula1>
      <formula2>X3198</formula2>
    </dataValidation>
    <dataValidation type="date" allowBlank="1" showInputMessage="1" showErrorMessage="1" sqref="V1181:V1203" xr:uid="{F4824334-E03A-400A-86F6-3D22D876C610}">
      <formula1>X1956</formula1>
      <formula2>X3202</formula2>
    </dataValidation>
    <dataValidation type="date" allowBlank="1" showInputMessage="1" showErrorMessage="1" sqref="V1165:V1171" xr:uid="{64DBBC2F-4C3E-4F0E-87AB-01A8D079BEE6}">
      <formula1>X1936</formula1>
      <formula2>X3186</formula2>
    </dataValidation>
    <dataValidation type="date" allowBlank="1" showInputMessage="1" showErrorMessage="1" sqref="V1137:V1140" xr:uid="{2D498ED0-1852-4B87-B63A-BBAEA8BA5623}">
      <formula1>X1900</formula1>
      <formula2>X3158</formula2>
    </dataValidation>
    <dataValidation type="date" allowBlank="1" showInputMessage="1" showErrorMessage="1" sqref="V1102:V1103" xr:uid="{4747F85F-E62C-4D57-A7FF-E4F6CEEB39B7}">
      <formula1>X1866</formula1>
      <formula2>#REF!</formula2>
    </dataValidation>
    <dataValidation type="date" allowBlank="1" showInputMessage="1" showErrorMessage="1" sqref="V1104:V1135" xr:uid="{C8821B85-DA24-4E0E-AFDE-FDE69BDF9843}">
      <formula1>X1868</formula1>
      <formula2>X3125</formula2>
    </dataValidation>
    <dataValidation type="date" allowBlank="1" showInputMessage="1" showErrorMessage="1" sqref="V1046642:V1046645" xr:uid="{4F92F083-9847-40B4-826F-603A7FCBC80A}">
      <formula1>X1047420</formula1>
      <formula2>X1</formula2>
    </dataValidation>
  </dataValidations>
  <hyperlinks>
    <hyperlink ref="J832" r:id="rId1" xr:uid="{00000000-0004-0000-0900-000000000000}"/>
  </hyperlinks>
  <pageMargins left="0.25" right="0.25" top="0.75" bottom="0.75" header="0.3" footer="0.3"/>
  <pageSetup orientation="landscape" r:id="rId2"/>
  <legacyDrawing r:id="rId3"/>
  <tableParts count="1">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BE408-4A6C-4840-8969-96507C6D5D6F}">
  <dimension ref="A1"/>
  <sheetViews>
    <sheetView workbookViewId="0"/>
  </sheetViews>
  <sheetFormatPr defaultRowHeight="14.4"/>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738F7-F136-46D2-A0B0-ED52A3064EBA}">
  <dimension ref="A3:G12"/>
  <sheetViews>
    <sheetView topLeftCell="A2" workbookViewId="0">
      <selection activeCell="K20" sqref="K20"/>
    </sheetView>
  </sheetViews>
  <sheetFormatPr defaultRowHeight="14.4"/>
  <cols>
    <col min="1" max="1" width="44.109375" customWidth="1"/>
    <col min="2" max="2" width="7.5546875" bestFit="1" customWidth="1"/>
    <col min="3" max="3" width="11.6640625" bestFit="1" customWidth="1"/>
    <col min="4" max="4" width="12.33203125" bestFit="1" customWidth="1"/>
    <col min="5" max="5" width="7.44140625" hidden="1" customWidth="1"/>
    <col min="6" max="6" width="11.6640625" bestFit="1" customWidth="1"/>
  </cols>
  <sheetData>
    <row r="3" spans="1:7" hidden="1">
      <c r="A3" s="18" t="s">
        <v>13025</v>
      </c>
      <c r="B3" s="18" t="s">
        <v>16</v>
      </c>
    </row>
    <row r="4" spans="1:7">
      <c r="A4" s="452" t="s">
        <v>288</v>
      </c>
      <c r="B4" s="289" t="s">
        <v>17</v>
      </c>
      <c r="C4" s="289" t="s">
        <v>245</v>
      </c>
      <c r="D4" s="289" t="s">
        <v>250</v>
      </c>
      <c r="E4" s="289" t="s">
        <v>48</v>
      </c>
      <c r="F4" s="289" t="s">
        <v>237</v>
      </c>
      <c r="G4" s="429"/>
    </row>
    <row r="5" spans="1:7">
      <c r="A5" s="194" t="s">
        <v>13026</v>
      </c>
      <c r="B5" s="194">
        <v>36</v>
      </c>
      <c r="C5" s="194"/>
      <c r="D5" s="194"/>
      <c r="E5" s="194"/>
      <c r="F5" s="194">
        <v>36</v>
      </c>
      <c r="G5" s="429"/>
    </row>
    <row r="6" spans="1:7">
      <c r="A6" s="194" t="s">
        <v>13027</v>
      </c>
      <c r="B6" s="194">
        <v>53</v>
      </c>
      <c r="C6" s="194"/>
      <c r="D6" s="194">
        <v>8</v>
      </c>
      <c r="E6" s="194">
        <v>6</v>
      </c>
      <c r="F6" s="194">
        <v>67</v>
      </c>
      <c r="G6" s="429"/>
    </row>
    <row r="7" spans="1:7">
      <c r="A7" s="194" t="s">
        <v>13028</v>
      </c>
      <c r="B7" s="194">
        <v>177</v>
      </c>
      <c r="C7" s="194">
        <v>263</v>
      </c>
      <c r="D7" s="194">
        <v>1751</v>
      </c>
      <c r="E7" s="194">
        <v>1</v>
      </c>
      <c r="F7" s="194">
        <v>2192</v>
      </c>
      <c r="G7" s="429"/>
    </row>
    <row r="8" spans="1:7">
      <c r="A8" s="194" t="s">
        <v>13029</v>
      </c>
      <c r="B8" s="194">
        <v>567</v>
      </c>
      <c r="C8" s="194">
        <v>1</v>
      </c>
      <c r="D8" s="194"/>
      <c r="E8" s="194"/>
      <c r="F8" s="194">
        <v>568</v>
      </c>
      <c r="G8" s="429"/>
    </row>
    <row r="9" spans="1:7">
      <c r="A9" s="194" t="s">
        <v>324</v>
      </c>
      <c r="B9" s="194">
        <v>24</v>
      </c>
      <c r="C9" s="194"/>
      <c r="D9" s="194"/>
      <c r="E9" s="194"/>
      <c r="F9" s="194">
        <v>24</v>
      </c>
      <c r="G9" s="429"/>
    </row>
    <row r="10" spans="1:7" hidden="1">
      <c r="A10" s="194" t="s">
        <v>48</v>
      </c>
      <c r="B10" s="194"/>
      <c r="C10" s="194"/>
      <c r="D10" s="194"/>
      <c r="E10" s="194"/>
      <c r="F10" s="194"/>
      <c r="G10" s="429"/>
    </row>
    <row r="11" spans="1:7">
      <c r="A11" s="194" t="s">
        <v>237</v>
      </c>
      <c r="B11" s="194">
        <v>857</v>
      </c>
      <c r="C11" s="194">
        <v>264</v>
      </c>
      <c r="D11" s="194">
        <v>1759</v>
      </c>
      <c r="E11" s="194">
        <v>7</v>
      </c>
      <c r="F11" s="194">
        <v>2887</v>
      </c>
      <c r="G11" s="429"/>
    </row>
    <row r="12" spans="1:7">
      <c r="A12" s="429"/>
      <c r="B12" s="429"/>
      <c r="C12" s="429"/>
      <c r="D12" s="429"/>
      <c r="E12" s="429"/>
      <c r="F12" s="429"/>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74C0E7F5C2B2B429B5490CD2220D445" ma:contentTypeVersion="16" ma:contentTypeDescription="Create a new document." ma:contentTypeScope="" ma:versionID="7afaf778d4ed8aeef3f1e5d630f66e34">
  <xsd:schema xmlns:xsd="http://www.w3.org/2001/XMLSchema" xmlns:xs="http://www.w3.org/2001/XMLSchema" xmlns:p="http://schemas.microsoft.com/office/2006/metadata/properties" xmlns:ns3="78230775-571a-4f95-a500-7fd39f815965" xmlns:ns4="a41afd3c-39a5-4311-99d7-b20252594bb6" targetNamespace="http://schemas.microsoft.com/office/2006/metadata/properties" ma:root="true" ma:fieldsID="5113667c6ecb59ee6a9601790c27e849" ns3:_="" ns4:_="">
    <xsd:import namespace="78230775-571a-4f95-a500-7fd39f815965"/>
    <xsd:import namespace="a41afd3c-39a5-4311-99d7-b20252594bb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_activity" minOccurs="0"/>
                <xsd:element ref="ns3:MediaServiceObjectDetectorVersions" minOccurs="0"/>
                <xsd:element ref="ns3:MediaServiceLocation"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230775-571a-4f95-a500-7fd39f8159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Length (seconds)"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description="" ma:indexed="true" ma:internalName="MediaServiceLocation"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1afd3c-39a5-4311-99d7-b20252594bb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78230775-571a-4f95-a500-7fd39f815965" xsi:nil="true"/>
  </documentManagement>
</p:properties>
</file>

<file path=customXml/itemProps1.xml><?xml version="1.0" encoding="utf-8"?>
<ds:datastoreItem xmlns:ds="http://schemas.openxmlformats.org/officeDocument/2006/customXml" ds:itemID="{62A0249B-19AD-41BF-8D17-1D7B8675C8E1}">
  <ds:schemaRefs>
    <ds:schemaRef ds:uri="http://schemas.microsoft.com/sharepoint/v3/contenttype/forms"/>
  </ds:schemaRefs>
</ds:datastoreItem>
</file>

<file path=customXml/itemProps2.xml><?xml version="1.0" encoding="utf-8"?>
<ds:datastoreItem xmlns:ds="http://schemas.openxmlformats.org/officeDocument/2006/customXml" ds:itemID="{B8E8391E-E944-4869-8DE7-D32B340351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230775-571a-4f95-a500-7fd39f815965"/>
    <ds:schemaRef ds:uri="a41afd3c-39a5-4311-99d7-b20252594bb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5346FBF-4E93-418D-993F-DDB2EAC20B87}">
  <ds:schemaRefs>
    <ds:schemaRef ds:uri="http://schemas.microsoft.com/office/2006/metadata/properties"/>
    <ds:schemaRef ds:uri="http://schemas.microsoft.com/office/infopath/2007/PartnerControls"/>
    <ds:schemaRef ds:uri="78230775-571a-4f95-a500-7fd39f81596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Histori</vt:lpstr>
      <vt:lpstr>Rev VS Sewa</vt:lpstr>
      <vt:lpstr>Pivot Report</vt:lpstr>
      <vt:lpstr>Klausul</vt:lpstr>
      <vt:lpstr>Detail1</vt:lpstr>
      <vt:lpstr>Lembar2</vt:lpstr>
      <vt:lpstr>Raw Data</vt:lpstr>
      <vt:lpstr>Lembar1</vt:lpstr>
      <vt:lpstr>Pivot Monitoring Perpanjangan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Agustin Dinda Ratih</dc:creator>
  <cp:keywords/>
  <dc:description/>
  <cp:lastModifiedBy>anggie pasaribu</cp:lastModifiedBy>
  <cp:revision/>
  <dcterms:created xsi:type="dcterms:W3CDTF">2023-08-25T09:22:56Z</dcterms:created>
  <dcterms:modified xsi:type="dcterms:W3CDTF">2026-09-25T04:21:50Z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0x010100274C0E7F5C2B2B429B5490CD2220D445</vt:lpwstr>
  </property>
</Properties>
</file>